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xl/worksheets/sheet4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comments8.xml" ContentType="application/vnd.openxmlformats-officedocument.spreadsheetml.comments+xml"/>
  <Override PartName="/customXml/itemProps1.xml" ContentType="application/vnd.openxmlformats-officedocument.customXmlProperti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worksheets/sheet40.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comments4.xml" ContentType="application/vnd.openxmlformats-officedocument.spreadsheetml.comments+xml"/>
  <Override PartName="/xl/drawings/drawing2.xml" ContentType="application/vnd.openxmlformats-officedocument.drawing+xml"/>
  <Override PartName="/xl/worksheets/sheet3.xml" ContentType="application/vnd.openxmlformats-officedocument.spreadsheetml.worksheet+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sharedStrings.xml" ContentType="application/vnd.openxmlformats-officedocument.spreadsheetml.sharedStrings+xml"/>
  <Override PartName="/xl/comments12.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45.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Override PartName="/xl/worksheets/sheet43.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tables/table1.xml" ContentType="application/vnd.openxmlformats-officedocument.spreadsheetml.table+xml"/>
  <Override PartName="/xl/comments9.xml" ContentType="application/vnd.openxmlformats-officedocument.spreadsheetml.comment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comments7.xml" ContentType="application/vnd.openxmlformats-officedocument.spreadsheetml.comment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0" windowWidth="23040" windowHeight="8535" tabRatio="743" firstSheet="13" activeTab="13"/>
  </bookViews>
  <sheets>
    <sheet name="Valve_input_checking" sheetId="38" r:id="rId1"/>
    <sheet name="PSV_input_checking" sheetId="39" r:id="rId2"/>
    <sheet name="Pump_input_checking" sheetId="40" r:id="rId3"/>
    <sheet name="Reactor_input_checking" sheetId="51" r:id="rId4"/>
    <sheet name="HeatExch_input_checking" sheetId="41" r:id="rId5"/>
    <sheet name="Aircooler_input_checking" sheetId="47" r:id="rId6"/>
    <sheet name="Heater_input_checking" sheetId="42" r:id="rId7"/>
    <sheet name="Drum_input_checking" sheetId="43" r:id="rId8"/>
    <sheet name="Column_input_checking" sheetId="44" r:id="rId9"/>
    <sheet name="HDTBed" sheetId="50" r:id="rId10"/>
    <sheet name="KettleNode" sheetId="55" r:id="rId11"/>
    <sheet name="HeatExch" sheetId="29" r:id="rId12"/>
    <sheet name="AirCoolerV2" sheetId="31" r:id="rId13"/>
    <sheet name="ValveActuator" sheetId="9" r:id="rId14"/>
    <sheet name="ControlValve" sheetId="7" r:id="rId15"/>
    <sheet name="PressureSafetyValve" sheetId="13" r:id="rId16"/>
    <sheet name="MotorActuator" sheetId="28" r:id="rId17"/>
    <sheet name="Pump" sheetId="27" r:id="rId18"/>
    <sheet name="ScrubberThreePhase" sheetId="48" r:id="rId19"/>
    <sheet name="Scrubber" sheetId="30" r:id="rId20"/>
    <sheet name="AtmosphericTank" sheetId="25" r:id="rId21"/>
    <sheet name="DrumSeparatorV2" sheetId="32" r:id="rId22"/>
    <sheet name="Furnace" sheetId="49" r:id="rId23"/>
    <sheet name="GasLiquidColumnNode" sheetId="54" r:id="rId24"/>
    <sheet name="Column" sheetId="36" r:id="rId25"/>
    <sheet name="ColumnBottom" sheetId="35" r:id="rId26"/>
    <sheet name="Desalter" sheetId="34" r:id="rId27"/>
    <sheet name="BatteryLimit" sheetId="26" r:id="rId28"/>
    <sheet name="Manifold" sheetId="12" r:id="rId29"/>
    <sheet name="ReadWriteVarFormat" sheetId="4" state="hidden" r:id="rId30"/>
    <sheet name="Transmitter" sheetId="10" r:id="rId31"/>
    <sheet name="IndissPlus_PID" sheetId="8" r:id="rId32"/>
    <sheet name="Model Type List" sheetId="6" r:id="rId33"/>
    <sheet name="Variable List" sheetId="5" r:id="rId34"/>
    <sheet name="UserManual" sheetId="1" r:id="rId35"/>
    <sheet name="Valve_from_BP" sheetId="16" r:id="rId36"/>
    <sheet name="PSV_from_BP" sheetId="17" r:id="rId37"/>
    <sheet name="Pump_from_BP" sheetId="20" r:id="rId38"/>
    <sheet name="HeatExch_from_BP" sheetId="15" r:id="rId39"/>
    <sheet name="Heater_from_BP" sheetId="18" r:id="rId40"/>
    <sheet name="Drum_from_BP" sheetId="14" r:id="rId41"/>
    <sheet name="Column_from_BP" sheetId="19" r:id="rId42"/>
    <sheet name="transmitter_from_BP" sheetId="23" r:id="rId43"/>
    <sheet name="PID_from_BP" sheetId="33" r:id="rId44"/>
    <sheet name="PID_TUNING_from_BP" sheetId="52" r:id="rId45"/>
  </sheets>
  <functionGroups/>
  <externalReferences>
    <externalReference r:id="rId46"/>
  </externalReferences>
  <definedNames>
    <definedName name="__RA1" localSheetId="12">#REF!</definedName>
    <definedName name="__RA1" localSheetId="20">#REF!</definedName>
    <definedName name="__RA1" localSheetId="27">#REF!</definedName>
    <definedName name="__RA1" localSheetId="24">#REF!</definedName>
    <definedName name="__RA1" localSheetId="25">#REF!</definedName>
    <definedName name="__RA1" localSheetId="26">#REF!</definedName>
    <definedName name="__RA1" localSheetId="21">#REF!</definedName>
    <definedName name="__RA1" localSheetId="22">#REF!</definedName>
    <definedName name="__RA1" localSheetId="23">#REF!</definedName>
    <definedName name="__RA1" localSheetId="9">#REF!</definedName>
    <definedName name="__RA1" localSheetId="11">#REF!</definedName>
    <definedName name="__RA1" localSheetId="10">#REF!</definedName>
    <definedName name="__RA1" localSheetId="16">#REF!</definedName>
    <definedName name="__RA1" localSheetId="17">#REF!</definedName>
    <definedName name="__RA1" localSheetId="19">#REF!</definedName>
    <definedName name="__RA1" localSheetId="18">#REF!</definedName>
    <definedName name="__RA1">#REF!</definedName>
    <definedName name="__RA2" localSheetId="12">#REF!</definedName>
    <definedName name="__RA2" localSheetId="20">#REF!</definedName>
    <definedName name="__RA2" localSheetId="27">#REF!</definedName>
    <definedName name="__RA2" localSheetId="24">#REF!</definedName>
    <definedName name="__RA2" localSheetId="25">#REF!</definedName>
    <definedName name="__RA2" localSheetId="26">#REF!</definedName>
    <definedName name="__RA2" localSheetId="21">#REF!</definedName>
    <definedName name="__RA2" localSheetId="22">#REF!</definedName>
    <definedName name="__RA2" localSheetId="23">#REF!</definedName>
    <definedName name="__RA2" localSheetId="9">#REF!</definedName>
    <definedName name="__RA2" localSheetId="11">#REF!</definedName>
    <definedName name="__RA2" localSheetId="10">#REF!</definedName>
    <definedName name="__RA2" localSheetId="16">#REF!</definedName>
    <definedName name="__RA2" localSheetId="17">#REF!</definedName>
    <definedName name="__RA2" localSheetId="19">#REF!</definedName>
    <definedName name="__RA2" localSheetId="18">#REF!</definedName>
    <definedName name="__RA2">#REF!</definedName>
    <definedName name="_xlnm._FilterDatabase" localSheetId="12" hidden="1">AirCoolerV2!$E$3:$H$3</definedName>
    <definedName name="_xlnm._FilterDatabase" localSheetId="20" hidden="1">AtmosphericTank!$E$3:$H$3</definedName>
    <definedName name="_xlnm._FilterDatabase" localSheetId="27" hidden="1">BatteryLimit!$E$3:$H$3</definedName>
    <definedName name="_xlnm._FilterDatabase" localSheetId="24" hidden="1">Column!$E$3:$H$3</definedName>
    <definedName name="_xlnm._FilterDatabase" localSheetId="25" hidden="1">ColumnBottom!$E$3:$H$3</definedName>
    <definedName name="_xlnm._FilterDatabase" localSheetId="14" hidden="1">ControlValve!$E$3:$H$3</definedName>
    <definedName name="_xlnm._FilterDatabase" localSheetId="26" hidden="1">Desalter!$E$3:$H$3</definedName>
    <definedName name="_xlnm._FilterDatabase" localSheetId="21" hidden="1">DrumSeparatorV2!$E$3:$H$3</definedName>
    <definedName name="_xlnm._FilterDatabase" localSheetId="22" hidden="1">Furnace!$E$3:$H$3</definedName>
    <definedName name="_xlnm._FilterDatabase" localSheetId="23" hidden="1">GasLiquidColumnNode!$E$3:$H$3</definedName>
    <definedName name="_xlnm._FilterDatabase" localSheetId="9" hidden="1">HDTBed!$E$3:$H$3</definedName>
    <definedName name="_xlnm._FilterDatabase" localSheetId="11" hidden="1">HeatExch!$E$3:$H$3</definedName>
    <definedName name="_xlnm._FilterDatabase" localSheetId="31" hidden="1">IndissPlus_PID!$E$3:$H$3</definedName>
    <definedName name="_xlnm._FilterDatabase" localSheetId="10" hidden="1">KettleNode!$E$3:$H$3</definedName>
    <definedName name="_xlnm._FilterDatabase" localSheetId="28" hidden="1">Manifold!$E$3:$H$3</definedName>
    <definedName name="_xlnm._FilterDatabase" localSheetId="16" hidden="1">MotorActuator!$E$3:$H$3</definedName>
    <definedName name="_xlnm._FilterDatabase" localSheetId="15" hidden="1">PressureSafetyValve!$E$3:$H$3</definedName>
    <definedName name="_xlnm._FilterDatabase" localSheetId="17" hidden="1">Pump!$E$3:$H$3</definedName>
    <definedName name="_xlnm._FilterDatabase" localSheetId="29" hidden="1">ReadWriteVarFormat!$E$3:$H$3</definedName>
    <definedName name="_xlnm._FilterDatabase" localSheetId="19" hidden="1">Scrubber!$E$3:$H$3</definedName>
    <definedName name="_xlnm._FilterDatabase" localSheetId="18" hidden="1">ScrubberThreePhase!$E$3:$H$3</definedName>
    <definedName name="_xlnm._FilterDatabase" localSheetId="30" hidden="1">Transmitter!$E$3:$H$3</definedName>
    <definedName name="_xlnm._FilterDatabase" localSheetId="42" hidden="1">transmitter_from_BP!$A$3:$I$154</definedName>
    <definedName name="_xlnm._FilterDatabase" localSheetId="35" hidden="1">Valve_from_BP!$A$3:$AC$199</definedName>
    <definedName name="_xlnm._FilterDatabase" localSheetId="0" hidden="1">Valve_input_checking!$N$2:$W$167</definedName>
    <definedName name="_xlnm._FilterDatabase" localSheetId="13" hidden="1">ValveActuator!$E$3:$H$3</definedName>
    <definedName name="_RA1" localSheetId="12">#REF!</definedName>
    <definedName name="_RA1" localSheetId="20">#REF!</definedName>
    <definedName name="_RA1" localSheetId="27">#REF!</definedName>
    <definedName name="_RA1" localSheetId="24">#REF!</definedName>
    <definedName name="_RA1" localSheetId="25">#REF!</definedName>
    <definedName name="_RA1" localSheetId="26">#REF!</definedName>
    <definedName name="_RA1" localSheetId="21">#REF!</definedName>
    <definedName name="_RA1" localSheetId="22">#REF!</definedName>
    <definedName name="_RA1" localSheetId="23">#REF!</definedName>
    <definedName name="_RA1" localSheetId="9">#REF!</definedName>
    <definedName name="_RA1" localSheetId="11">#REF!</definedName>
    <definedName name="_RA1" localSheetId="10">#REF!</definedName>
    <definedName name="_RA1" localSheetId="16">#REF!</definedName>
    <definedName name="_RA1" localSheetId="17">#REF!</definedName>
    <definedName name="_RA1" localSheetId="19">#REF!</definedName>
    <definedName name="_RA1" localSheetId="18">#REF!</definedName>
    <definedName name="_RA1">#REF!</definedName>
    <definedName name="_RA2" localSheetId="12">#REF!</definedName>
    <definedName name="_RA2" localSheetId="20">#REF!</definedName>
    <definedName name="_RA2" localSheetId="27">#REF!</definedName>
    <definedName name="_RA2" localSheetId="24">#REF!</definedName>
    <definedName name="_RA2" localSheetId="25">#REF!</definedName>
    <definedName name="_RA2" localSheetId="26">#REF!</definedName>
    <definedName name="_RA2" localSheetId="21">#REF!</definedName>
    <definedName name="_RA2" localSheetId="22">#REF!</definedName>
    <definedName name="_RA2" localSheetId="23">#REF!</definedName>
    <definedName name="_RA2" localSheetId="9">#REF!</definedName>
    <definedName name="_RA2" localSheetId="11">#REF!</definedName>
    <definedName name="_RA2" localSheetId="10">#REF!</definedName>
    <definedName name="_RA2" localSheetId="16">#REF!</definedName>
    <definedName name="_RA2" localSheetId="17">#REF!</definedName>
    <definedName name="_RA2" localSheetId="19">#REF!</definedName>
    <definedName name="_RA2" localSheetId="18">#REF!</definedName>
    <definedName name="_RA2">#REF!</definedName>
    <definedName name="AirCoolerV2VariablesList">'Variable List'!$O$2:$O$95</definedName>
    <definedName name="AtmosphericTankVariablesList">'Variable List'!$H$2:$H$43</definedName>
    <definedName name="BatteryLimitVariablesList">'Variable List'!$C$2:$C$34</definedName>
    <definedName name="BornierBooleenVariablesList">'Variable List'!$AS$2:$AS$2</definedName>
    <definedName name="BornierReelVariablesList">'Variable List'!$Q$2:$Q$2</definedName>
    <definedName name="ChimneyVariablesList">'Variable List'!$I$2:$I$19</definedName>
    <definedName name="ColumnBottomVariablesList">'Variable List'!$AF$2:$AF$65</definedName>
    <definedName name="ColumnVariablesList">'Variable List'!$AH$2:$AH$47</definedName>
    <definedName name="CommentVariablesList">'Variable List'!$N$2:$N$6</definedName>
    <definedName name="CompressorMCVariablesList">'Variable List'!$AA$2:$AA$118</definedName>
    <definedName name="ConstanteTempsVariablesList">'Variable List'!$AJ$2:$AJ$5</definedName>
    <definedName name="ControlValveVariablesList">'Variable List'!$B$2:$B$215</definedName>
    <definedName name="DACVariablesList">'Variable List'!$AQ$2:$AQ$5</definedName>
    <definedName name="DemultiplexeurVariablesList">'Variable List'!$Y$2:$Y$10</definedName>
    <definedName name="DesalterVariablesList">'Variable List'!$AM$2:$AM$77</definedName>
    <definedName name="Detail" localSheetId="12">AirCoolerV2!$Z$1</definedName>
    <definedName name="Detail" localSheetId="20">AtmosphericTank!$R$1</definedName>
    <definedName name="Detail" localSheetId="27">BatteryLimit!$P$1</definedName>
    <definedName name="Detail" localSheetId="24">Column!$V$1</definedName>
    <definedName name="Detail" localSheetId="25">ColumnBottom!$V$1</definedName>
    <definedName name="Detail" localSheetId="14">ControlValve!$AB$1</definedName>
    <definedName name="Detail" localSheetId="26">Desalter!$AX$1</definedName>
    <definedName name="Detail" localSheetId="21">DrumSeparatorV2!$AD$1</definedName>
    <definedName name="Detail" localSheetId="22">Furnace!$P$1</definedName>
    <definedName name="Detail" localSheetId="23">GasLiquidColumnNode!$R$1</definedName>
    <definedName name="Detail" localSheetId="9">HDTBed!$P$1</definedName>
    <definedName name="Detail" localSheetId="11">HeatExch!$AJ$1</definedName>
    <definedName name="Detail" localSheetId="31">IndissPlus_PID!$AB$1</definedName>
    <definedName name="Detail" localSheetId="10">KettleNode!$P$1</definedName>
    <definedName name="Detail" localSheetId="28">Manifold!$R$1</definedName>
    <definedName name="Detail" localSheetId="16">MotorActuator!$N$1</definedName>
    <definedName name="Detail" localSheetId="15">PressureSafetyValve!$V$1</definedName>
    <definedName name="Detail" localSheetId="17">Pump!$AB$1</definedName>
    <definedName name="Detail" localSheetId="29">ReadWriteVarFormat!$J$1</definedName>
    <definedName name="Detail" localSheetId="19">Scrubber!$R$1</definedName>
    <definedName name="Detail" localSheetId="18">ScrubberThreePhase!$X$1</definedName>
    <definedName name="Detail" localSheetId="30">Transmitter!$AB$1</definedName>
    <definedName name="Detail" localSheetId="13">ValveActuator!$R$1</definedName>
    <definedName name="DrumSeparatorV2VariablesList">'Variable List'!$W$2:$W$96</definedName>
    <definedName name="DrumSeparatorVariablesList">'Variable List'!$G$2:$G$94</definedName>
    <definedName name="ElectricalHeaterVariablesList">'Variable List'!$AC$2:$AC$56</definedName>
    <definedName name="ExchangerTubeVariablesList">'Variable List'!$V$2:$V$90</definedName>
    <definedName name="ExpanderVariablesList">'Variable List'!$AW$2:$AW$42</definedName>
    <definedName name="FlowGeneratorVariablesList">'Variable List'!$AD$2:$AD$14</definedName>
    <definedName name="FurnaceVariablesList">'Variable List'!$AV$2:$AV$87</definedName>
    <definedName name="GasLiquidColumnNodeVariablesList">'Variable List'!$AX$2:$AX$114</definedName>
    <definedName name="HDTBedVariablesList">'Variable List'!$AU$2:$AU$119</definedName>
    <definedName name="HeatExchVariablesList">'Variable List'!$K$2:$K$215</definedName>
    <definedName name="IndissPlus_CSOUTVariablesList">'Variable List'!$AO$2:$AO$7</definedName>
    <definedName name="IndissPlus_PIDVariablesList">'Variable List'!$S$2:$S$118</definedName>
    <definedName name="IntegrateurVariablesList">'Variable List'!$U$2:$U$7</definedName>
    <definedName name="KettleNodeVariablesList">'Variable List'!$AY$2:$AY$45</definedName>
    <definedName name="LogicTestVariablesList">'Variable List'!$AT$2:$AT$5</definedName>
    <definedName name="ManifoldVariablesList">'Variable List'!$A$2:$A$215</definedName>
    <definedName name="MixerVariablesList">'Variable List'!$AB$2:$AB$4</definedName>
    <definedName name="MotorActuatorVariablesList">'Variable List'!$R$2:$R$69</definedName>
    <definedName name="MultiplicateurVariablesList">'Variable List'!$X$2:$X$7</definedName>
    <definedName name="NonVariablesList">'Variable List'!$AR$2:$AR$3</definedName>
    <definedName name="PressureSafetyValveVariablesList">'Variable List'!$P$2:$P$68</definedName>
    <definedName name="ProgVariablesList">'Variable List'!$Z$2:$Z$215</definedName>
    <definedName name="PumpVariablesList">'Variable List'!$D$2:$D$215</definedName>
    <definedName name="RampVariablesList">'Variable List'!$AI$2:$AI$10</definedName>
    <definedName name="ReadWrite" localSheetId="12">AirCoolerV2!$G$1</definedName>
    <definedName name="ReadWrite" localSheetId="20">AtmosphericTank!$G$1</definedName>
    <definedName name="ReadWrite" localSheetId="27">BatteryLimit!$G$1</definedName>
    <definedName name="ReadWrite" localSheetId="24">Column!$G$1</definedName>
    <definedName name="ReadWrite" localSheetId="25">ColumnBottom!$G$1</definedName>
    <definedName name="ReadWrite" localSheetId="14">ControlValve!$G$1</definedName>
    <definedName name="ReadWrite" localSheetId="26">Desalter!$G$1</definedName>
    <definedName name="ReadWrite" localSheetId="21">DrumSeparatorV2!$G$1</definedName>
    <definedName name="ReadWrite" localSheetId="22">Furnace!$G$1</definedName>
    <definedName name="ReadWrite" localSheetId="23">GasLiquidColumnNode!$G$1</definedName>
    <definedName name="ReadWrite" localSheetId="9">HDTBed!$G$1</definedName>
    <definedName name="ReadWrite" localSheetId="11">HeatExch!$G$1</definedName>
    <definedName name="ReadWrite" localSheetId="31">IndissPlus_PID!$G$1</definedName>
    <definedName name="ReadWrite" localSheetId="10">KettleNode!$G$1</definedName>
    <definedName name="ReadWrite" localSheetId="28">Manifold!$G$1</definedName>
    <definedName name="ReadWrite" localSheetId="16">MotorActuator!$G$1</definedName>
    <definedName name="ReadWrite" localSheetId="15">PressureSafetyValve!$G$1</definedName>
    <definedName name="ReadWrite" localSheetId="17">Pump!$G$1</definedName>
    <definedName name="ReadWrite" localSheetId="19">Scrubber!$G$1</definedName>
    <definedName name="ReadWrite" localSheetId="18">ScrubberThreePhase!$G$1</definedName>
    <definedName name="ReadWrite" localSheetId="30">Transmitter!$G$1</definedName>
    <definedName name="ReadWrite" localSheetId="13">ValveActuator!$G$1</definedName>
    <definedName name="ReadWrite">ReadWriteVarFormat!$G$1</definedName>
    <definedName name="ReadWriteRange" localSheetId="12">AirCoolerV2!$G:$H</definedName>
    <definedName name="ReadWriteRange" localSheetId="20">AtmosphericTank!$G:$H</definedName>
    <definedName name="ReadWriteRange" localSheetId="27">BatteryLimit!$G:$H</definedName>
    <definedName name="ReadWriteRange" localSheetId="24">Column!$G:$H</definedName>
    <definedName name="ReadWriteRange" localSheetId="25">ColumnBottom!$G:$H</definedName>
    <definedName name="ReadWriteRange" localSheetId="14">ControlValve!$G:$H</definedName>
    <definedName name="ReadWriteRange" localSheetId="26">Desalter!$G:$H</definedName>
    <definedName name="ReadWriteRange" localSheetId="21">DrumSeparatorV2!$G:$H</definedName>
    <definedName name="ReadWriteRange" localSheetId="22">Furnace!$G:$H</definedName>
    <definedName name="ReadWriteRange" localSheetId="23">GasLiquidColumnNode!$G:$H</definedName>
    <definedName name="ReadWriteRange" localSheetId="9">HDTBed!$G:$H</definedName>
    <definedName name="ReadWriteRange" localSheetId="11">HeatExch!$G:$H</definedName>
    <definedName name="ReadWriteRange" localSheetId="31">IndissPlus_PID!$G:$H</definedName>
    <definedName name="ReadWriteRange" localSheetId="10">KettleNode!$G:$H</definedName>
    <definedName name="ReadWriteRange" localSheetId="28">Manifold!$G:$H</definedName>
    <definedName name="ReadWriteRange" localSheetId="16">MotorActuator!$G:$H</definedName>
    <definedName name="ReadWriteRange" localSheetId="15">PressureSafetyValve!$G:$H</definedName>
    <definedName name="ReadWriteRange" localSheetId="17">Pump!$G:$H</definedName>
    <definedName name="ReadWriteRange" localSheetId="19">Scrubber!$G:$H</definedName>
    <definedName name="ReadWriteRange" localSheetId="18">ScrubberThreePhase!$G:$H</definedName>
    <definedName name="ReadWriteRange" localSheetId="30">Transmitter!$G:$H</definedName>
    <definedName name="ReadWriteRange" localSheetId="13">ValveActuator!$G:$H</definedName>
    <definedName name="ReadWriteRange">ReadWriteVarFormat!$G:$H</definedName>
    <definedName name="ScrubberThreePhaseVariablesList">'Variable List'!$AL$2:$AL$80</definedName>
    <definedName name="ScrubberVariablesList">'Variable List'!$AN$2:$AN$45</definedName>
    <definedName name="ShaftVariablesList">'Variable List'!$AG$2:$AG$9</definedName>
    <definedName name="SliceVariablesList">'Variable List'!$F$2:$F$83</definedName>
    <definedName name="SommeVariablesList">'Variable List'!$J$2:$J$45</definedName>
    <definedName name="SplitterVariablesList">'Variable List'!$T$2:$T$6</definedName>
    <definedName name="SplRangeVariablesList">'Variable List'!$G$2:$G$13</definedName>
    <definedName name="ThermodynamicAreaTransVariablesList">'Variable List'!$AK$2:$AK$26</definedName>
    <definedName name="TransmitterVariablesList">'Variable List'!$E$2:$E$215</definedName>
    <definedName name="UOName" localSheetId="12">AirCoolerV2!$F$4</definedName>
    <definedName name="UOName" localSheetId="20">AtmosphericTank!$F$4</definedName>
    <definedName name="UOName" localSheetId="27">BatteryLimit!$F$4</definedName>
    <definedName name="UOName" localSheetId="24">Column!$F$4</definedName>
    <definedName name="UOName" localSheetId="25">ColumnBottom!$F$4</definedName>
    <definedName name="UOName" localSheetId="14">ControlValve!$F$4</definedName>
    <definedName name="UOName" localSheetId="26">Desalter!$F$4</definedName>
    <definedName name="UOName" localSheetId="21">DrumSeparatorV2!$F$4</definedName>
    <definedName name="UOName" localSheetId="22">Furnace!$F$4</definedName>
    <definedName name="UOName" localSheetId="23">GasLiquidColumnNode!$F$4</definedName>
    <definedName name="UOName" localSheetId="9">HDTBed!$F$4</definedName>
    <definedName name="UOName" localSheetId="11">HeatExch!$F$4</definedName>
    <definedName name="UOName" localSheetId="31">IndissPlus_PID!$F$4</definedName>
    <definedName name="UOName" localSheetId="10">KettleNode!$F$4</definedName>
    <definedName name="UOName" localSheetId="28">Manifold!$F$4</definedName>
    <definedName name="UOName" localSheetId="16">MotorActuator!$F$4</definedName>
    <definedName name="UOName" localSheetId="15">PressureSafetyValve!$F$4</definedName>
    <definedName name="UOName" localSheetId="17">Pump!$F$4</definedName>
    <definedName name="UOName" localSheetId="19">Scrubber!$F$4</definedName>
    <definedName name="UOName" localSheetId="18">ScrubberThreePhase!$F$4</definedName>
    <definedName name="UOName" localSheetId="30">Transmitter!$F$4</definedName>
    <definedName name="UOName" localSheetId="13">ValveActuator!$F$4</definedName>
    <definedName name="UOName">ReadWriteVarFormat!$F$4</definedName>
    <definedName name="UOPath" localSheetId="12">AirCoolerV2!$E$4</definedName>
    <definedName name="UOPath" localSheetId="20">AtmosphericTank!$E$4</definedName>
    <definedName name="UOPath" localSheetId="27">BatteryLimit!$E$4</definedName>
    <definedName name="UOPath" localSheetId="24">Column!$E$4</definedName>
    <definedName name="UOPath" localSheetId="25">ColumnBottom!$E$4</definedName>
    <definedName name="UOPath" localSheetId="14">ControlValve!$E$4</definedName>
    <definedName name="UOPath" localSheetId="26">Desalter!$E$4</definedName>
    <definedName name="UOPath" localSheetId="21">DrumSeparatorV2!$E$4</definedName>
    <definedName name="UOPath" localSheetId="22">Furnace!$E$4</definedName>
    <definedName name="UOPath" localSheetId="23">GasLiquidColumnNode!$E$4</definedName>
    <definedName name="UOPath" localSheetId="9">HDTBed!$E$4</definedName>
    <definedName name="UOPath" localSheetId="11">HeatExch!$E$4</definedName>
    <definedName name="UOPath" localSheetId="31">IndissPlus_PID!$E$4</definedName>
    <definedName name="UOPath" localSheetId="10">KettleNode!$E$4</definedName>
    <definedName name="UOPath" localSheetId="28">Manifold!$E$4</definedName>
    <definedName name="UOPath" localSheetId="16">MotorActuator!$E$4</definedName>
    <definedName name="UOPath" localSheetId="15">PressureSafetyValve!$E$4</definedName>
    <definedName name="UOPath" localSheetId="17">Pump!$E$4</definedName>
    <definedName name="UOPath" localSheetId="19">Scrubber!$E$4</definedName>
    <definedName name="UOPath" localSheetId="18">ScrubberThreePhase!$E$4</definedName>
    <definedName name="UOPath" localSheetId="30">Transmitter!$E$4</definedName>
    <definedName name="UOPath" localSheetId="13">ValveActuator!$E$4</definedName>
    <definedName name="UOPath">ReadWriteVarFormat!$E$4</definedName>
    <definedName name="UOType" localSheetId="12">AirCoolerV2!$F$1</definedName>
    <definedName name="UOType" localSheetId="20">AtmosphericTank!$F$1</definedName>
    <definedName name="UOType" localSheetId="27">BatteryLimit!$F$1</definedName>
    <definedName name="UOType" localSheetId="24">Column!$F$1</definedName>
    <definedName name="UOType" localSheetId="25">ColumnBottom!$F$1</definedName>
    <definedName name="UOType" localSheetId="14">ControlValve!$F$1</definedName>
    <definedName name="UOType" localSheetId="26">Desalter!$F$1</definedName>
    <definedName name="UOType" localSheetId="21">DrumSeparatorV2!$F$1</definedName>
    <definedName name="UOType" localSheetId="22">Furnace!$F$1</definedName>
    <definedName name="UOType" localSheetId="23">GasLiquidColumnNode!$F$1</definedName>
    <definedName name="UOType" localSheetId="9">HDTBed!$F$1</definedName>
    <definedName name="UOType" localSheetId="11">HeatExch!$F$1</definedName>
    <definedName name="UOType" localSheetId="31">IndissPlus_PID!$F$1</definedName>
    <definedName name="UOType" localSheetId="10">KettleNode!$F$1</definedName>
    <definedName name="UOType" localSheetId="28">Manifold!$F$1</definedName>
    <definedName name="UOType" localSheetId="16">MotorActuator!$F$1</definedName>
    <definedName name="UOType" localSheetId="15">PressureSafetyValve!$F$1</definedName>
    <definedName name="UOType" localSheetId="17">Pump!$F$1</definedName>
    <definedName name="UOType" localSheetId="19">Scrubber!$F$1</definedName>
    <definedName name="UOType" localSheetId="18">ScrubberThreePhase!$F$1</definedName>
    <definedName name="UOType" localSheetId="30">Transmitter!$F$1</definedName>
    <definedName name="UOType" localSheetId="13">ValveActuator!$F$1</definedName>
    <definedName name="UOType">ReadWriteVarFormat!$F$1</definedName>
    <definedName name="ValveActuatorVariablesList">'Variable List'!$M$2:$M$84</definedName>
    <definedName name="ValveVariablesList">'Variable List'!$L$2:$L$57</definedName>
    <definedName name="VelocityLimiterVariablesList">'Variable List'!$AP$2:$AP$6</definedName>
    <definedName name="XYVariablesList">'Variable List'!$AE$2:$AE$25</definedName>
  </definedNames>
  <calcPr calcId="125725"/>
</workbook>
</file>

<file path=xl/calcChain.xml><?xml version="1.0" encoding="utf-8"?>
<calcChain xmlns="http://schemas.openxmlformats.org/spreadsheetml/2006/main">
  <c r="L603" i="10"/>
  <c r="L604"/>
  <c r="L605"/>
  <c r="L606"/>
  <c r="L607"/>
  <c r="L608"/>
  <c r="L609"/>
  <c r="L610"/>
  <c r="L611"/>
  <c r="L612"/>
  <c r="L613"/>
  <c r="L614"/>
  <c r="L615"/>
  <c r="L616"/>
  <c r="L617"/>
  <c r="L618"/>
  <c r="L619"/>
  <c r="L620"/>
  <c r="L621"/>
  <c r="L622"/>
  <c r="L623"/>
  <c r="L601"/>
  <c r="L600"/>
  <c r="L599"/>
  <c r="L598"/>
  <c r="L597"/>
  <c r="L596"/>
  <c r="L595"/>
  <c r="L594"/>
  <c r="L593"/>
  <c r="L592"/>
  <c r="L591"/>
  <c r="L590"/>
  <c r="L589"/>
  <c r="L588"/>
  <c r="L587"/>
  <c r="L586"/>
  <c r="L585"/>
  <c r="L584"/>
  <c r="L583"/>
  <c r="L582"/>
  <c r="L581"/>
  <c r="L580"/>
  <c r="L579"/>
  <c r="L578"/>
  <c r="L577"/>
  <c r="L576"/>
  <c r="L575"/>
  <c r="L574"/>
  <c r="L573"/>
  <c r="L572"/>
  <c r="L571"/>
  <c r="L570"/>
  <c r="L569"/>
  <c r="L568"/>
  <c r="L567"/>
  <c r="L566"/>
  <c r="L565"/>
  <c r="L564"/>
  <c r="L563"/>
  <c r="L562"/>
  <c r="L561"/>
  <c r="L560"/>
  <c r="L559"/>
  <c r="L558"/>
  <c r="L557"/>
  <c r="L556"/>
  <c r="L555"/>
  <c r="L554"/>
  <c r="L553"/>
  <c r="L522"/>
  <c r="L523"/>
  <c r="L524"/>
  <c r="L525"/>
  <c r="L526"/>
  <c r="L527"/>
  <c r="L528"/>
  <c r="L529"/>
  <c r="L530"/>
  <c r="L531"/>
  <c r="L532"/>
  <c r="L533"/>
  <c r="L534"/>
  <c r="L535"/>
  <c r="L536"/>
  <c r="L537"/>
  <c r="L538"/>
  <c r="L539"/>
  <c r="L540"/>
  <c r="L541"/>
  <c r="L542"/>
  <c r="L543"/>
  <c r="L544"/>
  <c r="L545"/>
  <c r="L546"/>
  <c r="L547"/>
  <c r="L548"/>
  <c r="L549"/>
  <c r="L550"/>
  <c r="L551"/>
  <c r="L504"/>
  <c r="L505"/>
  <c r="L506"/>
  <c r="L507"/>
  <c r="L508"/>
  <c r="L509"/>
  <c r="L510"/>
  <c r="L511"/>
  <c r="L512"/>
  <c r="L513"/>
  <c r="L514"/>
  <c r="L515"/>
  <c r="L516"/>
  <c r="L517"/>
  <c r="L518"/>
  <c r="L519"/>
  <c r="L520"/>
  <c r="L521"/>
  <c r="L456"/>
  <c r="L457"/>
  <c r="L458"/>
  <c r="L459"/>
  <c r="L460"/>
  <c r="L461"/>
  <c r="L462"/>
  <c r="L463"/>
  <c r="L464"/>
  <c r="L465"/>
  <c r="L466"/>
  <c r="L467"/>
  <c r="L468"/>
  <c r="L469"/>
  <c r="L470"/>
  <c r="L471"/>
  <c r="L472"/>
  <c r="L473"/>
  <c r="L474"/>
  <c r="L475"/>
  <c r="L476"/>
  <c r="L477"/>
  <c r="L478"/>
  <c r="L479"/>
  <c r="L480"/>
  <c r="L481"/>
  <c r="L482"/>
  <c r="L483"/>
  <c r="L484"/>
  <c r="L485"/>
  <c r="L486"/>
  <c r="L487"/>
  <c r="L488"/>
  <c r="L489"/>
  <c r="L490"/>
  <c r="L491"/>
  <c r="L492"/>
  <c r="L493"/>
  <c r="L494"/>
  <c r="L495"/>
  <c r="L496"/>
  <c r="L497"/>
  <c r="L498"/>
  <c r="L499"/>
  <c r="L500"/>
  <c r="L501"/>
  <c r="L502"/>
  <c r="L406"/>
  <c r="L407"/>
  <c r="L408"/>
  <c r="L409"/>
  <c r="L410"/>
  <c r="L411"/>
  <c r="L412"/>
  <c r="L413"/>
  <c r="L414"/>
  <c r="L415"/>
  <c r="L416"/>
  <c r="L417"/>
  <c r="L418"/>
  <c r="L419"/>
  <c r="L420"/>
  <c r="L421"/>
  <c r="L422"/>
  <c r="L423"/>
  <c r="L424"/>
  <c r="L425"/>
  <c r="L426"/>
  <c r="L427"/>
  <c r="L428"/>
  <c r="L429"/>
  <c r="L430"/>
  <c r="L431"/>
  <c r="L432"/>
  <c r="L433"/>
  <c r="L434"/>
  <c r="L435"/>
  <c r="L436"/>
  <c r="L437"/>
  <c r="L438"/>
  <c r="L439"/>
  <c r="L440"/>
  <c r="L441"/>
  <c r="L442"/>
  <c r="L443"/>
  <c r="L444"/>
  <c r="L445"/>
  <c r="L446"/>
  <c r="L447"/>
  <c r="L448"/>
  <c r="L449"/>
  <c r="L450"/>
  <c r="L451"/>
  <c r="L452"/>
  <c r="L453"/>
  <c r="L454"/>
  <c r="L356"/>
  <c r="L357"/>
  <c r="L358"/>
  <c r="L359"/>
  <c r="L360"/>
  <c r="L361"/>
  <c r="L362"/>
  <c r="L363"/>
  <c r="L364"/>
  <c r="L365"/>
  <c r="L366"/>
  <c r="L367"/>
  <c r="L368"/>
  <c r="L369"/>
  <c r="L370"/>
  <c r="L371"/>
  <c r="L372"/>
  <c r="L373"/>
  <c r="L374"/>
  <c r="L375"/>
  <c r="L376"/>
  <c r="L377"/>
  <c r="L378"/>
  <c r="L379"/>
  <c r="L380"/>
  <c r="L381"/>
  <c r="L382"/>
  <c r="L383"/>
  <c r="L384"/>
  <c r="L385"/>
  <c r="L386"/>
  <c r="L387"/>
  <c r="L388"/>
  <c r="L389"/>
  <c r="L390"/>
  <c r="L391"/>
  <c r="L392"/>
  <c r="L393"/>
  <c r="L394"/>
  <c r="L395"/>
  <c r="L396"/>
  <c r="L397"/>
  <c r="L398"/>
  <c r="L399"/>
  <c r="L400"/>
  <c r="L401"/>
  <c r="L402"/>
  <c r="L403"/>
  <c r="L404"/>
  <c r="L306"/>
  <c r="L307"/>
  <c r="L308"/>
  <c r="L309"/>
  <c r="L310"/>
  <c r="L311"/>
  <c r="L312"/>
  <c r="L313"/>
  <c r="L314"/>
  <c r="L315"/>
  <c r="L316"/>
  <c r="L317"/>
  <c r="L318"/>
  <c r="L319"/>
  <c r="L320"/>
  <c r="L321"/>
  <c r="L322"/>
  <c r="L323"/>
  <c r="L324"/>
  <c r="L325"/>
  <c r="L326"/>
  <c r="L327"/>
  <c r="L328"/>
  <c r="L329"/>
  <c r="L330"/>
  <c r="L331"/>
  <c r="L332"/>
  <c r="L333"/>
  <c r="L334"/>
  <c r="L335"/>
  <c r="L336"/>
  <c r="L337"/>
  <c r="L338"/>
  <c r="L339"/>
  <c r="L340"/>
  <c r="L341"/>
  <c r="L342"/>
  <c r="L343"/>
  <c r="L344"/>
  <c r="L345"/>
  <c r="L346"/>
  <c r="L347"/>
  <c r="L348"/>
  <c r="L349"/>
  <c r="L350"/>
  <c r="L351"/>
  <c r="L352"/>
  <c r="L353"/>
  <c r="L354"/>
  <c r="L256"/>
  <c r="L257"/>
  <c r="L258"/>
  <c r="L259"/>
  <c r="L260"/>
  <c r="L261"/>
  <c r="L262"/>
  <c r="L263"/>
  <c r="L264"/>
  <c r="L265"/>
  <c r="L266"/>
  <c r="L267"/>
  <c r="L268"/>
  <c r="L269"/>
  <c r="L270"/>
  <c r="L271"/>
  <c r="L272"/>
  <c r="L273"/>
  <c r="L274"/>
  <c r="L275"/>
  <c r="L276"/>
  <c r="L277"/>
  <c r="L278"/>
  <c r="L279"/>
  <c r="L280"/>
  <c r="L281"/>
  <c r="L282"/>
  <c r="L283"/>
  <c r="L284"/>
  <c r="L285"/>
  <c r="L286"/>
  <c r="L287"/>
  <c r="L288"/>
  <c r="L289"/>
  <c r="L290"/>
  <c r="L291"/>
  <c r="L292"/>
  <c r="L293"/>
  <c r="L294"/>
  <c r="L295"/>
  <c r="L296"/>
  <c r="L297"/>
  <c r="L298"/>
  <c r="L299"/>
  <c r="L300"/>
  <c r="L301"/>
  <c r="L302"/>
  <c r="L303"/>
  <c r="L304"/>
  <c r="L254"/>
  <c r="L253"/>
  <c r="L252"/>
  <c r="L251"/>
  <c r="L250"/>
  <c r="L249"/>
  <c r="L248"/>
  <c r="L247"/>
  <c r="L246"/>
  <c r="L245"/>
  <c r="L244"/>
  <c r="L243"/>
  <c r="L242"/>
  <c r="L241"/>
  <c r="L240"/>
  <c r="L239"/>
  <c r="L238"/>
  <c r="L237"/>
  <c r="L236"/>
  <c r="L235"/>
  <c r="L234"/>
  <c r="L233"/>
  <c r="L232"/>
  <c r="L231"/>
  <c r="L230"/>
  <c r="L229"/>
  <c r="L228"/>
  <c r="L227"/>
  <c r="L226"/>
  <c r="L225"/>
  <c r="L224"/>
  <c r="L223"/>
  <c r="L222"/>
  <c r="L221"/>
  <c r="L220"/>
  <c r="L219"/>
  <c r="L218"/>
  <c r="L217"/>
  <c r="L216"/>
  <c r="L215"/>
  <c r="L214"/>
  <c r="L213"/>
  <c r="L212"/>
  <c r="L211"/>
  <c r="L210"/>
  <c r="L209"/>
  <c r="L208"/>
  <c r="L207"/>
  <c r="L206"/>
  <c r="L156"/>
  <c r="L157"/>
  <c r="L158"/>
  <c r="L159"/>
  <c r="L160"/>
  <c r="L161"/>
  <c r="L162"/>
  <c r="L163"/>
  <c r="L164"/>
  <c r="L165"/>
  <c r="L166"/>
  <c r="L167"/>
  <c r="L168"/>
  <c r="L169"/>
  <c r="L170"/>
  <c r="L171"/>
  <c r="L172"/>
  <c r="L173"/>
  <c r="L174"/>
  <c r="L175"/>
  <c r="L176"/>
  <c r="L177"/>
  <c r="L178"/>
  <c r="L179"/>
  <c r="L180"/>
  <c r="L181"/>
  <c r="L182"/>
  <c r="L183"/>
  <c r="L184"/>
  <c r="L185"/>
  <c r="L186"/>
  <c r="L187"/>
  <c r="L188"/>
  <c r="L189"/>
  <c r="L190"/>
  <c r="L191"/>
  <c r="L192"/>
  <c r="L193"/>
  <c r="L194"/>
  <c r="L195"/>
  <c r="L196"/>
  <c r="L197"/>
  <c r="L198"/>
  <c r="L199"/>
  <c r="L200"/>
  <c r="L201"/>
  <c r="L202"/>
  <c r="L203"/>
  <c r="L204"/>
  <c r="L106"/>
  <c r="L107"/>
  <c r="L108"/>
  <c r="L109"/>
  <c r="L110"/>
  <c r="L111"/>
  <c r="L112"/>
  <c r="L113"/>
  <c r="L114"/>
  <c r="L115"/>
  <c r="L116"/>
  <c r="L117"/>
  <c r="L118"/>
  <c r="L119"/>
  <c r="L120"/>
  <c r="L121"/>
  <c r="L122"/>
  <c r="L123"/>
  <c r="L124"/>
  <c r="L125"/>
  <c r="L126"/>
  <c r="L127"/>
  <c r="L128"/>
  <c r="L129"/>
  <c r="L130"/>
  <c r="L131"/>
  <c r="L132"/>
  <c r="L133"/>
  <c r="L134"/>
  <c r="L135"/>
  <c r="L136"/>
  <c r="L137"/>
  <c r="L138"/>
  <c r="L139"/>
  <c r="L140"/>
  <c r="L141"/>
  <c r="L142"/>
  <c r="L143"/>
  <c r="L144"/>
  <c r="L145"/>
  <c r="L146"/>
  <c r="L147"/>
  <c r="L148"/>
  <c r="L149"/>
  <c r="L150"/>
  <c r="L151"/>
  <c r="L152"/>
  <c r="L153"/>
  <c r="L154"/>
  <c r="L89"/>
  <c r="L90"/>
  <c r="L91"/>
  <c r="L92"/>
  <c r="L93"/>
  <c r="L94"/>
  <c r="L95"/>
  <c r="L96"/>
  <c r="L97"/>
  <c r="L98"/>
  <c r="L99"/>
  <c r="L100"/>
  <c r="L101"/>
  <c r="L102"/>
  <c r="L103"/>
  <c r="L104"/>
  <c r="L75"/>
  <c r="L76"/>
  <c r="L77"/>
  <c r="L78"/>
  <c r="L79"/>
  <c r="L80"/>
  <c r="L81"/>
  <c r="L82"/>
  <c r="L83"/>
  <c r="L84"/>
  <c r="L85"/>
  <c r="L86"/>
  <c r="L56"/>
  <c r="L57"/>
  <c r="L58"/>
  <c r="L59"/>
  <c r="L60"/>
  <c r="L61"/>
  <c r="L62"/>
  <c r="L63"/>
  <c r="L64"/>
  <c r="L65"/>
  <c r="L66"/>
  <c r="L67"/>
  <c r="L68"/>
  <c r="L69"/>
  <c r="L70"/>
  <c r="L71"/>
  <c r="L72"/>
  <c r="L6"/>
  <c r="L7"/>
  <c r="L8"/>
  <c r="L9"/>
  <c r="L10"/>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V584"/>
  <c r="T584"/>
  <c r="V582"/>
  <c r="T582"/>
  <c r="V580"/>
  <c r="T580"/>
  <c r="V579"/>
  <c r="T579"/>
  <c r="V574"/>
  <c r="T574"/>
  <c r="V571"/>
  <c r="T571"/>
  <c r="V87"/>
  <c r="V621"/>
  <c r="T87"/>
  <c r="T621"/>
  <c r="V606"/>
  <c r="V607"/>
  <c r="V608"/>
  <c r="V609"/>
  <c r="V610"/>
  <c r="V611"/>
  <c r="V612"/>
  <c r="V613"/>
  <c r="V614"/>
  <c r="V615"/>
  <c r="V616"/>
  <c r="V617"/>
  <c r="V618"/>
  <c r="V619"/>
  <c r="V620"/>
  <c r="T606"/>
  <c r="T607"/>
  <c r="T608"/>
  <c r="T609"/>
  <c r="T610"/>
  <c r="T611"/>
  <c r="T612"/>
  <c r="T613"/>
  <c r="T614"/>
  <c r="T615"/>
  <c r="T616"/>
  <c r="T617"/>
  <c r="T618"/>
  <c r="T619"/>
  <c r="T620"/>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8"/>
  <c r="V89"/>
  <c r="V90"/>
  <c r="V91"/>
  <c r="V92"/>
  <c r="V93"/>
  <c r="V94"/>
  <c r="V95"/>
  <c r="V96"/>
  <c r="V97"/>
  <c r="V98"/>
  <c r="T6"/>
  <c r="T7"/>
  <c r="T8"/>
  <c r="T9"/>
  <c r="T10"/>
  <c r="T11"/>
  <c r="T12"/>
  <c r="T13"/>
  <c r="T14"/>
  <c r="T15"/>
  <c r="T16"/>
  <c r="T17"/>
  <c r="T18"/>
  <c r="T19"/>
  <c r="T20"/>
  <c r="T21"/>
  <c r="T22"/>
  <c r="T23"/>
  <c r="T24"/>
  <c r="T25"/>
  <c r="T26"/>
  <c r="T27"/>
  <c r="T28"/>
  <c r="T29"/>
  <c r="T30"/>
  <c r="T31"/>
  <c r="T32"/>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8"/>
  <c r="T89"/>
  <c r="T90"/>
  <c r="T91"/>
  <c r="T92"/>
  <c r="T93"/>
  <c r="T94"/>
  <c r="T95"/>
  <c r="T96"/>
  <c r="T97"/>
  <c r="T98"/>
  <c r="V134"/>
  <c r="V135"/>
  <c r="V136"/>
  <c r="V137"/>
  <c r="V138"/>
  <c r="V139"/>
  <c r="V140"/>
  <c r="V141"/>
  <c r="V142"/>
  <c r="V143"/>
  <c r="V144"/>
  <c r="V145"/>
  <c r="V146"/>
  <c r="V147"/>
  <c r="V148"/>
  <c r="V149"/>
  <c r="V150"/>
  <c r="V151"/>
  <c r="V152"/>
  <c r="V153"/>
  <c r="V154"/>
  <c r="V155"/>
  <c r="V156"/>
  <c r="V157"/>
  <c r="V158"/>
  <c r="V159"/>
  <c r="V160"/>
  <c r="V161"/>
  <c r="V162"/>
  <c r="V163"/>
  <c r="V164"/>
  <c r="V165"/>
  <c r="V166"/>
  <c r="V167"/>
  <c r="V168"/>
  <c r="V169"/>
  <c r="V170"/>
  <c r="V171"/>
  <c r="V172"/>
  <c r="V173"/>
  <c r="V174"/>
  <c r="V175"/>
  <c r="V176"/>
  <c r="T134"/>
  <c r="T135"/>
  <c r="T136"/>
  <c r="T137"/>
  <c r="T138"/>
  <c r="T139"/>
  <c r="T140"/>
  <c r="T141"/>
  <c r="T142"/>
  <c r="T143"/>
  <c r="T144"/>
  <c r="T145"/>
  <c r="T146"/>
  <c r="T147"/>
  <c r="T148"/>
  <c r="T149"/>
  <c r="T150"/>
  <c r="T151"/>
  <c r="T152"/>
  <c r="T153"/>
  <c r="T154"/>
  <c r="T155"/>
  <c r="T156"/>
  <c r="T157"/>
  <c r="T158"/>
  <c r="T159"/>
  <c r="T160"/>
  <c r="T161"/>
  <c r="T162"/>
  <c r="T163"/>
  <c r="T164"/>
  <c r="T165"/>
  <c r="T166"/>
  <c r="T167"/>
  <c r="T168"/>
  <c r="T169"/>
  <c r="T170"/>
  <c r="T171"/>
  <c r="T172"/>
  <c r="T173"/>
  <c r="T174"/>
  <c r="T175"/>
  <c r="T176"/>
  <c r="V178"/>
  <c r="V179"/>
  <c r="V180"/>
  <c r="V181"/>
  <c r="V182"/>
  <c r="V183"/>
  <c r="V184"/>
  <c r="V185"/>
  <c r="V186"/>
  <c r="V187"/>
  <c r="V188"/>
  <c r="V189"/>
  <c r="V190"/>
  <c r="V191"/>
  <c r="V192"/>
  <c r="V193"/>
  <c r="V194"/>
  <c r="V195"/>
  <c r="V196"/>
  <c r="V197"/>
  <c r="V198"/>
  <c r="V199"/>
  <c r="V200"/>
  <c r="V201"/>
  <c r="V202"/>
  <c r="V203"/>
  <c r="V204"/>
  <c r="V205"/>
  <c r="V206"/>
  <c r="V207"/>
  <c r="V208"/>
  <c r="V209"/>
  <c r="V210"/>
  <c r="V211"/>
  <c r="V212"/>
  <c r="V213"/>
  <c r="V214"/>
  <c r="V215"/>
  <c r="V216"/>
  <c r="V217"/>
  <c r="V218"/>
  <c r="V220"/>
  <c r="V221"/>
  <c r="V222"/>
  <c r="V223"/>
  <c r="V224"/>
  <c r="V225"/>
  <c r="V226"/>
  <c r="T178"/>
  <c r="T179"/>
  <c r="T180"/>
  <c r="T181"/>
  <c r="T182"/>
  <c r="T183"/>
  <c r="T184"/>
  <c r="T185"/>
  <c r="T186"/>
  <c r="T187"/>
  <c r="T188"/>
  <c r="T189"/>
  <c r="T190"/>
  <c r="T191"/>
  <c r="T192"/>
  <c r="T193"/>
  <c r="T194"/>
  <c r="T195"/>
  <c r="T196"/>
  <c r="T197"/>
  <c r="T198"/>
  <c r="T199"/>
  <c r="T200"/>
  <c r="T201"/>
  <c r="T202"/>
  <c r="T203"/>
  <c r="T204"/>
  <c r="T205"/>
  <c r="T206"/>
  <c r="T207"/>
  <c r="T208"/>
  <c r="T209"/>
  <c r="T210"/>
  <c r="T211"/>
  <c r="T212"/>
  <c r="T213"/>
  <c r="T214"/>
  <c r="T215"/>
  <c r="T216"/>
  <c r="T217"/>
  <c r="T218"/>
  <c r="T219"/>
  <c r="T220"/>
  <c r="T221"/>
  <c r="T222"/>
  <c r="T223"/>
  <c r="T224"/>
  <c r="T225"/>
  <c r="T226"/>
  <c r="V228"/>
  <c r="V229"/>
  <c r="V230"/>
  <c r="V231"/>
  <c r="V232"/>
  <c r="V233"/>
  <c r="V234"/>
  <c r="V235"/>
  <c r="V236"/>
  <c r="V237"/>
  <c r="V238"/>
  <c r="V239"/>
  <c r="V240"/>
  <c r="V241"/>
  <c r="V242"/>
  <c r="V243"/>
  <c r="V244"/>
  <c r="V245"/>
  <c r="V246"/>
  <c r="V247"/>
  <c r="V248"/>
  <c r="V249"/>
  <c r="V250"/>
  <c r="V251"/>
  <c r="V252"/>
  <c r="V253"/>
  <c r="V254"/>
  <c r="V255"/>
  <c r="V256"/>
  <c r="V257"/>
  <c r="V258"/>
  <c r="V259"/>
  <c r="V260"/>
  <c r="V261"/>
  <c r="V262"/>
  <c r="V263"/>
  <c r="V264"/>
  <c r="V265"/>
  <c r="V266"/>
  <c r="V267"/>
  <c r="V268"/>
  <c r="V269"/>
  <c r="V270"/>
  <c r="V271"/>
  <c r="V272"/>
  <c r="V273"/>
  <c r="V274"/>
  <c r="V275"/>
  <c r="V276"/>
  <c r="T228"/>
  <c r="T229"/>
  <c r="T230"/>
  <c r="T231"/>
  <c r="T232"/>
  <c r="T233"/>
  <c r="T234"/>
  <c r="T235"/>
  <c r="T236"/>
  <c r="T237"/>
  <c r="T238"/>
  <c r="T239"/>
  <c r="T240"/>
  <c r="T241"/>
  <c r="T242"/>
  <c r="T243"/>
  <c r="T244"/>
  <c r="T245"/>
  <c r="T246"/>
  <c r="T247"/>
  <c r="T248"/>
  <c r="T249"/>
  <c r="T250"/>
  <c r="T251"/>
  <c r="T252"/>
  <c r="T253"/>
  <c r="T254"/>
  <c r="T255"/>
  <c r="T256"/>
  <c r="T257"/>
  <c r="T258"/>
  <c r="T259"/>
  <c r="T260"/>
  <c r="T261"/>
  <c r="T262"/>
  <c r="T263"/>
  <c r="T264"/>
  <c r="T265"/>
  <c r="T266"/>
  <c r="T267"/>
  <c r="T268"/>
  <c r="T269"/>
  <c r="T270"/>
  <c r="T271"/>
  <c r="T272"/>
  <c r="T273"/>
  <c r="T274"/>
  <c r="T275"/>
  <c r="T276"/>
  <c r="V278"/>
  <c r="V279"/>
  <c r="V280"/>
  <c r="V281"/>
  <c r="V282"/>
  <c r="V283"/>
  <c r="V284"/>
  <c r="V285"/>
  <c r="V286"/>
  <c r="V287"/>
  <c r="V288"/>
  <c r="V289"/>
  <c r="V290"/>
  <c r="V291"/>
  <c r="V292"/>
  <c r="V293"/>
  <c r="V294"/>
  <c r="V295"/>
  <c r="V296"/>
  <c r="V297"/>
  <c r="V298"/>
  <c r="V299"/>
  <c r="V300"/>
  <c r="V301"/>
  <c r="V302"/>
  <c r="V303"/>
  <c r="V304"/>
  <c r="V305"/>
  <c r="V306"/>
  <c r="V307"/>
  <c r="V308"/>
  <c r="V309"/>
  <c r="V310"/>
  <c r="V311"/>
  <c r="V312"/>
  <c r="V313"/>
  <c r="V314"/>
  <c r="V315"/>
  <c r="V316"/>
  <c r="V317"/>
  <c r="V318"/>
  <c r="V319"/>
  <c r="V320"/>
  <c r="V321"/>
  <c r="V322"/>
  <c r="V323"/>
  <c r="V324"/>
  <c r="V325"/>
  <c r="V326"/>
  <c r="T278"/>
  <c r="T279"/>
  <c r="T280"/>
  <c r="T281"/>
  <c r="T282"/>
  <c r="T283"/>
  <c r="T284"/>
  <c r="T285"/>
  <c r="T286"/>
  <c r="T287"/>
  <c r="T288"/>
  <c r="T289"/>
  <c r="T290"/>
  <c r="T291"/>
  <c r="T292"/>
  <c r="T293"/>
  <c r="T294"/>
  <c r="T295"/>
  <c r="T296"/>
  <c r="T297"/>
  <c r="T298"/>
  <c r="T299"/>
  <c r="T300"/>
  <c r="T301"/>
  <c r="T302"/>
  <c r="T303"/>
  <c r="T304"/>
  <c r="T305"/>
  <c r="T306"/>
  <c r="T307"/>
  <c r="T308"/>
  <c r="T309"/>
  <c r="T310"/>
  <c r="T311"/>
  <c r="T312"/>
  <c r="T313"/>
  <c r="T314"/>
  <c r="T315"/>
  <c r="T316"/>
  <c r="T317"/>
  <c r="T318"/>
  <c r="T319"/>
  <c r="T320"/>
  <c r="T321"/>
  <c r="T322"/>
  <c r="T323"/>
  <c r="T324"/>
  <c r="T325"/>
  <c r="T326"/>
  <c r="V328"/>
  <c r="V329"/>
  <c r="V330"/>
  <c r="V331"/>
  <c r="V332"/>
  <c r="V333"/>
  <c r="V334"/>
  <c r="V335"/>
  <c r="V336"/>
  <c r="V337"/>
  <c r="V338"/>
  <c r="V339"/>
  <c r="V340"/>
  <c r="V341"/>
  <c r="V342"/>
  <c r="V343"/>
  <c r="V344"/>
  <c r="V345"/>
  <c r="V346"/>
  <c r="V347"/>
  <c r="V348"/>
  <c r="V349"/>
  <c r="V350"/>
  <c r="V351"/>
  <c r="V352"/>
  <c r="V353"/>
  <c r="V354"/>
  <c r="V355"/>
  <c r="V356"/>
  <c r="V357"/>
  <c r="V358"/>
  <c r="V359"/>
  <c r="V360"/>
  <c r="V361"/>
  <c r="V362"/>
  <c r="V363"/>
  <c r="V364"/>
  <c r="V365"/>
  <c r="V366"/>
  <c r="V367"/>
  <c r="V368"/>
  <c r="V369"/>
  <c r="V370"/>
  <c r="V371"/>
  <c r="V372"/>
  <c r="V373"/>
  <c r="V374"/>
  <c r="V375"/>
  <c r="V376"/>
  <c r="T328"/>
  <c r="T329"/>
  <c r="T330"/>
  <c r="T331"/>
  <c r="T332"/>
  <c r="T333"/>
  <c r="T334"/>
  <c r="T335"/>
  <c r="T336"/>
  <c r="T337"/>
  <c r="T338"/>
  <c r="T339"/>
  <c r="T340"/>
  <c r="T341"/>
  <c r="T342"/>
  <c r="T343"/>
  <c r="T344"/>
  <c r="T345"/>
  <c r="T346"/>
  <c r="T347"/>
  <c r="T348"/>
  <c r="T349"/>
  <c r="T350"/>
  <c r="T351"/>
  <c r="T352"/>
  <c r="T353"/>
  <c r="T354"/>
  <c r="T355"/>
  <c r="T356"/>
  <c r="T357"/>
  <c r="T358"/>
  <c r="T359"/>
  <c r="T360"/>
  <c r="T361"/>
  <c r="T362"/>
  <c r="T363"/>
  <c r="T364"/>
  <c r="T365"/>
  <c r="T366"/>
  <c r="T367"/>
  <c r="T368"/>
  <c r="T369"/>
  <c r="T370"/>
  <c r="T371"/>
  <c r="T372"/>
  <c r="T373"/>
  <c r="T374"/>
  <c r="T375"/>
  <c r="T376"/>
  <c r="V378"/>
  <c r="V379"/>
  <c r="V380"/>
  <c r="V381"/>
  <c r="V382"/>
  <c r="V383"/>
  <c r="V384"/>
  <c r="V385"/>
  <c r="V386"/>
  <c r="V387"/>
  <c r="V388"/>
  <c r="V389"/>
  <c r="V390"/>
  <c r="V391"/>
  <c r="V392"/>
  <c r="V393"/>
  <c r="V394"/>
  <c r="V395"/>
  <c r="V396"/>
  <c r="V397"/>
  <c r="V398"/>
  <c r="V399"/>
  <c r="V400"/>
  <c r="V401"/>
  <c r="V402"/>
  <c r="V403"/>
  <c r="V404"/>
  <c r="V405"/>
  <c r="V406"/>
  <c r="V407"/>
  <c r="V408"/>
  <c r="V409"/>
  <c r="V410"/>
  <c r="V411"/>
  <c r="V412"/>
  <c r="V413"/>
  <c r="V414"/>
  <c r="V415"/>
  <c r="V416"/>
  <c r="V417"/>
  <c r="V418"/>
  <c r="V419"/>
  <c r="V420"/>
  <c r="V421"/>
  <c r="V422"/>
  <c r="V423"/>
  <c r="V424"/>
  <c r="V425"/>
  <c r="V426"/>
  <c r="T378"/>
  <c r="T379"/>
  <c r="T380"/>
  <c r="T381"/>
  <c r="T382"/>
  <c r="T383"/>
  <c r="T384"/>
  <c r="T385"/>
  <c r="T386"/>
  <c r="T387"/>
  <c r="T388"/>
  <c r="T389"/>
  <c r="T390"/>
  <c r="T391"/>
  <c r="T392"/>
  <c r="T393"/>
  <c r="T394"/>
  <c r="T395"/>
  <c r="T396"/>
  <c r="T397"/>
  <c r="T398"/>
  <c r="T399"/>
  <c r="T400"/>
  <c r="T401"/>
  <c r="T402"/>
  <c r="T403"/>
  <c r="T404"/>
  <c r="T405"/>
  <c r="T406"/>
  <c r="T407"/>
  <c r="T408"/>
  <c r="T409"/>
  <c r="T410"/>
  <c r="T411"/>
  <c r="T412"/>
  <c r="T413"/>
  <c r="T414"/>
  <c r="T415"/>
  <c r="T416"/>
  <c r="T417"/>
  <c r="T418"/>
  <c r="T419"/>
  <c r="T420"/>
  <c r="T421"/>
  <c r="T422"/>
  <c r="T423"/>
  <c r="T424"/>
  <c r="T425"/>
  <c r="T426"/>
  <c r="V428"/>
  <c r="V429"/>
  <c r="V430"/>
  <c r="V431"/>
  <c r="V432"/>
  <c r="V433"/>
  <c r="V434"/>
  <c r="V435"/>
  <c r="V436"/>
  <c r="V437"/>
  <c r="V438"/>
  <c r="V439"/>
  <c r="V440"/>
  <c r="V441"/>
  <c r="V442"/>
  <c r="V443"/>
  <c r="V444"/>
  <c r="V445"/>
  <c r="V446"/>
  <c r="V447"/>
  <c r="V448"/>
  <c r="V449"/>
  <c r="V450"/>
  <c r="V451"/>
  <c r="V452"/>
  <c r="V453"/>
  <c r="V454"/>
  <c r="V455"/>
  <c r="V456"/>
  <c r="V457"/>
  <c r="V458"/>
  <c r="V459"/>
  <c r="V460"/>
  <c r="V461"/>
  <c r="V462"/>
  <c r="V463"/>
  <c r="V464"/>
  <c r="V465"/>
  <c r="V466"/>
  <c r="V467"/>
  <c r="V468"/>
  <c r="V469"/>
  <c r="V470"/>
  <c r="V471"/>
  <c r="V472"/>
  <c r="V473"/>
  <c r="V474"/>
  <c r="V475"/>
  <c r="V476"/>
  <c r="T428"/>
  <c r="T429"/>
  <c r="T430"/>
  <c r="T431"/>
  <c r="T432"/>
  <c r="T433"/>
  <c r="T434"/>
  <c r="T435"/>
  <c r="T436"/>
  <c r="T437"/>
  <c r="T438"/>
  <c r="T439"/>
  <c r="T440"/>
  <c r="T441"/>
  <c r="T442"/>
  <c r="T443"/>
  <c r="T444"/>
  <c r="T445"/>
  <c r="T446"/>
  <c r="T447"/>
  <c r="T448"/>
  <c r="T449"/>
  <c r="T450"/>
  <c r="T451"/>
  <c r="T452"/>
  <c r="T453"/>
  <c r="T454"/>
  <c r="T455"/>
  <c r="T456"/>
  <c r="T457"/>
  <c r="T458"/>
  <c r="T459"/>
  <c r="T460"/>
  <c r="T461"/>
  <c r="T462"/>
  <c r="T463"/>
  <c r="T464"/>
  <c r="T465"/>
  <c r="T466"/>
  <c r="T467"/>
  <c r="T468"/>
  <c r="T469"/>
  <c r="T470"/>
  <c r="T471"/>
  <c r="T472"/>
  <c r="T473"/>
  <c r="T474"/>
  <c r="T475"/>
  <c r="T476"/>
  <c r="V478"/>
  <c r="V479"/>
  <c r="V480"/>
  <c r="V481"/>
  <c r="V482"/>
  <c r="V483"/>
  <c r="V484"/>
  <c r="V485"/>
  <c r="V486"/>
  <c r="V487"/>
  <c r="V488"/>
  <c r="V489"/>
  <c r="V490"/>
  <c r="V491"/>
  <c r="V492"/>
  <c r="V493"/>
  <c r="V494"/>
  <c r="V495"/>
  <c r="V496"/>
  <c r="V497"/>
  <c r="V498"/>
  <c r="V499"/>
  <c r="V500"/>
  <c r="V501"/>
  <c r="V502"/>
  <c r="V503"/>
  <c r="V504"/>
  <c r="V505"/>
  <c r="V506"/>
  <c r="V507"/>
  <c r="V508"/>
  <c r="V509"/>
  <c r="V510"/>
  <c r="V511"/>
  <c r="V512"/>
  <c r="V513"/>
  <c r="V514"/>
  <c r="V515"/>
  <c r="V516"/>
  <c r="V517"/>
  <c r="V518"/>
  <c r="V519"/>
  <c r="V520"/>
  <c r="T478"/>
  <c r="T479"/>
  <c r="T480"/>
  <c r="T481"/>
  <c r="T482"/>
  <c r="T483"/>
  <c r="T484"/>
  <c r="T485"/>
  <c r="T486"/>
  <c r="T487"/>
  <c r="T488"/>
  <c r="T489"/>
  <c r="T490"/>
  <c r="T491"/>
  <c r="T492"/>
  <c r="T493"/>
  <c r="T494"/>
  <c r="T495"/>
  <c r="T496"/>
  <c r="T497"/>
  <c r="T498"/>
  <c r="T499"/>
  <c r="T500"/>
  <c r="T501"/>
  <c r="T502"/>
  <c r="T503"/>
  <c r="T504"/>
  <c r="T505"/>
  <c r="T506"/>
  <c r="T507"/>
  <c r="T508"/>
  <c r="T509"/>
  <c r="T510"/>
  <c r="T511"/>
  <c r="T512"/>
  <c r="T513"/>
  <c r="T514"/>
  <c r="T515"/>
  <c r="T516"/>
  <c r="T517"/>
  <c r="T518"/>
  <c r="T519"/>
  <c r="T520"/>
  <c r="L22" i="39"/>
  <c r="AG6" i="32" l="1"/>
  <c r="S3" i="43"/>
  <c r="U5" i="25"/>
  <c r="S9" i="43"/>
  <c r="U11" i="44" l="1"/>
  <c r="T11"/>
  <c r="S11"/>
  <c r="R11"/>
  <c r="Q11"/>
  <c r="P11"/>
  <c r="C34" i="41"/>
  <c r="C30"/>
  <c r="L5" i="55"/>
  <c r="H5" i="29"/>
  <c r="L2" i="55"/>
  <c r="J2"/>
  <c r="O5" i="54"/>
  <c r="J5"/>
  <c r="H5"/>
  <c r="U5"/>
  <c r="S5" i="50"/>
  <c r="N2" i="55"/>
  <c r="H2"/>
  <c r="P2" i="54"/>
  <c r="N2"/>
  <c r="L2"/>
  <c r="J2"/>
  <c r="H2"/>
  <c r="U7" i="44"/>
  <c r="U6"/>
  <c r="S23" i="43"/>
  <c r="T7" i="44"/>
  <c r="T6"/>
  <c r="R23" i="43"/>
  <c r="S7" i="44"/>
  <c r="S6"/>
  <c r="R7"/>
  <c r="R6"/>
  <c r="Q23" i="43"/>
  <c r="J3" i="51"/>
  <c r="F3"/>
  <c r="B57" i="40"/>
  <c r="B58"/>
  <c r="B59"/>
  <c r="A1" i="55" l="1"/>
  <c r="A1" i="54"/>
  <c r="Q7" i="44"/>
  <c r="Q6"/>
  <c r="P7"/>
  <c r="P6"/>
  <c r="U13" i="30" l="1"/>
  <c r="J14"/>
  <c r="H6" i="35" l="1"/>
  <c r="H7"/>
  <c r="H8"/>
  <c r="H9"/>
  <c r="H10"/>
  <c r="H5"/>
  <c r="J6"/>
  <c r="J7"/>
  <c r="J8"/>
  <c r="J9"/>
  <c r="J10"/>
  <c r="J5"/>
  <c r="Y6"/>
  <c r="Y7"/>
  <c r="Y8"/>
  <c r="Y9"/>
  <c r="Y10"/>
  <c r="Y5"/>
  <c r="V2" i="8" l="1"/>
  <c r="T2"/>
  <c r="Z81"/>
  <c r="Z82"/>
  <c r="Z83"/>
  <c r="Z84"/>
  <c r="Z85"/>
  <c r="Z86"/>
  <c r="Z87"/>
  <c r="Z88"/>
  <c r="Z68"/>
  <c r="Z63"/>
  <c r="Z104"/>
  <c r="Z136"/>
  <c r="Z137"/>
  <c r="Z138"/>
  <c r="Z46"/>
  <c r="Z47"/>
  <c r="Z12"/>
  <c r="Z90"/>
  <c r="Z91"/>
  <c r="Z92"/>
  <c r="Z93"/>
  <c r="Z94"/>
  <c r="Z95"/>
  <c r="Z96"/>
  <c r="Z97"/>
  <c r="Z55"/>
  <c r="Z56"/>
  <c r="Z118"/>
  <c r="Z119"/>
  <c r="Z120"/>
  <c r="Z77"/>
  <c r="Z76"/>
  <c r="Z19"/>
  <c r="Z20"/>
  <c r="Z121"/>
  <c r="Z73"/>
  <c r="Z54"/>
  <c r="Z21"/>
  <c r="Z58"/>
  <c r="Z124"/>
  <c r="Z108"/>
  <c r="Z126"/>
  <c r="Z109"/>
  <c r="Z132"/>
  <c r="Z38"/>
  <c r="Z17"/>
  <c r="Z18"/>
  <c r="Z37"/>
  <c r="Z48"/>
  <c r="Z49"/>
  <c r="Z70"/>
  <c r="Z50"/>
  <c r="Z51"/>
  <c r="Z78"/>
  <c r="Z80"/>
  <c r="Z89"/>
  <c r="Z26"/>
  <c r="Z27"/>
  <c r="Z16"/>
  <c r="Z79"/>
  <c r="Z110"/>
  <c r="Z125"/>
  <c r="Z71"/>
  <c r="Z117"/>
  <c r="Z53"/>
  <c r="Z75"/>
  <c r="Z39"/>
  <c r="Z72"/>
  <c r="Z74"/>
  <c r="Z115"/>
  <c r="Z116"/>
  <c r="Z57"/>
  <c r="Z23"/>
  <c r="Z98"/>
  <c r="Z99"/>
  <c r="Z128"/>
  <c r="Z129"/>
  <c r="Z101"/>
  <c r="Z102"/>
  <c r="Z131"/>
  <c r="Z103"/>
  <c r="Z107"/>
  <c r="Z123"/>
  <c r="Z13"/>
  <c r="Z14"/>
  <c r="Z15"/>
  <c r="Z22"/>
  <c r="Z24"/>
  <c r="Z25"/>
  <c r="Z29"/>
  <c r="Z32"/>
  <c r="Z35"/>
  <c r="Z40"/>
  <c r="Z45"/>
  <c r="Z52"/>
  <c r="Z60"/>
  <c r="Z61"/>
  <c r="Z62"/>
  <c r="Z64"/>
  <c r="Z67"/>
  <c r="Z69"/>
  <c r="Z100"/>
  <c r="Z105"/>
  <c r="Z59"/>
  <c r="Z122"/>
  <c r="Z42"/>
  <c r="Z66"/>
  <c r="Z135"/>
  <c r="Z111"/>
  <c r="Z133"/>
  <c r="Z134"/>
  <c r="Z130"/>
  <c r="Z43"/>
  <c r="Z41"/>
  <c r="Z106"/>
  <c r="Z65"/>
  <c r="Z44"/>
  <c r="Z28"/>
  <c r="Z30"/>
  <c r="Z31"/>
  <c r="Z33"/>
  <c r="Z34"/>
  <c r="Z36"/>
  <c r="Z112"/>
  <c r="Z113"/>
  <c r="Z114"/>
  <c r="X81"/>
  <c r="X82"/>
  <c r="X83"/>
  <c r="X84"/>
  <c r="X85"/>
  <c r="X86"/>
  <c r="X87"/>
  <c r="X88"/>
  <c r="X68"/>
  <c r="X63"/>
  <c r="X104"/>
  <c r="X136"/>
  <c r="X137"/>
  <c r="X138"/>
  <c r="X46"/>
  <c r="X47"/>
  <c r="X12"/>
  <c r="X90"/>
  <c r="X91"/>
  <c r="X92"/>
  <c r="X93"/>
  <c r="X94"/>
  <c r="X95"/>
  <c r="X96"/>
  <c r="X97"/>
  <c r="X55"/>
  <c r="X56"/>
  <c r="X118"/>
  <c r="X119"/>
  <c r="X120"/>
  <c r="X77"/>
  <c r="X76"/>
  <c r="X19"/>
  <c r="X20"/>
  <c r="X121"/>
  <c r="X73"/>
  <c r="X54"/>
  <c r="X21"/>
  <c r="X58"/>
  <c r="X124"/>
  <c r="X108"/>
  <c r="X126"/>
  <c r="X109"/>
  <c r="X132"/>
  <c r="X38"/>
  <c r="X17"/>
  <c r="X18"/>
  <c r="X37"/>
  <c r="X48"/>
  <c r="X49"/>
  <c r="X70"/>
  <c r="X50"/>
  <c r="X51"/>
  <c r="X78"/>
  <c r="X80"/>
  <c r="X89"/>
  <c r="X26"/>
  <c r="X27"/>
  <c r="X16"/>
  <c r="X79"/>
  <c r="X110"/>
  <c r="X125"/>
  <c r="X71"/>
  <c r="X117"/>
  <c r="X53"/>
  <c r="X75"/>
  <c r="X39"/>
  <c r="X72"/>
  <c r="X74"/>
  <c r="X115"/>
  <c r="X116"/>
  <c r="X57"/>
  <c r="X23"/>
  <c r="X98"/>
  <c r="X99"/>
  <c r="X128"/>
  <c r="X129"/>
  <c r="X101"/>
  <c r="X102"/>
  <c r="X131"/>
  <c r="X103"/>
  <c r="X107"/>
  <c r="X123"/>
  <c r="X13"/>
  <c r="X14"/>
  <c r="X15"/>
  <c r="X22"/>
  <c r="X24"/>
  <c r="X25"/>
  <c r="X29"/>
  <c r="X32"/>
  <c r="X35"/>
  <c r="X40"/>
  <c r="X45"/>
  <c r="X52"/>
  <c r="X60"/>
  <c r="X61"/>
  <c r="X62"/>
  <c r="X64"/>
  <c r="X67"/>
  <c r="X69"/>
  <c r="X100"/>
  <c r="X105"/>
  <c r="X59"/>
  <c r="X122"/>
  <c r="X42"/>
  <c r="X66"/>
  <c r="X135"/>
  <c r="X111"/>
  <c r="X133"/>
  <c r="X134"/>
  <c r="X130"/>
  <c r="X43"/>
  <c r="X41"/>
  <c r="X106"/>
  <c r="X65"/>
  <c r="X44"/>
  <c r="X28"/>
  <c r="X30"/>
  <c r="X31"/>
  <c r="X33"/>
  <c r="X34"/>
  <c r="X36"/>
  <c r="X112"/>
  <c r="X113"/>
  <c r="X114"/>
  <c r="F58" i="40"/>
  <c r="F59"/>
  <c r="F57"/>
  <c r="E58"/>
  <c r="E59"/>
  <c r="E57"/>
  <c r="D58"/>
  <c r="D59"/>
  <c r="D57"/>
  <c r="A6" i="27"/>
  <c r="A7"/>
  <c r="A5"/>
  <c r="N6"/>
  <c r="N7"/>
  <c r="N5"/>
  <c r="L6"/>
  <c r="L7"/>
  <c r="L5"/>
  <c r="J6"/>
  <c r="J7"/>
  <c r="J5"/>
  <c r="H6"/>
  <c r="H7"/>
  <c r="H5"/>
  <c r="F56" i="40"/>
  <c r="E56"/>
  <c r="D56"/>
  <c r="F55"/>
  <c r="E55"/>
  <c r="D55"/>
  <c r="F54"/>
  <c r="E54"/>
  <c r="D54"/>
  <c r="F53"/>
  <c r="E53"/>
  <c r="D53"/>
  <c r="F52"/>
  <c r="E52"/>
  <c r="D52"/>
  <c r="F51"/>
  <c r="E51"/>
  <c r="D51"/>
  <c r="F50"/>
  <c r="E50"/>
  <c r="D50"/>
  <c r="F49"/>
  <c r="E49"/>
  <c r="D49"/>
  <c r="F48"/>
  <c r="E48"/>
  <c r="D48"/>
  <c r="F47"/>
  <c r="E47"/>
  <c r="D47"/>
  <c r="F46"/>
  <c r="E46"/>
  <c r="D46"/>
  <c r="F45"/>
  <c r="E45"/>
  <c r="D45"/>
  <c r="F44"/>
  <c r="E44"/>
  <c r="D44"/>
  <c r="F43"/>
  <c r="E43"/>
  <c r="D43"/>
  <c r="F42"/>
  <c r="E42"/>
  <c r="D42"/>
  <c r="F41"/>
  <c r="E41"/>
  <c r="D41"/>
  <c r="F40"/>
  <c r="E40"/>
  <c r="D40"/>
  <c r="F39"/>
  <c r="E39"/>
  <c r="D39"/>
  <c r="F38"/>
  <c r="E38"/>
  <c r="D38"/>
  <c r="F37"/>
  <c r="E37"/>
  <c r="D37"/>
  <c r="F36"/>
  <c r="E36"/>
  <c r="D36"/>
  <c r="F35"/>
  <c r="E35"/>
  <c r="D35"/>
  <c r="F34"/>
  <c r="E34"/>
  <c r="D34"/>
  <c r="F33"/>
  <c r="E33"/>
  <c r="D33"/>
  <c r="F32"/>
  <c r="E32"/>
  <c r="D32"/>
  <c r="F31"/>
  <c r="E31"/>
  <c r="D31"/>
  <c r="F30"/>
  <c r="E30"/>
  <c r="D30"/>
  <c r="F29"/>
  <c r="E29"/>
  <c r="D29"/>
  <c r="F28"/>
  <c r="E28"/>
  <c r="D28"/>
  <c r="D3"/>
  <c r="E3"/>
  <c r="F3"/>
  <c r="D4"/>
  <c r="E4"/>
  <c r="F4"/>
  <c r="D5"/>
  <c r="E5"/>
  <c r="F5"/>
  <c r="D6"/>
  <c r="E6"/>
  <c r="F6"/>
  <c r="D7"/>
  <c r="E7"/>
  <c r="F7"/>
  <c r="D8"/>
  <c r="E8"/>
  <c r="F8"/>
  <c r="D9"/>
  <c r="E9"/>
  <c r="F9"/>
  <c r="D10"/>
  <c r="E10"/>
  <c r="F10"/>
  <c r="D11"/>
  <c r="E11"/>
  <c r="F11"/>
  <c r="D12"/>
  <c r="E12"/>
  <c r="F12"/>
  <c r="D13"/>
  <c r="E13"/>
  <c r="F13"/>
  <c r="D14"/>
  <c r="E14"/>
  <c r="F14"/>
  <c r="D15"/>
  <c r="E15"/>
  <c r="F15"/>
  <c r="D16"/>
  <c r="E16"/>
  <c r="F16"/>
  <c r="D17"/>
  <c r="E17"/>
  <c r="F17"/>
  <c r="D18"/>
  <c r="E18"/>
  <c r="F18"/>
  <c r="D19"/>
  <c r="E19"/>
  <c r="F19"/>
  <c r="D20"/>
  <c r="E20"/>
  <c r="F20"/>
  <c r="D21"/>
  <c r="E21"/>
  <c r="F21"/>
  <c r="D22"/>
  <c r="E22"/>
  <c r="F22"/>
  <c r="D23"/>
  <c r="E23"/>
  <c r="F23"/>
  <c r="D24"/>
  <c r="E24"/>
  <c r="F24"/>
  <c r="D25"/>
  <c r="E25"/>
  <c r="F25"/>
  <c r="D26"/>
  <c r="E26"/>
  <c r="F26"/>
  <c r="A131" i="28"/>
  <c r="A132"/>
  <c r="A130"/>
  <c r="J131"/>
  <c r="J132"/>
  <c r="J130"/>
  <c r="H131"/>
  <c r="H132"/>
  <c r="H130"/>
  <c r="Z2" i="8" l="1"/>
  <c r="X2"/>
  <c r="B5" i="20"/>
  <c r="B4"/>
  <c r="B3"/>
  <c r="Y6" i="36" l="1"/>
  <c r="Y7"/>
  <c r="Y8"/>
  <c r="Y9"/>
  <c r="Y10"/>
  <c r="Q4" i="44"/>
  <c r="Q5"/>
  <c r="Q8"/>
  <c r="Q9"/>
  <c r="Q10"/>
  <c r="Q3"/>
  <c r="P3"/>
  <c r="P4"/>
  <c r="P5"/>
  <c r="P8"/>
  <c r="P9"/>
  <c r="P10"/>
  <c r="AG5" i="32"/>
  <c r="U4" i="44"/>
  <c r="U5"/>
  <c r="U8"/>
  <c r="U9"/>
  <c r="U10"/>
  <c r="U3"/>
  <c r="T2" i="35"/>
  <c r="AA159" i="38"/>
  <c r="Z159"/>
  <c r="Y159"/>
  <c r="X159"/>
  <c r="W159"/>
  <c r="V159"/>
  <c r="U159"/>
  <c r="S159"/>
  <c r="A112" i="7"/>
  <c r="H112"/>
  <c r="S148" i="38"/>
  <c r="U148"/>
  <c r="V148"/>
  <c r="W148"/>
  <c r="X148"/>
  <c r="Y148"/>
  <c r="Z148"/>
  <c r="AA148"/>
  <c r="S149"/>
  <c r="U149"/>
  <c r="V149"/>
  <c r="W149"/>
  <c r="X149"/>
  <c r="Y149"/>
  <c r="Z149"/>
  <c r="AA149"/>
  <c r="S150"/>
  <c r="U150"/>
  <c r="V150"/>
  <c r="W150"/>
  <c r="X150"/>
  <c r="Y150"/>
  <c r="Z150"/>
  <c r="AA150"/>
  <c r="S151"/>
  <c r="U151"/>
  <c r="V151"/>
  <c r="W151"/>
  <c r="X151"/>
  <c r="Y151"/>
  <c r="Z151"/>
  <c r="AA151"/>
  <c r="S152"/>
  <c r="U152"/>
  <c r="V152"/>
  <c r="W152"/>
  <c r="X152"/>
  <c r="Y152"/>
  <c r="Z152"/>
  <c r="AA152"/>
  <c r="S153"/>
  <c r="U153"/>
  <c r="V153"/>
  <c r="W153"/>
  <c r="X153"/>
  <c r="Y153"/>
  <c r="Z153"/>
  <c r="AA153"/>
  <c r="S154"/>
  <c r="U154"/>
  <c r="V154"/>
  <c r="W154"/>
  <c r="X154"/>
  <c r="Y154"/>
  <c r="Z154"/>
  <c r="AA154"/>
  <c r="S155"/>
  <c r="U155"/>
  <c r="V155"/>
  <c r="W155"/>
  <c r="X155"/>
  <c r="Y155"/>
  <c r="Z155"/>
  <c r="AA155"/>
  <c r="S156"/>
  <c r="U156"/>
  <c r="V156"/>
  <c r="W156"/>
  <c r="X156"/>
  <c r="Y156"/>
  <c r="Z156"/>
  <c r="AA156"/>
  <c r="S157"/>
  <c r="U157"/>
  <c r="V157"/>
  <c r="W157"/>
  <c r="X157"/>
  <c r="Y157"/>
  <c r="Z157"/>
  <c r="AA157"/>
  <c r="S158"/>
  <c r="U158"/>
  <c r="V158"/>
  <c r="W158"/>
  <c r="X158"/>
  <c r="Y158"/>
  <c r="Z158"/>
  <c r="AA158"/>
  <c r="S160"/>
  <c r="U160"/>
  <c r="V160"/>
  <c r="W160"/>
  <c r="X160"/>
  <c r="Y160"/>
  <c r="Z160"/>
  <c r="AA160"/>
  <c r="S161"/>
  <c r="U161"/>
  <c r="V161"/>
  <c r="W161"/>
  <c r="X161"/>
  <c r="Y161"/>
  <c r="Z161"/>
  <c r="AA161"/>
  <c r="S162"/>
  <c r="U162"/>
  <c r="V162"/>
  <c r="W162"/>
  <c r="X162"/>
  <c r="Y162"/>
  <c r="Z162"/>
  <c r="AA162"/>
  <c r="S163"/>
  <c r="U163"/>
  <c r="V163"/>
  <c r="W163"/>
  <c r="X163"/>
  <c r="Y163"/>
  <c r="Z163"/>
  <c r="AA163"/>
  <c r="S164"/>
  <c r="U164"/>
  <c r="V164"/>
  <c r="W164"/>
  <c r="X164"/>
  <c r="Y164"/>
  <c r="Z164"/>
  <c r="AA164"/>
  <c r="S165"/>
  <c r="U165"/>
  <c r="V165"/>
  <c r="W165"/>
  <c r="X165"/>
  <c r="Y165"/>
  <c r="Z165"/>
  <c r="AA165"/>
  <c r="S166"/>
  <c r="U166"/>
  <c r="V166"/>
  <c r="W166"/>
  <c r="X166"/>
  <c r="Y166"/>
  <c r="Z166"/>
  <c r="AA166"/>
  <c r="S167"/>
  <c r="U167"/>
  <c r="V167"/>
  <c r="W167"/>
  <c r="X167"/>
  <c r="Y167"/>
  <c r="Z167"/>
  <c r="AA167"/>
  <c r="S28" i="43"/>
  <c r="S26"/>
  <c r="S27"/>
  <c r="S25"/>
  <c r="S24"/>
  <c r="S22"/>
  <c r="S21"/>
  <c r="S20"/>
  <c r="S19"/>
  <c r="S18"/>
  <c r="S17"/>
  <c r="S16"/>
  <c r="S15"/>
  <c r="S14"/>
  <c r="S13"/>
  <c r="S12"/>
  <c r="S11"/>
  <c r="S10"/>
  <c r="S8"/>
  <c r="S7"/>
  <c r="S6"/>
  <c r="S4"/>
  <c r="S5"/>
  <c r="P8" i="9"/>
  <c r="P9"/>
  <c r="P27"/>
  <c r="P29"/>
  <c r="P31"/>
  <c r="P36"/>
  <c r="P57"/>
  <c r="P58"/>
  <c r="P63"/>
  <c r="P67"/>
  <c r="P68"/>
  <c r="P71"/>
  <c r="P72"/>
  <c r="P75"/>
  <c r="P76"/>
  <c r="P78"/>
  <c r="P83"/>
  <c r="P84"/>
  <c r="P90"/>
  <c r="P95"/>
  <c r="P96"/>
  <c r="P97"/>
  <c r="P100"/>
  <c r="P101"/>
  <c r="P102"/>
  <c r="P105"/>
  <c r="P106"/>
  <c r="P107"/>
  <c r="P108"/>
  <c r="P109"/>
  <c r="P110"/>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P171"/>
  <c r="P172"/>
  <c r="P173"/>
  <c r="P174"/>
  <c r="P175"/>
  <c r="P176"/>
  <c r="P177"/>
  <c r="P178"/>
  <c r="P179"/>
  <c r="P180"/>
  <c r="P181"/>
  <c r="P182"/>
  <c r="P183"/>
  <c r="P184"/>
  <c r="P185"/>
  <c r="P186"/>
  <c r="P187"/>
  <c r="P188"/>
  <c r="P189"/>
  <c r="P190"/>
  <c r="P191"/>
  <c r="P192"/>
  <c r="P193"/>
  <c r="P194"/>
  <c r="P195"/>
  <c r="P196"/>
  <c r="P197"/>
  <c r="P198"/>
  <c r="P199"/>
  <c r="P200"/>
  <c r="P201"/>
  <c r="P202"/>
  <c r="P203"/>
  <c r="P204"/>
  <c r="P205"/>
  <c r="P206"/>
  <c r="P207"/>
  <c r="P208"/>
  <c r="P209"/>
  <c r="P210"/>
  <c r="P211"/>
  <c r="P212"/>
  <c r="P213"/>
  <c r="P214"/>
  <c r="P215"/>
  <c r="P216"/>
  <c r="P217"/>
  <c r="P218"/>
  <c r="P219"/>
  <c r="P220"/>
  <c r="P221"/>
  <c r="P222"/>
  <c r="P223"/>
  <c r="P224"/>
  <c r="P225"/>
  <c r="P226"/>
  <c r="P227"/>
  <c r="P228"/>
  <c r="P229"/>
  <c r="P230"/>
  <c r="P231"/>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AA61" i="38" l="1"/>
  <c r="Z61"/>
  <c r="Y61"/>
  <c r="X61"/>
  <c r="W61"/>
  <c r="V61"/>
  <c r="U61"/>
  <c r="S61"/>
  <c r="AA60"/>
  <c r="Z60"/>
  <c r="Y60"/>
  <c r="X60"/>
  <c r="W60"/>
  <c r="V60"/>
  <c r="U60"/>
  <c r="S60"/>
  <c r="BA6" i="34"/>
  <c r="J6" s="1"/>
  <c r="J9" i="32"/>
  <c r="J10"/>
  <c r="H7" i="25"/>
  <c r="J7" i="30"/>
  <c r="J8"/>
  <c r="J10"/>
  <c r="Y5" i="36"/>
  <c r="AV2" i="34"/>
  <c r="AB2" i="32"/>
  <c r="P2" i="25"/>
  <c r="P2" i="30"/>
  <c r="V2" i="48"/>
  <c r="N2" i="50"/>
  <c r="L113" i="9"/>
  <c r="BA7" i="34"/>
  <c r="J7" s="1"/>
  <c r="BA5"/>
  <c r="J5" s="1"/>
  <c r="AG10" i="32"/>
  <c r="AG9"/>
  <c r="J5"/>
  <c r="U10" i="25"/>
  <c r="U9"/>
  <c r="H9" s="1"/>
  <c r="U8"/>
  <c r="H8" s="1"/>
  <c r="U7"/>
  <c r="U6"/>
  <c r="H6" s="1"/>
  <c r="H5"/>
  <c r="U14" i="30"/>
  <c r="J13"/>
  <c r="U12"/>
  <c r="J12" s="1"/>
  <c r="U11"/>
  <c r="U10"/>
  <c r="U9"/>
  <c r="U8"/>
  <c r="U7"/>
  <c r="U6"/>
  <c r="J6" s="1"/>
  <c r="U5"/>
  <c r="J5" s="1"/>
  <c r="AA5" i="48"/>
  <c r="T22" i="41"/>
  <c r="T23"/>
  <c r="T24"/>
  <c r="T25"/>
  <c r="T21"/>
  <c r="C19"/>
  <c r="C16"/>
  <c r="C4"/>
  <c r="H8" i="29"/>
  <c r="H7"/>
  <c r="H43"/>
  <c r="H42"/>
  <c r="C13" i="41"/>
  <c r="C12"/>
  <c r="C10"/>
  <c r="C8"/>
  <c r="C7"/>
  <c r="C3"/>
  <c r="H29" i="29"/>
  <c r="H28"/>
  <c r="H24"/>
  <c r="H23"/>
  <c r="H22"/>
  <c r="H21"/>
  <c r="H6"/>
  <c r="H18"/>
  <c r="H17"/>
  <c r="H14"/>
  <c r="H13"/>
  <c r="C18" i="41"/>
  <c r="C11"/>
  <c r="C9"/>
  <c r="AA58" i="38"/>
  <c r="AA59"/>
  <c r="AA62"/>
  <c r="AA63"/>
  <c r="AA64"/>
  <c r="AA65"/>
  <c r="AA66"/>
  <c r="AA67"/>
  <c r="AA68"/>
  <c r="AA69"/>
  <c r="AA70"/>
  <c r="AA71"/>
  <c r="AA72"/>
  <c r="AA73"/>
  <c r="AA74"/>
  <c r="AA75"/>
  <c r="AA76"/>
  <c r="AA77"/>
  <c r="AA78"/>
  <c r="AA79"/>
  <c r="AA80"/>
  <c r="AA81"/>
  <c r="AA82"/>
  <c r="AA83"/>
  <c r="AA84"/>
  <c r="AA85"/>
  <c r="AA86"/>
  <c r="AA87"/>
  <c r="AA88"/>
  <c r="AA89"/>
  <c r="AA90"/>
  <c r="AA91"/>
  <c r="AA92"/>
  <c r="AA93"/>
  <c r="AA94"/>
  <c r="AA95"/>
  <c r="AA96"/>
  <c r="AA97"/>
  <c r="AA98"/>
  <c r="AA99"/>
  <c r="AA100"/>
  <c r="AA101"/>
  <c r="AA102"/>
  <c r="AA103"/>
  <c r="AA104"/>
  <c r="AA105"/>
  <c r="AA106"/>
  <c r="AA107"/>
  <c r="AA108"/>
  <c r="AA109"/>
  <c r="AA110"/>
  <c r="AA111"/>
  <c r="AA112"/>
  <c r="AA113"/>
  <c r="AA114"/>
  <c r="AA115"/>
  <c r="AA116"/>
  <c r="AA117"/>
  <c r="AA118"/>
  <c r="AA119"/>
  <c r="AA120"/>
  <c r="AA121"/>
  <c r="AA122"/>
  <c r="AA123"/>
  <c r="AA124"/>
  <c r="AA125"/>
  <c r="AA126"/>
  <c r="AA127"/>
  <c r="AA128"/>
  <c r="AA129"/>
  <c r="AA130"/>
  <c r="AA131"/>
  <c r="AA132"/>
  <c r="AA133"/>
  <c r="AA134"/>
  <c r="AA135"/>
  <c r="AA136"/>
  <c r="AA137"/>
  <c r="AA138"/>
  <c r="AA139"/>
  <c r="AA140"/>
  <c r="AA141"/>
  <c r="AA144"/>
  <c r="AA145"/>
  <c r="AA146"/>
  <c r="AA147"/>
  <c r="AA57"/>
  <c r="Z58"/>
  <c r="Z59"/>
  <c r="Z62"/>
  <c r="Z63"/>
  <c r="Z64"/>
  <c r="Z65"/>
  <c r="Z66"/>
  <c r="Z67"/>
  <c r="Z68"/>
  <c r="Z69"/>
  <c r="Z70"/>
  <c r="Z71"/>
  <c r="Z72"/>
  <c r="Z73"/>
  <c r="Z74"/>
  <c r="Z75"/>
  <c r="Z76"/>
  <c r="Z77"/>
  <c r="Z78"/>
  <c r="Z79"/>
  <c r="Z80"/>
  <c r="Z81"/>
  <c r="Z82"/>
  <c r="Z83"/>
  <c r="Z84"/>
  <c r="Z85"/>
  <c r="Z86"/>
  <c r="Z87"/>
  <c r="Z88"/>
  <c r="Z89"/>
  <c r="Z90"/>
  <c r="Z91"/>
  <c r="Z92"/>
  <c r="Z93"/>
  <c r="Z94"/>
  <c r="Z95"/>
  <c r="Z96"/>
  <c r="Z97"/>
  <c r="Z98"/>
  <c r="Z99"/>
  <c r="Z100"/>
  <c r="Z101"/>
  <c r="Z102"/>
  <c r="Z103"/>
  <c r="Z104"/>
  <c r="Z105"/>
  <c r="Z106"/>
  <c r="Z107"/>
  <c r="Z108"/>
  <c r="Z109"/>
  <c r="Z110"/>
  <c r="Z111"/>
  <c r="Z112"/>
  <c r="Z113"/>
  <c r="Z114"/>
  <c r="Z115"/>
  <c r="Z116"/>
  <c r="Z117"/>
  <c r="Z118"/>
  <c r="Z119"/>
  <c r="Z120"/>
  <c r="Z121"/>
  <c r="Z122"/>
  <c r="Z123"/>
  <c r="Z124"/>
  <c r="Z125"/>
  <c r="Z126"/>
  <c r="Z127"/>
  <c r="Z128"/>
  <c r="Z129"/>
  <c r="Z130"/>
  <c r="Z131"/>
  <c r="Z132"/>
  <c r="Z133"/>
  <c r="Z134"/>
  <c r="Z135"/>
  <c r="Z136"/>
  <c r="Z137"/>
  <c r="Z138"/>
  <c r="Z139"/>
  <c r="Z140"/>
  <c r="Z141"/>
  <c r="Z144"/>
  <c r="Z145"/>
  <c r="Z146"/>
  <c r="Z147"/>
  <c r="Z57"/>
  <c r="Y58"/>
  <c r="Y59"/>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4"/>
  <c r="Y145"/>
  <c r="Y146"/>
  <c r="Y147"/>
  <c r="Y57"/>
  <c r="S147"/>
  <c r="S146"/>
  <c r="S145"/>
  <c r="S144"/>
  <c r="S141"/>
  <c r="S140"/>
  <c r="S139"/>
  <c r="S96"/>
  <c r="S57"/>
  <c r="H78" i="7"/>
  <c r="L117"/>
  <c r="L121"/>
  <c r="L122"/>
  <c r="L125"/>
  <c r="L126"/>
  <c r="L128"/>
  <c r="L127"/>
  <c r="L130"/>
  <c r="L135"/>
  <c r="L136"/>
  <c r="L137"/>
  <c r="L138"/>
  <c r="L131"/>
  <c r="L132"/>
  <c r="L118"/>
  <c r="L119"/>
  <c r="L133"/>
  <c r="L134"/>
  <c r="L120"/>
  <c r="L124"/>
  <c r="L129"/>
  <c r="L139"/>
  <c r="L123"/>
  <c r="L80"/>
  <c r="L81"/>
  <c r="L82"/>
  <c r="L83"/>
  <c r="L84"/>
  <c r="L85"/>
  <c r="L86"/>
  <c r="L87"/>
  <c r="L88"/>
  <c r="L89"/>
  <c r="L90"/>
  <c r="L91"/>
  <c r="L92"/>
  <c r="L93"/>
  <c r="L94"/>
  <c r="L95"/>
  <c r="L96"/>
  <c r="L97"/>
  <c r="L98"/>
  <c r="L99"/>
  <c r="L100"/>
  <c r="L101"/>
  <c r="L102"/>
  <c r="L103"/>
  <c r="L104"/>
  <c r="L105"/>
  <c r="L106"/>
  <c r="L107"/>
  <c r="L108"/>
  <c r="L109"/>
  <c r="L110"/>
  <c r="L111"/>
  <c r="L112"/>
  <c r="L113"/>
  <c r="L114"/>
  <c r="L115"/>
  <c r="L116"/>
  <c r="L79"/>
  <c r="N78"/>
  <c r="L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78"/>
  <c r="H80"/>
  <c r="H81"/>
  <c r="H82"/>
  <c r="H83"/>
  <c r="H84"/>
  <c r="H87"/>
  <c r="H88"/>
  <c r="H89"/>
  <c r="H90"/>
  <c r="H91"/>
  <c r="H92"/>
  <c r="H93"/>
  <c r="H94"/>
  <c r="H95"/>
  <c r="H96"/>
  <c r="H97"/>
  <c r="H98"/>
  <c r="H99"/>
  <c r="H100"/>
  <c r="H101"/>
  <c r="H102"/>
  <c r="H103"/>
  <c r="H104"/>
  <c r="H105"/>
  <c r="H106"/>
  <c r="H107"/>
  <c r="H109"/>
  <c r="H110"/>
  <c r="H111"/>
  <c r="H113"/>
  <c r="H114"/>
  <c r="H115"/>
  <c r="H116"/>
  <c r="H79"/>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L6"/>
  <c r="L7"/>
  <c r="L8"/>
  <c r="L9"/>
  <c r="L10"/>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L69"/>
  <c r="L70"/>
  <c r="L71"/>
  <c r="L72"/>
  <c r="L73"/>
  <c r="L74"/>
  <c r="L75"/>
  <c r="L76"/>
  <c r="L77"/>
  <c r="N6"/>
  <c r="N7"/>
  <c r="N8"/>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9"/>
  <c r="A36"/>
  <c r="A37"/>
  <c r="A38"/>
  <c r="A39"/>
  <c r="A74"/>
  <c r="A75"/>
  <c r="A76"/>
  <c r="A40"/>
  <c r="A41"/>
  <c r="A77"/>
  <c r="A42"/>
  <c r="A62"/>
  <c r="A63"/>
  <c r="A64"/>
  <c r="A18"/>
  <c r="A19"/>
  <c r="A65"/>
  <c r="A20"/>
  <c r="A21"/>
  <c r="A22"/>
  <c r="A23"/>
  <c r="A66"/>
  <c r="A67"/>
  <c r="A68"/>
  <c r="A69"/>
  <c r="A24"/>
  <c r="A25"/>
  <c r="A26"/>
  <c r="A70"/>
  <c r="A27"/>
  <c r="A28"/>
  <c r="A29"/>
  <c r="A30"/>
  <c r="A31"/>
  <c r="A71"/>
  <c r="A72"/>
  <c r="A32"/>
  <c r="A33"/>
  <c r="A34"/>
  <c r="A73"/>
  <c r="A35"/>
  <c r="A55"/>
  <c r="A8"/>
  <c r="A9"/>
  <c r="A56"/>
  <c r="A57"/>
  <c r="A58"/>
  <c r="A10"/>
  <c r="A11"/>
  <c r="A59"/>
  <c r="A60"/>
  <c r="A61"/>
  <c r="A12"/>
  <c r="A13"/>
  <c r="A14"/>
  <c r="A15"/>
  <c r="A16"/>
  <c r="A17"/>
  <c r="A52"/>
  <c r="A53"/>
  <c r="A54"/>
  <c r="H68"/>
  <c r="H57"/>
  <c r="H58"/>
  <c r="H60"/>
  <c r="H22"/>
  <c r="H32"/>
  <c r="H45"/>
  <c r="H69"/>
  <c r="H48"/>
  <c r="H33"/>
  <c r="H23"/>
  <c r="H13"/>
  <c r="H34"/>
  <c r="H5"/>
  <c r="H19"/>
  <c r="H73"/>
  <c r="H35"/>
  <c r="H74"/>
  <c r="H30"/>
  <c r="H66"/>
  <c r="H50"/>
  <c r="H24"/>
  <c r="H75"/>
  <c r="H25"/>
  <c r="H29"/>
  <c r="H61"/>
  <c r="H36"/>
  <c r="H37"/>
  <c r="H67"/>
  <c r="H38"/>
  <c r="H39"/>
  <c r="H18"/>
  <c r="H6"/>
  <c r="H54"/>
  <c r="H55"/>
  <c r="H51"/>
  <c r="H46"/>
  <c r="H8"/>
  <c r="H56"/>
  <c r="H76"/>
  <c r="H40"/>
  <c r="H41"/>
  <c r="H77"/>
  <c r="H44"/>
  <c r="H43"/>
  <c r="H47"/>
  <c r="H26"/>
  <c r="H12"/>
  <c r="H14"/>
  <c r="H70"/>
  <c r="H65"/>
  <c r="H15"/>
  <c r="H7"/>
  <c r="H11"/>
  <c r="H64"/>
  <c r="H49"/>
  <c r="H16"/>
  <c r="H17"/>
  <c r="H9"/>
  <c r="H31"/>
  <c r="H27"/>
  <c r="H42"/>
  <c r="H20"/>
  <c r="H62"/>
  <c r="H71"/>
  <c r="H72"/>
  <c r="H21"/>
  <c r="H52"/>
  <c r="H59"/>
  <c r="H53"/>
  <c r="H10"/>
  <c r="H33" i="29"/>
  <c r="H32"/>
  <c r="H31"/>
  <c r="J5" i="48" l="1"/>
  <c r="V130" i="10"/>
  <c r="T130"/>
  <c r="J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81"/>
  <c r="J182"/>
  <c r="J183"/>
  <c r="J184"/>
  <c r="J185"/>
  <c r="J186"/>
  <c r="J187"/>
  <c r="J188"/>
  <c r="J189"/>
  <c r="J190"/>
  <c r="J191"/>
  <c r="J192"/>
  <c r="J193"/>
  <c r="J194"/>
  <c r="J195"/>
  <c r="J196"/>
  <c r="J197"/>
  <c r="J198"/>
  <c r="J199"/>
  <c r="J200"/>
  <c r="J201"/>
  <c r="J202"/>
  <c r="J203"/>
  <c r="J204"/>
  <c r="J205"/>
  <c r="J206"/>
  <c r="J207"/>
  <c r="J208"/>
  <c r="J209"/>
  <c r="J210"/>
  <c r="J211"/>
  <c r="J212"/>
  <c r="J213"/>
  <c r="J214"/>
  <c r="J215"/>
  <c r="J216"/>
  <c r="J217"/>
  <c r="J218"/>
  <c r="J219"/>
  <c r="J220"/>
  <c r="J221"/>
  <c r="J222"/>
  <c r="J223"/>
  <c r="J224"/>
  <c r="J225"/>
  <c r="J226"/>
  <c r="J227"/>
  <c r="J228"/>
  <c r="J229"/>
  <c r="J230"/>
  <c r="J231"/>
  <c r="J232"/>
  <c r="J233"/>
  <c r="J234"/>
  <c r="J235"/>
  <c r="J236"/>
  <c r="J237"/>
  <c r="J238"/>
  <c r="J239"/>
  <c r="J240"/>
  <c r="J241"/>
  <c r="J242"/>
  <c r="J243"/>
  <c r="J244"/>
  <c r="J245"/>
  <c r="J246"/>
  <c r="J247"/>
  <c r="J248"/>
  <c r="J249"/>
  <c r="J250"/>
  <c r="J251"/>
  <c r="J252"/>
  <c r="J253"/>
  <c r="J254"/>
  <c r="J255"/>
  <c r="J256"/>
  <c r="J257"/>
  <c r="J258"/>
  <c r="J259"/>
  <c r="J260"/>
  <c r="J261"/>
  <c r="J262"/>
  <c r="J263"/>
  <c r="J264"/>
  <c r="J265"/>
  <c r="J266"/>
  <c r="J267"/>
  <c r="J268"/>
  <c r="J269"/>
  <c r="J270"/>
  <c r="J271"/>
  <c r="J272"/>
  <c r="J273"/>
  <c r="J274"/>
  <c r="J275"/>
  <c r="J276"/>
  <c r="J277"/>
  <c r="J278"/>
  <c r="J279"/>
  <c r="J280"/>
  <c r="J281"/>
  <c r="J282"/>
  <c r="J283"/>
  <c r="J284"/>
  <c r="J285"/>
  <c r="J286"/>
  <c r="J287"/>
  <c r="J288"/>
  <c r="J289"/>
  <c r="J290"/>
  <c r="J291"/>
  <c r="J292"/>
  <c r="J293"/>
  <c r="J294"/>
  <c r="J295"/>
  <c r="J296"/>
  <c r="J297"/>
  <c r="J298"/>
  <c r="J299"/>
  <c r="J300"/>
  <c r="J301"/>
  <c r="J302"/>
  <c r="J303"/>
  <c r="J304"/>
  <c r="J305"/>
  <c r="J306"/>
  <c r="J307"/>
  <c r="J308"/>
  <c r="J309"/>
  <c r="J310"/>
  <c r="J311"/>
  <c r="J312"/>
  <c r="J313"/>
  <c r="J314"/>
  <c r="J315"/>
  <c r="J316"/>
  <c r="J317"/>
  <c r="J318"/>
  <c r="J319"/>
  <c r="J320"/>
  <c r="J321"/>
  <c r="J322"/>
  <c r="J323"/>
  <c r="J324"/>
  <c r="J325"/>
  <c r="J326"/>
  <c r="J327"/>
  <c r="J328"/>
  <c r="J329"/>
  <c r="J330"/>
  <c r="J331"/>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J387"/>
  <c r="J388"/>
  <c r="J389"/>
  <c r="J390"/>
  <c r="J391"/>
  <c r="J392"/>
  <c r="J393"/>
  <c r="J394"/>
  <c r="J395"/>
  <c r="J396"/>
  <c r="J397"/>
  <c r="J398"/>
  <c r="J399"/>
  <c r="J400"/>
  <c r="J401"/>
  <c r="J402"/>
  <c r="J403"/>
  <c r="J404"/>
  <c r="J405"/>
  <c r="J406"/>
  <c r="J407"/>
  <c r="J408"/>
  <c r="J409"/>
  <c r="J410"/>
  <c r="J411"/>
  <c r="J412"/>
  <c r="J413"/>
  <c r="J414"/>
  <c r="J415"/>
  <c r="J416"/>
  <c r="J417"/>
  <c r="J418"/>
  <c r="J419"/>
  <c r="J420"/>
  <c r="J421"/>
  <c r="J422"/>
  <c r="J423"/>
  <c r="J424"/>
  <c r="J425"/>
  <c r="J426"/>
  <c r="J427"/>
  <c r="J428"/>
  <c r="J429"/>
  <c r="J430"/>
  <c r="J431"/>
  <c r="J432"/>
  <c r="J433"/>
  <c r="J434"/>
  <c r="J435"/>
  <c r="J436"/>
  <c r="J437"/>
  <c r="J438"/>
  <c r="J439"/>
  <c r="J440"/>
  <c r="J441"/>
  <c r="J442"/>
  <c r="J443"/>
  <c r="J444"/>
  <c r="J445"/>
  <c r="J446"/>
  <c r="J447"/>
  <c r="J448"/>
  <c r="J449"/>
  <c r="J450"/>
  <c r="J451"/>
  <c r="J452"/>
  <c r="J453"/>
  <c r="J454"/>
  <c r="J455"/>
  <c r="J456"/>
  <c r="J457"/>
  <c r="J458"/>
  <c r="J459"/>
  <c r="J460"/>
  <c r="J461"/>
  <c r="J462"/>
  <c r="J463"/>
  <c r="J464"/>
  <c r="J465"/>
  <c r="J466"/>
  <c r="J467"/>
  <c r="J468"/>
  <c r="J469"/>
  <c r="J470"/>
  <c r="J471"/>
  <c r="J472"/>
  <c r="J473"/>
  <c r="J474"/>
  <c r="J475"/>
  <c r="J476"/>
  <c r="J477"/>
  <c r="J478"/>
  <c r="J479"/>
  <c r="J480"/>
  <c r="J481"/>
  <c r="J482"/>
  <c r="J483"/>
  <c r="J484"/>
  <c r="J485"/>
  <c r="J486"/>
  <c r="J487"/>
  <c r="J488"/>
  <c r="J489"/>
  <c r="J490"/>
  <c r="J491"/>
  <c r="J492"/>
  <c r="J493"/>
  <c r="J494"/>
  <c r="J495"/>
  <c r="J496"/>
  <c r="J497"/>
  <c r="J498"/>
  <c r="J499"/>
  <c r="J500"/>
  <c r="J501"/>
  <c r="J502"/>
  <c r="J503"/>
  <c r="J504"/>
  <c r="J505"/>
  <c r="J506"/>
  <c r="J507"/>
  <c r="J508"/>
  <c r="J509"/>
  <c r="J510"/>
  <c r="J511"/>
  <c r="J512"/>
  <c r="J513"/>
  <c r="J514"/>
  <c r="J515"/>
  <c r="J516"/>
  <c r="J517"/>
  <c r="J518"/>
  <c r="J519"/>
  <c r="J520"/>
  <c r="J521"/>
  <c r="J522"/>
  <c r="J523"/>
  <c r="J524"/>
  <c r="J525"/>
  <c r="J526"/>
  <c r="J527"/>
  <c r="J528"/>
  <c r="J529"/>
  <c r="J530"/>
  <c r="J531"/>
  <c r="J532"/>
  <c r="J533"/>
  <c r="J534"/>
  <c r="J535"/>
  <c r="J536"/>
  <c r="J537"/>
  <c r="J538"/>
  <c r="J539"/>
  <c r="J540"/>
  <c r="J541"/>
  <c r="J542"/>
  <c r="J543"/>
  <c r="J544"/>
  <c r="J545"/>
  <c r="J546"/>
  <c r="J547"/>
  <c r="J548"/>
  <c r="J549"/>
  <c r="J550"/>
  <c r="J551"/>
  <c r="J552"/>
  <c r="J553"/>
  <c r="J554"/>
  <c r="J555"/>
  <c r="J556"/>
  <c r="J557"/>
  <c r="J558"/>
  <c r="J559"/>
  <c r="J560"/>
  <c r="J561"/>
  <c r="J562"/>
  <c r="J563"/>
  <c r="J564"/>
  <c r="J565"/>
  <c r="J566"/>
  <c r="J567"/>
  <c r="J568"/>
  <c r="J569"/>
  <c r="J570"/>
  <c r="J571"/>
  <c r="J572"/>
  <c r="J573"/>
  <c r="J574"/>
  <c r="J575"/>
  <c r="J576"/>
  <c r="J577"/>
  <c r="J578"/>
  <c r="J579"/>
  <c r="J580"/>
  <c r="J581"/>
  <c r="J582"/>
  <c r="J583"/>
  <c r="J584"/>
  <c r="J585"/>
  <c r="J586"/>
  <c r="J587"/>
  <c r="J588"/>
  <c r="J589"/>
  <c r="J590"/>
  <c r="J591"/>
  <c r="J592"/>
  <c r="J593"/>
  <c r="J594"/>
  <c r="J595"/>
  <c r="J596"/>
  <c r="J597"/>
  <c r="J598"/>
  <c r="J599"/>
  <c r="J600"/>
  <c r="J601"/>
  <c r="J602"/>
  <c r="J603"/>
  <c r="J604"/>
  <c r="J605"/>
  <c r="J606"/>
  <c r="J607"/>
  <c r="J608"/>
  <c r="J609"/>
  <c r="J610"/>
  <c r="J611"/>
  <c r="J612"/>
  <c r="J613"/>
  <c r="J614"/>
  <c r="J615"/>
  <c r="J616"/>
  <c r="J617"/>
  <c r="J618"/>
  <c r="J619"/>
  <c r="J620"/>
  <c r="J621"/>
  <c r="J622"/>
  <c r="J623"/>
  <c r="H210" i="12"/>
  <c r="H211"/>
  <c r="H212"/>
  <c r="H213"/>
  <c r="H214"/>
  <c r="H215"/>
  <c r="H216"/>
  <c r="J14" i="26"/>
  <c r="J24"/>
  <c r="J15"/>
  <c r="J22"/>
  <c r="J20"/>
  <c r="J23"/>
  <c r="J21"/>
  <c r="J19"/>
  <c r="J18"/>
  <c r="J17"/>
  <c r="J10"/>
  <c r="J8"/>
  <c r="L149" i="9"/>
  <c r="V4" i="38"/>
  <c r="V5"/>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4"/>
  <c r="V145"/>
  <c r="V146"/>
  <c r="V147"/>
  <c r="V3"/>
  <c r="D113" i="9"/>
  <c r="L224"/>
  <c r="L223"/>
  <c r="L222"/>
  <c r="L221"/>
  <c r="L220"/>
  <c r="L219"/>
  <c r="L218"/>
  <c r="L182"/>
  <c r="L131"/>
  <c r="L132"/>
  <c r="L130"/>
  <c r="L129"/>
  <c r="L209"/>
  <c r="L208"/>
  <c r="L207"/>
  <c r="L206"/>
  <c r="L205"/>
  <c r="L204"/>
  <c r="L203"/>
  <c r="L202"/>
  <c r="L154"/>
  <c r="L153"/>
  <c r="L115"/>
  <c r="L114"/>
  <c r="L212"/>
  <c r="L211"/>
  <c r="L141"/>
  <c r="L140"/>
  <c r="L139"/>
  <c r="L210"/>
  <c r="L181"/>
  <c r="L156"/>
  <c r="L143"/>
  <c r="L142"/>
  <c r="L191"/>
  <c r="L190"/>
  <c r="L126"/>
  <c r="L215"/>
  <c r="L216"/>
  <c r="L189"/>
  <c r="L188"/>
  <c r="L171"/>
  <c r="L162"/>
  <c r="L161"/>
  <c r="L160"/>
  <c r="L148"/>
  <c r="L147"/>
  <c r="L125"/>
  <c r="L124"/>
  <c r="L123"/>
  <c r="L122"/>
  <c r="L121"/>
  <c r="L120"/>
  <c r="L119"/>
  <c r="L118"/>
  <c r="L228"/>
  <c r="L226"/>
  <c r="L178"/>
  <c r="L177"/>
  <c r="L227"/>
  <c r="L163"/>
  <c r="L214"/>
  <c r="L213"/>
  <c r="L187"/>
  <c r="L186"/>
  <c r="L135"/>
  <c r="L134"/>
  <c r="L117"/>
  <c r="L116"/>
  <c r="L200"/>
  <c r="L199"/>
  <c r="L197"/>
  <c r="L192"/>
  <c r="L196"/>
  <c r="L195"/>
  <c r="L169"/>
  <c r="L168"/>
  <c r="L167"/>
  <c r="L166"/>
  <c r="L165"/>
  <c r="L133"/>
  <c r="L137"/>
  <c r="L201"/>
  <c r="L198"/>
  <c r="L193"/>
  <c r="L170"/>
  <c r="L150"/>
  <c r="L128"/>
  <c r="L127"/>
  <c r="L185"/>
  <c r="L158"/>
  <c r="L157"/>
  <c r="L144"/>
  <c r="L155"/>
  <c r="L194"/>
  <c r="L231"/>
  <c r="L230"/>
  <c r="L229"/>
  <c r="L217"/>
  <c r="L180"/>
  <c r="L179"/>
  <c r="L176"/>
  <c r="L175"/>
  <c r="L174"/>
  <c r="L173"/>
  <c r="L172"/>
  <c r="L164"/>
  <c r="L159"/>
  <c r="L146"/>
  <c r="L145"/>
  <c r="L136"/>
  <c r="L138"/>
  <c r="L184"/>
  <c r="L183"/>
  <c r="L152"/>
  <c r="L151"/>
  <c r="L225"/>
  <c r="U3" i="38"/>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4"/>
  <c r="U145"/>
  <c r="U146"/>
  <c r="U147"/>
  <c r="N9" i="31"/>
  <c r="N8"/>
  <c r="J2" i="10" l="1"/>
  <c r="P2" i="9"/>
  <c r="J114" i="8" l="1"/>
  <c r="J113"/>
  <c r="J112"/>
  <c r="J36"/>
  <c r="J34"/>
  <c r="J33"/>
  <c r="J31"/>
  <c r="J30"/>
  <c r="J28"/>
  <c r="J44"/>
  <c r="J65"/>
  <c r="J106"/>
  <c r="J41"/>
  <c r="J43"/>
  <c r="J11"/>
  <c r="J10"/>
  <c r="J9"/>
  <c r="J8"/>
  <c r="J130"/>
  <c r="J134"/>
  <c r="J133"/>
  <c r="J111"/>
  <c r="J7"/>
  <c r="J135"/>
  <c r="J66"/>
  <c r="J42"/>
  <c r="J122"/>
  <c r="J6"/>
  <c r="J59"/>
  <c r="J100"/>
  <c r="J69"/>
  <c r="J67"/>
  <c r="J64"/>
  <c r="J62"/>
  <c r="J61"/>
  <c r="J60"/>
  <c r="J52"/>
  <c r="J45"/>
  <c r="J40"/>
  <c r="J35"/>
  <c r="J32"/>
  <c r="J29"/>
  <c r="J25"/>
  <c r="J24"/>
  <c r="J22"/>
  <c r="J15"/>
  <c r="J14"/>
  <c r="J13"/>
  <c r="J123"/>
  <c r="J107"/>
  <c r="J103"/>
  <c r="J131"/>
  <c r="J102"/>
  <c r="J101"/>
  <c r="J129"/>
  <c r="J128"/>
  <c r="J99"/>
  <c r="J98"/>
  <c r="J23"/>
  <c r="J57"/>
  <c r="J116"/>
  <c r="J115"/>
  <c r="J74"/>
  <c r="J72"/>
  <c r="J39"/>
  <c r="J75"/>
  <c r="J53"/>
  <c r="J117"/>
  <c r="J71"/>
  <c r="J125"/>
  <c r="J110"/>
  <c r="J79"/>
  <c r="J16"/>
  <c r="J27"/>
  <c r="J26"/>
  <c r="J89"/>
  <c r="J80"/>
  <c r="J78"/>
  <c r="J51"/>
  <c r="J50"/>
  <c r="J70"/>
  <c r="J49"/>
  <c r="J48"/>
  <c r="J37"/>
  <c r="J18"/>
  <c r="J17"/>
  <c r="J38"/>
  <c r="J132"/>
  <c r="J109"/>
  <c r="J126"/>
  <c r="J108"/>
  <c r="J124"/>
  <c r="J58"/>
  <c r="J21"/>
  <c r="J54"/>
  <c r="J73"/>
  <c r="J121"/>
  <c r="J20"/>
  <c r="J19"/>
  <c r="J76"/>
  <c r="J77"/>
  <c r="J120"/>
  <c r="J119"/>
  <c r="J118"/>
  <c r="J56"/>
  <c r="J55"/>
  <c r="J5"/>
  <c r="J97"/>
  <c r="J96"/>
  <c r="J95"/>
  <c r="J94"/>
  <c r="J93"/>
  <c r="J92"/>
  <c r="J91"/>
  <c r="J90"/>
  <c r="J12"/>
  <c r="J47"/>
  <c r="J46"/>
  <c r="J138"/>
  <c r="J137"/>
  <c r="J136"/>
  <c r="J104"/>
  <c r="J63"/>
  <c r="J68"/>
  <c r="J88"/>
  <c r="J87"/>
  <c r="J86"/>
  <c r="J85"/>
  <c r="J84"/>
  <c r="J83"/>
  <c r="J82"/>
  <c r="J81"/>
  <c r="P11"/>
  <c r="N11"/>
  <c r="L11"/>
  <c r="H11"/>
  <c r="P10"/>
  <c r="N10"/>
  <c r="L10"/>
  <c r="H10"/>
  <c r="P9"/>
  <c r="N9"/>
  <c r="L9"/>
  <c r="H9"/>
  <c r="P8"/>
  <c r="N8"/>
  <c r="L8"/>
  <c r="P7"/>
  <c r="H7"/>
  <c r="H8"/>
  <c r="P126"/>
  <c r="N126"/>
  <c r="L126"/>
  <c r="H126"/>
  <c r="J133" i="28"/>
  <c r="H133"/>
  <c r="A133"/>
  <c r="V589" i="10" l="1"/>
  <c r="V590"/>
  <c r="V587"/>
  <c r="T589"/>
  <c r="T590"/>
  <c r="T587"/>
  <c r="H587"/>
  <c r="H589"/>
  <c r="H590"/>
  <c r="V565"/>
  <c r="T565"/>
  <c r="H565"/>
  <c r="L552"/>
  <c r="T551"/>
  <c r="T552"/>
  <c r="T553"/>
  <c r="T554"/>
  <c r="T550"/>
  <c r="V551"/>
  <c r="V552"/>
  <c r="V553"/>
  <c r="V554"/>
  <c r="V550"/>
  <c r="H554"/>
  <c r="H553"/>
  <c r="H552"/>
  <c r="H551"/>
  <c r="H550"/>
  <c r="N7" i="8"/>
  <c r="L7"/>
  <c r="H6" i="10"/>
  <c r="H7"/>
  <c r="H11"/>
  <c r="H12"/>
  <c r="H32"/>
  <c r="H33"/>
  <c r="H34"/>
  <c r="H35"/>
  <c r="H37"/>
  <c r="H38"/>
  <c r="H53"/>
  <c r="H91"/>
  <c r="H55"/>
  <c r="L55"/>
  <c r="H79"/>
  <c r="H67"/>
  <c r="H69"/>
  <c r="H70"/>
  <c r="H97"/>
  <c r="H73"/>
  <c r="L73"/>
  <c r="H74"/>
  <c r="L74"/>
  <c r="H124"/>
  <c r="H133"/>
  <c r="T133"/>
  <c r="V133"/>
  <c r="H134"/>
  <c r="H138"/>
  <c r="H140"/>
  <c r="H141"/>
  <c r="H144"/>
  <c r="H179"/>
  <c r="H180"/>
  <c r="H181"/>
  <c r="H190"/>
  <c r="H195"/>
  <c r="H198"/>
  <c r="H209"/>
  <c r="H217"/>
  <c r="H223"/>
  <c r="H255"/>
  <c r="L255"/>
  <c r="H256"/>
  <c r="H257"/>
  <c r="H259"/>
  <c r="H262"/>
  <c r="H292"/>
  <c r="H346"/>
  <c r="H362"/>
  <c r="H371"/>
  <c r="H372"/>
  <c r="H373"/>
  <c r="H374"/>
  <c r="H376"/>
  <c r="H380"/>
  <c r="H395"/>
  <c r="H437"/>
  <c r="H438"/>
  <c r="H439"/>
  <c r="H440"/>
  <c r="H441"/>
  <c r="H453"/>
  <c r="H480"/>
  <c r="H489"/>
  <c r="H492"/>
  <c r="H493"/>
  <c r="H496"/>
  <c r="H497"/>
  <c r="H498"/>
  <c r="H499"/>
  <c r="H500"/>
  <c r="H501"/>
  <c r="H512"/>
  <c r="H513"/>
  <c r="H514"/>
  <c r="H515"/>
  <c r="H135" i="8"/>
  <c r="L135"/>
  <c r="N135"/>
  <c r="P135"/>
  <c r="H111"/>
  <c r="L111"/>
  <c r="N111"/>
  <c r="P111"/>
  <c r="H133"/>
  <c r="L133"/>
  <c r="N133"/>
  <c r="P133"/>
  <c r="H134"/>
  <c r="L134"/>
  <c r="N134"/>
  <c r="P134"/>
  <c r="H130"/>
  <c r="L130"/>
  <c r="N130"/>
  <c r="P130"/>
  <c r="H43"/>
  <c r="L43"/>
  <c r="N43"/>
  <c r="P43"/>
  <c r="H41"/>
  <c r="L41"/>
  <c r="N41"/>
  <c r="P41"/>
  <c r="H106"/>
  <c r="L106"/>
  <c r="N106"/>
  <c r="P106"/>
  <c r="H65"/>
  <c r="L65"/>
  <c r="N65"/>
  <c r="P65"/>
  <c r="H44"/>
  <c r="L44"/>
  <c r="N44"/>
  <c r="P44"/>
  <c r="H28"/>
  <c r="L28"/>
  <c r="N28"/>
  <c r="P28"/>
  <c r="H30"/>
  <c r="L30"/>
  <c r="N30"/>
  <c r="P30"/>
  <c r="H31"/>
  <c r="L31"/>
  <c r="N31"/>
  <c r="P31"/>
  <c r="H33"/>
  <c r="L33"/>
  <c r="N33"/>
  <c r="P33"/>
  <c r="H34"/>
  <c r="L34"/>
  <c r="N34"/>
  <c r="P34"/>
  <c r="H36"/>
  <c r="L36"/>
  <c r="N36"/>
  <c r="P36"/>
  <c r="H112"/>
  <c r="L112"/>
  <c r="N112"/>
  <c r="P112"/>
  <c r="H113"/>
  <c r="L113"/>
  <c r="N113"/>
  <c r="P113"/>
  <c r="H114"/>
  <c r="L114"/>
  <c r="N114"/>
  <c r="P114"/>
  <c r="W138" i="38"/>
  <c r="X138"/>
  <c r="W139"/>
  <c r="X139"/>
  <c r="W140"/>
  <c r="X140"/>
  <c r="W141"/>
  <c r="X141"/>
  <c r="W144"/>
  <c r="X144"/>
  <c r="W145"/>
  <c r="X145"/>
  <c r="W146"/>
  <c r="X146"/>
  <c r="W147"/>
  <c r="X147"/>
  <c r="X137"/>
  <c r="W137"/>
  <c r="R138"/>
  <c r="R137"/>
  <c r="S138"/>
  <c r="S137"/>
  <c r="J184" i="9"/>
  <c r="J183"/>
  <c r="J79"/>
  <c r="J80"/>
  <c r="J152"/>
  <c r="J78"/>
  <c r="J151"/>
  <c r="J94"/>
  <c r="J62"/>
  <c r="A79" i="7"/>
  <c r="A78"/>
  <c r="H252" i="10"/>
  <c r="P66" i="8"/>
  <c r="N66"/>
  <c r="L66"/>
  <c r="H66"/>
  <c r="H609" i="10"/>
  <c r="P42" i="8"/>
  <c r="N42"/>
  <c r="L42"/>
  <c r="H42"/>
  <c r="V588" i="10"/>
  <c r="T588"/>
  <c r="H588"/>
  <c r="H106"/>
  <c r="H581"/>
  <c r="H582"/>
  <c r="L87"/>
  <c r="H87"/>
  <c r="V622"/>
  <c r="T622"/>
  <c r="H622"/>
  <c r="P6" i="8"/>
  <c r="N6"/>
  <c r="L6"/>
  <c r="H6"/>
  <c r="P122"/>
  <c r="N122"/>
  <c r="L122"/>
  <c r="H122"/>
  <c r="V563" i="10"/>
  <c r="T563"/>
  <c r="H563"/>
  <c r="H578"/>
  <c r="H218"/>
  <c r="H219"/>
  <c r="H157"/>
  <c r="V549"/>
  <c r="T549"/>
  <c r="H549"/>
  <c r="P59" i="8"/>
  <c r="N59"/>
  <c r="L59"/>
  <c r="H59"/>
  <c r="V623" i="10"/>
  <c r="T623"/>
  <c r="H623"/>
  <c r="V603"/>
  <c r="T603"/>
  <c r="H603"/>
  <c r="N113" i="7"/>
  <c r="A113"/>
  <c r="P81"/>
  <c r="N81"/>
  <c r="A81"/>
  <c r="P82"/>
  <c r="N82"/>
  <c r="A82"/>
  <c r="X136" i="38"/>
  <c r="W136"/>
  <c r="S136"/>
  <c r="X135"/>
  <c r="W135"/>
  <c r="S135"/>
  <c r="X134"/>
  <c r="W134"/>
  <c r="S134"/>
  <c r="J100" i="9"/>
  <c r="J101"/>
  <c r="J102"/>
  <c r="B56" i="40"/>
  <c r="B55"/>
  <c r="B54"/>
  <c r="A85" i="7"/>
  <c r="N85"/>
  <c r="P85"/>
  <c r="A86"/>
  <c r="N86"/>
  <c r="P86"/>
  <c r="P84"/>
  <c r="N84"/>
  <c r="A84"/>
  <c r="J61" i="9" l="1"/>
  <c r="H533"/>
  <c r="J533" s="1"/>
  <c r="H534"/>
  <c r="J534" s="1"/>
  <c r="H535"/>
  <c r="J535" s="1"/>
  <c r="H536"/>
  <c r="J536" s="1"/>
  <c r="H540"/>
  <c r="J540" s="1"/>
  <c r="H541"/>
  <c r="H542"/>
  <c r="H547"/>
  <c r="J547" s="1"/>
  <c r="H548"/>
  <c r="J548" s="1"/>
  <c r="H532"/>
  <c r="J532" s="1"/>
  <c r="H467"/>
  <c r="J467" s="1"/>
  <c r="H468"/>
  <c r="J468" s="1"/>
  <c r="H437"/>
  <c r="J437" s="1"/>
  <c r="H438"/>
  <c r="H439"/>
  <c r="H440"/>
  <c r="J440" s="1"/>
  <c r="H457"/>
  <c r="J457" s="1"/>
  <c r="H422"/>
  <c r="J422" s="1"/>
  <c r="H423"/>
  <c r="J423" s="1"/>
  <c r="H424"/>
  <c r="J424" s="1"/>
  <c r="H425"/>
  <c r="H426"/>
  <c r="H427"/>
  <c r="J427" s="1"/>
  <c r="H428"/>
  <c r="J428" s="1"/>
  <c r="H429"/>
  <c r="J429" s="1"/>
  <c r="H430"/>
  <c r="J430" s="1"/>
  <c r="H330"/>
  <c r="J330" s="1"/>
  <c r="H331"/>
  <c r="J331" s="1"/>
  <c r="H332"/>
  <c r="J332" s="1"/>
  <c r="H333"/>
  <c r="J333" s="1"/>
  <c r="H334"/>
  <c r="J334" s="1"/>
  <c r="H335"/>
  <c r="J335" s="1"/>
  <c r="H336"/>
  <c r="J336" s="1"/>
  <c r="H337"/>
  <c r="J337" s="1"/>
  <c r="H338"/>
  <c r="J338" s="1"/>
  <c r="H339"/>
  <c r="J339" s="1"/>
  <c r="H340"/>
  <c r="J340" s="1"/>
  <c r="H341"/>
  <c r="H342"/>
  <c r="J342" s="1"/>
  <c r="H343"/>
  <c r="J343" s="1"/>
  <c r="H344"/>
  <c r="J344" s="1"/>
  <c r="H345"/>
  <c r="J345" s="1"/>
  <c r="H346"/>
  <c r="J346" s="1"/>
  <c r="H347"/>
  <c r="J347" s="1"/>
  <c r="H386"/>
  <c r="J386" s="1"/>
  <c r="H387"/>
  <c r="H388"/>
  <c r="J388" s="1"/>
  <c r="H389"/>
  <c r="J389" s="1"/>
  <c r="H390"/>
  <c r="J390" s="1"/>
  <c r="H391"/>
  <c r="J391" s="1"/>
  <c r="H392"/>
  <c r="J392" s="1"/>
  <c r="H393"/>
  <c r="J393" s="1"/>
  <c r="H394"/>
  <c r="H395"/>
  <c r="H396"/>
  <c r="J396" s="1"/>
  <c r="H418"/>
  <c r="J418" s="1"/>
  <c r="H419"/>
  <c r="J419" s="1"/>
  <c r="H420"/>
  <c r="J420" s="1"/>
  <c r="H421"/>
  <c r="J421" s="1"/>
  <c r="H266"/>
  <c r="J266" s="1"/>
  <c r="H267"/>
  <c r="J267" s="1"/>
  <c r="H268"/>
  <c r="H269"/>
  <c r="J269" s="1"/>
  <c r="H270"/>
  <c r="J270" s="1"/>
  <c r="H271"/>
  <c r="J271" s="1"/>
  <c r="H272"/>
  <c r="J272" s="1"/>
  <c r="H281"/>
  <c r="J281" s="1"/>
  <c r="H297"/>
  <c r="J297" s="1"/>
  <c r="H298"/>
  <c r="J298" s="1"/>
  <c r="H299"/>
  <c r="H300"/>
  <c r="J300" s="1"/>
  <c r="H301"/>
  <c r="J301" s="1"/>
  <c r="H302"/>
  <c r="J302" s="1"/>
  <c r="H303"/>
  <c r="J303" s="1"/>
  <c r="H304"/>
  <c r="J304" s="1"/>
  <c r="H305"/>
  <c r="J305" s="1"/>
  <c r="H306"/>
  <c r="J306" s="1"/>
  <c r="H307"/>
  <c r="H308"/>
  <c r="J308" s="1"/>
  <c r="H309"/>
  <c r="J309" s="1"/>
  <c r="H310"/>
  <c r="J310" s="1"/>
  <c r="H311"/>
  <c r="J311" s="1"/>
  <c r="H312"/>
  <c r="J312" s="1"/>
  <c r="H329"/>
  <c r="J329" s="1"/>
  <c r="H265"/>
  <c r="J265" s="1"/>
  <c r="H573"/>
  <c r="J573" s="1"/>
  <c r="H261"/>
  <c r="J261" s="1"/>
  <c r="H262"/>
  <c r="J262" s="1"/>
  <c r="H263"/>
  <c r="J263" s="1"/>
  <c r="H264"/>
  <c r="J264" s="1"/>
  <c r="H549"/>
  <c r="J549" s="1"/>
  <c r="H555"/>
  <c r="J555" s="1"/>
  <c r="H289"/>
  <c r="H290"/>
  <c r="H291"/>
  <c r="J291" s="1"/>
  <c r="H292"/>
  <c r="J292" s="1"/>
  <c r="H293"/>
  <c r="J293" s="1"/>
  <c r="H294"/>
  <c r="J294" s="1"/>
  <c r="H295"/>
  <c r="J295" s="1"/>
  <c r="H296"/>
  <c r="J296" s="1"/>
  <c r="H545"/>
  <c r="J545" s="1"/>
  <c r="H546"/>
  <c r="J546" s="1"/>
  <c r="H544"/>
  <c r="J544" s="1"/>
  <c r="H274"/>
  <c r="J274" s="1"/>
  <c r="H275"/>
  <c r="J275" s="1"/>
  <c r="H276"/>
  <c r="J276" s="1"/>
  <c r="H277"/>
  <c r="J277" s="1"/>
  <c r="H278"/>
  <c r="J278" s="1"/>
  <c r="H279"/>
  <c r="J279" s="1"/>
  <c r="H280"/>
  <c r="H282"/>
  <c r="J282" s="1"/>
  <c r="H283"/>
  <c r="J283" s="1"/>
  <c r="H284"/>
  <c r="J284" s="1"/>
  <c r="H285"/>
  <c r="J285" s="1"/>
  <c r="H286"/>
  <c r="J286" s="1"/>
  <c r="H287"/>
  <c r="J287" s="1"/>
  <c r="H349"/>
  <c r="J349" s="1"/>
  <c r="H350"/>
  <c r="H351"/>
  <c r="J351" s="1"/>
  <c r="H352"/>
  <c r="J352" s="1"/>
  <c r="H353"/>
  <c r="J353" s="1"/>
  <c r="H354"/>
  <c r="J354" s="1"/>
  <c r="H355"/>
  <c r="J355" s="1"/>
  <c r="H356"/>
  <c r="J356" s="1"/>
  <c r="H357"/>
  <c r="H358"/>
  <c r="H359"/>
  <c r="J359" s="1"/>
  <c r="H360"/>
  <c r="J360" s="1"/>
  <c r="H361"/>
  <c r="J361" s="1"/>
  <c r="H362"/>
  <c r="J362" s="1"/>
  <c r="H363"/>
  <c r="J363" s="1"/>
  <c r="H364"/>
  <c r="J364" s="1"/>
  <c r="H365"/>
  <c r="J365" s="1"/>
  <c r="H538"/>
  <c r="H539"/>
  <c r="J539" s="1"/>
  <c r="H367"/>
  <c r="J367" s="1"/>
  <c r="H370"/>
  <c r="J370" s="1"/>
  <c r="H371"/>
  <c r="J371" s="1"/>
  <c r="H372"/>
  <c r="J372" s="1"/>
  <c r="H373"/>
  <c r="J373" s="1"/>
  <c r="H374"/>
  <c r="J374" s="1"/>
  <c r="H375"/>
  <c r="H376"/>
  <c r="J376" s="1"/>
  <c r="H377"/>
  <c r="J377" s="1"/>
  <c r="H378"/>
  <c r="J378" s="1"/>
  <c r="H380"/>
  <c r="J380" s="1"/>
  <c r="H381"/>
  <c r="J381" s="1"/>
  <c r="H382"/>
  <c r="J382" s="1"/>
  <c r="H383"/>
  <c r="J383" s="1"/>
  <c r="H368"/>
  <c r="H369"/>
  <c r="J369" s="1"/>
  <c r="H379"/>
  <c r="J379" s="1"/>
  <c r="H384"/>
  <c r="J384" s="1"/>
  <c r="H385"/>
  <c r="J385" s="1"/>
  <c r="H432"/>
  <c r="J432" s="1"/>
  <c r="H433"/>
  <c r="J433" s="1"/>
  <c r="H434"/>
  <c r="J434" s="1"/>
  <c r="H435"/>
  <c r="H436"/>
  <c r="J436" s="1"/>
  <c r="H558"/>
  <c r="J558" s="1"/>
  <c r="H559"/>
  <c r="J559" s="1"/>
  <c r="H560"/>
  <c r="J560" s="1"/>
  <c r="H561"/>
  <c r="J561" s="1"/>
  <c r="H469"/>
  <c r="J469" s="1"/>
  <c r="H470"/>
  <c r="J470" s="1"/>
  <c r="H471"/>
  <c r="J471" s="1"/>
  <c r="H557"/>
  <c r="J557" s="1"/>
  <c r="H529"/>
  <c r="J529" s="1"/>
  <c r="H530"/>
  <c r="J530" s="1"/>
  <c r="H412"/>
  <c r="J412" s="1"/>
  <c r="H413"/>
  <c r="J413" s="1"/>
  <c r="H414"/>
  <c r="J414" s="1"/>
  <c r="H415"/>
  <c r="J415" s="1"/>
  <c r="H416"/>
  <c r="H417"/>
  <c r="J417" s="1"/>
  <c r="H323"/>
  <c r="J323" s="1"/>
  <c r="H324"/>
  <c r="J324" s="1"/>
  <c r="H325"/>
  <c r="J325" s="1"/>
  <c r="H326"/>
  <c r="J326" s="1"/>
  <c r="H314"/>
  <c r="J314" s="1"/>
  <c r="H315"/>
  <c r="J315" s="1"/>
  <c r="H316"/>
  <c r="H317"/>
  <c r="J317" s="1"/>
  <c r="H318"/>
  <c r="J318" s="1"/>
  <c r="H319"/>
  <c r="J319" s="1"/>
  <c r="H320"/>
  <c r="J320" s="1"/>
  <c r="H321"/>
  <c r="J321" s="1"/>
  <c r="H327"/>
  <c r="J327" s="1"/>
  <c r="H328"/>
  <c r="J328" s="1"/>
  <c r="H483"/>
  <c r="H484"/>
  <c r="J484" s="1"/>
  <c r="H485"/>
  <c r="J485" s="1"/>
  <c r="H486"/>
  <c r="J486" s="1"/>
  <c r="H487"/>
  <c r="J487" s="1"/>
  <c r="H554"/>
  <c r="J554" s="1"/>
  <c r="H488"/>
  <c r="J488" s="1"/>
  <c r="H489"/>
  <c r="J489" s="1"/>
  <c r="H490"/>
  <c r="J490" s="1"/>
  <c r="H491"/>
  <c r="J491" s="1"/>
  <c r="H492"/>
  <c r="J492" s="1"/>
  <c r="H493"/>
  <c r="J493" s="1"/>
  <c r="H482"/>
  <c r="J482" s="1"/>
  <c r="H259"/>
  <c r="J259" s="1"/>
  <c r="H251"/>
  <c r="J251" s="1"/>
  <c r="H252"/>
  <c r="J252" s="1"/>
  <c r="H253"/>
  <c r="H254"/>
  <c r="J254" s="1"/>
  <c r="H255"/>
  <c r="J255" s="1"/>
  <c r="H256"/>
  <c r="J256" s="1"/>
  <c r="H257"/>
  <c r="J257" s="1"/>
  <c r="H552"/>
  <c r="J552" s="1"/>
  <c r="H553"/>
  <c r="J553" s="1"/>
  <c r="H258"/>
  <c r="J258" s="1"/>
  <c r="H248"/>
  <c r="J248" s="1"/>
  <c r="H551"/>
  <c r="J551" s="1"/>
  <c r="H574"/>
  <c r="J574" s="1"/>
  <c r="H575"/>
  <c r="J575" s="1"/>
  <c r="H237"/>
  <c r="J237" s="1"/>
  <c r="H238"/>
  <c r="J238" s="1"/>
  <c r="H239"/>
  <c r="J239" s="1"/>
  <c r="H245"/>
  <c r="J245" s="1"/>
  <c r="H246"/>
  <c r="J246" s="1"/>
  <c r="H242"/>
  <c r="J242" s="1"/>
  <c r="H243"/>
  <c r="J243" s="1"/>
  <c r="H244"/>
  <c r="J244" s="1"/>
  <c r="J224"/>
  <c r="J223"/>
  <c r="J222"/>
  <c r="J221"/>
  <c r="J220"/>
  <c r="J219"/>
  <c r="J218"/>
  <c r="J72"/>
  <c r="J182"/>
  <c r="J90"/>
  <c r="J92"/>
  <c r="J91"/>
  <c r="J71"/>
  <c r="J64"/>
  <c r="J63"/>
  <c r="J6"/>
  <c r="J5"/>
  <c r="J58"/>
  <c r="J89"/>
  <c r="J99"/>
  <c r="J98"/>
  <c r="J131"/>
  <c r="J132"/>
  <c r="J130"/>
  <c r="J129"/>
  <c r="J209"/>
  <c r="J208"/>
  <c r="J207"/>
  <c r="J206"/>
  <c r="J205"/>
  <c r="J204"/>
  <c r="J203"/>
  <c r="J202"/>
  <c r="J154"/>
  <c r="J153"/>
  <c r="J83"/>
  <c r="J115"/>
  <c r="J114"/>
  <c r="J29"/>
  <c r="J82"/>
  <c r="J81"/>
  <c r="J9"/>
  <c r="J27"/>
  <c r="J28"/>
  <c r="J108"/>
  <c r="J212"/>
  <c r="J211"/>
  <c r="J141"/>
  <c r="J140"/>
  <c r="J139"/>
  <c r="J84"/>
  <c r="J31"/>
  <c r="J210"/>
  <c r="J77"/>
  <c r="J181"/>
  <c r="J74"/>
  <c r="J73"/>
  <c r="J156"/>
  <c r="J75"/>
  <c r="J143"/>
  <c r="J142"/>
  <c r="J191"/>
  <c r="J190"/>
  <c r="J33"/>
  <c r="J126"/>
  <c r="J215"/>
  <c r="J216"/>
  <c r="J253"/>
  <c r="J189"/>
  <c r="J188"/>
  <c r="J171"/>
  <c r="J162"/>
  <c r="J161"/>
  <c r="J160"/>
  <c r="J148"/>
  <c r="J35"/>
  <c r="J7"/>
  <c r="J34"/>
  <c r="J483"/>
  <c r="J88"/>
  <c r="J87"/>
  <c r="J85"/>
  <c r="J86"/>
  <c r="J147"/>
  <c r="J36"/>
  <c r="J125"/>
  <c r="J124"/>
  <c r="J123"/>
  <c r="J122"/>
  <c r="J121"/>
  <c r="J120"/>
  <c r="J119"/>
  <c r="J118"/>
  <c r="J316"/>
  <c r="J228"/>
  <c r="J226"/>
  <c r="J110"/>
  <c r="J96"/>
  <c r="J95"/>
  <c r="J178"/>
  <c r="J177"/>
  <c r="J416"/>
  <c r="J227"/>
  <c r="J163"/>
  <c r="J103"/>
  <c r="J70"/>
  <c r="J69"/>
  <c r="J435"/>
  <c r="J214"/>
  <c r="J109"/>
  <c r="J213"/>
  <c r="J187"/>
  <c r="J186"/>
  <c r="J135"/>
  <c r="J134"/>
  <c r="J117"/>
  <c r="J116"/>
  <c r="J368"/>
  <c r="J200"/>
  <c r="J106"/>
  <c r="J199"/>
  <c r="J197"/>
  <c r="J192"/>
  <c r="J538"/>
  <c r="J32"/>
  <c r="J375"/>
  <c r="J196"/>
  <c r="J195"/>
  <c r="J169"/>
  <c r="J168"/>
  <c r="J167"/>
  <c r="J166"/>
  <c r="J165"/>
  <c r="J149"/>
  <c r="J350"/>
  <c r="J357"/>
  <c r="J358"/>
  <c r="J137"/>
  <c r="J280"/>
  <c r="J201"/>
  <c r="J68"/>
  <c r="J289"/>
  <c r="J290"/>
  <c r="J104"/>
  <c r="J198"/>
  <c r="J193"/>
  <c r="J97"/>
  <c r="J170"/>
  <c r="J150"/>
  <c r="J60"/>
  <c r="J59"/>
  <c r="J128"/>
  <c r="J127"/>
  <c r="J185"/>
  <c r="J158"/>
  <c r="J157"/>
  <c r="J76"/>
  <c r="J144"/>
  <c r="J268"/>
  <c r="J299"/>
  <c r="J307"/>
  <c r="J341"/>
  <c r="J387"/>
  <c r="J394"/>
  <c r="J395"/>
  <c r="J425"/>
  <c r="J426"/>
  <c r="J155"/>
  <c r="J438"/>
  <c r="J439"/>
  <c r="J112"/>
  <c r="J111"/>
  <c r="J194"/>
  <c r="J231"/>
  <c r="J230"/>
  <c r="J229"/>
  <c r="J217"/>
  <c r="J107"/>
  <c r="J105"/>
  <c r="J180"/>
  <c r="J179"/>
  <c r="J176"/>
  <c r="J175"/>
  <c r="J174"/>
  <c r="J173"/>
  <c r="J172"/>
  <c r="J164"/>
  <c r="J159"/>
  <c r="J541"/>
  <c r="J542"/>
  <c r="J93"/>
  <c r="J146"/>
  <c r="J145"/>
  <c r="J136"/>
  <c r="J67"/>
  <c r="J66"/>
  <c r="J138"/>
  <c r="J65"/>
  <c r="J57"/>
  <c r="J8"/>
  <c r="J30"/>
  <c r="J113"/>
  <c r="N108" i="7"/>
  <c r="A108"/>
  <c r="A80"/>
  <c r="A96"/>
  <c r="A95"/>
  <c r="A51"/>
  <c r="A110"/>
  <c r="A107"/>
  <c r="A111"/>
  <c r="A109"/>
  <c r="A7"/>
  <c r="A125"/>
  <c r="A88"/>
  <c r="A89"/>
  <c r="A90"/>
  <c r="A91"/>
  <c r="A92"/>
  <c r="A93"/>
  <c r="A94"/>
  <c r="A87"/>
  <c r="A15" i="13"/>
  <c r="A6"/>
  <c r="A7"/>
  <c r="A8"/>
  <c r="A9"/>
  <c r="A10"/>
  <c r="A11"/>
  <c r="A12"/>
  <c r="A13"/>
  <c r="A14"/>
  <c r="A16"/>
  <c r="A17"/>
  <c r="A18"/>
  <c r="A19"/>
  <c r="A20"/>
  <c r="A21"/>
  <c r="A22"/>
  <c r="A23"/>
  <c r="A24"/>
  <c r="A25"/>
  <c r="A26"/>
  <c r="A27"/>
  <c r="A28"/>
  <c r="A29"/>
  <c r="A30"/>
  <c r="A31"/>
  <c r="A32"/>
  <c r="A33"/>
  <c r="A34"/>
  <c r="A35"/>
  <c r="A36"/>
  <c r="A37"/>
  <c r="A38"/>
  <c r="A39"/>
  <c r="A40"/>
  <c r="A41"/>
  <c r="A42"/>
  <c r="A43"/>
  <c r="A44"/>
  <c r="A45"/>
  <c r="A46"/>
  <c r="A47"/>
  <c r="A48"/>
  <c r="A49"/>
  <c r="A50"/>
  <c r="A51"/>
  <c r="A52"/>
  <c r="A53"/>
  <c r="A54"/>
  <c r="A5"/>
  <c r="Q17" i="41"/>
  <c r="Q18"/>
  <c r="Q19"/>
  <c r="Q20"/>
  <c r="U30"/>
  <c r="U29"/>
  <c r="U28"/>
  <c r="U27"/>
  <c r="U26"/>
  <c r="U25"/>
  <c r="U24"/>
  <c r="U23"/>
  <c r="U22"/>
  <c r="U21"/>
  <c r="U20"/>
  <c r="U19"/>
  <c r="U18"/>
  <c r="U17"/>
  <c r="U16"/>
  <c r="U15"/>
  <c r="U14"/>
  <c r="U13"/>
  <c r="U12"/>
  <c r="U11"/>
  <c r="U10"/>
  <c r="U9"/>
  <c r="U8"/>
  <c r="U7"/>
  <c r="U6"/>
  <c r="U5"/>
  <c r="U4"/>
  <c r="U3"/>
  <c r="S30"/>
  <c r="S29"/>
  <c r="S28"/>
  <c r="S27"/>
  <c r="S26"/>
  <c r="S25"/>
  <c r="S24"/>
  <c r="S23"/>
  <c r="S22"/>
  <c r="S21"/>
  <c r="S20"/>
  <c r="S19"/>
  <c r="S18"/>
  <c r="S17"/>
  <c r="S16"/>
  <c r="S15"/>
  <c r="S14"/>
  <c r="S13"/>
  <c r="S12"/>
  <c r="S11"/>
  <c r="S10"/>
  <c r="S9"/>
  <c r="S8"/>
  <c r="S7"/>
  <c r="S6"/>
  <c r="S5"/>
  <c r="S4"/>
  <c r="S3"/>
  <c r="Q30"/>
  <c r="Q29"/>
  <c r="Q28"/>
  <c r="Q27"/>
  <c r="Q26"/>
  <c r="Q25"/>
  <c r="Q24"/>
  <c r="Q23"/>
  <c r="Q22"/>
  <c r="Q21"/>
  <c r="Q16"/>
  <c r="Q15"/>
  <c r="Q14"/>
  <c r="Q13"/>
  <c r="Q12"/>
  <c r="Q11"/>
  <c r="Q10"/>
  <c r="Q9"/>
  <c r="Q8"/>
  <c r="Q7"/>
  <c r="Q6"/>
  <c r="Q5"/>
  <c r="Q4"/>
  <c r="Q3"/>
  <c r="N27"/>
  <c r="O27"/>
  <c r="N28"/>
  <c r="O28"/>
  <c r="N29"/>
  <c r="O29"/>
  <c r="N30"/>
  <c r="O30"/>
  <c r="O26"/>
  <c r="N26"/>
  <c r="N22"/>
  <c r="O22"/>
  <c r="N23"/>
  <c r="O23"/>
  <c r="N24"/>
  <c r="O24"/>
  <c r="N25"/>
  <c r="O25"/>
  <c r="O21"/>
  <c r="N21"/>
  <c r="N5"/>
  <c r="O5"/>
  <c r="N6"/>
  <c r="O6"/>
  <c r="N7"/>
  <c r="O7"/>
  <c r="N8"/>
  <c r="O8"/>
  <c r="N9"/>
  <c r="O9"/>
  <c r="N10"/>
  <c r="O10"/>
  <c r="N11"/>
  <c r="O11"/>
  <c r="N12"/>
  <c r="O12"/>
  <c r="N13"/>
  <c r="O13"/>
  <c r="N14"/>
  <c r="O14"/>
  <c r="N15"/>
  <c r="O15"/>
  <c r="N16"/>
  <c r="O16"/>
  <c r="N17"/>
  <c r="O17"/>
  <c r="N18"/>
  <c r="O18"/>
  <c r="N19"/>
  <c r="O19"/>
  <c r="N20"/>
  <c r="O20"/>
  <c r="O4"/>
  <c r="O3"/>
  <c r="N4"/>
  <c r="N3"/>
  <c r="M27"/>
  <c r="M28"/>
  <c r="M29"/>
  <c r="M30"/>
  <c r="M26"/>
  <c r="M22"/>
  <c r="M23"/>
  <c r="M24"/>
  <c r="M25"/>
  <c r="M21"/>
  <c r="M5"/>
  <c r="M6"/>
  <c r="M7"/>
  <c r="M8"/>
  <c r="M9"/>
  <c r="M10"/>
  <c r="M11"/>
  <c r="M12"/>
  <c r="M13"/>
  <c r="M14"/>
  <c r="M15"/>
  <c r="M16"/>
  <c r="M17"/>
  <c r="M18"/>
  <c r="M19"/>
  <c r="M20"/>
  <c r="M4"/>
  <c r="M3"/>
  <c r="L30"/>
  <c r="L27"/>
  <c r="L28"/>
  <c r="L29"/>
  <c r="L26"/>
  <c r="L22"/>
  <c r="L23"/>
  <c r="L24"/>
  <c r="L25"/>
  <c r="L21"/>
  <c r="L20"/>
  <c r="L5"/>
  <c r="L6"/>
  <c r="L7"/>
  <c r="L8"/>
  <c r="L9"/>
  <c r="L10"/>
  <c r="L11"/>
  <c r="L12"/>
  <c r="L13"/>
  <c r="L14"/>
  <c r="L15"/>
  <c r="L16"/>
  <c r="L17"/>
  <c r="L18"/>
  <c r="L19"/>
  <c r="L4"/>
  <c r="L3"/>
  <c r="K22"/>
  <c r="K23"/>
  <c r="K24"/>
  <c r="K25"/>
  <c r="K21"/>
  <c r="K30"/>
  <c r="K29"/>
  <c r="K28"/>
  <c r="K27"/>
  <c r="K26"/>
  <c r="K20"/>
  <c r="K5"/>
  <c r="K6"/>
  <c r="K7"/>
  <c r="K8"/>
  <c r="K9"/>
  <c r="K10"/>
  <c r="K11"/>
  <c r="K12"/>
  <c r="K13"/>
  <c r="K14"/>
  <c r="K15"/>
  <c r="K16"/>
  <c r="K17"/>
  <c r="K18"/>
  <c r="K19"/>
  <c r="K4"/>
  <c r="K3"/>
  <c r="I5"/>
  <c r="I6"/>
  <c r="I7"/>
  <c r="I8"/>
  <c r="I9"/>
  <c r="I10"/>
  <c r="I11"/>
  <c r="I12"/>
  <c r="I13"/>
  <c r="I14"/>
  <c r="I15"/>
  <c r="I16"/>
  <c r="I17"/>
  <c r="I18"/>
  <c r="I19"/>
  <c r="I4"/>
  <c r="I3"/>
  <c r="I20"/>
  <c r="I21"/>
  <c r="I22"/>
  <c r="I23"/>
  <c r="I24"/>
  <c r="I25"/>
  <c r="I30"/>
  <c r="I29"/>
  <c r="I28"/>
  <c r="I27"/>
  <c r="I26"/>
  <c r="G27"/>
  <c r="G28"/>
  <c r="G29"/>
  <c r="G30"/>
  <c r="G26"/>
  <c r="G22"/>
  <c r="G23"/>
  <c r="G24"/>
  <c r="G25"/>
  <c r="G21"/>
  <c r="G20"/>
  <c r="G5"/>
  <c r="G6"/>
  <c r="G7"/>
  <c r="G8"/>
  <c r="G9"/>
  <c r="G10"/>
  <c r="G11"/>
  <c r="G12"/>
  <c r="G13"/>
  <c r="G14"/>
  <c r="G15"/>
  <c r="G16"/>
  <c r="G17"/>
  <c r="G18"/>
  <c r="G19"/>
  <c r="G4"/>
  <c r="G3"/>
  <c r="E22"/>
  <c r="E23"/>
  <c r="E24"/>
  <c r="E25"/>
  <c r="E27"/>
  <c r="E26"/>
  <c r="E5"/>
  <c r="E6"/>
  <c r="E7"/>
  <c r="E8"/>
  <c r="E9"/>
  <c r="E10"/>
  <c r="E11"/>
  <c r="E12"/>
  <c r="E13"/>
  <c r="E14"/>
  <c r="E15"/>
  <c r="E16"/>
  <c r="E17"/>
  <c r="E18"/>
  <c r="E20"/>
  <c r="E21"/>
  <c r="E4"/>
  <c r="E3"/>
  <c r="C17"/>
  <c r="C15"/>
  <c r="C14"/>
  <c r="C5"/>
  <c r="C6"/>
  <c r="Q28" i="43"/>
  <c r="Q27"/>
  <c r="Q26"/>
  <c r="Q25"/>
  <c r="Q24"/>
  <c r="Q22"/>
  <c r="Q21"/>
  <c r="Q20"/>
  <c r="Q19"/>
  <c r="Q18"/>
  <c r="Q17"/>
  <c r="Q16"/>
  <c r="Q15"/>
  <c r="Q14"/>
  <c r="Q13"/>
  <c r="Q12"/>
  <c r="Q11"/>
  <c r="Q10"/>
  <c r="Q9"/>
  <c r="Q8"/>
  <c r="Q7"/>
  <c r="Q6"/>
  <c r="Q5"/>
  <c r="Q4"/>
  <c r="R9"/>
  <c r="R11"/>
  <c r="R28"/>
  <c r="R27"/>
  <c r="R26"/>
  <c r="R25"/>
  <c r="R24"/>
  <c r="R22"/>
  <c r="R21"/>
  <c r="R20"/>
  <c r="R19"/>
  <c r="R18"/>
  <c r="R17"/>
  <c r="R16"/>
  <c r="R15"/>
  <c r="R14"/>
  <c r="R13"/>
  <c r="R12"/>
  <c r="R10"/>
  <c r="R8"/>
  <c r="R7"/>
  <c r="R6"/>
  <c r="R5"/>
  <c r="R4"/>
  <c r="R3"/>
  <c r="Q3"/>
  <c r="P9"/>
  <c r="O21"/>
  <c r="N21"/>
  <c r="O18"/>
  <c r="N18"/>
  <c r="O17"/>
  <c r="N17"/>
  <c r="O15"/>
  <c r="O14"/>
  <c r="N15"/>
  <c r="N14"/>
  <c r="O6"/>
  <c r="N6"/>
  <c r="M5"/>
  <c r="M4"/>
  <c r="M3"/>
  <c r="L5"/>
  <c r="L4"/>
  <c r="L3"/>
  <c r="L9"/>
  <c r="M9"/>
  <c r="M28"/>
  <c r="L27"/>
  <c r="L26"/>
  <c r="M27"/>
  <c r="M26"/>
  <c r="M25"/>
  <c r="L25"/>
  <c r="M22"/>
  <c r="M23"/>
  <c r="M24"/>
  <c r="L21"/>
  <c r="M21"/>
  <c r="M20"/>
  <c r="M18"/>
  <c r="M19"/>
  <c r="L18"/>
  <c r="M17"/>
  <c r="L17"/>
  <c r="M16"/>
  <c r="M15"/>
  <c r="M14"/>
  <c r="M13"/>
  <c r="M12"/>
  <c r="M11"/>
  <c r="M10"/>
  <c r="M8"/>
  <c r="M7"/>
  <c r="M6"/>
  <c r="L15"/>
  <c r="L14"/>
  <c r="L13"/>
  <c r="L11"/>
  <c r="L8"/>
  <c r="L7"/>
  <c r="L6"/>
  <c r="L28"/>
  <c r="L23"/>
  <c r="L24"/>
  <c r="L22"/>
  <c r="L20"/>
  <c r="L19"/>
  <c r="L16"/>
  <c r="L12"/>
  <c r="L10"/>
  <c r="K13" i="47"/>
  <c r="K5"/>
  <c r="K6"/>
  <c r="K7"/>
  <c r="K8"/>
  <c r="K9"/>
  <c r="K10"/>
  <c r="K11"/>
  <c r="K12"/>
  <c r="K14"/>
  <c r="K15"/>
  <c r="K16"/>
  <c r="K4"/>
  <c r="K3"/>
  <c r="I16"/>
  <c r="I15"/>
  <c r="I14"/>
  <c r="I13"/>
  <c r="I12"/>
  <c r="I11"/>
  <c r="I10"/>
  <c r="I9"/>
  <c r="I5"/>
  <c r="I6"/>
  <c r="I7"/>
  <c r="I8"/>
  <c r="I4"/>
  <c r="I3"/>
  <c r="F4"/>
  <c r="G4"/>
  <c r="F5"/>
  <c r="G5"/>
  <c r="F6"/>
  <c r="G6"/>
  <c r="F7"/>
  <c r="G7"/>
  <c r="F8"/>
  <c r="G8"/>
  <c r="F9"/>
  <c r="G9"/>
  <c r="F10"/>
  <c r="G10"/>
  <c r="F11"/>
  <c r="G11"/>
  <c r="F12"/>
  <c r="G12"/>
  <c r="F13"/>
  <c r="G13"/>
  <c r="F14"/>
  <c r="G14"/>
  <c r="F15"/>
  <c r="G15"/>
  <c r="F16"/>
  <c r="G16"/>
  <c r="G3"/>
  <c r="F3"/>
  <c r="E4"/>
  <c r="E5"/>
  <c r="E6"/>
  <c r="E7"/>
  <c r="E8"/>
  <c r="E9"/>
  <c r="E10"/>
  <c r="E11"/>
  <c r="E12"/>
  <c r="E13"/>
  <c r="E14"/>
  <c r="E15"/>
  <c r="E16"/>
  <c r="E3"/>
  <c r="C13"/>
  <c r="C10"/>
  <c r="C8"/>
  <c r="C7"/>
  <c r="C5"/>
  <c r="C6"/>
  <c r="C9"/>
  <c r="C11"/>
  <c r="C12"/>
  <c r="C14"/>
  <c r="C15"/>
  <c r="C16"/>
  <c r="C4"/>
  <c r="C3"/>
  <c r="C29" i="41"/>
  <c r="C28"/>
  <c r="C27"/>
  <c r="C26"/>
  <c r="C22"/>
  <c r="C23"/>
  <c r="C24"/>
  <c r="C25"/>
  <c r="C21"/>
  <c r="P105" i="8"/>
  <c r="N105"/>
  <c r="L105"/>
  <c r="P100"/>
  <c r="N100"/>
  <c r="L100"/>
  <c r="H100"/>
  <c r="V545" i="10"/>
  <c r="V543"/>
  <c r="T545"/>
  <c r="T543"/>
  <c r="H545"/>
  <c r="H543"/>
  <c r="J5" i="36"/>
  <c r="J7"/>
  <c r="J6"/>
  <c r="A7"/>
  <c r="A8"/>
  <c r="A9"/>
  <c r="A10"/>
  <c r="A6"/>
  <c r="A5"/>
  <c r="A7" i="35"/>
  <c r="A8"/>
  <c r="A9"/>
  <c r="A10"/>
  <c r="A6"/>
  <c r="H58" i="2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57"/>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58"/>
  <c r="J59"/>
  <c r="J60"/>
  <c r="J61"/>
  <c r="J62"/>
  <c r="J63"/>
  <c r="J64"/>
  <c r="J65"/>
  <c r="J66"/>
  <c r="J67"/>
  <c r="J68"/>
  <c r="J69"/>
  <c r="J70"/>
  <c r="J71"/>
  <c r="J72"/>
  <c r="J73"/>
  <c r="J74"/>
  <c r="J75"/>
  <c r="J76"/>
  <c r="J77"/>
  <c r="J78"/>
  <c r="J79"/>
  <c r="J80"/>
  <c r="J81"/>
  <c r="J82"/>
  <c r="J83"/>
  <c r="J84"/>
  <c r="J85"/>
  <c r="J86"/>
  <c r="J87"/>
  <c r="J88"/>
  <c r="J89"/>
  <c r="J90"/>
  <c r="J57"/>
  <c r="A126"/>
  <c r="A125"/>
  <c r="A124"/>
  <c r="A123"/>
  <c r="A122"/>
  <c r="A121"/>
  <c r="A120"/>
  <c r="A119"/>
  <c r="A118"/>
  <c r="A117"/>
  <c r="A116"/>
  <c r="A115"/>
  <c r="A114"/>
  <c r="A113"/>
  <c r="A112"/>
  <c r="A111"/>
  <c r="A110"/>
  <c r="A109"/>
  <c r="A108"/>
  <c r="A107"/>
  <c r="A106"/>
  <c r="A105"/>
  <c r="A104"/>
  <c r="A103"/>
  <c r="A102"/>
  <c r="A101"/>
  <c r="A100"/>
  <c r="A99"/>
  <c r="A98"/>
  <c r="A97"/>
  <c r="A96"/>
  <c r="A95"/>
  <c r="A94"/>
  <c r="A93"/>
  <c r="A92"/>
  <c r="A91"/>
  <c r="A90"/>
  <c r="A89"/>
  <c r="A88"/>
  <c r="A87"/>
  <c r="A86"/>
  <c r="A85"/>
  <c r="A84"/>
  <c r="A83"/>
  <c r="A82"/>
  <c r="A81"/>
  <c r="A80"/>
  <c r="A79"/>
  <c r="A78"/>
  <c r="A77"/>
  <c r="A76"/>
  <c r="A75"/>
  <c r="A74"/>
  <c r="A73"/>
  <c r="A72"/>
  <c r="A71"/>
  <c r="A70"/>
  <c r="A69"/>
  <c r="A68"/>
  <c r="A67"/>
  <c r="A66"/>
  <c r="A65"/>
  <c r="A64"/>
  <c r="A63"/>
  <c r="A62"/>
  <c r="A61"/>
  <c r="A60"/>
  <c r="A59"/>
  <c r="A58"/>
  <c r="A57"/>
  <c r="H611" i="10"/>
  <c r="V548"/>
  <c r="T548"/>
  <c r="H548"/>
  <c r="P110" i="8"/>
  <c r="N110"/>
  <c r="L110"/>
  <c r="H110"/>
  <c r="P6" i="32"/>
  <c r="T6" s="1"/>
  <c r="P7"/>
  <c r="T7" s="1"/>
  <c r="P8"/>
  <c r="T8" s="1"/>
  <c r="P9"/>
  <c r="T9" s="1"/>
  <c r="P10"/>
  <c r="T10" s="1"/>
  <c r="P5"/>
  <c r="T5" s="1"/>
  <c r="N10"/>
  <c r="N9"/>
  <c r="N7"/>
  <c r="N6"/>
  <c r="A6"/>
  <c r="A7"/>
  <c r="A8"/>
  <c r="A9"/>
  <c r="A10"/>
  <c r="L8"/>
  <c r="L6"/>
  <c r="L7"/>
  <c r="A5"/>
  <c r="C20" i="41"/>
  <c r="J6" i="25"/>
  <c r="J7"/>
  <c r="J8"/>
  <c r="J9"/>
  <c r="A6"/>
  <c r="A7"/>
  <c r="A8"/>
  <c r="A9"/>
  <c r="H14" i="30"/>
  <c r="H13"/>
  <c r="A14"/>
  <c r="A13"/>
  <c r="H5" i="48"/>
  <c r="H6" i="30"/>
  <c r="H8"/>
  <c r="H9"/>
  <c r="H10"/>
  <c r="A5" i="48"/>
  <c r="A10" i="30"/>
  <c r="A9"/>
  <c r="A8"/>
  <c r="A6"/>
  <c r="A5"/>
  <c r="A40" i="27"/>
  <c r="A41"/>
  <c r="A42"/>
  <c r="A43"/>
  <c r="A44"/>
  <c r="A46"/>
  <c r="A45"/>
  <c r="A47"/>
  <c r="A48"/>
  <c r="A49"/>
  <c r="A50"/>
  <c r="A51"/>
  <c r="A52"/>
  <c r="A53"/>
  <c r="A54"/>
  <c r="A55"/>
  <c r="A56"/>
  <c r="A57"/>
  <c r="A58"/>
  <c r="A9"/>
  <c r="A10"/>
  <c r="A11"/>
  <c r="A12"/>
  <c r="A13"/>
  <c r="A14"/>
  <c r="A15"/>
  <c r="A16"/>
  <c r="A17"/>
  <c r="A18"/>
  <c r="A19"/>
  <c r="A20"/>
  <c r="A21"/>
  <c r="A22"/>
  <c r="A23"/>
  <c r="A24"/>
  <c r="A25"/>
  <c r="A26"/>
  <c r="A27"/>
  <c r="A28"/>
  <c r="A29"/>
  <c r="A30"/>
  <c r="A31"/>
  <c r="A32"/>
  <c r="A33"/>
  <c r="A34"/>
  <c r="A35"/>
  <c r="A36"/>
  <c r="A38"/>
  <c r="A37"/>
  <c r="A8"/>
  <c r="AG7" i="32" l="1"/>
  <c r="J7" s="1"/>
  <c r="J6"/>
  <c r="P15" i="13"/>
  <c r="N15"/>
  <c r="H249" i="9"/>
  <c r="J249" s="1"/>
  <c r="H397"/>
  <c r="J397" s="1"/>
  <c r="N14" i="31" l="1"/>
  <c r="N13"/>
  <c r="N11"/>
  <c r="N10"/>
  <c r="J11"/>
  <c r="J10"/>
  <c r="J13"/>
  <c r="AB29" i="15"/>
  <c r="N7" i="31"/>
  <c r="N6"/>
  <c r="N5"/>
  <c r="N12"/>
  <c r="N15"/>
  <c r="N16"/>
  <c r="N17"/>
  <c r="N18"/>
  <c r="N19"/>
  <c r="N20"/>
  <c r="L13"/>
  <c r="L18"/>
  <c r="T46" i="29"/>
  <c r="T45"/>
  <c r="T44"/>
  <c r="T43"/>
  <c r="T42"/>
  <c r="T41"/>
  <c r="T39"/>
  <c r="T38"/>
  <c r="T37"/>
  <c r="T36"/>
  <c r="T35"/>
  <c r="T34"/>
  <c r="T31"/>
  <c r="T30"/>
  <c r="T29"/>
  <c r="T28"/>
  <c r="T27"/>
  <c r="T26"/>
  <c r="T25"/>
  <c r="T24"/>
  <c r="T23"/>
  <c r="T20"/>
  <c r="T19"/>
  <c r="T18"/>
  <c r="T17"/>
  <c r="T16"/>
  <c r="T15"/>
  <c r="T14"/>
  <c r="T13"/>
  <c r="T12"/>
  <c r="T11"/>
  <c r="T10"/>
  <c r="T9"/>
  <c r="T8"/>
  <c r="T7"/>
  <c r="T6"/>
  <c r="T5"/>
  <c r="R34"/>
  <c r="R31"/>
  <c r="R30"/>
  <c r="R6"/>
  <c r="R7"/>
  <c r="R8"/>
  <c r="R9"/>
  <c r="R10"/>
  <c r="R11"/>
  <c r="R12"/>
  <c r="R13"/>
  <c r="R14"/>
  <c r="R20"/>
  <c r="R19"/>
  <c r="L6"/>
  <c r="L7"/>
  <c r="L8"/>
  <c r="L9"/>
  <c r="L10"/>
  <c r="L11"/>
  <c r="L12"/>
  <c r="L13"/>
  <c r="L14"/>
  <c r="L15"/>
  <c r="L16"/>
  <c r="L17"/>
  <c r="L18"/>
  <c r="L19"/>
  <c r="L20"/>
  <c r="L21"/>
  <c r="L22"/>
  <c r="L23"/>
  <c r="L24"/>
  <c r="L25"/>
  <c r="L26"/>
  <c r="L27"/>
  <c r="L28"/>
  <c r="L29"/>
  <c r="L30"/>
  <c r="L31"/>
  <c r="L34"/>
  <c r="L35"/>
  <c r="L36"/>
  <c r="L37"/>
  <c r="L38"/>
  <c r="L39"/>
  <c r="L42"/>
  <c r="L43"/>
  <c r="L44"/>
  <c r="L45"/>
  <c r="L46"/>
  <c r="L5"/>
  <c r="J46"/>
  <c r="J45"/>
  <c r="J44"/>
  <c r="J43"/>
  <c r="J42"/>
  <c r="J29"/>
  <c r="J30"/>
  <c r="J31"/>
  <c r="J34"/>
  <c r="J35"/>
  <c r="J36"/>
  <c r="J37"/>
  <c r="J38"/>
  <c r="J39"/>
  <c r="AB26" i="15"/>
  <c r="AB27" l="1"/>
  <c r="W26" l="1"/>
  <c r="V26"/>
  <c r="W27"/>
  <c r="V27"/>
  <c r="H30" i="29"/>
  <c r="AB25" i="15"/>
  <c r="AB24"/>
  <c r="H16" i="29"/>
  <c r="H34"/>
  <c r="H19"/>
  <c r="H20"/>
  <c r="S64" i="38"/>
  <c r="J8" i="31" l="1"/>
  <c r="J14"/>
  <c r="J20"/>
  <c r="J15"/>
  <c r="J12"/>
  <c r="J7"/>
  <c r="J9"/>
  <c r="J16"/>
  <c r="J17"/>
  <c r="J18"/>
  <c r="H6"/>
  <c r="H5"/>
  <c r="H11"/>
  <c r="H10"/>
  <c r="H8"/>
  <c r="H13"/>
  <c r="H9"/>
  <c r="H7"/>
  <c r="H12"/>
  <c r="H15"/>
  <c r="H20"/>
  <c r="H14"/>
  <c r="A11"/>
  <c r="A10"/>
  <c r="A8"/>
  <c r="A13"/>
  <c r="A9"/>
  <c r="A7"/>
  <c r="A12"/>
  <c r="A15"/>
  <c r="A20"/>
  <c r="A6"/>
  <c r="A5"/>
  <c r="A14"/>
  <c r="A18"/>
  <c r="A17"/>
  <c r="A16"/>
  <c r="A29" i="29"/>
  <c r="A34"/>
  <c r="A18"/>
  <c r="A30"/>
  <c r="A15"/>
  <c r="A17"/>
  <c r="A32"/>
  <c r="A25"/>
  <c r="A31"/>
  <c r="A13"/>
  <c r="A33"/>
  <c r="A28"/>
  <c r="A16"/>
  <c r="A14"/>
  <c r="A27"/>
  <c r="A26"/>
  <c r="A6"/>
  <c r="A5"/>
  <c r="A10"/>
  <c r="A9"/>
  <c r="A8"/>
  <c r="A7"/>
  <c r="A24"/>
  <c r="A23"/>
  <c r="A22"/>
  <c r="A21"/>
  <c r="A20"/>
  <c r="A19"/>
  <c r="A44"/>
  <c r="A45"/>
  <c r="A43"/>
  <c r="A42"/>
  <c r="A41"/>
  <c r="A12"/>
  <c r="A11"/>
  <c r="A35"/>
  <c r="A36"/>
  <c r="A38"/>
  <c r="A37"/>
  <c r="A40"/>
  <c r="A39"/>
  <c r="A46"/>
  <c r="H22" i="41" l="1"/>
  <c r="H23"/>
  <c r="H24"/>
  <c r="H25"/>
  <c r="H21"/>
  <c r="B22"/>
  <c r="B23"/>
  <c r="B24"/>
  <c r="B25"/>
  <c r="B21"/>
  <c r="R35" i="29"/>
  <c r="R36"/>
  <c r="R38"/>
  <c r="R37"/>
  <c r="R39"/>
  <c r="H35"/>
  <c r="H36"/>
  <c r="H38"/>
  <c r="H37"/>
  <c r="H39"/>
  <c r="T4" i="44"/>
  <c r="T5"/>
  <c r="T8"/>
  <c r="T9"/>
  <c r="T10"/>
  <c r="T3"/>
  <c r="S4"/>
  <c r="S5"/>
  <c r="S8"/>
  <c r="S9"/>
  <c r="S10"/>
  <c r="S3"/>
  <c r="R10"/>
  <c r="R9"/>
  <c r="R8"/>
  <c r="R5"/>
  <c r="R4"/>
  <c r="R3"/>
  <c r="O4"/>
  <c r="O5"/>
  <c r="O8"/>
  <c r="O9"/>
  <c r="O10"/>
  <c r="O3"/>
  <c r="E5" i="42"/>
  <c r="E4"/>
  <c r="E3"/>
  <c r="G3"/>
  <c r="G6"/>
  <c r="G5"/>
  <c r="V21" i="41" l="1"/>
  <c r="I56" i="39"/>
  <c r="K56"/>
  <c r="L56"/>
  <c r="M56"/>
  <c r="L41"/>
  <c r="L42"/>
  <c r="L43"/>
  <c r="L44"/>
  <c r="L45"/>
  <c r="L46"/>
  <c r="L47"/>
  <c r="L48"/>
  <c r="L49"/>
  <c r="L50"/>
  <c r="L40"/>
  <c r="M4"/>
  <c r="M5"/>
  <c r="M6"/>
  <c r="M7"/>
  <c r="M8"/>
  <c r="M9"/>
  <c r="M10"/>
  <c r="M11"/>
  <c r="M12"/>
  <c r="M13"/>
  <c r="M14"/>
  <c r="M15"/>
  <c r="M16"/>
  <c r="M17"/>
  <c r="M18"/>
  <c r="M19"/>
  <c r="M20"/>
  <c r="M21"/>
  <c r="M55"/>
  <c r="M23"/>
  <c r="M24"/>
  <c r="M25"/>
  <c r="M27"/>
  <c r="M28"/>
  <c r="M29"/>
  <c r="M30"/>
  <c r="M31"/>
  <c r="M32"/>
  <c r="M33"/>
  <c r="M35"/>
  <c r="M36"/>
  <c r="M38"/>
  <c r="M39"/>
  <c r="M40"/>
  <c r="M41"/>
  <c r="M42"/>
  <c r="M43"/>
  <c r="M44"/>
  <c r="M45"/>
  <c r="M46"/>
  <c r="M47"/>
  <c r="M48"/>
  <c r="M49"/>
  <c r="M50"/>
  <c r="M51"/>
  <c r="M52"/>
  <c r="M53"/>
  <c r="M54"/>
  <c r="L4"/>
  <c r="L5"/>
  <c r="L6"/>
  <c r="L7"/>
  <c r="L8"/>
  <c r="L9"/>
  <c r="L10"/>
  <c r="L11"/>
  <c r="L12"/>
  <c r="L13"/>
  <c r="L14"/>
  <c r="L15"/>
  <c r="L16"/>
  <c r="L17"/>
  <c r="L18"/>
  <c r="L19"/>
  <c r="L20"/>
  <c r="L21"/>
  <c r="L55"/>
  <c r="L23"/>
  <c r="L24"/>
  <c r="L25"/>
  <c r="L27"/>
  <c r="L28"/>
  <c r="L29"/>
  <c r="L30"/>
  <c r="L31"/>
  <c r="L32"/>
  <c r="L33"/>
  <c r="L35"/>
  <c r="L36"/>
  <c r="L38"/>
  <c r="L39"/>
  <c r="L51"/>
  <c r="L52"/>
  <c r="L53"/>
  <c r="L54"/>
  <c r="S109" i="38"/>
  <c r="S75"/>
  <c r="AA3"/>
  <c r="AA4"/>
  <c r="AA5"/>
  <c r="AA6"/>
  <c r="AA7"/>
  <c r="AA8"/>
  <c r="AA9"/>
  <c r="AA10"/>
  <c r="AA11"/>
  <c r="AA12"/>
  <c r="AA13"/>
  <c r="AA14"/>
  <c r="AA15"/>
  <c r="AA16"/>
  <c r="AA17"/>
  <c r="AA18"/>
  <c r="AA19"/>
  <c r="AA20"/>
  <c r="AA21"/>
  <c r="AA22"/>
  <c r="AA23"/>
  <c r="AA24"/>
  <c r="AA25"/>
  <c r="AA26"/>
  <c r="AA27"/>
  <c r="AA28"/>
  <c r="AA29"/>
  <c r="AA30"/>
  <c r="AA31"/>
  <c r="AA32"/>
  <c r="AA33"/>
  <c r="AA34"/>
  <c r="AA35"/>
  <c r="AA36"/>
  <c r="AA37"/>
  <c r="AA38"/>
  <c r="AA39"/>
  <c r="AA40"/>
  <c r="AA41"/>
  <c r="AA42"/>
  <c r="AA43"/>
  <c r="AA44"/>
  <c r="AA45"/>
  <c r="AA46"/>
  <c r="AA47"/>
  <c r="AA48"/>
  <c r="AA49"/>
  <c r="AA50"/>
  <c r="AA51"/>
  <c r="AA52"/>
  <c r="AA53"/>
  <c r="AA54"/>
  <c r="AA55"/>
  <c r="AA56"/>
  <c r="L3" i="39"/>
  <c r="A48" i="7" l="1"/>
  <c r="A50"/>
  <c r="A49"/>
  <c r="A46"/>
  <c r="A6"/>
  <c r="A44"/>
  <c r="A43"/>
  <c r="A121"/>
  <c r="A47"/>
  <c r="A122"/>
  <c r="A45"/>
  <c r="A5"/>
  <c r="F27" i="40"/>
  <c r="K55" i="39"/>
  <c r="I55"/>
  <c r="H604" i="10"/>
  <c r="T604"/>
  <c r="V604"/>
  <c r="H606"/>
  <c r="H608"/>
  <c r="H597"/>
  <c r="T597"/>
  <c r="V597"/>
  <c r="H568"/>
  <c r="H575"/>
  <c r="H579"/>
  <c r="H580"/>
  <c r="H586"/>
  <c r="H567"/>
  <c r="H562"/>
  <c r="T562"/>
  <c r="V562"/>
  <c r="V542"/>
  <c r="T542"/>
  <c r="H542"/>
  <c r="H25"/>
  <c r="H49"/>
  <c r="H50"/>
  <c r="H51"/>
  <c r="H78"/>
  <c r="H90"/>
  <c r="H54"/>
  <c r="H56"/>
  <c r="H72"/>
  <c r="H98"/>
  <c r="H100"/>
  <c r="H101"/>
  <c r="H102"/>
  <c r="H128"/>
  <c r="H129"/>
  <c r="H130"/>
  <c r="H131"/>
  <c r="H132"/>
  <c r="H176"/>
  <c r="H205"/>
  <c r="L205"/>
  <c r="H206"/>
  <c r="H207"/>
  <c r="H208"/>
  <c r="H210"/>
  <c r="H222"/>
  <c r="H258"/>
  <c r="H263"/>
  <c r="H275"/>
  <c r="H289"/>
  <c r="H290"/>
  <c r="H291"/>
  <c r="H297"/>
  <c r="H298"/>
  <c r="H299"/>
  <c r="H300"/>
  <c r="H302"/>
  <c r="H364"/>
  <c r="H366"/>
  <c r="H367"/>
  <c r="H368"/>
  <c r="H369"/>
  <c r="H370"/>
  <c r="H375"/>
  <c r="H378"/>
  <c r="H387"/>
  <c r="H388"/>
  <c r="H390"/>
  <c r="H391"/>
  <c r="H392"/>
  <c r="H432"/>
  <c r="H433"/>
  <c r="H434"/>
  <c r="H435"/>
  <c r="H436"/>
  <c r="H455"/>
  <c r="L455"/>
  <c r="H457"/>
  <c r="H483"/>
  <c r="H486"/>
  <c r="H487"/>
  <c r="H502"/>
  <c r="H40" i="8"/>
  <c r="H45"/>
  <c r="H52"/>
  <c r="H60"/>
  <c r="H61"/>
  <c r="H62"/>
  <c r="H64"/>
  <c r="H67"/>
  <c r="H69"/>
  <c r="H123"/>
  <c r="H13"/>
  <c r="H14"/>
  <c r="H15"/>
  <c r="H22"/>
  <c r="H24"/>
  <c r="H25"/>
  <c r="H29"/>
  <c r="H32"/>
  <c r="H35"/>
  <c r="A5" i="25"/>
  <c r="A5" i="35"/>
  <c r="N122" i="7"/>
  <c r="N121"/>
  <c r="J122"/>
  <c r="J121"/>
  <c r="X72" i="38"/>
  <c r="W72"/>
  <c r="S72"/>
  <c r="R29" i="29"/>
  <c r="R18"/>
  <c r="R25"/>
  <c r="R17"/>
  <c r="R28"/>
  <c r="H25"/>
  <c r="J18"/>
  <c r="H15"/>
  <c r="J15"/>
  <c r="R15"/>
  <c r="J17"/>
  <c r="J25"/>
  <c r="J13"/>
  <c r="J28"/>
  <c r="J16"/>
  <c r="R16"/>
  <c r="J14"/>
  <c r="R5"/>
  <c r="R26"/>
  <c r="R27"/>
  <c r="H26"/>
  <c r="AT2" i="34"/>
  <c r="G4" i="42"/>
  <c r="F5"/>
  <c r="F3"/>
  <c r="F4"/>
  <c r="I3" i="51"/>
  <c r="H3"/>
  <c r="H139" i="10"/>
  <c r="L45" i="8"/>
  <c r="N45"/>
  <c r="P45"/>
  <c r="L52"/>
  <c r="N52"/>
  <c r="P52"/>
  <c r="L60"/>
  <c r="N60"/>
  <c r="P60"/>
  <c r="L61"/>
  <c r="N61"/>
  <c r="P61"/>
  <c r="L62"/>
  <c r="N62"/>
  <c r="P62"/>
  <c r="L64"/>
  <c r="N64"/>
  <c r="P64"/>
  <c r="L67"/>
  <c r="N67"/>
  <c r="P67"/>
  <c r="L69"/>
  <c r="N69"/>
  <c r="P69"/>
  <c r="L13"/>
  <c r="N13"/>
  <c r="P13"/>
  <c r="L14"/>
  <c r="N14"/>
  <c r="P14"/>
  <c r="L15"/>
  <c r="N15"/>
  <c r="P15"/>
  <c r="L22"/>
  <c r="N22"/>
  <c r="P22"/>
  <c r="L24"/>
  <c r="N24"/>
  <c r="P24"/>
  <c r="L25"/>
  <c r="N25"/>
  <c r="P25"/>
  <c r="L29"/>
  <c r="N29"/>
  <c r="P29"/>
  <c r="L32"/>
  <c r="N32"/>
  <c r="P32"/>
  <c r="L35"/>
  <c r="N35"/>
  <c r="P35"/>
  <c r="L40"/>
  <c r="N40"/>
  <c r="P40"/>
  <c r="H98"/>
  <c r="L98"/>
  <c r="N98"/>
  <c r="P98"/>
  <c r="H99"/>
  <c r="L99"/>
  <c r="N99"/>
  <c r="P99"/>
  <c r="H128"/>
  <c r="L128"/>
  <c r="N128"/>
  <c r="P128"/>
  <c r="H129"/>
  <c r="L129"/>
  <c r="N129"/>
  <c r="P129"/>
  <c r="H101"/>
  <c r="L101"/>
  <c r="N101"/>
  <c r="P101"/>
  <c r="H102"/>
  <c r="L102"/>
  <c r="N102"/>
  <c r="P102"/>
  <c r="H131"/>
  <c r="L131"/>
  <c r="N131"/>
  <c r="P131"/>
  <c r="H103"/>
  <c r="L103"/>
  <c r="N103"/>
  <c r="P103"/>
  <c r="H107"/>
  <c r="L107"/>
  <c r="N107"/>
  <c r="P107"/>
  <c r="L123"/>
  <c r="N123"/>
  <c r="P123"/>
  <c r="P5"/>
  <c r="N5"/>
  <c r="L5"/>
  <c r="H5"/>
  <c r="H71"/>
  <c r="L71"/>
  <c r="N71"/>
  <c r="P71"/>
  <c r="H117"/>
  <c r="L117"/>
  <c r="N117"/>
  <c r="P117"/>
  <c r="H53"/>
  <c r="L53"/>
  <c r="N53"/>
  <c r="P53"/>
  <c r="H75"/>
  <c r="L75"/>
  <c r="N75"/>
  <c r="P75"/>
  <c r="H39"/>
  <c r="L39"/>
  <c r="N39"/>
  <c r="P39"/>
  <c r="H72"/>
  <c r="L72"/>
  <c r="N72"/>
  <c r="P72"/>
  <c r="H74"/>
  <c r="L74"/>
  <c r="N74"/>
  <c r="P74"/>
  <c r="H115"/>
  <c r="L115"/>
  <c r="N115"/>
  <c r="P115"/>
  <c r="H116"/>
  <c r="L116"/>
  <c r="N116"/>
  <c r="P116"/>
  <c r="H57"/>
  <c r="L57"/>
  <c r="N57"/>
  <c r="P57"/>
  <c r="H23"/>
  <c r="L23"/>
  <c r="N23"/>
  <c r="P23"/>
  <c r="H132"/>
  <c r="L132"/>
  <c r="N132"/>
  <c r="P132"/>
  <c r="H38"/>
  <c r="L38"/>
  <c r="N38"/>
  <c r="P38"/>
  <c r="H17"/>
  <c r="L17"/>
  <c r="N17"/>
  <c r="P17"/>
  <c r="H18"/>
  <c r="L18"/>
  <c r="N18"/>
  <c r="P18"/>
  <c r="H37"/>
  <c r="L37"/>
  <c r="N37"/>
  <c r="P37"/>
  <c r="H48"/>
  <c r="L48"/>
  <c r="N48"/>
  <c r="P48"/>
  <c r="H49"/>
  <c r="L49"/>
  <c r="N49"/>
  <c r="P49"/>
  <c r="H70"/>
  <c r="L70"/>
  <c r="N70"/>
  <c r="P70"/>
  <c r="H50"/>
  <c r="L50"/>
  <c r="N50"/>
  <c r="P50"/>
  <c r="H51"/>
  <c r="L51"/>
  <c r="N51"/>
  <c r="P51"/>
  <c r="H78"/>
  <c r="L78"/>
  <c r="N78"/>
  <c r="P78"/>
  <c r="H80"/>
  <c r="L80"/>
  <c r="N80"/>
  <c r="P80"/>
  <c r="H89"/>
  <c r="L89"/>
  <c r="N89"/>
  <c r="P89"/>
  <c r="H26"/>
  <c r="L26"/>
  <c r="N26"/>
  <c r="P26"/>
  <c r="H27"/>
  <c r="L27"/>
  <c r="N27"/>
  <c r="P27"/>
  <c r="H16"/>
  <c r="L16"/>
  <c r="N16"/>
  <c r="P16"/>
  <c r="H79"/>
  <c r="L79"/>
  <c r="N79"/>
  <c r="P79"/>
  <c r="H124"/>
  <c r="L124"/>
  <c r="N124"/>
  <c r="P124"/>
  <c r="H108"/>
  <c r="L108"/>
  <c r="N108"/>
  <c r="P108"/>
  <c r="H20"/>
  <c r="L20"/>
  <c r="N20"/>
  <c r="P20"/>
  <c r="H121"/>
  <c r="L121"/>
  <c r="N121"/>
  <c r="P121"/>
  <c r="H73"/>
  <c r="L73"/>
  <c r="N73"/>
  <c r="P73"/>
  <c r="H54"/>
  <c r="L54"/>
  <c r="N54"/>
  <c r="P54"/>
  <c r="H21"/>
  <c r="L21"/>
  <c r="N21"/>
  <c r="P21"/>
  <c r="H76"/>
  <c r="L76"/>
  <c r="N76"/>
  <c r="P76"/>
  <c r="H119"/>
  <c r="L119"/>
  <c r="N119"/>
  <c r="P119"/>
  <c r="H120"/>
  <c r="L120"/>
  <c r="N120"/>
  <c r="P120"/>
  <c r="H56"/>
  <c r="L56"/>
  <c r="N56"/>
  <c r="P56"/>
  <c r="H97"/>
  <c r="L97"/>
  <c r="N97"/>
  <c r="P97"/>
  <c r="H90"/>
  <c r="L90"/>
  <c r="N90"/>
  <c r="P90"/>
  <c r="H91"/>
  <c r="L91"/>
  <c r="N91"/>
  <c r="P91"/>
  <c r="H92"/>
  <c r="L92"/>
  <c r="N92"/>
  <c r="P92"/>
  <c r="H93"/>
  <c r="L93"/>
  <c r="N93"/>
  <c r="P93"/>
  <c r="H94"/>
  <c r="L94"/>
  <c r="N94"/>
  <c r="P94"/>
  <c r="H95"/>
  <c r="L95"/>
  <c r="N95"/>
  <c r="P95"/>
  <c r="H96"/>
  <c r="L96"/>
  <c r="N96"/>
  <c r="P96"/>
  <c r="H136"/>
  <c r="L136"/>
  <c r="N136"/>
  <c r="P136"/>
  <c r="H137"/>
  <c r="L137"/>
  <c r="N137"/>
  <c r="P137"/>
  <c r="H138"/>
  <c r="L138"/>
  <c r="N138"/>
  <c r="P138"/>
  <c r="H46"/>
  <c r="L46"/>
  <c r="N46"/>
  <c r="P46"/>
  <c r="H47"/>
  <c r="L47"/>
  <c r="N47"/>
  <c r="P47"/>
  <c r="H82"/>
  <c r="L82"/>
  <c r="N82"/>
  <c r="P82"/>
  <c r="H83"/>
  <c r="L83"/>
  <c r="N83"/>
  <c r="P83"/>
  <c r="H84"/>
  <c r="L84"/>
  <c r="N84"/>
  <c r="P84"/>
  <c r="H85"/>
  <c r="L85"/>
  <c r="N85"/>
  <c r="P85"/>
  <c r="H86"/>
  <c r="L86"/>
  <c r="N86"/>
  <c r="P86"/>
  <c r="H87"/>
  <c r="L87"/>
  <c r="N87"/>
  <c r="P87"/>
  <c r="H88"/>
  <c r="L88"/>
  <c r="N88"/>
  <c r="P88"/>
  <c r="H68"/>
  <c r="L68"/>
  <c r="N68"/>
  <c r="P68"/>
  <c r="H63"/>
  <c r="L63"/>
  <c r="N63"/>
  <c r="P63"/>
  <c r="P125"/>
  <c r="N125"/>
  <c r="L125"/>
  <c r="H125"/>
  <c r="P109"/>
  <c r="N109"/>
  <c r="L109"/>
  <c r="H109"/>
  <c r="P58"/>
  <c r="N58"/>
  <c r="L58"/>
  <c r="H58"/>
  <c r="P19"/>
  <c r="N19"/>
  <c r="L19"/>
  <c r="H19"/>
  <c r="P77"/>
  <c r="N77"/>
  <c r="L77"/>
  <c r="H77"/>
  <c r="P118"/>
  <c r="N118"/>
  <c r="L118"/>
  <c r="H118"/>
  <c r="P55"/>
  <c r="N55"/>
  <c r="L55"/>
  <c r="H55"/>
  <c r="P12"/>
  <c r="N12"/>
  <c r="L12"/>
  <c r="H12"/>
  <c r="P104"/>
  <c r="N104"/>
  <c r="L104"/>
  <c r="H104"/>
  <c r="P81"/>
  <c r="N81"/>
  <c r="L81"/>
  <c r="H81"/>
  <c r="H254" i="10" l="1"/>
  <c r="H615"/>
  <c r="H484"/>
  <c r="H485"/>
  <c r="H204"/>
  <c r="H602"/>
  <c r="L602"/>
  <c r="T602"/>
  <c r="V602"/>
  <c r="H46"/>
  <c r="H386"/>
  <c r="H40"/>
  <c r="H41"/>
  <c r="H296"/>
  <c r="H99"/>
  <c r="H260"/>
  <c r="H68"/>
  <c r="H86"/>
  <c r="H104"/>
  <c r="H105"/>
  <c r="L105"/>
  <c r="H103"/>
  <c r="H163"/>
  <c r="H301"/>
  <c r="H253"/>
  <c r="H307"/>
  <c r="H312"/>
  <c r="H323"/>
  <c r="H389"/>
  <c r="H393"/>
  <c r="H394"/>
  <c r="H396"/>
  <c r="H83"/>
  <c r="H110"/>
  <c r="H111"/>
  <c r="H112"/>
  <c r="H113"/>
  <c r="H114"/>
  <c r="H115"/>
  <c r="H116"/>
  <c r="H117"/>
  <c r="H118"/>
  <c r="H119"/>
  <c r="H120"/>
  <c r="H121"/>
  <c r="H122"/>
  <c r="H123"/>
  <c r="H166"/>
  <c r="H363"/>
  <c r="H365"/>
  <c r="H43"/>
  <c r="H44"/>
  <c r="H45"/>
  <c r="H76"/>
  <c r="H77"/>
  <c r="H147"/>
  <c r="H148"/>
  <c r="H357"/>
  <c r="H358"/>
  <c r="H361"/>
  <c r="H109"/>
  <c r="H146"/>
  <c r="H165"/>
  <c r="H377"/>
  <c r="T377"/>
  <c r="V377"/>
  <c r="H359"/>
  <c r="H360"/>
  <c r="H397"/>
  <c r="H398"/>
  <c r="H556"/>
  <c r="T556"/>
  <c r="V556"/>
  <c r="H557"/>
  <c r="T557"/>
  <c r="V557"/>
  <c r="H585"/>
  <c r="H598"/>
  <c r="T598"/>
  <c r="V598"/>
  <c r="H616"/>
  <c r="H617"/>
  <c r="H619"/>
  <c r="H442"/>
  <c r="H443"/>
  <c r="H460"/>
  <c r="H477"/>
  <c r="T477"/>
  <c r="V477"/>
  <c r="H452"/>
  <c r="H454"/>
  <c r="H479"/>
  <c r="H450"/>
  <c r="H451"/>
  <c r="H143"/>
  <c r="H142"/>
  <c r="H446"/>
  <c r="H447"/>
  <c r="H491"/>
  <c r="H444"/>
  <c r="H445"/>
  <c r="H490"/>
  <c r="H286"/>
  <c r="H506"/>
  <c r="H507"/>
  <c r="H508"/>
  <c r="H519"/>
  <c r="H520"/>
  <c r="H135"/>
  <c r="H288"/>
  <c r="H569"/>
  <c r="H518"/>
  <c r="H58"/>
  <c r="H154"/>
  <c r="H287"/>
  <c r="H295"/>
  <c r="H379"/>
  <c r="H381"/>
  <c r="H516"/>
  <c r="H517"/>
  <c r="H524"/>
  <c r="T524"/>
  <c r="V524"/>
  <c r="H533"/>
  <c r="T533"/>
  <c r="V533"/>
  <c r="H576"/>
  <c r="H577"/>
  <c r="H137"/>
  <c r="H264"/>
  <c r="H265"/>
  <c r="H293"/>
  <c r="H294"/>
  <c r="H426"/>
  <c r="H503"/>
  <c r="L503"/>
  <c r="H504"/>
  <c r="H505"/>
  <c r="H509"/>
  <c r="H510"/>
  <c r="H511"/>
  <c r="H406"/>
  <c r="H26"/>
  <c r="H212"/>
  <c r="H242"/>
  <c r="H407"/>
  <c r="H408"/>
  <c r="H409"/>
  <c r="H410"/>
  <c r="H411"/>
  <c r="H412"/>
  <c r="H413"/>
  <c r="H414"/>
  <c r="H415"/>
  <c r="H416"/>
  <c r="H417"/>
  <c r="H418"/>
  <c r="H225"/>
  <c r="H226"/>
  <c r="H227"/>
  <c r="T227"/>
  <c r="V227"/>
  <c r="H228"/>
  <c r="H421"/>
  <c r="H422"/>
  <c r="H423"/>
  <c r="H424"/>
  <c r="H425"/>
  <c r="H237"/>
  <c r="H238"/>
  <c r="H239"/>
  <c r="H240"/>
  <c r="H241"/>
  <c r="H429"/>
  <c r="H430"/>
  <c r="H431"/>
  <c r="H127"/>
  <c r="H199"/>
  <c r="H200"/>
  <c r="H159"/>
  <c r="H156"/>
  <c r="H158"/>
  <c r="H108"/>
  <c r="H125"/>
  <c r="H126"/>
  <c r="H155"/>
  <c r="L155"/>
  <c r="L88"/>
  <c r="H88"/>
  <c r="H584"/>
  <c r="H571"/>
  <c r="H547"/>
  <c r="T547"/>
  <c r="V547"/>
  <c r="H85"/>
  <c r="H201"/>
  <c r="H211"/>
  <c r="H243"/>
  <c r="H428"/>
  <c r="H71"/>
  <c r="H52"/>
  <c r="H197"/>
  <c r="H399"/>
  <c r="H400"/>
  <c r="H401"/>
  <c r="H402"/>
  <c r="H403"/>
  <c r="H404"/>
  <c r="H405"/>
  <c r="L405"/>
  <c r="H427"/>
  <c r="T427"/>
  <c r="V427"/>
  <c r="H94"/>
  <c r="H164"/>
  <c r="H475"/>
  <c r="H476"/>
  <c r="H27"/>
  <c r="H28"/>
  <c r="H29"/>
  <c r="H494"/>
  <c r="H495"/>
  <c r="H618"/>
  <c r="H599"/>
  <c r="T599"/>
  <c r="V599"/>
  <c r="H574"/>
  <c r="H456"/>
  <c r="H488"/>
  <c r="H458"/>
  <c r="H221"/>
  <c r="H448"/>
  <c r="H449"/>
  <c r="H224"/>
  <c r="H481"/>
  <c r="H472"/>
  <c r="H478"/>
  <c r="H473"/>
  <c r="H202"/>
  <c r="H30"/>
  <c r="H31"/>
  <c r="H573"/>
  <c r="H620"/>
  <c r="H559"/>
  <c r="T559"/>
  <c r="V559"/>
  <c r="H560"/>
  <c r="T560"/>
  <c r="V560"/>
  <c r="H96"/>
  <c r="H471"/>
  <c r="H470"/>
  <c r="H162"/>
  <c r="H160"/>
  <c r="H161"/>
  <c r="H216"/>
  <c r="H213"/>
  <c r="H214"/>
  <c r="H215"/>
  <c r="H601"/>
  <c r="T601"/>
  <c r="V601"/>
  <c r="H463"/>
  <c r="H464"/>
  <c r="H465"/>
  <c r="H466"/>
  <c r="H467"/>
  <c r="H468"/>
  <c r="H469"/>
  <c r="H244"/>
  <c r="H245"/>
  <c r="H246"/>
  <c r="H247"/>
  <c r="H248"/>
  <c r="H249"/>
  <c r="H250"/>
  <c r="H251"/>
  <c r="H459"/>
  <c r="H461"/>
  <c r="H535"/>
  <c r="T535"/>
  <c r="V535"/>
  <c r="H536"/>
  <c r="T536"/>
  <c r="V536"/>
  <c r="H537"/>
  <c r="T537"/>
  <c r="V537"/>
  <c r="H538"/>
  <c r="T538"/>
  <c r="V538"/>
  <c r="H539"/>
  <c r="T539"/>
  <c r="V539"/>
  <c r="H540"/>
  <c r="T540"/>
  <c r="V540"/>
  <c r="H541"/>
  <c r="T541"/>
  <c r="V541"/>
  <c r="H482"/>
  <c r="H203"/>
  <c r="H261"/>
  <c r="H39"/>
  <c r="H145"/>
  <c r="H82"/>
  <c r="H42"/>
  <c r="H194"/>
  <c r="H152"/>
  <c r="H57"/>
  <c r="H136"/>
  <c r="H419"/>
  <c r="H89"/>
  <c r="H420"/>
  <c r="H196"/>
  <c r="H107"/>
  <c r="H47"/>
  <c r="H84"/>
  <c r="H474"/>
  <c r="H93"/>
  <c r="H36"/>
  <c r="H92"/>
  <c r="H462"/>
  <c r="H566"/>
  <c r="V605"/>
  <c r="T605"/>
  <c r="H605"/>
  <c r="V555"/>
  <c r="T555"/>
  <c r="H555"/>
  <c r="V564"/>
  <c r="T564"/>
  <c r="H564"/>
  <c r="V523"/>
  <c r="T523"/>
  <c r="H523"/>
  <c r="V522"/>
  <c r="T522"/>
  <c r="H522"/>
  <c r="V596"/>
  <c r="T596"/>
  <c r="H596"/>
  <c r="V595"/>
  <c r="T595"/>
  <c r="H595"/>
  <c r="V594"/>
  <c r="T594"/>
  <c r="H594"/>
  <c r="V593"/>
  <c r="T593"/>
  <c r="H593"/>
  <c r="H583"/>
  <c r="H570"/>
  <c r="V546"/>
  <c r="T546"/>
  <c r="H546"/>
  <c r="V561"/>
  <c r="T561"/>
  <c r="H561"/>
  <c r="H572"/>
  <c r="H621"/>
  <c r="V558"/>
  <c r="T558"/>
  <c r="H558"/>
  <c r="V600"/>
  <c r="T600"/>
  <c r="H600"/>
  <c r="V534"/>
  <c r="T534"/>
  <c r="H534"/>
  <c r="H9"/>
  <c r="H15"/>
  <c r="H17"/>
  <c r="H19"/>
  <c r="H21"/>
  <c r="H14"/>
  <c r="H16"/>
  <c r="H18"/>
  <c r="H20"/>
  <c r="H22"/>
  <c r="H5"/>
  <c r="L5"/>
  <c r="T5"/>
  <c r="V5"/>
  <c r="H23"/>
  <c r="H24"/>
  <c r="H10"/>
  <c r="H8"/>
  <c r="H13"/>
  <c r="H281"/>
  <c r="H282"/>
  <c r="H283"/>
  <c r="H175"/>
  <c r="H153"/>
  <c r="H151"/>
  <c r="H149"/>
  <c r="H150"/>
  <c r="H177"/>
  <c r="T177"/>
  <c r="V177"/>
  <c r="H178"/>
  <c r="H182"/>
  <c r="H186"/>
  <c r="H191"/>
  <c r="H192"/>
  <c r="H193"/>
  <c r="H184"/>
  <c r="H188"/>
  <c r="H185"/>
  <c r="H189"/>
  <c r="H183"/>
  <c r="H187"/>
  <c r="H80"/>
  <c r="H81"/>
  <c r="H382"/>
  <c r="H303"/>
  <c r="H306"/>
  <c r="H220"/>
  <c r="H384"/>
  <c r="H385"/>
  <c r="H345"/>
  <c r="H304"/>
  <c r="H308"/>
  <c r="H305"/>
  <c r="L305"/>
  <c r="H309"/>
  <c r="H383"/>
  <c r="H279"/>
  <c r="H280"/>
  <c r="H95"/>
  <c r="H174"/>
  <c r="H343"/>
  <c r="H334"/>
  <c r="H335"/>
  <c r="H277"/>
  <c r="H278"/>
  <c r="H236"/>
  <c r="H344"/>
  <c r="H285"/>
  <c r="H356"/>
  <c r="H355"/>
  <c r="H336"/>
  <c r="H167"/>
  <c r="H168"/>
  <c r="H169"/>
  <c r="H170"/>
  <c r="H171"/>
  <c r="H172"/>
  <c r="H173"/>
  <c r="H338"/>
  <c r="H328"/>
  <c r="H274"/>
  <c r="H276"/>
  <c r="H231"/>
  <c r="H339"/>
  <c r="H284"/>
  <c r="H329"/>
  <c r="H315"/>
  <c r="H316"/>
  <c r="H232"/>
  <c r="H340"/>
  <c r="H330"/>
  <c r="H317"/>
  <c r="H318"/>
  <c r="H233"/>
  <c r="H341"/>
  <c r="H331"/>
  <c r="H319"/>
  <c r="H320"/>
  <c r="H234"/>
  <c r="H342"/>
  <c r="H332"/>
  <c r="H333"/>
  <c r="H321"/>
  <c r="H322"/>
  <c r="H235"/>
  <c r="H60"/>
  <c r="H61"/>
  <c r="H62"/>
  <c r="H63"/>
  <c r="H64"/>
  <c r="H65"/>
  <c r="H66"/>
  <c r="H75"/>
  <c r="H266"/>
  <c r="H267"/>
  <c r="H268"/>
  <c r="H269"/>
  <c r="H270"/>
  <c r="H271"/>
  <c r="H272"/>
  <c r="H273"/>
  <c r="H347"/>
  <c r="H348"/>
  <c r="H349"/>
  <c r="H350"/>
  <c r="H351"/>
  <c r="H352"/>
  <c r="H353"/>
  <c r="H354"/>
  <c r="H324"/>
  <c r="H325"/>
  <c r="H310"/>
  <c r="H311"/>
  <c r="H229"/>
  <c r="H337"/>
  <c r="H326"/>
  <c r="H327"/>
  <c r="H313"/>
  <c r="H314"/>
  <c r="H230"/>
  <c r="H59"/>
  <c r="H521"/>
  <c r="T521"/>
  <c r="V521"/>
  <c r="V592"/>
  <c r="T592"/>
  <c r="H592"/>
  <c r="H614"/>
  <c r="H612"/>
  <c r="H613"/>
  <c r="H591"/>
  <c r="T591"/>
  <c r="V591"/>
  <c r="V544"/>
  <c r="T544"/>
  <c r="H544"/>
  <c r="T277"/>
  <c r="V277"/>
  <c r="L355"/>
  <c r="T327"/>
  <c r="V327"/>
  <c r="H526"/>
  <c r="T526"/>
  <c r="V526"/>
  <c r="H527"/>
  <c r="T527"/>
  <c r="V527"/>
  <c r="H528"/>
  <c r="T528"/>
  <c r="V528"/>
  <c r="H529"/>
  <c r="T529"/>
  <c r="V529"/>
  <c r="H530"/>
  <c r="T530"/>
  <c r="V530"/>
  <c r="H531"/>
  <c r="T531"/>
  <c r="V531"/>
  <c r="H532"/>
  <c r="T532"/>
  <c r="V532"/>
  <c r="H610"/>
  <c r="H607"/>
  <c r="V525"/>
  <c r="T525"/>
  <c r="H525"/>
  <c r="H48" l="1"/>
  <c r="R2" i="35" l="1"/>
  <c r="P2"/>
  <c r="N2"/>
  <c r="L2"/>
  <c r="T2" i="36"/>
  <c r="R2"/>
  <c r="P2"/>
  <c r="N2"/>
  <c r="G3" i="51"/>
  <c r="E3"/>
  <c r="L2" i="50"/>
  <c r="J2"/>
  <c r="H2"/>
  <c r="N2" i="49"/>
  <c r="L2"/>
  <c r="J2"/>
  <c r="H2"/>
  <c r="N2" i="25"/>
  <c r="T2" i="48"/>
  <c r="R2"/>
  <c r="P2"/>
  <c r="N2"/>
  <c r="L2"/>
  <c r="J2"/>
  <c r="H2"/>
  <c r="N2" i="30"/>
  <c r="Z2" i="32"/>
  <c r="H10"/>
  <c r="R10" s="1"/>
  <c r="V10" s="1"/>
  <c r="H8"/>
  <c r="R8" s="1"/>
  <c r="V8" s="1"/>
  <c r="X2" i="31"/>
  <c r="V2"/>
  <c r="T2"/>
  <c r="AH2" i="29"/>
  <c r="AF2"/>
  <c r="AD2"/>
  <c r="AB2"/>
  <c r="Z2"/>
  <c r="H27"/>
  <c r="Z3" i="38"/>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Z54"/>
  <c r="Z55"/>
  <c r="Z56"/>
  <c r="S3"/>
  <c r="S4"/>
  <c r="S5"/>
  <c r="S6"/>
  <c r="S7"/>
  <c r="S8"/>
  <c r="S9"/>
  <c r="S10"/>
  <c r="S11"/>
  <c r="S12"/>
  <c r="S13"/>
  <c r="S14"/>
  <c r="S15"/>
  <c r="S16"/>
  <c r="S17"/>
  <c r="S18"/>
  <c r="S19"/>
  <c r="S20"/>
  <c r="S21"/>
  <c r="S22"/>
  <c r="S23"/>
  <c r="S24"/>
  <c r="S25"/>
  <c r="S26"/>
  <c r="S27"/>
  <c r="S28"/>
  <c r="S29"/>
  <c r="S30"/>
  <c r="S31"/>
  <c r="S32"/>
  <c r="S33"/>
  <c r="S34"/>
  <c r="S35"/>
  <c r="S36"/>
  <c r="S37"/>
  <c r="S38"/>
  <c r="S39"/>
  <c r="S40"/>
  <c r="S41"/>
  <c r="S42"/>
  <c r="S43"/>
  <c r="S44"/>
  <c r="S45"/>
  <c r="S46"/>
  <c r="S47"/>
  <c r="S48"/>
  <c r="S49"/>
  <c r="S50"/>
  <c r="S51"/>
  <c r="S52"/>
  <c r="S53"/>
  <c r="S54"/>
  <c r="S55"/>
  <c r="S56"/>
  <c r="S58"/>
  <c r="S59"/>
  <c r="S62"/>
  <c r="S63"/>
  <c r="S65"/>
  <c r="S66"/>
  <c r="S67"/>
  <c r="S68"/>
  <c r="S69"/>
  <c r="S70"/>
  <c r="S71"/>
  <c r="S73"/>
  <c r="S74"/>
  <c r="S76"/>
  <c r="S77"/>
  <c r="S78"/>
  <c r="S79"/>
  <c r="S80"/>
  <c r="S81"/>
  <c r="S82"/>
  <c r="S83"/>
  <c r="S84"/>
  <c r="S85"/>
  <c r="S86"/>
  <c r="S87"/>
  <c r="S88"/>
  <c r="S89"/>
  <c r="S90"/>
  <c r="S91"/>
  <c r="S92"/>
  <c r="S93"/>
  <c r="S94"/>
  <c r="S95"/>
  <c r="S97"/>
  <c r="S98"/>
  <c r="S99"/>
  <c r="S100"/>
  <c r="S101"/>
  <c r="S102"/>
  <c r="S103"/>
  <c r="S104"/>
  <c r="S105"/>
  <c r="S106"/>
  <c r="S107"/>
  <c r="S108"/>
  <c r="S110"/>
  <c r="S111"/>
  <c r="S112"/>
  <c r="S113"/>
  <c r="S114"/>
  <c r="S115"/>
  <c r="S116"/>
  <c r="S117"/>
  <c r="S118"/>
  <c r="S119"/>
  <c r="S120"/>
  <c r="S121"/>
  <c r="S122"/>
  <c r="S123"/>
  <c r="S124"/>
  <c r="S125"/>
  <c r="S126"/>
  <c r="S127"/>
  <c r="S128"/>
  <c r="S129"/>
  <c r="S130"/>
  <c r="S131"/>
  <c r="S132"/>
  <c r="S133"/>
  <c r="Y3"/>
  <c r="Y4"/>
  <c r="Y5"/>
  <c r="Y6"/>
  <c r="Y7"/>
  <c r="Y8"/>
  <c r="Y9"/>
  <c r="Y10"/>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L5" i="7"/>
  <c r="X3" i="38"/>
  <c r="X4"/>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2"/>
  <c r="X63"/>
  <c r="X64"/>
  <c r="X65"/>
  <c r="X66"/>
  <c r="X67"/>
  <c r="X68"/>
  <c r="X69"/>
  <c r="X70"/>
  <c r="X71"/>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5"/>
  <c r="X126"/>
  <c r="X127"/>
  <c r="X128"/>
  <c r="X129"/>
  <c r="X130"/>
  <c r="X131"/>
  <c r="X132"/>
  <c r="X133"/>
  <c r="W3"/>
  <c r="W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2"/>
  <c r="W63"/>
  <c r="W64"/>
  <c r="W65"/>
  <c r="W66"/>
  <c r="W67"/>
  <c r="W68"/>
  <c r="W69"/>
  <c r="W70"/>
  <c r="W71"/>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5"/>
  <c r="W126"/>
  <c r="W127"/>
  <c r="W128"/>
  <c r="W129"/>
  <c r="W130"/>
  <c r="W131"/>
  <c r="W132"/>
  <c r="W133"/>
  <c r="Z2" i="7"/>
  <c r="X2"/>
  <c r="M3" i="39"/>
  <c r="K3"/>
  <c r="K4"/>
  <c r="K5"/>
  <c r="K6"/>
  <c r="K7"/>
  <c r="K8"/>
  <c r="K9"/>
  <c r="K10"/>
  <c r="K11"/>
  <c r="K12"/>
  <c r="K13"/>
  <c r="K14"/>
  <c r="K15"/>
  <c r="K16"/>
  <c r="K17"/>
  <c r="K18"/>
  <c r="K19"/>
  <c r="K20"/>
  <c r="K21"/>
  <c r="K23"/>
  <c r="K24"/>
  <c r="K25"/>
  <c r="K27"/>
  <c r="K28"/>
  <c r="K29"/>
  <c r="K30"/>
  <c r="K31"/>
  <c r="K32"/>
  <c r="K33"/>
  <c r="K35"/>
  <c r="K36"/>
  <c r="K38"/>
  <c r="K39"/>
  <c r="K40"/>
  <c r="K41"/>
  <c r="K42"/>
  <c r="K43"/>
  <c r="K44"/>
  <c r="K45"/>
  <c r="K46"/>
  <c r="K47"/>
  <c r="K48"/>
  <c r="K49"/>
  <c r="K50"/>
  <c r="K51"/>
  <c r="K52"/>
  <c r="K53"/>
  <c r="K54"/>
  <c r="I3"/>
  <c r="I4"/>
  <c r="I5"/>
  <c r="I6"/>
  <c r="I7"/>
  <c r="I8"/>
  <c r="I9"/>
  <c r="I10"/>
  <c r="I11"/>
  <c r="I12"/>
  <c r="I13"/>
  <c r="I14"/>
  <c r="I15"/>
  <c r="I16"/>
  <c r="I17"/>
  <c r="I18"/>
  <c r="I19"/>
  <c r="I20"/>
  <c r="I21"/>
  <c r="I23"/>
  <c r="I24"/>
  <c r="I25"/>
  <c r="I27"/>
  <c r="I28"/>
  <c r="I29"/>
  <c r="I30"/>
  <c r="I31"/>
  <c r="I32"/>
  <c r="I33"/>
  <c r="I35"/>
  <c r="I36"/>
  <c r="I38"/>
  <c r="I39"/>
  <c r="I40"/>
  <c r="I41"/>
  <c r="I42"/>
  <c r="I43"/>
  <c r="I44"/>
  <c r="I45"/>
  <c r="I46"/>
  <c r="I47"/>
  <c r="I48"/>
  <c r="I49"/>
  <c r="I50"/>
  <c r="I51"/>
  <c r="I52"/>
  <c r="I53"/>
  <c r="I54"/>
  <c r="N52" i="13"/>
  <c r="P52"/>
  <c r="R52" s="1"/>
  <c r="N53"/>
  <c r="P53"/>
  <c r="R53" s="1"/>
  <c r="N54"/>
  <c r="P54"/>
  <c r="R54" s="1"/>
  <c r="B27" i="40"/>
  <c r="H27" i="27"/>
  <c r="J27"/>
  <c r="L27"/>
  <c r="N27"/>
  <c r="H33"/>
  <c r="J33"/>
  <c r="L33"/>
  <c r="N33"/>
  <c r="H58"/>
  <c r="J58"/>
  <c r="L58"/>
  <c r="N58"/>
  <c r="H28"/>
  <c r="J28"/>
  <c r="L28"/>
  <c r="N28"/>
  <c r="H57"/>
  <c r="J57"/>
  <c r="L57"/>
  <c r="N57"/>
  <c r="H26"/>
  <c r="J26"/>
  <c r="L26"/>
  <c r="N26"/>
  <c r="H23"/>
  <c r="J23"/>
  <c r="L23"/>
  <c r="N23"/>
  <c r="H32"/>
  <c r="J32"/>
  <c r="L32"/>
  <c r="N32"/>
  <c r="H24"/>
  <c r="J24"/>
  <c r="L24"/>
  <c r="N24"/>
  <c r="H22"/>
  <c r="J22"/>
  <c r="L22"/>
  <c r="N22"/>
  <c r="H25"/>
  <c r="J25"/>
  <c r="L25"/>
  <c r="N25"/>
  <c r="Z2"/>
  <c r="B3" i="40"/>
  <c r="X2" i="27"/>
  <c r="V2"/>
  <c r="P40" i="13"/>
  <c r="R40" s="1"/>
  <c r="P9"/>
  <c r="A1" i="49" l="1"/>
  <c r="A1" i="48"/>
  <c r="A1" i="50"/>
  <c r="F27" i="41"/>
  <c r="D27"/>
  <c r="B53" i="40"/>
  <c r="B52"/>
  <c r="B51"/>
  <c r="B50"/>
  <c r="B49"/>
  <c r="B48"/>
  <c r="B47"/>
  <c r="B46"/>
  <c r="B45"/>
  <c r="B44"/>
  <c r="B43"/>
  <c r="B42"/>
  <c r="B41"/>
  <c r="B40"/>
  <c r="B39"/>
  <c r="B38"/>
  <c r="B37"/>
  <c r="B36"/>
  <c r="B35"/>
  <c r="B34"/>
  <c r="B33"/>
  <c r="B32"/>
  <c r="B31"/>
  <c r="B30"/>
  <c r="B29"/>
  <c r="B28"/>
  <c r="B26"/>
  <c r="B25"/>
  <c r="B24"/>
  <c r="B23"/>
  <c r="B22"/>
  <c r="B21"/>
  <c r="B20"/>
  <c r="B19"/>
  <c r="B18"/>
  <c r="B17"/>
  <c r="B16"/>
  <c r="B15"/>
  <c r="B14"/>
  <c r="B13"/>
  <c r="B12"/>
  <c r="B11"/>
  <c r="B10"/>
  <c r="B9"/>
  <c r="B8"/>
  <c r="B7"/>
  <c r="B6"/>
  <c r="B5"/>
  <c r="B4"/>
  <c r="R109" i="38"/>
  <c r="N124" i="7" l="1"/>
  <c r="J124"/>
  <c r="H572" i="9"/>
  <c r="J572" s="1"/>
  <c r="H260"/>
  <c r="J260" s="1"/>
  <c r="H543"/>
  <c r="J543" s="1"/>
  <c r="H288"/>
  <c r="J288" s="1"/>
  <c r="H273"/>
  <c r="J273" s="1"/>
  <c r="L243" i="12"/>
  <c r="H243"/>
  <c r="L242"/>
  <c r="H242"/>
  <c r="L241"/>
  <c r="H241"/>
  <c r="L240"/>
  <c r="H240"/>
  <c r="L239"/>
  <c r="H239"/>
  <c r="L238"/>
  <c r="H238"/>
  <c r="L237"/>
  <c r="H237"/>
  <c r="L236"/>
  <c r="H236"/>
  <c r="L235"/>
  <c r="H235"/>
  <c r="L234"/>
  <c r="H234"/>
  <c r="L233"/>
  <c r="H233"/>
  <c r="L232"/>
  <c r="H232"/>
  <c r="L231"/>
  <c r="H231"/>
  <c r="L230"/>
  <c r="H230"/>
  <c r="L229"/>
  <c r="H229"/>
  <c r="L228"/>
  <c r="H228"/>
  <c r="L227"/>
  <c r="H227"/>
  <c r="L226"/>
  <c r="H226"/>
  <c r="L225"/>
  <c r="H225"/>
  <c r="L224"/>
  <c r="H224"/>
  <c r="L223"/>
  <c r="H223"/>
  <c r="L222"/>
  <c r="H222"/>
  <c r="L221"/>
  <c r="H221"/>
  <c r="L220"/>
  <c r="H220"/>
  <c r="L219"/>
  <c r="H219"/>
  <c r="L218"/>
  <c r="H218"/>
  <c r="L217"/>
  <c r="H217"/>
  <c r="L216"/>
  <c r="L215"/>
  <c r="L214"/>
  <c r="L213"/>
  <c r="L212"/>
  <c r="L211"/>
  <c r="L210"/>
  <c r="P49" i="13"/>
  <c r="R49" s="1"/>
  <c r="P50"/>
  <c r="R50" s="1"/>
  <c r="P51"/>
  <c r="R51" s="1"/>
  <c r="P48"/>
  <c r="R48" s="1"/>
  <c r="N49"/>
  <c r="N50"/>
  <c r="N51"/>
  <c r="N48"/>
  <c r="N31" i="27"/>
  <c r="N40"/>
  <c r="N34"/>
  <c r="N29"/>
  <c r="N30"/>
  <c r="L31"/>
  <c r="L40"/>
  <c r="L34"/>
  <c r="L29"/>
  <c r="L30"/>
  <c r="J31"/>
  <c r="J40"/>
  <c r="J34"/>
  <c r="J29"/>
  <c r="J30"/>
  <c r="H31"/>
  <c r="H40"/>
  <c r="H34"/>
  <c r="H29"/>
  <c r="H30"/>
  <c r="X2" i="29"/>
  <c r="J7"/>
  <c r="J8"/>
  <c r="J9"/>
  <c r="J10"/>
  <c r="J5"/>
  <c r="J6"/>
  <c r="J26"/>
  <c r="J27"/>
  <c r="H10"/>
  <c r="H9"/>
  <c r="H5" i="30"/>
  <c r="J5" i="25"/>
  <c r="H5" i="32"/>
  <c r="R5" s="1"/>
  <c r="V5" s="1"/>
  <c r="H348" i="9" l="1"/>
  <c r="J348" s="1"/>
  <c r="J133"/>
  <c r="H531"/>
  <c r="J531" s="1"/>
  <c r="H537"/>
  <c r="J537" s="1"/>
  <c r="H366"/>
  <c r="J366" s="1"/>
  <c r="H209" i="12"/>
  <c r="H208"/>
  <c r="H207"/>
  <c r="H206"/>
  <c r="H205"/>
  <c r="H204"/>
  <c r="H203"/>
  <c r="H202"/>
  <c r="H201"/>
  <c r="H200"/>
  <c r="H199"/>
  <c r="H198"/>
  <c r="H197"/>
  <c r="H196"/>
  <c r="H195"/>
  <c r="H194"/>
  <c r="H193"/>
  <c r="H192"/>
  <c r="H191"/>
  <c r="H190"/>
  <c r="H189"/>
  <c r="H188"/>
  <c r="H187"/>
  <c r="H186"/>
  <c r="H185"/>
  <c r="H184"/>
  <c r="H183"/>
  <c r="H182"/>
  <c r="H181"/>
  <c r="H180"/>
  <c r="H179"/>
  <c r="H178"/>
  <c r="H177"/>
  <c r="H176"/>
  <c r="H175"/>
  <c r="H174"/>
  <c r="H173"/>
  <c r="H172"/>
  <c r="H171"/>
  <c r="H170"/>
  <c r="H169"/>
  <c r="H168"/>
  <c r="H167"/>
  <c r="H166"/>
  <c r="H165"/>
  <c r="H164"/>
  <c r="H163"/>
  <c r="H162"/>
  <c r="H161"/>
  <c r="H160"/>
  <c r="H159"/>
  <c r="H158"/>
  <c r="H157"/>
  <c r="H156"/>
  <c r="H155"/>
  <c r="H154"/>
  <c r="H153"/>
  <c r="H152"/>
  <c r="H151"/>
  <c r="H150"/>
  <c r="H149"/>
  <c r="H148"/>
  <c r="H147"/>
  <c r="H146"/>
  <c r="H145"/>
  <c r="H144"/>
  <c r="H143"/>
  <c r="H142"/>
  <c r="J141"/>
  <c r="J142" s="1"/>
  <c r="J143" s="1"/>
  <c r="J144" s="1"/>
  <c r="J145" s="1"/>
  <c r="J146" s="1"/>
  <c r="J147" s="1"/>
  <c r="J148" s="1"/>
  <c r="J149" s="1"/>
  <c r="J150" s="1"/>
  <c r="H141"/>
  <c r="H140"/>
  <c r="H139"/>
  <c r="H138"/>
  <c r="H137"/>
  <c r="H136"/>
  <c r="P33" i="13"/>
  <c r="R33" s="1"/>
  <c r="P34"/>
  <c r="R34" s="1"/>
  <c r="P35"/>
  <c r="R35" s="1"/>
  <c r="P36"/>
  <c r="R36" s="1"/>
  <c r="P37"/>
  <c r="R37" s="1"/>
  <c r="P38"/>
  <c r="R38" s="1"/>
  <c r="P39"/>
  <c r="R39" s="1"/>
  <c r="P41"/>
  <c r="R41" s="1"/>
  <c r="P42"/>
  <c r="R42" s="1"/>
  <c r="P43"/>
  <c r="R43" s="1"/>
  <c r="P44"/>
  <c r="R44" s="1"/>
  <c r="P45"/>
  <c r="R45" s="1"/>
  <c r="P46"/>
  <c r="R46" s="1"/>
  <c r="P47"/>
  <c r="R47" s="1"/>
  <c r="P32"/>
  <c r="R32" s="1"/>
  <c r="N33"/>
  <c r="N34"/>
  <c r="N35"/>
  <c r="N36"/>
  <c r="N37"/>
  <c r="N38"/>
  <c r="N39"/>
  <c r="N40"/>
  <c r="N41"/>
  <c r="N42"/>
  <c r="N43"/>
  <c r="N44"/>
  <c r="N45"/>
  <c r="N46"/>
  <c r="N47"/>
  <c r="N32"/>
  <c r="N20" i="27"/>
  <c r="N21"/>
  <c r="N13"/>
  <c r="N12"/>
  <c r="N11"/>
  <c r="N16"/>
  <c r="N14"/>
  <c r="N17"/>
  <c r="N15"/>
  <c r="N18"/>
  <c r="N19"/>
  <c r="L20"/>
  <c r="L21"/>
  <c r="L13"/>
  <c r="L12"/>
  <c r="L11"/>
  <c r="L16"/>
  <c r="L14"/>
  <c r="L17"/>
  <c r="L15"/>
  <c r="L18"/>
  <c r="L19"/>
  <c r="J13"/>
  <c r="J12"/>
  <c r="J11"/>
  <c r="J16"/>
  <c r="J14"/>
  <c r="J17"/>
  <c r="J15"/>
  <c r="J18"/>
  <c r="H13"/>
  <c r="H12"/>
  <c r="H11"/>
  <c r="H16"/>
  <c r="H14"/>
  <c r="H17"/>
  <c r="H15"/>
  <c r="H18"/>
  <c r="R24" i="29"/>
  <c r="R23"/>
  <c r="J20"/>
  <c r="J21"/>
  <c r="J22"/>
  <c r="J23"/>
  <c r="J24"/>
  <c r="J19"/>
  <c r="J2" i="35" l="1"/>
  <c r="H2" i="36"/>
  <c r="H2" i="35"/>
  <c r="N132" i="7"/>
  <c r="N118"/>
  <c r="N119"/>
  <c r="N133"/>
  <c r="N134"/>
  <c r="N131"/>
  <c r="N5"/>
  <c r="J5"/>
  <c r="H63"/>
  <c r="J2" i="36" l="1"/>
  <c r="A1" i="35"/>
  <c r="L2" i="36"/>
  <c r="H431" i="9"/>
  <c r="J431" s="1"/>
  <c r="H556"/>
  <c r="J556" s="1"/>
  <c r="H528"/>
  <c r="J528" s="1"/>
  <c r="H322"/>
  <c r="J322" s="1"/>
  <c r="H313"/>
  <c r="J313" s="1"/>
  <c r="H250"/>
  <c r="J250" s="1"/>
  <c r="H247"/>
  <c r="J247" s="1"/>
  <c r="H550"/>
  <c r="J550" s="1"/>
  <c r="H236"/>
  <c r="J236" s="1"/>
  <c r="H241"/>
  <c r="J241" s="1"/>
  <c r="P17" i="13"/>
  <c r="R17" s="1"/>
  <c r="P18"/>
  <c r="R18" s="1"/>
  <c r="P19"/>
  <c r="R19" s="1"/>
  <c r="P20"/>
  <c r="R20" s="1"/>
  <c r="P21"/>
  <c r="R21" s="1"/>
  <c r="P22"/>
  <c r="R22" s="1"/>
  <c r="P23"/>
  <c r="R23" s="1"/>
  <c r="P24"/>
  <c r="R24" s="1"/>
  <c r="P25"/>
  <c r="R25" s="1"/>
  <c r="P26"/>
  <c r="R26" s="1"/>
  <c r="P27"/>
  <c r="R27" s="1"/>
  <c r="P28"/>
  <c r="R28" s="1"/>
  <c r="P29"/>
  <c r="R29" s="1"/>
  <c r="P30"/>
  <c r="R30" s="1"/>
  <c r="P31"/>
  <c r="R31" s="1"/>
  <c r="P16"/>
  <c r="R16" s="1"/>
  <c r="N17"/>
  <c r="N18"/>
  <c r="N19"/>
  <c r="N20"/>
  <c r="N21"/>
  <c r="N22"/>
  <c r="N23"/>
  <c r="N24"/>
  <c r="N25"/>
  <c r="N26"/>
  <c r="N27"/>
  <c r="N28"/>
  <c r="N29"/>
  <c r="N30"/>
  <c r="N31"/>
  <c r="N16"/>
  <c r="N8" i="27"/>
  <c r="N10"/>
  <c r="N41"/>
  <c r="N42"/>
  <c r="N43"/>
  <c r="N46"/>
  <c r="N44"/>
  <c r="N45"/>
  <c r="N9"/>
  <c r="N36"/>
  <c r="N38"/>
  <c r="N37"/>
  <c r="N35"/>
  <c r="N39"/>
  <c r="L9"/>
  <c r="L8"/>
  <c r="L10"/>
  <c r="L41"/>
  <c r="L42"/>
  <c r="L43"/>
  <c r="L46"/>
  <c r="L44"/>
  <c r="L45"/>
  <c r="L35"/>
  <c r="L36"/>
  <c r="L38"/>
  <c r="L37"/>
  <c r="J48"/>
  <c r="J52"/>
  <c r="J53"/>
  <c r="J35"/>
  <c r="J36"/>
  <c r="J38"/>
  <c r="J37"/>
  <c r="J9"/>
  <c r="J8"/>
  <c r="J10"/>
  <c r="J41"/>
  <c r="J42"/>
  <c r="J43"/>
  <c r="J46"/>
  <c r="J44"/>
  <c r="J45"/>
  <c r="H9"/>
  <c r="H8"/>
  <c r="H10"/>
  <c r="H41"/>
  <c r="H42"/>
  <c r="H43"/>
  <c r="H46"/>
  <c r="H44"/>
  <c r="H45"/>
  <c r="H35"/>
  <c r="H36"/>
  <c r="H38"/>
  <c r="H37"/>
  <c r="R41" i="29"/>
  <c r="R42"/>
  <c r="R43"/>
  <c r="R45"/>
  <c r="R44"/>
  <c r="J12"/>
  <c r="J11"/>
  <c r="H12"/>
  <c r="H11"/>
  <c r="H44"/>
  <c r="H45"/>
  <c r="H41"/>
  <c r="H7" i="32"/>
  <c r="R7" s="1"/>
  <c r="V7" s="1"/>
  <c r="H6"/>
  <c r="R6" s="1"/>
  <c r="V6" s="1"/>
  <c r="H46" i="29"/>
  <c r="H18" i="31"/>
  <c r="A1" i="36" l="1"/>
  <c r="H17" i="31"/>
  <c r="H16"/>
  <c r="J19" l="1"/>
  <c r="H19"/>
  <c r="A19"/>
  <c r="N50" i="27"/>
  <c r="N51"/>
  <c r="N54"/>
  <c r="N55"/>
  <c r="N56"/>
  <c r="N47"/>
  <c r="N48"/>
  <c r="N52"/>
  <c r="N53"/>
  <c r="L50"/>
  <c r="L51"/>
  <c r="L54"/>
  <c r="L55"/>
  <c r="L56"/>
  <c r="L47"/>
  <c r="L48"/>
  <c r="L52"/>
  <c r="L53"/>
  <c r="J50"/>
  <c r="J51"/>
  <c r="J54"/>
  <c r="J55"/>
  <c r="J56"/>
  <c r="J47"/>
  <c r="H50"/>
  <c r="H51"/>
  <c r="H54"/>
  <c r="H55"/>
  <c r="H56"/>
  <c r="H47"/>
  <c r="H48"/>
  <c r="H52"/>
  <c r="H53"/>
  <c r="H234" i="9" l="1"/>
  <c r="J234" s="1"/>
  <c r="H240"/>
  <c r="J240" s="1"/>
  <c r="H233"/>
  <c r="J233" s="1"/>
  <c r="H232"/>
  <c r="J232" s="1"/>
  <c r="H571"/>
  <c r="J571" s="1"/>
  <c r="H570"/>
  <c r="J570" s="1"/>
  <c r="H569"/>
  <c r="J569" s="1"/>
  <c r="H566"/>
  <c r="J566" s="1"/>
  <c r="H565"/>
  <c r="J565" s="1"/>
  <c r="H564"/>
  <c r="J564" s="1"/>
  <c r="H568" l="1"/>
  <c r="J568" s="1"/>
  <c r="H567"/>
  <c r="J567" s="1"/>
  <c r="H563"/>
  <c r="J563" s="1"/>
  <c r="H562"/>
  <c r="J562" s="1"/>
  <c r="H235"/>
  <c r="J235" s="1"/>
  <c r="H456"/>
  <c r="J456" s="1"/>
  <c r="H455"/>
  <c r="J455" s="1"/>
  <c r="H454"/>
  <c r="J454" s="1"/>
  <c r="H453"/>
  <c r="J453" s="1"/>
  <c r="H452"/>
  <c r="J452" s="1"/>
  <c r="H441"/>
  <c r="J441" s="1"/>
  <c r="H442"/>
  <c r="J442" s="1"/>
  <c r="H443"/>
  <c r="J443" s="1"/>
  <c r="H444"/>
  <c r="J444" s="1"/>
  <c r="H445"/>
  <c r="J445" s="1"/>
  <c r="H446"/>
  <c r="J446" s="1"/>
  <c r="H447"/>
  <c r="J447" s="1"/>
  <c r="H448"/>
  <c r="J448" s="1"/>
  <c r="H449"/>
  <c r="J449" s="1"/>
  <c r="H450"/>
  <c r="J450" s="1"/>
  <c r="H451"/>
  <c r="J451" s="1"/>
  <c r="R9" i="13"/>
  <c r="R15" l="1"/>
  <c r="N6"/>
  <c r="P6"/>
  <c r="R6" s="1"/>
  <c r="N7"/>
  <c r="P7"/>
  <c r="R7" s="1"/>
  <c r="N8"/>
  <c r="P8"/>
  <c r="R8" s="1"/>
  <c r="N9"/>
  <c r="N10"/>
  <c r="P10"/>
  <c r="R10" s="1"/>
  <c r="N11"/>
  <c r="P11"/>
  <c r="R11" s="1"/>
  <c r="N12"/>
  <c r="P12"/>
  <c r="R12" s="1"/>
  <c r="N13"/>
  <c r="P13"/>
  <c r="R13" s="1"/>
  <c r="N14"/>
  <c r="P14"/>
  <c r="R14" s="1"/>
  <c r="P5"/>
  <c r="R5" s="1"/>
  <c r="N5"/>
  <c r="H135" i="12"/>
  <c r="H123"/>
  <c r="H124"/>
  <c r="H125"/>
  <c r="H126"/>
  <c r="H127"/>
  <c r="H128"/>
  <c r="H129"/>
  <c r="H130"/>
  <c r="H131"/>
  <c r="H132"/>
  <c r="H133"/>
  <c r="H134"/>
  <c r="H122"/>
  <c r="H113"/>
  <c r="H114"/>
  <c r="H115"/>
  <c r="H116"/>
  <c r="H117"/>
  <c r="H118"/>
  <c r="H119"/>
  <c r="H120"/>
  <c r="H121"/>
  <c r="H102"/>
  <c r="H103"/>
  <c r="H104"/>
  <c r="H105"/>
  <c r="H106"/>
  <c r="H107"/>
  <c r="H108"/>
  <c r="H109"/>
  <c r="H110"/>
  <c r="H111"/>
  <c r="H112"/>
  <c r="H101"/>
  <c r="H82"/>
  <c r="H34"/>
  <c r="H459" i="9"/>
  <c r="J459" s="1"/>
  <c r="H460"/>
  <c r="J460" s="1"/>
  <c r="H461"/>
  <c r="J461" s="1"/>
  <c r="H462"/>
  <c r="J462" s="1"/>
  <c r="H463"/>
  <c r="J463" s="1"/>
  <c r="H464"/>
  <c r="J464" s="1"/>
  <c r="H465"/>
  <c r="J465" s="1"/>
  <c r="H466"/>
  <c r="J466" s="1"/>
  <c r="H494"/>
  <c r="J494" s="1"/>
  <c r="H503"/>
  <c r="J503" s="1"/>
  <c r="H504"/>
  <c r="J504" s="1"/>
  <c r="H505"/>
  <c r="J505" s="1"/>
  <c r="H506"/>
  <c r="J506" s="1"/>
  <c r="H507"/>
  <c r="J507" s="1"/>
  <c r="H508"/>
  <c r="J508" s="1"/>
  <c r="H509"/>
  <c r="J509" s="1"/>
  <c r="H510"/>
  <c r="J510" s="1"/>
  <c r="H495"/>
  <c r="J495" s="1"/>
  <c r="H496"/>
  <c r="J496" s="1"/>
  <c r="H497"/>
  <c r="J497" s="1"/>
  <c r="H498"/>
  <c r="J498" s="1"/>
  <c r="H499"/>
  <c r="J499" s="1"/>
  <c r="H500"/>
  <c r="J500" s="1"/>
  <c r="H501"/>
  <c r="J501" s="1"/>
  <c r="H502"/>
  <c r="J502" s="1"/>
  <c r="J26"/>
  <c r="J25"/>
  <c r="J24"/>
  <c r="J23"/>
  <c r="J22"/>
  <c r="J21"/>
  <c r="J20"/>
  <c r="J19"/>
  <c r="J18"/>
  <c r="J17"/>
  <c r="J16"/>
  <c r="J15"/>
  <c r="J14"/>
  <c r="J13"/>
  <c r="J12"/>
  <c r="J11"/>
  <c r="J10"/>
  <c r="H511"/>
  <c r="J511" s="1"/>
  <c r="H520"/>
  <c r="J520" s="1"/>
  <c r="H521"/>
  <c r="J521" s="1"/>
  <c r="H522"/>
  <c r="J522" s="1"/>
  <c r="H523"/>
  <c r="J523" s="1"/>
  <c r="H524"/>
  <c r="J524" s="1"/>
  <c r="H525"/>
  <c r="J525" s="1"/>
  <c r="H526"/>
  <c r="J526" s="1"/>
  <c r="H527"/>
  <c r="J527" s="1"/>
  <c r="H512"/>
  <c r="J512" s="1"/>
  <c r="H513"/>
  <c r="J513" s="1"/>
  <c r="H514"/>
  <c r="J514" s="1"/>
  <c r="H515"/>
  <c r="J515" s="1"/>
  <c r="H516"/>
  <c r="J516" s="1"/>
  <c r="H517"/>
  <c r="J517" s="1"/>
  <c r="H518"/>
  <c r="J518" s="1"/>
  <c r="H519"/>
  <c r="J519" s="1"/>
  <c r="H458"/>
  <c r="J458" s="1"/>
  <c r="H100" i="12"/>
  <c r="H403" i="9"/>
  <c r="J403" s="1"/>
  <c r="H404"/>
  <c r="J404" s="1"/>
  <c r="H405"/>
  <c r="J405" s="1"/>
  <c r="H406"/>
  <c r="J406" s="1"/>
  <c r="H407"/>
  <c r="J407" s="1"/>
  <c r="H408"/>
  <c r="J408" s="1"/>
  <c r="H409"/>
  <c r="J409" s="1"/>
  <c r="H410"/>
  <c r="J410" s="1"/>
  <c r="H411"/>
  <c r="J411" s="1"/>
  <c r="J56"/>
  <c r="J55"/>
  <c r="J54"/>
  <c r="J53"/>
  <c r="J52"/>
  <c r="J51"/>
  <c r="J50"/>
  <c r="J49"/>
  <c r="J48"/>
  <c r="J47"/>
  <c r="J46"/>
  <c r="J45"/>
  <c r="J44"/>
  <c r="J43"/>
  <c r="J42"/>
  <c r="J41"/>
  <c r="J40"/>
  <c r="J39"/>
  <c r="J38"/>
  <c r="J37"/>
  <c r="H472"/>
  <c r="J472" s="1"/>
  <c r="H474"/>
  <c r="J474" s="1"/>
  <c r="H475"/>
  <c r="J475" s="1"/>
  <c r="H476"/>
  <c r="J476" s="1"/>
  <c r="H477"/>
  <c r="J477" s="1"/>
  <c r="H478"/>
  <c r="J478" s="1"/>
  <c r="H479"/>
  <c r="J479" s="1"/>
  <c r="H480"/>
  <c r="J480" s="1"/>
  <c r="H481"/>
  <c r="J481" s="1"/>
  <c r="H473"/>
  <c r="J473" s="1"/>
  <c r="H402"/>
  <c r="J402" s="1"/>
  <c r="H55" i="12"/>
  <c r="H398" i="9"/>
  <c r="J398" s="1"/>
  <c r="H399"/>
  <c r="J399" s="1"/>
  <c r="H400"/>
  <c r="J400" s="1"/>
  <c r="H401"/>
  <c r="J401" s="1"/>
  <c r="J225"/>
  <c r="H99" i="12"/>
  <c r="H88"/>
  <c r="H89"/>
  <c r="H90"/>
  <c r="H91"/>
  <c r="H92"/>
  <c r="H93"/>
  <c r="H94"/>
  <c r="H95"/>
  <c r="H96"/>
  <c r="H97"/>
  <c r="H98"/>
  <c r="H77"/>
  <c r="H78"/>
  <c r="H79"/>
  <c r="H80"/>
  <c r="H81"/>
  <c r="H83"/>
  <c r="H84"/>
  <c r="H85"/>
  <c r="H86"/>
  <c r="H87"/>
  <c r="H56"/>
  <c r="H57"/>
  <c r="H58"/>
  <c r="H59"/>
  <c r="H60"/>
  <c r="H61"/>
  <c r="H62"/>
  <c r="H63"/>
  <c r="H64"/>
  <c r="H65"/>
  <c r="H66"/>
  <c r="H67"/>
  <c r="H68"/>
  <c r="H69"/>
  <c r="H70"/>
  <c r="H71"/>
  <c r="H72"/>
  <c r="H73"/>
  <c r="H74"/>
  <c r="H75"/>
  <c r="H76"/>
  <c r="H54"/>
  <c r="H35"/>
  <c r="H36"/>
  <c r="H37"/>
  <c r="H38"/>
  <c r="H39"/>
  <c r="H40"/>
  <c r="H41"/>
  <c r="H42"/>
  <c r="H43"/>
  <c r="H44"/>
  <c r="H45"/>
  <c r="H46"/>
  <c r="H47"/>
  <c r="H48"/>
  <c r="H49"/>
  <c r="H50"/>
  <c r="H51"/>
  <c r="H52"/>
  <c r="H53"/>
  <c r="H33"/>
  <c r="H32"/>
  <c r="H31"/>
  <c r="H30"/>
  <c r="H29"/>
  <c r="H28"/>
  <c r="H27"/>
  <c r="H26"/>
  <c r="H25"/>
  <c r="H24"/>
  <c r="H23"/>
  <c r="H22"/>
  <c r="H21"/>
  <c r="H20"/>
  <c r="H19"/>
  <c r="H18"/>
  <c r="H17"/>
  <c r="H16"/>
  <c r="H15"/>
  <c r="H14"/>
  <c r="H13"/>
  <c r="H12"/>
  <c r="H11"/>
  <c r="H10"/>
  <c r="H9"/>
  <c r="H8"/>
  <c r="H7"/>
  <c r="H6"/>
  <c r="H5"/>
  <c r="AR2" i="34"/>
  <c r="AP2"/>
  <c r="AN2"/>
  <c r="AL2"/>
  <c r="AJ2"/>
  <c r="AH2"/>
  <c r="AF2"/>
  <c r="AD2"/>
  <c r="AB2"/>
  <c r="Z2"/>
  <c r="X2"/>
  <c r="V2"/>
  <c r="T2"/>
  <c r="R2"/>
  <c r="P2"/>
  <c r="N2"/>
  <c r="L2"/>
  <c r="J2"/>
  <c r="H2"/>
  <c r="J16" i="26"/>
  <c r="J2" i="8" l="1"/>
  <c r="A1" i="34"/>
  <c r="R2" i="8" l="1"/>
  <c r="T2" i="27"/>
  <c r="R2" i="31"/>
  <c r="J2"/>
  <c r="T2" i="32"/>
  <c r="L2"/>
  <c r="H9"/>
  <c r="R9" s="1"/>
  <c r="V9" s="1"/>
  <c r="X2"/>
  <c r="P2" i="31"/>
  <c r="N2"/>
  <c r="L2"/>
  <c r="H2"/>
  <c r="P2" i="32" l="1"/>
  <c r="H2"/>
  <c r="V2"/>
  <c r="A1" i="31"/>
  <c r="R2" i="32" l="1"/>
  <c r="L12" i="26"/>
  <c r="L13"/>
  <c r="J13"/>
  <c r="J12"/>
  <c r="A12" i="30"/>
  <c r="H12"/>
  <c r="L2" l="1"/>
  <c r="J2"/>
  <c r="J7" i="26" l="1"/>
  <c r="L10"/>
  <c r="L8"/>
  <c r="L6"/>
  <c r="J5"/>
  <c r="J6"/>
  <c r="L9"/>
  <c r="J9"/>
  <c r="L11"/>
  <c r="J11"/>
  <c r="R2" i="27"/>
  <c r="N49"/>
  <c r="N2" s="1"/>
  <c r="L49"/>
  <c r="L2" s="1"/>
  <c r="J49"/>
  <c r="H49"/>
  <c r="R46" i="29"/>
  <c r="V2"/>
  <c r="P2"/>
  <c r="N2"/>
  <c r="L2" i="28"/>
  <c r="P2" i="27"/>
  <c r="N2" i="26"/>
  <c r="H2"/>
  <c r="A1" s="1"/>
  <c r="L2" i="25"/>
  <c r="J2"/>
  <c r="H2"/>
  <c r="V2" i="7"/>
  <c r="B56" i="20"/>
  <c r="B55"/>
  <c r="B54"/>
  <c r="B53"/>
  <c r="B52"/>
  <c r="B51"/>
  <c r="B50"/>
  <c r="B49"/>
  <c r="B48"/>
  <c r="B47"/>
  <c r="B46"/>
  <c r="B45"/>
  <c r="B44"/>
  <c r="B43"/>
  <c r="B42"/>
  <c r="B41"/>
  <c r="B40"/>
  <c r="B39"/>
  <c r="B38"/>
  <c r="B37"/>
  <c r="B36"/>
  <c r="B35"/>
  <c r="B34"/>
  <c r="B33"/>
  <c r="B32"/>
  <c r="B31"/>
  <c r="B30"/>
  <c r="B29"/>
  <c r="B28"/>
  <c r="B27"/>
  <c r="B26"/>
  <c r="B25"/>
  <c r="B24"/>
  <c r="B23"/>
  <c r="B22"/>
  <c r="B21"/>
  <c r="B20"/>
  <c r="H19"/>
  <c r="J21" i="27" s="1"/>
  <c r="G19" i="20"/>
  <c r="H21" i="27" s="1"/>
  <c r="B19" i="20"/>
  <c r="H18"/>
  <c r="J20" i="27" s="1"/>
  <c r="G18" i="20"/>
  <c r="H20" i="27" s="1"/>
  <c r="B18" i="20"/>
  <c r="H17"/>
  <c r="J19" i="27" s="1"/>
  <c r="G17" i="20"/>
  <c r="H19" i="27" s="1"/>
  <c r="B17" i="20"/>
  <c r="B16"/>
  <c r="B15"/>
  <c r="B14"/>
  <c r="B13"/>
  <c r="B12"/>
  <c r="B11"/>
  <c r="B10"/>
  <c r="B9"/>
  <c r="B8"/>
  <c r="B7"/>
  <c r="B6"/>
  <c r="Z11" i="19"/>
  <c r="Y11"/>
  <c r="X11"/>
  <c r="W11"/>
  <c r="S11"/>
  <c r="R11"/>
  <c r="Z10"/>
  <c r="X10"/>
  <c r="Q10"/>
  <c r="R10" s="1"/>
  <c r="Y9"/>
  <c r="X9"/>
  <c r="Q9"/>
  <c r="Z9" s="1"/>
  <c r="Z8"/>
  <c r="Y8"/>
  <c r="X8"/>
  <c r="W8"/>
  <c r="R8"/>
  <c r="AC7"/>
  <c r="AB7"/>
  <c r="Z7"/>
  <c r="Y7"/>
  <c r="X7"/>
  <c r="W7"/>
  <c r="R7"/>
  <c r="AC6"/>
  <c r="AB6"/>
  <c r="Z6"/>
  <c r="Y6"/>
  <c r="X6"/>
  <c r="W6"/>
  <c r="R6"/>
  <c r="AC5"/>
  <c r="AB5"/>
  <c r="Z5"/>
  <c r="Y5"/>
  <c r="X5"/>
  <c r="W5"/>
  <c r="R5"/>
  <c r="AC4"/>
  <c r="AB4"/>
  <c r="Z4"/>
  <c r="Y4"/>
  <c r="X4"/>
  <c r="W4"/>
  <c r="R4"/>
  <c r="Z3"/>
  <c r="Y3"/>
  <c r="X3"/>
  <c r="W3"/>
  <c r="S3"/>
  <c r="R3" s="1"/>
  <c r="Y211" i="16"/>
  <c r="Y210"/>
  <c r="P113" i="7" s="1"/>
  <c r="Y207" i="16"/>
  <c r="P48" i="7" s="1"/>
  <c r="Y206" i="16"/>
  <c r="Q183"/>
  <c r="H28" i="7" s="1"/>
  <c r="Y161" i="16"/>
  <c r="P49" i="7" s="1"/>
  <c r="Y160" i="16"/>
  <c r="P64" i="7" s="1"/>
  <c r="Y156" i="16"/>
  <c r="Y155"/>
  <c r="P72" i="7" s="1"/>
  <c r="Y154" i="16"/>
  <c r="P71" i="7" s="1"/>
  <c r="Y152" i="16"/>
  <c r="Y140"/>
  <c r="P59" i="7" s="1"/>
  <c r="Q137" i="16"/>
  <c r="Y134"/>
  <c r="P70" i="7" s="1"/>
  <c r="Y123" i="16"/>
  <c r="P47" i="7" s="1"/>
  <c r="Y122" i="16"/>
  <c r="P43" i="7" s="1"/>
  <c r="Y121" i="16"/>
  <c r="P44" i="7" s="1"/>
  <c r="Y120" i="16"/>
  <c r="P77" i="7" s="1"/>
  <c r="Y117" i="16"/>
  <c r="P76" i="7" s="1"/>
  <c r="Y116" i="16"/>
  <c r="P56" i="7" s="1"/>
  <c r="Y114" i="16"/>
  <c r="P46" i="7" s="1"/>
  <c r="Y112" i="16"/>
  <c r="P51" i="7" s="1"/>
  <c r="Y111" i="16"/>
  <c r="P55" i="7" s="1"/>
  <c r="Y110" i="16"/>
  <c r="P54" i="7" s="1"/>
  <c r="Y106" i="16"/>
  <c r="P121" i="7" s="1"/>
  <c r="Y105" i="16"/>
  <c r="Y101"/>
  <c r="P61" i="7" s="1"/>
  <c r="Y93" i="16"/>
  <c r="P65" i="7" s="1"/>
  <c r="Y92" i="16"/>
  <c r="Y91"/>
  <c r="P62" i="7" s="1"/>
  <c r="Y90" i="16"/>
  <c r="Y87"/>
  <c r="P67" i="7" s="1"/>
  <c r="Y81" i="16"/>
  <c r="P53" i="7" s="1"/>
  <c r="Y79" i="16"/>
  <c r="Y78"/>
  <c r="Y77"/>
  <c r="Y76"/>
  <c r="Y75"/>
  <c r="Y74"/>
  <c r="Y73"/>
  <c r="Y72"/>
  <c r="Y69"/>
  <c r="P75" i="7" s="1"/>
  <c r="Y64" i="16"/>
  <c r="P52" i="7" s="1"/>
  <c r="Y57" i="16"/>
  <c r="P50" i="7" s="1"/>
  <c r="Y55" i="16"/>
  <c r="P66" i="7" s="1"/>
  <c r="Y54" i="16"/>
  <c r="Y53"/>
  <c r="Y52"/>
  <c r="Y51"/>
  <c r="Y50"/>
  <c r="Y49"/>
  <c r="Y48"/>
  <c r="Y47"/>
  <c r="Y40"/>
  <c r="Y38"/>
  <c r="P73" i="7" s="1"/>
  <c r="Y36" i="16"/>
  <c r="P74" i="7" s="1"/>
  <c r="Y24" i="16"/>
  <c r="P69" i="7" s="1"/>
  <c r="Y23" i="16"/>
  <c r="P45" i="7" s="1"/>
  <c r="Y18" i="16"/>
  <c r="Y17"/>
  <c r="P60" i="7" s="1"/>
  <c r="Y16" i="16"/>
  <c r="P58" i="7" s="1"/>
  <c r="Y15" i="16"/>
  <c r="P57" i="7" s="1"/>
  <c r="Y14" i="16"/>
  <c r="Y12"/>
  <c r="P79" i="7" s="1"/>
  <c r="Y11" i="16"/>
  <c r="P78" i="7" s="1"/>
  <c r="Y10" i="16"/>
  <c r="P68" i="7" s="1"/>
  <c r="Y9" i="16"/>
  <c r="P63" i="7" s="1"/>
  <c r="AD33" i="15"/>
  <c r="J41" i="29" s="1"/>
  <c r="AC33" i="15"/>
  <c r="L41" i="29" s="1"/>
  <c r="R29" i="14"/>
  <c r="S29" s="1"/>
  <c r="P28"/>
  <c r="Q28" s="1"/>
  <c r="S25"/>
  <c r="R25"/>
  <c r="U24"/>
  <c r="T24"/>
  <c r="R24"/>
  <c r="S24" s="1"/>
  <c r="R23"/>
  <c r="S23" s="1"/>
  <c r="P23"/>
  <c r="Q23" s="1"/>
  <c r="P22"/>
  <c r="Q22" s="1"/>
  <c r="R21"/>
  <c r="S21" s="1"/>
  <c r="P21"/>
  <c r="Q21" s="1"/>
  <c r="N21"/>
  <c r="T19"/>
  <c r="U19" s="1"/>
  <c r="R19"/>
  <c r="S19" s="1"/>
  <c r="Q19"/>
  <c r="P19"/>
  <c r="V18"/>
  <c r="W18" s="1"/>
  <c r="P18"/>
  <c r="Q18" s="1"/>
  <c r="S18" s="1"/>
  <c r="U18" s="1"/>
  <c r="T17"/>
  <c r="U17" s="1"/>
  <c r="S17"/>
  <c r="R17"/>
  <c r="P17"/>
  <c r="Q17" s="1"/>
  <c r="P16"/>
  <c r="Q16" s="1"/>
  <c r="M16"/>
  <c r="H7" i="30" s="1"/>
  <c r="H2" s="1"/>
  <c r="A1" s="1"/>
  <c r="L16" i="14"/>
  <c r="R16" s="1"/>
  <c r="S16" s="1"/>
  <c r="K16"/>
  <c r="A7" i="30" s="1"/>
  <c r="R15" i="14"/>
  <c r="S15" s="1"/>
  <c r="P15"/>
  <c r="Q15" s="1"/>
  <c r="R14"/>
  <c r="S14" s="1"/>
  <c r="U10"/>
  <c r="T10"/>
  <c r="R10"/>
  <c r="S10" s="1"/>
  <c r="U9"/>
  <c r="T9"/>
  <c r="S9"/>
  <c r="R9"/>
  <c r="Q9"/>
  <c r="P9"/>
  <c r="Q8"/>
  <c r="S8" s="1"/>
  <c r="P8"/>
  <c r="R8" s="1"/>
  <c r="S7"/>
  <c r="R7"/>
  <c r="Q7"/>
  <c r="P7"/>
  <c r="S6"/>
  <c r="R6"/>
  <c r="Q6"/>
  <c r="P6"/>
  <c r="H2" i="8"/>
  <c r="A1" s="1"/>
  <c r="P2"/>
  <c r="N2"/>
  <c r="L2"/>
  <c r="J2" i="13"/>
  <c r="T2"/>
  <c r="L2"/>
  <c r="H2"/>
  <c r="P2" i="12"/>
  <c r="N2"/>
  <c r="L2"/>
  <c r="Z2" i="10"/>
  <c r="X2"/>
  <c r="R2"/>
  <c r="P2"/>
  <c r="N2"/>
  <c r="N2" i="9"/>
  <c r="L2"/>
  <c r="T2" i="7"/>
  <c r="R2"/>
  <c r="P2" l="1"/>
  <c r="J2" i="27"/>
  <c r="H40" i="28"/>
  <c r="H48"/>
  <c r="H56"/>
  <c r="H30"/>
  <c r="H22"/>
  <c r="H14"/>
  <c r="J17"/>
  <c r="J25"/>
  <c r="J33"/>
  <c r="J42"/>
  <c r="J50"/>
  <c r="A12"/>
  <c r="A20"/>
  <c r="A28"/>
  <c r="A36"/>
  <c r="A45"/>
  <c r="A53"/>
  <c r="H41"/>
  <c r="H49"/>
  <c r="H37"/>
  <c r="H29"/>
  <c r="H21"/>
  <c r="H13"/>
  <c r="J18"/>
  <c r="J26"/>
  <c r="J51"/>
  <c r="A13"/>
  <c r="A21"/>
  <c r="A29"/>
  <c r="A37"/>
  <c r="A54"/>
  <c r="H42"/>
  <c r="H28"/>
  <c r="J19"/>
  <c r="J44"/>
  <c r="A30"/>
  <c r="H43"/>
  <c r="H51"/>
  <c r="H35"/>
  <c r="H27"/>
  <c r="H19"/>
  <c r="H11"/>
  <c r="J12"/>
  <c r="J20"/>
  <c r="J28"/>
  <c r="J36"/>
  <c r="J45"/>
  <c r="J53"/>
  <c r="A15"/>
  <c r="A23"/>
  <c r="A31"/>
  <c r="A41"/>
  <c r="A48"/>
  <c r="A56"/>
  <c r="H17"/>
  <c r="J22"/>
  <c r="J39"/>
  <c r="J55"/>
  <c r="A25"/>
  <c r="A42"/>
  <c r="H31"/>
  <c r="H15"/>
  <c r="J41"/>
  <c r="A19"/>
  <c r="A44"/>
  <c r="J43"/>
  <c r="H36"/>
  <c r="J11"/>
  <c r="J27"/>
  <c r="J52"/>
  <c r="A40"/>
  <c r="H44"/>
  <c r="H52"/>
  <c r="H34"/>
  <c r="H26"/>
  <c r="H18"/>
  <c r="J13"/>
  <c r="J21"/>
  <c r="J29"/>
  <c r="J37"/>
  <c r="J46"/>
  <c r="J54"/>
  <c r="A16"/>
  <c r="A24"/>
  <c r="A32"/>
  <c r="A39"/>
  <c r="A49"/>
  <c r="H45"/>
  <c r="H53"/>
  <c r="H33"/>
  <c r="H25"/>
  <c r="J14"/>
  <c r="J30"/>
  <c r="J47"/>
  <c r="A17"/>
  <c r="A33"/>
  <c r="A50"/>
  <c r="H47"/>
  <c r="H23"/>
  <c r="J32"/>
  <c r="A11"/>
  <c r="A35"/>
  <c r="J34"/>
  <c r="A46"/>
  <c r="H20"/>
  <c r="A22"/>
  <c r="A55"/>
  <c r="H46"/>
  <c r="H54"/>
  <c r="H32"/>
  <c r="H24"/>
  <c r="H16"/>
  <c r="J15"/>
  <c r="J23"/>
  <c r="J31"/>
  <c r="J40"/>
  <c r="J48"/>
  <c r="J56"/>
  <c r="A18"/>
  <c r="A26"/>
  <c r="A34"/>
  <c r="A43"/>
  <c r="A51"/>
  <c r="H55"/>
  <c r="J16"/>
  <c r="J24"/>
  <c r="J49"/>
  <c r="A27"/>
  <c r="A52"/>
  <c r="H50"/>
  <c r="H12"/>
  <c r="J35"/>
  <c r="A14"/>
  <c r="A47"/>
  <c r="A10"/>
  <c r="H39"/>
  <c r="J10"/>
  <c r="H10"/>
  <c r="R9" i="19"/>
  <c r="R18" i="14"/>
  <c r="T18" s="1"/>
  <c r="W21"/>
  <c r="N8" i="32"/>
  <c r="W9" i="19"/>
  <c r="L2" i="26"/>
  <c r="A1" i="25"/>
  <c r="N2" i="13"/>
  <c r="R2"/>
  <c r="P2"/>
  <c r="J2" i="26"/>
  <c r="H2" i="27"/>
  <c r="H2" i="12"/>
  <c r="H2" i="9"/>
  <c r="T2" i="29"/>
  <c r="R2"/>
  <c r="L2"/>
  <c r="J2"/>
  <c r="H2"/>
  <c r="N2" i="7"/>
  <c r="L2"/>
  <c r="J2"/>
  <c r="T2" i="10"/>
  <c r="V2"/>
  <c r="L2"/>
  <c r="H2"/>
  <c r="A1" s="1"/>
  <c r="V21" i="14"/>
  <c r="W10" i="19"/>
  <c r="Y10" s="1"/>
  <c r="J2" i="9"/>
  <c r="H2" i="7"/>
  <c r="A1" i="13"/>
  <c r="H2" i="4"/>
  <c r="A1" i="27" l="1"/>
  <c r="J2" i="28"/>
  <c r="AG8" i="32"/>
  <c r="J8" s="1"/>
  <c r="J2" s="1"/>
  <c r="N2"/>
  <c r="H2" i="28"/>
  <c r="A1" s="1"/>
  <c r="A1" i="9"/>
  <c r="A1" i="29"/>
  <c r="A1" i="7"/>
  <c r="A1" i="4"/>
  <c r="A1" i="32" l="1"/>
  <c r="J2" i="12"/>
  <c r="A1" s="1"/>
</calcChain>
</file>

<file path=xl/comments1.xml><?xml version="1.0" encoding="utf-8"?>
<comments xmlns="http://schemas.openxmlformats.org/spreadsheetml/2006/main">
  <authors>
    <author>chenying</author>
  </authors>
  <commentList>
    <comment ref="R11" authorId="0">
      <text>
        <r>
          <rPr>
            <b/>
            <sz val="9"/>
            <color indexed="81"/>
            <rFont val="Tahoma"/>
            <family val="2"/>
          </rPr>
          <t>chenying:</t>
        </r>
        <r>
          <rPr>
            <sz val="9"/>
            <color indexed="81"/>
            <rFont val="Tahoma"/>
            <family val="2"/>
          </rPr>
          <t xml:space="preserve">
selected Cv: 215
required Cv: 120</t>
        </r>
      </text>
    </comment>
    <comment ref="M16" authorId="0">
      <text>
        <r>
          <rPr>
            <b/>
            <sz val="9"/>
            <color indexed="81"/>
            <rFont val="Tahoma"/>
            <family val="2"/>
          </rPr>
          <t>chenying:</t>
        </r>
        <r>
          <rPr>
            <sz val="9"/>
            <color indexed="81"/>
            <rFont val="Tahoma"/>
            <family val="2"/>
          </rPr>
          <t xml:space="preserve">
arrange graphic, no Cv information</t>
        </r>
      </text>
    </comment>
    <comment ref="M17" authorId="0">
      <text>
        <r>
          <rPr>
            <b/>
            <sz val="9"/>
            <color indexed="81"/>
            <rFont val="Tahoma"/>
            <family val="2"/>
          </rPr>
          <t>chenying:</t>
        </r>
        <r>
          <rPr>
            <sz val="9"/>
            <color indexed="81"/>
            <rFont val="Tahoma"/>
            <family val="2"/>
          </rPr>
          <t xml:space="preserve">
arrange graphic, no Cv information</t>
        </r>
      </text>
    </comment>
    <comment ref="R80" authorId="0">
      <text>
        <r>
          <rPr>
            <b/>
            <sz val="9"/>
            <color indexed="81"/>
            <rFont val="Tahoma"/>
            <family val="2"/>
          </rPr>
          <t>chenying:</t>
        </r>
        <r>
          <rPr>
            <sz val="9"/>
            <color indexed="81"/>
            <rFont val="Tahoma"/>
            <family val="2"/>
          </rPr>
          <t xml:space="preserve">
page 2</t>
        </r>
      </text>
    </comment>
    <comment ref="R81" authorId="0">
      <text>
        <r>
          <rPr>
            <b/>
            <sz val="9"/>
            <color indexed="81"/>
            <rFont val="Tahoma"/>
            <family val="2"/>
          </rPr>
          <t>chenying:</t>
        </r>
        <r>
          <rPr>
            <sz val="9"/>
            <color indexed="81"/>
            <rFont val="Tahoma"/>
            <family val="2"/>
          </rPr>
          <t xml:space="preserve">
page 2</t>
        </r>
      </text>
    </comment>
    <comment ref="R108" authorId="0">
      <text>
        <r>
          <rPr>
            <b/>
            <sz val="9"/>
            <color indexed="81"/>
            <rFont val="Tahoma"/>
            <family val="2"/>
          </rPr>
          <t>chenying:</t>
        </r>
        <r>
          <rPr>
            <sz val="9"/>
            <color indexed="81"/>
            <rFont val="Tahoma"/>
            <family val="2"/>
          </rPr>
          <t xml:space="preserve">
1/4
</t>
        </r>
      </text>
    </comment>
    <comment ref="R109" authorId="0">
      <text>
        <r>
          <rPr>
            <b/>
            <sz val="9"/>
            <color indexed="81"/>
            <rFont val="Tahoma"/>
            <family val="2"/>
          </rPr>
          <t>chenying:</t>
        </r>
        <r>
          <rPr>
            <sz val="9"/>
            <color indexed="81"/>
            <rFont val="Tahoma"/>
            <family val="2"/>
          </rPr>
          <t xml:space="preserve">
Cg=16800</t>
        </r>
      </text>
    </comment>
  </commentList>
</comments>
</file>

<file path=xl/comments2.xml><?xml version="1.0" encoding="utf-8"?>
<comments xmlns="http://schemas.openxmlformats.org/spreadsheetml/2006/main">
  <authors>
    <author>chenying</author>
    <author>User</author>
  </authors>
  <commentList>
    <comment ref="T1" authorId="0">
      <text>
        <r>
          <rPr>
            <b/>
            <sz val="9"/>
            <color indexed="81"/>
            <rFont val="Tahoma"/>
            <family val="2"/>
          </rPr>
          <t>chenying:</t>
        </r>
        <r>
          <rPr>
            <sz val="9"/>
            <color indexed="81"/>
            <rFont val="Tahoma"/>
            <family val="2"/>
          </rPr>
          <t xml:space="preserve">
the numbe is not clear on data sheet</t>
        </r>
      </text>
    </comment>
    <comment ref="U1" authorId="0">
      <text>
        <r>
          <rPr>
            <b/>
            <sz val="9"/>
            <color indexed="81"/>
            <rFont val="Tahoma"/>
            <family val="2"/>
          </rPr>
          <t>chenying:</t>
        </r>
        <r>
          <rPr>
            <sz val="9"/>
            <color indexed="81"/>
            <rFont val="Tahoma"/>
            <family val="2"/>
          </rPr>
          <t xml:space="preserve">
the numbe is not clear on data sheet</t>
        </r>
      </text>
    </comment>
    <comment ref="R3" authorId="0">
      <text>
        <r>
          <rPr>
            <b/>
            <sz val="9"/>
            <color indexed="81"/>
            <rFont val="Tahoma"/>
            <family val="2"/>
          </rPr>
          <t>chenying:</t>
        </r>
        <r>
          <rPr>
            <sz val="9"/>
            <color indexed="81"/>
            <rFont val="Tahoma"/>
            <family val="2"/>
          </rPr>
          <t xml:space="preserve">
atm residue</t>
        </r>
      </text>
    </comment>
    <comment ref="R4" authorId="0">
      <text>
        <r>
          <rPr>
            <b/>
            <sz val="9"/>
            <color indexed="81"/>
            <rFont val="Tahoma"/>
            <family val="2"/>
          </rPr>
          <t>chenying:</t>
        </r>
        <r>
          <rPr>
            <sz val="9"/>
            <color indexed="81"/>
            <rFont val="Tahoma"/>
            <family val="2"/>
          </rPr>
          <t xml:space="preserve">
ovhd vapor</t>
        </r>
      </text>
    </comment>
    <comment ref="R5" authorId="0">
      <text>
        <r>
          <rPr>
            <b/>
            <sz val="9"/>
            <color indexed="81"/>
            <rFont val="Tahoma"/>
            <family val="2"/>
          </rPr>
          <t>chenying:</t>
        </r>
        <r>
          <rPr>
            <sz val="9"/>
            <color indexed="81"/>
            <rFont val="Tahoma"/>
            <family val="2"/>
          </rPr>
          <t xml:space="preserve">
TOP MP COND</t>
        </r>
      </text>
    </comment>
    <comment ref="R6" authorId="0">
      <text>
        <r>
          <rPr>
            <b/>
            <sz val="9"/>
            <color indexed="81"/>
            <rFont val="Tahoma"/>
            <family val="2"/>
          </rPr>
          <t>chenying:</t>
        </r>
        <r>
          <rPr>
            <sz val="9"/>
            <color indexed="81"/>
            <rFont val="Tahoma"/>
            <family val="2"/>
          </rPr>
          <t xml:space="preserve">
TOP MP COND</t>
        </r>
      </text>
    </comment>
    <comment ref="R7" authorId="0">
      <text>
        <r>
          <rPr>
            <b/>
            <sz val="9"/>
            <color indexed="81"/>
            <rFont val="Tahoma"/>
            <family val="2"/>
          </rPr>
          <t>chenying:</t>
        </r>
        <r>
          <rPr>
            <sz val="9"/>
            <color indexed="81"/>
            <rFont val="Tahoma"/>
            <family val="2"/>
          </rPr>
          <t xml:space="preserve">
LIGHTGAS OIL</t>
        </r>
      </text>
    </comment>
    <comment ref="R8" authorId="0">
      <text>
        <r>
          <rPr>
            <b/>
            <sz val="9"/>
            <color indexed="81"/>
            <rFont val="Tahoma"/>
            <family val="2"/>
          </rPr>
          <t>chenying:</t>
        </r>
        <r>
          <rPr>
            <sz val="9"/>
            <color indexed="81"/>
            <rFont val="Tahoma"/>
            <family val="2"/>
          </rPr>
          <t xml:space="preserve">
HEAVY GAS OIL</t>
        </r>
      </text>
    </comment>
    <comment ref="R10" authorId="0">
      <text>
        <r>
          <rPr>
            <b/>
            <sz val="9"/>
            <color indexed="81"/>
            <rFont val="Tahoma"/>
            <family val="2"/>
          </rPr>
          <t>chenying:</t>
        </r>
        <r>
          <rPr>
            <sz val="9"/>
            <color indexed="81"/>
            <rFont val="Tahoma"/>
            <family val="2"/>
          </rPr>
          <t xml:space="preserve">
atm residue</t>
        </r>
      </text>
    </comment>
    <comment ref="R12" authorId="0">
      <text>
        <r>
          <rPr>
            <b/>
            <sz val="9"/>
            <color indexed="81"/>
            <rFont val="Tahoma"/>
            <family val="2"/>
          </rPr>
          <t>chenying:</t>
        </r>
        <r>
          <rPr>
            <sz val="9"/>
            <color indexed="81"/>
            <rFont val="Tahoma"/>
            <family val="2"/>
          </rPr>
          <t xml:space="preserve">
HEAVY GAS OIL</t>
        </r>
      </text>
    </comment>
    <comment ref="R13" authorId="0">
      <text>
        <r>
          <rPr>
            <b/>
            <sz val="9"/>
            <color indexed="81"/>
            <rFont val="Tahoma"/>
            <family val="2"/>
          </rPr>
          <t>chenying:</t>
        </r>
        <r>
          <rPr>
            <sz val="9"/>
            <color indexed="81"/>
            <rFont val="Tahoma"/>
            <family val="2"/>
          </rPr>
          <t xml:space="preserve">
crude oil</t>
        </r>
      </text>
    </comment>
    <comment ref="R14" authorId="0">
      <text>
        <r>
          <rPr>
            <b/>
            <sz val="9"/>
            <color indexed="81"/>
            <rFont val="Tahoma"/>
            <family val="2"/>
          </rPr>
          <t>chenying:</t>
        </r>
        <r>
          <rPr>
            <sz val="9"/>
            <color indexed="81"/>
            <rFont val="Tahoma"/>
            <family val="2"/>
          </rPr>
          <t xml:space="preserve">
H2O+HC</t>
        </r>
      </text>
    </comment>
    <comment ref="R15" authorId="0">
      <text>
        <r>
          <rPr>
            <b/>
            <sz val="9"/>
            <color indexed="81"/>
            <rFont val="Tahoma"/>
            <family val="2"/>
          </rPr>
          <t>chenying:</t>
        </r>
        <r>
          <rPr>
            <sz val="9"/>
            <color indexed="81"/>
            <rFont val="Tahoma"/>
            <family val="2"/>
          </rPr>
          <t xml:space="preserve">
atm residue</t>
        </r>
      </text>
    </comment>
    <comment ref="R16" authorId="0">
      <text>
        <r>
          <rPr>
            <b/>
            <sz val="9"/>
            <color indexed="81"/>
            <rFont val="Tahoma"/>
            <family val="2"/>
          </rPr>
          <t>chenying:</t>
        </r>
        <r>
          <rPr>
            <sz val="9"/>
            <color indexed="81"/>
            <rFont val="Tahoma"/>
            <family val="2"/>
          </rPr>
          <t xml:space="preserve">
Condensate</t>
        </r>
      </text>
    </comment>
    <comment ref="R21" authorId="0">
      <text>
        <r>
          <rPr>
            <b/>
            <sz val="9"/>
            <color indexed="81"/>
            <rFont val="Tahoma"/>
            <family val="2"/>
          </rPr>
          <t>chenying:</t>
        </r>
        <r>
          <rPr>
            <sz val="9"/>
            <color indexed="81"/>
            <rFont val="Tahoma"/>
            <family val="2"/>
          </rPr>
          <t xml:space="preserve">
reactor eff</t>
        </r>
      </text>
    </comment>
    <comment ref="T21" authorId="0">
      <text>
        <r>
          <rPr>
            <b/>
            <sz val="9"/>
            <color indexed="81"/>
            <rFont val="Tahoma"/>
            <family val="2"/>
          </rPr>
          <t>HKD:</t>
        </r>
        <r>
          <rPr>
            <sz val="9"/>
            <color indexed="81"/>
            <rFont val="Tahoma"/>
            <family val="2"/>
          </rPr>
          <t xml:space="preserve">
Total power is 68250000</t>
        </r>
      </text>
    </comment>
    <comment ref="V21" authorId="1">
      <text>
        <r>
          <rPr>
            <b/>
            <sz val="9"/>
            <color indexed="81"/>
            <rFont val="Tahoma"/>
            <family val="2"/>
          </rPr>
          <t xml:space="preserve">HongyuHan:
</t>
        </r>
        <r>
          <rPr>
            <sz val="9"/>
            <color indexed="81"/>
            <rFont val="Tahoma"/>
            <family val="2"/>
          </rPr>
          <t xml:space="preserve">It is summary for U21~U25
</t>
        </r>
      </text>
    </comment>
    <comment ref="R22" authorId="0">
      <text>
        <r>
          <rPr>
            <b/>
            <sz val="9"/>
            <color indexed="81"/>
            <rFont val="Tahoma"/>
            <family val="2"/>
          </rPr>
          <t>chenying:</t>
        </r>
        <r>
          <rPr>
            <sz val="9"/>
            <color indexed="81"/>
            <rFont val="Tahoma"/>
            <family val="2"/>
          </rPr>
          <t xml:space="preserve">
reactor eff</t>
        </r>
      </text>
    </comment>
    <comment ref="R23" authorId="0">
      <text>
        <r>
          <rPr>
            <b/>
            <sz val="9"/>
            <color indexed="81"/>
            <rFont val="Tahoma"/>
            <family val="2"/>
          </rPr>
          <t>chenying:</t>
        </r>
        <r>
          <rPr>
            <sz val="9"/>
            <color indexed="81"/>
            <rFont val="Tahoma"/>
            <family val="2"/>
          </rPr>
          <t xml:space="preserve">
reactor eff</t>
        </r>
      </text>
    </comment>
    <comment ref="R24" authorId="0">
      <text>
        <r>
          <rPr>
            <b/>
            <sz val="9"/>
            <color indexed="81"/>
            <rFont val="Tahoma"/>
            <family val="2"/>
          </rPr>
          <t>chenying:</t>
        </r>
        <r>
          <rPr>
            <sz val="9"/>
            <color indexed="81"/>
            <rFont val="Tahoma"/>
            <family val="2"/>
          </rPr>
          <t xml:space="preserve">
reactor eff</t>
        </r>
      </text>
    </comment>
    <comment ref="R25" authorId="0">
      <text>
        <r>
          <rPr>
            <b/>
            <sz val="9"/>
            <color indexed="81"/>
            <rFont val="Tahoma"/>
            <family val="2"/>
          </rPr>
          <t>chenying:</t>
        </r>
        <r>
          <rPr>
            <sz val="9"/>
            <color indexed="81"/>
            <rFont val="Tahoma"/>
            <family val="2"/>
          </rPr>
          <t xml:space="preserve">
reactor eff</t>
        </r>
      </text>
    </comment>
  </commentList>
</comments>
</file>

<file path=xl/comments3.xml><?xml version="1.0" encoding="utf-8"?>
<comments xmlns="http://schemas.openxmlformats.org/spreadsheetml/2006/main">
  <authors>
    <author>User</author>
  </authors>
  <commentList>
    <comment ref="J14" authorId="0">
      <text>
        <r>
          <rPr>
            <b/>
            <sz val="9"/>
            <color indexed="81"/>
            <rFont val="Tahoma"/>
            <family val="2"/>
          </rPr>
          <t xml:space="preserve">HongyuHan:
</t>
        </r>
        <r>
          <rPr>
            <sz val="9"/>
            <color indexed="81"/>
            <rFont val="Tahoma"/>
            <family val="2"/>
          </rPr>
          <t>Two sets of data</t>
        </r>
      </text>
    </comment>
  </commentList>
</comments>
</file>

<file path=xl/comments4.xml><?xml version="1.0" encoding="utf-8"?>
<comments xmlns="http://schemas.openxmlformats.org/spreadsheetml/2006/main">
  <authors>
    <author>User</author>
    <author>chenying</author>
  </authors>
  <commentList>
    <comment ref="S5" authorId="0">
      <text>
        <r>
          <rPr>
            <b/>
            <sz val="9"/>
            <color indexed="81"/>
            <rFont val="Tahoma"/>
            <family val="2"/>
          </rPr>
          <t xml:space="preserve">HongyuHan:
</t>
        </r>
        <r>
          <rPr>
            <sz val="9"/>
            <color indexed="81"/>
            <rFont val="Tahoma"/>
            <family val="2"/>
          </rPr>
          <t xml:space="preserve">Volume data (382.0m3) is as per shown in 0107-05-21-10005.tif
</t>
        </r>
      </text>
    </comment>
    <comment ref="S6" authorId="0">
      <text>
        <r>
          <rPr>
            <b/>
            <sz val="9"/>
            <color indexed="81"/>
            <rFont val="Tahoma"/>
            <family val="2"/>
          </rPr>
          <t xml:space="preserve">HongyuHan:
</t>
        </r>
        <r>
          <rPr>
            <sz val="9"/>
            <color indexed="81"/>
            <rFont val="Tahoma"/>
            <family val="2"/>
          </rPr>
          <t xml:space="preserve">It includes water boot volume (1.571m3)
</t>
        </r>
      </text>
    </comment>
    <comment ref="S9" authorId="0">
      <text>
        <r>
          <rPr>
            <b/>
            <sz val="9"/>
            <color indexed="81"/>
            <rFont val="Tahoma"/>
            <family val="2"/>
          </rPr>
          <t>HongyuHan:</t>
        </r>
        <r>
          <rPr>
            <sz val="9"/>
            <color indexed="81"/>
            <rFont val="Tahoma"/>
            <family val="2"/>
          </rPr>
          <t xml:space="preserve">
Other part vloume (3.92m3) is set in another tank (DZ2105_OIL) </t>
        </r>
      </text>
    </comment>
    <comment ref="S14" authorId="0">
      <text>
        <r>
          <rPr>
            <b/>
            <sz val="9"/>
            <color indexed="81"/>
            <rFont val="Tahoma"/>
            <family val="2"/>
          </rPr>
          <t xml:space="preserve">HongyuHan:
</t>
        </r>
        <r>
          <rPr>
            <sz val="9"/>
            <color indexed="81"/>
            <rFont val="Tahoma"/>
            <family val="2"/>
          </rPr>
          <t>It includes water boot volume (1.057m3)</t>
        </r>
      </text>
    </comment>
    <comment ref="S15" authorId="0">
      <text>
        <r>
          <rPr>
            <b/>
            <sz val="9"/>
            <color indexed="81"/>
            <rFont val="Tahoma"/>
            <family val="2"/>
          </rPr>
          <t>HongyuHan:</t>
        </r>
        <r>
          <rPr>
            <sz val="9"/>
            <color indexed="81"/>
            <rFont val="Tahoma"/>
            <family val="2"/>
          </rPr>
          <t xml:space="preserve">
It includes water boot volume (1.147m3)</t>
        </r>
      </text>
    </comment>
    <comment ref="S17" authorId="0">
      <text>
        <r>
          <rPr>
            <b/>
            <sz val="9"/>
            <color indexed="81"/>
            <rFont val="Tahoma"/>
            <family val="2"/>
          </rPr>
          <t>HongyuHan:</t>
        </r>
        <r>
          <rPr>
            <sz val="9"/>
            <color indexed="81"/>
            <rFont val="Tahoma"/>
            <family val="2"/>
          </rPr>
          <t xml:space="preserve">
It includes water boot volume (0.349m3)</t>
        </r>
      </text>
    </comment>
    <comment ref="S20" authorId="0">
      <text>
        <r>
          <rPr>
            <b/>
            <sz val="9"/>
            <color indexed="81"/>
            <rFont val="Tahoma"/>
            <family val="2"/>
          </rPr>
          <t xml:space="preserve">HongyuHan:
</t>
        </r>
        <r>
          <rPr>
            <sz val="9"/>
            <color indexed="81"/>
            <rFont val="Tahoma"/>
            <family val="2"/>
          </rPr>
          <t xml:space="preserve">Volume data (13.0m3) is as per shown in DZ3002 - 0002-05-30-0001.tif
</t>
        </r>
      </text>
    </comment>
    <comment ref="J25" authorId="1">
      <text>
        <r>
          <rPr>
            <b/>
            <sz val="9"/>
            <color indexed="81"/>
            <rFont val="Tahoma"/>
            <family val="2"/>
          </rPr>
          <t>chenying:</t>
        </r>
        <r>
          <rPr>
            <sz val="9"/>
            <color indexed="81"/>
            <rFont val="Tahoma"/>
            <family val="2"/>
          </rPr>
          <t xml:space="preserve">
the graphic not clear</t>
        </r>
      </text>
    </comment>
  </commentList>
</comments>
</file>

<file path=xl/comments5.xml><?xml version="1.0" encoding="utf-8"?>
<comments xmlns="http://schemas.openxmlformats.org/spreadsheetml/2006/main">
  <authors>
    <author>chenying</author>
  </authors>
  <commentList>
    <comment ref="J5" authorId="0">
      <text>
        <r>
          <rPr>
            <b/>
            <sz val="9"/>
            <color indexed="81"/>
            <rFont val="Tahoma"/>
            <family val="2"/>
          </rPr>
          <t>chenying:</t>
        </r>
        <r>
          <rPr>
            <sz val="9"/>
            <color indexed="81"/>
            <rFont val="Tahoma"/>
            <family val="2"/>
          </rPr>
          <t xml:space="preserve">
some oil part are removed in tank</t>
        </r>
      </text>
    </comment>
  </commentList>
</comments>
</file>

<file path=xl/comments6.xml><?xml version="1.0" encoding="utf-8"?>
<comments xmlns="http://schemas.openxmlformats.org/spreadsheetml/2006/main">
  <authors>
    <author>chenying</author>
  </authors>
  <commentList>
    <comment ref="F14" authorId="0">
      <text>
        <r>
          <rPr>
            <b/>
            <sz val="9"/>
            <color indexed="81"/>
            <rFont val="Tahoma"/>
            <family val="2"/>
          </rPr>
          <t>hkd:
the pressure on excel is 28barg, changed by HKD because the drum pressue is 27.8barg</t>
        </r>
        <r>
          <rPr>
            <sz val="9"/>
            <color indexed="81"/>
            <rFont val="Tahoma"/>
            <family val="2"/>
          </rPr>
          <t xml:space="preserve">
</t>
        </r>
      </text>
    </comment>
  </commentList>
</comments>
</file>

<file path=xl/comments7.xml><?xml version="1.0" encoding="utf-8"?>
<comments xmlns="http://schemas.openxmlformats.org/spreadsheetml/2006/main">
  <authors>
    <author>chenying</author>
    <author>xinfang</author>
    <author>User</author>
    <author>xuhatao</author>
  </authors>
  <commentList>
    <comment ref="Q3" authorId="0">
      <text>
        <r>
          <rPr>
            <b/>
            <sz val="9"/>
            <color indexed="81"/>
            <rFont val="Tahoma"/>
            <family val="2"/>
          </rPr>
          <t>chenying:</t>
        </r>
        <r>
          <rPr>
            <sz val="9"/>
            <color indexed="81"/>
            <rFont val="Tahoma"/>
            <family val="2"/>
          </rPr>
          <t xml:space="preserve">
Max flow: 21442kg/h, inlet P=24.01bar, DP=0.1bar. 
Min flow:6017kg/h with DP=7.5bar</t>
        </r>
      </text>
    </comment>
    <comment ref="Q4" authorId="0">
      <text>
        <r>
          <rPr>
            <b/>
            <sz val="9"/>
            <color indexed="81"/>
            <rFont val="Tahoma"/>
            <family val="2"/>
          </rPr>
          <t>chenying:</t>
        </r>
        <r>
          <rPr>
            <sz val="9"/>
            <color indexed="81"/>
            <rFont val="Tahoma"/>
            <family val="2"/>
          </rPr>
          <t xml:space="preserve">
Max flow: 140493kg/h, inlet P=8.513bar, DP=0.4bar. 
Min flow:47334kg/h with DP=7.9bar</t>
        </r>
      </text>
    </comment>
    <comment ref="Q5" authorId="0">
      <text>
        <r>
          <rPr>
            <b/>
            <sz val="9"/>
            <color indexed="81"/>
            <rFont val="Tahoma"/>
            <family val="2"/>
          </rPr>
          <t>chenying:</t>
        </r>
        <r>
          <rPr>
            <sz val="9"/>
            <color indexed="81"/>
            <rFont val="Tahoma"/>
            <family val="2"/>
          </rPr>
          <t xml:space="preserve">
Max flow: 634kg/h, inlet P=33.8bar, DP=2.9bar. 
Min flow:84kg/h with DP=8.4bar</t>
        </r>
      </text>
    </comment>
    <comment ref="Q6" authorId="0">
      <text>
        <r>
          <rPr>
            <b/>
            <sz val="9"/>
            <color indexed="81"/>
            <rFont val="Tahoma"/>
            <family val="2"/>
          </rPr>
          <t>chenying:</t>
        </r>
        <r>
          <rPr>
            <sz val="9"/>
            <color indexed="81"/>
            <rFont val="Tahoma"/>
            <family val="2"/>
          </rPr>
          <t xml:space="preserve">
Max flow: 5826kg/h, inlet P=35.3bar, DP=1.7bar. 
Min flow:630kg/h with DP=11.2bar</t>
        </r>
      </text>
    </comment>
    <comment ref="Q7" authorId="0">
      <text>
        <r>
          <rPr>
            <b/>
            <sz val="9"/>
            <color indexed="81"/>
            <rFont val="Tahoma"/>
            <family val="2"/>
          </rPr>
          <t>chenying:</t>
        </r>
        <r>
          <rPr>
            <sz val="9"/>
            <color indexed="81"/>
            <rFont val="Tahoma"/>
            <family val="2"/>
          </rPr>
          <t xml:space="preserve">
Max flow: 24950kg/h, inlet P=1.9bar, DP=0.26bar. 
Min flow:3100kg/h with DP=1.5bar</t>
        </r>
      </text>
    </comment>
    <comment ref="Q8" authorId="0">
      <text>
        <r>
          <rPr>
            <b/>
            <sz val="9"/>
            <color indexed="81"/>
            <rFont val="Tahoma"/>
            <family val="2"/>
          </rPr>
          <t>chenying:</t>
        </r>
        <r>
          <rPr>
            <sz val="9"/>
            <color indexed="81"/>
            <rFont val="Tahoma"/>
            <family val="2"/>
          </rPr>
          <t xml:space="preserve">
Max flow: 129740kg/h, inlet P=1.84bar, DP=0.2bar. 
Min flow:23952kg/h with DP=7.86bar</t>
        </r>
      </text>
    </comment>
    <comment ref="Q20" authorId="0">
      <text>
        <r>
          <rPr>
            <b/>
            <sz val="9"/>
            <color indexed="81"/>
            <rFont val="Tahoma"/>
            <family val="2"/>
          </rPr>
          <t>chenying:</t>
        </r>
        <r>
          <rPr>
            <sz val="9"/>
            <color indexed="81"/>
            <rFont val="Tahoma"/>
            <family val="2"/>
          </rPr>
          <t xml:space="preserve">
selected Cv: 215
required Cv: 120</t>
        </r>
      </text>
    </comment>
    <comment ref="AE20" authorId="0">
      <text>
        <r>
          <rPr>
            <b/>
            <sz val="9"/>
            <color indexed="81"/>
            <rFont val="Tahoma"/>
            <family val="2"/>
          </rPr>
          <t>chenying:</t>
        </r>
        <r>
          <rPr>
            <sz val="9"/>
            <color indexed="81"/>
            <rFont val="Tahoma"/>
            <family val="2"/>
          </rPr>
          <t xml:space="preserve">
calculated Cv: 70.48
</t>
        </r>
      </text>
    </comment>
    <comment ref="AC22" authorId="0">
      <text>
        <r>
          <rPr>
            <b/>
            <sz val="9"/>
            <color indexed="81"/>
            <rFont val="Tahoma"/>
            <family val="2"/>
          </rPr>
          <t>chenying:</t>
        </r>
        <r>
          <rPr>
            <sz val="9"/>
            <color indexed="81"/>
            <rFont val="Tahoma"/>
            <family val="2"/>
          </rPr>
          <t xml:space="preserve">
nm3/h</t>
        </r>
      </text>
    </comment>
    <comment ref="AE22" authorId="0">
      <text>
        <r>
          <rPr>
            <b/>
            <sz val="9"/>
            <color indexed="81"/>
            <rFont val="Tahoma"/>
            <family val="2"/>
          </rPr>
          <t>chenying:</t>
        </r>
        <r>
          <rPr>
            <sz val="9"/>
            <color indexed="81"/>
            <rFont val="Tahoma"/>
            <family val="2"/>
          </rPr>
          <t xml:space="preserve">
calculated Cv: 74.45
</t>
        </r>
      </text>
    </comment>
    <comment ref="AC23" authorId="0">
      <text>
        <r>
          <rPr>
            <b/>
            <sz val="9"/>
            <color indexed="81"/>
            <rFont val="Tahoma"/>
            <family val="2"/>
          </rPr>
          <t>chenying:</t>
        </r>
        <r>
          <rPr>
            <sz val="9"/>
            <color indexed="81"/>
            <rFont val="Tahoma"/>
            <family val="2"/>
          </rPr>
          <t xml:space="preserve">
m3/h</t>
        </r>
      </text>
    </comment>
    <comment ref="AE23" authorId="0">
      <text>
        <r>
          <rPr>
            <b/>
            <sz val="9"/>
            <color indexed="81"/>
            <rFont val="Tahoma"/>
            <family val="2"/>
          </rPr>
          <t>chenying:</t>
        </r>
        <r>
          <rPr>
            <sz val="9"/>
            <color indexed="81"/>
            <rFont val="Tahoma"/>
            <family val="2"/>
          </rPr>
          <t xml:space="preserve">
calculated cv: 5.34
</t>
        </r>
      </text>
    </comment>
    <comment ref="AC24" authorId="0">
      <text>
        <r>
          <rPr>
            <b/>
            <sz val="9"/>
            <color indexed="81"/>
            <rFont val="Tahoma"/>
            <family val="2"/>
          </rPr>
          <t>chenying:</t>
        </r>
        <r>
          <rPr>
            <sz val="9"/>
            <color indexed="81"/>
            <rFont val="Tahoma"/>
            <family val="2"/>
          </rPr>
          <t xml:space="preserve">
nm3/h</t>
        </r>
      </text>
    </comment>
    <comment ref="M25" authorId="0">
      <text>
        <r>
          <rPr>
            <b/>
            <sz val="9"/>
            <color indexed="81"/>
            <rFont val="Tahoma"/>
            <family val="2"/>
          </rPr>
          <t>chenying:</t>
        </r>
        <r>
          <rPr>
            <sz val="9"/>
            <color indexed="81"/>
            <rFont val="Tahoma"/>
            <family val="2"/>
          </rPr>
          <t xml:space="preserve">
arrange graphic, no Cv information</t>
        </r>
      </text>
    </comment>
    <comment ref="N26" authorId="0">
      <text>
        <r>
          <rPr>
            <b/>
            <sz val="9"/>
            <color indexed="81"/>
            <rFont val="Tahoma"/>
            <family val="2"/>
          </rPr>
          <t>chenying:</t>
        </r>
        <r>
          <rPr>
            <sz val="9"/>
            <color indexed="81"/>
            <rFont val="Tahoma"/>
            <family val="2"/>
          </rPr>
          <t xml:space="preserve">
arrange graphic, no Cv information</t>
        </r>
      </text>
    </comment>
    <comment ref="N30" authorId="0">
      <text>
        <r>
          <rPr>
            <b/>
            <sz val="9"/>
            <color indexed="81"/>
            <rFont val="Tahoma"/>
            <family val="2"/>
          </rPr>
          <t>chenying:</t>
        </r>
        <r>
          <rPr>
            <sz val="9"/>
            <color indexed="81"/>
            <rFont val="Tahoma"/>
            <family val="2"/>
          </rPr>
          <t xml:space="preserve">
 no Cv information</t>
        </r>
      </text>
    </comment>
    <comment ref="X31" authorId="0">
      <text>
        <r>
          <rPr>
            <b/>
            <sz val="9"/>
            <color indexed="81"/>
            <rFont val="Tahoma"/>
            <family val="2"/>
          </rPr>
          <t>chenying:</t>
        </r>
        <r>
          <rPr>
            <sz val="9"/>
            <color indexed="81"/>
            <rFont val="Tahoma"/>
            <family val="2"/>
          </rPr>
          <t xml:space="preserve">
bypass valve need to build separately</t>
        </r>
      </text>
    </comment>
    <comment ref="AC31" authorId="0">
      <text>
        <r>
          <rPr>
            <b/>
            <sz val="9"/>
            <color indexed="81"/>
            <rFont val="Tahoma"/>
            <family val="2"/>
          </rPr>
          <t>chenying:</t>
        </r>
        <r>
          <rPr>
            <sz val="9"/>
            <color indexed="81"/>
            <rFont val="Tahoma"/>
            <family val="2"/>
          </rPr>
          <t xml:space="preserve">
m3/h</t>
        </r>
      </text>
    </comment>
    <comment ref="AE31" authorId="0">
      <text>
        <r>
          <rPr>
            <b/>
            <sz val="9"/>
            <color indexed="81"/>
            <rFont val="Tahoma"/>
            <family val="2"/>
          </rPr>
          <t>chenying:</t>
        </r>
        <r>
          <rPr>
            <sz val="9"/>
            <color indexed="81"/>
            <rFont val="Tahoma"/>
            <family val="2"/>
          </rPr>
          <t xml:space="preserve">
cv: 234.3</t>
        </r>
      </text>
    </comment>
    <comment ref="V33" authorId="0">
      <text>
        <r>
          <rPr>
            <b/>
            <sz val="9"/>
            <color indexed="81"/>
            <rFont val="Tahoma"/>
            <family val="2"/>
          </rPr>
          <t>chenying:</t>
        </r>
        <r>
          <rPr>
            <sz val="9"/>
            <color indexed="81"/>
            <rFont val="Tahoma"/>
            <family val="2"/>
          </rPr>
          <t xml:space="preserve">
5/17
</t>
        </r>
      </text>
    </comment>
    <comment ref="V36" authorId="0">
      <text>
        <r>
          <rPr>
            <b/>
            <sz val="9"/>
            <color indexed="81"/>
            <rFont val="Tahoma"/>
            <family val="2"/>
          </rPr>
          <t>chenying:</t>
        </r>
        <r>
          <rPr>
            <sz val="9"/>
            <color indexed="81"/>
            <rFont val="Tahoma"/>
            <family val="2"/>
          </rPr>
          <t xml:space="preserve">
7/17
</t>
        </r>
      </text>
    </comment>
    <comment ref="V37" authorId="0">
      <text>
        <r>
          <rPr>
            <b/>
            <sz val="9"/>
            <color indexed="81"/>
            <rFont val="Tahoma"/>
            <family val="2"/>
          </rPr>
          <t>chenying:</t>
        </r>
        <r>
          <rPr>
            <sz val="9"/>
            <color indexed="81"/>
            <rFont val="Tahoma"/>
            <family val="2"/>
          </rPr>
          <t xml:space="preserve">
9/17
</t>
        </r>
      </text>
    </comment>
    <comment ref="V38" authorId="0">
      <text>
        <r>
          <rPr>
            <b/>
            <sz val="9"/>
            <color indexed="81"/>
            <rFont val="Tahoma"/>
            <family val="2"/>
          </rPr>
          <t>chenying:</t>
        </r>
        <r>
          <rPr>
            <sz val="9"/>
            <color indexed="81"/>
            <rFont val="Tahoma"/>
            <family val="2"/>
          </rPr>
          <t xml:space="preserve">
14/17
</t>
        </r>
      </text>
    </comment>
    <comment ref="V41" authorId="0">
      <text>
        <r>
          <rPr>
            <b/>
            <sz val="9"/>
            <color indexed="81"/>
            <rFont val="Tahoma"/>
            <family val="2"/>
          </rPr>
          <t>chenying:</t>
        </r>
        <r>
          <rPr>
            <sz val="9"/>
            <color indexed="81"/>
            <rFont val="Tahoma"/>
            <family val="2"/>
          </rPr>
          <t xml:space="preserve">
17/17
</t>
        </r>
      </text>
    </comment>
    <comment ref="AC44" authorId="0">
      <text>
        <r>
          <rPr>
            <b/>
            <sz val="9"/>
            <color indexed="81"/>
            <rFont val="Tahoma"/>
            <family val="2"/>
          </rPr>
          <t>chenying:</t>
        </r>
        <r>
          <rPr>
            <sz val="9"/>
            <color indexed="81"/>
            <rFont val="Tahoma"/>
            <family val="2"/>
          </rPr>
          <t xml:space="preserve">
m3/h</t>
        </r>
      </text>
    </comment>
    <comment ref="N45" authorId="0">
      <text>
        <r>
          <rPr>
            <b/>
            <sz val="9"/>
            <color indexed="81"/>
            <rFont val="Tahoma"/>
            <family val="2"/>
          </rPr>
          <t>chenying:</t>
        </r>
        <r>
          <rPr>
            <sz val="9"/>
            <color indexed="81"/>
            <rFont val="Tahoma"/>
            <family val="2"/>
          </rPr>
          <t xml:space="preserve">
 no Cv information</t>
        </r>
      </text>
    </comment>
    <comment ref="N46" authorId="0">
      <text>
        <r>
          <rPr>
            <b/>
            <sz val="9"/>
            <color indexed="81"/>
            <rFont val="Tahoma"/>
            <family val="2"/>
          </rPr>
          <t>chenying:</t>
        </r>
        <r>
          <rPr>
            <sz val="9"/>
            <color indexed="81"/>
            <rFont val="Tahoma"/>
            <family val="2"/>
          </rPr>
          <t xml:space="preserve">
 no Cv information</t>
        </r>
      </text>
    </comment>
    <comment ref="O48" authorId="0">
      <text>
        <r>
          <rPr>
            <b/>
            <sz val="9"/>
            <color indexed="81"/>
            <rFont val="Tahoma"/>
            <family val="2"/>
          </rPr>
          <t>chenying:</t>
        </r>
        <r>
          <rPr>
            <sz val="9"/>
            <color indexed="81"/>
            <rFont val="Tahoma"/>
            <family val="2"/>
          </rPr>
          <t xml:space="preserve">
same as FV1032?
</t>
        </r>
      </text>
    </comment>
    <comment ref="O49" authorId="0">
      <text>
        <r>
          <rPr>
            <b/>
            <sz val="9"/>
            <color indexed="81"/>
            <rFont val="Tahoma"/>
            <family val="2"/>
          </rPr>
          <t>chenying:</t>
        </r>
        <r>
          <rPr>
            <sz val="9"/>
            <color indexed="81"/>
            <rFont val="Tahoma"/>
            <family val="2"/>
          </rPr>
          <t xml:space="preserve">
same as FV1032?
</t>
        </r>
      </text>
    </comment>
    <comment ref="O50" authorId="0">
      <text>
        <r>
          <rPr>
            <b/>
            <sz val="9"/>
            <color indexed="81"/>
            <rFont val="Tahoma"/>
            <family val="2"/>
          </rPr>
          <t>chenying:</t>
        </r>
        <r>
          <rPr>
            <sz val="9"/>
            <color indexed="81"/>
            <rFont val="Tahoma"/>
            <family val="2"/>
          </rPr>
          <t xml:space="preserve">
same as FV1032?
</t>
        </r>
      </text>
    </comment>
    <comment ref="O51" authorId="0">
      <text>
        <r>
          <rPr>
            <b/>
            <sz val="9"/>
            <color indexed="81"/>
            <rFont val="Tahoma"/>
            <family val="2"/>
          </rPr>
          <t>chenying:</t>
        </r>
        <r>
          <rPr>
            <sz val="9"/>
            <color indexed="81"/>
            <rFont val="Tahoma"/>
            <family val="2"/>
          </rPr>
          <t xml:space="preserve">
same as FV1032?
</t>
        </r>
      </text>
    </comment>
    <comment ref="O52" authorId="0">
      <text>
        <r>
          <rPr>
            <b/>
            <sz val="9"/>
            <color indexed="81"/>
            <rFont val="Tahoma"/>
            <family val="2"/>
          </rPr>
          <t>chenying:</t>
        </r>
        <r>
          <rPr>
            <sz val="9"/>
            <color indexed="81"/>
            <rFont val="Tahoma"/>
            <family val="2"/>
          </rPr>
          <t xml:space="preserve">
same as FV1032?
</t>
        </r>
      </text>
    </comment>
    <comment ref="O53" authorId="0">
      <text>
        <r>
          <rPr>
            <b/>
            <sz val="9"/>
            <color indexed="81"/>
            <rFont val="Tahoma"/>
            <family val="2"/>
          </rPr>
          <t>chenying:</t>
        </r>
        <r>
          <rPr>
            <sz val="9"/>
            <color indexed="81"/>
            <rFont val="Tahoma"/>
            <family val="2"/>
          </rPr>
          <t xml:space="preserve">
same as FV1032?
</t>
        </r>
      </text>
    </comment>
    <comment ref="O54" authorId="0">
      <text>
        <r>
          <rPr>
            <b/>
            <sz val="9"/>
            <color indexed="81"/>
            <rFont val="Tahoma"/>
            <family val="2"/>
          </rPr>
          <t>chenying:</t>
        </r>
        <r>
          <rPr>
            <sz val="9"/>
            <color indexed="81"/>
            <rFont val="Tahoma"/>
            <family val="2"/>
          </rPr>
          <t xml:space="preserve">
same as FV1032?
</t>
        </r>
      </text>
    </comment>
    <comment ref="R58" authorId="0">
      <text>
        <r>
          <rPr>
            <b/>
            <sz val="9"/>
            <color indexed="81"/>
            <rFont val="Tahoma"/>
            <family val="2"/>
          </rPr>
          <t>chenying:</t>
        </r>
        <r>
          <rPr>
            <sz val="9"/>
            <color indexed="81"/>
            <rFont val="Tahoma"/>
            <family val="2"/>
          </rPr>
          <t xml:space="preserve">
4/4
</t>
        </r>
      </text>
    </comment>
    <comment ref="R68" authorId="0">
      <text>
        <r>
          <rPr>
            <b/>
            <sz val="9"/>
            <color indexed="81"/>
            <rFont val="Tahoma"/>
            <family val="2"/>
          </rPr>
          <t>chenying:</t>
        </r>
        <r>
          <rPr>
            <sz val="9"/>
            <color indexed="81"/>
            <rFont val="Tahoma"/>
            <family val="2"/>
          </rPr>
          <t xml:space="preserve">
3/15
</t>
        </r>
      </text>
    </comment>
    <comment ref="R69" authorId="0">
      <text>
        <r>
          <rPr>
            <b/>
            <sz val="9"/>
            <color indexed="81"/>
            <rFont val="Tahoma"/>
            <family val="2"/>
          </rPr>
          <t>chenying:</t>
        </r>
        <r>
          <rPr>
            <sz val="9"/>
            <color indexed="81"/>
            <rFont val="Tahoma"/>
            <family val="2"/>
          </rPr>
          <t xml:space="preserve">
4/15
</t>
        </r>
      </text>
    </comment>
    <comment ref="R70" authorId="0">
      <text>
        <r>
          <rPr>
            <b/>
            <sz val="9"/>
            <color indexed="81"/>
            <rFont val="Tahoma"/>
            <family val="2"/>
          </rPr>
          <t>chenying:</t>
        </r>
        <r>
          <rPr>
            <sz val="9"/>
            <color indexed="81"/>
            <rFont val="Tahoma"/>
            <family val="2"/>
          </rPr>
          <t xml:space="preserve">
5/15
</t>
        </r>
      </text>
    </comment>
    <comment ref="R71" authorId="0">
      <text>
        <r>
          <rPr>
            <b/>
            <sz val="9"/>
            <color indexed="81"/>
            <rFont val="Tahoma"/>
            <family val="2"/>
          </rPr>
          <t>chenying:</t>
        </r>
        <r>
          <rPr>
            <sz val="9"/>
            <color indexed="81"/>
            <rFont val="Tahoma"/>
            <family val="2"/>
          </rPr>
          <t xml:space="preserve">
6/15
</t>
        </r>
      </text>
    </comment>
    <comment ref="R72" authorId="0">
      <text>
        <r>
          <rPr>
            <b/>
            <sz val="9"/>
            <color indexed="81"/>
            <rFont val="Tahoma"/>
            <family val="2"/>
          </rPr>
          <t>chenying:</t>
        </r>
        <r>
          <rPr>
            <sz val="9"/>
            <color indexed="81"/>
            <rFont val="Tahoma"/>
            <family val="2"/>
          </rPr>
          <t xml:space="preserve">
7/15
</t>
        </r>
      </text>
    </comment>
    <comment ref="R73" authorId="0">
      <text>
        <r>
          <rPr>
            <b/>
            <sz val="9"/>
            <color indexed="81"/>
            <rFont val="Tahoma"/>
            <family val="2"/>
          </rPr>
          <t>chenying:</t>
        </r>
        <r>
          <rPr>
            <sz val="9"/>
            <color indexed="81"/>
            <rFont val="Tahoma"/>
            <family val="2"/>
          </rPr>
          <t xml:space="preserve">
8/15
</t>
        </r>
      </text>
    </comment>
    <comment ref="R74" authorId="0">
      <text>
        <r>
          <rPr>
            <b/>
            <sz val="9"/>
            <color indexed="81"/>
            <rFont val="Tahoma"/>
            <family val="2"/>
          </rPr>
          <t>chenying:</t>
        </r>
        <r>
          <rPr>
            <sz val="9"/>
            <color indexed="81"/>
            <rFont val="Tahoma"/>
            <family val="2"/>
          </rPr>
          <t xml:space="preserve">
9/15
</t>
        </r>
      </text>
    </comment>
    <comment ref="R75" authorId="0">
      <text>
        <r>
          <rPr>
            <b/>
            <sz val="9"/>
            <color indexed="81"/>
            <rFont val="Tahoma"/>
            <family val="2"/>
          </rPr>
          <t>chenying:</t>
        </r>
        <r>
          <rPr>
            <sz val="9"/>
            <color indexed="81"/>
            <rFont val="Tahoma"/>
            <family val="2"/>
          </rPr>
          <t xml:space="preserve">
10/15
</t>
        </r>
      </text>
    </comment>
    <comment ref="R76" authorId="0">
      <text>
        <r>
          <rPr>
            <b/>
            <sz val="9"/>
            <color indexed="81"/>
            <rFont val="Tahoma"/>
            <family val="2"/>
          </rPr>
          <t>chenying:</t>
        </r>
        <r>
          <rPr>
            <sz val="9"/>
            <color indexed="81"/>
            <rFont val="Tahoma"/>
            <family val="2"/>
          </rPr>
          <t xml:space="preserve">
11/15
</t>
        </r>
      </text>
    </comment>
    <comment ref="R77" authorId="0">
      <text>
        <r>
          <rPr>
            <b/>
            <sz val="9"/>
            <color indexed="81"/>
            <rFont val="Tahoma"/>
            <family val="2"/>
          </rPr>
          <t>chenying:</t>
        </r>
        <r>
          <rPr>
            <sz val="9"/>
            <color indexed="81"/>
            <rFont val="Tahoma"/>
            <family val="2"/>
          </rPr>
          <t xml:space="preserve">
12/15
</t>
        </r>
      </text>
    </comment>
    <comment ref="R78" authorId="0">
      <text>
        <r>
          <rPr>
            <b/>
            <sz val="9"/>
            <color indexed="81"/>
            <rFont val="Tahoma"/>
            <family val="2"/>
          </rPr>
          <t>chenying:</t>
        </r>
        <r>
          <rPr>
            <sz val="9"/>
            <color indexed="81"/>
            <rFont val="Tahoma"/>
            <family val="2"/>
          </rPr>
          <t xml:space="preserve">
13/15
</t>
        </r>
      </text>
    </comment>
    <comment ref="R79" authorId="0">
      <text>
        <r>
          <rPr>
            <b/>
            <sz val="9"/>
            <color indexed="81"/>
            <rFont val="Tahoma"/>
            <family val="2"/>
          </rPr>
          <t>chenying:</t>
        </r>
        <r>
          <rPr>
            <sz val="9"/>
            <color indexed="81"/>
            <rFont val="Tahoma"/>
            <family val="2"/>
          </rPr>
          <t xml:space="preserve">
14/15
</t>
        </r>
      </text>
    </comment>
    <comment ref="R83" authorId="0">
      <text>
        <r>
          <rPr>
            <b/>
            <sz val="9"/>
            <color indexed="81"/>
            <rFont val="Tahoma"/>
            <family val="2"/>
          </rPr>
          <t>chenying:</t>
        </r>
        <r>
          <rPr>
            <sz val="9"/>
            <color indexed="81"/>
            <rFont val="Tahoma"/>
            <family val="2"/>
          </rPr>
          <t xml:space="preserve">
15/15
</t>
        </r>
      </text>
    </comment>
    <comment ref="N85" authorId="0">
      <text>
        <r>
          <rPr>
            <b/>
            <sz val="9"/>
            <color indexed="81"/>
            <rFont val="Tahoma"/>
            <family val="2"/>
          </rPr>
          <t>chenying:</t>
        </r>
        <r>
          <rPr>
            <sz val="9"/>
            <color indexed="81"/>
            <rFont val="Tahoma"/>
            <family val="2"/>
          </rPr>
          <t xml:space="preserve">
 no Cv information</t>
        </r>
      </text>
    </comment>
    <comment ref="N86" authorId="0">
      <text>
        <r>
          <rPr>
            <b/>
            <sz val="9"/>
            <color indexed="81"/>
            <rFont val="Tahoma"/>
            <family val="2"/>
          </rPr>
          <t>chenying:</t>
        </r>
        <r>
          <rPr>
            <sz val="9"/>
            <color indexed="81"/>
            <rFont val="Tahoma"/>
            <family val="2"/>
          </rPr>
          <t xml:space="preserve">
 no Cv information</t>
        </r>
      </text>
    </comment>
    <comment ref="R88" authorId="0">
      <text>
        <r>
          <rPr>
            <b/>
            <sz val="9"/>
            <color indexed="81"/>
            <rFont val="Tahoma"/>
            <family val="2"/>
          </rPr>
          <t>chenying:</t>
        </r>
        <r>
          <rPr>
            <sz val="9"/>
            <color indexed="81"/>
            <rFont val="Tahoma"/>
            <family val="2"/>
          </rPr>
          <t xml:space="preserve">
4/7
</t>
        </r>
      </text>
    </comment>
    <comment ref="R91" authorId="0">
      <text>
        <r>
          <rPr>
            <b/>
            <sz val="9"/>
            <color indexed="81"/>
            <rFont val="Tahoma"/>
            <family val="2"/>
          </rPr>
          <t>chenying:</t>
        </r>
        <r>
          <rPr>
            <sz val="9"/>
            <color indexed="81"/>
            <rFont val="Tahoma"/>
            <family val="2"/>
          </rPr>
          <t xml:space="preserve">
6/7
</t>
        </r>
      </text>
    </comment>
    <comment ref="R93" authorId="0">
      <text>
        <r>
          <rPr>
            <b/>
            <sz val="9"/>
            <color indexed="81"/>
            <rFont val="Tahoma"/>
            <family val="2"/>
          </rPr>
          <t>chenying:</t>
        </r>
        <r>
          <rPr>
            <sz val="9"/>
            <color indexed="81"/>
            <rFont val="Tahoma"/>
            <family val="2"/>
          </rPr>
          <t xml:space="preserve">
7
/7
</t>
        </r>
      </text>
    </comment>
    <comment ref="R94" authorId="0">
      <text>
        <r>
          <rPr>
            <b/>
            <sz val="9"/>
            <color indexed="81"/>
            <rFont val="Tahoma"/>
            <family val="2"/>
          </rPr>
          <t>chenying:</t>
        </r>
        <r>
          <rPr>
            <sz val="9"/>
            <color indexed="81"/>
            <rFont val="Tahoma"/>
            <family val="2"/>
          </rPr>
          <t xml:space="preserve">
8/12
</t>
        </r>
      </text>
    </comment>
    <comment ref="R95" authorId="0">
      <text>
        <r>
          <rPr>
            <b/>
            <sz val="9"/>
            <color indexed="81"/>
            <rFont val="Tahoma"/>
            <family val="2"/>
          </rPr>
          <t>chenying:</t>
        </r>
        <r>
          <rPr>
            <sz val="9"/>
            <color indexed="81"/>
            <rFont val="Tahoma"/>
            <family val="2"/>
          </rPr>
          <t xml:space="preserve">
10/12
</t>
        </r>
      </text>
    </comment>
    <comment ref="R96" authorId="0">
      <text>
        <r>
          <rPr>
            <b/>
            <sz val="9"/>
            <color indexed="81"/>
            <rFont val="Tahoma"/>
            <family val="2"/>
          </rPr>
          <t>chenying:</t>
        </r>
        <r>
          <rPr>
            <sz val="9"/>
            <color indexed="81"/>
            <rFont val="Tahoma"/>
            <family val="2"/>
          </rPr>
          <t xml:space="preserve">
4/12
</t>
        </r>
      </text>
    </comment>
    <comment ref="R97" authorId="0">
      <text>
        <r>
          <rPr>
            <b/>
            <sz val="9"/>
            <color indexed="81"/>
            <rFont val="Tahoma"/>
            <family val="2"/>
          </rPr>
          <t>chenying:</t>
        </r>
        <r>
          <rPr>
            <sz val="9"/>
            <color indexed="81"/>
            <rFont val="Tahoma"/>
            <family val="2"/>
          </rPr>
          <t xml:space="preserve">
6/12
</t>
        </r>
      </text>
    </comment>
    <comment ref="O106" authorId="0">
      <text>
        <r>
          <rPr>
            <b/>
            <sz val="9"/>
            <color indexed="81"/>
            <rFont val="Tahoma"/>
            <family val="2"/>
          </rPr>
          <t>chenying:</t>
        </r>
        <r>
          <rPr>
            <sz val="9"/>
            <color indexed="81"/>
            <rFont val="Tahoma"/>
            <family val="2"/>
          </rPr>
          <t xml:space="preserve">
 no Cv information</t>
        </r>
      </text>
    </comment>
    <comment ref="AC107" authorId="0">
      <text>
        <r>
          <rPr>
            <b/>
            <sz val="9"/>
            <color indexed="81"/>
            <rFont val="Tahoma"/>
            <family val="2"/>
          </rPr>
          <t>chenying:</t>
        </r>
        <r>
          <rPr>
            <sz val="9"/>
            <color indexed="81"/>
            <rFont val="Tahoma"/>
            <family val="2"/>
          </rPr>
          <t xml:space="preserve">
m3/h</t>
        </r>
      </text>
    </comment>
    <comment ref="N108" authorId="0">
      <text>
        <r>
          <rPr>
            <b/>
            <sz val="9"/>
            <color indexed="81"/>
            <rFont val="Tahoma"/>
            <family val="2"/>
          </rPr>
          <t>chenying:</t>
        </r>
        <r>
          <rPr>
            <sz val="9"/>
            <color indexed="81"/>
            <rFont val="Tahoma"/>
            <family val="2"/>
          </rPr>
          <t xml:space="preserve">
 no Cv information</t>
        </r>
      </text>
    </comment>
    <comment ref="O109" authorId="1">
      <text>
        <r>
          <rPr>
            <b/>
            <sz val="9"/>
            <color indexed="81"/>
            <rFont val="Tahoma"/>
            <family val="2"/>
          </rPr>
          <t>xinfang:</t>
        </r>
        <r>
          <rPr>
            <sz val="9"/>
            <color indexed="81"/>
            <rFont val="Tahoma"/>
            <family val="2"/>
          </rPr>
          <t xml:space="preserve">
Add BY xf</t>
        </r>
      </text>
    </comment>
    <comment ref="AC117" authorId="0">
      <text>
        <r>
          <rPr>
            <b/>
            <sz val="9"/>
            <color indexed="81"/>
            <rFont val="Tahoma"/>
            <family val="2"/>
          </rPr>
          <t>chenying:</t>
        </r>
        <r>
          <rPr>
            <sz val="9"/>
            <color indexed="81"/>
            <rFont val="Tahoma"/>
            <family val="2"/>
          </rPr>
          <t xml:space="preserve">
m3/h</t>
        </r>
      </text>
    </comment>
    <comment ref="Q118" authorId="0">
      <text>
        <r>
          <rPr>
            <b/>
            <sz val="9"/>
            <color indexed="81"/>
            <rFont val="Tahoma"/>
            <family val="2"/>
          </rPr>
          <t>chenying:</t>
        </r>
        <r>
          <rPr>
            <sz val="9"/>
            <color indexed="81"/>
            <rFont val="Tahoma"/>
            <family val="2"/>
          </rPr>
          <t xml:space="preserve">
page 2</t>
        </r>
      </text>
    </comment>
    <comment ref="V118" authorId="2">
      <text>
        <r>
          <rPr>
            <b/>
            <sz val="9"/>
            <color indexed="81"/>
            <rFont val="Tahoma"/>
            <family val="2"/>
          </rPr>
          <t>HongyuHan:</t>
        </r>
        <r>
          <rPr>
            <sz val="9"/>
            <color indexed="81"/>
            <rFont val="Tahoma"/>
            <family val="2"/>
          </rPr>
          <t xml:space="preserve">
It is marked in DFS</t>
        </r>
      </text>
    </comment>
    <comment ref="AC118" authorId="0">
      <text>
        <r>
          <rPr>
            <b/>
            <sz val="9"/>
            <color indexed="81"/>
            <rFont val="Tahoma"/>
            <family val="2"/>
          </rPr>
          <t>chenying:</t>
        </r>
        <r>
          <rPr>
            <sz val="9"/>
            <color indexed="81"/>
            <rFont val="Tahoma"/>
            <family val="2"/>
          </rPr>
          <t xml:space="preserve">
m3/h</t>
        </r>
      </text>
    </comment>
    <comment ref="Q119" authorId="0">
      <text>
        <r>
          <rPr>
            <b/>
            <sz val="9"/>
            <color indexed="81"/>
            <rFont val="Tahoma"/>
            <family val="2"/>
          </rPr>
          <t>chenying:</t>
        </r>
        <r>
          <rPr>
            <sz val="9"/>
            <color indexed="81"/>
            <rFont val="Tahoma"/>
            <family val="2"/>
          </rPr>
          <t xml:space="preserve">
page 2</t>
        </r>
      </text>
    </comment>
    <comment ref="V119" authorId="2">
      <text>
        <r>
          <rPr>
            <b/>
            <sz val="9"/>
            <color indexed="81"/>
            <rFont val="Tahoma"/>
            <family val="2"/>
          </rPr>
          <t>HongyuHan:</t>
        </r>
        <r>
          <rPr>
            <sz val="9"/>
            <color indexed="81"/>
            <rFont val="Tahoma"/>
            <family val="2"/>
          </rPr>
          <t xml:space="preserve">
It is marked in DFS</t>
        </r>
      </text>
    </comment>
    <comment ref="AC119" authorId="0">
      <text>
        <r>
          <rPr>
            <b/>
            <sz val="9"/>
            <color indexed="81"/>
            <rFont val="Tahoma"/>
            <family val="2"/>
          </rPr>
          <t>chenying:</t>
        </r>
        <r>
          <rPr>
            <sz val="9"/>
            <color indexed="81"/>
            <rFont val="Tahoma"/>
            <family val="2"/>
          </rPr>
          <t xml:space="preserve">
m3/h</t>
        </r>
      </text>
    </comment>
    <comment ref="R128" authorId="0">
      <text>
        <r>
          <rPr>
            <b/>
            <sz val="9"/>
            <color indexed="81"/>
            <rFont val="Tahoma"/>
            <family val="2"/>
          </rPr>
          <t>chenying:</t>
        </r>
        <r>
          <rPr>
            <sz val="9"/>
            <color indexed="81"/>
            <rFont val="Tahoma"/>
            <family val="2"/>
          </rPr>
          <t xml:space="preserve">
4/10
</t>
        </r>
      </text>
    </comment>
    <comment ref="R131" authorId="0">
      <text>
        <r>
          <rPr>
            <b/>
            <sz val="9"/>
            <color indexed="81"/>
            <rFont val="Tahoma"/>
            <family val="2"/>
          </rPr>
          <t>chenying:</t>
        </r>
        <r>
          <rPr>
            <sz val="9"/>
            <color indexed="81"/>
            <rFont val="Tahoma"/>
            <family val="2"/>
          </rPr>
          <t xml:space="preserve">
6/10
</t>
        </r>
      </text>
    </comment>
    <comment ref="R132" authorId="0">
      <text>
        <r>
          <rPr>
            <b/>
            <sz val="9"/>
            <color indexed="81"/>
            <rFont val="Tahoma"/>
            <family val="2"/>
          </rPr>
          <t>chenying:</t>
        </r>
        <r>
          <rPr>
            <sz val="9"/>
            <color indexed="81"/>
            <rFont val="Tahoma"/>
            <family val="2"/>
          </rPr>
          <t xml:space="preserve">
9/10
</t>
        </r>
      </text>
    </comment>
    <comment ref="R134" authorId="0">
      <text>
        <r>
          <rPr>
            <b/>
            <sz val="9"/>
            <color indexed="81"/>
            <rFont val="Tahoma"/>
            <family val="2"/>
          </rPr>
          <t>chenying:</t>
        </r>
        <r>
          <rPr>
            <sz val="9"/>
            <color indexed="81"/>
            <rFont val="Tahoma"/>
            <family val="2"/>
          </rPr>
          <t xml:space="preserve">
10/10
</t>
        </r>
      </text>
    </comment>
    <comment ref="R140" authorId="0">
      <text>
        <r>
          <rPr>
            <b/>
            <sz val="9"/>
            <color indexed="81"/>
            <rFont val="Tahoma"/>
            <family val="2"/>
          </rPr>
          <t>chenying:</t>
        </r>
        <r>
          <rPr>
            <sz val="9"/>
            <color indexed="81"/>
            <rFont val="Tahoma"/>
            <family val="2"/>
          </rPr>
          <t xml:space="preserve">
4/13
</t>
        </r>
      </text>
    </comment>
    <comment ref="R148" authorId="0">
      <text>
        <r>
          <rPr>
            <b/>
            <sz val="9"/>
            <color indexed="81"/>
            <rFont val="Tahoma"/>
            <family val="2"/>
          </rPr>
          <t>chenying:</t>
        </r>
        <r>
          <rPr>
            <sz val="9"/>
            <color indexed="81"/>
            <rFont val="Tahoma"/>
            <family val="2"/>
          </rPr>
          <t xml:space="preserve">
6/13
</t>
        </r>
      </text>
    </comment>
    <comment ref="R152" authorId="0">
      <text>
        <r>
          <rPr>
            <b/>
            <sz val="9"/>
            <color indexed="81"/>
            <rFont val="Tahoma"/>
            <family val="2"/>
          </rPr>
          <t>chenying:</t>
        </r>
        <r>
          <rPr>
            <sz val="9"/>
            <color indexed="81"/>
            <rFont val="Tahoma"/>
            <family val="2"/>
          </rPr>
          <t xml:space="preserve">
11/13
</t>
        </r>
      </text>
    </comment>
    <comment ref="R154" authorId="0">
      <text>
        <r>
          <rPr>
            <b/>
            <sz val="9"/>
            <color indexed="81"/>
            <rFont val="Tahoma"/>
            <family val="2"/>
          </rPr>
          <t>chenying:</t>
        </r>
        <r>
          <rPr>
            <sz val="9"/>
            <color indexed="81"/>
            <rFont val="Tahoma"/>
            <family val="2"/>
          </rPr>
          <t xml:space="preserve">
3/4
</t>
        </r>
      </text>
    </comment>
    <comment ref="R155" authorId="0">
      <text>
        <r>
          <rPr>
            <b/>
            <sz val="9"/>
            <color indexed="81"/>
            <rFont val="Tahoma"/>
            <family val="2"/>
          </rPr>
          <t>chenying:</t>
        </r>
        <r>
          <rPr>
            <sz val="9"/>
            <color indexed="81"/>
            <rFont val="Tahoma"/>
            <family val="2"/>
          </rPr>
          <t xml:space="preserve">
4/4
</t>
        </r>
      </text>
    </comment>
    <comment ref="R159" authorId="0">
      <text>
        <r>
          <rPr>
            <b/>
            <sz val="9"/>
            <color indexed="81"/>
            <rFont val="Tahoma"/>
            <family val="2"/>
          </rPr>
          <t>chenying:</t>
        </r>
        <r>
          <rPr>
            <sz val="9"/>
            <color indexed="81"/>
            <rFont val="Tahoma"/>
            <family val="2"/>
          </rPr>
          <t xml:space="preserve">
9/13
</t>
        </r>
      </text>
    </comment>
    <comment ref="V175" authorId="2">
      <text>
        <r>
          <rPr>
            <b/>
            <sz val="9"/>
            <color indexed="81"/>
            <rFont val="Tahoma"/>
            <family val="2"/>
          </rPr>
          <t>HongyuHan:</t>
        </r>
        <r>
          <rPr>
            <sz val="9"/>
            <color indexed="81"/>
            <rFont val="Tahoma"/>
            <family val="2"/>
          </rPr>
          <t xml:space="preserve">
It is marked in DFS</t>
        </r>
      </text>
    </comment>
    <comment ref="R177" authorId="0">
      <text>
        <r>
          <rPr>
            <b/>
            <sz val="9"/>
            <color indexed="81"/>
            <rFont val="Tahoma"/>
            <family val="2"/>
          </rPr>
          <t>chenying:</t>
        </r>
        <r>
          <rPr>
            <sz val="9"/>
            <color indexed="81"/>
            <rFont val="Tahoma"/>
            <family val="2"/>
          </rPr>
          <t xml:space="preserve">
4/4</t>
        </r>
      </text>
    </comment>
    <comment ref="Q180" authorId="0">
      <text>
        <r>
          <rPr>
            <b/>
            <sz val="9"/>
            <color indexed="81"/>
            <rFont val="Tahoma"/>
            <family val="2"/>
          </rPr>
          <t>chenying:</t>
        </r>
        <r>
          <rPr>
            <sz val="9"/>
            <color indexed="81"/>
            <rFont val="Tahoma"/>
            <family val="2"/>
          </rPr>
          <t xml:space="preserve">
1/4
</t>
        </r>
      </text>
    </comment>
    <comment ref="Q183" authorId="0">
      <text>
        <r>
          <rPr>
            <b/>
            <sz val="9"/>
            <color indexed="81"/>
            <rFont val="Tahoma"/>
            <family val="2"/>
          </rPr>
          <t>chenying:</t>
        </r>
        <r>
          <rPr>
            <sz val="9"/>
            <color indexed="81"/>
            <rFont val="Tahoma"/>
            <family val="2"/>
          </rPr>
          <t xml:space="preserve">
Cg=16800</t>
        </r>
      </text>
    </comment>
    <comment ref="N186" authorId="0">
      <text>
        <r>
          <rPr>
            <b/>
            <sz val="9"/>
            <color indexed="81"/>
            <rFont val="Tahoma"/>
            <family val="2"/>
          </rPr>
          <t>chenying:</t>
        </r>
        <r>
          <rPr>
            <sz val="9"/>
            <color indexed="81"/>
            <rFont val="Tahoma"/>
            <family val="2"/>
          </rPr>
          <t xml:space="preserve">
 no Cv information</t>
        </r>
      </text>
    </comment>
    <comment ref="N187" authorId="0">
      <text>
        <r>
          <rPr>
            <b/>
            <sz val="9"/>
            <color indexed="81"/>
            <rFont val="Tahoma"/>
            <family val="2"/>
          </rPr>
          <t>chenying:</t>
        </r>
        <r>
          <rPr>
            <sz val="9"/>
            <color indexed="81"/>
            <rFont val="Tahoma"/>
            <family val="2"/>
          </rPr>
          <t xml:space="preserve">
 no Cv information</t>
        </r>
      </text>
    </comment>
    <comment ref="AC188" authorId="0">
      <text>
        <r>
          <rPr>
            <b/>
            <sz val="9"/>
            <color indexed="81"/>
            <rFont val="Tahoma"/>
            <family val="2"/>
          </rPr>
          <t>chenying:</t>
        </r>
        <r>
          <rPr>
            <sz val="9"/>
            <color indexed="81"/>
            <rFont val="Tahoma"/>
            <family val="2"/>
          </rPr>
          <t xml:space="preserve">
m3/h</t>
        </r>
      </text>
    </comment>
    <comment ref="Q220" authorId="3">
      <text>
        <r>
          <rPr>
            <b/>
            <sz val="9"/>
            <color indexed="81"/>
            <rFont val="Tahoma"/>
            <family val="2"/>
          </rPr>
          <t>xuhatao:</t>
        </r>
        <r>
          <rPr>
            <sz val="9"/>
            <color indexed="81"/>
            <rFont val="Tahoma"/>
            <family val="2"/>
          </rPr>
          <t xml:space="preserve">
dp=4.14bar</t>
        </r>
      </text>
    </comment>
    <comment ref="Q228" authorId="3">
      <text>
        <r>
          <rPr>
            <b/>
            <sz val="9"/>
            <color indexed="81"/>
            <rFont val="Tahoma"/>
            <family val="2"/>
          </rPr>
          <t>xuhatao:</t>
        </r>
        <r>
          <rPr>
            <sz val="9"/>
            <color indexed="81"/>
            <rFont val="Tahoma"/>
            <family val="2"/>
          </rPr>
          <t xml:space="preserve">
7/13</t>
        </r>
      </text>
    </comment>
  </commentList>
</comments>
</file>

<file path=xl/comments8.xml><?xml version="1.0" encoding="utf-8"?>
<comments xmlns="http://schemas.openxmlformats.org/spreadsheetml/2006/main">
  <authors>
    <author>iliot0</author>
    <author>xinfang</author>
  </authors>
  <commentList>
    <comment ref="F22" authorId="0">
      <text>
        <r>
          <rPr>
            <b/>
            <sz val="8"/>
            <color indexed="81"/>
            <rFont val="Tahoma"/>
            <family val="2"/>
          </rPr>
          <t>iliot0:</t>
        </r>
        <r>
          <rPr>
            <sz val="8"/>
            <color indexed="81"/>
            <rFont val="Tahoma"/>
            <family val="2"/>
          </rPr>
          <t xml:space="preserve">
New Valve TAR 2007</t>
        </r>
      </text>
    </comment>
    <comment ref="G34" authorId="0">
      <text>
        <r>
          <rPr>
            <b/>
            <sz val="8"/>
            <color indexed="81"/>
            <rFont val="Tahoma"/>
            <family val="2"/>
          </rPr>
          <t>iliot0:</t>
        </r>
        <r>
          <rPr>
            <sz val="8"/>
            <color indexed="81"/>
            <rFont val="Tahoma"/>
            <family val="2"/>
          </rPr>
          <t xml:space="preserve">
New Nozzle bestellen voor revisie van 2011</t>
        </r>
      </text>
    </comment>
    <comment ref="G36" authorId="0">
      <text>
        <r>
          <rPr>
            <b/>
            <sz val="8"/>
            <color indexed="81"/>
            <rFont val="Tahoma"/>
            <family val="2"/>
          </rPr>
          <t>iliot0:</t>
        </r>
        <r>
          <rPr>
            <sz val="8"/>
            <color indexed="81"/>
            <rFont val="Tahoma"/>
            <family val="2"/>
          </rPr>
          <t xml:space="preserve">
New Nozzle bestellen voor revisie van 2011</t>
        </r>
      </text>
    </comment>
    <comment ref="G37" authorId="0">
      <text>
        <r>
          <rPr>
            <b/>
            <sz val="8"/>
            <color indexed="81"/>
            <rFont val="Tahoma"/>
            <family val="2"/>
          </rPr>
          <t>iliot0:</t>
        </r>
        <r>
          <rPr>
            <sz val="8"/>
            <color indexed="81"/>
            <rFont val="Tahoma"/>
            <family val="2"/>
          </rPr>
          <t xml:space="preserve">
New Nozzle bestellen voor revisie van 2011</t>
        </r>
      </text>
    </comment>
    <comment ref="G38" authorId="0">
      <text>
        <r>
          <rPr>
            <b/>
            <sz val="8"/>
            <color indexed="81"/>
            <rFont val="Tahoma"/>
            <family val="2"/>
          </rPr>
          <t>iliot0:</t>
        </r>
        <r>
          <rPr>
            <sz val="8"/>
            <color indexed="81"/>
            <rFont val="Tahoma"/>
            <family val="2"/>
          </rPr>
          <t xml:space="preserve">
New Nozzle bestellen voor revisie van 2011</t>
        </r>
      </text>
    </comment>
    <comment ref="F41" authorId="0">
      <text>
        <r>
          <rPr>
            <b/>
            <sz val="8"/>
            <color indexed="81"/>
            <rFont val="Tahoma"/>
            <family val="2"/>
          </rPr>
          <t>iliot0:</t>
        </r>
        <r>
          <rPr>
            <sz val="8"/>
            <color indexed="81"/>
            <rFont val="Tahoma"/>
            <family val="2"/>
          </rPr>
          <t xml:space="preserve">
New Valve TAR 2007</t>
        </r>
      </text>
    </comment>
    <comment ref="F45" authorId="1">
      <text>
        <r>
          <rPr>
            <b/>
            <sz val="9"/>
            <color indexed="81"/>
            <rFont val="Tahoma"/>
            <family val="2"/>
          </rPr>
          <t>xinfang:</t>
        </r>
        <r>
          <rPr>
            <sz val="9"/>
            <color indexed="81"/>
            <rFont val="Tahoma"/>
            <family val="2"/>
          </rPr>
          <t xml:space="preserve">
the original name is RZV1029A
</t>
        </r>
      </text>
    </comment>
    <comment ref="L108" authorId="0">
      <text>
        <r>
          <rPr>
            <b/>
            <sz val="8"/>
            <color indexed="81"/>
            <rFont val="Tahoma"/>
            <family val="2"/>
          </rPr>
          <t>iliot0:</t>
        </r>
        <r>
          <rPr>
            <sz val="8"/>
            <color indexed="81"/>
            <rFont val="Tahoma"/>
            <family val="2"/>
          </rPr>
          <t xml:space="preserve">
Verlaagd van 12,5 naar 3,5</t>
        </r>
      </text>
    </comment>
  </commentList>
</comments>
</file>

<file path=xl/comments9.xml><?xml version="1.0" encoding="utf-8"?>
<comments xmlns="http://schemas.openxmlformats.org/spreadsheetml/2006/main">
  <authors>
    <author>xuhaitao</author>
  </authors>
  <commentList>
    <comment ref="G17" authorId="0">
      <text>
        <r>
          <rPr>
            <b/>
            <sz val="9"/>
            <color indexed="81"/>
            <rFont val="Tahoma"/>
            <family val="2"/>
          </rPr>
          <t>xuhaitao:</t>
        </r>
        <r>
          <rPr>
            <sz val="9"/>
            <color indexed="81"/>
            <rFont val="Tahoma"/>
            <family val="2"/>
          </rPr>
          <t xml:space="preserve">
Unit is Feet</t>
        </r>
      </text>
    </comment>
    <comment ref="H17" authorId="0">
      <text>
        <r>
          <rPr>
            <b/>
            <sz val="9"/>
            <color indexed="81"/>
            <rFont val="Tahoma"/>
            <family val="2"/>
          </rPr>
          <t>xuhaitao:</t>
        </r>
        <r>
          <rPr>
            <sz val="9"/>
            <color indexed="81"/>
            <rFont val="Tahoma"/>
            <family val="2"/>
          </rPr>
          <t xml:space="preserve">
Unit is Feet</t>
        </r>
      </text>
    </comment>
    <comment ref="G18" authorId="0">
      <text>
        <r>
          <rPr>
            <b/>
            <sz val="9"/>
            <color indexed="81"/>
            <rFont val="Tahoma"/>
            <family val="2"/>
          </rPr>
          <t>xuhaitao:</t>
        </r>
        <r>
          <rPr>
            <sz val="9"/>
            <color indexed="81"/>
            <rFont val="Tahoma"/>
            <family val="2"/>
          </rPr>
          <t xml:space="preserve">
Unit is Feet</t>
        </r>
      </text>
    </comment>
    <comment ref="H18" authorId="0">
      <text>
        <r>
          <rPr>
            <b/>
            <sz val="9"/>
            <color indexed="81"/>
            <rFont val="Tahoma"/>
            <family val="2"/>
          </rPr>
          <t>xuhaitao:</t>
        </r>
        <r>
          <rPr>
            <sz val="9"/>
            <color indexed="81"/>
            <rFont val="Tahoma"/>
            <family val="2"/>
          </rPr>
          <t xml:space="preserve">
Unit is Feet</t>
        </r>
      </text>
    </comment>
    <comment ref="G19" authorId="0">
      <text>
        <r>
          <rPr>
            <b/>
            <sz val="9"/>
            <color indexed="81"/>
            <rFont val="Tahoma"/>
            <family val="2"/>
          </rPr>
          <t>xuhaitao:</t>
        </r>
        <r>
          <rPr>
            <sz val="9"/>
            <color indexed="81"/>
            <rFont val="Tahoma"/>
            <family val="2"/>
          </rPr>
          <t xml:space="preserve">
Unit is Feet</t>
        </r>
      </text>
    </comment>
    <comment ref="H19" authorId="0">
      <text>
        <r>
          <rPr>
            <b/>
            <sz val="9"/>
            <color indexed="81"/>
            <rFont val="Tahoma"/>
            <family val="2"/>
          </rPr>
          <t>xuhaitao:</t>
        </r>
        <r>
          <rPr>
            <sz val="9"/>
            <color indexed="81"/>
            <rFont val="Tahoma"/>
            <family val="2"/>
          </rPr>
          <t xml:space="preserve">
Unit is Feet</t>
        </r>
      </text>
    </comment>
    <comment ref="J33" authorId="0">
      <text>
        <r>
          <rPr>
            <b/>
            <sz val="9"/>
            <color indexed="81"/>
            <rFont val="Tahoma"/>
            <family val="2"/>
          </rPr>
          <t>xuhaitao:</t>
        </r>
        <r>
          <rPr>
            <sz val="9"/>
            <color indexed="81"/>
            <rFont val="Tahoma"/>
            <family val="2"/>
          </rPr>
          <t xml:space="preserve">
=PZ2111</t>
        </r>
      </text>
    </comment>
  </commentList>
</comments>
</file>

<file path=xl/comments10.xml><?xml version="1.0" encoding="utf-8"?>
<comments xmlns="http://schemas.openxmlformats.org/spreadsheetml/2006/main">
  <authors>
    <author>chenying</author>
    <author>User</author>
  </authors>
  <commentList>
    <comment ref="AB1" authorId="0">
      <text>
        <r>
          <rPr>
            <b/>
            <sz val="9"/>
            <color indexed="81"/>
            <rFont val="Tahoma"/>
            <family val="2"/>
          </rPr>
          <t>chenying:</t>
        </r>
        <r>
          <rPr>
            <sz val="9"/>
            <color indexed="81"/>
            <rFont val="Tahoma"/>
            <family val="2"/>
          </rPr>
          <t xml:space="preserve">
the numbe is not clear on data sheet</t>
        </r>
      </text>
    </comment>
    <comment ref="Q3" authorId="1">
      <text>
        <r>
          <rPr>
            <b/>
            <sz val="9"/>
            <color indexed="81"/>
            <rFont val="Tahoma"/>
            <family val="2"/>
          </rPr>
          <t>HongyuHan:</t>
        </r>
        <r>
          <rPr>
            <sz val="9"/>
            <color indexed="81"/>
            <rFont val="Tahoma"/>
            <family val="2"/>
          </rPr>
          <t xml:space="preserve">
Added on 21/July
</t>
        </r>
      </text>
    </comment>
    <comment ref="S3" authorId="0">
      <text>
        <r>
          <rPr>
            <b/>
            <sz val="9"/>
            <color indexed="81"/>
            <rFont val="Tahoma"/>
            <family val="2"/>
          </rPr>
          <t>chenying:</t>
        </r>
        <r>
          <rPr>
            <sz val="9"/>
            <color indexed="81"/>
            <rFont val="Tahoma"/>
            <family val="2"/>
          </rPr>
          <t xml:space="preserve">
560 m2/per shell
</t>
        </r>
      </text>
    </comment>
    <comment ref="T3" authorId="0">
      <text>
        <r>
          <rPr>
            <b/>
            <sz val="9"/>
            <color indexed="81"/>
            <rFont val="Tahoma"/>
            <family val="2"/>
          </rPr>
          <t>chenying:</t>
        </r>
        <r>
          <rPr>
            <sz val="9"/>
            <color indexed="81"/>
            <rFont val="Tahoma"/>
            <family val="2"/>
          </rPr>
          <t xml:space="preserve">
atm residue</t>
        </r>
      </text>
    </comment>
    <comment ref="U3" authorId="0">
      <text>
        <r>
          <rPr>
            <b/>
            <sz val="9"/>
            <color indexed="81"/>
            <rFont val="Tahoma"/>
            <family val="2"/>
          </rPr>
          <t>chenying:</t>
        </r>
        <r>
          <rPr>
            <sz val="9"/>
            <color indexed="81"/>
            <rFont val="Tahoma"/>
            <family val="2"/>
          </rPr>
          <t xml:space="preserve">
crude oil</t>
        </r>
      </text>
    </comment>
    <comment ref="Q4" authorId="1">
      <text>
        <r>
          <rPr>
            <b/>
            <sz val="9"/>
            <color indexed="81"/>
            <rFont val="Tahoma"/>
            <family val="2"/>
          </rPr>
          <t>HongyuHan:</t>
        </r>
        <r>
          <rPr>
            <sz val="9"/>
            <color indexed="81"/>
            <rFont val="Tahoma"/>
            <family val="2"/>
          </rPr>
          <t xml:space="preserve">
Added on 21/July
</t>
        </r>
      </text>
    </comment>
    <comment ref="S4" authorId="0">
      <text>
        <r>
          <rPr>
            <b/>
            <sz val="9"/>
            <color indexed="81"/>
            <rFont val="Tahoma"/>
            <family val="2"/>
          </rPr>
          <t>chenying:</t>
        </r>
        <r>
          <rPr>
            <sz val="9"/>
            <color indexed="81"/>
            <rFont val="Tahoma"/>
            <family val="2"/>
          </rPr>
          <t xml:space="preserve">
870 per shell</t>
        </r>
      </text>
    </comment>
    <comment ref="T4" authorId="0">
      <text>
        <r>
          <rPr>
            <b/>
            <sz val="9"/>
            <color indexed="81"/>
            <rFont val="Tahoma"/>
            <family val="2"/>
          </rPr>
          <t>chenying:</t>
        </r>
        <r>
          <rPr>
            <sz val="9"/>
            <color indexed="81"/>
            <rFont val="Tahoma"/>
            <family val="2"/>
          </rPr>
          <t xml:space="preserve">
ovhd vapor</t>
        </r>
      </text>
    </comment>
    <comment ref="U4" authorId="0">
      <text>
        <r>
          <rPr>
            <b/>
            <sz val="9"/>
            <color indexed="81"/>
            <rFont val="Tahoma"/>
            <family val="2"/>
          </rPr>
          <t>chenying:</t>
        </r>
        <r>
          <rPr>
            <sz val="9"/>
            <color indexed="81"/>
            <rFont val="Tahoma"/>
            <family val="2"/>
          </rPr>
          <t xml:space="preserve">
curde oil</t>
        </r>
      </text>
    </comment>
    <comment ref="S5" authorId="0">
      <text>
        <r>
          <rPr>
            <b/>
            <sz val="9"/>
            <color indexed="81"/>
            <rFont val="Tahoma"/>
            <family val="2"/>
          </rPr>
          <t>chenying:</t>
        </r>
        <r>
          <rPr>
            <sz val="9"/>
            <color indexed="81"/>
            <rFont val="Tahoma"/>
            <family val="2"/>
          </rPr>
          <t xml:space="preserve">
197m2 per shell
</t>
        </r>
      </text>
    </comment>
    <comment ref="T5" authorId="0">
      <text>
        <r>
          <rPr>
            <b/>
            <sz val="9"/>
            <color indexed="81"/>
            <rFont val="Tahoma"/>
            <family val="2"/>
          </rPr>
          <t>chenying:</t>
        </r>
        <r>
          <rPr>
            <sz val="9"/>
            <color indexed="81"/>
            <rFont val="Tahoma"/>
            <family val="2"/>
          </rPr>
          <t xml:space="preserve">
TOP MP COND</t>
        </r>
      </text>
    </comment>
    <comment ref="U5" authorId="0">
      <text>
        <r>
          <rPr>
            <b/>
            <sz val="9"/>
            <color indexed="81"/>
            <rFont val="Tahoma"/>
            <family val="2"/>
          </rPr>
          <t>chenying:</t>
        </r>
        <r>
          <rPr>
            <sz val="9"/>
            <color indexed="81"/>
            <rFont val="Tahoma"/>
            <family val="2"/>
          </rPr>
          <t xml:space="preserve">
curde oil</t>
        </r>
      </text>
    </comment>
    <comment ref="S6" authorId="0">
      <text>
        <r>
          <rPr>
            <b/>
            <sz val="9"/>
            <color indexed="81"/>
            <rFont val="Tahoma"/>
            <family val="2"/>
          </rPr>
          <t>chenying:</t>
        </r>
        <r>
          <rPr>
            <sz val="9"/>
            <color indexed="81"/>
            <rFont val="Tahoma"/>
            <family val="2"/>
          </rPr>
          <t xml:space="preserve">
211m2/per shell
</t>
        </r>
      </text>
    </comment>
    <comment ref="T6" authorId="0">
      <text>
        <r>
          <rPr>
            <b/>
            <sz val="9"/>
            <color indexed="81"/>
            <rFont val="Tahoma"/>
            <family val="2"/>
          </rPr>
          <t>chenying:</t>
        </r>
        <r>
          <rPr>
            <sz val="9"/>
            <color indexed="81"/>
            <rFont val="Tahoma"/>
            <family val="2"/>
          </rPr>
          <t xml:space="preserve">
TOP MP COND</t>
        </r>
      </text>
    </comment>
    <comment ref="U6" authorId="0">
      <text>
        <r>
          <rPr>
            <b/>
            <sz val="9"/>
            <color indexed="81"/>
            <rFont val="Tahoma"/>
            <family val="2"/>
          </rPr>
          <t>chenying:</t>
        </r>
        <r>
          <rPr>
            <sz val="9"/>
            <color indexed="81"/>
            <rFont val="Tahoma"/>
            <family val="2"/>
          </rPr>
          <t xml:space="preserve">
curde oil</t>
        </r>
      </text>
    </comment>
    <comment ref="Q7" authorId="1">
      <text>
        <r>
          <rPr>
            <b/>
            <sz val="9"/>
            <color indexed="81"/>
            <rFont val="Tahoma"/>
            <family val="2"/>
          </rPr>
          <t>HongyuHan:</t>
        </r>
        <r>
          <rPr>
            <sz val="9"/>
            <color indexed="81"/>
            <rFont val="Tahoma"/>
            <family val="2"/>
          </rPr>
          <t xml:space="preserve">
Added on 21/July
</t>
        </r>
      </text>
    </comment>
    <comment ref="T7" authorId="0">
      <text>
        <r>
          <rPr>
            <b/>
            <sz val="9"/>
            <color indexed="81"/>
            <rFont val="Tahoma"/>
            <family val="2"/>
          </rPr>
          <t>chenying:</t>
        </r>
        <r>
          <rPr>
            <sz val="9"/>
            <color indexed="81"/>
            <rFont val="Tahoma"/>
            <family val="2"/>
          </rPr>
          <t xml:space="preserve">
LIGHTGAS OIL</t>
        </r>
      </text>
    </comment>
    <comment ref="U7" authorId="0">
      <text>
        <r>
          <rPr>
            <b/>
            <sz val="9"/>
            <color indexed="81"/>
            <rFont val="Tahoma"/>
            <family val="2"/>
          </rPr>
          <t>chenying:</t>
        </r>
        <r>
          <rPr>
            <sz val="9"/>
            <color indexed="81"/>
            <rFont val="Tahoma"/>
            <family val="2"/>
          </rPr>
          <t xml:space="preserve">
curde oil</t>
        </r>
      </text>
    </comment>
    <comment ref="T8" authorId="0">
      <text>
        <r>
          <rPr>
            <b/>
            <sz val="9"/>
            <color indexed="81"/>
            <rFont val="Tahoma"/>
            <family val="2"/>
          </rPr>
          <t>chenying:</t>
        </r>
        <r>
          <rPr>
            <sz val="9"/>
            <color indexed="81"/>
            <rFont val="Tahoma"/>
            <family val="2"/>
          </rPr>
          <t xml:space="preserve">
HEAVY GAS OIL</t>
        </r>
      </text>
    </comment>
    <comment ref="U8" authorId="0">
      <text>
        <r>
          <rPr>
            <b/>
            <sz val="9"/>
            <color indexed="81"/>
            <rFont val="Tahoma"/>
            <family val="2"/>
          </rPr>
          <t>chenying:</t>
        </r>
        <r>
          <rPr>
            <sz val="9"/>
            <color indexed="81"/>
            <rFont val="Tahoma"/>
            <family val="2"/>
          </rPr>
          <t xml:space="preserve">
curde oil</t>
        </r>
      </text>
    </comment>
    <comment ref="Q9" authorId="1">
      <text>
        <r>
          <rPr>
            <b/>
            <sz val="9"/>
            <color indexed="81"/>
            <rFont val="Tahoma"/>
            <family val="2"/>
          </rPr>
          <t>HongyuHan:</t>
        </r>
        <r>
          <rPr>
            <sz val="9"/>
            <color indexed="81"/>
            <rFont val="Tahoma"/>
            <family val="2"/>
          </rPr>
          <t xml:space="preserve">
Added on 21/July
</t>
        </r>
      </text>
    </comment>
    <comment ref="Q10" authorId="1">
      <text>
        <r>
          <rPr>
            <b/>
            <sz val="9"/>
            <color indexed="81"/>
            <rFont val="Tahoma"/>
            <family val="2"/>
          </rPr>
          <t>HongyuHan:</t>
        </r>
        <r>
          <rPr>
            <sz val="9"/>
            <color indexed="81"/>
            <rFont val="Tahoma"/>
            <family val="2"/>
          </rPr>
          <t xml:space="preserve">
Added on 21/July
</t>
        </r>
      </text>
    </comment>
    <comment ref="S10" authorId="0">
      <text>
        <r>
          <rPr>
            <b/>
            <sz val="9"/>
            <color indexed="81"/>
            <rFont val="Tahoma"/>
            <family val="2"/>
          </rPr>
          <t>chenying:</t>
        </r>
        <r>
          <rPr>
            <sz val="9"/>
            <color indexed="81"/>
            <rFont val="Tahoma"/>
            <family val="2"/>
          </rPr>
          <t xml:space="preserve">
340 m2/per shell
</t>
        </r>
      </text>
    </comment>
    <comment ref="T10" authorId="0">
      <text>
        <r>
          <rPr>
            <b/>
            <sz val="9"/>
            <color indexed="81"/>
            <rFont val="Tahoma"/>
            <family val="2"/>
          </rPr>
          <t>chenying:</t>
        </r>
        <r>
          <rPr>
            <sz val="9"/>
            <color indexed="81"/>
            <rFont val="Tahoma"/>
            <family val="2"/>
          </rPr>
          <t xml:space="preserve">
atm residue</t>
        </r>
      </text>
    </comment>
    <comment ref="U10" authorId="0">
      <text>
        <r>
          <rPr>
            <b/>
            <sz val="9"/>
            <color indexed="81"/>
            <rFont val="Tahoma"/>
            <family val="2"/>
          </rPr>
          <t>chenying:</t>
        </r>
        <r>
          <rPr>
            <sz val="9"/>
            <color indexed="81"/>
            <rFont val="Tahoma"/>
            <family val="2"/>
          </rPr>
          <t xml:space="preserve">
crude oil</t>
        </r>
      </text>
    </comment>
    <comment ref="Q11" authorId="1">
      <text>
        <r>
          <rPr>
            <b/>
            <sz val="9"/>
            <color indexed="81"/>
            <rFont val="Tahoma"/>
            <family val="2"/>
          </rPr>
          <t>HongyuHan:</t>
        </r>
        <r>
          <rPr>
            <sz val="9"/>
            <color indexed="81"/>
            <rFont val="Tahoma"/>
            <family val="2"/>
          </rPr>
          <t xml:space="preserve">
Added on 21/July
</t>
        </r>
      </text>
    </comment>
    <comment ref="Q12" authorId="1">
      <text>
        <r>
          <rPr>
            <b/>
            <sz val="9"/>
            <color indexed="81"/>
            <rFont val="Tahoma"/>
            <family val="2"/>
          </rPr>
          <t>HongyuHan:</t>
        </r>
        <r>
          <rPr>
            <sz val="9"/>
            <color indexed="81"/>
            <rFont val="Tahoma"/>
            <family val="2"/>
          </rPr>
          <t xml:space="preserve">
Added on 21/July
</t>
        </r>
      </text>
    </comment>
    <comment ref="T12" authorId="0">
      <text>
        <r>
          <rPr>
            <b/>
            <sz val="9"/>
            <color indexed="81"/>
            <rFont val="Tahoma"/>
            <family val="2"/>
          </rPr>
          <t>chenying:</t>
        </r>
        <r>
          <rPr>
            <sz val="9"/>
            <color indexed="81"/>
            <rFont val="Tahoma"/>
            <family val="2"/>
          </rPr>
          <t xml:space="preserve">
HEAVY GAS OIL</t>
        </r>
      </text>
    </comment>
    <comment ref="U12" authorId="0">
      <text>
        <r>
          <rPr>
            <b/>
            <sz val="9"/>
            <color indexed="81"/>
            <rFont val="Tahoma"/>
            <family val="2"/>
          </rPr>
          <t>chenying:</t>
        </r>
        <r>
          <rPr>
            <sz val="9"/>
            <color indexed="81"/>
            <rFont val="Tahoma"/>
            <family val="2"/>
          </rPr>
          <t xml:space="preserve">
curde oil</t>
        </r>
      </text>
    </comment>
    <comment ref="Q13" authorId="1">
      <text>
        <r>
          <rPr>
            <b/>
            <sz val="9"/>
            <color indexed="81"/>
            <rFont val="Tahoma"/>
            <family val="2"/>
          </rPr>
          <t>HongyuHan:</t>
        </r>
        <r>
          <rPr>
            <sz val="9"/>
            <color indexed="81"/>
            <rFont val="Tahoma"/>
            <family val="2"/>
          </rPr>
          <t xml:space="preserve">
Added on 21/July
</t>
        </r>
      </text>
    </comment>
    <comment ref="S13" authorId="0">
      <text>
        <r>
          <rPr>
            <b/>
            <sz val="9"/>
            <color indexed="81"/>
            <rFont val="Tahoma"/>
            <family val="2"/>
          </rPr>
          <t>chenying:</t>
        </r>
        <r>
          <rPr>
            <sz val="9"/>
            <color indexed="81"/>
            <rFont val="Tahoma"/>
            <family val="2"/>
          </rPr>
          <t xml:space="preserve">
316 m2/per shell
</t>
        </r>
      </text>
    </comment>
    <comment ref="T13" authorId="0">
      <text>
        <r>
          <rPr>
            <b/>
            <sz val="9"/>
            <color indexed="81"/>
            <rFont val="Tahoma"/>
            <family val="2"/>
          </rPr>
          <t>chenying:</t>
        </r>
        <r>
          <rPr>
            <sz val="9"/>
            <color indexed="81"/>
            <rFont val="Tahoma"/>
            <family val="2"/>
          </rPr>
          <t xml:space="preserve">
crude oil</t>
        </r>
      </text>
    </comment>
    <comment ref="U13" authorId="0">
      <text>
        <r>
          <rPr>
            <b/>
            <sz val="9"/>
            <color indexed="81"/>
            <rFont val="Tahoma"/>
            <family val="2"/>
          </rPr>
          <t>chenying:</t>
        </r>
        <r>
          <rPr>
            <sz val="9"/>
            <color indexed="81"/>
            <rFont val="Tahoma"/>
            <family val="2"/>
          </rPr>
          <t xml:space="preserve">
atm residue</t>
        </r>
      </text>
    </comment>
    <comment ref="Q14" authorId="1">
      <text>
        <r>
          <rPr>
            <b/>
            <sz val="9"/>
            <color indexed="81"/>
            <rFont val="Tahoma"/>
            <family val="2"/>
          </rPr>
          <t>HongyuHan:</t>
        </r>
        <r>
          <rPr>
            <sz val="9"/>
            <color indexed="81"/>
            <rFont val="Tahoma"/>
            <family val="2"/>
          </rPr>
          <t xml:space="preserve">
Added on 21/July
</t>
        </r>
      </text>
    </comment>
    <comment ref="U14" authorId="0">
      <text>
        <r>
          <rPr>
            <b/>
            <sz val="9"/>
            <color indexed="81"/>
            <rFont val="Tahoma"/>
            <family val="2"/>
          </rPr>
          <t>chenying:</t>
        </r>
        <r>
          <rPr>
            <sz val="9"/>
            <color indexed="81"/>
            <rFont val="Tahoma"/>
            <family val="2"/>
          </rPr>
          <t xml:space="preserve">
lb/h to kg/h
</t>
        </r>
      </text>
    </comment>
    <comment ref="X14" authorId="0">
      <text>
        <r>
          <rPr>
            <b/>
            <sz val="9"/>
            <color indexed="81"/>
            <rFont val="Tahoma"/>
            <family val="2"/>
          </rPr>
          <t>chenying:</t>
        </r>
        <r>
          <rPr>
            <sz val="9"/>
            <color indexed="81"/>
            <rFont val="Tahoma"/>
            <family val="2"/>
          </rPr>
          <t xml:space="preserve">
76F
</t>
        </r>
      </text>
    </comment>
    <comment ref="Z14" authorId="0">
      <text>
        <r>
          <rPr>
            <b/>
            <sz val="9"/>
            <color indexed="81"/>
            <rFont val="Tahoma"/>
            <family val="2"/>
          </rPr>
          <t>chenying:</t>
        </r>
        <r>
          <rPr>
            <sz val="9"/>
            <color indexed="81"/>
            <rFont val="Tahoma"/>
            <family val="2"/>
          </rPr>
          <t xml:space="preserve">
237F</t>
        </r>
      </text>
    </comment>
    <comment ref="AA14" authorId="0">
      <text>
        <r>
          <rPr>
            <b/>
            <sz val="9"/>
            <color indexed="81"/>
            <rFont val="Tahoma"/>
            <family val="2"/>
          </rPr>
          <t>chenying:</t>
        </r>
        <r>
          <rPr>
            <sz val="9"/>
            <color indexed="81"/>
            <rFont val="Tahoma"/>
            <family val="2"/>
          </rPr>
          <t xml:space="preserve">
110F</t>
        </r>
      </text>
    </comment>
    <comment ref="Q15" authorId="1">
      <text>
        <r>
          <rPr>
            <b/>
            <sz val="9"/>
            <color indexed="81"/>
            <rFont val="Tahoma"/>
            <family val="2"/>
          </rPr>
          <t>HongyuHan:</t>
        </r>
        <r>
          <rPr>
            <sz val="9"/>
            <color indexed="81"/>
            <rFont val="Tahoma"/>
            <family val="2"/>
          </rPr>
          <t xml:space="preserve">
Added on 21/July
</t>
        </r>
      </text>
    </comment>
    <comment ref="S15" authorId="0">
      <text>
        <r>
          <rPr>
            <b/>
            <sz val="9"/>
            <color indexed="81"/>
            <rFont val="Tahoma"/>
            <family val="2"/>
          </rPr>
          <t>chenying:</t>
        </r>
        <r>
          <rPr>
            <sz val="9"/>
            <color indexed="81"/>
            <rFont val="Tahoma"/>
            <family val="2"/>
          </rPr>
          <t xml:space="preserve">
2490 m2/per unit
</t>
        </r>
      </text>
    </comment>
    <comment ref="X15" authorId="0">
      <text>
        <r>
          <rPr>
            <b/>
            <sz val="9"/>
            <color indexed="81"/>
            <rFont val="Tahoma"/>
            <family val="2"/>
          </rPr>
          <t>chenying:</t>
        </r>
        <r>
          <rPr>
            <sz val="9"/>
            <color indexed="81"/>
            <rFont val="Tahoma"/>
            <family val="2"/>
          </rPr>
          <t xml:space="preserve">
76F
</t>
        </r>
      </text>
    </comment>
    <comment ref="Z15" authorId="0">
      <text>
        <r>
          <rPr>
            <b/>
            <sz val="9"/>
            <color indexed="81"/>
            <rFont val="Tahoma"/>
            <family val="2"/>
          </rPr>
          <t>chenying:</t>
        </r>
        <r>
          <rPr>
            <sz val="9"/>
            <color indexed="81"/>
            <rFont val="Tahoma"/>
            <family val="2"/>
          </rPr>
          <t xml:space="preserve">
361F</t>
        </r>
      </text>
    </comment>
    <comment ref="AA15" authorId="0">
      <text>
        <r>
          <rPr>
            <b/>
            <sz val="9"/>
            <color indexed="81"/>
            <rFont val="Tahoma"/>
            <family val="2"/>
          </rPr>
          <t>chenying:</t>
        </r>
        <r>
          <rPr>
            <sz val="9"/>
            <color indexed="81"/>
            <rFont val="Tahoma"/>
            <family val="2"/>
          </rPr>
          <t xml:space="preserve">
110F</t>
        </r>
      </text>
    </comment>
    <comment ref="Q16" authorId="1">
      <text>
        <r>
          <rPr>
            <b/>
            <sz val="9"/>
            <color indexed="81"/>
            <rFont val="Tahoma"/>
            <family val="2"/>
          </rPr>
          <t>HongyuHan:</t>
        </r>
        <r>
          <rPr>
            <sz val="9"/>
            <color indexed="81"/>
            <rFont val="Tahoma"/>
            <family val="2"/>
          </rPr>
          <t xml:space="preserve">
Added on 21/July
</t>
        </r>
      </text>
    </comment>
    <comment ref="Q17" authorId="1">
      <text>
        <r>
          <rPr>
            <b/>
            <sz val="9"/>
            <color indexed="81"/>
            <rFont val="Tahoma"/>
            <family val="2"/>
          </rPr>
          <t>HongyuHan:</t>
        </r>
        <r>
          <rPr>
            <sz val="9"/>
            <color indexed="81"/>
            <rFont val="Tahoma"/>
            <family val="2"/>
          </rPr>
          <t xml:space="preserve">
Added on 21/July
</t>
        </r>
      </text>
    </comment>
    <comment ref="Q18" authorId="1">
      <text>
        <r>
          <rPr>
            <b/>
            <sz val="9"/>
            <color indexed="81"/>
            <rFont val="Tahoma"/>
            <family val="2"/>
          </rPr>
          <t>HongyuHan:</t>
        </r>
        <r>
          <rPr>
            <sz val="9"/>
            <color indexed="81"/>
            <rFont val="Tahoma"/>
            <family val="2"/>
          </rPr>
          <t xml:space="preserve">
Added on 21/July
</t>
        </r>
      </text>
    </comment>
    <comment ref="S18" authorId="0">
      <text>
        <r>
          <rPr>
            <b/>
            <sz val="9"/>
            <color indexed="81"/>
            <rFont val="Tahoma"/>
            <family val="2"/>
          </rPr>
          <t>2560</t>
        </r>
        <r>
          <rPr>
            <sz val="9"/>
            <color indexed="81"/>
            <rFont val="Tahoma"/>
            <family val="2"/>
          </rPr>
          <t xml:space="preserve"> m2/per unit
</t>
        </r>
      </text>
    </comment>
    <comment ref="Q19" authorId="1">
      <text>
        <r>
          <rPr>
            <b/>
            <sz val="9"/>
            <color indexed="81"/>
            <rFont val="Tahoma"/>
            <family val="2"/>
          </rPr>
          <t>HongyuHan:</t>
        </r>
        <r>
          <rPr>
            <sz val="9"/>
            <color indexed="81"/>
            <rFont val="Tahoma"/>
            <family val="2"/>
          </rPr>
          <t xml:space="preserve">
Added on 21/July
</t>
        </r>
      </text>
    </comment>
    <comment ref="S19" authorId="0">
      <text>
        <r>
          <rPr>
            <b/>
            <sz val="9"/>
            <color indexed="81"/>
            <rFont val="Tahoma"/>
            <family val="2"/>
          </rPr>
          <t>1710</t>
        </r>
        <r>
          <rPr>
            <sz val="9"/>
            <color indexed="81"/>
            <rFont val="Tahoma"/>
            <family val="2"/>
          </rPr>
          <t xml:space="preserve"> m2/per unit
</t>
        </r>
      </text>
    </comment>
    <comment ref="Q20" authorId="1">
      <text>
        <r>
          <rPr>
            <b/>
            <sz val="9"/>
            <color indexed="81"/>
            <rFont val="Tahoma"/>
            <family val="2"/>
          </rPr>
          <t>HongyuHan:</t>
        </r>
        <r>
          <rPr>
            <sz val="9"/>
            <color indexed="81"/>
            <rFont val="Tahoma"/>
            <family val="2"/>
          </rPr>
          <t xml:space="preserve">
Added on 21/July
</t>
        </r>
      </text>
    </comment>
    <comment ref="T20" authorId="0">
      <text>
        <r>
          <rPr>
            <b/>
            <sz val="9"/>
            <color indexed="81"/>
            <rFont val="Tahoma"/>
            <family val="2"/>
          </rPr>
          <t>chenying:</t>
        </r>
        <r>
          <rPr>
            <sz val="9"/>
            <color indexed="81"/>
            <rFont val="Tahoma"/>
            <family val="2"/>
          </rPr>
          <t xml:space="preserve">
H2O+HC</t>
        </r>
      </text>
    </comment>
    <comment ref="U20" authorId="0">
      <text>
        <r>
          <rPr>
            <b/>
            <sz val="9"/>
            <color indexed="81"/>
            <rFont val="Tahoma"/>
            <family val="2"/>
          </rPr>
          <t>chenying:</t>
        </r>
        <r>
          <rPr>
            <sz val="9"/>
            <color indexed="81"/>
            <rFont val="Tahoma"/>
            <family val="2"/>
          </rPr>
          <t xml:space="preserve">
cw</t>
        </r>
      </text>
    </comment>
    <comment ref="V20" authorId="0">
      <text>
        <r>
          <rPr>
            <b/>
            <sz val="9"/>
            <color indexed="81"/>
            <rFont val="Tahoma"/>
            <family val="2"/>
          </rPr>
          <t>chenying:</t>
        </r>
        <r>
          <rPr>
            <sz val="9"/>
            <color indexed="81"/>
            <rFont val="Tahoma"/>
            <family val="2"/>
          </rPr>
          <t xml:space="preserve">
4 mmHg</t>
        </r>
      </text>
    </comment>
    <comment ref="Q21" authorId="1">
      <text>
        <r>
          <rPr>
            <b/>
            <sz val="9"/>
            <color indexed="81"/>
            <rFont val="Tahoma"/>
            <family val="2"/>
          </rPr>
          <t>HongyuHan:</t>
        </r>
        <r>
          <rPr>
            <sz val="9"/>
            <color indexed="81"/>
            <rFont val="Tahoma"/>
            <family val="2"/>
          </rPr>
          <t xml:space="preserve">
Added on 21/July
</t>
        </r>
      </text>
    </comment>
    <comment ref="S21" authorId="0">
      <text>
        <r>
          <rPr>
            <b/>
            <sz val="9"/>
            <color indexed="81"/>
            <rFont val="Tahoma"/>
            <family val="2"/>
          </rPr>
          <t>chenying:</t>
        </r>
        <r>
          <rPr>
            <sz val="9"/>
            <color indexed="81"/>
            <rFont val="Tahoma"/>
            <family val="2"/>
          </rPr>
          <t xml:space="preserve">
610 m2/per shell
</t>
        </r>
      </text>
    </comment>
    <comment ref="T21" authorId="0">
      <text>
        <r>
          <rPr>
            <b/>
            <sz val="9"/>
            <color indexed="81"/>
            <rFont val="Tahoma"/>
            <family val="2"/>
          </rPr>
          <t>chenying:</t>
        </r>
        <r>
          <rPr>
            <sz val="9"/>
            <color indexed="81"/>
            <rFont val="Tahoma"/>
            <family val="2"/>
          </rPr>
          <t xml:space="preserve">
atm residue</t>
        </r>
      </text>
    </comment>
    <comment ref="U21" authorId="0">
      <text>
        <r>
          <rPr>
            <b/>
            <sz val="9"/>
            <color indexed="81"/>
            <rFont val="Tahoma"/>
            <family val="2"/>
          </rPr>
          <t xml:space="preserve">chenyinG:
</t>
        </r>
        <r>
          <rPr>
            <sz val="9"/>
            <color indexed="81"/>
            <rFont val="Tahoma"/>
            <family val="2"/>
          </rPr>
          <t>WATER</t>
        </r>
      </text>
    </comment>
    <comment ref="Q22" authorId="1">
      <text>
        <r>
          <rPr>
            <b/>
            <sz val="9"/>
            <color indexed="81"/>
            <rFont val="Tahoma"/>
            <family val="2"/>
          </rPr>
          <t>HongyuHan:</t>
        </r>
        <r>
          <rPr>
            <sz val="9"/>
            <color indexed="81"/>
            <rFont val="Tahoma"/>
            <family val="2"/>
          </rPr>
          <t xml:space="preserve">
Added on 21/July
</t>
        </r>
      </text>
    </comment>
    <comment ref="S22" authorId="0">
      <text>
        <r>
          <rPr>
            <b/>
            <sz val="9"/>
            <color indexed="81"/>
            <rFont val="Tahoma"/>
            <family val="2"/>
          </rPr>
          <t>chenying:</t>
        </r>
        <r>
          <rPr>
            <sz val="9"/>
            <color indexed="81"/>
            <rFont val="Tahoma"/>
            <family val="2"/>
          </rPr>
          <t xml:space="preserve">
2340 m2/per shell
</t>
        </r>
      </text>
    </comment>
    <comment ref="Q23" authorId="1">
      <text>
        <r>
          <rPr>
            <b/>
            <sz val="9"/>
            <color indexed="81"/>
            <rFont val="Tahoma"/>
            <family val="2"/>
          </rPr>
          <t>HongyuHan:</t>
        </r>
        <r>
          <rPr>
            <sz val="9"/>
            <color indexed="81"/>
            <rFont val="Tahoma"/>
            <family val="2"/>
          </rPr>
          <t xml:space="preserve">
Added on 21/July
</t>
        </r>
      </text>
    </comment>
    <comment ref="T23" authorId="0">
      <text>
        <r>
          <rPr>
            <b/>
            <sz val="9"/>
            <color indexed="81"/>
            <rFont val="Tahoma"/>
            <family val="2"/>
          </rPr>
          <t>chenying:</t>
        </r>
        <r>
          <rPr>
            <sz val="9"/>
            <color indexed="81"/>
            <rFont val="Tahoma"/>
            <family val="2"/>
          </rPr>
          <t xml:space="preserve">
Condensate</t>
        </r>
      </text>
    </comment>
    <comment ref="U23" authorId="0">
      <text>
        <r>
          <rPr>
            <b/>
            <sz val="9"/>
            <color indexed="81"/>
            <rFont val="Tahoma"/>
            <family val="2"/>
          </rPr>
          <t>chenying:</t>
        </r>
        <r>
          <rPr>
            <sz val="9"/>
            <color indexed="81"/>
            <rFont val="Tahoma"/>
            <family val="2"/>
          </rPr>
          <t xml:space="preserve">
desalter drain
</t>
        </r>
      </text>
    </comment>
    <comment ref="Q24" authorId="1">
      <text>
        <r>
          <rPr>
            <b/>
            <sz val="9"/>
            <color indexed="81"/>
            <rFont val="Tahoma"/>
            <family val="2"/>
          </rPr>
          <t>HongyuHan:</t>
        </r>
        <r>
          <rPr>
            <sz val="9"/>
            <color indexed="81"/>
            <rFont val="Tahoma"/>
            <family val="2"/>
          </rPr>
          <t xml:space="preserve">
Added on 21/July
</t>
        </r>
      </text>
    </comment>
    <comment ref="Q25" authorId="1">
      <text>
        <r>
          <rPr>
            <b/>
            <sz val="9"/>
            <color indexed="81"/>
            <rFont val="Tahoma"/>
            <family val="2"/>
          </rPr>
          <t>HongyuHan:</t>
        </r>
        <r>
          <rPr>
            <sz val="9"/>
            <color indexed="81"/>
            <rFont val="Tahoma"/>
            <family val="2"/>
          </rPr>
          <t xml:space="preserve">
Added on 21/July
</t>
        </r>
      </text>
    </comment>
    <comment ref="Q26" authorId="1">
      <text>
        <r>
          <rPr>
            <b/>
            <sz val="9"/>
            <color indexed="81"/>
            <rFont val="Tahoma"/>
            <family val="2"/>
          </rPr>
          <t>HongyuHan:</t>
        </r>
        <r>
          <rPr>
            <sz val="9"/>
            <color indexed="81"/>
            <rFont val="Tahoma"/>
            <family val="2"/>
          </rPr>
          <t xml:space="preserve">
Added on 21/July
</t>
        </r>
      </text>
    </comment>
    <comment ref="Q27" authorId="1">
      <text>
        <r>
          <rPr>
            <b/>
            <sz val="9"/>
            <color indexed="81"/>
            <rFont val="Tahoma"/>
            <family val="2"/>
          </rPr>
          <t>HongyuHan:</t>
        </r>
        <r>
          <rPr>
            <sz val="9"/>
            <color indexed="81"/>
            <rFont val="Tahoma"/>
            <family val="2"/>
          </rPr>
          <t xml:space="preserve">
Added on 21/July
</t>
        </r>
      </text>
    </comment>
    <comment ref="Q28" authorId="1">
      <text>
        <r>
          <rPr>
            <b/>
            <sz val="9"/>
            <color indexed="81"/>
            <rFont val="Tahoma"/>
            <family val="2"/>
          </rPr>
          <t>HongyuHan:</t>
        </r>
        <r>
          <rPr>
            <sz val="9"/>
            <color indexed="81"/>
            <rFont val="Tahoma"/>
            <family val="2"/>
          </rPr>
          <t xml:space="preserve">
Added on 21/July
</t>
        </r>
      </text>
    </comment>
    <comment ref="T28" authorId="0">
      <text>
        <r>
          <rPr>
            <b/>
            <sz val="9"/>
            <color indexed="81"/>
            <rFont val="Tahoma"/>
            <family val="2"/>
          </rPr>
          <t>chenying:</t>
        </r>
        <r>
          <rPr>
            <sz val="9"/>
            <color indexed="81"/>
            <rFont val="Tahoma"/>
            <family val="2"/>
          </rPr>
          <t xml:space="preserve">
BFW</t>
        </r>
      </text>
    </comment>
    <comment ref="U28" authorId="0">
      <text>
        <r>
          <rPr>
            <b/>
            <sz val="9"/>
            <color indexed="81"/>
            <rFont val="Tahoma"/>
            <family val="2"/>
          </rPr>
          <t>chenying:</t>
        </r>
        <r>
          <rPr>
            <sz val="9"/>
            <color indexed="81"/>
            <rFont val="Tahoma"/>
            <family val="2"/>
          </rPr>
          <t xml:space="preserve">
LCO</t>
        </r>
      </text>
    </comment>
    <comment ref="Q29" authorId="1">
      <text>
        <r>
          <rPr>
            <b/>
            <sz val="9"/>
            <color indexed="81"/>
            <rFont val="Tahoma"/>
            <family val="2"/>
          </rPr>
          <t>HongyuHan:</t>
        </r>
        <r>
          <rPr>
            <sz val="9"/>
            <color indexed="81"/>
            <rFont val="Tahoma"/>
            <family val="2"/>
          </rPr>
          <t xml:space="preserve">
Added on 21/July
</t>
        </r>
      </text>
    </comment>
    <comment ref="Q30" authorId="1">
      <text>
        <r>
          <rPr>
            <b/>
            <sz val="9"/>
            <color indexed="81"/>
            <rFont val="Tahoma"/>
            <family val="2"/>
          </rPr>
          <t>HongyuHan:</t>
        </r>
        <r>
          <rPr>
            <sz val="9"/>
            <color indexed="81"/>
            <rFont val="Tahoma"/>
            <family val="2"/>
          </rPr>
          <t xml:space="preserve">
Added on 21/July
</t>
        </r>
      </text>
    </comment>
    <comment ref="S30" authorId="0">
      <text>
        <r>
          <rPr>
            <b/>
            <sz val="9"/>
            <color indexed="81"/>
            <rFont val="Tahoma"/>
            <family val="2"/>
          </rPr>
          <t>chenying:</t>
        </r>
        <r>
          <rPr>
            <sz val="9"/>
            <color indexed="81"/>
            <rFont val="Tahoma"/>
            <family val="2"/>
          </rPr>
          <t xml:space="preserve">
934 m2/per shell
</t>
        </r>
      </text>
    </comment>
    <comment ref="T30" authorId="0">
      <text>
        <r>
          <rPr>
            <b/>
            <sz val="9"/>
            <color indexed="81"/>
            <rFont val="Tahoma"/>
            <family val="2"/>
          </rPr>
          <t>chenying:</t>
        </r>
        <r>
          <rPr>
            <sz val="9"/>
            <color indexed="81"/>
            <rFont val="Tahoma"/>
            <family val="2"/>
          </rPr>
          <t xml:space="preserve">
reactor eff</t>
        </r>
      </text>
    </comment>
    <comment ref="U30" authorId="0">
      <text>
        <r>
          <rPr>
            <b/>
            <sz val="9"/>
            <color indexed="81"/>
            <rFont val="Tahoma"/>
            <family val="2"/>
          </rPr>
          <t>chenying:</t>
        </r>
        <r>
          <rPr>
            <sz val="9"/>
            <color indexed="81"/>
            <rFont val="Tahoma"/>
            <family val="2"/>
          </rPr>
          <t xml:space="preserve">
effluent</t>
        </r>
      </text>
    </comment>
    <comment ref="Q31" authorId="1">
      <text>
        <r>
          <rPr>
            <b/>
            <sz val="9"/>
            <color indexed="81"/>
            <rFont val="Tahoma"/>
            <family val="2"/>
          </rPr>
          <t>HongyuHan:</t>
        </r>
        <r>
          <rPr>
            <sz val="9"/>
            <color indexed="81"/>
            <rFont val="Tahoma"/>
            <family val="2"/>
          </rPr>
          <t xml:space="preserve">
Added on 21/July
</t>
        </r>
      </text>
    </comment>
    <comment ref="S31" authorId="0">
      <text>
        <r>
          <rPr>
            <b/>
            <sz val="9"/>
            <color indexed="81"/>
            <rFont val="Tahoma"/>
            <family val="2"/>
          </rPr>
          <t>chenying:</t>
        </r>
        <r>
          <rPr>
            <sz val="9"/>
            <color indexed="81"/>
            <rFont val="Tahoma"/>
            <family val="2"/>
          </rPr>
          <t xml:space="preserve">
2740 m2/per shell
</t>
        </r>
      </text>
    </comment>
    <comment ref="P32" authorId="0">
      <text>
        <r>
          <rPr>
            <b/>
            <sz val="9"/>
            <color indexed="81"/>
            <rFont val="Tahoma"/>
            <family val="2"/>
          </rPr>
          <t>chenying:</t>
        </r>
        <r>
          <rPr>
            <sz val="9"/>
            <color indexed="81"/>
            <rFont val="Tahoma"/>
            <family val="2"/>
          </rPr>
          <t xml:space="preserve">
no process data sheet</t>
        </r>
      </text>
    </comment>
    <comment ref="Q32" authorId="1">
      <text>
        <r>
          <rPr>
            <b/>
            <sz val="9"/>
            <color indexed="81"/>
            <rFont val="Tahoma"/>
            <family val="2"/>
          </rPr>
          <t>HongyuHan:</t>
        </r>
        <r>
          <rPr>
            <sz val="9"/>
            <color indexed="81"/>
            <rFont val="Tahoma"/>
            <family val="2"/>
          </rPr>
          <t xml:space="preserve">
Added on 21/July
</t>
        </r>
      </text>
    </comment>
    <comment ref="Q33" authorId="1">
      <text>
        <r>
          <rPr>
            <b/>
            <sz val="9"/>
            <color indexed="81"/>
            <rFont val="Tahoma"/>
            <family val="2"/>
          </rPr>
          <t>HongyuHan:</t>
        </r>
        <r>
          <rPr>
            <sz val="9"/>
            <color indexed="81"/>
            <rFont val="Tahoma"/>
            <family val="2"/>
          </rPr>
          <t xml:space="preserve">
Added on 21/July
</t>
        </r>
      </text>
    </comment>
    <comment ref="Q34" authorId="1">
      <text>
        <r>
          <rPr>
            <b/>
            <sz val="9"/>
            <color indexed="81"/>
            <rFont val="Tahoma"/>
            <family val="2"/>
          </rPr>
          <t>HongyuHan:</t>
        </r>
        <r>
          <rPr>
            <sz val="9"/>
            <color indexed="81"/>
            <rFont val="Tahoma"/>
            <family val="2"/>
          </rPr>
          <t xml:space="preserve">
Added on 21/July
</t>
        </r>
      </text>
    </comment>
    <comment ref="S34" authorId="0">
      <text>
        <r>
          <rPr>
            <b/>
            <sz val="9"/>
            <color indexed="81"/>
            <rFont val="Tahoma"/>
            <family val="2"/>
          </rPr>
          <t>chenying:</t>
        </r>
        <r>
          <rPr>
            <sz val="9"/>
            <color indexed="81"/>
            <rFont val="Tahoma"/>
            <family val="2"/>
          </rPr>
          <t xml:space="preserve">
750 m2/per shell
</t>
        </r>
      </text>
    </comment>
    <comment ref="Q35" authorId="1">
      <text>
        <r>
          <rPr>
            <b/>
            <sz val="9"/>
            <color indexed="81"/>
            <rFont val="Tahoma"/>
            <family val="2"/>
          </rPr>
          <t>HongyuHan:</t>
        </r>
        <r>
          <rPr>
            <sz val="9"/>
            <color indexed="81"/>
            <rFont val="Tahoma"/>
            <family val="2"/>
          </rPr>
          <t xml:space="preserve">
Added on 21/July
</t>
        </r>
      </text>
    </comment>
    <comment ref="S35" authorId="0">
      <text>
        <r>
          <rPr>
            <b/>
            <sz val="9"/>
            <color indexed="81"/>
            <rFont val="Tahoma"/>
            <family val="2"/>
          </rPr>
          <t>chenying:</t>
        </r>
        <r>
          <rPr>
            <sz val="9"/>
            <color indexed="81"/>
            <rFont val="Tahoma"/>
            <family val="2"/>
          </rPr>
          <t xml:space="preserve">
335
 m2/per shell
</t>
        </r>
      </text>
    </comment>
    <comment ref="Q36" authorId="1">
      <text>
        <r>
          <rPr>
            <b/>
            <sz val="9"/>
            <color indexed="81"/>
            <rFont val="Tahoma"/>
            <family val="2"/>
          </rPr>
          <t>HongyuHan:</t>
        </r>
        <r>
          <rPr>
            <sz val="9"/>
            <color indexed="81"/>
            <rFont val="Tahoma"/>
            <family val="2"/>
          </rPr>
          <t xml:space="preserve">
Added on 21/July
</t>
        </r>
      </text>
    </comment>
    <comment ref="S36" authorId="0">
      <text>
        <r>
          <rPr>
            <b/>
            <sz val="9"/>
            <color indexed="81"/>
            <rFont val="Tahoma"/>
            <family val="2"/>
          </rPr>
          <t>chenying:</t>
        </r>
        <r>
          <rPr>
            <sz val="9"/>
            <color indexed="81"/>
            <rFont val="Tahoma"/>
            <family val="2"/>
          </rPr>
          <t xml:space="preserve">
2475 m2/per shell
</t>
        </r>
      </text>
    </comment>
    <comment ref="Q37" authorId="1">
      <text>
        <r>
          <rPr>
            <b/>
            <sz val="9"/>
            <color indexed="81"/>
            <rFont val="Tahoma"/>
            <family val="2"/>
          </rPr>
          <t>HongyuHan:</t>
        </r>
        <r>
          <rPr>
            <sz val="9"/>
            <color indexed="81"/>
            <rFont val="Tahoma"/>
            <family val="2"/>
          </rPr>
          <t xml:space="preserve">
Added on 21/July
</t>
        </r>
      </text>
    </comment>
    <comment ref="Q38" authorId="1">
      <text>
        <r>
          <rPr>
            <b/>
            <sz val="9"/>
            <color indexed="81"/>
            <rFont val="Tahoma"/>
            <family val="2"/>
          </rPr>
          <t>HongyuHan:</t>
        </r>
        <r>
          <rPr>
            <sz val="9"/>
            <color indexed="81"/>
            <rFont val="Tahoma"/>
            <family val="2"/>
          </rPr>
          <t xml:space="preserve">
Added on 21/July
</t>
        </r>
      </text>
    </comment>
    <comment ref="S38" authorId="0">
      <text>
        <r>
          <rPr>
            <b/>
            <sz val="9"/>
            <color indexed="81"/>
            <rFont val="Tahoma"/>
            <family val="2"/>
          </rPr>
          <t>chenying:</t>
        </r>
        <r>
          <rPr>
            <sz val="9"/>
            <color indexed="81"/>
            <rFont val="Tahoma"/>
            <family val="2"/>
          </rPr>
          <t xml:space="preserve">
3890 m2/per shell
</t>
        </r>
      </text>
    </comment>
    <comment ref="Q39" authorId="1">
      <text>
        <r>
          <rPr>
            <b/>
            <sz val="9"/>
            <color indexed="81"/>
            <rFont val="Tahoma"/>
            <family val="2"/>
          </rPr>
          <t>HongyuHan:</t>
        </r>
        <r>
          <rPr>
            <sz val="9"/>
            <color indexed="81"/>
            <rFont val="Tahoma"/>
            <family val="2"/>
          </rPr>
          <t xml:space="preserve">
Added on 21/July
</t>
        </r>
      </text>
    </comment>
    <comment ref="Q40" authorId="1">
      <text>
        <r>
          <rPr>
            <b/>
            <sz val="9"/>
            <color indexed="81"/>
            <rFont val="Tahoma"/>
            <family val="2"/>
          </rPr>
          <t>HongyuHan:</t>
        </r>
        <r>
          <rPr>
            <sz val="9"/>
            <color indexed="81"/>
            <rFont val="Tahoma"/>
            <family val="2"/>
          </rPr>
          <t xml:space="preserve">
Added on 21/July
</t>
        </r>
      </text>
    </comment>
    <comment ref="S40" authorId="0">
      <text>
        <r>
          <rPr>
            <b/>
            <sz val="9"/>
            <color indexed="81"/>
            <rFont val="Tahoma"/>
            <family val="2"/>
          </rPr>
          <t>chenying:</t>
        </r>
        <r>
          <rPr>
            <sz val="9"/>
            <color indexed="81"/>
            <rFont val="Tahoma"/>
            <family val="2"/>
          </rPr>
          <t xml:space="preserve">
2230 m2/per shell
</t>
        </r>
      </text>
    </comment>
    <comment ref="Q41" authorId="1">
      <text>
        <r>
          <rPr>
            <b/>
            <sz val="9"/>
            <color indexed="81"/>
            <rFont val="Tahoma"/>
            <family val="2"/>
          </rPr>
          <t>HongyuHan:</t>
        </r>
        <r>
          <rPr>
            <sz val="9"/>
            <color indexed="81"/>
            <rFont val="Tahoma"/>
            <family val="2"/>
          </rPr>
          <t xml:space="preserve">
Added on 21/July
</t>
        </r>
      </text>
    </comment>
    <comment ref="S41" authorId="0">
      <text>
        <r>
          <rPr>
            <b/>
            <sz val="9"/>
            <color indexed="81"/>
            <rFont val="Tahoma"/>
            <family val="2"/>
          </rPr>
          <t>chenying:</t>
        </r>
        <r>
          <rPr>
            <sz val="9"/>
            <color indexed="81"/>
            <rFont val="Tahoma"/>
            <family val="2"/>
          </rPr>
          <t xml:space="preserve">
2060 m2/per shell
</t>
        </r>
      </text>
    </comment>
    <comment ref="P42" authorId="0">
      <text>
        <r>
          <rPr>
            <b/>
            <sz val="9"/>
            <color indexed="81"/>
            <rFont val="Tahoma"/>
            <family val="2"/>
          </rPr>
          <t>chenying:</t>
        </r>
        <r>
          <rPr>
            <sz val="9"/>
            <color indexed="81"/>
            <rFont val="Tahoma"/>
            <family val="2"/>
          </rPr>
          <t xml:space="preserve">
no process data sheet</t>
        </r>
      </text>
    </comment>
    <comment ref="P43" authorId="0">
      <text>
        <r>
          <rPr>
            <b/>
            <sz val="9"/>
            <color indexed="81"/>
            <rFont val="Tahoma"/>
            <family val="2"/>
          </rPr>
          <t>chenying:</t>
        </r>
        <r>
          <rPr>
            <sz val="9"/>
            <color indexed="81"/>
            <rFont val="Tahoma"/>
            <family val="2"/>
          </rPr>
          <t xml:space="preserve">
no process data sheet</t>
        </r>
      </text>
    </comment>
    <comment ref="P44" authorId="0">
      <text>
        <r>
          <rPr>
            <b/>
            <sz val="9"/>
            <color indexed="81"/>
            <rFont val="Tahoma"/>
            <family val="2"/>
          </rPr>
          <t>chenying:</t>
        </r>
        <r>
          <rPr>
            <sz val="9"/>
            <color indexed="81"/>
            <rFont val="Tahoma"/>
            <family val="2"/>
          </rPr>
          <t xml:space="preserve">
not in process</t>
        </r>
      </text>
    </comment>
    <comment ref="P45" authorId="0">
      <text>
        <r>
          <rPr>
            <b/>
            <sz val="9"/>
            <color indexed="81"/>
            <rFont val="Tahoma"/>
            <family val="2"/>
          </rPr>
          <t>chenying:</t>
        </r>
        <r>
          <rPr>
            <sz val="9"/>
            <color indexed="81"/>
            <rFont val="Tahoma"/>
            <family val="2"/>
          </rPr>
          <t xml:space="preserve">
out of scope
</t>
        </r>
      </text>
    </comment>
    <comment ref="P46" authorId="0">
      <text>
        <r>
          <rPr>
            <b/>
            <sz val="9"/>
            <color indexed="81"/>
            <rFont val="Tahoma"/>
            <family val="2"/>
          </rPr>
          <t>chenying:</t>
        </r>
        <r>
          <rPr>
            <sz val="9"/>
            <color indexed="81"/>
            <rFont val="Tahoma"/>
            <family val="2"/>
          </rPr>
          <t xml:space="preserve">
out of scope
</t>
        </r>
      </text>
    </comment>
    <comment ref="P47" authorId="0">
      <text>
        <r>
          <rPr>
            <b/>
            <sz val="9"/>
            <color indexed="81"/>
            <rFont val="Tahoma"/>
            <family val="2"/>
          </rPr>
          <t>chenying:</t>
        </r>
        <r>
          <rPr>
            <sz val="9"/>
            <color indexed="81"/>
            <rFont val="Tahoma"/>
            <family val="2"/>
          </rPr>
          <t xml:space="preserve">
out of scope
</t>
        </r>
      </text>
    </comment>
    <comment ref="P48" authorId="0">
      <text>
        <r>
          <rPr>
            <b/>
            <sz val="9"/>
            <color indexed="81"/>
            <rFont val="Tahoma"/>
            <family val="2"/>
          </rPr>
          <t>chenying:</t>
        </r>
        <r>
          <rPr>
            <sz val="9"/>
            <color indexed="81"/>
            <rFont val="Tahoma"/>
            <family val="2"/>
          </rPr>
          <t xml:space="preserve">
out of scope
</t>
        </r>
      </text>
    </comment>
    <comment ref="P49" authorId="0">
      <text>
        <r>
          <rPr>
            <b/>
            <sz val="9"/>
            <color indexed="81"/>
            <rFont val="Tahoma"/>
            <family val="2"/>
          </rPr>
          <t>chenying:</t>
        </r>
        <r>
          <rPr>
            <sz val="9"/>
            <color indexed="81"/>
            <rFont val="Tahoma"/>
            <family val="2"/>
          </rPr>
          <t xml:space="preserve">
out of scope
</t>
        </r>
      </text>
    </comment>
  </commentList>
</comments>
</file>

<file path=xl/comments11.xml><?xml version="1.0" encoding="utf-8"?>
<comments xmlns="http://schemas.openxmlformats.org/spreadsheetml/2006/main">
  <authors>
    <author>chenying</author>
    <author>xuhatao</author>
    <author>xuhaitao</author>
  </authors>
  <commentList>
    <comment ref="K10" authorId="0">
      <text>
        <r>
          <rPr>
            <b/>
            <sz val="9"/>
            <color indexed="81"/>
            <rFont val="Tahoma"/>
            <family val="2"/>
          </rPr>
          <t>chenying:</t>
        </r>
        <r>
          <rPr>
            <sz val="9"/>
            <color indexed="81"/>
            <rFont val="Tahoma"/>
            <family val="2"/>
          </rPr>
          <t xml:space="preserve">
2.1M3
</t>
        </r>
      </text>
    </comment>
    <comment ref="R10" authorId="0">
      <text>
        <r>
          <rPr>
            <b/>
            <sz val="9"/>
            <color indexed="81"/>
            <rFont val="Tahoma"/>
            <family val="2"/>
          </rPr>
          <t>chenying:</t>
        </r>
        <r>
          <rPr>
            <sz val="9"/>
            <color indexed="81"/>
            <rFont val="Tahoma"/>
            <family val="2"/>
          </rPr>
          <t xml:space="preserve">
LA
K1,2</t>
        </r>
      </text>
    </comment>
    <comment ref="T10" authorId="0">
      <text>
        <r>
          <rPr>
            <b/>
            <sz val="9"/>
            <color indexed="81"/>
            <rFont val="Tahoma"/>
            <family val="2"/>
          </rPr>
          <t>chenying:</t>
        </r>
        <r>
          <rPr>
            <sz val="9"/>
            <color indexed="81"/>
            <rFont val="Tahoma"/>
            <family val="2"/>
          </rPr>
          <t xml:space="preserve">
LG
K3,4</t>
        </r>
      </text>
    </comment>
    <comment ref="R14" authorId="0">
      <text>
        <r>
          <rPr>
            <b/>
            <sz val="9"/>
            <color indexed="81"/>
            <rFont val="Tahoma"/>
            <family val="2"/>
          </rPr>
          <t>chenying:</t>
        </r>
        <r>
          <rPr>
            <sz val="9"/>
            <color indexed="81"/>
            <rFont val="Tahoma"/>
            <family val="2"/>
          </rPr>
          <t xml:space="preserve">
LA
K1,2</t>
        </r>
      </text>
    </comment>
    <comment ref="P15" authorId="0">
      <text>
        <r>
          <rPr>
            <b/>
            <sz val="9"/>
            <color indexed="81"/>
            <rFont val="Tahoma"/>
            <family val="2"/>
          </rPr>
          <t>chenying:</t>
        </r>
        <r>
          <rPr>
            <sz val="9"/>
            <color indexed="81"/>
            <rFont val="Tahoma"/>
            <family val="2"/>
          </rPr>
          <t xml:space="preserve">
LC
K4,5
</t>
        </r>
      </text>
    </comment>
    <comment ref="R15" authorId="0">
      <text>
        <r>
          <rPr>
            <b/>
            <sz val="9"/>
            <color indexed="81"/>
            <rFont val="Tahoma"/>
            <family val="2"/>
          </rPr>
          <t>chenying:</t>
        </r>
        <r>
          <rPr>
            <sz val="9"/>
            <color indexed="81"/>
            <rFont val="Tahoma"/>
            <family val="2"/>
          </rPr>
          <t xml:space="preserve">
LG
K1,2</t>
        </r>
      </text>
    </comment>
    <comment ref="P16" authorId="0">
      <text>
        <r>
          <rPr>
            <b/>
            <sz val="9"/>
            <color indexed="81"/>
            <rFont val="Tahoma"/>
            <family val="2"/>
          </rPr>
          <t>chenying:</t>
        </r>
        <r>
          <rPr>
            <sz val="9"/>
            <color indexed="81"/>
            <rFont val="Tahoma"/>
            <family val="2"/>
          </rPr>
          <t xml:space="preserve">
LC
K4,5
</t>
        </r>
      </text>
    </comment>
    <comment ref="R16" authorId="0">
      <text>
        <r>
          <rPr>
            <b/>
            <sz val="9"/>
            <color indexed="81"/>
            <rFont val="Tahoma"/>
            <family val="2"/>
          </rPr>
          <t>chenying:</t>
        </r>
        <r>
          <rPr>
            <sz val="9"/>
            <color indexed="81"/>
            <rFont val="Tahoma"/>
            <family val="2"/>
          </rPr>
          <t xml:space="preserve">
LG
K1,2</t>
        </r>
      </text>
    </comment>
    <comment ref="P17" authorId="0">
      <text>
        <r>
          <rPr>
            <b/>
            <sz val="9"/>
            <color indexed="81"/>
            <rFont val="Tahoma"/>
            <family val="2"/>
          </rPr>
          <t>chenying:</t>
        </r>
        <r>
          <rPr>
            <sz val="9"/>
            <color indexed="81"/>
            <rFont val="Tahoma"/>
            <family val="2"/>
          </rPr>
          <t xml:space="preserve">
LC
k1,2
</t>
        </r>
      </text>
    </comment>
    <comment ref="R17" authorId="0">
      <text>
        <r>
          <rPr>
            <b/>
            <sz val="9"/>
            <color indexed="81"/>
            <rFont val="Tahoma"/>
            <family val="2"/>
          </rPr>
          <t>chenying:</t>
        </r>
        <r>
          <rPr>
            <sz val="9"/>
            <color indexed="81"/>
            <rFont val="Tahoma"/>
            <family val="2"/>
          </rPr>
          <t xml:space="preserve">
LA
K5,6</t>
        </r>
      </text>
    </comment>
    <comment ref="T17" authorId="0">
      <text>
        <r>
          <rPr>
            <b/>
            <sz val="9"/>
            <color indexed="81"/>
            <rFont val="Tahoma"/>
            <family val="2"/>
          </rPr>
          <t>chenying:</t>
        </r>
        <r>
          <rPr>
            <sz val="9"/>
            <color indexed="81"/>
            <rFont val="Tahoma"/>
            <family val="2"/>
          </rPr>
          <t xml:space="preserve">
LA
K7,8</t>
        </r>
      </text>
    </comment>
    <comment ref="P18" authorId="0">
      <text>
        <r>
          <rPr>
            <b/>
            <sz val="9"/>
            <color indexed="81"/>
            <rFont val="Tahoma"/>
            <family val="2"/>
          </rPr>
          <t>chenying:</t>
        </r>
        <r>
          <rPr>
            <sz val="9"/>
            <color indexed="81"/>
            <rFont val="Tahoma"/>
            <family val="2"/>
          </rPr>
          <t xml:space="preserve">
LGZ
k1A,B
</t>
        </r>
      </text>
    </comment>
    <comment ref="R18" authorId="0">
      <text>
        <r>
          <rPr>
            <b/>
            <sz val="9"/>
            <color indexed="81"/>
            <rFont val="Tahoma"/>
            <family val="2"/>
          </rPr>
          <t>chenying:</t>
        </r>
        <r>
          <rPr>
            <sz val="9"/>
            <color indexed="81"/>
            <rFont val="Tahoma"/>
            <family val="2"/>
          </rPr>
          <t xml:space="preserve">
LTZ
K2A,B</t>
        </r>
      </text>
    </comment>
    <comment ref="T18" authorId="0">
      <text>
        <r>
          <rPr>
            <b/>
            <sz val="9"/>
            <color indexed="81"/>
            <rFont val="Tahoma"/>
            <family val="2"/>
          </rPr>
          <t>chenying:</t>
        </r>
        <r>
          <rPr>
            <sz val="9"/>
            <color indexed="81"/>
            <rFont val="Tahoma"/>
            <family val="2"/>
          </rPr>
          <t xml:space="preserve">
LTZ
K3A,B</t>
        </r>
      </text>
    </comment>
    <comment ref="V18" authorId="0">
      <text>
        <r>
          <rPr>
            <b/>
            <sz val="9"/>
            <color indexed="81"/>
            <rFont val="Tahoma"/>
            <family val="2"/>
          </rPr>
          <t>chenying:</t>
        </r>
        <r>
          <rPr>
            <sz val="9"/>
            <color indexed="81"/>
            <rFont val="Tahoma"/>
            <family val="2"/>
          </rPr>
          <t xml:space="preserve">
Lc
K7a.b</t>
        </r>
      </text>
    </comment>
    <comment ref="P19" authorId="0">
      <text>
        <r>
          <rPr>
            <b/>
            <sz val="9"/>
            <color indexed="81"/>
            <rFont val="Tahoma"/>
            <family val="2"/>
          </rPr>
          <t>chenying:</t>
        </r>
        <r>
          <rPr>
            <sz val="9"/>
            <color indexed="81"/>
            <rFont val="Tahoma"/>
            <family val="2"/>
          </rPr>
          <t xml:space="preserve">
LC
k1,2
</t>
        </r>
      </text>
    </comment>
    <comment ref="R19" authorId="0">
      <text>
        <r>
          <rPr>
            <b/>
            <sz val="9"/>
            <color indexed="81"/>
            <rFont val="Tahoma"/>
            <family val="2"/>
          </rPr>
          <t>chenying:</t>
        </r>
        <r>
          <rPr>
            <sz val="9"/>
            <color indexed="81"/>
            <rFont val="Tahoma"/>
            <family val="2"/>
          </rPr>
          <t xml:space="preserve">
LG
K3,4</t>
        </r>
      </text>
    </comment>
    <comment ref="T19" authorId="0">
      <text>
        <r>
          <rPr>
            <b/>
            <sz val="9"/>
            <color indexed="81"/>
            <rFont val="Tahoma"/>
            <family val="2"/>
          </rPr>
          <t>chenying:</t>
        </r>
        <r>
          <rPr>
            <sz val="9"/>
            <color indexed="81"/>
            <rFont val="Tahoma"/>
            <family val="2"/>
          </rPr>
          <t xml:space="preserve">
LA
K5,6</t>
        </r>
      </text>
    </comment>
    <comment ref="N21" authorId="1">
      <text>
        <r>
          <rPr>
            <b/>
            <sz val="9"/>
            <color indexed="81"/>
            <rFont val="Tahoma"/>
            <family val="2"/>
          </rPr>
          <t>xuhatao:</t>
        </r>
        <r>
          <rPr>
            <sz val="9"/>
            <color indexed="81"/>
            <rFont val="Tahoma"/>
            <family val="2"/>
          </rPr>
          <t xml:space="preserve">
0120-05-22-0003.tif</t>
        </r>
      </text>
    </comment>
    <comment ref="P21" authorId="1">
      <text>
        <r>
          <rPr>
            <b/>
            <sz val="9"/>
            <color indexed="81"/>
            <rFont val="Tahoma"/>
            <family val="2"/>
          </rPr>
          <t>xuhatao:</t>
        </r>
        <r>
          <rPr>
            <sz val="9"/>
            <color indexed="81"/>
            <rFont val="Tahoma"/>
            <family val="2"/>
          </rPr>
          <t xml:space="preserve">
LTZ
K1A,B</t>
        </r>
      </text>
    </comment>
    <comment ref="R21" authorId="1">
      <text>
        <r>
          <rPr>
            <b/>
            <sz val="9"/>
            <color indexed="81"/>
            <rFont val="Tahoma"/>
            <family val="2"/>
          </rPr>
          <t>xuhatao:</t>
        </r>
        <r>
          <rPr>
            <sz val="9"/>
            <color indexed="81"/>
            <rFont val="Tahoma"/>
            <family val="2"/>
          </rPr>
          <t xml:space="preserve">
LGZ
K3A,B</t>
        </r>
      </text>
    </comment>
    <comment ref="V21" authorId="1">
      <text>
        <r>
          <rPr>
            <b/>
            <sz val="9"/>
            <color indexed="81"/>
            <rFont val="Tahoma"/>
            <family val="2"/>
          </rPr>
          <t>xuhatao:</t>
        </r>
        <r>
          <rPr>
            <sz val="9"/>
            <color indexed="81"/>
            <rFont val="Tahoma"/>
            <family val="2"/>
          </rPr>
          <t xml:space="preserve">
LC
K6A,B
K7A,B</t>
        </r>
      </text>
    </comment>
    <comment ref="P22" authorId="1">
      <text>
        <r>
          <rPr>
            <b/>
            <sz val="9"/>
            <color indexed="81"/>
            <rFont val="Tahoma"/>
            <family val="2"/>
          </rPr>
          <t>xuhatao:</t>
        </r>
        <r>
          <rPr>
            <sz val="9"/>
            <color indexed="81"/>
            <rFont val="Tahoma"/>
            <family val="2"/>
          </rPr>
          <t xml:space="preserve">
LC
K1,2</t>
        </r>
      </text>
    </comment>
    <comment ref="P23" authorId="0">
      <text>
        <r>
          <rPr>
            <b/>
            <sz val="9"/>
            <color indexed="81"/>
            <rFont val="Tahoma"/>
            <family val="2"/>
          </rPr>
          <t>chenying:</t>
        </r>
        <r>
          <rPr>
            <sz val="9"/>
            <color indexed="81"/>
            <rFont val="Tahoma"/>
            <family val="2"/>
          </rPr>
          <t xml:space="preserve">
LC
k1,2
</t>
        </r>
      </text>
    </comment>
    <comment ref="R23" authorId="0">
      <text>
        <r>
          <rPr>
            <b/>
            <sz val="9"/>
            <color indexed="81"/>
            <rFont val="Tahoma"/>
            <family val="2"/>
          </rPr>
          <t>chenying:</t>
        </r>
        <r>
          <rPr>
            <sz val="9"/>
            <color indexed="81"/>
            <rFont val="Tahoma"/>
            <family val="2"/>
          </rPr>
          <t xml:space="preserve">
LG
K3,4</t>
        </r>
      </text>
    </comment>
    <comment ref="R24" authorId="0">
      <text>
        <r>
          <rPr>
            <b/>
            <sz val="9"/>
            <color indexed="81"/>
            <rFont val="Tahoma"/>
            <family val="2"/>
          </rPr>
          <t>chenying:</t>
        </r>
        <r>
          <rPr>
            <sz val="9"/>
            <color indexed="81"/>
            <rFont val="Tahoma"/>
            <family val="2"/>
          </rPr>
          <t xml:space="preserve">
LG
k1,2
</t>
        </r>
      </text>
    </comment>
    <comment ref="T24" authorId="0">
      <text>
        <r>
          <rPr>
            <b/>
            <sz val="9"/>
            <color indexed="81"/>
            <rFont val="Tahoma"/>
            <family val="2"/>
          </rPr>
          <t>chenying:</t>
        </r>
        <r>
          <rPr>
            <sz val="9"/>
            <color indexed="81"/>
            <rFont val="Tahoma"/>
            <family val="2"/>
          </rPr>
          <t xml:space="preserve">
LA
K3,4</t>
        </r>
      </text>
    </comment>
    <comment ref="P25" authorId="0">
      <text>
        <r>
          <rPr>
            <b/>
            <sz val="9"/>
            <color indexed="81"/>
            <rFont val="Tahoma"/>
            <family val="2"/>
          </rPr>
          <t>chenying:</t>
        </r>
        <r>
          <rPr>
            <sz val="9"/>
            <color indexed="81"/>
            <rFont val="Tahoma"/>
            <family val="2"/>
          </rPr>
          <t xml:space="preserve">
LTZ5055A(Radar)
k15
the value is guessed
</t>
        </r>
      </text>
    </comment>
    <comment ref="R25" authorId="0">
      <text>
        <r>
          <rPr>
            <b/>
            <sz val="9"/>
            <color indexed="81"/>
            <rFont val="Tahoma"/>
            <family val="2"/>
          </rPr>
          <t>chenying:</t>
        </r>
        <r>
          <rPr>
            <sz val="9"/>
            <color indexed="81"/>
            <rFont val="Tahoma"/>
            <family val="2"/>
          </rPr>
          <t xml:space="preserve">
LTZ5055B(Radar)
k15
</t>
        </r>
      </text>
    </comment>
    <comment ref="T25" authorId="0">
      <text>
        <r>
          <rPr>
            <b/>
            <sz val="9"/>
            <color indexed="81"/>
            <rFont val="Tahoma"/>
            <family val="2"/>
          </rPr>
          <t>chenying:</t>
        </r>
        <r>
          <rPr>
            <sz val="9"/>
            <color indexed="81"/>
            <rFont val="Tahoma"/>
            <family val="2"/>
          </rPr>
          <t xml:space="preserve">
LTZ
K3A,B</t>
        </r>
      </text>
    </comment>
    <comment ref="P28" authorId="0">
      <text>
        <r>
          <rPr>
            <b/>
            <sz val="9"/>
            <color indexed="81"/>
            <rFont val="Tahoma"/>
            <family val="2"/>
          </rPr>
          <t>chenying:</t>
        </r>
        <r>
          <rPr>
            <sz val="9"/>
            <color indexed="81"/>
            <rFont val="Tahoma"/>
            <family val="2"/>
          </rPr>
          <t xml:space="preserve">
LC
K1a,b
</t>
        </r>
      </text>
    </comment>
    <comment ref="R29" authorId="0">
      <text>
        <r>
          <rPr>
            <b/>
            <sz val="9"/>
            <color indexed="81"/>
            <rFont val="Tahoma"/>
            <family val="2"/>
          </rPr>
          <t>chenying:</t>
        </r>
        <r>
          <rPr>
            <sz val="9"/>
            <color indexed="81"/>
            <rFont val="Tahoma"/>
            <family val="2"/>
          </rPr>
          <t xml:space="preserve">
LA
K1,2</t>
        </r>
      </text>
    </comment>
    <comment ref="J30" authorId="0">
      <text>
        <r>
          <rPr>
            <b/>
            <sz val="9"/>
            <color indexed="81"/>
            <rFont val="Tahoma"/>
            <family val="2"/>
          </rPr>
          <t>chenying:</t>
        </r>
        <r>
          <rPr>
            <sz val="9"/>
            <color indexed="81"/>
            <rFont val="Tahoma"/>
            <family val="2"/>
          </rPr>
          <t xml:space="preserve">
the graphic not clear</t>
        </r>
      </text>
    </comment>
    <comment ref="J31" authorId="0">
      <text>
        <r>
          <rPr>
            <b/>
            <sz val="9"/>
            <color indexed="81"/>
            <rFont val="Tahoma"/>
            <family val="2"/>
          </rPr>
          <t>chenying:</t>
        </r>
        <r>
          <rPr>
            <sz val="9"/>
            <color indexed="81"/>
            <rFont val="Tahoma"/>
            <family val="2"/>
          </rPr>
          <t xml:space="preserve">
no size information on datasheet</t>
        </r>
      </text>
    </comment>
    <comment ref="J32" authorId="0">
      <text>
        <r>
          <rPr>
            <b/>
            <sz val="9"/>
            <color indexed="81"/>
            <rFont val="Tahoma"/>
            <family val="2"/>
          </rPr>
          <t>chenying:</t>
        </r>
        <r>
          <rPr>
            <sz val="9"/>
            <color indexed="81"/>
            <rFont val="Tahoma"/>
            <family val="2"/>
          </rPr>
          <t xml:space="preserve">
no size information on datasheet</t>
        </r>
      </text>
    </comment>
    <comment ref="J34" authorId="0">
      <text>
        <r>
          <rPr>
            <b/>
            <sz val="9"/>
            <color indexed="81"/>
            <rFont val="Tahoma"/>
            <family val="2"/>
          </rPr>
          <t>chenying:</t>
        </r>
        <r>
          <rPr>
            <sz val="9"/>
            <color indexed="81"/>
            <rFont val="Tahoma"/>
            <family val="2"/>
          </rPr>
          <t xml:space="preserve">
0.12L
the data sheet has no size information
</t>
        </r>
      </text>
    </comment>
    <comment ref="J35" authorId="0">
      <text>
        <r>
          <rPr>
            <b/>
            <sz val="9"/>
            <color indexed="81"/>
            <rFont val="Tahoma"/>
            <family val="2"/>
          </rPr>
          <t>chenying:</t>
        </r>
        <r>
          <rPr>
            <sz val="9"/>
            <color indexed="81"/>
            <rFont val="Tahoma"/>
            <family val="2"/>
          </rPr>
          <t xml:space="preserve">
0.12L
the data sheet has no size information
</t>
        </r>
      </text>
    </comment>
    <comment ref="J36" authorId="2">
      <text>
        <r>
          <rPr>
            <b/>
            <sz val="9"/>
            <color indexed="81"/>
            <rFont val="Tahoma"/>
            <family val="2"/>
          </rPr>
          <t>xuhaitao:</t>
        </r>
        <r>
          <rPr>
            <sz val="9"/>
            <color indexed="81"/>
            <rFont val="Tahoma"/>
            <family val="2"/>
          </rPr>
          <t xml:space="preserve">
No Data</t>
        </r>
      </text>
    </comment>
  </commentList>
</comments>
</file>

<file path=xl/comments12.xml><?xml version="1.0" encoding="utf-8"?>
<comments xmlns="http://schemas.openxmlformats.org/spreadsheetml/2006/main">
  <authors>
    <author>chenying</author>
    <author>xuhatao</author>
  </authors>
  <commentList>
    <comment ref="T3" authorId="0">
      <text>
        <r>
          <rPr>
            <b/>
            <sz val="9"/>
            <color indexed="81"/>
            <rFont val="Tahoma"/>
            <family val="2"/>
          </rPr>
          <t>chenying:</t>
        </r>
        <r>
          <rPr>
            <sz val="9"/>
            <color indexed="81"/>
            <rFont val="Tahoma"/>
            <family val="2"/>
          </rPr>
          <t xml:space="preserve">
there are 6 trays on bottom</t>
        </r>
      </text>
    </comment>
    <comment ref="W3" authorId="1">
      <text>
        <r>
          <rPr>
            <b/>
            <sz val="9"/>
            <color indexed="81"/>
            <rFont val="Tahoma"/>
            <family val="2"/>
          </rPr>
          <t>xuhatao:</t>
        </r>
        <r>
          <rPr>
            <sz val="9"/>
            <color indexed="81"/>
            <rFont val="Tahoma"/>
            <family val="2"/>
          </rPr>
          <t xml:space="preserve">
LIC
K4,5</t>
        </r>
      </text>
    </comment>
    <comment ref="Y3" authorId="1">
      <text>
        <r>
          <rPr>
            <b/>
            <sz val="9"/>
            <color indexed="81"/>
            <rFont val="Tahoma"/>
            <family val="2"/>
          </rPr>
          <t>xuhatao:</t>
        </r>
        <r>
          <rPr>
            <sz val="9"/>
            <color indexed="81"/>
            <rFont val="Tahoma"/>
            <family val="2"/>
          </rPr>
          <t xml:space="preserve">
LIC
K9,10</t>
        </r>
      </text>
    </comment>
    <comment ref="W4" authorId="1">
      <text>
        <r>
          <rPr>
            <b/>
            <sz val="9"/>
            <color indexed="81"/>
            <rFont val="Tahoma"/>
            <family val="2"/>
          </rPr>
          <t>xuhatao:</t>
        </r>
        <r>
          <rPr>
            <sz val="9"/>
            <color indexed="81"/>
            <rFont val="Tahoma"/>
            <family val="2"/>
          </rPr>
          <t xml:space="preserve">
LIC
K13,14</t>
        </r>
      </text>
    </comment>
    <comment ref="Y4" authorId="1">
      <text>
        <r>
          <rPr>
            <b/>
            <sz val="9"/>
            <color indexed="81"/>
            <rFont val="Tahoma"/>
            <family val="2"/>
          </rPr>
          <t>xuhatao:</t>
        </r>
        <r>
          <rPr>
            <sz val="9"/>
            <color indexed="81"/>
            <rFont val="Tahoma"/>
            <family val="2"/>
          </rPr>
          <t xml:space="preserve">
LC Alarm(low)
K15,16</t>
        </r>
      </text>
    </comment>
    <comment ref="AB4" authorId="1">
      <text>
        <r>
          <rPr>
            <b/>
            <sz val="9"/>
            <color indexed="81"/>
            <rFont val="Tahoma"/>
            <family val="2"/>
          </rPr>
          <t>xuhatao:</t>
        </r>
        <r>
          <rPr>
            <sz val="9"/>
            <color indexed="81"/>
            <rFont val="Tahoma"/>
            <family val="2"/>
          </rPr>
          <t xml:space="preserve">
LC Alarm(high)
K17.18</t>
        </r>
      </text>
    </comment>
    <comment ref="W5" authorId="1">
      <text>
        <r>
          <rPr>
            <b/>
            <sz val="9"/>
            <color indexed="81"/>
            <rFont val="Tahoma"/>
            <family val="2"/>
          </rPr>
          <t>xuhatao:</t>
        </r>
        <r>
          <rPr>
            <sz val="9"/>
            <color indexed="81"/>
            <rFont val="Tahoma"/>
            <family val="2"/>
          </rPr>
          <t xml:space="preserve">
LC
K12,13</t>
        </r>
      </text>
    </comment>
    <comment ref="Y5" authorId="1">
      <text>
        <r>
          <rPr>
            <b/>
            <sz val="9"/>
            <color indexed="81"/>
            <rFont val="Tahoma"/>
            <family val="2"/>
          </rPr>
          <t>xuhatao:</t>
        </r>
        <r>
          <rPr>
            <sz val="9"/>
            <color indexed="81"/>
            <rFont val="Tahoma"/>
            <family val="2"/>
          </rPr>
          <t xml:space="preserve">
LC Alarm(low)
K14,15</t>
        </r>
      </text>
    </comment>
    <comment ref="AB5" authorId="1">
      <text>
        <r>
          <rPr>
            <b/>
            <sz val="9"/>
            <color indexed="81"/>
            <rFont val="Tahoma"/>
            <family val="2"/>
          </rPr>
          <t>xuhatao:</t>
        </r>
        <r>
          <rPr>
            <sz val="9"/>
            <color indexed="81"/>
            <rFont val="Tahoma"/>
            <family val="2"/>
          </rPr>
          <t xml:space="preserve">
LC Alarm(high)
K16,17</t>
        </r>
      </text>
    </comment>
    <comment ref="W6" authorId="1">
      <text>
        <r>
          <rPr>
            <b/>
            <sz val="9"/>
            <color indexed="81"/>
            <rFont val="Tahoma"/>
            <family val="2"/>
          </rPr>
          <t>xuhatao:</t>
        </r>
        <r>
          <rPr>
            <sz val="9"/>
            <color indexed="81"/>
            <rFont val="Tahoma"/>
            <family val="2"/>
          </rPr>
          <t xml:space="preserve">
LIC
K3,4</t>
        </r>
      </text>
    </comment>
    <comment ref="Y6" authorId="1">
      <text>
        <r>
          <rPr>
            <b/>
            <sz val="9"/>
            <color indexed="81"/>
            <rFont val="Tahoma"/>
            <family val="2"/>
          </rPr>
          <t>xuhatao:</t>
        </r>
        <r>
          <rPr>
            <sz val="9"/>
            <color indexed="81"/>
            <rFont val="Tahoma"/>
            <family val="2"/>
          </rPr>
          <t xml:space="preserve">
LC Alarm(low)
K5,6</t>
        </r>
      </text>
    </comment>
    <comment ref="AB6" authorId="1">
      <text>
        <r>
          <rPr>
            <b/>
            <sz val="9"/>
            <color indexed="81"/>
            <rFont val="Tahoma"/>
            <family val="2"/>
          </rPr>
          <t>xuhatao:</t>
        </r>
        <r>
          <rPr>
            <sz val="9"/>
            <color indexed="81"/>
            <rFont val="Tahoma"/>
            <family val="2"/>
          </rPr>
          <t xml:space="preserve">
LC Alarm(high)
K7,8</t>
        </r>
      </text>
    </comment>
    <comment ref="W7" authorId="1">
      <text>
        <r>
          <rPr>
            <b/>
            <sz val="9"/>
            <color indexed="81"/>
            <rFont val="Tahoma"/>
            <family val="2"/>
          </rPr>
          <t>xuhatao:</t>
        </r>
        <r>
          <rPr>
            <sz val="9"/>
            <color indexed="81"/>
            <rFont val="Tahoma"/>
            <family val="2"/>
          </rPr>
          <t xml:space="preserve">
LC
K3,4</t>
        </r>
      </text>
    </comment>
    <comment ref="Y7" authorId="1">
      <text>
        <r>
          <rPr>
            <b/>
            <sz val="9"/>
            <color indexed="81"/>
            <rFont val="Tahoma"/>
            <family val="2"/>
          </rPr>
          <t>xuhatao:</t>
        </r>
        <r>
          <rPr>
            <sz val="9"/>
            <color indexed="81"/>
            <rFont val="Tahoma"/>
            <family val="2"/>
          </rPr>
          <t xml:space="preserve">
LC Alarm(low)
K5,6</t>
        </r>
      </text>
    </comment>
    <comment ref="AB7" authorId="1">
      <text>
        <r>
          <rPr>
            <b/>
            <sz val="9"/>
            <color indexed="81"/>
            <rFont val="Tahoma"/>
            <family val="2"/>
          </rPr>
          <t>xuhatao:</t>
        </r>
        <r>
          <rPr>
            <sz val="9"/>
            <color indexed="81"/>
            <rFont val="Tahoma"/>
            <family val="2"/>
          </rPr>
          <t xml:space="preserve">
LC Alarm(high)
K7,8</t>
        </r>
      </text>
    </comment>
    <comment ref="W8" authorId="1">
      <text>
        <r>
          <rPr>
            <b/>
            <sz val="9"/>
            <color indexed="81"/>
            <rFont val="Tahoma"/>
            <family val="2"/>
          </rPr>
          <t>xuhatao:</t>
        </r>
        <r>
          <rPr>
            <sz val="9"/>
            <color indexed="81"/>
            <rFont val="Tahoma"/>
            <family val="2"/>
          </rPr>
          <t xml:space="preserve">
LIC
K8,9</t>
        </r>
      </text>
    </comment>
    <comment ref="Y8" authorId="1">
      <text>
        <r>
          <rPr>
            <b/>
            <sz val="9"/>
            <color indexed="81"/>
            <rFont val="Tahoma"/>
            <family val="2"/>
          </rPr>
          <t>xuhatao:</t>
        </r>
        <r>
          <rPr>
            <sz val="9"/>
            <color indexed="81"/>
            <rFont val="Tahoma"/>
            <family val="2"/>
          </rPr>
          <t xml:space="preserve">
LG
K1,2</t>
        </r>
      </text>
    </comment>
    <comment ref="W9" authorId="1">
      <text>
        <r>
          <rPr>
            <b/>
            <sz val="9"/>
            <color indexed="81"/>
            <rFont val="Tahoma"/>
            <family val="2"/>
          </rPr>
          <t>xuhatao:</t>
        </r>
        <r>
          <rPr>
            <sz val="9"/>
            <color indexed="81"/>
            <rFont val="Tahoma"/>
            <family val="2"/>
          </rPr>
          <t xml:space="preserve">
LIC3008
NK13,14</t>
        </r>
      </text>
    </comment>
    <comment ref="Y9" authorId="1">
      <text>
        <r>
          <rPr>
            <b/>
            <sz val="9"/>
            <color indexed="81"/>
            <rFont val="Tahoma"/>
            <family val="2"/>
          </rPr>
          <t>xuhatao:</t>
        </r>
        <r>
          <rPr>
            <sz val="9"/>
            <color indexed="81"/>
            <rFont val="Tahoma"/>
            <family val="2"/>
          </rPr>
          <t xml:space="preserve">
LIZ3019
NK19,20</t>
        </r>
      </text>
    </comment>
    <comment ref="W10" authorId="1">
      <text>
        <r>
          <rPr>
            <b/>
            <sz val="9"/>
            <color indexed="81"/>
            <rFont val="Tahoma"/>
            <family val="2"/>
          </rPr>
          <t>xuhatao:</t>
        </r>
        <r>
          <rPr>
            <sz val="9"/>
            <color indexed="81"/>
            <rFont val="Tahoma"/>
            <family val="2"/>
          </rPr>
          <t xml:space="preserve">
LIC3009
K3,4</t>
        </r>
      </text>
    </comment>
    <comment ref="Y10" authorId="1">
      <text>
        <r>
          <rPr>
            <b/>
            <sz val="9"/>
            <color indexed="81"/>
            <rFont val="Tahoma"/>
            <family val="2"/>
          </rPr>
          <t>xuhatao:</t>
        </r>
        <r>
          <rPr>
            <sz val="9"/>
            <color indexed="81"/>
            <rFont val="Tahoma"/>
            <family val="2"/>
          </rPr>
          <t xml:space="preserve">
LG
K1,2</t>
        </r>
      </text>
    </comment>
    <comment ref="W11" authorId="1">
      <text>
        <r>
          <rPr>
            <b/>
            <sz val="9"/>
            <color indexed="81"/>
            <rFont val="Tahoma"/>
            <family val="2"/>
          </rPr>
          <t>xuhatao:</t>
        </r>
        <r>
          <rPr>
            <sz val="9"/>
            <color indexed="81"/>
            <rFont val="Tahoma"/>
            <family val="2"/>
          </rPr>
          <t xml:space="preserve">
LIC4003
K3,4</t>
        </r>
      </text>
    </comment>
    <comment ref="Y11" authorId="1">
      <text>
        <r>
          <rPr>
            <b/>
            <sz val="9"/>
            <color indexed="81"/>
            <rFont val="Tahoma"/>
            <family val="2"/>
          </rPr>
          <t>xuhatao:</t>
        </r>
        <r>
          <rPr>
            <sz val="9"/>
            <color indexed="81"/>
            <rFont val="Tahoma"/>
            <family val="2"/>
          </rPr>
          <t xml:space="preserve">
LG
K1,2</t>
        </r>
      </text>
    </comment>
  </commentList>
</comments>
</file>

<file path=xl/sharedStrings.xml><?xml version="1.0" encoding="utf-8"?>
<sst xmlns="http://schemas.openxmlformats.org/spreadsheetml/2006/main" count="23158" uniqueCount="11703">
  <si>
    <t>Error :</t>
  </si>
  <si>
    <t>Reference</t>
  </si>
  <si>
    <t>By</t>
  </si>
  <si>
    <t>Date</t>
  </si>
  <si>
    <t>Comment</t>
  </si>
  <si>
    <t>Read</t>
  </si>
  <si>
    <t>Write</t>
  </si>
  <si>
    <t>Tag IndissPlus</t>
  </si>
  <si>
    <t>UO Name</t>
  </si>
  <si>
    <t>UO Path</t>
  </si>
  <si>
    <t>New column…</t>
  </si>
  <si>
    <t>ControlValve</t>
  </si>
  <si>
    <t>MassFlow</t>
  </si>
  <si>
    <t>InletTemperature</t>
  </si>
  <si>
    <t>InletPressure</t>
  </si>
  <si>
    <t>StaticConfiguration</t>
  </si>
  <si>
    <t>ResetStaticConfiguration</t>
  </si>
  <si>
    <t>StaticFlags</t>
  </si>
  <si>
    <t>OutletPressure</t>
  </si>
  <si>
    <t>DeltaPressure</t>
  </si>
  <si>
    <t>Cvn</t>
  </si>
  <si>
    <t>Altitude</t>
  </si>
  <si>
    <t>Opening</t>
  </si>
  <si>
    <t>CharacteristicUsingTabulation</t>
  </si>
  <si>
    <t>CvCurve</t>
  </si>
  <si>
    <t>CvnPercentCurve</t>
  </si>
  <si>
    <t>OpeningCurve</t>
  </si>
  <si>
    <t>C1</t>
  </si>
  <si>
    <t>BlockValvesEnable</t>
  </si>
  <si>
    <t>BlockValvesOpenCloseTimeConstant</t>
  </si>
  <si>
    <t>BypassValveEnable</t>
  </si>
  <si>
    <t>BypassValveCvnMultiplier</t>
  </si>
  <si>
    <t>Direction</t>
  </si>
  <si>
    <t>VolumicFlowComputation</t>
  </si>
  <si>
    <t>CvArcVersion</t>
  </si>
  <si>
    <t>GasComputation</t>
  </si>
  <si>
    <t>FluidNature</t>
  </si>
  <si>
    <t>CriticalLiquidMasoneilan</t>
  </si>
  <si>
    <t>CriticalGasMasoneilan</t>
  </si>
  <si>
    <t>CriticalLiquid</t>
  </si>
  <si>
    <t>CriticalGas</t>
  </si>
  <si>
    <t>Cf</t>
  </si>
  <si>
    <t>DisplayMessages</t>
  </si>
  <si>
    <t>TotalInletPressure</t>
  </si>
  <si>
    <t>TotalOutletPressure</t>
  </si>
  <si>
    <t>VolumicFlow</t>
  </si>
  <si>
    <t>Cv</t>
  </si>
  <si>
    <t>Cgn</t>
  </si>
  <si>
    <t>InconsistentP</t>
  </si>
  <si>
    <t>InconsistentCvSS</t>
  </si>
  <si>
    <t>MaximumFlow</t>
  </si>
  <si>
    <t>BlockValve1Command</t>
  </si>
  <si>
    <t>BlockValve2Command</t>
  </si>
  <si>
    <t>BypassValveCommand</t>
  </si>
  <si>
    <t>BlockValve1Position</t>
  </si>
  <si>
    <t>BlockValve2Position</t>
  </si>
  <si>
    <t>BypassValvePosition</t>
  </si>
  <si>
    <t>BypassValveCvn</t>
  </si>
  <si>
    <t>StaticError</t>
  </si>
  <si>
    <t>RGB</t>
  </si>
  <si>
    <t>CriticalLiquidFlow</t>
  </si>
  <si>
    <t>CriticalGasFlow</t>
  </si>
  <si>
    <t>CriticalValvePressure</t>
  </si>
  <si>
    <t>CriticalPressure</t>
  </si>
  <si>
    <t>VaporPressure</t>
  </si>
  <si>
    <t>VaporFraction</t>
  </si>
  <si>
    <t>Density</t>
  </si>
  <si>
    <t>LiquidDensity</t>
  </si>
  <si>
    <t>GasDensity</t>
  </si>
  <si>
    <t>MolarWeight</t>
  </si>
  <si>
    <t>GasMolarWeight</t>
  </si>
  <si>
    <t>IsFixedFlow</t>
  </si>
  <si>
    <t>FixedFlow</t>
  </si>
  <si>
    <t>IsComputedOpening</t>
  </si>
  <si>
    <t>Alpha</t>
  </si>
  <si>
    <t>Rangeability</t>
  </si>
  <si>
    <t>LinearityLimit</t>
  </si>
  <si>
    <t>TuningCv</t>
  </si>
  <si>
    <t>TuningCvData</t>
  </si>
  <si>
    <t>SplRange</t>
  </si>
  <si>
    <t>value</t>
  </si>
  <si>
    <t>IndissPlus_PID</t>
  </si>
  <si>
    <t>TagComment1</t>
  </si>
  <si>
    <t>TagComment2</t>
  </si>
  <si>
    <t>PVUNIT</t>
  </si>
  <si>
    <t>ESDDisplay</t>
  </si>
  <si>
    <t>ProcessDisplay</t>
  </si>
  <si>
    <t>BLOCK_ID</t>
  </si>
  <si>
    <t>MODE</t>
  </si>
  <si>
    <t>PMODE</t>
  </si>
  <si>
    <t>SMODE</t>
  </si>
  <si>
    <t>ALRM</t>
  </si>
  <si>
    <t>AFS</t>
  </si>
  <si>
    <t>PV</t>
  </si>
  <si>
    <t>SUM</t>
  </si>
  <si>
    <t>SP</t>
  </si>
  <si>
    <t>CSP</t>
  </si>
  <si>
    <t>RSP</t>
  </si>
  <si>
    <t>MA</t>
  </si>
  <si>
    <t>LR</t>
  </si>
  <si>
    <t>PREM</t>
  </si>
  <si>
    <t>DV</t>
  </si>
  <si>
    <t>VEL</t>
  </si>
  <si>
    <t>VN</t>
  </si>
  <si>
    <t>OV</t>
  </si>
  <si>
    <t>FBK</t>
  </si>
  <si>
    <t>TIV</t>
  </si>
  <si>
    <t>HH</t>
  </si>
  <si>
    <t>PH</t>
  </si>
  <si>
    <t>PL</t>
  </si>
  <si>
    <t>LL</t>
  </si>
  <si>
    <t>VL</t>
  </si>
  <si>
    <t>DL</t>
  </si>
  <si>
    <t>PROPORTIONAL</t>
  </si>
  <si>
    <t>INTEGRAL</t>
  </si>
  <si>
    <t>DERIVATIVE</t>
  </si>
  <si>
    <t>P</t>
  </si>
  <si>
    <t>I</t>
  </si>
  <si>
    <t>D</t>
  </si>
  <si>
    <t>GW</t>
  </si>
  <si>
    <t>DB</t>
  </si>
  <si>
    <t>CK</t>
  </si>
  <si>
    <t>CB</t>
  </si>
  <si>
    <t>PreviousPD</t>
  </si>
  <si>
    <t>PD</t>
  </si>
  <si>
    <t>PSW</t>
  </si>
  <si>
    <t>POV</t>
  </si>
  <si>
    <t>TSW</t>
  </si>
  <si>
    <t>SH</t>
  </si>
  <si>
    <t>SL</t>
  </si>
  <si>
    <t>OLH</t>
  </si>
  <si>
    <t>OLL</t>
  </si>
  <si>
    <t>OSH</t>
  </si>
  <si>
    <t>OSL</t>
  </si>
  <si>
    <t>DR</t>
  </si>
  <si>
    <t>ITC</t>
  </si>
  <si>
    <t>PTU</t>
  </si>
  <si>
    <t>ITU</t>
  </si>
  <si>
    <t>DTU</t>
  </si>
  <si>
    <t>FORM</t>
  </si>
  <si>
    <t>PIDALG</t>
  </si>
  <si>
    <t>IOCF</t>
  </si>
  <si>
    <t>SPVLF</t>
  </si>
  <si>
    <t>SPVLV</t>
  </si>
  <si>
    <t>OVVLF</t>
  </si>
  <si>
    <t>OVVLV</t>
  </si>
  <si>
    <t>TTU</t>
  </si>
  <si>
    <t>SPTRK</t>
  </si>
  <si>
    <t>RSPF</t>
  </si>
  <si>
    <t>FBKF</t>
  </si>
  <si>
    <t>HHLLAC</t>
  </si>
  <si>
    <t>HHLLAHYS</t>
  </si>
  <si>
    <t>HLAC</t>
  </si>
  <si>
    <t>HLAHYS</t>
  </si>
  <si>
    <t>VELAC</t>
  </si>
  <si>
    <t>VELAHYS</t>
  </si>
  <si>
    <t>DEVAC</t>
  </si>
  <si>
    <t>DEVAHYS</t>
  </si>
  <si>
    <t>IMANF</t>
  </si>
  <si>
    <t>PV0</t>
  </si>
  <si>
    <t>PV1</t>
  </si>
  <si>
    <t>PV2</t>
  </si>
  <si>
    <t>E1</t>
  </si>
  <si>
    <t>E2</t>
  </si>
  <si>
    <t>SPu</t>
  </si>
  <si>
    <t>OVu</t>
  </si>
  <si>
    <t>DOV</t>
  </si>
  <si>
    <t>AP</t>
  </si>
  <si>
    <t>AI</t>
  </si>
  <si>
    <t>AD</t>
  </si>
  <si>
    <t>IMAN_Name</t>
  </si>
  <si>
    <t>MAN_Name</t>
  </si>
  <si>
    <t>AUT_Name</t>
  </si>
  <si>
    <t>CAS_Name</t>
  </si>
  <si>
    <t>RCAS_Name</t>
  </si>
  <si>
    <t>TRK_Name</t>
  </si>
  <si>
    <t>NR_Name</t>
  </si>
  <si>
    <t>NR_Description</t>
  </si>
  <si>
    <t>HH_Name</t>
  </si>
  <si>
    <t>HH_Description</t>
  </si>
  <si>
    <t>PH_Name</t>
  </si>
  <si>
    <t>PH_Description</t>
  </si>
  <si>
    <t>PL_Name</t>
  </si>
  <si>
    <t>PL_Description</t>
  </si>
  <si>
    <t>LL_Name</t>
  </si>
  <si>
    <t>LL_Description</t>
  </si>
  <si>
    <t>VELP_Name</t>
  </si>
  <si>
    <t>VELP_Description</t>
  </si>
  <si>
    <t>VELM_Name</t>
  </si>
  <si>
    <t>VELM_Description</t>
  </si>
  <si>
    <t>DEVP_Name</t>
  </si>
  <si>
    <t>DEVP_Description</t>
  </si>
  <si>
    <t>DEVM_Name</t>
  </si>
  <si>
    <t>DEVM_Description</t>
  </si>
  <si>
    <t>AcknowledgeAlarmButton</t>
  </si>
  <si>
    <t>WithdrawAllAlarmButton</t>
  </si>
  <si>
    <t>PVAlarms</t>
  </si>
  <si>
    <t>DVAlarms</t>
  </si>
  <si>
    <t>VELAlarms</t>
  </si>
  <si>
    <t>ValveActuator</t>
  </si>
  <si>
    <t>PointDescriptor</t>
  </si>
  <si>
    <t>MainEquipmentDescriptor</t>
  </si>
  <si>
    <t>ValveActuatorType</t>
  </si>
  <si>
    <t>CloseLimitPosition</t>
  </si>
  <si>
    <t>OpenLimitPosition</t>
  </si>
  <si>
    <t>CloseTimeConstant</t>
  </si>
  <si>
    <t>OpenTimeConstant</t>
  </si>
  <si>
    <t>CloseTimeConstantHP</t>
  </si>
  <si>
    <t>OpenTimeConstantHP</t>
  </si>
  <si>
    <t>OpeningTable</t>
  </si>
  <si>
    <t>TableNoHysteresis</t>
  </si>
  <si>
    <t>TableWithHysteresisOpen</t>
  </si>
  <si>
    <t>TableWithHysteresisClose</t>
  </si>
  <si>
    <t>StepValue</t>
  </si>
  <si>
    <t>ESDSensitive</t>
  </si>
  <si>
    <t>ESDAction</t>
  </si>
  <si>
    <t>ResetMode</t>
  </si>
  <si>
    <t>ResetModeHP</t>
  </si>
  <si>
    <t>AuthorizeMode</t>
  </si>
  <si>
    <t>FOFCF</t>
  </si>
  <si>
    <t>CommandMode</t>
  </si>
  <si>
    <t>NPCMode</t>
  </si>
  <si>
    <t>LogicalSwitch</t>
  </si>
  <si>
    <t>LogicalSwitchOperation</t>
  </si>
  <si>
    <t>OpeningCommand</t>
  </si>
  <si>
    <t>AuxOpeningCommand</t>
  </si>
  <si>
    <t>ESDActive</t>
  </si>
  <si>
    <t>ESDActiveHP</t>
  </si>
  <si>
    <t>FailPosition</t>
  </si>
  <si>
    <t>OpenHandSwitch</t>
  </si>
  <si>
    <t>CloseHandSwitch</t>
  </si>
  <si>
    <t>ResetCommand</t>
  </si>
  <si>
    <t>AuthorizeCommand</t>
  </si>
  <si>
    <t>Command</t>
  </si>
  <si>
    <t>Position</t>
  </si>
  <si>
    <t>ESDStatus</t>
  </si>
  <si>
    <t>ESDStatusNewVersion</t>
  </si>
  <si>
    <t>ResetStatus</t>
  </si>
  <si>
    <t>PositionIndicator</t>
  </si>
  <si>
    <t>Zll</t>
  </si>
  <si>
    <t>Zhl</t>
  </si>
  <si>
    <t>IsOpening</t>
  </si>
  <si>
    <t>IsClosing</t>
  </si>
  <si>
    <t>ValveActuatorActivity</t>
  </si>
  <si>
    <t>TMXO</t>
  </si>
  <si>
    <t>TMXC</t>
  </si>
  <si>
    <t>TMXD</t>
  </si>
  <si>
    <t>TMX</t>
  </si>
  <si>
    <t>Discrepancy</t>
  </si>
  <si>
    <t>COUNTD</t>
  </si>
  <si>
    <t>ActuatorCommandPrev</t>
  </si>
  <si>
    <t>FailureRampDuration</t>
  </si>
  <si>
    <t>FailureDelay</t>
  </si>
  <si>
    <t>FailureComment</t>
  </si>
  <si>
    <t>OpeningFailure</t>
  </si>
  <si>
    <t>BlockedOpening</t>
  </si>
  <si>
    <t>BlockedOpeningTarget</t>
  </si>
  <si>
    <t>StickingFailure</t>
  </si>
  <si>
    <t>InstrumentAirFailure</t>
  </si>
  <si>
    <t>PositionIndicatorFailure</t>
  </si>
  <si>
    <t>BlockedPositionIndicator</t>
  </si>
  <si>
    <t>BlockedPositionIndicatorTarget</t>
  </si>
  <si>
    <t>ZllFailure</t>
  </si>
  <si>
    <t>ZllFailurePosition</t>
  </si>
  <si>
    <t>ZhlFailure</t>
  </si>
  <si>
    <t>ZhlFailurePosition</t>
  </si>
  <si>
    <t>LeakageFailure</t>
  </si>
  <si>
    <t>LeakageOpening</t>
  </si>
  <si>
    <t>LeakageOpeningTarget</t>
  </si>
  <si>
    <t>FluidCommand</t>
  </si>
  <si>
    <t>PluggingFailure</t>
  </si>
  <si>
    <t>PluggingMF</t>
  </si>
  <si>
    <t>BatteryLimit</t>
  </si>
  <si>
    <t>Composition</t>
  </si>
  <si>
    <t>CompositionTotal</t>
  </si>
  <si>
    <t>Normalization</t>
  </si>
  <si>
    <t>FlashType</t>
  </si>
  <si>
    <t>Pressure</t>
  </si>
  <si>
    <t>Temperature</t>
  </si>
  <si>
    <t>Enthalpy</t>
  </si>
  <si>
    <t>GasMolFraction</t>
  </si>
  <si>
    <t>Delay</t>
  </si>
  <si>
    <t>RampDuration</t>
  </si>
  <si>
    <t>TargetPressure</t>
  </si>
  <si>
    <t>TargetTemperature</t>
  </si>
  <si>
    <t>TargetEnthalpy</t>
  </si>
  <si>
    <t>TargetGasMolFraction</t>
  </si>
  <si>
    <t>TargetComposition</t>
  </si>
  <si>
    <t>TargetCompositionTotal</t>
  </si>
  <si>
    <t>TargetNormalization</t>
  </si>
  <si>
    <t>PerformCalculation</t>
  </si>
  <si>
    <t>AbortCalculation</t>
  </si>
  <si>
    <t>TimerDelay</t>
  </si>
  <si>
    <t>TimerRamp</t>
  </si>
  <si>
    <t>CompositionElementNumber</t>
  </si>
  <si>
    <t>OldComponentsNumber</t>
  </si>
  <si>
    <t>ThermoStringTable</t>
  </si>
  <si>
    <t>VarSP</t>
  </si>
  <si>
    <t>VarPV</t>
  </si>
  <si>
    <t>Transmitter</t>
  </si>
  <si>
    <t>Descriptor</t>
  </si>
  <si>
    <t>EngineeringUnit</t>
  </si>
  <si>
    <t>UnitConversion</t>
  </si>
  <si>
    <t>Coefficient</t>
  </si>
  <si>
    <t>SecondCoefficient</t>
  </si>
  <si>
    <t>LowerRange</t>
  </si>
  <si>
    <t>UpperRange</t>
  </si>
  <si>
    <t>Clamp</t>
  </si>
  <si>
    <t>SamplingTimeTrans</t>
  </si>
  <si>
    <t>Percentage</t>
  </si>
  <si>
    <t>Type</t>
  </si>
  <si>
    <t>Reset</t>
  </si>
  <si>
    <t>PulseReset</t>
  </si>
  <si>
    <t>SamplingTime</t>
  </si>
  <si>
    <t>ActiveFilter</t>
  </si>
  <si>
    <t>response_time</t>
  </si>
  <si>
    <t>precision</t>
  </si>
  <si>
    <t>Integrator</t>
  </si>
  <si>
    <t>ProcessValue</t>
  </si>
  <si>
    <t>Value</t>
  </si>
  <si>
    <t>Alarm_DeadBand</t>
  </si>
  <si>
    <t>HighAlarmEnable</t>
  </si>
  <si>
    <t>HighAlarm</t>
  </si>
  <si>
    <t>HighAlm_TripPoint</t>
  </si>
  <si>
    <t>HighAlarmWord</t>
  </si>
  <si>
    <t>HighAlarmDate</t>
  </si>
  <si>
    <t>HighAlarmPriority</t>
  </si>
  <si>
    <t>HighText_FG_Colour</t>
  </si>
  <si>
    <t>HighText_BG_Colour</t>
  </si>
  <si>
    <t>LowAlarmEnable</t>
  </si>
  <si>
    <t>LowAlarm</t>
  </si>
  <si>
    <t>LowAlm_TripPoint</t>
  </si>
  <si>
    <t>LowAlarmWord</t>
  </si>
  <si>
    <t>LowAlarmDate</t>
  </si>
  <si>
    <t>LowAlarmPriority</t>
  </si>
  <si>
    <t>LowText_FG_Colour</t>
  </si>
  <si>
    <t>LowText_BG_Colour</t>
  </si>
  <si>
    <t>AckAlarm</t>
  </si>
  <si>
    <t>FailureSelection</t>
  </si>
  <si>
    <t>ActiveFailure</t>
  </si>
  <si>
    <t>BiasValue</t>
  </si>
  <si>
    <t>BiasValueTarget</t>
  </si>
  <si>
    <t>ProportionalAccuracy</t>
  </si>
  <si>
    <t>ProportionalAccuracyTarget</t>
  </si>
  <si>
    <t>AmplitudeRndNoise</t>
  </si>
  <si>
    <t>AmplitudeRndNoiseTarget</t>
  </si>
  <si>
    <t>AmplitudeSinusNoise</t>
  </si>
  <si>
    <t>AmplitudeSinusNoiseTarget</t>
  </si>
  <si>
    <t>Period</t>
  </si>
  <si>
    <t>TimeSinusNoise</t>
  </si>
  <si>
    <t>TimeDrift</t>
  </si>
  <si>
    <t>TimeDriftTarget</t>
  </si>
  <si>
    <t>DriftValue</t>
  </si>
  <si>
    <t>Initialisation</t>
  </si>
  <si>
    <t>Orientation</t>
  </si>
  <si>
    <t>Diameter</t>
  </si>
  <si>
    <t>Length</t>
  </si>
  <si>
    <t>BootHeight</t>
  </si>
  <si>
    <t>BootDiameter</t>
  </si>
  <si>
    <t>InletNozzleLevel</t>
  </si>
  <si>
    <t>ExternalHeatExchangeCoeff</t>
  </si>
  <si>
    <t>WallThickness</t>
  </si>
  <si>
    <t>WallDensity</t>
  </si>
  <si>
    <t>WallSpecificHeatCapacity</t>
  </si>
  <si>
    <t>HeatExchangeComputationType</t>
  </si>
  <si>
    <t>ExternalTemperature</t>
  </si>
  <si>
    <t>InternalConvectionCoeff</t>
  </si>
  <si>
    <t>ExternalConvectionCoeff</t>
  </si>
  <si>
    <t>Power</t>
  </si>
  <si>
    <t>AltitudeComputation</t>
  </si>
  <si>
    <t>Version</t>
  </si>
  <si>
    <t>InletMassFlow</t>
  </si>
  <si>
    <t>Surface</t>
  </si>
  <si>
    <t>HeatCapacity</t>
  </si>
  <si>
    <t>WallHeatCapacity</t>
  </si>
  <si>
    <t>WallTemperature</t>
  </si>
  <si>
    <t>PowerGetFromFluid</t>
  </si>
  <si>
    <t>PowerOut</t>
  </si>
  <si>
    <t>Volume</t>
  </si>
  <si>
    <t>IsThreePhaseModel</t>
  </si>
  <si>
    <t>Error</t>
  </si>
  <si>
    <t>IterationNumber</t>
  </si>
  <si>
    <t>NodeType</t>
  </si>
  <si>
    <t>RelaxationCoefficient</t>
  </si>
  <si>
    <t>Slice</t>
  </si>
  <si>
    <t>NodeMode</t>
  </si>
  <si>
    <t>WorkingMode</t>
  </si>
  <si>
    <t>OutputFlow</t>
  </si>
  <si>
    <t>PressureComputationMethod</t>
  </si>
  <si>
    <t>BSWandGORComputation</t>
  </si>
  <si>
    <t>Thickness</t>
  </si>
  <si>
    <t>InternalConvectionCoeffOLD</t>
  </si>
  <si>
    <t>ExternalConvectionCoeffOLD</t>
  </si>
  <si>
    <t>AuxiliariesCoefficient</t>
  </si>
  <si>
    <t>AuxiliariesSource</t>
  </si>
  <si>
    <t>IsFixedPressure</t>
  </si>
  <si>
    <t>FixedPressure</t>
  </si>
  <si>
    <t>InputFluidTemperature</t>
  </si>
  <si>
    <t>ManifoldTemperature</t>
  </si>
  <si>
    <t>IsolatedManifold</t>
  </si>
  <si>
    <t>FullLiquidManifold</t>
  </si>
  <si>
    <t>IdealDensity</t>
  </si>
  <si>
    <t>GOR</t>
  </si>
  <si>
    <t>BSW</t>
  </si>
  <si>
    <t>FixedTemperatureError</t>
  </si>
  <si>
    <t>ResetManifold</t>
  </si>
  <si>
    <t>ResetPressure</t>
  </si>
  <si>
    <t>ResetTemperature</t>
  </si>
  <si>
    <t>ResetComposition</t>
  </si>
  <si>
    <t>CopyResetCompositionFrom</t>
  </si>
  <si>
    <t>BornierReel</t>
  </si>
  <si>
    <t>Manifold</t>
  </si>
  <si>
    <t>FluidTemperature</t>
  </si>
  <si>
    <t>GasFraction</t>
  </si>
  <si>
    <t>PressureSafetyValve</t>
  </si>
  <si>
    <t>Mode</t>
  </si>
  <si>
    <t>ConfigurationType</t>
  </si>
  <si>
    <t>OrificeArea</t>
  </si>
  <si>
    <t>OpPressureThres</t>
  </si>
  <si>
    <t>ClPressureThres</t>
  </si>
  <si>
    <t>Somme</t>
  </si>
  <si>
    <t>value_1</t>
  </si>
  <si>
    <t>value_2</t>
  </si>
  <si>
    <t>value_3</t>
  </si>
  <si>
    <t>value_4</t>
  </si>
  <si>
    <t>value_5</t>
  </si>
  <si>
    <t>value_6</t>
  </si>
  <si>
    <t>value_7</t>
  </si>
  <si>
    <t>value_8</t>
  </si>
  <si>
    <t>value_9</t>
  </si>
  <si>
    <t>value_10</t>
  </si>
  <si>
    <t>value_11</t>
  </si>
  <si>
    <t>value_12</t>
  </si>
  <si>
    <t>value_13</t>
  </si>
  <si>
    <t>value_14</t>
  </si>
  <si>
    <t>value_15</t>
  </si>
  <si>
    <t>value_16</t>
  </si>
  <si>
    <t>value_17</t>
  </si>
  <si>
    <t>value_18</t>
  </si>
  <si>
    <t>value_19</t>
  </si>
  <si>
    <t>value_20</t>
  </si>
  <si>
    <t>gain_1</t>
  </si>
  <si>
    <t>gain_2</t>
  </si>
  <si>
    <t>gain_3</t>
  </si>
  <si>
    <t>gain_4</t>
  </si>
  <si>
    <t>gain_5</t>
  </si>
  <si>
    <t>gain_6</t>
  </si>
  <si>
    <t>gain_7</t>
  </si>
  <si>
    <t>gain_8</t>
  </si>
  <si>
    <t>gain_9</t>
  </si>
  <si>
    <t>gain_10</t>
  </si>
  <si>
    <t>gain_11</t>
  </si>
  <si>
    <t>gain_12</t>
  </si>
  <si>
    <t>gain_13</t>
  </si>
  <si>
    <t>gain_14</t>
  </si>
  <si>
    <t>gain_15</t>
  </si>
  <si>
    <t>gain_16</t>
  </si>
  <si>
    <t>gain_17</t>
  </si>
  <si>
    <t>gain_18</t>
  </si>
  <si>
    <t>gain_19</t>
  </si>
  <si>
    <t>gain_20</t>
  </si>
  <si>
    <t>result</t>
  </si>
  <si>
    <t>Detail...</t>
  </si>
  <si>
    <t>%</t>
  </si>
  <si>
    <t>PICZ5007</t>
  </si>
  <si>
    <t>RVZ5002S</t>
  </si>
  <si>
    <t>Tag NO.</t>
    <phoneticPr fontId="16" type="noConversion"/>
  </si>
  <si>
    <t>type</t>
    <phoneticPr fontId="16" type="noConversion"/>
  </si>
  <si>
    <t>Length/Hight</t>
    <phoneticPr fontId="16" type="noConversion"/>
  </si>
  <si>
    <t>Diameter</t>
    <phoneticPr fontId="16" type="noConversion"/>
  </si>
  <si>
    <t>Boot hight</t>
    <phoneticPr fontId="16" type="noConversion"/>
  </si>
  <si>
    <t>Boot Diameter</t>
    <phoneticPr fontId="16" type="noConversion"/>
  </si>
  <si>
    <t>Current pressure</t>
    <phoneticPr fontId="16" type="noConversion"/>
  </si>
  <si>
    <t>Current Temp.</t>
    <phoneticPr fontId="16" type="noConversion"/>
  </si>
  <si>
    <t xml:space="preserve">data reference file </t>
    <phoneticPr fontId="16" type="noConversion"/>
  </si>
  <si>
    <t>level nozzle low</t>
    <phoneticPr fontId="16" type="noConversion"/>
  </si>
  <si>
    <t>level nozzle high</t>
    <phoneticPr fontId="16" type="noConversion"/>
  </si>
  <si>
    <t>BOOT level low</t>
    <phoneticPr fontId="16" type="noConversion"/>
  </si>
  <si>
    <t>BOOT level high</t>
    <phoneticPr fontId="16" type="noConversion"/>
  </si>
  <si>
    <t>m</t>
    <phoneticPr fontId="16" type="noConversion"/>
  </si>
  <si>
    <t>%  LC</t>
    <phoneticPr fontId="16" type="noConversion"/>
  </si>
  <si>
    <t>%  LG/LA</t>
    <phoneticPr fontId="16" type="noConversion"/>
  </si>
  <si>
    <t xml:space="preserve">% </t>
    <phoneticPr fontId="16" type="noConversion"/>
  </si>
  <si>
    <t>%</t>
    <phoneticPr fontId="16" type="noConversion"/>
  </si>
  <si>
    <t>DZ2101A</t>
    <phoneticPr fontId="16" type="noConversion"/>
  </si>
  <si>
    <t>DZ2101A-Win.pdf</t>
    <phoneticPr fontId="16" type="noConversion"/>
  </si>
  <si>
    <t>0107-05-21-10014.tif</t>
    <phoneticPr fontId="16" type="noConversion"/>
  </si>
  <si>
    <r>
      <rPr>
        <sz val="10"/>
        <rFont val="宋体"/>
        <family val="3"/>
        <charset val="134"/>
      </rPr>
      <t>电极板高度</t>
    </r>
    <r>
      <rPr>
        <sz val="11"/>
        <color theme="1"/>
        <rFont val="宋体"/>
        <family val="2"/>
        <scheme val="minor"/>
      </rPr>
      <t>3</t>
    </r>
    <r>
      <rPr>
        <sz val="10"/>
        <rFont val="宋体"/>
        <family val="3"/>
        <charset val="134"/>
      </rPr>
      <t>米，从中心上下</t>
    </r>
    <r>
      <rPr>
        <sz val="11"/>
        <color theme="1"/>
        <rFont val="宋体"/>
        <family val="2"/>
        <scheme val="minor"/>
      </rPr>
      <t>1.5m</t>
    </r>
    <phoneticPr fontId="16" type="noConversion"/>
  </si>
  <si>
    <t>DZ2101B</t>
    <phoneticPr fontId="16" type="noConversion"/>
  </si>
  <si>
    <t>DZ2101B-Win.pdf</t>
    <phoneticPr fontId="16" type="noConversion"/>
  </si>
  <si>
    <t>DZ2101C</t>
    <phoneticPr fontId="16" type="noConversion"/>
  </si>
  <si>
    <t>DZ2101C-Win.pdf</t>
    <phoneticPr fontId="16" type="noConversion"/>
  </si>
  <si>
    <t>DZ2102</t>
    <phoneticPr fontId="16" type="noConversion"/>
  </si>
  <si>
    <t>DZ2102-Win.pdf; 0002-05-21-0011.tif</t>
    <phoneticPr fontId="16" type="noConversion"/>
  </si>
  <si>
    <t>DZ2103</t>
  </si>
  <si>
    <t>DZ2103-Win.pdf; 0002-05-21-0001.tif</t>
    <phoneticPr fontId="16" type="noConversion"/>
  </si>
  <si>
    <t>DZ2104</t>
  </si>
  <si>
    <t>0107-05-11-10005</t>
    <phoneticPr fontId="16" type="noConversion"/>
  </si>
  <si>
    <t>DZ2105</t>
  </si>
  <si>
    <t>0107-05-21-0013.tif</t>
    <phoneticPr fontId="16" type="noConversion"/>
  </si>
  <si>
    <t>DZ2107</t>
  </si>
  <si>
    <t>0002-05-21-0008-Old.tif</t>
    <phoneticPr fontId="16" type="noConversion"/>
  </si>
  <si>
    <t>DZ2108</t>
    <phoneticPr fontId="16" type="noConversion"/>
  </si>
  <si>
    <t>Dz2108  Pages from 0662-11562.pdf</t>
  </si>
  <si>
    <t>DZ2113A</t>
    <phoneticPr fontId="16" type="noConversion"/>
  </si>
  <si>
    <t>Dz2113A Pages from 0662-11558.pdf</t>
  </si>
  <si>
    <t>DZ2113B</t>
    <phoneticPr fontId="16" type="noConversion"/>
  </si>
  <si>
    <t>Dz2113B Pages from 0662-11559.pdf</t>
  </si>
  <si>
    <t>DZ2118</t>
    <phoneticPr fontId="16" type="noConversion"/>
  </si>
  <si>
    <t>0003-05-21-0005.tif</t>
  </si>
  <si>
    <t>DZ2120A</t>
    <phoneticPr fontId="16" type="noConversion"/>
  </si>
  <si>
    <t>0002-05-21-0026.tif</t>
    <phoneticPr fontId="16" type="noConversion"/>
  </si>
  <si>
    <t>DZ2120B</t>
    <phoneticPr fontId="16" type="noConversion"/>
  </si>
  <si>
    <t>DZ2151</t>
    <phoneticPr fontId="16" type="noConversion"/>
  </si>
  <si>
    <t>0002-05-11-0024.tif</t>
    <phoneticPr fontId="16" type="noConversion"/>
  </si>
  <si>
    <t>DZ2152</t>
  </si>
  <si>
    <t>0107-05-11-10004.tif; 0120-05-11-10018.tif;0120-05-11-10018.tif</t>
    <phoneticPr fontId="16" type="noConversion"/>
  </si>
  <si>
    <t>DZ2153</t>
  </si>
  <si>
    <t>0002-05-11-0026.tif</t>
  </si>
  <si>
    <t>DZ2174</t>
    <phoneticPr fontId="16" type="noConversion"/>
  </si>
  <si>
    <t>0107-05-11-10002.tif</t>
  </si>
  <si>
    <t>DZ2201</t>
    <phoneticPr fontId="16" type="noConversion"/>
  </si>
  <si>
    <t>0107-05-22-0000.tif</t>
  </si>
  <si>
    <t>DZ2202</t>
  </si>
  <si>
    <t>0002-05-22-0019.tif</t>
  </si>
  <si>
    <t>DZ2851</t>
    <phoneticPr fontId="16" type="noConversion"/>
  </si>
  <si>
    <t>0002-05-18-0005.tif</t>
    <phoneticPr fontId="16" type="noConversion"/>
  </si>
  <si>
    <t>DZ3002</t>
    <phoneticPr fontId="16" type="noConversion"/>
  </si>
  <si>
    <t>DZ3002 - 0002-05-30-0001.tif</t>
  </si>
  <si>
    <t>DZ3004</t>
    <phoneticPr fontId="16" type="noConversion"/>
  </si>
  <si>
    <t>0120-05-10-10007.tif</t>
    <phoneticPr fontId="16" type="noConversion"/>
  </si>
  <si>
    <t>DZ3008</t>
    <phoneticPr fontId="16" type="noConversion"/>
  </si>
  <si>
    <t>0107-05-30-10000.tif</t>
  </si>
  <si>
    <t>No Mark</t>
    <phoneticPr fontId="16" type="noConversion"/>
  </si>
  <si>
    <t>DZ2126</t>
    <phoneticPr fontId="16" type="noConversion"/>
  </si>
  <si>
    <t>0002-05-21-0027.tif</t>
    <phoneticPr fontId="16" type="noConversion"/>
  </si>
  <si>
    <t>DZ2111</t>
  </si>
  <si>
    <t>0003-05-21-0001.tif</t>
  </si>
  <si>
    <t>DZ2109</t>
    <phoneticPr fontId="16" type="noConversion"/>
  </si>
  <si>
    <t>0003-05-21-0011.tif</t>
    <phoneticPr fontId="16" type="noConversion"/>
  </si>
  <si>
    <t>DZ2164</t>
    <phoneticPr fontId="16" type="noConversion"/>
  </si>
  <si>
    <t>DZ2164-ECliq Data.pdf</t>
  </si>
  <si>
    <t>DZ2165</t>
    <phoneticPr fontId="16" type="noConversion"/>
  </si>
  <si>
    <t>DZ2165-ECliq Data.pdf</t>
    <phoneticPr fontId="16" type="noConversion"/>
  </si>
  <si>
    <t>DZ2179</t>
    <phoneticPr fontId="16" type="noConversion"/>
  </si>
  <si>
    <t>A-0110172_RFC_REV_1.pdf, page 122</t>
    <phoneticPr fontId="16" type="noConversion"/>
  </si>
  <si>
    <t>No Mark</t>
    <phoneticPr fontId="16" type="noConversion"/>
  </si>
  <si>
    <t>DZ2127</t>
  </si>
  <si>
    <t>DZ2128</t>
    <phoneticPr fontId="16" type="noConversion"/>
  </si>
  <si>
    <t>DZ2854</t>
    <phoneticPr fontId="16" type="noConversion"/>
  </si>
  <si>
    <t>DZ2854-NL5505-41-second part.pdf, page 1</t>
    <phoneticPr fontId="16" type="noConversion"/>
  </si>
  <si>
    <t>surface</t>
    <phoneticPr fontId="16" type="noConversion"/>
  </si>
  <si>
    <t>Length</t>
    <phoneticPr fontId="16" type="noConversion"/>
  </si>
  <si>
    <t xml:space="preserve">Tubeside DP </t>
    <phoneticPr fontId="16" type="noConversion"/>
  </si>
  <si>
    <t xml:space="preserve">Shellside DP </t>
    <phoneticPr fontId="16" type="noConversion"/>
  </si>
  <si>
    <t>TubeInlet Temp.</t>
    <phoneticPr fontId="16" type="noConversion"/>
  </si>
  <si>
    <t>TubeOutlet Temp.</t>
    <phoneticPr fontId="16" type="noConversion"/>
  </si>
  <si>
    <t>ShellInlet Temp.</t>
    <phoneticPr fontId="16" type="noConversion"/>
  </si>
  <si>
    <t>ShellOutlet Temp.</t>
    <phoneticPr fontId="16" type="noConversion"/>
  </si>
  <si>
    <t>Tube side Current flow</t>
    <phoneticPr fontId="16" type="noConversion"/>
  </si>
  <si>
    <t>Shell side Current flow</t>
    <phoneticPr fontId="16" type="noConversion"/>
  </si>
  <si>
    <t>Current duty</t>
    <phoneticPr fontId="16" type="noConversion"/>
  </si>
  <si>
    <t>Design duty</t>
    <phoneticPr fontId="16" type="noConversion"/>
  </si>
  <si>
    <t>service</t>
    <phoneticPr fontId="16" type="noConversion"/>
  </si>
  <si>
    <t>Shell side Design flow, aircooler air flow</t>
    <phoneticPr fontId="16" type="noConversion"/>
  </si>
  <si>
    <t>Tube side Design flow,  aircooler process flow</t>
    <phoneticPr fontId="16" type="noConversion"/>
  </si>
  <si>
    <t>Tubeside DP, aircooler process side</t>
    <phoneticPr fontId="16" type="noConversion"/>
  </si>
  <si>
    <t>ShellInlet Temp. aircooler air-in</t>
    <phoneticPr fontId="16" type="noConversion"/>
  </si>
  <si>
    <t>TubeInlet Temp. aircooler process-in</t>
    <phoneticPr fontId="16" type="noConversion"/>
  </si>
  <si>
    <t>TubeOutlet Temp. aircooler process-out</t>
    <phoneticPr fontId="16" type="noConversion"/>
  </si>
  <si>
    <t>motor speed</t>
    <phoneticPr fontId="16" type="noConversion"/>
  </si>
  <si>
    <t>m2</t>
    <phoneticPr fontId="16" type="noConversion"/>
  </si>
  <si>
    <t>kPa</t>
    <phoneticPr fontId="16" type="noConversion"/>
  </si>
  <si>
    <t>DEG C</t>
    <phoneticPr fontId="16" type="noConversion"/>
  </si>
  <si>
    <t>kg/h</t>
    <phoneticPr fontId="16" type="noConversion"/>
  </si>
  <si>
    <t>kw</t>
    <phoneticPr fontId="16" type="noConversion"/>
  </si>
  <si>
    <t>MMBTU/HR</t>
    <phoneticPr fontId="16" type="noConversion"/>
  </si>
  <si>
    <t>kg/cm2</t>
    <phoneticPr fontId="16" type="noConversion"/>
  </si>
  <si>
    <t>kcal/h</t>
    <phoneticPr fontId="16" type="noConversion"/>
  </si>
  <si>
    <t>rpm</t>
    <phoneticPr fontId="16" type="noConversion"/>
  </si>
  <si>
    <t>EZ2101A_F</t>
    <phoneticPr fontId="16" type="noConversion"/>
  </si>
  <si>
    <t>EZ2101A-F-Win.pdf, 2/24</t>
    <phoneticPr fontId="16" type="noConversion"/>
  </si>
  <si>
    <t>EZ2102A_D</t>
    <phoneticPr fontId="16" type="noConversion"/>
  </si>
  <si>
    <t>EZ2102A-D-Win.pdf, 2/10</t>
    <phoneticPr fontId="16" type="noConversion"/>
  </si>
  <si>
    <t>EZ2103A_B</t>
    <phoneticPr fontId="16" type="noConversion"/>
  </si>
  <si>
    <t>EZ2103A-B-Win.pdf, 2/16</t>
    <phoneticPr fontId="16" type="noConversion"/>
  </si>
  <si>
    <t>EZ2104A-B-Win.pdf, 2/11</t>
    <phoneticPr fontId="16" type="noConversion"/>
  </si>
  <si>
    <t>EZ2105</t>
    <phoneticPr fontId="16" type="noConversion"/>
  </si>
  <si>
    <t>EZ2105-Win.pdf, 1/6</t>
    <phoneticPr fontId="16" type="noConversion"/>
  </si>
  <si>
    <t>EZ2106</t>
  </si>
  <si>
    <t>EZ2106-Win.pdf, 2/7</t>
    <phoneticPr fontId="16" type="noConversion"/>
  </si>
  <si>
    <t>EZ2107A_B</t>
    <phoneticPr fontId="16" type="noConversion"/>
  </si>
  <si>
    <t>EZ2107A-B-Win.pdf</t>
  </si>
  <si>
    <t>EZ2108A_C</t>
    <phoneticPr fontId="16" type="noConversion"/>
  </si>
  <si>
    <t>EZ2108A-C-Win -- full.pdf, 7/51</t>
    <phoneticPr fontId="16" type="noConversion"/>
  </si>
  <si>
    <t>EZ2110A_D</t>
    <phoneticPr fontId="16" type="noConversion"/>
  </si>
  <si>
    <t>EZ2110A-D-Win.pdf, 3/12, 4/12</t>
    <phoneticPr fontId="16" type="noConversion"/>
  </si>
  <si>
    <t>EZ2111A_B</t>
    <phoneticPr fontId="16" type="noConversion"/>
  </si>
  <si>
    <t>EZ2111A-B-Win.pdf, 1/5</t>
    <phoneticPr fontId="16" type="noConversion"/>
  </si>
  <si>
    <t>EZ2112A-N-Win.pdf</t>
  </si>
  <si>
    <t>EZ2113A_B</t>
  </si>
  <si>
    <t>EZ2113A-B-Win.pdf, 2/5</t>
    <phoneticPr fontId="16" type="noConversion"/>
  </si>
  <si>
    <t>EZ2114</t>
    <phoneticPr fontId="16" type="noConversion"/>
  </si>
  <si>
    <t>EZ2114-Win.pdf</t>
  </si>
  <si>
    <t>EZ2115</t>
    <phoneticPr fontId="16" type="noConversion"/>
  </si>
  <si>
    <t>EZ2115-Win.pdf</t>
    <phoneticPr fontId="16" type="noConversion"/>
  </si>
  <si>
    <t>EZ2116A_C</t>
    <phoneticPr fontId="16" type="noConversion"/>
  </si>
  <si>
    <t>EZ2116A-C-Win.pdf</t>
  </si>
  <si>
    <t>EZ2117A_C</t>
    <phoneticPr fontId="16" type="noConversion"/>
  </si>
  <si>
    <t>EZ2117A-C-Win.pdf</t>
    <phoneticPr fontId="16" type="noConversion"/>
  </si>
  <si>
    <t>EZ2118</t>
    <phoneticPr fontId="16" type="noConversion"/>
  </si>
  <si>
    <t>EZ2118-Win.pdf, 1/4</t>
    <phoneticPr fontId="16" type="noConversion"/>
  </si>
  <si>
    <t>EZ2119A_D</t>
    <phoneticPr fontId="16" type="noConversion"/>
  </si>
  <si>
    <t>EZ2119A-D-Win.pdf, 2/12</t>
    <phoneticPr fontId="16" type="noConversion"/>
  </si>
  <si>
    <t>EZ2120A_F</t>
    <phoneticPr fontId="16" type="noConversion"/>
  </si>
  <si>
    <t>EZ2120A-F-Win.pdf, 2/14</t>
    <phoneticPr fontId="16" type="noConversion"/>
  </si>
  <si>
    <t>EZ2121A_B</t>
  </si>
  <si>
    <t>EZ2121A-B-Win.pdf, 2/6</t>
    <phoneticPr fontId="16" type="noConversion"/>
  </si>
  <si>
    <t>EZ2122</t>
    <phoneticPr fontId="16" type="noConversion"/>
  </si>
  <si>
    <t>EZ2123</t>
    <phoneticPr fontId="16" type="noConversion"/>
  </si>
  <si>
    <t>EZ2125A_B</t>
    <phoneticPr fontId="16" type="noConversion"/>
  </si>
  <si>
    <t>EZ2127</t>
    <phoneticPr fontId="16" type="noConversion"/>
  </si>
  <si>
    <t>EZ2128</t>
  </si>
  <si>
    <t>EZ2128-Win.pdf</t>
  </si>
  <si>
    <t>EZ2131A_B</t>
    <phoneticPr fontId="16" type="noConversion"/>
  </si>
  <si>
    <t>EZ2151A-E-Win.pdf, 2/33</t>
    <phoneticPr fontId="16" type="noConversion"/>
  </si>
  <si>
    <t>EZ2152A-F-Win.pdf, 2/14</t>
    <phoneticPr fontId="16" type="noConversion"/>
  </si>
  <si>
    <t>EZ2153A_B</t>
    <phoneticPr fontId="16" type="noConversion"/>
  </si>
  <si>
    <t>EZ2153A-B.pdf</t>
  </si>
  <si>
    <t>EZ2201A_B</t>
    <phoneticPr fontId="16" type="noConversion"/>
  </si>
  <si>
    <t>EZ2201A-Win.pdf, 2/5</t>
    <phoneticPr fontId="16" type="noConversion"/>
  </si>
  <si>
    <t>EZ2202A_D</t>
    <phoneticPr fontId="16" type="noConversion"/>
  </si>
  <si>
    <t>EZ2202A-D-Win.pdf, 2/10</t>
    <phoneticPr fontId="16" type="noConversion"/>
  </si>
  <si>
    <t>EZ2203A_B</t>
  </si>
  <si>
    <t>EZ2203A-Win.pdf, 2/7</t>
    <phoneticPr fontId="16" type="noConversion"/>
  </si>
  <si>
    <t>EZ2204A-F-Win.pdf, 2/14</t>
    <phoneticPr fontId="16" type="noConversion"/>
  </si>
  <si>
    <t>EZ2205</t>
    <phoneticPr fontId="16" type="noConversion"/>
  </si>
  <si>
    <t>EZ2205-Win, 2/6</t>
    <phoneticPr fontId="16" type="noConversion"/>
  </si>
  <si>
    <t>EZ2206A_T</t>
    <phoneticPr fontId="16" type="noConversion"/>
  </si>
  <si>
    <t>EZ2206A-T-Win, p1</t>
    <phoneticPr fontId="16" type="noConversion"/>
  </si>
  <si>
    <t>EZ2207 Technical Requisition TAR2011.pdf, 22/105</t>
    <phoneticPr fontId="16" type="noConversion"/>
  </si>
  <si>
    <t>EZ2208A_D</t>
    <phoneticPr fontId="16" type="noConversion"/>
  </si>
  <si>
    <t>EZ2208A-D-Win, p2</t>
    <phoneticPr fontId="16" type="noConversion"/>
  </si>
  <si>
    <t>EZ2209A_D</t>
    <phoneticPr fontId="16" type="noConversion"/>
  </si>
  <si>
    <t>EZ2209A-D-Win, p2</t>
    <phoneticPr fontId="16" type="noConversion"/>
  </si>
  <si>
    <t>EZ2124S_T</t>
    <phoneticPr fontId="16" type="noConversion"/>
  </si>
  <si>
    <t>EZ2133</t>
    <phoneticPr fontId="16" type="noConversion"/>
  </si>
  <si>
    <t>EZ2852A_F</t>
    <phoneticPr fontId="16" type="noConversion"/>
  </si>
  <si>
    <t>EZ2129</t>
    <phoneticPr fontId="16" type="noConversion"/>
  </si>
  <si>
    <t>EZ2130</t>
    <phoneticPr fontId="16" type="noConversion"/>
  </si>
  <si>
    <t>EZ2151H</t>
    <phoneticPr fontId="16" type="noConversion"/>
  </si>
  <si>
    <t>EZ2151H-Win.pdf</t>
  </si>
  <si>
    <t>EZ2152H</t>
    <phoneticPr fontId="16" type="noConversion"/>
  </si>
  <si>
    <t>EZ2154A_B</t>
    <phoneticPr fontId="16" type="noConversion"/>
  </si>
  <si>
    <t>Comment</t>
    <phoneticPr fontId="16" type="noConversion"/>
  </si>
  <si>
    <t>CV</t>
    <phoneticPr fontId="16" type="noConversion"/>
  </si>
  <si>
    <t>Failure mode</t>
    <phoneticPr fontId="16" type="noConversion"/>
  </si>
  <si>
    <t>Opentime</t>
    <phoneticPr fontId="16" type="noConversion"/>
  </si>
  <si>
    <t>Closetime</t>
    <phoneticPr fontId="16" type="noConversion"/>
  </si>
  <si>
    <t>Current opening position</t>
    <phoneticPr fontId="16" type="noConversion"/>
  </si>
  <si>
    <t>Current flow</t>
    <phoneticPr fontId="16" type="noConversion"/>
  </si>
  <si>
    <t>InletPressure</t>
    <phoneticPr fontId="16" type="noConversion"/>
  </si>
  <si>
    <t>OutletPressure</t>
    <phoneticPr fontId="16" type="noConversion"/>
  </si>
  <si>
    <t>DP</t>
    <phoneticPr fontId="16" type="noConversion"/>
  </si>
  <si>
    <t>Characteristic</t>
    <phoneticPr fontId="16" type="noConversion"/>
  </si>
  <si>
    <t>Fail Position</t>
    <phoneticPr fontId="16" type="noConversion"/>
  </si>
  <si>
    <t>ESDAction</t>
    <phoneticPr fontId="16" type="noConversion"/>
  </si>
  <si>
    <t>open time</t>
    <phoneticPr fontId="16" type="noConversion"/>
  </si>
  <si>
    <t>close time</t>
    <phoneticPr fontId="16" type="noConversion"/>
  </si>
  <si>
    <t>Normal condition</t>
    <phoneticPr fontId="16" type="noConversion"/>
  </si>
  <si>
    <t>block valve</t>
    <phoneticPr fontId="16" type="noConversion"/>
  </si>
  <si>
    <t>bypass valve</t>
    <phoneticPr fontId="16" type="noConversion"/>
  </si>
  <si>
    <t>p&amp;id number</t>
    <phoneticPr fontId="16" type="noConversion"/>
  </si>
  <si>
    <t>gal/min</t>
    <phoneticPr fontId="16" type="noConversion"/>
  </si>
  <si>
    <t>second</t>
    <phoneticPr fontId="16" type="noConversion"/>
  </si>
  <si>
    <t>GPM</t>
    <phoneticPr fontId="16" type="noConversion"/>
  </si>
  <si>
    <t>BPH</t>
    <phoneticPr fontId="16" type="noConversion"/>
  </si>
  <si>
    <t>psig</t>
    <phoneticPr fontId="16" type="noConversion"/>
  </si>
  <si>
    <t>psi</t>
    <phoneticPr fontId="16" type="noConversion"/>
  </si>
  <si>
    <t>s</t>
    <phoneticPr fontId="16" type="noConversion"/>
  </si>
  <si>
    <t>DP, bar</t>
    <phoneticPr fontId="16" type="noConversion"/>
  </si>
  <si>
    <t>1=yes</t>
    <phoneticPr fontId="16" type="noConversion"/>
  </si>
  <si>
    <t>FV51004</t>
  </si>
  <si>
    <t>A_FV51004</t>
  </si>
  <si>
    <t>FCVZ3004</t>
    <phoneticPr fontId="16" type="noConversion"/>
  </si>
  <si>
    <t>Datasheets FCVz3004-3010-2066-2067 part 2.pdf, 2/9</t>
    <phoneticPr fontId="16" type="noConversion"/>
  </si>
  <si>
    <t>FCVZ3010</t>
    <phoneticPr fontId="16" type="noConversion"/>
  </si>
  <si>
    <t>Datasheets FCVz3004-3010-2066-2067 part 2.pdf, 3/9</t>
    <phoneticPr fontId="16" type="noConversion"/>
  </si>
  <si>
    <t>FCVZ2066</t>
    <phoneticPr fontId="16" type="noConversion"/>
  </si>
  <si>
    <t>Datasheets FCVz3004-3010-2066-2067 part 2.pdf, 4/9</t>
    <phoneticPr fontId="16" type="noConversion"/>
  </si>
  <si>
    <t>FCVZ2067</t>
  </si>
  <si>
    <t>Datasheets FCVz3004-3010-2066-2067 part 2.pdf, 5/9</t>
    <phoneticPr fontId="16" type="noConversion"/>
  </si>
  <si>
    <t>FV2106</t>
    <phoneticPr fontId="16" type="noConversion"/>
  </si>
  <si>
    <t>Datasheets FCVz3004-3010-2066-2067 part 2.pdf, 6/9</t>
    <phoneticPr fontId="16" type="noConversion"/>
  </si>
  <si>
    <t>FVZ5065</t>
    <phoneticPr fontId="16" type="noConversion"/>
  </si>
  <si>
    <t>Datasheets FCVz3004-3010-2066-2067 part 2.pdf, 8/9</t>
    <phoneticPr fontId="16" type="noConversion"/>
  </si>
  <si>
    <t>Datasheets FCVz3004-3010-2066-2067.pdf,2/7  NL5618-00_J_02_0002.pdf, 30/56</t>
    <phoneticPr fontId="16" type="noConversion"/>
  </si>
  <si>
    <t>eq%</t>
    <phoneticPr fontId="16" type="noConversion"/>
  </si>
  <si>
    <t>close</t>
    <phoneticPr fontId="16" type="noConversion"/>
  </si>
  <si>
    <t>no</t>
    <phoneticPr fontId="16" type="noConversion"/>
  </si>
  <si>
    <t>05-22-0001</t>
    <phoneticPr fontId="16" type="noConversion"/>
  </si>
  <si>
    <t>Datasheets FCVz3004-3010-2066-2067.pdf,3/7  NL5618-00_J_02_0002.pdf, 34/56</t>
    <phoneticPr fontId="16" type="noConversion"/>
  </si>
  <si>
    <t>05-22-0003</t>
    <phoneticPr fontId="16" type="noConversion"/>
  </si>
  <si>
    <t>Datasheets FCVz3004-3010-2066-2067.pdf,4/7 NL5618-00_J_02_0002.pdf, 38/56</t>
    <phoneticPr fontId="16" type="noConversion"/>
  </si>
  <si>
    <t>01-22-0003</t>
    <phoneticPr fontId="16" type="noConversion"/>
  </si>
  <si>
    <t>Datasheets FCVz3004-3010-2066-2067.pdf,5/7 NL5618-00_J_02_0002.pdf, 42/56</t>
    <phoneticPr fontId="16" type="noConversion"/>
  </si>
  <si>
    <t>Datasheets FCVz3004-3010-2066-2067.pdf,6/7 NL5618-00_J_02_0002.pdf, 46/56</t>
    <phoneticPr fontId="16" type="noConversion"/>
  </si>
  <si>
    <t>FICZ5065</t>
    <phoneticPr fontId="16" type="noConversion"/>
  </si>
  <si>
    <t>Datasheets FCVz3004-3010-2066-2067.pdf,7/7 NL5618-00_J_02_0002.pdf, 51/56</t>
    <phoneticPr fontId="16" type="noConversion"/>
  </si>
  <si>
    <t>05-10-0011</t>
    <phoneticPr fontId="16" type="noConversion"/>
  </si>
  <si>
    <t>FCVZ1011</t>
    <phoneticPr fontId="16" type="noConversion"/>
  </si>
  <si>
    <t>FCVZ1008-11-101 and LCVZ1044.pdf, 1/12</t>
    <phoneticPr fontId="16" type="noConversion"/>
  </si>
  <si>
    <t>05-21-0005</t>
    <phoneticPr fontId="16" type="noConversion"/>
  </si>
  <si>
    <t>FCVZ1008</t>
    <phoneticPr fontId="16" type="noConversion"/>
  </si>
  <si>
    <t>FCVZ1008-11-101 and LCVZ1044.pdf, 2/12</t>
    <phoneticPr fontId="16" type="noConversion"/>
  </si>
  <si>
    <t>FCVZ10101</t>
    <phoneticPr fontId="16" type="noConversion"/>
  </si>
  <si>
    <t>FCVZ1008-11-101 and LCVZ1044.pdf, 3/12</t>
    <phoneticPr fontId="16" type="noConversion"/>
  </si>
  <si>
    <t>05-21-0019</t>
    <phoneticPr fontId="16" type="noConversion"/>
  </si>
  <si>
    <t>FCVZ1008-11-101 and LCVZ1044.pdf, 4/12</t>
    <phoneticPr fontId="16" type="noConversion"/>
  </si>
  <si>
    <t>FCVZ1062</t>
  </si>
  <si>
    <t>FCVZ1062.pdf</t>
    <phoneticPr fontId="16" type="noConversion"/>
  </si>
  <si>
    <t>FCVZ1094</t>
  </si>
  <si>
    <t>FCVZ1094-95.pdf, 4/8</t>
    <phoneticPr fontId="16" type="noConversion"/>
  </si>
  <si>
    <t>Linear</t>
    <phoneticPr fontId="16" type="noConversion"/>
  </si>
  <si>
    <t>FCVZ1095</t>
  </si>
  <si>
    <t>FCVZ1094-95.pdf, 8/8</t>
    <phoneticPr fontId="16" type="noConversion"/>
  </si>
  <si>
    <t>yes</t>
    <phoneticPr fontId="16" type="noConversion"/>
  </si>
  <si>
    <t>05-21-0008</t>
    <phoneticPr fontId="16" type="noConversion"/>
  </si>
  <si>
    <t>FCVZ2003</t>
  </si>
  <si>
    <t>FCVZ2003.pdf; page 3 and 4</t>
    <phoneticPr fontId="16" type="noConversion"/>
  </si>
  <si>
    <t>05-11-0001</t>
    <phoneticPr fontId="16" type="noConversion"/>
  </si>
  <si>
    <t>FCVZ2065</t>
  </si>
  <si>
    <t>FCVZ2065.pdf, 4/4</t>
    <phoneticPr fontId="16" type="noConversion"/>
  </si>
  <si>
    <t>FICZ1002</t>
  </si>
  <si>
    <t>FVZ1002</t>
    <phoneticPr fontId="16" type="noConversion"/>
  </si>
  <si>
    <t>FICZ1002.pdf, 3/9 &amp;  5/9</t>
    <phoneticPr fontId="16" type="noConversion"/>
  </si>
  <si>
    <t>05-21-0002</t>
    <phoneticPr fontId="16" type="noConversion"/>
  </si>
  <si>
    <t>FICZ1045</t>
  </si>
  <si>
    <t>FICZ1045.pdf</t>
  </si>
  <si>
    <t>FICZ1060</t>
    <phoneticPr fontId="16" type="noConversion"/>
  </si>
  <si>
    <t>FICZ1060.pdf</t>
  </si>
  <si>
    <t>FICZ1069</t>
  </si>
  <si>
    <t>FICZ1069-70-71.pdf; 2/7</t>
    <phoneticPr fontId="16" type="noConversion"/>
  </si>
  <si>
    <t>FICZ1070</t>
  </si>
  <si>
    <t>FVZ1070</t>
    <phoneticPr fontId="16" type="noConversion"/>
  </si>
  <si>
    <t>FICZ1069-70-71.pdf; 3/7</t>
    <phoneticPr fontId="16" type="noConversion"/>
  </si>
  <si>
    <t>FICZ1071</t>
  </si>
  <si>
    <t>FVZ1071</t>
  </si>
  <si>
    <t>FICZ1069-70-71.pdf; 5/7</t>
    <phoneticPr fontId="16" type="noConversion"/>
  </si>
  <si>
    <t>FICZ1072</t>
    <phoneticPr fontId="16" type="noConversion"/>
  </si>
  <si>
    <t>FICZ1072-ECliq.pdf</t>
  </si>
  <si>
    <t>FICZ2010</t>
  </si>
  <si>
    <t>FVZ2010</t>
    <phoneticPr fontId="16" type="noConversion"/>
  </si>
  <si>
    <t>FICZ2010.pdf, 2/4</t>
    <phoneticPr fontId="16" type="noConversion"/>
  </si>
  <si>
    <t>05-11-0002</t>
    <phoneticPr fontId="16" type="noConversion"/>
  </si>
  <si>
    <t>FICZ2011</t>
  </si>
  <si>
    <t>FICZ2011.pdf</t>
  </si>
  <si>
    <t>FICA1001</t>
    <phoneticPr fontId="16" type="noConversion"/>
  </si>
  <si>
    <t>FV1001-17-18-19-24.pdf, 3/17</t>
    <phoneticPr fontId="16" type="noConversion"/>
  </si>
  <si>
    <t>FITC1002</t>
    <phoneticPr fontId="16" type="noConversion"/>
  </si>
  <si>
    <t>FIC1015</t>
    <phoneticPr fontId="16" type="noConversion"/>
  </si>
  <si>
    <t>FICZ1017</t>
    <phoneticPr fontId="16" type="noConversion"/>
  </si>
  <si>
    <t>FVZ1017</t>
    <phoneticPr fontId="16" type="noConversion"/>
  </si>
  <si>
    <t>open</t>
    <phoneticPr fontId="16" type="noConversion"/>
  </si>
  <si>
    <t>FIC1018</t>
    <phoneticPr fontId="16" type="noConversion"/>
  </si>
  <si>
    <t>FIC1019</t>
    <phoneticPr fontId="16" type="noConversion"/>
  </si>
  <si>
    <t>FVZ1019</t>
    <phoneticPr fontId="16" type="noConversion"/>
  </si>
  <si>
    <t>FITC1023</t>
    <phoneticPr fontId="16" type="noConversion"/>
  </si>
  <si>
    <t>FITC1024</t>
    <phoneticPr fontId="16" type="noConversion"/>
  </si>
  <si>
    <t>FVZ1024_1</t>
    <phoneticPr fontId="16" type="noConversion"/>
  </si>
  <si>
    <t>05-21-0009</t>
    <phoneticPr fontId="16" type="noConversion"/>
  </si>
  <si>
    <t>FVZ1024</t>
    <phoneticPr fontId="16" type="noConversion"/>
  </si>
  <si>
    <t>FITC1025</t>
    <phoneticPr fontId="16" type="noConversion"/>
  </si>
  <si>
    <t>FIC10?</t>
    <phoneticPr fontId="16" type="noConversion"/>
  </si>
  <si>
    <t>FV2306</t>
    <phoneticPr fontId="16" type="noConversion"/>
  </si>
  <si>
    <t>FV2306.pdf, 1/4</t>
    <phoneticPr fontId="16" type="noConversion"/>
  </si>
  <si>
    <t>FV2307</t>
    <phoneticPr fontId="16" type="noConversion"/>
  </si>
  <si>
    <t>FV2307-ECliq.pdf</t>
    <phoneticPr fontId="16" type="noConversion"/>
  </si>
  <si>
    <t>FV2308</t>
  </si>
  <si>
    <t>FV2308-ECliq.pdf</t>
  </si>
  <si>
    <t>FVZ1032</t>
  </si>
  <si>
    <t>FVZ1032until39.pdf, 5/5</t>
    <phoneticPr fontId="16" type="noConversion"/>
  </si>
  <si>
    <t>05-21-0010</t>
    <phoneticPr fontId="16" type="noConversion"/>
  </si>
  <si>
    <t>FVZ1033</t>
    <phoneticPr fontId="16" type="noConversion"/>
  </si>
  <si>
    <t>FVZ1034</t>
  </si>
  <si>
    <t>FVZ1035</t>
  </si>
  <si>
    <t>FVZ1036</t>
  </si>
  <si>
    <t>FVZ1037</t>
  </si>
  <si>
    <t>FVZ1038</t>
  </si>
  <si>
    <t>FVZ1039</t>
  </si>
  <si>
    <t>FVZ1084</t>
    <phoneticPr fontId="16" type="noConversion"/>
  </si>
  <si>
    <t>FVZ1084.pdf</t>
  </si>
  <si>
    <t>FVZ1085A</t>
    <phoneticPr fontId="16" type="noConversion"/>
  </si>
  <si>
    <t>FVZ1085A.pdf</t>
    <phoneticPr fontId="16" type="noConversion"/>
  </si>
  <si>
    <t>FVZ1086</t>
    <phoneticPr fontId="16" type="noConversion"/>
  </si>
  <si>
    <t>FVZ1086.pdf</t>
  </si>
  <si>
    <t>05-21-0003</t>
    <phoneticPr fontId="16" type="noConversion"/>
  </si>
  <si>
    <t>FVZ2002</t>
    <phoneticPr fontId="16" type="noConversion"/>
  </si>
  <si>
    <t>FVZ2002.pdf, 3/4</t>
    <phoneticPr fontId="16" type="noConversion"/>
  </si>
  <si>
    <t>FVZ2011</t>
  </si>
  <si>
    <t>LCVZ2002</t>
    <phoneticPr fontId="16" type="noConversion"/>
  </si>
  <si>
    <t>LCVZ2004</t>
  </si>
  <si>
    <t>LCVZ2007</t>
    <phoneticPr fontId="16" type="noConversion"/>
  </si>
  <si>
    <t>LCVZ2010</t>
  </si>
  <si>
    <t>?</t>
    <phoneticPr fontId="16" type="noConversion"/>
  </si>
  <si>
    <t>FIC3002</t>
    <phoneticPr fontId="16" type="noConversion"/>
  </si>
  <si>
    <t>FVZ3002</t>
  </si>
  <si>
    <t>FVZ3002-3-6-7 and 3013till20.pdf, 2/15      LICZ3009 (new FITZ3008).pdf, 1/2</t>
    <phoneticPr fontId="16" type="noConversion"/>
  </si>
  <si>
    <t>FIC3003</t>
  </si>
  <si>
    <t>FVZ3003</t>
  </si>
  <si>
    <t>FIC3006</t>
    <phoneticPr fontId="16" type="noConversion"/>
  </si>
  <si>
    <t>FVZ3006</t>
  </si>
  <si>
    <t>FIC3007</t>
  </si>
  <si>
    <t>FVZ3007</t>
  </si>
  <si>
    <t>05-22-0002</t>
    <phoneticPr fontId="16" type="noConversion"/>
  </si>
  <si>
    <t>FICA3013</t>
    <phoneticPr fontId="16" type="noConversion"/>
  </si>
  <si>
    <t>FVZ3013</t>
  </si>
  <si>
    <t>05-22-0004</t>
  </si>
  <si>
    <t>FICA3014</t>
  </si>
  <si>
    <t>FVZ3014</t>
  </si>
  <si>
    <t>FICA3015</t>
  </si>
  <si>
    <t>FVZ3015</t>
  </si>
  <si>
    <t>FICA3016</t>
  </si>
  <si>
    <t>FVZ3016</t>
  </si>
  <si>
    <t>FICA3017</t>
  </si>
  <si>
    <t>FVZ3017</t>
  </si>
  <si>
    <t>FICA3018</t>
  </si>
  <si>
    <t>FVZ3018</t>
  </si>
  <si>
    <t>FICA3019</t>
  </si>
  <si>
    <t>FVZ3019</t>
  </si>
  <si>
    <t>FICA3020</t>
  </si>
  <si>
    <t>FVZ3020</t>
  </si>
  <si>
    <t>LIC3003</t>
    <phoneticPr fontId="16" type="noConversion"/>
  </si>
  <si>
    <t>LVZ3003</t>
  </si>
  <si>
    <t>LIC3006</t>
    <phoneticPr fontId="16" type="noConversion"/>
  </si>
  <si>
    <t>LVZ3006</t>
  </si>
  <si>
    <t>LICA3008</t>
    <phoneticPr fontId="16" type="noConversion"/>
  </si>
  <si>
    <t>LVZ3008</t>
  </si>
  <si>
    <t>LICZ3009</t>
  </si>
  <si>
    <t>FCVZ3008</t>
    <phoneticPr fontId="16" type="noConversion"/>
  </si>
  <si>
    <t>LIC3012</t>
    <phoneticPr fontId="16" type="noConversion"/>
  </si>
  <si>
    <t>LVZ3012</t>
  </si>
  <si>
    <t>HCVZ1056</t>
    <phoneticPr fontId="16" type="noConversion"/>
  </si>
  <si>
    <t>HCVZ1056-58 (part of PICZ1053).pdf, 2/3</t>
    <phoneticPr fontId="16" type="noConversion"/>
  </si>
  <si>
    <t>HCVZ1058</t>
    <phoneticPr fontId="16" type="noConversion"/>
  </si>
  <si>
    <t>HCVZ1056-58 (part of PICZ1053).pdf, 3/3</t>
    <phoneticPr fontId="16" type="noConversion"/>
  </si>
  <si>
    <t>PIC1017</t>
    <phoneticPr fontId="16" type="noConversion"/>
  </si>
  <si>
    <t>PCVZ1017</t>
    <phoneticPr fontId="16" type="noConversion"/>
  </si>
  <si>
    <t>HICZ1018-19-22-23.pdf,3/12                 TVZ1001-09-12.pdf,3/7&amp;5/7</t>
    <phoneticPr fontId="16" type="noConversion"/>
  </si>
  <si>
    <t>05-21-0011</t>
    <phoneticPr fontId="16" type="noConversion"/>
  </si>
  <si>
    <t>TIC1001</t>
    <phoneticPr fontId="16" type="noConversion"/>
  </si>
  <si>
    <t>TVZ1001</t>
    <phoneticPr fontId="16" type="noConversion"/>
  </si>
  <si>
    <t>TIC1007</t>
    <phoneticPr fontId="16" type="noConversion"/>
  </si>
  <si>
    <t>TIC1010</t>
    <phoneticPr fontId="16" type="noConversion"/>
  </si>
  <si>
    <t>TVZ1010</t>
    <phoneticPr fontId="16" type="noConversion"/>
  </si>
  <si>
    <t>05-21-0006</t>
    <phoneticPr fontId="16" type="noConversion"/>
  </si>
  <si>
    <t>TIC1009</t>
    <phoneticPr fontId="16" type="noConversion"/>
  </si>
  <si>
    <t>TVZ1009</t>
    <phoneticPr fontId="16" type="noConversion"/>
  </si>
  <si>
    <t>TIC1008</t>
    <phoneticPr fontId="16" type="noConversion"/>
  </si>
  <si>
    <t>TVZ1008</t>
    <phoneticPr fontId="16" type="noConversion"/>
  </si>
  <si>
    <t>TIC1012</t>
    <phoneticPr fontId="16" type="noConversion"/>
  </si>
  <si>
    <t>TVZ1012</t>
    <phoneticPr fontId="16" type="noConversion"/>
  </si>
  <si>
    <t>05-21-0007</t>
    <phoneticPr fontId="16" type="noConversion"/>
  </si>
  <si>
    <t>HIC1022</t>
    <phoneticPr fontId="16" type="noConversion"/>
  </si>
  <si>
    <t>HVZ1022</t>
    <phoneticPr fontId="16" type="noConversion"/>
  </si>
  <si>
    <t>HIC1023</t>
    <phoneticPr fontId="16" type="noConversion"/>
  </si>
  <si>
    <t>HVZ1023</t>
  </si>
  <si>
    <t>HIC1018</t>
    <phoneticPr fontId="16" type="noConversion"/>
  </si>
  <si>
    <t>HVZ1018</t>
    <phoneticPr fontId="16" type="noConversion"/>
  </si>
  <si>
    <t>eq%</t>
    <phoneticPr fontId="16" type="noConversion"/>
  </si>
  <si>
    <t>open</t>
    <phoneticPr fontId="16" type="noConversion"/>
  </si>
  <si>
    <t>yes</t>
    <phoneticPr fontId="16" type="noConversion"/>
  </si>
  <si>
    <t>05-21-0004</t>
    <phoneticPr fontId="16" type="noConversion"/>
  </si>
  <si>
    <t>HIC1019</t>
    <phoneticPr fontId="16" type="noConversion"/>
  </si>
  <si>
    <t>HVZ1019</t>
  </si>
  <si>
    <t>XCV1005</t>
    <phoneticPr fontId="16" type="noConversion"/>
  </si>
  <si>
    <t>XCVZ1005</t>
    <phoneticPr fontId="16" type="noConversion"/>
  </si>
  <si>
    <t>05-21-0008</t>
    <phoneticPr fontId="16" type="noConversion"/>
  </si>
  <si>
    <t>XCV1006</t>
  </si>
  <si>
    <t>XCV1007</t>
  </si>
  <si>
    <t>XCVZ1007</t>
    <phoneticPr fontId="16" type="noConversion"/>
  </si>
  <si>
    <t>close</t>
    <phoneticPr fontId="16" type="noConversion"/>
  </si>
  <si>
    <t>05-21-0011</t>
    <phoneticPr fontId="16" type="noConversion"/>
  </si>
  <si>
    <t>FICZ1045</t>
    <phoneticPr fontId="16" type="noConversion"/>
  </si>
  <si>
    <t>FCVZ1045</t>
    <phoneticPr fontId="16" type="noConversion"/>
  </si>
  <si>
    <t>05-21-0005</t>
    <phoneticPr fontId="16" type="noConversion"/>
  </si>
  <si>
    <t>HIC1047</t>
    <phoneticPr fontId="16" type="noConversion"/>
  </si>
  <si>
    <t>HCVZ1047</t>
    <phoneticPr fontId="16" type="noConversion"/>
  </si>
  <si>
    <t>05-21-0010</t>
    <phoneticPr fontId="16" type="noConversion"/>
  </si>
  <si>
    <t>XCV3011A</t>
    <phoneticPr fontId="16" type="noConversion"/>
  </si>
  <si>
    <t>XCV3000A</t>
    <phoneticPr fontId="16" type="noConversion"/>
  </si>
  <si>
    <t>HICZ3004</t>
    <phoneticPr fontId="16" type="noConversion"/>
  </si>
  <si>
    <t>HCV3004</t>
    <phoneticPr fontId="16" type="noConversion"/>
  </si>
  <si>
    <t>HICZ3004.pdf, 2/2</t>
    <phoneticPr fontId="16" type="noConversion"/>
  </si>
  <si>
    <t>05-22-0003</t>
    <phoneticPr fontId="16" type="noConversion"/>
  </si>
  <si>
    <t>LCVZ1052-NL550543-A0110172.pdf</t>
    <phoneticPr fontId="16" type="noConversion"/>
  </si>
  <si>
    <t>05-21-0009</t>
    <phoneticPr fontId="16" type="noConversion"/>
  </si>
  <si>
    <t>LCVZ2007.pdf, 2/3</t>
    <phoneticPr fontId="16" type="noConversion"/>
  </si>
  <si>
    <t>no</t>
    <phoneticPr fontId="16" type="noConversion"/>
  </si>
  <si>
    <t>05-11-0002</t>
    <phoneticPr fontId="16" type="noConversion"/>
  </si>
  <si>
    <t>LHCIZV5008</t>
    <phoneticPr fontId="16" type="noConversion"/>
  </si>
  <si>
    <t>LHCIZ5008.pdf</t>
  </si>
  <si>
    <t>LICAZ1031</t>
    <phoneticPr fontId="16" type="noConversion"/>
  </si>
  <si>
    <t>LICAZ1031.pdf</t>
  </si>
  <si>
    <t>LICAZ1032</t>
  </si>
  <si>
    <t>LICAZ1032.pdf</t>
  </si>
  <si>
    <t>LICAZ2002</t>
    <phoneticPr fontId="16" type="noConversion"/>
  </si>
  <si>
    <t>LVZ2002</t>
    <phoneticPr fontId="16" type="noConversion"/>
  </si>
  <si>
    <t>LICAZ2002.pdf</t>
  </si>
  <si>
    <t>LICAZ2004</t>
  </si>
  <si>
    <t>LVZ2004</t>
    <phoneticPr fontId="16" type="noConversion"/>
  </si>
  <si>
    <t>LICAZ2004.pdf</t>
  </si>
  <si>
    <t>LICAZ3006</t>
  </si>
  <si>
    <t>LICAZ3006.pdf</t>
    <phoneticPr fontId="16" type="noConversion"/>
  </si>
  <si>
    <t>LICAZ4001</t>
  </si>
  <si>
    <t>LVZ4001</t>
    <phoneticPr fontId="16" type="noConversion"/>
  </si>
  <si>
    <t>LICAZ4001.pdf</t>
  </si>
  <si>
    <t>05-18-0001</t>
    <phoneticPr fontId="16" type="noConversion"/>
  </si>
  <si>
    <t>LICAZ4003</t>
  </si>
  <si>
    <t>LVZ4003</t>
    <phoneticPr fontId="16" type="noConversion"/>
  </si>
  <si>
    <t>LICAZ4003.pdf</t>
    <phoneticPr fontId="16" type="noConversion"/>
  </si>
  <si>
    <t>LICZ1005</t>
    <phoneticPr fontId="16" type="noConversion"/>
  </si>
  <si>
    <t>LVZ1005</t>
    <phoneticPr fontId="16" type="noConversion"/>
  </si>
  <si>
    <t>LICZ1005.pdf</t>
  </si>
  <si>
    <t>05-21-0003</t>
    <phoneticPr fontId="16" type="noConversion"/>
  </si>
  <si>
    <t>LICZ1019</t>
    <phoneticPr fontId="16" type="noConversion"/>
  </si>
  <si>
    <t>LVZ1019</t>
    <phoneticPr fontId="16" type="noConversion"/>
  </si>
  <si>
    <t>LICZ1019 - A-01101080_RFC_TOTAAL_RevB.pdf, 112/122</t>
    <phoneticPr fontId="16" type="noConversion"/>
  </si>
  <si>
    <t>LICZ1024</t>
  </si>
  <si>
    <t>LVZ1024A</t>
    <phoneticPr fontId="16" type="noConversion"/>
  </si>
  <si>
    <t>LICZ1024.pdf, 3/4</t>
    <phoneticPr fontId="16" type="noConversion"/>
  </si>
  <si>
    <t>Linear</t>
    <phoneticPr fontId="16" type="noConversion"/>
  </si>
  <si>
    <t>LVZ1024B</t>
    <phoneticPr fontId="16" type="noConversion"/>
  </si>
  <si>
    <t>LICZ1028</t>
  </si>
  <si>
    <t>LVZ1028</t>
    <phoneticPr fontId="16" type="noConversion"/>
  </si>
  <si>
    <t>LICZ1028.pdf</t>
    <phoneticPr fontId="16" type="noConversion"/>
  </si>
  <si>
    <t>LICZ1033</t>
  </si>
  <si>
    <t>LICZ1033.pdf</t>
    <phoneticPr fontId="16" type="noConversion"/>
  </si>
  <si>
    <t>05-21-0009</t>
  </si>
  <si>
    <t>LICZ1034</t>
  </si>
  <si>
    <t>LICZ1034.pdf</t>
  </si>
  <si>
    <t>LICZ1043</t>
  </si>
  <si>
    <t>LVZ1043</t>
    <phoneticPr fontId="16" type="noConversion"/>
  </si>
  <si>
    <t>LICZ1043.pdf</t>
    <phoneticPr fontId="16" type="noConversion"/>
  </si>
  <si>
    <t>05-21-0006</t>
    <phoneticPr fontId="16" type="noConversion"/>
  </si>
  <si>
    <t>LICZ2010</t>
  </si>
  <si>
    <t>LICZ2010.pdf</t>
    <phoneticPr fontId="16" type="noConversion"/>
  </si>
  <si>
    <t>LICZ3009 (new FITZ3008).pdf</t>
    <phoneticPr fontId="16" type="noConversion"/>
  </si>
  <si>
    <t>LICZ1007</t>
    <phoneticPr fontId="16" type="noConversion"/>
  </si>
  <si>
    <t>LICZ1010</t>
    <phoneticPr fontId="16" type="noConversion"/>
  </si>
  <si>
    <t>LVZ1010</t>
    <phoneticPr fontId="16" type="noConversion"/>
  </si>
  <si>
    <t>LICZ1011</t>
  </si>
  <si>
    <t>LICZ1012</t>
  </si>
  <si>
    <t>LICZ1015</t>
    <phoneticPr fontId="16" type="noConversion"/>
  </si>
  <si>
    <t>LICZ1017</t>
    <phoneticPr fontId="16" type="noConversion"/>
  </si>
  <si>
    <t>LICZ1019</t>
  </si>
  <si>
    <t>LICZ1027</t>
    <phoneticPr fontId="16" type="noConversion"/>
  </si>
  <si>
    <t>LVZ1027</t>
    <phoneticPr fontId="16" type="noConversion"/>
  </si>
  <si>
    <t>LICZ1031</t>
    <phoneticPr fontId="16" type="noConversion"/>
  </si>
  <si>
    <t>FCV212</t>
    <phoneticPr fontId="16" type="noConversion"/>
  </si>
  <si>
    <t>NL5618-00_J_02_0002.pdf, 21/56</t>
    <phoneticPr fontId="16" type="noConversion"/>
  </si>
  <si>
    <t>FCV211</t>
    <phoneticPr fontId="16" type="noConversion"/>
  </si>
  <si>
    <t>PICZ2005</t>
    <phoneticPr fontId="16" type="noConversion"/>
  </si>
  <si>
    <t>PICZ2005.pdf</t>
  </si>
  <si>
    <t>PICZ2007</t>
    <phoneticPr fontId="16" type="noConversion"/>
  </si>
  <si>
    <t>PICZ2010 and PICZ3001AB and 3010AB.pdf, 3/13</t>
    <phoneticPr fontId="16" type="noConversion"/>
  </si>
  <si>
    <t>PICZ2010</t>
  </si>
  <si>
    <t>PVZ2010</t>
    <phoneticPr fontId="16" type="noConversion"/>
  </si>
  <si>
    <t>05-11-0013</t>
    <phoneticPr fontId="16" type="noConversion"/>
  </si>
  <si>
    <t>HCV2003</t>
    <phoneticPr fontId="16" type="noConversion"/>
  </si>
  <si>
    <t>XCV2001</t>
    <phoneticPr fontId="16" type="noConversion"/>
  </si>
  <si>
    <t>XCV2002</t>
  </si>
  <si>
    <t>XCVZ2002</t>
    <phoneticPr fontId="16" type="noConversion"/>
  </si>
  <si>
    <t>XCV2103</t>
    <phoneticPr fontId="16" type="noConversion"/>
  </si>
  <si>
    <t>TICZ1024</t>
    <phoneticPr fontId="16" type="noConversion"/>
  </si>
  <si>
    <t>HCV1010</t>
    <phoneticPr fontId="16" type="noConversion"/>
  </si>
  <si>
    <t>PCV5001</t>
    <phoneticPr fontId="16" type="noConversion"/>
  </si>
  <si>
    <t>PIC3001A</t>
    <phoneticPr fontId="16" type="noConversion"/>
  </si>
  <si>
    <t>PVZ3001A</t>
    <phoneticPr fontId="16" type="noConversion"/>
  </si>
  <si>
    <t>PICZ2010 and PICZ3001AB and 3010AB.pdf,5/13 &amp; 10/13                             TVZ3002-03.pdf,2/4</t>
    <phoneticPr fontId="16" type="noConversion"/>
  </si>
  <si>
    <t>05-22-0002</t>
    <phoneticPr fontId="16" type="noConversion"/>
  </si>
  <si>
    <t>PIC3004</t>
    <phoneticPr fontId="16" type="noConversion"/>
  </si>
  <si>
    <t>PIC3005</t>
    <phoneticPr fontId="16" type="noConversion"/>
  </si>
  <si>
    <t>PIC3009</t>
    <phoneticPr fontId="16" type="noConversion"/>
  </si>
  <si>
    <t>PIC3010A</t>
    <phoneticPr fontId="16" type="noConversion"/>
  </si>
  <si>
    <t>PVZ3010A</t>
    <phoneticPr fontId="16" type="noConversion"/>
  </si>
  <si>
    <t>05-22-0008</t>
    <phoneticPr fontId="16" type="noConversion"/>
  </si>
  <si>
    <t>PIC3014</t>
    <phoneticPr fontId="16" type="noConversion"/>
  </si>
  <si>
    <t>TIC3002</t>
    <phoneticPr fontId="16" type="noConversion"/>
  </si>
  <si>
    <t>05-22-0001</t>
    <phoneticPr fontId="16" type="noConversion"/>
  </si>
  <si>
    <t>TIC3003</t>
    <phoneticPr fontId="16" type="noConversion"/>
  </si>
  <si>
    <t>TIC3006</t>
    <phoneticPr fontId="16" type="noConversion"/>
  </si>
  <si>
    <t>TVZ3006A</t>
    <phoneticPr fontId="16" type="noConversion"/>
  </si>
  <si>
    <t>05-22-0002</t>
  </si>
  <si>
    <t>TVZ3006B</t>
    <phoneticPr fontId="16" type="noConversion"/>
  </si>
  <si>
    <t>XCV3003</t>
    <phoneticPr fontId="16" type="noConversion"/>
  </si>
  <si>
    <t>PICZ30010</t>
    <phoneticPr fontId="16" type="noConversion"/>
  </si>
  <si>
    <t>PICZ2010 and PICZ3001AB and 3010AB.pdf, 9/13</t>
    <phoneticPr fontId="16" type="noConversion"/>
  </si>
  <si>
    <t>PIC3001B</t>
    <phoneticPr fontId="16" type="noConversion"/>
  </si>
  <si>
    <t>PVZ3001B</t>
    <phoneticPr fontId="16" type="noConversion"/>
  </si>
  <si>
    <t>PICZ2010 and PICZ3001AB and 3010AB.pdf, 8/13</t>
    <phoneticPr fontId="16" type="noConversion"/>
  </si>
  <si>
    <t>FIC4002</t>
    <phoneticPr fontId="16" type="noConversion"/>
  </si>
  <si>
    <t>FVZ4002</t>
    <phoneticPr fontId="16" type="noConversion"/>
  </si>
  <si>
    <t>PICZ2010 and PICZ3001AB and 3010AB.pdf,12/13                                PICZ4001.pdf,2/3</t>
    <phoneticPr fontId="16" type="noConversion"/>
  </si>
  <si>
    <t>FIC4004</t>
    <phoneticPr fontId="16" type="noConversion"/>
  </si>
  <si>
    <t>LIC4001</t>
    <phoneticPr fontId="16" type="noConversion"/>
  </si>
  <si>
    <t>LIC?</t>
    <phoneticPr fontId="16" type="noConversion"/>
  </si>
  <si>
    <t>PIC4001</t>
    <phoneticPr fontId="16" type="noConversion"/>
  </si>
  <si>
    <t>PIC4002</t>
  </si>
  <si>
    <t>XCV3006</t>
    <phoneticPr fontId="16" type="noConversion"/>
  </si>
  <si>
    <t>XCV3005</t>
    <phoneticPr fontId="16" type="noConversion"/>
  </si>
  <si>
    <t>PIC3010B</t>
    <phoneticPr fontId="16" type="noConversion"/>
  </si>
  <si>
    <t>PVZ3010B</t>
    <phoneticPr fontId="16" type="noConversion"/>
  </si>
  <si>
    <t>PICZ2010 and PICZ3001AB and 3010AB.pdf,13/13</t>
    <phoneticPr fontId="16" type="noConversion"/>
  </si>
  <si>
    <t>PICZ3004</t>
  </si>
  <si>
    <t>PVZ3004</t>
    <phoneticPr fontId="16" type="noConversion"/>
  </si>
  <si>
    <t>PICZ3004.pdf,</t>
    <phoneticPr fontId="16" type="noConversion"/>
  </si>
  <si>
    <t>PICZ4001</t>
  </si>
  <si>
    <t>PVZ4001A</t>
    <phoneticPr fontId="16" type="noConversion"/>
  </si>
  <si>
    <t>PICZ4001.pdf, 3/3</t>
    <phoneticPr fontId="16" type="noConversion"/>
  </si>
  <si>
    <t>?</t>
    <phoneticPr fontId="16" type="noConversion"/>
  </si>
  <si>
    <t>FIC3007</t>
    <phoneticPr fontId="16" type="noConversion"/>
  </si>
  <si>
    <t>PICZ5004</t>
    <phoneticPr fontId="16" type="noConversion"/>
  </si>
  <si>
    <t>PVZ5004</t>
    <phoneticPr fontId="16" type="noConversion"/>
  </si>
  <si>
    <t>05-10-0008</t>
    <phoneticPr fontId="16" type="noConversion"/>
  </si>
  <si>
    <t>PIC5006</t>
    <phoneticPr fontId="16" type="noConversion"/>
  </si>
  <si>
    <t>PICZ5007B</t>
    <phoneticPr fontId="16" type="noConversion"/>
  </si>
  <si>
    <t>PVZ5007B</t>
    <phoneticPr fontId="16" type="noConversion"/>
  </si>
  <si>
    <t>PICA5010A</t>
    <phoneticPr fontId="16" type="noConversion"/>
  </si>
  <si>
    <t>PICA5010B</t>
    <phoneticPr fontId="16" type="noConversion"/>
  </si>
  <si>
    <t>PICZ5007A</t>
    <phoneticPr fontId="16" type="noConversion"/>
  </si>
  <si>
    <t>PVZ5007A</t>
    <phoneticPr fontId="16" type="noConversion"/>
  </si>
  <si>
    <t>PIC5003</t>
    <phoneticPr fontId="16" type="noConversion"/>
  </si>
  <si>
    <t>TIC5001</t>
    <phoneticPr fontId="16" type="noConversion"/>
  </si>
  <si>
    <t>PVZ4001B</t>
  </si>
  <si>
    <t>PVZ4001B.pdf, 2/4</t>
    <phoneticPr fontId="16" type="noConversion"/>
  </si>
  <si>
    <t>PV2305B</t>
    <phoneticPr fontId="16" type="noConversion"/>
  </si>
  <si>
    <t>PVZ4001B.pdf, 1/4</t>
    <phoneticPr fontId="16" type="noConversion"/>
  </si>
  <si>
    <t>TCVZ1008</t>
  </si>
  <si>
    <t>TCVZ1008.pdf</t>
  </si>
  <si>
    <t>TCVZ1035</t>
    <phoneticPr fontId="16" type="noConversion"/>
  </si>
  <si>
    <t>TCVZ1035-10164-10168- NL587210-A0111102.pdf</t>
  </si>
  <si>
    <t>05-21-0012</t>
    <phoneticPr fontId="16" type="noConversion"/>
  </si>
  <si>
    <t>TICZ1010A</t>
    <phoneticPr fontId="16" type="noConversion"/>
  </si>
  <si>
    <t>TICZ1010A.pdf</t>
  </si>
  <si>
    <t>TICZ3049</t>
    <phoneticPr fontId="16" type="noConversion"/>
  </si>
  <si>
    <t>TVZ3049</t>
    <phoneticPr fontId="16" type="noConversion"/>
  </si>
  <si>
    <t>TICZ3049.pdf</t>
  </si>
  <si>
    <t>XCVZ5031</t>
    <phoneticPr fontId="16" type="noConversion"/>
  </si>
  <si>
    <t>05-10-0011</t>
    <phoneticPr fontId="16" type="noConversion"/>
  </si>
  <si>
    <t>XCVZ2019</t>
    <phoneticPr fontId="16" type="noConversion"/>
  </si>
  <si>
    <t>05-11-0001</t>
    <phoneticPr fontId="16" type="noConversion"/>
  </si>
  <si>
    <t>FIZT2001</t>
    <phoneticPr fontId="16" type="noConversion"/>
  </si>
  <si>
    <t>FIZT2001V 0665-35416.pdf</t>
  </si>
  <si>
    <t>XCVZ1027</t>
    <phoneticPr fontId="16" type="noConversion"/>
  </si>
  <si>
    <t>05-10-0004</t>
    <phoneticPr fontId="16" type="noConversion"/>
  </si>
  <si>
    <t>XCVZ2021</t>
    <phoneticPr fontId="16" type="noConversion"/>
  </si>
  <si>
    <t>XCVZ2022</t>
  </si>
  <si>
    <t>XCVZ2023</t>
  </si>
  <si>
    <t>XCVZ2024</t>
  </si>
  <si>
    <t>XCVZ2025</t>
  </si>
  <si>
    <t>XCVZ2026</t>
  </si>
  <si>
    <t>XCVZ2027</t>
  </si>
  <si>
    <t>XCVZ2028</t>
  </si>
  <si>
    <t>XCVZ4009</t>
    <phoneticPr fontId="16" type="noConversion"/>
  </si>
  <si>
    <t>XCVZ1091A</t>
    <phoneticPr fontId="16" type="noConversion"/>
  </si>
  <si>
    <t>XCVZ1091B</t>
    <phoneticPr fontId="16" type="noConversion"/>
  </si>
  <si>
    <t>XCVZ1029</t>
    <phoneticPr fontId="16" type="noConversion"/>
  </si>
  <si>
    <t>PICZ1001</t>
    <phoneticPr fontId="16" type="noConversion"/>
  </si>
  <si>
    <t>PVZ1001</t>
    <phoneticPr fontId="16" type="noConversion"/>
  </si>
  <si>
    <t>FICZ1062</t>
    <phoneticPr fontId="16" type="noConversion"/>
  </si>
  <si>
    <t>FVZ1062</t>
    <phoneticPr fontId="16" type="noConversion"/>
  </si>
  <si>
    <t>FICZ1062 1001 0665-30878.pdf</t>
  </si>
  <si>
    <t>PICZ1010</t>
    <phoneticPr fontId="16" type="noConversion"/>
  </si>
  <si>
    <t>PVZ1010</t>
    <phoneticPr fontId="16" type="noConversion"/>
  </si>
  <si>
    <t>PVz1010Pages from 0665-38248.pdf</t>
  </si>
  <si>
    <t>FICZ1085</t>
    <phoneticPr fontId="16" type="noConversion"/>
  </si>
  <si>
    <t>FVZ1085B</t>
    <phoneticPr fontId="16" type="noConversion"/>
  </si>
  <si>
    <t>FVZ1085A Pages from 0665-39923.pdf</t>
  </si>
  <si>
    <t>TYZ2327</t>
    <phoneticPr fontId="16" type="noConversion"/>
  </si>
  <si>
    <t>TVZ2327 0665-44206.pdf</t>
  </si>
  <si>
    <t>FICZ1024</t>
    <phoneticPr fontId="16" type="noConversion"/>
  </si>
  <si>
    <t>FVZ1024_1</t>
    <phoneticPr fontId="16" type="noConversion"/>
  </si>
  <si>
    <t>XCVZ1026</t>
    <phoneticPr fontId="16" type="noConversion"/>
  </si>
  <si>
    <t>XCVZ1067</t>
    <phoneticPr fontId="16" type="noConversion"/>
  </si>
  <si>
    <t>XCVZ1079</t>
    <phoneticPr fontId="16" type="noConversion"/>
  </si>
  <si>
    <t>XCVZ1080</t>
  </si>
  <si>
    <t>XCVZ1025</t>
    <phoneticPr fontId="16" type="noConversion"/>
  </si>
  <si>
    <t>05-21-0012</t>
  </si>
  <si>
    <t>XCVZ1033</t>
    <phoneticPr fontId="16" type="noConversion"/>
  </si>
  <si>
    <t>XCVZ1034</t>
  </si>
  <si>
    <t>TICZ10168</t>
    <phoneticPr fontId="16" type="noConversion"/>
  </si>
  <si>
    <t>TVZ10168</t>
    <phoneticPr fontId="16" type="noConversion"/>
  </si>
  <si>
    <t>PTZ10119</t>
    <phoneticPr fontId="16" type="noConversion"/>
  </si>
  <si>
    <t>PCVZ10119</t>
    <phoneticPr fontId="16" type="noConversion"/>
  </si>
  <si>
    <t>PCVz10119  Pages from 0665-45655.pdf</t>
  </si>
  <si>
    <t>05-21-0023</t>
    <phoneticPr fontId="16" type="noConversion"/>
  </si>
  <si>
    <t>ICZ3001</t>
    <phoneticPr fontId="16" type="noConversion"/>
  </si>
  <si>
    <t>FCVZ3001A</t>
    <phoneticPr fontId="16" type="noConversion"/>
  </si>
  <si>
    <t>FCVZ3001B</t>
    <phoneticPr fontId="16" type="noConversion"/>
  </si>
  <si>
    <t>XCVZ3001</t>
    <phoneticPr fontId="16" type="noConversion"/>
  </si>
  <si>
    <t>XCVZ3002</t>
    <phoneticPr fontId="16" type="noConversion"/>
  </si>
  <si>
    <t>XCVZ3023</t>
    <phoneticPr fontId="16" type="noConversion"/>
  </si>
  <si>
    <t>XCVZ3008A</t>
    <phoneticPr fontId="16" type="noConversion"/>
  </si>
  <si>
    <t>XCVZ3008B</t>
    <phoneticPr fontId="16" type="noConversion"/>
  </si>
  <si>
    <t>PCVZ3027</t>
    <phoneticPr fontId="16" type="noConversion"/>
  </si>
  <si>
    <t>PCVz3027  0665-29864.pdf</t>
  </si>
  <si>
    <t>XCVZ3046</t>
    <phoneticPr fontId="16" type="noConversion"/>
  </si>
  <si>
    <t>XCVZ3028</t>
    <phoneticPr fontId="16" type="noConversion"/>
  </si>
  <si>
    <t>Size</t>
    <phoneticPr fontId="16" type="noConversion"/>
  </si>
  <si>
    <t>Opening pressure setting</t>
    <phoneticPr fontId="16" type="noConversion"/>
  </si>
  <si>
    <t>Closing pressure setting</t>
    <phoneticPr fontId="16" type="noConversion"/>
  </si>
  <si>
    <t>WIN DESCRIPTION</t>
    <phoneticPr fontId="16" type="noConversion"/>
  </si>
  <si>
    <t>inlet</t>
  </si>
  <si>
    <t>outlet</t>
    <phoneticPr fontId="16" type="noConversion"/>
  </si>
  <si>
    <t>orifice area</t>
    <phoneticPr fontId="16" type="noConversion"/>
  </si>
  <si>
    <t>Orifice Designation</t>
  </si>
  <si>
    <t>inch</t>
    <phoneticPr fontId="16" type="noConversion"/>
  </si>
  <si>
    <t>in2</t>
    <phoneticPr fontId="16" type="noConversion"/>
  </si>
  <si>
    <t>set@ barg</t>
    <phoneticPr fontId="16" type="noConversion"/>
  </si>
  <si>
    <t>RVZ1002</t>
  </si>
  <si>
    <t>REL.VALVE PZ2117S CAUSTIC INJ.</t>
  </si>
  <si>
    <t>RVZ1003</t>
  </si>
  <si>
    <t>RVZ1004</t>
  </si>
  <si>
    <t>REL.VALVE PZ2123 CAUSTIC INJ.</t>
  </si>
  <si>
    <t>RVZ1005</t>
  </si>
  <si>
    <t>REL.VALVE RES.TEMP.WATER EXCH.</t>
  </si>
  <si>
    <t>RVZ1006</t>
  </si>
  <si>
    <t>RVZ1007</t>
  </si>
  <si>
    <t>REL.VALVE OUTLET CRUDE RES.EXC</t>
  </si>
  <si>
    <t>RVZ1008</t>
  </si>
  <si>
    <t>RVZ1009A</t>
  </si>
  <si>
    <t>REL.VALVE DZ2107 OFF GAS</t>
  </si>
  <si>
    <t>RVZ1009S</t>
  </si>
  <si>
    <t>REL.VALVE DZ2107 OFF GAS DRUM</t>
  </si>
  <si>
    <t>RVZ1010A</t>
  </si>
  <si>
    <t>REL.VALVE DZ2103 OVHD RECEIVER
Crude overhead drum</t>
  </si>
  <si>
    <t>6*8</t>
    <phoneticPr fontId="16" type="noConversion"/>
  </si>
  <si>
    <t>RVZ1010S</t>
  </si>
  <si>
    <t>RVZ1011</t>
  </si>
  <si>
    <t>REL.VALVE OUTLET LP STEAM PZ2104C
MPA turbine</t>
  </si>
  <si>
    <t>RVZ1012</t>
  </si>
  <si>
    <t>REL.VALVE PZ2116A AMM.INJ.PUMP</t>
  </si>
  <si>
    <t>RVZ1013</t>
  </si>
  <si>
    <t>REL.VALVE AMN INJ PUMP PZ2116S</t>
  </si>
  <si>
    <t>RVZ1014A</t>
  </si>
  <si>
    <t>REL.VALVE EZ2121A  BRINE COND.</t>
  </si>
  <si>
    <t>RVZ1014B</t>
  </si>
  <si>
    <t>REL.VALVE EZ2121B  BRINE COND.</t>
  </si>
  <si>
    <t>RVZ1015</t>
  </si>
  <si>
    <t>REL.VALVE LGO CRUDE EXCH TUBE</t>
  </si>
  <si>
    <t>RVZ1016</t>
  </si>
  <si>
    <t>REL.VALVE OUTLET HGO/CRUDE EZ2</t>
  </si>
  <si>
    <t>RVZ1017</t>
  </si>
  <si>
    <t>REL VALVE INH INJ PUMP PZ2119</t>
  </si>
  <si>
    <t>RVZ1019</t>
  </si>
  <si>
    <t>3*4</t>
    <phoneticPr fontId="16" type="noConversion"/>
  </si>
  <si>
    <t>RVZ1020A</t>
  </si>
  <si>
    <t>REL.VALVE OVHD CRUDE COLUMN TZ</t>
  </si>
  <si>
    <t>8*10</t>
    <phoneticPr fontId="16" type="noConversion"/>
  </si>
  <si>
    <t>RVZ1020B</t>
  </si>
  <si>
    <t>RVZ1021A</t>
  </si>
  <si>
    <t>RVZ1021B</t>
  </si>
  <si>
    <t>REL.VALVE TZ 2101 CRUDE TOWER</t>
  </si>
  <si>
    <t>RVZ1021C</t>
  </si>
  <si>
    <t>RVZ1021D</t>
  </si>
  <si>
    <t>RVZ1021E</t>
  </si>
  <si>
    <t>RVZ1021F</t>
  </si>
  <si>
    <t>RVZ1021G</t>
  </si>
  <si>
    <t>RVZ1021S</t>
  </si>
  <si>
    <t>RVZ1022A</t>
  </si>
  <si>
    <t>REL.VALVE DZ2101A DESALTER</t>
  </si>
  <si>
    <t>6*10</t>
    <phoneticPr fontId="16" type="noConversion"/>
  </si>
  <si>
    <t>RVZ1022B</t>
  </si>
  <si>
    <t>RVZ1022S</t>
  </si>
  <si>
    <t>RVZ1023A</t>
  </si>
  <si>
    <t>REL.VALVE DESALTER DZ2101B</t>
  </si>
  <si>
    <t>RVZ1023B</t>
  </si>
  <si>
    <t>REL.VALVE DESALTER D2101B</t>
  </si>
  <si>
    <t>RVZ1023S</t>
  </si>
  <si>
    <t>RVZ1024A</t>
  </si>
  <si>
    <t>REL.VALVE TZ2104 LGO DRIER</t>
  </si>
  <si>
    <t>RVZ1024S</t>
  </si>
  <si>
    <t>RVZ1025</t>
  </si>
  <si>
    <t>REL.VALVE LP STEAM OUTLET TURB
Residu turbine</t>
  </si>
  <si>
    <t>4*6</t>
    <phoneticPr fontId="16" type="noConversion"/>
  </si>
  <si>
    <t>Unit Convertion</t>
    <phoneticPr fontId="16" type="noConversion"/>
  </si>
  <si>
    <t>RVZ1026</t>
  </si>
  <si>
    <t>REL.VALVE CRUDE MIDDLE PA EXCH</t>
  </si>
  <si>
    <t>RVZ1027</t>
  </si>
  <si>
    <t>REL.VALVE LP STEAM OUTLET TURB
TPA turbine</t>
  </si>
  <si>
    <t>1meter=</t>
    <phoneticPr fontId="16" type="noConversion"/>
  </si>
  <si>
    <t>RVZ1028</t>
  </si>
  <si>
    <t>REL.VALVE EZ2118 OVHD COND.</t>
  </si>
  <si>
    <t>1SCRD</t>
  </si>
  <si>
    <t>1square mm=</t>
    <phoneticPr fontId="16" type="noConversion"/>
  </si>
  <si>
    <t>square inch</t>
    <phoneticPr fontId="16" type="noConversion"/>
  </si>
  <si>
    <t>REL.VALVE DZ2105 LGO/HGO CONDR
Vacuum oil seperator</t>
  </si>
  <si>
    <t>RVZ1029S</t>
  </si>
  <si>
    <t>RVZ1031</t>
  </si>
  <si>
    <t>REL.VALVE EZ 2109B  CRUDE/HPA</t>
  </si>
  <si>
    <t>RVZ1032</t>
  </si>
  <si>
    <t>REL.VALVE EZ2122 EJECTOR COND.</t>
  </si>
  <si>
    <t>RVZ1035A</t>
  </si>
  <si>
    <t>REL.VALVE DZ2101A</t>
  </si>
  <si>
    <t>RVZ1035B</t>
  </si>
  <si>
    <t>RVZ1035C</t>
  </si>
  <si>
    <t>RVZ1036A</t>
  </si>
  <si>
    <t>REL.VALVE DZ 2101B  POWER UNIT</t>
  </si>
  <si>
    <t>RVZ1036B</t>
  </si>
  <si>
    <t>RVZ1036C</t>
  </si>
  <si>
    <t>RVZ1038</t>
  </si>
  <si>
    <t>REL.VALVE EZ2102 FLUSHING LINE
Kero flush/Water wash naar crude ovhd exch</t>
  </si>
  <si>
    <t>2*3</t>
    <phoneticPr fontId="16" type="noConversion"/>
  </si>
  <si>
    <t>RVZ1039</t>
  </si>
  <si>
    <t>REL.VALVE HZ2101B SUPERHEATER</t>
  </si>
  <si>
    <t>RVZ1040</t>
  </si>
  <si>
    <t>REL.VALVE EZ2124 FUEL OIL HTR</t>
  </si>
  <si>
    <t>RVZ1041</t>
  </si>
  <si>
    <t>REL.VALVE EZ2127 SHELL SIDE</t>
  </si>
  <si>
    <t>1.5*2</t>
    <phoneticPr fontId="16" type="noConversion"/>
  </si>
  <si>
    <t>RVZ1043</t>
  </si>
  <si>
    <t>REL.VALVE EZ2127 2X3</t>
  </si>
  <si>
    <t>RVZ1044</t>
  </si>
  <si>
    <t>REL.VALVE WET LGO LINE 1100 .7</t>
  </si>
  <si>
    <t>RVZ1045</t>
  </si>
  <si>
    <t>REL.VALVE EZ2128 STEAM</t>
  </si>
  <si>
    <t>RVZ1046</t>
  </si>
  <si>
    <t>RVZ1047</t>
  </si>
  <si>
    <t>SUCTION PZ2127 CAUSTIC DZ2113A TO DZ2113B</t>
  </si>
  <si>
    <t>RVZ1048</t>
  </si>
  <si>
    <t>REL.VALVE PZ2127</t>
  </si>
  <si>
    <t>RVZ1049</t>
  </si>
  <si>
    <t>REL.VALVE FASTLOOP PUMP VISCOANALYSER</t>
  </si>
  <si>
    <t>RVZ1050</t>
  </si>
  <si>
    <t>REL.VALVE PZ2132</t>
  </si>
  <si>
    <t>RVZ1051</t>
  </si>
  <si>
    <t>REL.VALVE EZ2103A/VAPOUR</t>
  </si>
  <si>
    <t>RVZ1052</t>
  </si>
  <si>
    <t>REL.VALVE EZ2103B/VAPOUR</t>
  </si>
  <si>
    <t>RVZ1053</t>
  </si>
  <si>
    <t>REL.VALVE EZ2107A LIQUID</t>
  </si>
  <si>
    <t>RVZ1054</t>
  </si>
  <si>
    <t>REL.VALVE EZ2107B/LIQUID</t>
  </si>
  <si>
    <t>RVZ1055</t>
  </si>
  <si>
    <t>PZ-2137A
Scorpion injection in crude feed</t>
  </si>
  <si>
    <t>RVZ1056</t>
  </si>
  <si>
    <t>PZ-2137B
Scorpion injection in BPA</t>
  </si>
  <si>
    <t>RVZ1057</t>
  </si>
  <si>
    <t>PZ-2137C
Scorpion injection in MPA</t>
  </si>
  <si>
    <t>RVZ1058</t>
  </si>
  <si>
    <t>REL.VALVE PZ2137D</t>
  </si>
  <si>
    <t>RVZ1069A</t>
  </si>
  <si>
    <t>REL.VALVE EZ2111A</t>
  </si>
  <si>
    <t>1*2</t>
    <phoneticPr fontId="16" type="noConversion"/>
  </si>
  <si>
    <t>RVZ1069B</t>
  </si>
  <si>
    <t>REL.VALVE EZ2111B</t>
  </si>
  <si>
    <t>RVZ1070</t>
  </si>
  <si>
    <t>SAFETY OVER FICZ1019</t>
  </si>
  <si>
    <t>RVZ2001A</t>
  </si>
  <si>
    <t>REL.VALVE RECYCLE GAS COMPR.</t>
  </si>
  <si>
    <t>RVZ2001S</t>
  </si>
  <si>
    <t>RVZ2002A</t>
  </si>
  <si>
    <t>REL.VALVE DZ2152 LP SEPARAT</t>
  </si>
  <si>
    <t>RVZ2002S</t>
  </si>
  <si>
    <t>RVZ2003A</t>
  </si>
  <si>
    <t>REL.VALVE DZ2151 VAP/LIQ.</t>
  </si>
  <si>
    <t>RVZ2003B</t>
  </si>
  <si>
    <t>REL.VALVE DZ2151 VAP/LIQ</t>
  </si>
  <si>
    <t>RVZ2003S</t>
  </si>
  <si>
    <t>RVZ2004A</t>
  </si>
  <si>
    <t>REL.VALVE REACT.FEED CHARGE</t>
  </si>
  <si>
    <t>RVZ2004S</t>
  </si>
  <si>
    <t>RVZ2007A</t>
  </si>
  <si>
    <t>REL.VALVE STABILIZER FEED LINE</t>
  </si>
  <si>
    <t>RVZ2007S</t>
  </si>
  <si>
    <t>RVZ2013</t>
  </si>
  <si>
    <t>REL VALVE INH INJ PUMP PZ2132</t>
  </si>
  <si>
    <t>RVZ2019</t>
  </si>
  <si>
    <t>REL.VLV. IN LINE 1L-P35818</t>
  </si>
  <si>
    <t>RVZ2104A</t>
  </si>
  <si>
    <t>REL.VALVE DZ2101C DESALTER</t>
  </si>
  <si>
    <t>RVZ2104B</t>
  </si>
  <si>
    <t>RVZ2104S</t>
  </si>
  <si>
    <t>RVZ3001A</t>
  </si>
  <si>
    <t>REL.VALVE TZ2201 STABILIZER</t>
  </si>
  <si>
    <t>RVZ3001S</t>
  </si>
  <si>
    <t>REL.VALVE TZ2202 STABILIZER</t>
  </si>
  <si>
    <t>RVZ3004A</t>
  </si>
  <si>
    <t>REL.VALVE TZ2202 OVHD SPLITTER</t>
  </si>
  <si>
    <t>RVZ3004B</t>
  </si>
  <si>
    <t>RVZ3004C</t>
  </si>
  <si>
    <t>RVZ3004D</t>
  </si>
  <si>
    <t>RVZ3004E</t>
  </si>
  <si>
    <t>RVZ3004F</t>
  </si>
  <si>
    <t>RVZ3004G</t>
  </si>
  <si>
    <t>RVZ3004H</t>
  </si>
  <si>
    <t>RVZ3004J</t>
  </si>
  <si>
    <t>RVZ3004S</t>
  </si>
  <si>
    <t>REL.VALVE TZ2202 SPLITTER</t>
  </si>
  <si>
    <t>RVZ3005A</t>
  </si>
  <si>
    <t>RVZ3005S</t>
  </si>
  <si>
    <t>RVZ3006S</t>
  </si>
  <si>
    <t>REL.VALVE DZ2203 GASOIL/SODA
Caustic neutralisation drum</t>
  </si>
  <si>
    <t>RVZ3007</t>
  </si>
  <si>
    <t>REL.VALVE PZ2204B OUTL TURBINE
Splitter reboiler turbine</t>
  </si>
  <si>
    <t>RVZ3008</t>
  </si>
  <si>
    <t>REL.VALVE L-P33154 TO DZ2113
Spent caustic line to Dz-2113A</t>
  </si>
  <si>
    <t>RVZ3009</t>
  </si>
  <si>
    <t>REL.VALVE ON LINE 33001 8</t>
  </si>
  <si>
    <t>RVZ3010</t>
  </si>
  <si>
    <t>RVZ3011A</t>
  </si>
  <si>
    <t>REL.VALVE PZ2209A</t>
  </si>
  <si>
    <t>RVZ3011B</t>
  </si>
  <si>
    <t>REL.VALVE PZ2209B</t>
  </si>
  <si>
    <t>RVZ4001A</t>
  </si>
  <si>
    <t>REL.VALVE TZ2851 OVHD GAS ABS.</t>
  </si>
  <si>
    <t>RVZ4001S</t>
  </si>
  <si>
    <t>REL.VALVE DZ3002 FUEL GAS</t>
  </si>
  <si>
    <t>RVZ5003A</t>
  </si>
  <si>
    <t>REL.VALVE EXIST LP STEAM HEADE</t>
  </si>
  <si>
    <t>RVZ5003B</t>
  </si>
  <si>
    <t>REL.VALVE L.P.STEAM LP STEAM</t>
  </si>
  <si>
    <t>RVZ5005A</t>
  </si>
  <si>
    <t>REL.VALVE L.5901 SLOPS HEADER
Slops header</t>
  </si>
  <si>
    <t>RVZ5005S</t>
  </si>
  <si>
    <t>REL.VALVE RESIDUERUNDOWN
Slops header</t>
  </si>
  <si>
    <t>RVZ5059</t>
  </si>
  <si>
    <t>REL.VLV.FOR LINE 1L-C32077A</t>
  </si>
  <si>
    <t>VSVZ1047</t>
  </si>
  <si>
    <t>REL.VALVE EZ2128 STEAM CDU4 EZ</t>
  </si>
  <si>
    <t>Open</t>
  </si>
  <si>
    <t>10Mbar</t>
  </si>
  <si>
    <t>RV5058</t>
  </si>
  <si>
    <t>SAFETY RELIEF VALVE</t>
  </si>
  <si>
    <t>Tag NO.</t>
    <phoneticPr fontId="16" type="noConversion"/>
  </si>
  <si>
    <t>Comment</t>
    <phoneticPr fontId="16" type="noConversion"/>
  </si>
  <si>
    <t>service</t>
    <phoneticPr fontId="16" type="noConversion"/>
  </si>
  <si>
    <t xml:space="preserve">data reference file </t>
    <phoneticPr fontId="16" type="noConversion"/>
  </si>
  <si>
    <t>Design heat duty</t>
    <phoneticPr fontId="16" type="noConversion"/>
  </si>
  <si>
    <t>Current heat duty</t>
    <phoneticPr fontId="16" type="noConversion"/>
  </si>
  <si>
    <t>O2</t>
    <phoneticPr fontId="16" type="noConversion"/>
  </si>
  <si>
    <t>Current fuel gas flow</t>
    <phoneticPr fontId="16" type="noConversion"/>
  </si>
  <si>
    <t>Kcal</t>
    <phoneticPr fontId="16" type="noConversion"/>
  </si>
  <si>
    <t>%</t>
    <phoneticPr fontId="16" type="noConversion"/>
  </si>
  <si>
    <t>HZ2151</t>
    <phoneticPr fontId="16" type="noConversion"/>
  </si>
  <si>
    <t>reactor preheat Furnace</t>
    <phoneticPr fontId="16" type="noConversion"/>
  </si>
  <si>
    <t>HZ2101A</t>
    <phoneticPr fontId="16" type="noConversion"/>
  </si>
  <si>
    <t>Crude Furnace</t>
    <phoneticPr fontId="16" type="noConversion"/>
  </si>
  <si>
    <t>HZ2101B</t>
    <phoneticPr fontId="16" type="noConversion"/>
  </si>
  <si>
    <t>HZ2101B(check)-Win.pdf</t>
    <phoneticPr fontId="16" type="noConversion"/>
  </si>
  <si>
    <t>HZ2201</t>
    <phoneticPr fontId="16" type="noConversion"/>
  </si>
  <si>
    <t>Splitter Reboiler</t>
    <phoneticPr fontId="16" type="noConversion"/>
  </si>
  <si>
    <t>HZ2201-Win.pdf</t>
  </si>
  <si>
    <t>Tray NO.</t>
    <phoneticPr fontId="16" type="noConversion"/>
  </si>
  <si>
    <t>WeirHeight</t>
    <phoneticPr fontId="16" type="noConversion"/>
  </si>
  <si>
    <t>TraySpacing</t>
  </si>
  <si>
    <t>Diamerter</t>
    <phoneticPr fontId="16" type="noConversion"/>
  </si>
  <si>
    <t>Height</t>
    <phoneticPr fontId="16" type="noConversion"/>
  </si>
  <si>
    <t>Current Top Pressure</t>
    <phoneticPr fontId="16" type="noConversion"/>
  </si>
  <si>
    <t>Current Bottom Pressure</t>
    <phoneticPr fontId="16" type="noConversion"/>
  </si>
  <si>
    <t>Current Bottom Temp</t>
    <phoneticPr fontId="16" type="noConversion"/>
  </si>
  <si>
    <t>Bottom Height</t>
    <phoneticPr fontId="16" type="noConversion"/>
  </si>
  <si>
    <t>Design Bottom ELEV</t>
    <phoneticPr fontId="16" type="noConversion"/>
  </si>
  <si>
    <t>Current Bottom ELEV</t>
    <phoneticPr fontId="16" type="noConversion"/>
  </si>
  <si>
    <t>Tag</t>
    <phoneticPr fontId="16" type="noConversion"/>
  </si>
  <si>
    <t>Ref.</t>
    <phoneticPr fontId="16" type="noConversion"/>
  </si>
  <si>
    <t>Total Height</t>
    <phoneticPr fontId="16" type="noConversion"/>
  </si>
  <si>
    <t>Column Height</t>
    <phoneticPr fontId="16" type="noConversion"/>
  </si>
  <si>
    <t>Actual Tray No.</t>
    <phoneticPr fontId="16" type="noConversion"/>
  </si>
  <si>
    <t>Inlet nozzel</t>
    <phoneticPr fontId="16" type="noConversion"/>
  </si>
  <si>
    <t>Outlet nozzel</t>
    <phoneticPr fontId="16" type="noConversion"/>
  </si>
  <si>
    <t>Sidedraw low</t>
    <phoneticPr fontId="16" type="noConversion"/>
  </si>
  <si>
    <t>Sidedraw High</t>
    <phoneticPr fontId="16" type="noConversion"/>
  </si>
  <si>
    <t>level low</t>
    <phoneticPr fontId="16" type="noConversion"/>
  </si>
  <si>
    <t>level high</t>
    <phoneticPr fontId="16" type="noConversion"/>
  </si>
  <si>
    <t>HeadHeight</t>
    <phoneticPr fontId="16" type="noConversion"/>
  </si>
  <si>
    <t>detail information for each tray in MacroGetSend_CDU4_column.xls</t>
    <phoneticPr fontId="16" type="noConversion"/>
  </si>
  <si>
    <t>TZ2101</t>
    <phoneticPr fontId="16" type="noConversion"/>
  </si>
  <si>
    <t>0001-05-21-0001.tif</t>
  </si>
  <si>
    <t>1,11,12,19,26,31</t>
    <phoneticPr fontId="16" type="noConversion"/>
  </si>
  <si>
    <t>TZ2102</t>
  </si>
  <si>
    <t>Tz2103-2105   0535-05-21-0031.tif</t>
  </si>
  <si>
    <t>TZ2103</t>
  </si>
  <si>
    <t>TZ2104</t>
  </si>
  <si>
    <t>TZ2105</t>
  </si>
  <si>
    <t>TZ2201</t>
    <phoneticPr fontId="16" type="noConversion"/>
  </si>
  <si>
    <t>0001-05-22-0073.tif</t>
  </si>
  <si>
    <t>2.468/3.324</t>
    <phoneticPr fontId="16" type="noConversion"/>
  </si>
  <si>
    <t>1,22,24,</t>
    <phoneticPr fontId="16" type="noConversion"/>
  </si>
  <si>
    <t>TZ2202</t>
  </si>
  <si>
    <t>0001-05-22-0087.tif</t>
  </si>
  <si>
    <t>7.374/6.272</t>
    <phoneticPr fontId="16" type="noConversion"/>
  </si>
  <si>
    <t>1,10</t>
    <phoneticPr fontId="16" type="noConversion"/>
  </si>
  <si>
    <t>TZ2203</t>
  </si>
  <si>
    <t>0001-05-22-0021.tif</t>
  </si>
  <si>
    <t>TZ2851</t>
    <phoneticPr fontId="16" type="noConversion"/>
  </si>
  <si>
    <t>0001-05-18-0004.tif</t>
  </si>
  <si>
    <t>Tag.No</t>
  </si>
  <si>
    <t>Description</t>
  </si>
  <si>
    <t>P&amp;ID Number</t>
  </si>
  <si>
    <t>Rated Capacity</t>
  </si>
  <si>
    <t>NorminaHead</t>
  </si>
  <si>
    <t>Note</t>
  </si>
  <si>
    <t>M3/h</t>
    <phoneticPr fontId="16" type="noConversion"/>
  </si>
  <si>
    <t>rpm</t>
  </si>
  <si>
    <t>PZ2102A</t>
  </si>
  <si>
    <t>Warm Crude Charge Pump</t>
    <phoneticPr fontId="16" type="noConversion"/>
  </si>
  <si>
    <t>0505-05-21-0005</t>
  </si>
  <si>
    <t>Curve =PZ2102B</t>
    <phoneticPr fontId="16" type="noConversion"/>
  </si>
  <si>
    <t>PZ2102B</t>
  </si>
  <si>
    <t>PZ2102C</t>
  </si>
  <si>
    <t>PZ2103A</t>
  </si>
  <si>
    <t>Top Pump Around</t>
    <phoneticPr fontId="16" type="noConversion"/>
  </si>
  <si>
    <t>0505-05-21-0008</t>
  </si>
  <si>
    <t>PZ2103A-B-C-Win.pdf</t>
  </si>
  <si>
    <t>PZ2103B</t>
  </si>
  <si>
    <t>PZ2103C</t>
  </si>
  <si>
    <t>PZ2104A</t>
  </si>
  <si>
    <t>Middle Pump Product</t>
    <phoneticPr fontId="16" type="noConversion"/>
  </si>
  <si>
    <t>0505-05-21-0007</t>
    <phoneticPr fontId="16" type="noConversion"/>
  </si>
  <si>
    <t>PZ2104A-B-C-Win.pdf</t>
  </si>
  <si>
    <t>PZ2104B</t>
  </si>
  <si>
    <t>PZ2104C</t>
  </si>
  <si>
    <t>PZ2105A</t>
  </si>
  <si>
    <t>Bottom Pump Around</t>
    <phoneticPr fontId="16" type="noConversion"/>
  </si>
  <si>
    <t>PZ2105A-B-Win.pdf</t>
  </si>
  <si>
    <t>PZ2105B</t>
  </si>
  <si>
    <t>PZ2106A</t>
  </si>
  <si>
    <t>Atmospheric Residue</t>
    <phoneticPr fontId="16" type="noConversion"/>
  </si>
  <si>
    <t>PZ2106A-B-C-Win.pdf</t>
  </si>
  <si>
    <t>PZ2106B</t>
  </si>
  <si>
    <t>PZ2106C</t>
  </si>
  <si>
    <t>PZ2107A</t>
  </si>
  <si>
    <t>Light Gas Oil</t>
    <phoneticPr fontId="16" type="noConversion"/>
  </si>
  <si>
    <t>0505-05-21-0009</t>
  </si>
  <si>
    <t>PZ2107A-Win.pdf</t>
  </si>
  <si>
    <t>PZ2107B</t>
  </si>
  <si>
    <t>PZ2107B-Win.pdf</t>
  </si>
  <si>
    <t>PZ2108</t>
  </si>
  <si>
    <t>Heavy Gas Oil</t>
    <phoneticPr fontId="16" type="noConversion"/>
  </si>
  <si>
    <t>PZ2108-Win.pdf</t>
  </si>
  <si>
    <t>PZ2109A</t>
  </si>
  <si>
    <t>LGO/HGO To Crude</t>
    <phoneticPr fontId="16" type="noConversion"/>
  </si>
  <si>
    <t>PZ2109A-B-Win.pdf</t>
  </si>
  <si>
    <t>PZ2109B</t>
  </si>
  <si>
    <t>PZ2110A</t>
  </si>
  <si>
    <t xml:space="preserve">Vacuum Condensate </t>
    <phoneticPr fontId="16" type="noConversion"/>
  </si>
  <si>
    <t>PZ2110A-B-Win.pdf</t>
  </si>
  <si>
    <t>PZ2110B</t>
  </si>
  <si>
    <t>PZ2111</t>
  </si>
  <si>
    <t>Pump Watwe To Crude</t>
    <phoneticPr fontId="16" type="noConversion"/>
  </si>
  <si>
    <t>0505-05-21-0003</t>
    <phoneticPr fontId="16" type="noConversion"/>
  </si>
  <si>
    <t>PZ2111-Win.pdf</t>
  </si>
  <si>
    <t>PZ2112A</t>
  </si>
  <si>
    <t>Tempered Water Circ.</t>
    <phoneticPr fontId="16" type="noConversion"/>
  </si>
  <si>
    <t>0505-05-21-0002</t>
    <phoneticPr fontId="16" type="noConversion"/>
  </si>
  <si>
    <t>PZ2112A-B-Win.pdf</t>
  </si>
  <si>
    <t>PZ2112B</t>
  </si>
  <si>
    <t>Tempered Water Circ.</t>
    <phoneticPr fontId="16" type="noConversion"/>
  </si>
  <si>
    <t>PZ2117A</t>
  </si>
  <si>
    <t>5% Cause INJ.</t>
    <phoneticPr fontId="16" type="noConversion"/>
  </si>
  <si>
    <t>PZ2117A-B-Win.pdf</t>
  </si>
  <si>
    <t>PZ2118A</t>
    <phoneticPr fontId="16" type="noConversion"/>
  </si>
  <si>
    <t>Blow Down Pump</t>
    <phoneticPr fontId="16" type="noConversion"/>
  </si>
  <si>
    <t>0505-05-10-0011</t>
    <phoneticPr fontId="16" type="noConversion"/>
  </si>
  <si>
    <t>PZ2118(A)-Win.pdf</t>
  </si>
  <si>
    <t>PZ2118B</t>
    <phoneticPr fontId="16" type="noConversion"/>
  </si>
  <si>
    <t>PZ2122</t>
  </si>
  <si>
    <t>Process Water To Crude</t>
    <phoneticPr fontId="16" type="noConversion"/>
  </si>
  <si>
    <t>0505-05-21-0003</t>
    <phoneticPr fontId="16" type="noConversion"/>
  </si>
  <si>
    <t>PZ2122-Win.pdf</t>
  </si>
  <si>
    <t>PZ2151A</t>
  </si>
  <si>
    <t>DHT Charge</t>
    <phoneticPr fontId="16" type="noConversion"/>
  </si>
  <si>
    <t>0505-05-11-0001</t>
    <phoneticPr fontId="16" type="noConversion"/>
  </si>
  <si>
    <t>PZ2151A-B-Win.pdf,sheet 2</t>
  </si>
  <si>
    <t>PZ2151B</t>
  </si>
  <si>
    <t>PZ2153A</t>
  </si>
  <si>
    <t>Stabalizer Charge</t>
    <phoneticPr fontId="16" type="noConversion"/>
  </si>
  <si>
    <t>0505-05-11-0002</t>
  </si>
  <si>
    <t>PZ2153B</t>
  </si>
  <si>
    <t>PZ2158</t>
  </si>
  <si>
    <t>Wash Water</t>
    <phoneticPr fontId="16" type="noConversion"/>
  </si>
  <si>
    <t>PZ2161A</t>
  </si>
  <si>
    <t>Brine</t>
    <phoneticPr fontId="16" type="noConversion"/>
  </si>
  <si>
    <t>0505-05-21-0019</t>
    <phoneticPr fontId="16" type="noConversion"/>
  </si>
  <si>
    <t>Pz2161A MM-10534.pdf</t>
  </si>
  <si>
    <t>PZ2161B</t>
  </si>
  <si>
    <t>PZ2201A</t>
  </si>
  <si>
    <t>Stabalizer OVHD Reflux</t>
    <phoneticPr fontId="16" type="noConversion"/>
  </si>
  <si>
    <t>0505-05-22-0001</t>
    <phoneticPr fontId="16" type="noConversion"/>
  </si>
  <si>
    <t>PZ2201A-B-Win.pdf</t>
  </si>
  <si>
    <t>PZ2201B</t>
  </si>
  <si>
    <t>PZ2202A</t>
    <phoneticPr fontId="16" type="noConversion"/>
  </si>
  <si>
    <t>Stabilizer Overhead Pump Modification</t>
    <phoneticPr fontId="16" type="noConversion"/>
  </si>
  <si>
    <t>PZ2202B</t>
  </si>
  <si>
    <t>PZ2203A</t>
  </si>
  <si>
    <t>Splitter OVHD Reflux</t>
    <phoneticPr fontId="16" type="noConversion"/>
  </si>
  <si>
    <t>0505-05-22-0003</t>
    <phoneticPr fontId="16" type="noConversion"/>
  </si>
  <si>
    <t>PZ2203A-B-Win.pdf,sheet 8</t>
  </si>
  <si>
    <t>PZ2203B</t>
  </si>
  <si>
    <t>PZ2203A-B-Win.pdf,sheet 9</t>
  </si>
  <si>
    <t>PZ2204A</t>
  </si>
  <si>
    <t>Splitter Reboiler Circulation</t>
    <phoneticPr fontId="16" type="noConversion"/>
  </si>
  <si>
    <t>0505-05-22-0002</t>
    <phoneticPr fontId="16" type="noConversion"/>
  </si>
  <si>
    <t>PZ2204A-B-C-Win.pdf,sheet 3</t>
  </si>
  <si>
    <t>PZ2204B</t>
  </si>
  <si>
    <t>PZ2204C</t>
  </si>
  <si>
    <t>PZ2205A</t>
  </si>
  <si>
    <t>Splitter OVHD Product</t>
    <phoneticPr fontId="16" type="noConversion"/>
  </si>
  <si>
    <t>PZ2205A-B-Win.pdf</t>
  </si>
  <si>
    <t>PZ2205B</t>
  </si>
  <si>
    <t>PZ2206A</t>
  </si>
  <si>
    <t>ARB/Naphtha Prod.</t>
    <phoneticPr fontId="16" type="noConversion"/>
  </si>
  <si>
    <t>PZ2206A-B-Win.pdf,sheet 8</t>
  </si>
  <si>
    <t>PZ2206B</t>
  </si>
  <si>
    <t>PZ2207</t>
  </si>
  <si>
    <t>Kerosine Product</t>
    <phoneticPr fontId="16" type="noConversion"/>
  </si>
  <si>
    <t>PZ2207-Win.pdf,sheet7</t>
  </si>
  <si>
    <t>PZ2855A</t>
  </si>
  <si>
    <t>Rich Amine Pump</t>
    <phoneticPr fontId="16" type="noConversion"/>
  </si>
  <si>
    <t>0505-05-18-0001</t>
    <phoneticPr fontId="16" type="noConversion"/>
  </si>
  <si>
    <t>PZ2855B</t>
  </si>
  <si>
    <t>RVZ5002A</t>
    <phoneticPr fontId="14" type="noConversion"/>
  </si>
  <si>
    <t>FIAZ5013</t>
  </si>
  <si>
    <t>FITZ5017</t>
  </si>
  <si>
    <t>CMPD_BLK</t>
  </si>
  <si>
    <t>DCS TAGNAME</t>
  </si>
  <si>
    <t>DESCRIPTION</t>
  </si>
  <si>
    <t>High Scale</t>
  </si>
  <si>
    <t>Low Scale</t>
  </si>
  <si>
    <t>Units</t>
  </si>
  <si>
    <t>CDU4_1000_44:AIZ1003</t>
  </si>
  <si>
    <t>AIZ1003</t>
  </si>
  <si>
    <t>CLOUD ANALYSER</t>
  </si>
  <si>
    <t>DEGC</t>
  </si>
  <si>
    <t>CDU4_1000_44:AIZ1015</t>
  </si>
  <si>
    <t>AIZ1015</t>
  </si>
  <si>
    <t>COLOUR ANALYSER</t>
  </si>
  <si>
    <t>-</t>
  </si>
  <si>
    <t>CDU4_1000_44:AIZ1015_L2</t>
  </si>
  <si>
    <t>AIZ1015_L2</t>
  </si>
  <si>
    <t>LVL2 TAG FOR OVER-VIEW DISPLAY</t>
  </si>
  <si>
    <t>CDU4_1000_44:AIZ1016</t>
  </si>
  <si>
    <t>AIZ1016</t>
  </si>
  <si>
    <t>LGO BP95%</t>
  </si>
  <si>
    <t>CDU4_1000_46:FDZ1003</t>
  </si>
  <si>
    <t>FDZ1003</t>
  </si>
  <si>
    <t>CRUDE FEED</t>
  </si>
  <si>
    <t>M3/H</t>
  </si>
  <si>
    <t>CDU4_1000_46:FDZ1017</t>
  </si>
  <si>
    <t>FDZ1017</t>
  </si>
  <si>
    <t>CDU TOWER TOP PUMP AROUND</t>
  </si>
  <si>
    <t>CDU4_1000_46:FDZ1031</t>
  </si>
  <si>
    <t>FDZ1031</t>
  </si>
  <si>
    <t>STRIPPING STEAM LOW TRIP</t>
  </si>
  <si>
    <t>T/H</t>
  </si>
  <si>
    <t>CDU4_1000_46:FIAZ1031</t>
  </si>
  <si>
    <t>FIAZ1031</t>
  </si>
  <si>
    <t>CDU4_1000_46:FIAZ1031A</t>
  </si>
  <si>
    <t>FIAZ1031A</t>
  </si>
  <si>
    <t>CDU4_1000_46:FIAZ1031B</t>
  </si>
  <si>
    <t>FIAZ1031B</t>
  </si>
  <si>
    <t>CDU4_1000_46:FICZ1017A</t>
  </si>
  <si>
    <t>FICZ1017A</t>
  </si>
  <si>
    <t>CDU4_1000_46:FICZ1017B</t>
  </si>
  <si>
    <t>FICZ1017B</t>
  </si>
  <si>
    <t>CDU4_1000_46:FITZ1003A</t>
  </si>
  <si>
    <t>FITZ1003A</t>
  </si>
  <si>
    <t>CDU4_1000_46:FITZ1003B</t>
  </si>
  <si>
    <t>FITZ1003B</t>
  </si>
  <si>
    <t>CDU4_1000_46:FITZ1068</t>
  </si>
  <si>
    <t>FITZ1068</t>
  </si>
  <si>
    <t>STEAM EX WASTE HEAT BOILER</t>
  </si>
  <si>
    <t>CDU4_1000_46:LDZ1015</t>
  </si>
  <si>
    <t>LDZ1015</t>
  </si>
  <si>
    <t>A DESALTER INTERFACE</t>
  </si>
  <si>
    <t>PCT</t>
  </si>
  <si>
    <t>CDU4_1000_46:LDZ1017</t>
  </si>
  <si>
    <t>LDZ1017</t>
  </si>
  <si>
    <t>B DESALTER INTERFACE</t>
  </si>
  <si>
    <t>CDU4_1000_46:LDZ1027</t>
  </si>
  <si>
    <t>LDZ1027</t>
  </si>
  <si>
    <t>HGO DRIER TZ2105</t>
  </si>
  <si>
    <t>CDU4_1000_46:LDZ1032</t>
  </si>
  <si>
    <t>LDZ1032</t>
  </si>
  <si>
    <t>HGO/LGO COND DRUM DZ2105 VAC OIL</t>
  </si>
  <si>
    <t>CDU4_1000_46:LDZ1033</t>
  </si>
  <si>
    <t>LDZ1033</t>
  </si>
  <si>
    <t>VACUUM COND KO POT A</t>
  </si>
  <si>
    <t>CDU4_1000_46:LDZ1043</t>
  </si>
  <si>
    <t>LDZ1043</t>
  </si>
  <si>
    <t>WAST HEAT BOILER EZ2128</t>
  </si>
  <si>
    <t>CDU4_1000_46:LIZ1015</t>
  </si>
  <si>
    <t>LIZ1015</t>
  </si>
  <si>
    <t>CDU4_1000_46:LIZ1015A</t>
  </si>
  <si>
    <t>LIZ1015A</t>
  </si>
  <si>
    <t>CDU4_1000_46:LIZ1015B</t>
  </si>
  <si>
    <t>LIZ1015B</t>
  </si>
  <si>
    <t>CDU4_1000_46:LIZ1017</t>
  </si>
  <si>
    <t>LIZ1017</t>
  </si>
  <si>
    <t>CDU4_1000_46:LIZ1017A</t>
  </si>
  <si>
    <t>LIZ1017A</t>
  </si>
  <si>
    <t>CDU4_1000_46:LIZ1017B</t>
  </si>
  <si>
    <t>LIZ1017B</t>
  </si>
  <si>
    <t>CDU4_1000_46:LIZ1027</t>
  </si>
  <si>
    <t>LIZ1027</t>
  </si>
  <si>
    <t>CDU4_1000_46:LIZ1027A</t>
  </si>
  <si>
    <t>LIZ1027A</t>
  </si>
  <si>
    <t>CDU4_1000_46:LIZ1027B</t>
  </si>
  <si>
    <t>LIZ1027B</t>
  </si>
  <si>
    <t>CDU4_1000_46:LIZ1032</t>
  </si>
  <si>
    <t>LIZ1032</t>
  </si>
  <si>
    <t>CDU4_1000_46:LIZ1032A</t>
  </si>
  <si>
    <t>LIZ1032A</t>
  </si>
  <si>
    <t>CDU4_1000_46:LIZ1032B</t>
  </si>
  <si>
    <t>LIZ1032B</t>
  </si>
  <si>
    <t>CDU4_1000_46:LIZ1033</t>
  </si>
  <si>
    <t>LIZ1033</t>
  </si>
  <si>
    <t>CDU4_1000_46:LIZ1033A</t>
  </si>
  <si>
    <t>LIZ1033A</t>
  </si>
  <si>
    <t>CDU4_1000_46:LIZ1033B</t>
  </si>
  <si>
    <t>LIZ1033B</t>
  </si>
  <si>
    <t>CDU4_1000_46:LIZ1034</t>
  </si>
  <si>
    <t>LIZ1034</t>
  </si>
  <si>
    <t>VACUUM COND KO POT B</t>
  </si>
  <si>
    <t>CDU4_1000_46:LIZ1043</t>
  </si>
  <si>
    <t>LIZ1043</t>
  </si>
  <si>
    <t>CDU4_1000_46:LIZ1043A</t>
  </si>
  <si>
    <t>LIZ1043A</t>
  </si>
  <si>
    <t>CDU4_1000_46:LIZ1043B</t>
  </si>
  <si>
    <t>LIZ1043B</t>
  </si>
  <si>
    <t>CDU4_1000_46:PDZ1007</t>
  </si>
  <si>
    <t>PDZ1007</t>
  </si>
  <si>
    <t>CDU TOWER TOP</t>
  </si>
  <si>
    <t>BAR</t>
  </si>
  <si>
    <t>CDU4_1000_46:PDZ1025</t>
  </si>
  <si>
    <t>PDZ1025</t>
  </si>
  <si>
    <t>CDU HTR RADNT SECTN - DAMPR</t>
  </si>
  <si>
    <t>MMWG</t>
  </si>
  <si>
    <t>CDU4_1000_46:PDZ1063</t>
  </si>
  <si>
    <t>PDZ1063</t>
  </si>
  <si>
    <t>HP STEAM</t>
  </si>
  <si>
    <t>CDU4_1000_46:PIAZ1007A</t>
  </si>
  <si>
    <t>PIAZ1007A</t>
  </si>
  <si>
    <t>CDU4_1000_46:PIAZ1007B</t>
  </si>
  <si>
    <t>PIAZ1007B</t>
  </si>
  <si>
    <t>CDU4_1000_46:PIZ1025</t>
  </si>
  <si>
    <t>PIZ1025</t>
  </si>
  <si>
    <t>CDU4_1000_46:PIZ1025A</t>
  </si>
  <si>
    <t>PIZ1025A</t>
  </si>
  <si>
    <t>CDU4_1000_46:PIZ1025B</t>
  </si>
  <si>
    <t>PIZ1025B</t>
  </si>
  <si>
    <t>CDU4_1000_46:PIZ1063</t>
  </si>
  <si>
    <t>PIZ1063</t>
  </si>
  <si>
    <t>HP STEAM TO VACUUM JETS</t>
  </si>
  <si>
    <t>CDU4_1000_46:PIZ1063A</t>
  </si>
  <si>
    <t>PIZ1063A</t>
  </si>
  <si>
    <t>CDU4_1000_46:PIZ1063B</t>
  </si>
  <si>
    <t>PIZ1063B</t>
  </si>
  <si>
    <t>CDU4_1000_48:AIZ1004</t>
  </si>
  <si>
    <t>AIZ1004</t>
  </si>
  <si>
    <t>CRUDE OVERHEADS PH</t>
  </si>
  <si>
    <t>CDU4_1000_48:FIZ1067</t>
  </si>
  <si>
    <t>FIZ1067</t>
  </si>
  <si>
    <t>GASOLINE TO CDU3/4</t>
  </si>
  <si>
    <t>CDU4_1000_48:LIAZ1001</t>
  </si>
  <si>
    <t>LIAZ1001</t>
  </si>
  <si>
    <t>TEMPERED WATER</t>
  </si>
  <si>
    <t>CDU4_1000_48:LIAZ1002</t>
  </si>
  <si>
    <t>LIAZ1002</t>
  </si>
  <si>
    <t>CAUSTIC DRUM DZ2113A</t>
  </si>
  <si>
    <t>CDU4_1000_48:LIAZ1003</t>
  </si>
  <si>
    <t>LIAZ1003</t>
  </si>
  <si>
    <t>CAUSTIC DRUM DZ2113B</t>
  </si>
  <si>
    <t>CDU4_1000_48:PASSZTDIF</t>
  </si>
  <si>
    <t>PASSZTDIF</t>
  </si>
  <si>
    <t>CDU HEATER TDIFF PASSES (CALC)</t>
  </si>
  <si>
    <t>CDU4_1000_48:PIAZ1006</t>
  </si>
  <si>
    <t>PIAZ1006</t>
  </si>
  <si>
    <t>HZ2101 INLET PRESSURE</t>
  </si>
  <si>
    <t>CDU4_1000_48:PIZ1011</t>
  </si>
  <si>
    <t>PIZ1011</t>
  </si>
  <si>
    <t>VACUUM HGO/LGO COOLER EZ2118</t>
  </si>
  <si>
    <t>MBARA</t>
  </si>
  <si>
    <t>CDU4_1000_48:TAHZ1080</t>
  </si>
  <si>
    <t>TAHZ1080</t>
  </si>
  <si>
    <t>HZ2101 HOT AIR DUCT</t>
  </si>
  <si>
    <t>CDU4_1000_48:TIAZ1015</t>
  </si>
  <si>
    <t>TIAZ1015</t>
  </si>
  <si>
    <t>CDU HEATER PASS 1 SKIN</t>
  </si>
  <si>
    <t>CDU4_1000_48:TIAZ1016</t>
  </si>
  <si>
    <t>TIAZ1016</t>
  </si>
  <si>
    <t>CDU HEATER PASS 2 SKIN</t>
  </si>
  <si>
    <t>CDU4_1000_48:TIAZ1017</t>
  </si>
  <si>
    <t>TIAZ1017</t>
  </si>
  <si>
    <t>CDU HEATER PASS 3 SKIN</t>
  </si>
  <si>
    <t>CDU4_1000_48:TIAZ1018</t>
  </si>
  <si>
    <t>TIAZ1018</t>
  </si>
  <si>
    <t>CDU HEATER PASS 4 SKIN</t>
  </si>
  <si>
    <t>CDU4_1000_48:TIAZ1019</t>
  </si>
  <si>
    <t>TIAZ1019</t>
  </si>
  <si>
    <t>CDU HEATER PASS 5 SKIN</t>
  </si>
  <si>
    <t>CDU4_1000_48:TIAZ1020</t>
  </si>
  <si>
    <t>TIAZ1020</t>
  </si>
  <si>
    <t>CDU HEATER PASS 6 SKIN</t>
  </si>
  <si>
    <t>CDU4_1000_48:TIAZ1021</t>
  </si>
  <si>
    <t>TIAZ1021</t>
  </si>
  <si>
    <t>CDU HEATER PASS 7 SKIN</t>
  </si>
  <si>
    <t>CDU4_1000_48:TIAZ1022</t>
  </si>
  <si>
    <t>TIAZ1022</t>
  </si>
  <si>
    <t>CDU HEATER PASS 8 SKIN</t>
  </si>
  <si>
    <t>CDU4_1000_48:TIZ1001</t>
  </si>
  <si>
    <t>TIZ1001</t>
  </si>
  <si>
    <t>RESIDUE TO EZ2101</t>
  </si>
  <si>
    <t>CDU4_1000_48:TIZ1002</t>
  </si>
  <si>
    <t>TIZ1002</t>
  </si>
  <si>
    <t>COLD CRUDE FEED</t>
  </si>
  <si>
    <t>CDU4_1000_48:TIZ1003</t>
  </si>
  <si>
    <t>TIZ1003</t>
  </si>
  <si>
    <t>RESIDUE RUNDOWN</t>
  </si>
  <si>
    <t>CDU4_1000_48:TIZ1004</t>
  </si>
  <si>
    <t>TIZ1004</t>
  </si>
  <si>
    <t>TEMPERED WATER CIRCULATION</t>
  </si>
  <si>
    <t>CDU4_1000_48:TIZ1007</t>
  </si>
  <si>
    <t>TIZ1007</t>
  </si>
  <si>
    <t>CDU OVERHEADS DZ2102</t>
  </si>
  <si>
    <t>CDU4_1000_48:TIZ1008</t>
  </si>
  <si>
    <t>TIZ1008</t>
  </si>
  <si>
    <t>TPA RETURN</t>
  </si>
  <si>
    <t>CDU4_1000_48:TIZ1009</t>
  </si>
  <si>
    <t>TIZ1009</t>
  </si>
  <si>
    <t>CRUDE TO A DESALTER</t>
  </si>
  <si>
    <t>CDU4_1000_48:TIZ1010</t>
  </si>
  <si>
    <t>TIZ1010</t>
  </si>
  <si>
    <t>CRUDE TO B DESALTER</t>
  </si>
  <si>
    <t>CDU4_1000_48:TIZ1011</t>
  </si>
  <si>
    <t>TIZ1011</t>
  </si>
  <si>
    <t>WET HGO TO DRIER</t>
  </si>
  <si>
    <t>CDU4_1000_48:TIZ1012</t>
  </si>
  <si>
    <t>TIZ1012</t>
  </si>
  <si>
    <t>WET LGO TO COOLER</t>
  </si>
  <si>
    <t>CDU4_1000_48:TIZ10124</t>
  </si>
  <si>
    <t>TIZ10124</t>
  </si>
  <si>
    <t>CRUDE INLET EZ2102A</t>
  </si>
  <si>
    <t>CDU4_1000_48:TIZ10125</t>
  </si>
  <si>
    <t>TIZ10125</t>
  </si>
  <si>
    <t>CRUDE INLET EZ2102C</t>
  </si>
  <si>
    <t>CDU4_1000_48:TIZ1013</t>
  </si>
  <si>
    <t>TIZ1013</t>
  </si>
  <si>
    <t>WET LGO TO DRIER</t>
  </si>
  <si>
    <t>CDU4_1000_48:TIZ1015</t>
  </si>
  <si>
    <t>TIZ1015</t>
  </si>
  <si>
    <t>BPA RETURN</t>
  </si>
  <si>
    <t>CDU4_1000_48:TIZ1015_47</t>
  </si>
  <si>
    <t>TIZ1015_47</t>
  </si>
  <si>
    <t>HZ2101 MAX PASSES SKIN</t>
  </si>
  <si>
    <t>CDU4_1000_48:TIZ10152</t>
  </si>
  <si>
    <t>TIZ10152</t>
  </si>
  <si>
    <t>CRUDE OVHD INLET EZ2102B</t>
  </si>
  <si>
    <t>CDU4_1000_48:TIZ10153</t>
  </si>
  <si>
    <t>TIZ10153</t>
  </si>
  <si>
    <t>CRUDE OUTLET EZ2102B</t>
  </si>
  <si>
    <t>CDU4_1000_48:TIZ10154</t>
  </si>
  <si>
    <t>TIZ10154</t>
  </si>
  <si>
    <t>CRUDE OVHD INLET EZ2102D</t>
  </si>
  <si>
    <t>CDU4_1000_48:TIZ10155</t>
  </si>
  <si>
    <t>TIZ10155</t>
  </si>
  <si>
    <t>CRUDE OUTLET EZ2102D</t>
  </si>
  <si>
    <t>CDU4_1000_48:TIZ1016</t>
  </si>
  <si>
    <t>TIZ1016</t>
  </si>
  <si>
    <t>RESIDUE EX EZ2111 A/B</t>
  </si>
  <si>
    <t>CDU4_1000_48:TIZ1017</t>
  </si>
  <si>
    <t>TIZ1017</t>
  </si>
  <si>
    <t>CRUDE EX EZ2111 A</t>
  </si>
  <si>
    <t>CDU4_1000_48:TIZ1018</t>
  </si>
  <si>
    <t>TIZ1018</t>
  </si>
  <si>
    <t>CRUDE EX EZ2111 B</t>
  </si>
  <si>
    <t>CDU4_1000_48:TIZ1019</t>
  </si>
  <si>
    <t>TIZ1019</t>
  </si>
  <si>
    <t>HZ2101 PREHEAT TEMPERATUR</t>
  </si>
  <si>
    <t>CDU4_1000_48:TIZ1020</t>
  </si>
  <si>
    <t>TIZ1020</t>
  </si>
  <si>
    <t>RADIANT SECTION HZ2101</t>
  </si>
  <si>
    <t>CDU4_1000_48:TIZ1021</t>
  </si>
  <si>
    <t>TIZ1021</t>
  </si>
  <si>
    <t>SUPERHEATED STEAM EX HZ2101</t>
  </si>
  <si>
    <t>CDU4_1000_48:TIZ1022</t>
  </si>
  <si>
    <t>TIZ1022</t>
  </si>
  <si>
    <t>CDU HEATER PASS 1 SKIN LOWER</t>
  </si>
  <si>
    <t>CDU4_1000_48:TIZ1023</t>
  </si>
  <si>
    <t>TIZ1023</t>
  </si>
  <si>
    <t>CDU HEATER PASS 2 SKIN LOWER</t>
  </si>
  <si>
    <t>CDU4_1000_48:TIZ1024</t>
  </si>
  <si>
    <t>TIZ1024</t>
  </si>
  <si>
    <t>CDU HEATER PASS 3 SKIN LOWER</t>
  </si>
  <si>
    <t>CDU4_1000_48:TIZ1025</t>
  </si>
  <si>
    <t>TIZ1025</t>
  </si>
  <si>
    <t>CDU HEATER PASS 4 SKIN LOWER</t>
  </si>
  <si>
    <t>CDU4_1000_48:TIZ1026</t>
  </si>
  <si>
    <t>TIZ1026</t>
  </si>
  <si>
    <t>CDU HEATER PASS 5 SKIN LOWER</t>
  </si>
  <si>
    <t>CDU4_1000_48:TIZ1027</t>
  </si>
  <si>
    <t>TIZ1027</t>
  </si>
  <si>
    <t>CDU HEATER PASS 6 SKIN LOWER</t>
  </si>
  <si>
    <t>CDU4_1000_48:TIZ1028</t>
  </si>
  <si>
    <t>TIZ1028</t>
  </si>
  <si>
    <t>CDU HEATER PASS 7 SKIN LOWER</t>
  </si>
  <si>
    <t>CDU4_1000_48:TIZ1029</t>
  </si>
  <si>
    <t>TIZ1029</t>
  </si>
  <si>
    <t>CDU HEATER PASS 8 SKIN LOWER</t>
  </si>
  <si>
    <t>CDU4_1000_48:TIZ1030</t>
  </si>
  <si>
    <t>TIZ1030</t>
  </si>
  <si>
    <t>FLUE GAS EX CONV HZ2101</t>
  </si>
  <si>
    <t>CDU4_1000_48:TIZ1040</t>
  </si>
  <si>
    <t>TIZ1040</t>
  </si>
  <si>
    <t>CDU HEATER PASS 1 OUTLET</t>
  </si>
  <si>
    <t>CDU4_1000_48:TIZ1041</t>
  </si>
  <si>
    <t>TIZ1041</t>
  </si>
  <si>
    <t>CDU HEATER PASS 2 OUTLET</t>
  </si>
  <si>
    <t>CDU4_1000_48:TIZ1042</t>
  </si>
  <si>
    <t>TIZ1042</t>
  </si>
  <si>
    <t>CDU HEATER PASS 3 OUTLET</t>
  </si>
  <si>
    <t>CDU4_1000_48:TIZ1043</t>
  </si>
  <si>
    <t>TIZ1043</t>
  </si>
  <si>
    <t>CDU HEATER PASS 4 OUTLET</t>
  </si>
  <si>
    <t>CDU4_1000_48:TIZ1044</t>
  </si>
  <si>
    <t>TIZ1044</t>
  </si>
  <si>
    <t>CDU HEATER PASS 5 OUTLET</t>
  </si>
  <si>
    <t>CDU4_1000_48:TIZ1045</t>
  </si>
  <si>
    <t>TIZ1045</t>
  </si>
  <si>
    <t>CDU HEATER PASS 6 OUTLET</t>
  </si>
  <si>
    <t>CDU4_1000_48:TIZ1046</t>
  </si>
  <si>
    <t>TIZ1046</t>
  </si>
  <si>
    <t>CDU HEATER PASS 7 OUTLET</t>
  </si>
  <si>
    <t>CDU4_1000_48:TIZ1047</t>
  </si>
  <si>
    <t>TIZ1047</t>
  </si>
  <si>
    <t>CDU HEATER PASS 8 OUTLET</t>
  </si>
  <si>
    <t>CDU4_1000_48:TIZ1048</t>
  </si>
  <si>
    <t>TIZ1048</t>
  </si>
  <si>
    <t>HZ2101 LP STEAM TO STEAM COIL</t>
  </si>
  <si>
    <t>CDU4_1000_48:TIZ1049</t>
  </si>
  <si>
    <t>TIZ1049</t>
  </si>
  <si>
    <t>HZ2101 COIL OUTLET</t>
  </si>
  <si>
    <t>CDU4_1000_48:TIZ1050</t>
  </si>
  <si>
    <t>TIZ1050</t>
  </si>
  <si>
    <t>CDU4_1000_48:TIZ1052</t>
  </si>
  <si>
    <t>TIZ1052</t>
  </si>
  <si>
    <t>TPA EX CDU TOWER</t>
  </si>
  <si>
    <t>CDU4_1000_48:TIZ1053</t>
  </si>
  <si>
    <t>TIZ1053</t>
  </si>
  <si>
    <t>MPA/LGO EX CDU TOWER</t>
  </si>
  <si>
    <t>CDU4_1000_48:TIZ1054</t>
  </si>
  <si>
    <t>TIZ1054</t>
  </si>
  <si>
    <t>BPA/HGO EX CDU TOWER</t>
  </si>
  <si>
    <t>CDU4_1000_48:TIZ1056</t>
  </si>
  <si>
    <t>TIZ1056</t>
  </si>
  <si>
    <t>LGO EX DRIER</t>
  </si>
  <si>
    <t>CDU4_1000_48:TIZ1057</t>
  </si>
  <si>
    <t>TIZ1057</t>
  </si>
  <si>
    <t>LGO EX STRIPPER</t>
  </si>
  <si>
    <t>CDU4_1000_48:TIZ1058</t>
  </si>
  <si>
    <t>TIZ1058</t>
  </si>
  <si>
    <t>HGO EX DRIER</t>
  </si>
  <si>
    <t>CDU4_1000_48:TIZ1059</t>
  </si>
  <si>
    <t>TIZ1059</t>
  </si>
  <si>
    <t>HGO EX STRIPPER</t>
  </si>
  <si>
    <t>CDU4_1000_48:TIZ1060</t>
  </si>
  <si>
    <t>TIZ1060</t>
  </si>
  <si>
    <t>MIXED GAS OIL EX L/HGO COND DR</t>
  </si>
  <si>
    <t>CDU4_1000_48:TIZ1061</t>
  </si>
  <si>
    <t>TIZ1061</t>
  </si>
  <si>
    <t>LGO RUNDOWN</t>
  </si>
  <si>
    <t>CDU4_1000_48:TIZ1062</t>
  </si>
  <si>
    <t>TIZ1062</t>
  </si>
  <si>
    <t>CDU VAC COND KO POT A</t>
  </si>
  <si>
    <t>CDU4_1000_48:TIZ1063</t>
  </si>
  <si>
    <t>TIZ1063</t>
  </si>
  <si>
    <t>CDU VAC COND KO POT B</t>
  </si>
  <si>
    <t>CDU4_1000_48:TIZ1064</t>
  </si>
  <si>
    <t>TIZ1064</t>
  </si>
  <si>
    <t>HGO RUNDOWN</t>
  </si>
  <si>
    <t>CDU4_1000_48:TIZ1065</t>
  </si>
  <si>
    <t>TIZ1065</t>
  </si>
  <si>
    <t>HZ2101 RADIANT SECTION</t>
  </si>
  <si>
    <t>CDU4_1000_48:XIZ1008</t>
  </si>
  <si>
    <t>XIZ1008</t>
  </si>
  <si>
    <t>A DESALTER TRAFO 1 CURRT</t>
  </si>
  <si>
    <t>A</t>
  </si>
  <si>
    <t>CDU4_1000_48:XIZ1009</t>
  </si>
  <si>
    <t>XIZ1009</t>
  </si>
  <si>
    <t>A DESALTER TRAFO 2 CURRT</t>
  </si>
  <si>
    <t>CDU4_1000_48:XIZ1010</t>
  </si>
  <si>
    <t>XIZ1010</t>
  </si>
  <si>
    <t>A DESALTER TRAFO 3 CURRT</t>
  </si>
  <si>
    <t>CDU4_1000_48:XIZ1011</t>
  </si>
  <si>
    <t>XIZ1011</t>
  </si>
  <si>
    <t>B DESALTER TRAFO 1 CURRT</t>
  </si>
  <si>
    <t>CDU4_1000_48:XIZ1012</t>
  </si>
  <si>
    <t>XIZ1012</t>
  </si>
  <si>
    <t>B DESALTER TRAFO 2 CURRT</t>
  </si>
  <si>
    <t>CDU4_1000_48:XIZ1013</t>
  </si>
  <si>
    <t>XIZ1013</t>
  </si>
  <si>
    <t>B DESALTER TRAFO 3 CURRT</t>
  </si>
  <si>
    <t>CDU4_1000_48:XIZ1014</t>
  </si>
  <si>
    <t>XIZ1014</t>
  </si>
  <si>
    <t>MPZ2103A MOTOR AMPT.P.A.</t>
  </si>
  <si>
    <t>AMP</t>
  </si>
  <si>
    <t>CDU4_1000_48:XIZ1015</t>
  </si>
  <si>
    <t>XIZ1015</t>
  </si>
  <si>
    <t>MPZ2103B MOTOR AMPT.P.A.</t>
  </si>
  <si>
    <t>CDU4_1000_49:ACZ1003_L2</t>
  </si>
  <si>
    <t>ACZ1003_L2</t>
  </si>
  <si>
    <t>CDU4_1000_49:ACZ1008_L2</t>
  </si>
  <si>
    <t>ACZ1008_L2</t>
  </si>
  <si>
    <t>CDU4_1000_49:AIAZ1007</t>
  </si>
  <si>
    <t>AIAZ1007</t>
  </si>
  <si>
    <t>SMOKE HZ2101</t>
  </si>
  <si>
    <t>RING</t>
  </si>
  <si>
    <t>CDU4_1000_49:AIZ1007</t>
  </si>
  <si>
    <t>AIZ1007</t>
  </si>
  <si>
    <t>CDU4_1000_49:AIZ1008</t>
  </si>
  <si>
    <t>AIZ1008</t>
  </si>
  <si>
    <t>CDU HEATER O2 FLUE GAS A</t>
  </si>
  <si>
    <t>CDU4_1000_49:AIZ1008A</t>
  </si>
  <si>
    <t>AIZ1008A</t>
  </si>
  <si>
    <t>CDU4_1000_49:AIZ1008B</t>
  </si>
  <si>
    <t>AIZ1008B</t>
  </si>
  <si>
    <t>CDU HEATER O2 FLUE GAS B</t>
  </si>
  <si>
    <t>CDU4_1000_49:AIZ1009</t>
  </si>
  <si>
    <t>AIZ1009</t>
  </si>
  <si>
    <t>CO IN FLUE GAS</t>
  </si>
  <si>
    <t>PPM</t>
  </si>
  <si>
    <t>CDU4_1000_49:AIZ1026</t>
  </si>
  <si>
    <t>AIZ1026</t>
  </si>
  <si>
    <t>O2 FLUE GAS DUCT HZ2101</t>
  </si>
  <si>
    <t>CDU4_1000_49:AIZ1027</t>
  </si>
  <si>
    <t>AIZ1027</t>
  </si>
  <si>
    <t>NOX FLUE GAS DUCT HZ2101</t>
  </si>
  <si>
    <t>MG/NM3</t>
  </si>
  <si>
    <t>CDU4_1000_49:FIZ1012</t>
  </si>
  <si>
    <t>FIZ1012</t>
  </si>
  <si>
    <t>CRUDE FEED A TRAIN</t>
  </si>
  <si>
    <t>CDU4_1000_49:FIZ1013</t>
  </si>
  <si>
    <t>FIZ1013</t>
  </si>
  <si>
    <t>CRUDE FEED B TRAIN</t>
  </si>
  <si>
    <t>CDU4_1000_49:FIZ1059</t>
  </si>
  <si>
    <t>FIZ1059</t>
  </si>
  <si>
    <t>CDU HEATER HZ2101 FUEL GAS</t>
  </si>
  <si>
    <t>KNM3/H</t>
  </si>
  <si>
    <t>CDU4_1000_49:FIZ1062</t>
  </si>
  <si>
    <t>FIZ1062</t>
  </si>
  <si>
    <t>STRIPPED WATER FROM FCCU</t>
  </si>
  <si>
    <t>CDU4_1000_49:FIZ1072</t>
  </si>
  <si>
    <t>FIZ1072</t>
  </si>
  <si>
    <t>TOTAL AIR TO HZ2101</t>
  </si>
  <si>
    <t>CDU4_1000_49:FIZ1072_COMP</t>
  </si>
  <si>
    <t>FIZ1072_COMP</t>
  </si>
  <si>
    <t>CDU4_1000_49:FIZ1085C</t>
  </si>
  <si>
    <t>FIZ1085C</t>
  </si>
  <si>
    <t>LGO RUNDOWN (CALC)</t>
  </si>
  <si>
    <t>CDU4_1000_49:FIZ1086</t>
  </si>
  <si>
    <t>FIZ1086</t>
  </si>
  <si>
    <t>STRIPPED WATER FROM 1700</t>
  </si>
  <si>
    <t>CDU4_1000_49:FXZ1003</t>
  </si>
  <si>
    <t>FXZ1003</t>
  </si>
  <si>
    <t>ALTERNATIVE CRUDE FEED</t>
  </si>
  <si>
    <t>CDU4_1000_49:FXZ1075</t>
  </si>
  <si>
    <t>FXZ1075</t>
  </si>
  <si>
    <t>TOTAL CRUDE FEED</t>
  </si>
  <si>
    <t>CDU4_1000_49:LDZ1024</t>
  </si>
  <si>
    <t>LDZ1024</t>
  </si>
  <si>
    <t>LGO STRIPPER TZ2102</t>
  </si>
  <si>
    <t>CDU4_1000_49:LDZ1028</t>
  </si>
  <si>
    <t>LDZ1028</t>
  </si>
  <si>
    <t>HGO STRIPPER TZ2103</t>
  </si>
  <si>
    <t>CDU4_1000_49:LDZ1031</t>
  </si>
  <si>
    <t>LDZ1031</t>
  </si>
  <si>
    <t>HGO/LGO COND DRUM DZ2105 VAC WAT</t>
  </si>
  <si>
    <t>CDU4_1000_49:LIZ1024</t>
  </si>
  <si>
    <t>LIZ1024</t>
  </si>
  <si>
    <t>CDU4_1000_49:LIZ1024A</t>
  </si>
  <si>
    <t>LIZ1024A</t>
  </si>
  <si>
    <t>CDU4_1000_49:LIZ1024B</t>
  </si>
  <si>
    <t>LIZ1024B</t>
  </si>
  <si>
    <t>CDU4_1000_49:LIZ1028</t>
  </si>
  <si>
    <t>LIZ1028</t>
  </si>
  <si>
    <t>CDU4_1000_49:LIZ1028A</t>
  </si>
  <si>
    <t>LIZ1028A</t>
  </si>
  <si>
    <t>CDU4_1000_49:LIZ1028B</t>
  </si>
  <si>
    <t>LIZ1028B</t>
  </si>
  <si>
    <t>CDU4_1000_49:LIZ1031</t>
  </si>
  <si>
    <t>LIZ1031</t>
  </si>
  <si>
    <t>CDU4_1000_49:LIZ1031A</t>
  </si>
  <si>
    <t>LIZ1031A</t>
  </si>
  <si>
    <t>CDU4_1000_49:LIZ1031B</t>
  </si>
  <si>
    <t>LIZ1031B</t>
  </si>
  <si>
    <t>CDU4_1000_49:PIZ1017</t>
  </si>
  <si>
    <t>PIZ1017</t>
  </si>
  <si>
    <t>CDU_HEATER FUEL- GAS</t>
  </si>
  <si>
    <t>BARG</t>
  </si>
  <si>
    <t>CDU4_1000_49:PIZ1053</t>
  </si>
  <si>
    <t>PIZ1053</t>
  </si>
  <si>
    <t>CDU HEATER RADIANT TOP</t>
  </si>
  <si>
    <t>CDU4_1000_49:PIZ1053_1</t>
  </si>
  <si>
    <t>PIZ1053_1</t>
  </si>
  <si>
    <t>CDU4_1000_49:PVIZ1007</t>
  </si>
  <si>
    <t>PVIZ1007</t>
  </si>
  <si>
    <t>CRUDE TOWER FEED TEMP SETPOINT</t>
  </si>
  <si>
    <t>CDU4_1000_49:TAZ1051</t>
  </si>
  <si>
    <t>TAZ1051</t>
  </si>
  <si>
    <t>TDIFF FLASH BOTTOM</t>
  </si>
  <si>
    <t>CDU4_1000_49:TDZ1011</t>
  </si>
  <si>
    <t>TDZ1011</t>
  </si>
  <si>
    <t>CDU M.P.A. EZ2114 LOUVRES</t>
  </si>
  <si>
    <t>CDU4_1000_49:TIIZ1013</t>
  </si>
  <si>
    <t>TIIZ1013</t>
  </si>
  <si>
    <t>HZ2101 COMBINED OUTLET</t>
  </si>
  <si>
    <t>CDU4_1000_49:TIZ1011</t>
  </si>
  <si>
    <t>CDU4_1000_49:TIZ1011A</t>
  </si>
  <si>
    <t>TIZ1011A</t>
  </si>
  <si>
    <t>CDU4_1000_49:TIZ1011B</t>
  </si>
  <si>
    <t>TIZ1011B</t>
  </si>
  <si>
    <t>CDU4_1000_49:TIZ1040_47</t>
  </si>
  <si>
    <t>TIZ1040_47</t>
  </si>
  <si>
    <t>HZ2101 PASS PROTECTION</t>
  </si>
  <si>
    <t>CDU4_1000_49:TIZ1055</t>
  </si>
  <si>
    <t>TIZ1055</t>
  </si>
  <si>
    <t>RESIDU EX TOWER</t>
  </si>
  <si>
    <t>CDU4_1000_51:ESSZ1014</t>
  </si>
  <si>
    <t>ESSZ1014</t>
  </si>
  <si>
    <t>TZ2101 OVHDS ENTHALPY</t>
  </si>
  <si>
    <t>DUTY</t>
  </si>
  <si>
    <t>CDU4_1000_51:ESSZ1052</t>
  </si>
  <si>
    <t>ESSZ1052</t>
  </si>
  <si>
    <t>TPA DUTY</t>
  </si>
  <si>
    <t>CDU4_1000_51:ESSZ1053</t>
  </si>
  <si>
    <t>ESSZ1053</t>
  </si>
  <si>
    <t>MPA DUTY</t>
  </si>
  <si>
    <t>CDU4_1000_51:ESSZ1054</t>
  </si>
  <si>
    <t>ESSZ1054</t>
  </si>
  <si>
    <t>BPA DUTY</t>
  </si>
  <si>
    <t>CDU4_1000_51:FICZ1002_L2</t>
  </si>
  <si>
    <t>FICZ1002_L2</t>
  </si>
  <si>
    <t>CDU4_1000_51:FIZ1001</t>
  </si>
  <si>
    <t>FIZ1001</t>
  </si>
  <si>
    <t>TEMPERED WATER RECIRCULATION</t>
  </si>
  <si>
    <t>CDU4_1000_51:FIZ1002</t>
  </si>
  <si>
    <t>FIZ1002</t>
  </si>
  <si>
    <t>CDU4_1000_51:FIZ1008</t>
  </si>
  <si>
    <t>FIZ1008</t>
  </si>
  <si>
    <t>WATER TO B DESALTER</t>
  </si>
  <si>
    <t>CDU4_1000_51:FIZ1009</t>
  </si>
  <si>
    <t>FIZ1009</t>
  </si>
  <si>
    <t>CDU4_1000_51:FIZ1009_10</t>
  </si>
  <si>
    <t>FIZ1009_10</t>
  </si>
  <si>
    <t>CDU4_1000_51:FIZ1010</t>
  </si>
  <si>
    <t>FIZ1010</t>
  </si>
  <si>
    <t>CDU4_1000_51:FIZ1011</t>
  </si>
  <si>
    <t>FIZ1011</t>
  </si>
  <si>
    <t>WATER TO A DESALTER</t>
  </si>
  <si>
    <t>CDU4_1000_51:FIZ1017</t>
  </si>
  <si>
    <t>FIZ1017</t>
  </si>
  <si>
    <t>CDU4_1000_51:FIZ1018</t>
  </si>
  <si>
    <t>FIZ1018</t>
  </si>
  <si>
    <t>CDU TOWER MIDDLE PUMP AROUND</t>
  </si>
  <si>
    <t>CDU4_1000_51:FIZ1019</t>
  </si>
  <si>
    <t>FIZ1019</t>
  </si>
  <si>
    <t>CDU TOWER BOTTOM PUMP AROUND</t>
  </si>
  <si>
    <t>CDU4_1000_51:FIZ1045</t>
  </si>
  <si>
    <t>FIZ1045</t>
  </si>
  <si>
    <t>WATER TO CRUDE EZ2101</t>
  </si>
  <si>
    <t>CDU4_1000_51:FIZ1060</t>
  </si>
  <si>
    <t>FIZ1060</t>
  </si>
  <si>
    <t>RECYCLD RESIDUE</t>
  </si>
  <si>
    <t>CDU4_1000_51:FIZ1069</t>
  </si>
  <si>
    <t>FIZ1069</t>
  </si>
  <si>
    <t>STRIP STM - TZ2101 CRUDE TWR</t>
  </si>
  <si>
    <t>CDU4_1000_51:FIZ1094</t>
  </si>
  <si>
    <t>FIZ1094</t>
  </si>
  <si>
    <t>QUENCH TO BOTTOM RINGHEADER</t>
  </si>
  <si>
    <t>CDU4_1000_51:FIZ1095</t>
  </si>
  <si>
    <t>FIZ1095</t>
  </si>
  <si>
    <t>STEAM TO BOTTOM RINGHEADER</t>
  </si>
  <si>
    <t>CDU4_1000_51:FZ1002_OUT</t>
  </si>
  <si>
    <t>FZ1002_OUT</t>
  </si>
  <si>
    <t>TEST BLOCK OUTPUT FICZ1002</t>
  </si>
  <si>
    <t>CDU4_1000_51:FZ1069_OUT</t>
  </si>
  <si>
    <t>FZ1069_OUT</t>
  </si>
  <si>
    <t>TEST BLOCK OUTPUT FICZ1069</t>
  </si>
  <si>
    <t>CDU4_1000_51:PDZ1009</t>
  </si>
  <si>
    <t>PDZ1009</t>
  </si>
  <si>
    <t>CDU4 CRUDE TOWER DP</t>
  </si>
  <si>
    <t>CDU4_1000_51:PIAZ1007</t>
  </si>
  <si>
    <t>PIAZ1007</t>
  </si>
  <si>
    <t>CDU4_1000_51:PIZ1004</t>
  </si>
  <si>
    <t>PIZ1004</t>
  </si>
  <si>
    <t>DESALTER</t>
  </si>
  <si>
    <t>CDU4_1000_51:PIZ1009</t>
  </si>
  <si>
    <t>PIZ1009</t>
  </si>
  <si>
    <t>CDU TOWER FLASHZONE PRESSURE</t>
  </si>
  <si>
    <t>CDU4_1000_51:TDZ1014</t>
  </si>
  <si>
    <t>TDZ1014</t>
  </si>
  <si>
    <t>MEAS -SETPOINT DEVIATION</t>
  </si>
  <si>
    <t>CDU4_1000_51:TIIZ1001</t>
  </si>
  <si>
    <t>TIIZ1001</t>
  </si>
  <si>
    <t>CDU4_1000_51:TIIZ1002</t>
  </si>
  <si>
    <t>TIIZ1002</t>
  </si>
  <si>
    <t>TEMP.WATER EZ2120</t>
  </si>
  <si>
    <t>CDU4_1000_51:TIIZ1003</t>
  </si>
  <si>
    <t>TIIZ1003</t>
  </si>
  <si>
    <t>TPA COOLER PITCH EZ2113</t>
  </si>
  <si>
    <t>CDU4_1000_51:TIIZ1008</t>
  </si>
  <si>
    <t>TIIZ1008</t>
  </si>
  <si>
    <t>SUPER HEATED STM. HZ2101</t>
  </si>
  <si>
    <t>CDU4_1000_51:TIIZ1012</t>
  </si>
  <si>
    <t>TIIZ1012</t>
  </si>
  <si>
    <t>CDU B.P.A. EZ2110 BYPASS</t>
  </si>
  <si>
    <t>CDU4_1000_51:TIIZ1014</t>
  </si>
  <si>
    <t>TIIZ1014</t>
  </si>
  <si>
    <t>CDU4_1000_51:TIZ1014B</t>
  </si>
  <si>
    <t>TIZ1014B</t>
  </si>
  <si>
    <t>TEST TOP TEMP CDU4</t>
  </si>
  <si>
    <t>CDU4_1000_51:TIZ1014C</t>
  </si>
  <si>
    <t>TIZ1014C</t>
  </si>
  <si>
    <t>PRESSURE COMPENS. TEMP BIJ 1BAR</t>
  </si>
  <si>
    <t>CDU4_1000_51:TIZ1088</t>
  </si>
  <si>
    <t>TIZ1088</t>
  </si>
  <si>
    <t>BOTTOM TEMP TZ2101</t>
  </si>
  <si>
    <t>CDU4_1000_51:TZ1012_OUT</t>
  </si>
  <si>
    <t>TZ1012_OUT</t>
  </si>
  <si>
    <t>TEST BLOCK OUTPUT TICZ1012</t>
  </si>
  <si>
    <t>CDU4_1000_53:CDU4_HGO_YLD</t>
  </si>
  <si>
    <t>CDU4_HGO_YLD</t>
  </si>
  <si>
    <t>CDU4 HGO YIELD (VOL%)</t>
  </si>
  <si>
    <t>VOL%</t>
  </si>
  <si>
    <t>CDU4_1000_53:CDU4_LGO_YLD</t>
  </si>
  <si>
    <t>CDU4_LGO_YLD</t>
  </si>
  <si>
    <t>CDU4 LGO YIELD (VOL%)</t>
  </si>
  <si>
    <t>CDU4_1000_53:CDU4_RES_YLD</t>
  </si>
  <si>
    <t>CDU4_RES_YLD</t>
  </si>
  <si>
    <t>CDU4 RESIDUE YIELD(VOL%)</t>
  </si>
  <si>
    <t>CDU4_1000_53:CZ1001</t>
  </si>
  <si>
    <t>CZ1001</t>
  </si>
  <si>
    <t>THRUPUT CDU4 (EV)</t>
  </si>
  <si>
    <t>CDU4_1000_53:FICZ1024_L2</t>
  </si>
  <si>
    <t>FICZ1024_L2</t>
  </si>
  <si>
    <t>CDU4_1000_53:FICZ1085_L2</t>
  </si>
  <si>
    <t>FICZ1085_L2</t>
  </si>
  <si>
    <t>CDU4_1000_53:FITZ1003</t>
  </si>
  <si>
    <t>FITZ1003</t>
  </si>
  <si>
    <t>CDU4_1000_53:FITZ1003_L2</t>
  </si>
  <si>
    <t>FITZ1003_L2</t>
  </si>
  <si>
    <t>CDU4_1000_53:FIVZ1085B</t>
  </si>
  <si>
    <t>FIVZ1085B</t>
  </si>
  <si>
    <t>LGO TO TANK SIGN.</t>
  </si>
  <si>
    <t>CDU4_1000_53:FIZ1024</t>
  </si>
  <si>
    <t>FIZ1024</t>
  </si>
  <si>
    <t>CDU4_1000_53:FIZ1032</t>
  </si>
  <si>
    <t>FIZ1032</t>
  </si>
  <si>
    <t>CDU HEATER HZ2101 PASS 1</t>
  </si>
  <si>
    <t>CDU4_1000_53:FIZ1032_R</t>
  </si>
  <si>
    <t>FIZ1032_R</t>
  </si>
  <si>
    <t>CDU HEATER HZ2101 PASS 1 (RAW)</t>
  </si>
  <si>
    <t>CDU4_1000_53:FIZ1033</t>
  </si>
  <si>
    <t>FIZ1033</t>
  </si>
  <si>
    <t>CDU HEATER HZ2101 PASS 2</t>
  </si>
  <si>
    <t>CDU4_1000_53:FIZ1033_R</t>
  </si>
  <si>
    <t>FIZ1033_R</t>
  </si>
  <si>
    <t>CDU HEATER HZ2101 PASS 2 (RAW)</t>
  </si>
  <si>
    <t>CDU4_1000_53:FIZ1034</t>
  </si>
  <si>
    <t>FIZ1034</t>
  </si>
  <si>
    <t>CDU HEATER HZ2101 PASS 3</t>
  </si>
  <si>
    <t>CDU4_1000_53:FIZ1034_R</t>
  </si>
  <si>
    <t>FIZ1034_R</t>
  </si>
  <si>
    <t>CDU HEATER HZ2101 PASS 3 (RAW)</t>
  </si>
  <si>
    <t>CDU4_1000_53:FIZ1035</t>
  </si>
  <si>
    <t>FIZ1035</t>
  </si>
  <si>
    <t>CDU HEATER HZ2101 PASS 4</t>
  </si>
  <si>
    <t>CDU4_1000_53:FIZ1035_R</t>
  </si>
  <si>
    <t>FIZ1035_R</t>
  </si>
  <si>
    <t>CDU HEATER HZ2101 PASS 4 (RAW)</t>
  </si>
  <si>
    <t>CDU4_1000_53:FIZ1036</t>
  </si>
  <si>
    <t>FIZ1036</t>
  </si>
  <si>
    <t>CDU HEATER HZ2101 PASS 5</t>
  </si>
  <si>
    <t>CDU4_1000_53:FIZ1036_R</t>
  </si>
  <si>
    <t>FIZ1036_R</t>
  </si>
  <si>
    <t>CDU HEATER HZ2101 PASS 5 (RAW)</t>
  </si>
  <si>
    <t>CDU4_1000_53:FIZ1037</t>
  </si>
  <si>
    <t>FIZ1037</t>
  </si>
  <si>
    <t>CDU HEATER HZ2101 PASS 6</t>
  </si>
  <si>
    <t>CDU4_1000_53:FIZ1037_R</t>
  </si>
  <si>
    <t>FIZ1037_R</t>
  </si>
  <si>
    <t>CDU HEATER HZ2101 PASS 6 (RAW)</t>
  </si>
  <si>
    <t>CDU4_1000_53:FIZ1038</t>
  </si>
  <si>
    <t>FIZ1038</t>
  </si>
  <si>
    <t>CDU HEATER HZ2101 PASS 7</t>
  </si>
  <si>
    <t>CDU4_1000_53:FIZ1038_R</t>
  </si>
  <si>
    <t>FIZ1038_R</t>
  </si>
  <si>
    <t>CDU HEATER HZ2101 PASS 7 (RAW)</t>
  </si>
  <si>
    <t>CDU4_1000_53:FIZ1039</t>
  </si>
  <si>
    <t>FIZ1039</t>
  </si>
  <si>
    <t>CDU HEATER HZ2101 PASS 8</t>
  </si>
  <si>
    <t>CDU4_1000_53:FIZ1039_R</t>
  </si>
  <si>
    <t>FIZ1039_R</t>
  </si>
  <si>
    <t>CDU HEATER HZ2101 PASS 8 (RAW)</t>
  </si>
  <si>
    <t>CDU4_1000_53:FIZ1061</t>
  </si>
  <si>
    <t>FIZ1061</t>
  </si>
  <si>
    <t>CDU4 CRUDE O/H OFFGAS TO HZ2201</t>
  </si>
  <si>
    <t>NM3/H</t>
  </si>
  <si>
    <t>CDU4_1000_53:FIZ1070</t>
  </si>
  <si>
    <t>FIZ1070</t>
  </si>
  <si>
    <t>STRIP STEAM TO T2102 LGO STRP</t>
  </si>
  <si>
    <t>CDU4_1000_53:FIZ1071</t>
  </si>
  <si>
    <t>FIZ1071</t>
  </si>
  <si>
    <t>STRIP STEAM TO T2103 HGO STRP</t>
  </si>
  <si>
    <t>CDU4_1000_53:FIZ1074</t>
  </si>
  <si>
    <t>FIZ1074</t>
  </si>
  <si>
    <t>CDU4_1000_53:FIZ1085</t>
  </si>
  <si>
    <t>FIZ1085</t>
  </si>
  <si>
    <t>CDU4_1000_53:LDZ1007</t>
  </si>
  <si>
    <t>LDZ1007</t>
  </si>
  <si>
    <t>CDU OVERHEAD DRUM</t>
  </si>
  <si>
    <t>CDU4_1000_53:LDZ1019</t>
  </si>
  <si>
    <t>LDZ1019</t>
  </si>
  <si>
    <t>LGO DRIER TZ2104</t>
  </si>
  <si>
    <t>CDU4_1000_53:LIZ1007</t>
  </si>
  <si>
    <t>LIZ1007</t>
  </si>
  <si>
    <t>CDU4_1000_53:LIZ1007A</t>
  </si>
  <si>
    <t>LIZ1007A</t>
  </si>
  <si>
    <t>CDU4_1000_53:LIZ1007B</t>
  </si>
  <si>
    <t>LIZ1007B</t>
  </si>
  <si>
    <t>CDU4_1000_53:LIZ1019</t>
  </si>
  <si>
    <t>LIZ1019</t>
  </si>
  <si>
    <t>CDU4_1000_53:LIZ1019A</t>
  </si>
  <si>
    <t>LIZ1019A</t>
  </si>
  <si>
    <t>CDU4_1000_53:LIZ1019B</t>
  </si>
  <si>
    <t>LIZ1019B</t>
  </si>
  <si>
    <t>CDU4_1000_53:PASSZBAL</t>
  </si>
  <si>
    <t>PASSZBAL</t>
  </si>
  <si>
    <t>HZ2101 PASS DIFF FLOW IN PERCT</t>
  </si>
  <si>
    <t>PERCT</t>
  </si>
  <si>
    <t>CDU4_1000_53:PASSZBIAS</t>
  </si>
  <si>
    <t>PASSZBIAS</t>
  </si>
  <si>
    <t>PASS FLOW BIAS CALC</t>
  </si>
  <si>
    <t>BIAS</t>
  </si>
  <si>
    <t>CDU4_1000_53:PASSZFLOW_R</t>
  </si>
  <si>
    <t>PASSZFLOW_R</t>
  </si>
  <si>
    <t>CDU HEATER HZ2101 FLOW (RAW)</t>
  </si>
  <si>
    <t>CDU4_1000_53:PASSZKFACT</t>
  </si>
  <si>
    <t>PASSZKFACT</t>
  </si>
  <si>
    <t>CDU HEATER H2101 KFACT (CALC)</t>
  </si>
  <si>
    <t>KFACT</t>
  </si>
  <si>
    <t>CDU4_1000_53:PIZ1003</t>
  </si>
  <si>
    <t>PIZ1003</t>
  </si>
  <si>
    <t>CDU TOWER OVERH. DRUM</t>
  </si>
  <si>
    <t>CDU4_1000_53:PIZ1010</t>
  </si>
  <si>
    <t>PIZ1010</t>
  </si>
  <si>
    <t>LGO DRIER</t>
  </si>
  <si>
    <t>CDU4_1000_53:PVIZ3010B</t>
  </si>
  <si>
    <t>PVIZ3010B</t>
  </si>
  <si>
    <t>OUTPUT FROM 0-50% FROM PICZ3010</t>
  </si>
  <si>
    <t>CDU4_1000_53:PVZ1003</t>
  </si>
  <si>
    <t>PVZ1003</t>
  </si>
  <si>
    <t>CDU4 TOWER OVHD</t>
  </si>
  <si>
    <t>CDU4_1000_53:TIIZ1009</t>
  </si>
  <si>
    <t>TIIZ1009</t>
  </si>
  <si>
    <t>HGO TO DRIER</t>
  </si>
  <si>
    <t>CDU4_1000_53:TIIZ1010</t>
  </si>
  <si>
    <t>TIIZ1010</t>
  </si>
  <si>
    <t>LGO TO DRIER</t>
  </si>
  <si>
    <t>CDU4_1000_54:LDZ1005</t>
  </si>
  <si>
    <t>LDZ1005</t>
  </si>
  <si>
    <t>WATERINJECTIE DRUM DZ2104</t>
  </si>
  <si>
    <t>CDU4_1000_54:LIZ1005</t>
  </si>
  <si>
    <t>LIZ1005</t>
  </si>
  <si>
    <t>CDU4_1000_54:LIZ1005A</t>
  </si>
  <si>
    <t>LIZ1005A</t>
  </si>
  <si>
    <t>CDU4_1000_54:LIZ1005B</t>
  </si>
  <si>
    <t>LIZ1005B</t>
  </si>
  <si>
    <t>CDU4_1000_55:FIZ_1087</t>
  </si>
  <si>
    <t>FIZ_1087</t>
  </si>
  <si>
    <t>NEUTRALISED SPENT CAUSTIC</t>
  </si>
  <si>
    <t>CDU4_1000_57:FIZ10100</t>
  </si>
  <si>
    <t>FIZ10100</t>
  </si>
  <si>
    <t>CAUSTIC INJECTION PZ2117A</t>
  </si>
  <si>
    <t>KG/H</t>
  </si>
  <si>
    <t>CDU4_1000_57:PIZ10000</t>
  </si>
  <si>
    <t>PIZ10000</t>
  </si>
  <si>
    <t>DISULPHIDE OIL TO PZ2117S</t>
  </si>
  <si>
    <t>CDU4_1000_57:PIZ1051</t>
  </si>
  <si>
    <t>PIZ1051</t>
  </si>
  <si>
    <t>CDU4 KERO TO STORAGE</t>
  </si>
  <si>
    <t>CDU4_1000_80:AIZ1018A</t>
  </si>
  <si>
    <t>AIZ1018A</t>
  </si>
  <si>
    <t>O2 FLUE GAS BURNERCELL 3</t>
  </si>
  <si>
    <t>CDU4_1000_80:AIZ1018B</t>
  </si>
  <si>
    <t>AIZ1018B</t>
  </si>
  <si>
    <t>COMBUSTIBLE FLUE GAS CELL 3</t>
  </si>
  <si>
    <t>CDU4_1000_80:AIZ1019A</t>
  </si>
  <si>
    <t>AIZ1019A</t>
  </si>
  <si>
    <t>O2 FLUE GAS BURNERCELL 5</t>
  </si>
  <si>
    <t>CDU4_1000_80:AIZ1019B</t>
  </si>
  <si>
    <t>AIZ1019B</t>
  </si>
  <si>
    <t>COMBUSTIBLE FLUE GAS CELL 5</t>
  </si>
  <si>
    <t>CDU4_1000_80:AIZ1020A</t>
  </si>
  <si>
    <t>AIZ1020A</t>
  </si>
  <si>
    <t>O2 FLUE GAS BURNERCELL 6</t>
  </si>
  <si>
    <t>CDU4_1000_80:AIZ1020B</t>
  </si>
  <si>
    <t>AIZ1020B</t>
  </si>
  <si>
    <t>COMBUSTIBLE FLUE GAS CELL 6</t>
  </si>
  <si>
    <t>CDU4_1000_80:AIZ1021A</t>
  </si>
  <si>
    <t>AIZ1021A</t>
  </si>
  <si>
    <t>O2 FLUE GAS BURNERCELL 7</t>
  </si>
  <si>
    <t>CDU4_1000_80:AIZ1021B</t>
  </si>
  <si>
    <t>AIZ1021B</t>
  </si>
  <si>
    <t>COMBUSTIBLE FLUE GAS CELL 7</t>
  </si>
  <si>
    <t>CDU4_1000_80:AIZ1022A</t>
  </si>
  <si>
    <t>AIZ1022A</t>
  </si>
  <si>
    <t>O2 FLUE GAS BURNERCELL 9</t>
  </si>
  <si>
    <t>CDU4_1000_80:AIZ1022B</t>
  </si>
  <si>
    <t>AIZ1022B</t>
  </si>
  <si>
    <t>COMBUSTIBLE FLUE GAS CELL 9</t>
  </si>
  <si>
    <t>CDU4_1000_80:PIZ10101</t>
  </si>
  <si>
    <t>PIZ10101</t>
  </si>
  <si>
    <t>CDU HEATER PASS 1 INLET</t>
  </si>
  <si>
    <t>CDU4_1000_80:PIZ10102</t>
  </si>
  <si>
    <t>PIZ10102</t>
  </si>
  <si>
    <t>CDU HEATER PASS 2 INLET</t>
  </si>
  <si>
    <t>CDU4_1000_80:PIZ10103</t>
  </si>
  <si>
    <t>PIZ10103</t>
  </si>
  <si>
    <t>CDU HEATER PASS 3 INLET</t>
  </si>
  <si>
    <t>CDU4_1000_80:PIZ10104</t>
  </si>
  <si>
    <t>PIZ10104</t>
  </si>
  <si>
    <t>CDU HEATER PASS 4 INLET</t>
  </si>
  <si>
    <t>CDU4_1000_80:PIZ10105</t>
  </si>
  <si>
    <t>PIZ10105</t>
  </si>
  <si>
    <t>CDU HEATER PASS 5 INLET</t>
  </si>
  <si>
    <t>CDU4_1000_80:PIZ10106</t>
  </si>
  <si>
    <t>PIZ10106</t>
  </si>
  <si>
    <t>CDU HEATER PASS 6 INLET</t>
  </si>
  <si>
    <t>CDU4_1000_80:PIZ10107</t>
  </si>
  <si>
    <t>PIZ10107</t>
  </si>
  <si>
    <t>CDU HEATER PASS 7 INLET</t>
  </si>
  <si>
    <t>CDU4_1000_80:PIZ10108</t>
  </si>
  <si>
    <t>PIZ10108</t>
  </si>
  <si>
    <t>CDU HEATER PASS 8 INLET</t>
  </si>
  <si>
    <t>CDU4_1000_80:TIZ10101</t>
  </si>
  <si>
    <t>TIZ10101</t>
  </si>
  <si>
    <t>CDU HEATER PASS 1 INTERMEDIATE</t>
  </si>
  <si>
    <t>CDU4_1000_80:TIZ10102</t>
  </si>
  <si>
    <t>TIZ10102</t>
  </si>
  <si>
    <t>CDU HEATER PASS 2 INTERMEDIATE</t>
  </si>
  <si>
    <t>CDU4_1000_80:TIZ10103</t>
  </si>
  <si>
    <t>TIZ10103</t>
  </si>
  <si>
    <t>CDU HEATER PASS 3 INTERMEDIATE</t>
  </si>
  <si>
    <t>CDU4_1000_80:TIZ10104</t>
  </si>
  <si>
    <t>TIZ10104</t>
  </si>
  <si>
    <t>CDU HEATER PASS 4 INTERMEDIATE</t>
  </si>
  <si>
    <t>CDU4_1000_80:TIZ10105</t>
  </si>
  <si>
    <t>TIZ10105</t>
  </si>
  <si>
    <t>CDU HEATER PASS 5 INTERMEDIATE</t>
  </si>
  <si>
    <t>CDU4_1000_80:TIZ10106</t>
  </si>
  <si>
    <t>TIZ10106</t>
  </si>
  <si>
    <t>CDU HEATER PASS 6 INTERMEDIATE</t>
  </si>
  <si>
    <t>CDU4_1000_80:TIZ10107</t>
  </si>
  <si>
    <t>TIZ10107</t>
  </si>
  <si>
    <t>CDU HEATER PASS 7 INTERMEDIATE</t>
  </si>
  <si>
    <t>CDU4_1000_80:TIZ10108</t>
  </si>
  <si>
    <t>TIZ10108</t>
  </si>
  <si>
    <t>CDU HEATER PASS 8 INTERMEDIATE</t>
  </si>
  <si>
    <t>CDU4_1000_80:TIZ10109</t>
  </si>
  <si>
    <t>TIZ10109</t>
  </si>
  <si>
    <t>CDU HEATER PASS 3 RADIATION SKIN</t>
  </si>
  <si>
    <t>CDU4_1000_80:TIZ10110</t>
  </si>
  <si>
    <t>TIZ10110</t>
  </si>
  <si>
    <t>CDU4_1000_80:TIZ10111</t>
  </si>
  <si>
    <t>TIZ10111</t>
  </si>
  <si>
    <t>CDU HEATER PASS 8 RADIATION SKIN</t>
  </si>
  <si>
    <t>CDU4_1000_80:TIZ10112</t>
  </si>
  <si>
    <t>TIZ10112</t>
  </si>
  <si>
    <t>CDU4_1000_80:TIZ10113</t>
  </si>
  <si>
    <t>TIZ10113</t>
  </si>
  <si>
    <t>CDU HEATER FLUEGASCELL 3</t>
  </si>
  <si>
    <t>CDU4_1000_80:TIZ10114</t>
  </si>
  <si>
    <t>TIZ10114</t>
  </si>
  <si>
    <t>CDU HEATER FLUEGASCELL 5</t>
  </si>
  <si>
    <t>CDU4_1000_80:TIZ10115</t>
  </si>
  <si>
    <t>TIZ10115</t>
  </si>
  <si>
    <t>CDU HEATER FLUEGASCELL 6</t>
  </si>
  <si>
    <t>CDU4_1000_80:TIZ10116</t>
  </si>
  <si>
    <t>TIZ10116</t>
  </si>
  <si>
    <t>CDU HEATER FLUEGASCELL 7</t>
  </si>
  <si>
    <t>CDU4_1000_80:TIZ10117</t>
  </si>
  <si>
    <t>TIZ10117</t>
  </si>
  <si>
    <t>CDU HEATER FLUEGASCELL 9</t>
  </si>
  <si>
    <t>CDU4_1000_80:TIZ10118</t>
  </si>
  <si>
    <t>TIZ10118</t>
  </si>
  <si>
    <t>CDU HEATER PASS 3 OUTLET SKIN</t>
  </si>
  <si>
    <t>CDU4_1000_80:TIZ10119</t>
  </si>
  <si>
    <t>TIZ10119</t>
  </si>
  <si>
    <t>CDU HEATER PASS 8 OUTLET SKIN</t>
  </si>
  <si>
    <t>CDU4_1000_80:TIZ10120</t>
  </si>
  <si>
    <t>TIZ10120</t>
  </si>
  <si>
    <t>EZ2104A/B OUTLET FROM TPA</t>
  </si>
  <si>
    <t>CDU4_1000_80:TIZ1021</t>
  </si>
  <si>
    <t>CRUDE OUTLET EZ2104A</t>
  </si>
  <si>
    <t>CDU4_1000_80:TIZ1023</t>
  </si>
  <si>
    <t>CRUDE OUTLET EZ2104B</t>
  </si>
  <si>
    <t>CDU4_1000_80:TIZ1026</t>
  </si>
  <si>
    <t>CRUDE OUTLET EZ2107A</t>
  </si>
  <si>
    <t>CDU4_1000_80:TIZ1027</t>
  </si>
  <si>
    <t>CRUDE OUTLET EZ2108B</t>
  </si>
  <si>
    <t>CDU4_1000_80:TIZ1035</t>
  </si>
  <si>
    <t>TIZ1035</t>
  </si>
  <si>
    <t>LGO FROM EZ2105</t>
  </si>
  <si>
    <t>CDU4_1000_80:TIZ1068</t>
  </si>
  <si>
    <t>TIZ1068</t>
  </si>
  <si>
    <t>CRUDE OUTLET EZ2105</t>
  </si>
  <si>
    <t>CDU4_1000_80:TIZ1074</t>
  </si>
  <si>
    <t>TIZ1074</t>
  </si>
  <si>
    <t>EZ2110B OUTLT FROM CRUDE</t>
  </si>
  <si>
    <t>CDU4_1000_80:TIZ1077</t>
  </si>
  <si>
    <t>TIZ1077</t>
  </si>
  <si>
    <t>CRUDE OUTLET EZ2106</t>
  </si>
  <si>
    <t>CDU4_1000_80:TIZ1078</t>
  </si>
  <si>
    <t>TIZ1078</t>
  </si>
  <si>
    <t>CRUDE OUTLET EZ2107B</t>
  </si>
  <si>
    <t>CDU4_1000_80:TIZ1080</t>
  </si>
  <si>
    <t>TIZ1080</t>
  </si>
  <si>
    <t>CRUDE OUTLET EZ2108C</t>
  </si>
  <si>
    <t>CDU4_1000_80:TIZ1083</t>
  </si>
  <si>
    <t>TIZ1083</t>
  </si>
  <si>
    <t>EZ2110D OUTLT FROM CRUDE</t>
  </si>
  <si>
    <t>CDU4_1000_80:TIZ1089</t>
  </si>
  <si>
    <t>TIZ1089</t>
  </si>
  <si>
    <t>CDU4_1000_80:TIZ1091</t>
  </si>
  <si>
    <t>TIZ1091</t>
  </si>
  <si>
    <t>CDU4_1000_80:TIZ1092</t>
  </si>
  <si>
    <t>TIZ1092</t>
  </si>
  <si>
    <t>CDU4_1000_80:TIZ1093</t>
  </si>
  <si>
    <t>TIZ1093</t>
  </si>
  <si>
    <t>CRUDE OUTLET EZ2108A</t>
  </si>
  <si>
    <t>CDU4_1000_80:TIZ1094</t>
  </si>
  <si>
    <t>TIZ1094</t>
  </si>
  <si>
    <t>CDU4_1000_81:FIZ10101</t>
  </si>
  <si>
    <t>FIZ10101</t>
  </si>
  <si>
    <t>WATER TO DESALTER C</t>
  </si>
  <si>
    <t>CDU4_1000_81:LDAZ1044</t>
  </si>
  <si>
    <t>LDAZ1044</t>
  </si>
  <si>
    <t>INTERFACE LEVEL DESALTER C</t>
  </si>
  <si>
    <t>CDU4_1000_81:LDZ1010</t>
  </si>
  <si>
    <t>LDZ1010</t>
  </si>
  <si>
    <t>CDU OVHD WTR BOOT DZ2103</t>
  </si>
  <si>
    <t>CDU4_1000_81:LDZ1018</t>
  </si>
  <si>
    <t>LDZ1018</t>
  </si>
  <si>
    <t>CDU TOWER BOTTOM LDA</t>
  </si>
  <si>
    <t>CDU4_1000_81:LDZ1048</t>
  </si>
  <si>
    <t>LDZ1048</t>
  </si>
  <si>
    <t>CDU OVHD LEVEL DIFALARM</t>
  </si>
  <si>
    <t>CDU4_1000_81:LIZ1010</t>
  </si>
  <si>
    <t>LIZ1010</t>
  </si>
  <si>
    <t>CDU4_1000_81:LIZ1010A</t>
  </si>
  <si>
    <t>LIZ1010A</t>
  </si>
  <si>
    <t>CDU4_1000_81:LIZ1010B</t>
  </si>
  <si>
    <t>LIZ1010B</t>
  </si>
  <si>
    <t>CDU4_1000_81:LIZ1018</t>
  </si>
  <si>
    <t>LIZ1018</t>
  </si>
  <si>
    <t>CDU TOWER BOTTOM TZ2101</t>
  </si>
  <si>
    <t>CDU4_1000_81:LIZ1018A</t>
  </si>
  <si>
    <t>LIZ1018A</t>
  </si>
  <si>
    <t>CDU TOWER BOTTOM</t>
  </si>
  <si>
    <t>CDU4_1000_81:LIZ1018B</t>
  </si>
  <si>
    <t>LIZ1018B</t>
  </si>
  <si>
    <t>CDU4_1000_81:LIZ1018C</t>
  </si>
  <si>
    <t>LIZ1018C</t>
  </si>
  <si>
    <t>CDU4_1000_81:LIZ1044</t>
  </si>
  <si>
    <t>LIZ1044</t>
  </si>
  <si>
    <t>INTERFACE LEVEL DZ2101C</t>
  </si>
  <si>
    <t>CDU4_1000_81:LIZ1044A</t>
  </si>
  <si>
    <t>LIZ1044A</t>
  </si>
  <si>
    <t>DESALTER VESSEL C LEVEL A</t>
  </si>
  <si>
    <t>CDU4_1000_81:LIZ1044B</t>
  </si>
  <si>
    <t>LIZ1044B</t>
  </si>
  <si>
    <t>DESALTER VESSEL C LEVEL B</t>
  </si>
  <si>
    <t>CDU4_1000_81:LIZ1048</t>
  </si>
  <si>
    <t>LIZ1048</t>
  </si>
  <si>
    <t>CDU OVHD DZ2102 HIGH</t>
  </si>
  <si>
    <t>CDU4_1000_81:LIZ1048A</t>
  </si>
  <si>
    <t>LIZ1048A</t>
  </si>
  <si>
    <t>CDU4_1000_81:LIZ1048B</t>
  </si>
  <si>
    <t>LIZ1048B</t>
  </si>
  <si>
    <t>CDU4_1000_81:LIZ1052</t>
  </si>
  <si>
    <t>LIZ1052</t>
  </si>
  <si>
    <t>DZ2179</t>
  </si>
  <si>
    <t>CDU4_1000_81:PDAZ10125</t>
  </si>
  <si>
    <t>PDAZ10125</t>
  </si>
  <si>
    <t>HZ2101 PILOTGAS HEADER PRESS</t>
  </si>
  <si>
    <t>CDU4_1000_81:PDAZ10139</t>
  </si>
  <si>
    <t>PDAZ10139</t>
  </si>
  <si>
    <t>HZ2101 FUELGAS HEADER PRESS</t>
  </si>
  <si>
    <t>CDU4_1000_81:PDAZ1027</t>
  </si>
  <si>
    <t>PDAZ1027</t>
  </si>
  <si>
    <t>DELTA P MIXVALVE DESALTER A</t>
  </si>
  <si>
    <t>CDU4_1000_81:PDAZ1028</t>
  </si>
  <si>
    <t>PDAZ1028</t>
  </si>
  <si>
    <t>DELTA P MIXVALVE DESALTER B</t>
  </si>
  <si>
    <t>CDU4_1000_81:PIAZ10121</t>
  </si>
  <si>
    <t>PIAZ10121</t>
  </si>
  <si>
    <t>HZ2101 PILOT GAS AFTER FILTER</t>
  </si>
  <si>
    <t>CDU4_1000_81:PIAZ10125</t>
  </si>
  <si>
    <t>PIAZ10125</t>
  </si>
  <si>
    <t>CDU4_1000_81:PIAZ10127</t>
  </si>
  <si>
    <t>PIAZ10127</t>
  </si>
  <si>
    <t>INSTRUMENT AIR TO PILOTS HZ2101</t>
  </si>
  <si>
    <t>CDU4_1000_81:PIAZ10130</t>
  </si>
  <si>
    <t>PIAZ10130</t>
  </si>
  <si>
    <t>DESALTER DZ2101C PRESSURE</t>
  </si>
  <si>
    <t>CDU4_1000_81:PIAZ10139</t>
  </si>
  <si>
    <t>PIAZ10139</t>
  </si>
  <si>
    <t>CDU4_1000_81:PIAZ10141</t>
  </si>
  <si>
    <t>PIAZ10141</t>
  </si>
  <si>
    <t>SUCTION PRESSURE PZ-2102A/B/C</t>
  </si>
  <si>
    <t>CDU4_1000_81:PIZ10119</t>
  </si>
  <si>
    <t>PIZ10119</t>
  </si>
  <si>
    <t>DESALTER EFFLUENCEBACK PRESSURE</t>
  </si>
  <si>
    <t>CDU4_1000_81:PIZ10125A</t>
  </si>
  <si>
    <t>PIZ10125A</t>
  </si>
  <si>
    <t>HZ2101 PILOTGAS HEADER PRES A</t>
  </si>
  <si>
    <t>CDU4_1000_81:PIZ10125B</t>
  </si>
  <si>
    <t>PIZ10125B</t>
  </si>
  <si>
    <t>HZ2101 PILOTGAS HEADER PRES B</t>
  </si>
  <si>
    <t>CDU4_1000_81:PIZ10139A</t>
  </si>
  <si>
    <t>PIZ10139A</t>
  </si>
  <si>
    <t>HZ2101 FUELGAS HEADER PRES A</t>
  </si>
  <si>
    <t>CDU4_1000_81:PIZ10139B</t>
  </si>
  <si>
    <t>PIZ10139B</t>
  </si>
  <si>
    <t>HZ2101 FUELGAS HEADER PRES B</t>
  </si>
  <si>
    <t>CDU4_1000_81:PIZ10140A</t>
  </si>
  <si>
    <t>PIZ10140A</t>
  </si>
  <si>
    <t>DESALTER C PRESSURE A</t>
  </si>
  <si>
    <t>CDU4_1000_81:PIZ10140B</t>
  </si>
  <si>
    <t>PIZ10140B</t>
  </si>
  <si>
    <t>DESALTER C PRESSURE B</t>
  </si>
  <si>
    <t>CDU4_1000_81:PIZ10140C</t>
  </si>
  <si>
    <t>PIZ10140C</t>
  </si>
  <si>
    <t>DESALTER C PRESSURE C</t>
  </si>
  <si>
    <t>CDU4_1000_81:TIZ1006</t>
  </si>
  <si>
    <t>TIZ1006</t>
  </si>
  <si>
    <t>OVERHEADS DZ2102 OUTLET TO DHT</t>
  </si>
  <si>
    <t>CDU4_1000_81:TIZ10123</t>
  </si>
  <si>
    <t>TIZ10123</t>
  </si>
  <si>
    <t>DESALTER EFFLUENT TEMPERATUUR</t>
  </si>
  <si>
    <t>CDU4_1000_81:TIZ10139</t>
  </si>
  <si>
    <t>TIZ10139</t>
  </si>
  <si>
    <t>CRUDE TO DESALTER DZ2121C</t>
  </si>
  <si>
    <t>CDU4_1000_81:TIZ10145</t>
  </si>
  <si>
    <t>TIZ10145</t>
  </si>
  <si>
    <t>BRINE INLET EZ-2121A/B</t>
  </si>
  <si>
    <t>CDU4_1000_81:TIZ10146</t>
  </si>
  <si>
    <t>TIZ10146</t>
  </si>
  <si>
    <t>WASH WATER TO DZ-2101A/B</t>
  </si>
  <si>
    <t>CDU4_1000_81:TIZ10147</t>
  </si>
  <si>
    <t>TIZ10147</t>
  </si>
  <si>
    <t>CRUDE TO PZ-2102A/B/C</t>
  </si>
  <si>
    <t>CDU4_1000_81:TIZ10148</t>
  </si>
  <si>
    <t>TIZ10148</t>
  </si>
  <si>
    <t>BRINE PMP PZ2161A LIQUID TEMP</t>
  </si>
  <si>
    <t>CDU4_1000_81:TIZ10149</t>
  </si>
  <si>
    <t>TIZ10149</t>
  </si>
  <si>
    <t>BRINE PMP PZ2161B LIQUID TEMP</t>
  </si>
  <si>
    <t>CDU4_1000_81:TIZ10161</t>
  </si>
  <si>
    <t>TIZ10161</t>
  </si>
  <si>
    <t>TEMP DZ2179</t>
  </si>
  <si>
    <t>CDU4_1000_81:XIZ10102</t>
  </si>
  <si>
    <t>XIZ10102</t>
  </si>
  <si>
    <t>DESALTER C TRAFO 1AMPS TRZ2101C1</t>
  </si>
  <si>
    <t>CDU4_1000_81:XIZ10103</t>
  </si>
  <si>
    <t>XIZ10103</t>
  </si>
  <si>
    <t>DESALTER C TRAFO 2AMPS TRZ2101C2</t>
  </si>
  <si>
    <t>CDU4_1000_81:XIZ10104</t>
  </si>
  <si>
    <t>XIZ10104</t>
  </si>
  <si>
    <t>DESALTER C TRAF0 3AMPS TRZ2101C3</t>
  </si>
  <si>
    <t>CDU4_1010_54:FIZ10115</t>
  </si>
  <si>
    <t>FIZ10115</t>
  </si>
  <si>
    <t>WASHWATER TO DESALTERS</t>
  </si>
  <si>
    <t>CDU4_1010_54:FIZ10116</t>
  </si>
  <si>
    <t>FIZ10116</t>
  </si>
  <si>
    <t>BRINE FLOW RECIRC. TO DZ2101A</t>
  </si>
  <si>
    <t>CDU4_1010_54:FIZ10117</t>
  </si>
  <si>
    <t>FIZ10117</t>
  </si>
  <si>
    <t>BRINE FLOW RECIRC. TO DZ2101B</t>
  </si>
  <si>
    <t>CDU4_1010_54:PIZ10193</t>
  </si>
  <si>
    <t>PIZ10193</t>
  </si>
  <si>
    <t>SEAL LIQUID PRESS PZ2166A</t>
  </si>
  <si>
    <t>CDU4_1010_54:PIZ10194</t>
  </si>
  <si>
    <t>PIZ10194</t>
  </si>
  <si>
    <t>SEAL LIQUID PRESS PZ2166B</t>
  </si>
  <si>
    <t>CDU4_1020_48:PIZ10200</t>
  </si>
  <si>
    <t>PIZ10200</t>
  </si>
  <si>
    <t>PRESS. SEALSYSTEM PZ2106A</t>
  </si>
  <si>
    <t>CDU4_1020_48:PIZ10201</t>
  </si>
  <si>
    <t>PIZ10201</t>
  </si>
  <si>
    <t>PRESS. SEALSYSTEM PZ2106B</t>
  </si>
  <si>
    <t>CDU4_1020_48:PIZ10202</t>
  </si>
  <si>
    <t>PIZ10202</t>
  </si>
  <si>
    <t>PRESS. SEALSYSTEM PZ2106C</t>
  </si>
  <si>
    <t>CDU4_1030_50:TIZ1035</t>
  </si>
  <si>
    <t>COMB. AIR TEMP TO HZ2101</t>
  </si>
  <si>
    <t>CDU4_1050_50:FIZ1050A</t>
  </si>
  <si>
    <t>FIZ1050A</t>
  </si>
  <si>
    <t>COLD AIR INLET EZ2125A</t>
  </si>
  <si>
    <t>CDU4_1050_50:FIZ1050B</t>
  </si>
  <si>
    <t>FIZ1050B</t>
  </si>
  <si>
    <t>COLD AIR INLET EZ2125B</t>
  </si>
  <si>
    <t>CDU4_1060_48:TIZ10165</t>
  </si>
  <si>
    <t>TIZ10165</t>
  </si>
  <si>
    <t>HOT AIR OUTLET EZ2125A</t>
  </si>
  <si>
    <t>CDU4_1060_48:TIZ10166</t>
  </si>
  <si>
    <t>TIZ10166</t>
  </si>
  <si>
    <t>FLUEGAS INLET EZ2125A</t>
  </si>
  <si>
    <t>CDU4_1060_48:TIZ10167</t>
  </si>
  <si>
    <t>TIZ10167</t>
  </si>
  <si>
    <t>FLUEGAS OUTLET EZ2125A</t>
  </si>
  <si>
    <t>CDU4_1060_48:TIZ10169</t>
  </si>
  <si>
    <t>TIZ10169</t>
  </si>
  <si>
    <t>HOT AIR OUTLET EZ2125B</t>
  </si>
  <si>
    <t>CDU4_1060_50:TIZ10164</t>
  </si>
  <si>
    <t>TIZ10164</t>
  </si>
  <si>
    <t>CDU4_1060_50:TIZ10168</t>
  </si>
  <si>
    <t>TIZ10168</t>
  </si>
  <si>
    <t>CDU4_1070_48:PIZ10179</t>
  </si>
  <si>
    <t>PIZ10179</t>
  </si>
  <si>
    <t>MBARG</t>
  </si>
  <si>
    <t>CDU4_1070_48:TIZ10170</t>
  </si>
  <si>
    <t>TIZ10170</t>
  </si>
  <si>
    <t>FLUEGAS INLET EZ2125B</t>
  </si>
  <si>
    <t>CDU4_1070_48:TIZ10171</t>
  </si>
  <si>
    <t>TIZ10171</t>
  </si>
  <si>
    <t>FLUEGAS OUTLET EZ2125B</t>
  </si>
  <si>
    <t>CDU4_1070_81:TIZ10178</t>
  </si>
  <si>
    <t>TIZ10178</t>
  </si>
  <si>
    <t>SKIN TEMP. PASS1 HZ2101</t>
  </si>
  <si>
    <t>CDU4_1070_81:TIZ10179</t>
  </si>
  <si>
    <t>TIZ10179</t>
  </si>
  <si>
    <t>CDU4_1080_48:PIZ10180</t>
  </si>
  <si>
    <t>PIZ10180</t>
  </si>
  <si>
    <t>CDU4_1080_48:PIZ10181</t>
  </si>
  <si>
    <t>PIZ10181</t>
  </si>
  <si>
    <t>CDU4_1080_48:PIZ10182</t>
  </si>
  <si>
    <t>PIZ10182</t>
  </si>
  <si>
    <t>CDU4_1080_48:PIZ10183</t>
  </si>
  <si>
    <t>PIZ10183</t>
  </si>
  <si>
    <t>CDU4_1080_48:PIZ10184</t>
  </si>
  <si>
    <t>PIZ10184</t>
  </si>
  <si>
    <t>CDU4_1080_48:PIZ10185</t>
  </si>
  <si>
    <t>PIZ10185</t>
  </si>
  <si>
    <t>CDU4_1080_48:PIZ10186</t>
  </si>
  <si>
    <t>PIZ10186</t>
  </si>
  <si>
    <t>CDU4_1080_81:TIZ10180</t>
  </si>
  <si>
    <t>TIZ10180</t>
  </si>
  <si>
    <t>SKIN TEMP. PASS2 HZ2101</t>
  </si>
  <si>
    <t>CDU4_1080_81:TIZ10181</t>
  </si>
  <si>
    <t>TIZ10181</t>
  </si>
  <si>
    <t>CDU4_1080_81:TIZ10182</t>
  </si>
  <si>
    <t>TIZ10182</t>
  </si>
  <si>
    <t>SKIN TEMP. PASS4 HZ2101</t>
  </si>
  <si>
    <t>CDU4_1080_81:TIZ10183</t>
  </si>
  <si>
    <t>TIZ10183</t>
  </si>
  <si>
    <t>CDU4_1080_81:TIZ10184</t>
  </si>
  <si>
    <t>TIZ10184</t>
  </si>
  <si>
    <t>SKIN TEMP. PASS5 HZ2101</t>
  </si>
  <si>
    <t>CDU4_1080_81:TIZ10185</t>
  </si>
  <si>
    <t>TIZ10185</t>
  </si>
  <si>
    <t>CDU4_1080_81:TIZ10186</t>
  </si>
  <si>
    <t>TIZ10186</t>
  </si>
  <si>
    <t>SKIN TEMP. PASS6 HZ2101</t>
  </si>
  <si>
    <t>CDU4_1080_81:TIZ10187</t>
  </si>
  <si>
    <t>TIZ10187</t>
  </si>
  <si>
    <t>CDU4_1080_81:TIZ10188</t>
  </si>
  <si>
    <t>TIZ10188</t>
  </si>
  <si>
    <t>SKIN TEMP. PASS7 HZ2101</t>
  </si>
  <si>
    <t>CDU4_1080_81:TIZ10189</t>
  </si>
  <si>
    <t>TIZ10189</t>
  </si>
  <si>
    <t>CDU4_1090_48:PIZ10192</t>
  </si>
  <si>
    <t>PIZ10192</t>
  </si>
  <si>
    <t>SEAL GAS PZ2118B</t>
  </si>
  <si>
    <t>CDU4_1090_48:PIZ10198</t>
  </si>
  <si>
    <t>PIZ10198</t>
  </si>
  <si>
    <t>PRESS. SEALSYSTEM PZ2105A</t>
  </si>
  <si>
    <t>CDU4_1090_48:PIZ10199</t>
  </si>
  <si>
    <t>PIZ10199</t>
  </si>
  <si>
    <t>PRESS. SEALSYSTEM PZ2105B</t>
  </si>
  <si>
    <t>CDU4_1090_81:TIZ10190</t>
  </si>
  <si>
    <t>TIZ10190</t>
  </si>
  <si>
    <t>CDU4_1090_81:TIZ10191</t>
  </si>
  <si>
    <t>TIZ10191</t>
  </si>
  <si>
    <t>CDU4_1090_81:TIZ10192</t>
  </si>
  <si>
    <t>TIZ10192</t>
  </si>
  <si>
    <t>CDU4_1090_81:TIZ10193</t>
  </si>
  <si>
    <t>TIZ10193</t>
  </si>
  <si>
    <t>CDU4_1090_81:TIZ10194</t>
  </si>
  <si>
    <t>TIZ10194</t>
  </si>
  <si>
    <t>SKIN TEMP. PASS3 HZ2101</t>
  </si>
  <si>
    <t>CDU4_1090_81:TIZ10195</t>
  </si>
  <si>
    <t>TIZ10195</t>
  </si>
  <si>
    <t>CDU4_1090_81:TIZ10196</t>
  </si>
  <si>
    <t>TIZ10196</t>
  </si>
  <si>
    <t>CDU4_1090_81:TIZ10197</t>
  </si>
  <si>
    <t>TIZ10197</t>
  </si>
  <si>
    <t>CDU4_1090_81:TIZ10198</t>
  </si>
  <si>
    <t>TIZ10198</t>
  </si>
  <si>
    <t>CDU4_1090_81:TIZ10199</t>
  </si>
  <si>
    <t>TIZ10199</t>
  </si>
  <si>
    <t>CDU4_1090_81:TIZ10200</t>
  </si>
  <si>
    <t>TIZ10200</t>
  </si>
  <si>
    <t>SKIN TEMP. PASS8 HZ2101</t>
  </si>
  <si>
    <t>CDU4_1090_81:TIZ10201</t>
  </si>
  <si>
    <t>TIZ10201</t>
  </si>
  <si>
    <t>CDU4_1100_46:TDZ1172</t>
  </si>
  <si>
    <t>TDZ1172</t>
  </si>
  <si>
    <t>FLSHZONE DIFF TEMPERATURE</t>
  </si>
  <si>
    <t>CDU4_1100_46:TIZ1171</t>
  </si>
  <si>
    <t>TIZ1171</t>
  </si>
  <si>
    <t>LIQUID TEMP. FROM TRAY 8</t>
  </si>
  <si>
    <t>CDU4_1100_46:TIZ1172</t>
  </si>
  <si>
    <t>TIZ1172</t>
  </si>
  <si>
    <t>CDU TOWER FLASH ZONE</t>
  </si>
  <si>
    <t>CDU4_1100_48:TIZ1109</t>
  </si>
  <si>
    <t>TIZ1109</t>
  </si>
  <si>
    <t>CDU HEATER AMBIANT TEMP</t>
  </si>
  <si>
    <t>CDU4_1100_48:TIZ1110</t>
  </si>
  <si>
    <t>TIZ1110</t>
  </si>
  <si>
    <t>CDU HEATER FLUE GAS TEMP</t>
  </si>
  <si>
    <t>CDU4_1100_48:TIZ1113</t>
  </si>
  <si>
    <t>TIZ1113</t>
  </si>
  <si>
    <t>HZ2101 FLUEGAS INL.CONV.BOX</t>
  </si>
  <si>
    <t>CDU4_1100_48:TIZ1114</t>
  </si>
  <si>
    <t>TIZ1114</t>
  </si>
  <si>
    <t>CDU4_1100_48:TIZ1115</t>
  </si>
  <si>
    <t>TIZ1115</t>
  </si>
  <si>
    <t>RESIDUE BEFORE TEMP. WATER</t>
  </si>
  <si>
    <t>CDU4_1100_48:TIZ1135</t>
  </si>
  <si>
    <t>TIZ1135</t>
  </si>
  <si>
    <t>OVERH. FROM EZ2102A</t>
  </si>
  <si>
    <t>CDU4_1100_48:TIZ1136</t>
  </si>
  <si>
    <t>TIZ1136</t>
  </si>
  <si>
    <t>OVERH. FROM EZ2102C</t>
  </si>
  <si>
    <t>CDU4_1100_48:TIZ1153</t>
  </si>
  <si>
    <t>TIZ1153</t>
  </si>
  <si>
    <t>RES. FROM EZ2111B</t>
  </si>
  <si>
    <t>CDU4_1100_48:TYZ1135_ALM</t>
  </si>
  <si>
    <t>TYZ1135_ALM</t>
  </si>
  <si>
    <t>EZ2112 DEWPOINT ALARM</t>
  </si>
  <si>
    <t>CDU4_1100_48:TYZ1135_DEW</t>
  </si>
  <si>
    <t>TYZ1135_DEW</t>
  </si>
  <si>
    <t>EZ2112 WASHWATER TEMPERATURE</t>
  </si>
  <si>
    <t>CDU4_1100_80:TIZ1159</t>
  </si>
  <si>
    <t>TIZ1159</t>
  </si>
  <si>
    <t>EZ2107B OUTLET FROM MPA</t>
  </si>
  <si>
    <t>CDU4_1100_80:TIZ1160</t>
  </si>
  <si>
    <t>TIZ1160</t>
  </si>
  <si>
    <t>EZ2108A INLET FROM CRUDE</t>
  </si>
  <si>
    <t>CDU4_1100_80:TIZ1161</t>
  </si>
  <si>
    <t>TIZ1161</t>
  </si>
  <si>
    <t>EZ2108C INLET FROM CRUDE</t>
  </si>
  <si>
    <t>CDU4_1100_80:TIZ1162</t>
  </si>
  <si>
    <t>TIZ1162</t>
  </si>
  <si>
    <t>MPA INLET EZ2109A</t>
  </si>
  <si>
    <t>CDU4_1100_80:TIZ1163</t>
  </si>
  <si>
    <t>TIZ1163</t>
  </si>
  <si>
    <t>MPA INLET EZ2109B</t>
  </si>
  <si>
    <t>CDU4_1100_80:TIZ1164</t>
  </si>
  <si>
    <t>TIZ1164</t>
  </si>
  <si>
    <t>EZ2109B OUTLT FROM MPA</t>
  </si>
  <si>
    <t>CDU4_1100_80:TIZ1165</t>
  </si>
  <si>
    <t>TIZ1165</t>
  </si>
  <si>
    <t>EZ2110A OUTLT FROM BPA</t>
  </si>
  <si>
    <t>CDU4_1400_49:PIZ1401</t>
  </si>
  <si>
    <t>PIZ1401</t>
  </si>
  <si>
    <t>FUEL GAS MAIN</t>
  </si>
  <si>
    <t>CDU4_1600_48:FIT_1607</t>
  </si>
  <si>
    <t>FIT_1607</t>
  </si>
  <si>
    <t>SRB FROM OFFSITES TO CDU4/FCCU</t>
  </si>
  <si>
    <t>CDU4_1600_48:FIZ1605</t>
  </si>
  <si>
    <t>FIZ1605</t>
  </si>
  <si>
    <t>VISBR.GAS. INJ. (CALC)</t>
  </si>
  <si>
    <t>CDU4_1600_55:FIZ1604</t>
  </si>
  <si>
    <t>FIZ1604</t>
  </si>
  <si>
    <t>BUT.INJ. P2151A/S TO CDU4(CALC)</t>
  </si>
  <si>
    <t>CDU4_2000_46:FDZ2001</t>
  </si>
  <si>
    <t>FDZ2001</t>
  </si>
  <si>
    <t>CDU OVHD PRODUCT / DHT BYPASS</t>
  </si>
  <si>
    <t>CDU4_2000_46:FDZ2065</t>
  </si>
  <si>
    <t>FDZ2065</t>
  </si>
  <si>
    <t>WASHWATER TO EZ2151/2</t>
  </si>
  <si>
    <t>CDU4_2000_46:FITZ2001A</t>
  </si>
  <si>
    <t>FITZ2001A</t>
  </si>
  <si>
    <t>CDU4_2000_46:FITZ2001B</t>
  </si>
  <si>
    <t>FITZ2001B</t>
  </si>
  <si>
    <t>CDU4_2000_46:FIZ2065</t>
  </si>
  <si>
    <t>FIZ2065</t>
  </si>
  <si>
    <t>CDU4_2000_46:FIZ2065A</t>
  </si>
  <si>
    <t>FIZ2065A</t>
  </si>
  <si>
    <t>CDU4_2000_46:FIZ2065B</t>
  </si>
  <si>
    <t>FIZ2065B</t>
  </si>
  <si>
    <t>CDU4_2000_46:LDAZ2004</t>
  </si>
  <si>
    <t>LDAZ2004</t>
  </si>
  <si>
    <t>DHT LP WATER BOOT DIFF.LEVEL</t>
  </si>
  <si>
    <t>CDU4_2000_46:LDAZ2010</t>
  </si>
  <si>
    <t>LDAZ2010</t>
  </si>
  <si>
    <t>DHT HP WATER BOOT DIFF.LEVEL</t>
  </si>
  <si>
    <t>CDU4_2000_46:LDZ2002</t>
  </si>
  <si>
    <t>LDZ2002</t>
  </si>
  <si>
    <t>DHT COMPR SUCT DRUM DZ2153</t>
  </si>
  <si>
    <t>CDU4_2000_46:LDZ2050</t>
  </si>
  <si>
    <t>LDZ2050</t>
  </si>
  <si>
    <t>LUBE OIL</t>
  </si>
  <si>
    <t>CDU4_2000_46:LIZ2002</t>
  </si>
  <si>
    <t>LIZ2002</t>
  </si>
  <si>
    <t>CDU4_2000_46:LIZ2002A</t>
  </si>
  <si>
    <t>LIZ2002A</t>
  </si>
  <si>
    <t>CDU4_2000_46:LIZ2002B</t>
  </si>
  <si>
    <t>LIZ2002B</t>
  </si>
  <si>
    <t>CDU4_2000_46:LIZ2004</t>
  </si>
  <si>
    <t>LIZ2004</t>
  </si>
  <si>
    <t>DHT LP WATER BOOT DZ2155</t>
  </si>
  <si>
    <t>CDU4_2000_46:LIZ2004A</t>
  </si>
  <si>
    <t>LIZ2004A</t>
  </si>
  <si>
    <t>CDU4_2000_46:LIZ2004B</t>
  </si>
  <si>
    <t>LIZ2004B</t>
  </si>
  <si>
    <t>CDU4_2000_46:LIZ2010</t>
  </si>
  <si>
    <t>LIZ2010</t>
  </si>
  <si>
    <t>DHT HP WATER BOOT DZ2154</t>
  </si>
  <si>
    <t>CDU4_2000_46:LIZ2010A</t>
  </si>
  <si>
    <t>LIZ2010A</t>
  </si>
  <si>
    <t>CDU4_2000_46:LIZ2010B</t>
  </si>
  <si>
    <t>LIZ2010B</t>
  </si>
  <si>
    <t>DHT HP WATER BOOT (LT)</t>
  </si>
  <si>
    <t>CDU4_2000_46:LIZ2050</t>
  </si>
  <si>
    <t>LIZ2050</t>
  </si>
  <si>
    <t>CDU4_2000_46:LIZ2050A</t>
  </si>
  <si>
    <t>LIZ2050A</t>
  </si>
  <si>
    <t>CDU4_2000_46:LIZ2050B</t>
  </si>
  <si>
    <t>LIZ2050B</t>
  </si>
  <si>
    <t>CDU4_2000_46:PDAZ2078</t>
  </si>
  <si>
    <t>PDAZ2078</t>
  </si>
  <si>
    <t>PZ2153 OUTLET PRESSURE</t>
  </si>
  <si>
    <t>CDU4_2000_46:PDZ2013</t>
  </si>
  <si>
    <t>PDZ2013</t>
  </si>
  <si>
    <t>DHT REACTOR</t>
  </si>
  <si>
    <t>CDU4_2000_46:PDZ2067</t>
  </si>
  <si>
    <t>PDZ2067</t>
  </si>
  <si>
    <t>CDU4_2000_46:PIAZ2067</t>
  </si>
  <si>
    <t>PIAZ2067</t>
  </si>
  <si>
    <t>CDU4_2000_46:PIAZ2078</t>
  </si>
  <si>
    <t>PIAZ2078</t>
  </si>
  <si>
    <t>CDU4_2000_46:PIZ1084</t>
  </si>
  <si>
    <t>PIZ1084</t>
  </si>
  <si>
    <t>PZ2101A ZUIGDRUK</t>
  </si>
  <si>
    <t>BARA</t>
  </si>
  <si>
    <t>CDU4_2000_46:PIZ2013</t>
  </si>
  <si>
    <t>PIZ2013</t>
  </si>
  <si>
    <t>CDU4_2000_46:PIZ2013A</t>
  </si>
  <si>
    <t>PIZ2013A</t>
  </si>
  <si>
    <t>CDU4_2000_46:PIZ2013B</t>
  </si>
  <si>
    <t>PIZ2013B</t>
  </si>
  <si>
    <t>CDU4_2000_46:PIZ2067</t>
  </si>
  <si>
    <t>PIZ2067</t>
  </si>
  <si>
    <t>CDU4_2000_46:PIZ2067A</t>
  </si>
  <si>
    <t>PIZ2067A</t>
  </si>
  <si>
    <t>CDU4_2000_46:PIZ2067B</t>
  </si>
  <si>
    <t>PIZ2067B</t>
  </si>
  <si>
    <t>CDU4_2000_46:PIZ2078A</t>
  </si>
  <si>
    <t>PIZ2078A</t>
  </si>
  <si>
    <t>PZ2153 OUTLET PRESSURE A</t>
  </si>
  <si>
    <t>CDU4_2000_46:PIZ2078B</t>
  </si>
  <si>
    <t>PIZ2078B</t>
  </si>
  <si>
    <t>PZ2153 OUTLET PRESSURE B</t>
  </si>
  <si>
    <t>CDU4_2000_46:TDAZ2029</t>
  </si>
  <si>
    <t>TDAZ2029</t>
  </si>
  <si>
    <t>DHT4 REACTOR OUTLT</t>
  </si>
  <si>
    <t>CDU4_2000_46:TIZ2029</t>
  </si>
  <si>
    <t>TIZ2029</t>
  </si>
  <si>
    <t>CDU4_2000_46:TIZ2029A</t>
  </si>
  <si>
    <t>TIZ2029A</t>
  </si>
  <si>
    <t>CDU4_2000_46:TIZ2029B</t>
  </si>
  <si>
    <t>TIZ2029B</t>
  </si>
  <si>
    <t>CDU4_2000_48:AIZ2001</t>
  </si>
  <si>
    <t>AIZ2001</t>
  </si>
  <si>
    <t>DHT HEATER O2 FLUE GAS</t>
  </si>
  <si>
    <t>CDU4_2000_48:AIZ2001_L2</t>
  </si>
  <si>
    <t>AIZ2001_L2</t>
  </si>
  <si>
    <t>CDU4_2000_48:FITZ2007</t>
  </si>
  <si>
    <t>FITZ2007</t>
  </si>
  <si>
    <t>MAKE-UP GAS EX 500</t>
  </si>
  <si>
    <t>CDU4_2000_48:FITZ2014</t>
  </si>
  <si>
    <t>FITZ2014</t>
  </si>
  <si>
    <t>DHT HEATER FUEL GAS</t>
  </si>
  <si>
    <t>CDU4_2000_48:FITZ2019</t>
  </si>
  <si>
    <t>FITZ2019</t>
  </si>
  <si>
    <t>WILD NAPHTA INJ. PZ2151 A/S</t>
  </si>
  <si>
    <t>CDU4_2000_48:FITZ2020</t>
  </si>
  <si>
    <t>FITZ2020</t>
  </si>
  <si>
    <t>N2 TO REACTOR R2156</t>
  </si>
  <si>
    <t>CDU4_2000_48:FTZ2012</t>
  </si>
  <si>
    <t>FTZ2012</t>
  </si>
  <si>
    <t>DHT GAS TO AMINE</t>
  </si>
  <si>
    <t>CDU4_2000_48:MCZ2152_L</t>
  </si>
  <si>
    <t>MCZ2152_L</t>
  </si>
  <si>
    <t>MCZ2152 LOAD RUNNING LOAD</t>
  </si>
  <si>
    <t>CDU4_2000_48:PDIZ2001</t>
  </si>
  <si>
    <t>PDIZ2001</t>
  </si>
  <si>
    <t>DIFF PRES REACTOR RZ2156</t>
  </si>
  <si>
    <t>CDU4_2000_48:PIZ2004</t>
  </si>
  <si>
    <t>PIZ2004</t>
  </si>
  <si>
    <t>INLET PRESSURE DZ2153</t>
  </si>
  <si>
    <t>CDU4_2000_48:TIAZ2013</t>
  </si>
  <si>
    <t>TIAZ2013</t>
  </si>
  <si>
    <t>DHT HEATER PASS 1 SKIN</t>
  </si>
  <si>
    <t>CDU4_2000_48:TIAZ2013_18</t>
  </si>
  <si>
    <t>TIAZ2013_18</t>
  </si>
  <si>
    <t>DHT HEATER MAX PASSES SKIN</t>
  </si>
  <si>
    <t>CDU4_2000_48:TIAZ2014</t>
  </si>
  <si>
    <t>TIAZ2014</t>
  </si>
  <si>
    <t>DHT HEATER PASS 2 SKIN</t>
  </si>
  <si>
    <t>CDU4_2000_48:TIAZ2015</t>
  </si>
  <si>
    <t>TIAZ2015</t>
  </si>
  <si>
    <t>DHT HEATER PASS 3 SKIN</t>
  </si>
  <si>
    <t>CDU4_2000_48:TIAZ2016</t>
  </si>
  <si>
    <t>TIAZ2016</t>
  </si>
  <si>
    <t>DHT HEATER PASS 4 SKIN</t>
  </si>
  <si>
    <t>CDU4_2000_48:TIAZ2017</t>
  </si>
  <si>
    <t>TIAZ2017</t>
  </si>
  <si>
    <t>DHT HEATER PASS 5 SKIN</t>
  </si>
  <si>
    <t>CDU4_2000_48:TIAZ2018</t>
  </si>
  <si>
    <t>TIAZ2018</t>
  </si>
  <si>
    <t>DHT HEATER PASS 6 SKIN</t>
  </si>
  <si>
    <t>CDU4_2000_48:TIAZ2020</t>
  </si>
  <si>
    <t>TIAZ2020</t>
  </si>
  <si>
    <t>DHT COMP D2152 DISCHARGE</t>
  </si>
  <si>
    <t>CDU4_2000_48:TIZ2001</t>
  </si>
  <si>
    <t>TIZ2001</t>
  </si>
  <si>
    <t>DHT FEED TO EZ2151 A</t>
  </si>
  <si>
    <t>CDU4_2000_48:TIZ2002</t>
  </si>
  <si>
    <t>TIZ2002</t>
  </si>
  <si>
    <t>DHT FEED TO EZ2151 C</t>
  </si>
  <si>
    <t>CDU4_2000_48:TIZ2003</t>
  </si>
  <si>
    <t>TIZ2003</t>
  </si>
  <si>
    <t>DHT FEED TO EZ2151 E</t>
  </si>
  <si>
    <t>CDU4_2000_48:TIZ2005</t>
  </si>
  <si>
    <t>TIZ2005</t>
  </si>
  <si>
    <t>DHT REACT PRODUCT TO EZ2151 D</t>
  </si>
  <si>
    <t>CDU4_2000_48:TIZ2006</t>
  </si>
  <si>
    <t>TIZ2006</t>
  </si>
  <si>
    <t>DHT REACT PRODUCT TO EZ2151 B</t>
  </si>
  <si>
    <t>CDU4_2000_48:TIZ2007</t>
  </si>
  <si>
    <t>TIZ2007</t>
  </si>
  <si>
    <t>DHT INLET TO EZ2152 A</t>
  </si>
  <si>
    <t>CDU4_2000_48:TIZ2008</t>
  </si>
  <si>
    <t>TIZ2008</t>
  </si>
  <si>
    <t>DHT HEATER CONV INLET FLUE</t>
  </si>
  <si>
    <t>CDU4_2000_48:TIZ2015</t>
  </si>
  <si>
    <t>TIZ2015</t>
  </si>
  <si>
    <t>DHT HEATER STACK</t>
  </si>
  <si>
    <t>CDU4_2000_48:TIZ2022</t>
  </si>
  <si>
    <t>TIZ2022</t>
  </si>
  <si>
    <t>DHT FURNACE OUTLET PASS 1</t>
  </si>
  <si>
    <t>CDU4_2000_48:TIZ2022_27</t>
  </si>
  <si>
    <t>TIZ2022_27</t>
  </si>
  <si>
    <t>DHT FURNACE MAX PASSES OUTLET</t>
  </si>
  <si>
    <t>CDU4_2000_48:TIZ2023</t>
  </si>
  <si>
    <t>TIZ2023</t>
  </si>
  <si>
    <t>DHT FURNACE OUTLET PASS 2</t>
  </si>
  <si>
    <t>CDU4_2000_48:TIZ2024</t>
  </si>
  <si>
    <t>TIZ2024</t>
  </si>
  <si>
    <t>DHT FURNACE OUTLET PASS 3</t>
  </si>
  <si>
    <t>CDU4_2000_48:TIZ2025</t>
  </si>
  <si>
    <t>TIZ2025</t>
  </si>
  <si>
    <t>DHT FURNACE OUTLET PASS 4</t>
  </si>
  <si>
    <t>CDU4_2000_48:TIZ2026</t>
  </si>
  <si>
    <t>TIZ2026</t>
  </si>
  <si>
    <t>DHT FURNACE OUTLET PASS 5</t>
  </si>
  <si>
    <t>CDU4_2000_48:TIZ2027</t>
  </si>
  <si>
    <t>TIZ2027</t>
  </si>
  <si>
    <t>DHT FURNACE OUTLET PASS 6</t>
  </si>
  <si>
    <t>CDU4_2000_48:TIZ2028</t>
  </si>
  <si>
    <t>TIZ2028</t>
  </si>
  <si>
    <t>DHT REACTOR INLET</t>
  </si>
  <si>
    <t>CDU4_2000_48:TIZ2031</t>
  </si>
  <si>
    <t>TIZ2031</t>
  </si>
  <si>
    <t>COMPRESSOR CZ2152 SUCTION</t>
  </si>
  <si>
    <t>CDU4_2000_48:TIZ2032</t>
  </si>
  <si>
    <t>TIZ2032</t>
  </si>
  <si>
    <t>DHT RECYCLE MAKE UP GAS</t>
  </si>
  <si>
    <t>CDU4_2000_48:TIZ2034</t>
  </si>
  <si>
    <t>TIZ2034</t>
  </si>
  <si>
    <t>DHT EZ2152 OUTLET</t>
  </si>
  <si>
    <t>CDU4_2000_48:TIZ2079</t>
  </si>
  <si>
    <t>TIZ2079</t>
  </si>
  <si>
    <t>DHT REACTOR BED TEMPERATURE</t>
  </si>
  <si>
    <t>CDU4_2000_48:TIZ2081</t>
  </si>
  <si>
    <t>TIZ2081</t>
  </si>
  <si>
    <t>CDU4_2000_48:TIZ2083</t>
  </si>
  <si>
    <t>TIZ2083</t>
  </si>
  <si>
    <t>CDU4_2000_48:TIZ2085</t>
  </si>
  <si>
    <t>TIZ2085</t>
  </si>
  <si>
    <t>CDU4_2000_48:TIZ2087</t>
  </si>
  <si>
    <t>TIZ2087</t>
  </si>
  <si>
    <t>CDU4_2000_48:TIZ2089</t>
  </si>
  <si>
    <t>TIZ2089</t>
  </si>
  <si>
    <t>CDU4_2000_48:TIZ2091</t>
  </si>
  <si>
    <t>TIZ2091</t>
  </si>
  <si>
    <t>CDU4_2000_48:TIZ2093</t>
  </si>
  <si>
    <t>TIZ2093</t>
  </si>
  <si>
    <t>CDU4_2000_48:TIZ2095</t>
  </si>
  <si>
    <t>TIZ2095</t>
  </si>
  <si>
    <t>CDU4_2000_48:TIZ2097</t>
  </si>
  <si>
    <t>TIZ2097</t>
  </si>
  <si>
    <t>CDU4_2000_48:XIZ2007</t>
  </si>
  <si>
    <t>XIZ2007</t>
  </si>
  <si>
    <t>DHT PZ2151A CURRENT</t>
  </si>
  <si>
    <t>CDU4_2000_48:XIZ2008</t>
  </si>
  <si>
    <t>XIZ2008</t>
  </si>
  <si>
    <t>DHT PZ2151S CURRENT</t>
  </si>
  <si>
    <t>CDU4_2000_51:XFIZ2106</t>
  </si>
  <si>
    <t>XFIZ2106</t>
  </si>
  <si>
    <t>TOTAL CRUDE FEED SIMULATIE</t>
  </si>
  <si>
    <t>CDU4_2000_53:FIZ2001</t>
  </si>
  <si>
    <t>FIZ2001</t>
  </si>
  <si>
    <t>CDU OVHD PRODUCT DHT BYPASS</t>
  </si>
  <si>
    <t>CDU4_2000_53:FIZ2001A</t>
  </si>
  <si>
    <t>FIZ2001A</t>
  </si>
  <si>
    <t>OVHD PROD -REACTORFEED (CALC)</t>
  </si>
  <si>
    <t>CDU4_2000_53:FIZ2002</t>
  </si>
  <si>
    <t>FIZ2002</t>
  </si>
  <si>
    <t>DHT REACTOR FEED</t>
  </si>
  <si>
    <t>CDU4_2000_53:XFIZ_2102</t>
  </si>
  <si>
    <t>XFIZ_2102</t>
  </si>
  <si>
    <t>CDU4_2000_55:FICAZ2003</t>
  </si>
  <si>
    <t>FICAZ2003</t>
  </si>
  <si>
    <t>DHT RECYCLE GAS (RAW)</t>
  </si>
  <si>
    <t>CDU4_2000_55:FICZ2010_L2</t>
  </si>
  <si>
    <t>FICZ2010_L2</t>
  </si>
  <si>
    <t>CDU4_2000_55:FIIZ2002</t>
  </si>
  <si>
    <t>FIIZ2002</t>
  </si>
  <si>
    <t>CDU4_2000_55:FIZ2003</t>
  </si>
  <si>
    <t>FIZ2003</t>
  </si>
  <si>
    <t>CDU4_2000_55:FIZ2010</t>
  </si>
  <si>
    <t>FIZ2010</t>
  </si>
  <si>
    <t>STABILISER FEED</t>
  </si>
  <si>
    <t>CDU4_2000_55:FIZ2011</t>
  </si>
  <si>
    <t>FIZ2011</t>
  </si>
  <si>
    <t>DHT HP SEPARATOR OFFGAS</t>
  </si>
  <si>
    <t>CDU4_2000_55:FIZ2015</t>
  </si>
  <si>
    <t>FIZ2015</t>
  </si>
  <si>
    <t>HCCS EX. FCCU TO PZ2151 A/S</t>
  </si>
  <si>
    <t>CDU4_2000_55:LDZ2003</t>
  </si>
  <si>
    <t>LDZ2003</t>
  </si>
  <si>
    <t>DHT LP SEPARATOR</t>
  </si>
  <si>
    <t>CDU4_2000_55:LDZ2007</t>
  </si>
  <si>
    <t>LDZ2007</t>
  </si>
  <si>
    <t>DHT HP SEPARATOR</t>
  </si>
  <si>
    <t>CDU4_2000_55:LIZ2003</t>
  </si>
  <si>
    <t>LIZ2003</t>
  </si>
  <si>
    <t>CDU4_2000_55:LIZ2003A</t>
  </si>
  <si>
    <t>LIZ2003A</t>
  </si>
  <si>
    <t>CDU4_2000_55:LIZ2003B</t>
  </si>
  <si>
    <t>LIZ2003B</t>
  </si>
  <si>
    <t>CDU4_2000_55:LIZ2007</t>
  </si>
  <si>
    <t>LIZ2007</t>
  </si>
  <si>
    <t>CDU4_2000_55:LIZ2007A</t>
  </si>
  <si>
    <t>LIZ2007A</t>
  </si>
  <si>
    <t>CDU4_2000_55:LIZ2007B</t>
  </si>
  <si>
    <t>LIZ2007B</t>
  </si>
  <si>
    <t>CDU4_2000_55:PDIZ2021_77</t>
  </si>
  <si>
    <t>PDIZ2021_77</t>
  </si>
  <si>
    <t>DIFFPRESSURE CZ2152</t>
  </si>
  <si>
    <t>CDU4_2000_55:PIZ2003</t>
  </si>
  <si>
    <t>PIZ2003</t>
  </si>
  <si>
    <t>CDU4_2000_55:PIZ2005</t>
  </si>
  <si>
    <t>PIZ2005</t>
  </si>
  <si>
    <t>CDU4_2000_55:PIZ2010</t>
  </si>
  <si>
    <t>PIZ2010</t>
  </si>
  <si>
    <t>DHT HEATER FUELGAS</t>
  </si>
  <si>
    <t>CDU4_2000_55:PIZ2077</t>
  </si>
  <si>
    <t>PIZ2077</t>
  </si>
  <si>
    <t>SUCTION CZ2152 COMPRESSOR</t>
  </si>
  <si>
    <t>CDU4_2000_55:PTZ2021</t>
  </si>
  <si>
    <t>PTZ2021</t>
  </si>
  <si>
    <t>DHT COMPRESSOR DISCHARGE</t>
  </si>
  <si>
    <t>CDU4_2000_55:SHCZ2002L</t>
  </si>
  <si>
    <t>SHCZ2002L</t>
  </si>
  <si>
    <t>LOCAL SETPOINT COMPR. CZ2152</t>
  </si>
  <si>
    <t>RPM</t>
  </si>
  <si>
    <t>CDU4_2000_55:SIAZ2002</t>
  </si>
  <si>
    <t>SIAZ2002</t>
  </si>
  <si>
    <t>DHT COMPRESSOR SPEED</t>
  </si>
  <si>
    <t>CDU4_2000_55:SYCZ2002</t>
  </si>
  <si>
    <t>SYCZ2002</t>
  </si>
  <si>
    <t>OUTPUT SICZ2002 FEEDBACK</t>
  </si>
  <si>
    <t>CDU4_2000_55:TIIZ2001</t>
  </si>
  <si>
    <t>TIIZ2001</t>
  </si>
  <si>
    <t>CDU4_2000_55:XZ2017</t>
  </si>
  <si>
    <t>XZ2017</t>
  </si>
  <si>
    <t>DHT RECYCLE RATIO (EV)</t>
  </si>
  <si>
    <t>RATIO</t>
  </si>
  <si>
    <t>CDU4_2000_81:PDAZ2085</t>
  </si>
  <si>
    <t>PDAZ2085</t>
  </si>
  <si>
    <t>HZ2151 PILOTGAS HEADER PRESS</t>
  </si>
  <si>
    <t>CDU4_2000_81:PDAZ2089</t>
  </si>
  <si>
    <t>PDAZ2089</t>
  </si>
  <si>
    <t>HZ2151 FUELGAS HEADER PRESS</t>
  </si>
  <si>
    <t>CDU4_2000_81:PDZ20105_106</t>
  </si>
  <si>
    <t>PDZ20105_106</t>
  </si>
  <si>
    <t>DIFFPRESSURE RZ2156</t>
  </si>
  <si>
    <t>CDU4_2000_81:PIAZ2081</t>
  </si>
  <si>
    <t>PIAZ2081</t>
  </si>
  <si>
    <t>HZ2151 INSTRUM AIRTO PILOTS</t>
  </si>
  <si>
    <t>CDU4_2000_81:PIAZ2085</t>
  </si>
  <si>
    <t>PIAZ2085</t>
  </si>
  <si>
    <t>CDU4_2000_81:PIAZ2087</t>
  </si>
  <si>
    <t>PIAZ2087</t>
  </si>
  <si>
    <t>HZ2151 PILOT GAS AFTER FILTER</t>
  </si>
  <si>
    <t>CDU4_2000_81:PIAZ2089</t>
  </si>
  <si>
    <t>PIAZ2089</t>
  </si>
  <si>
    <t>CDU4_2000_81:PIZ20105</t>
  </si>
  <si>
    <t>PIZ20105</t>
  </si>
  <si>
    <t>PRESSURE INLET RZ2156</t>
  </si>
  <si>
    <t>CDU4_2000_81:PIZ20106</t>
  </si>
  <si>
    <t>PIZ20106</t>
  </si>
  <si>
    <t>PRESSURE OUTLET RZ2156</t>
  </si>
  <si>
    <t>CDU4_2000_81:PIZ2085A</t>
  </si>
  <si>
    <t>PIZ2085A</t>
  </si>
  <si>
    <t>HZ2151 PILOTGAS HEADER PRES A</t>
  </si>
  <si>
    <t>CDU4_2000_81:PIZ2085B</t>
  </si>
  <si>
    <t>PIZ2085B</t>
  </si>
  <si>
    <t>HZ2151 PILOTGAS HEADER PRES B</t>
  </si>
  <si>
    <t>CDU4_2000_81:PIZ2089A</t>
  </si>
  <si>
    <t>PIZ2089A</t>
  </si>
  <si>
    <t>HZ2151 FUELGAS HEADER PRES A</t>
  </si>
  <si>
    <t>CDU4_2000_81:PIZ2089B</t>
  </si>
  <si>
    <t>PIZ2089B</t>
  </si>
  <si>
    <t>HZ2151 FUELGAS HEADER PRES B</t>
  </si>
  <si>
    <t>CDU4_2000_81:TIZ2004</t>
  </si>
  <si>
    <t>TIZ2004</t>
  </si>
  <si>
    <t>DHT FEED TO HEATER</t>
  </si>
  <si>
    <t>CDU4_2000_81:TIZ20099</t>
  </si>
  <si>
    <t>TIZ20099</t>
  </si>
  <si>
    <t>SKIN TEMPERATURE HZ2151</t>
  </si>
  <si>
    <t>CDU4_2000_81:TIZ20100</t>
  </si>
  <si>
    <t>TIZ20100</t>
  </si>
  <si>
    <t>CDU4_2000_81:TIZ20101</t>
  </si>
  <si>
    <t>TIZ20101</t>
  </si>
  <si>
    <t>CDU4_2000_81:TIZ20102</t>
  </si>
  <si>
    <t>TIZ20102</t>
  </si>
  <si>
    <t>CDU4_2000_81:TIZ20103</t>
  </si>
  <si>
    <t>TIZ20103</t>
  </si>
  <si>
    <t>CDU4_2000_81:TIZ20104</t>
  </si>
  <si>
    <t>TIZ20104</t>
  </si>
  <si>
    <t>CDU4_2000_81:TIZ20105</t>
  </si>
  <si>
    <t>TIZ20105</t>
  </si>
  <si>
    <t>CDU4_2000_81:TIZ20106</t>
  </si>
  <si>
    <t>TIZ20106</t>
  </si>
  <si>
    <t>CDU4_2000_81:TIZ20107</t>
  </si>
  <si>
    <t>TIZ20107</t>
  </si>
  <si>
    <t>CDU4_2000_81:TIZ20108</t>
  </si>
  <si>
    <t>TIZ20108</t>
  </si>
  <si>
    <t>CDU4_2000_81:TIZ20109</t>
  </si>
  <si>
    <t>TIZ20109</t>
  </si>
  <si>
    <t>CDU4_2000_81:TIZ20110</t>
  </si>
  <si>
    <t>TIZ20110</t>
  </si>
  <si>
    <t>CDU4_2000_81:TIZ2035</t>
  </si>
  <si>
    <t>TIZ2035</t>
  </si>
  <si>
    <t>DHT HP SEPERATOR</t>
  </si>
  <si>
    <t>CDU4_2000_81:XIZ2102A</t>
  </si>
  <si>
    <t>XIZ2102A</t>
  </si>
  <si>
    <t>MOTOR CURRENT PZ2102A</t>
  </si>
  <si>
    <t>CDU4_2000_81:XIZ2102B</t>
  </si>
  <si>
    <t>XIZ2102B</t>
  </si>
  <si>
    <t>MOTOR CURRENT PZ2102B</t>
  </si>
  <si>
    <t>CDU4_2000_81:XIZ2102C</t>
  </si>
  <si>
    <t>XIZ2102C</t>
  </si>
  <si>
    <t>MOTOR CURRENT PZ2102C</t>
  </si>
  <si>
    <t>CDU4_2000_81:XIZ2161A</t>
  </si>
  <si>
    <t>XIZ2161A</t>
  </si>
  <si>
    <t>PZ2161A RADIAL DISPLACEMENT</t>
  </si>
  <si>
    <t>CDU4_2000_81:XIZ2161B</t>
  </si>
  <si>
    <t>XIZ2161B</t>
  </si>
  <si>
    <t>PZ2161B RADIAL DISPLACEMENT</t>
  </si>
  <si>
    <t>CDU4_2000_81:ZIZ2161A</t>
  </si>
  <si>
    <t>ZIZ2161A</t>
  </si>
  <si>
    <t>PZ2161A AXIAL DISPLACEMENT</t>
  </si>
  <si>
    <t>CDU4_2000_81:ZIZ2161B</t>
  </si>
  <si>
    <t>ZIZ2161B</t>
  </si>
  <si>
    <t>PZ2161B AXIAL DISPLACEMENT</t>
  </si>
  <si>
    <t>CDU4_2020_48:PIZ2023</t>
  </si>
  <si>
    <t>PIZ2023</t>
  </si>
  <si>
    <t>DRAUGHT RADIANT HZ2151</t>
  </si>
  <si>
    <t>CDU4_2060_54:FIZ2066</t>
  </si>
  <si>
    <t>FIZ2066</t>
  </si>
  <si>
    <t>IMPORT H2 TO DZ2153</t>
  </si>
  <si>
    <t>CDU4_2060_54:FIZ2067</t>
  </si>
  <si>
    <t>FIZ2067</t>
  </si>
  <si>
    <t>CRU GAS TO DZ2153</t>
  </si>
  <si>
    <t>CDU4_2090_81:PDZ2098</t>
  </si>
  <si>
    <t>PDZ2098</t>
  </si>
  <si>
    <t>PRESSURE HZ2151</t>
  </si>
  <si>
    <t>CDU4_2090_81:PTZ2098</t>
  </si>
  <si>
    <t>PTZ2098</t>
  </si>
  <si>
    <t>CDU4_2090_81:PTZ2098HHTMR</t>
  </si>
  <si>
    <t>PTZ2098HHTMR</t>
  </si>
  <si>
    <t>SEC</t>
  </si>
  <si>
    <t>CDU4_3000_44:AIZ3001A</t>
  </si>
  <si>
    <t>AIZ3001A</t>
  </si>
  <si>
    <t>90% DESTILLATION POINT SRG</t>
  </si>
  <si>
    <t>CDU4_3000_44:AIZ3001A_L2</t>
  </si>
  <si>
    <t>AIZ3001A_L2</t>
  </si>
  <si>
    <t>CDU4_3000_44:AIZ3001B</t>
  </si>
  <si>
    <t>AIZ3001B</t>
  </si>
  <si>
    <t>RVP SRG</t>
  </si>
  <si>
    <t>CDU4_3000_44:AIZ3001B_L2</t>
  </si>
  <si>
    <t>AIZ3001B_L2</t>
  </si>
  <si>
    <t>CDU4_3000_44:AIZ3001C</t>
  </si>
  <si>
    <t>AIZ3001C</t>
  </si>
  <si>
    <t>DENSITY SRG</t>
  </si>
  <si>
    <t>KG/M3</t>
  </si>
  <si>
    <t>CDU4_3000_44:AIZ3001D</t>
  </si>
  <si>
    <t>AIZ3001D</t>
  </si>
  <si>
    <t>TOTAL C4 SRG</t>
  </si>
  <si>
    <t>VOLPCT</t>
  </si>
  <si>
    <t>CDU4_3000_44:AIZ3001E</t>
  </si>
  <si>
    <t>AIZ3001E</t>
  </si>
  <si>
    <t>N-PARAFINES STREAMSRG</t>
  </si>
  <si>
    <t>CDU4_3000_44:AIZ3001F</t>
  </si>
  <si>
    <t>AIZ3001F</t>
  </si>
  <si>
    <t>I-PARAFINES STREAMSRG</t>
  </si>
  <si>
    <t>CDU4_3000_44:AIZ3001G</t>
  </si>
  <si>
    <t>AIZ3001G</t>
  </si>
  <si>
    <t>BENZENE STREAM SRG</t>
  </si>
  <si>
    <t>CDU4_3000_44:AIZ3003A</t>
  </si>
  <si>
    <t>AIZ3003A</t>
  </si>
  <si>
    <t>90% DESTIL. POINT SRB/N</t>
  </si>
  <si>
    <t>CDU4_3000_44:AIZ3003A_L2</t>
  </si>
  <si>
    <t>AIZ3003A_L2</t>
  </si>
  <si>
    <t>CDU4_3000_44:AIZ3003B</t>
  </si>
  <si>
    <t>AIZ3003B</t>
  </si>
  <si>
    <t>5% DESTIL. POINT SRB/N</t>
  </si>
  <si>
    <t>CDU4_3000_44:AIZ3003B_L2</t>
  </si>
  <si>
    <t>AIZ3003B_L2</t>
  </si>
  <si>
    <t>CDU4_3000_44:AIZ3003C</t>
  </si>
  <si>
    <t>AIZ3003C</t>
  </si>
  <si>
    <t>DENSITY SRB/N</t>
  </si>
  <si>
    <t>CDU4_3000_44:AIZ3004A</t>
  </si>
  <si>
    <t>AIZ3004A</t>
  </si>
  <si>
    <t>FLASHPOINT KERO</t>
  </si>
  <si>
    <t>CDU4_3000_44:AIZ3004A_L2</t>
  </si>
  <si>
    <t>AIZ3004A_L2</t>
  </si>
  <si>
    <t>CDU4_3000_44:AIZ3004B</t>
  </si>
  <si>
    <t>AIZ3004B</t>
  </si>
  <si>
    <t>90% DESTIL. POINT KERO</t>
  </si>
  <si>
    <t>CDU4_3000_44:AIZ3004B_L2</t>
  </si>
  <si>
    <t>AIZ3004B_L2</t>
  </si>
  <si>
    <t>CDU4_3000_44:AIZ3004C</t>
  </si>
  <si>
    <t>AIZ3004C</t>
  </si>
  <si>
    <t>DENSITY KERO</t>
  </si>
  <si>
    <t>CDU4_3000_44:AIZ3004D</t>
  </si>
  <si>
    <t>AIZ3004D</t>
  </si>
  <si>
    <t>FREEZING POINT KERO</t>
  </si>
  <si>
    <t>CDU4_3000_44:AIZ3010</t>
  </si>
  <si>
    <t>AIZ3010</t>
  </si>
  <si>
    <t>TOTAL PENTAAN OVHDDZ2201</t>
  </si>
  <si>
    <t>MOL%</t>
  </si>
  <si>
    <t>CDU4_3000_46:HCCS_BL3</t>
  </si>
  <si>
    <t>HCCS_BL3</t>
  </si>
  <si>
    <t>HCCS OP BLENDKERO CDU3</t>
  </si>
  <si>
    <t>CDU4_3000_46:HCCS_BL4</t>
  </si>
  <si>
    <t>HCCS_BL4</t>
  </si>
  <si>
    <t>HCCS OP BLENDKERO CDU4</t>
  </si>
  <si>
    <t>CDU4_3000_46:HCCS_BLEND</t>
  </si>
  <si>
    <t>HCCS_BLEND</t>
  </si>
  <si>
    <t>HCCS OP BLENDKERO CDU3+CDU4</t>
  </si>
  <si>
    <t>CDU4_3000_46:HCCS_TK</t>
  </si>
  <si>
    <t>HCCS_TK</t>
  </si>
  <si>
    <t>HCCS OP KERO 3+4 AFLOOP TANK</t>
  </si>
  <si>
    <t>CDU4_3000_46:HCCS_TK3</t>
  </si>
  <si>
    <t>HCCS_TK3</t>
  </si>
  <si>
    <t>HCCS OP KERO CDU3 AFLOOP TANK</t>
  </si>
  <si>
    <t>CDU4_3000_46:HCCS_TK4</t>
  </si>
  <si>
    <t>HCCS_TK4</t>
  </si>
  <si>
    <t>HCCS OP KERO CDU4 AFLOOP TANK</t>
  </si>
  <si>
    <t>CDU4_3000_46:LDAZ3006</t>
  </si>
  <si>
    <t>LDAZ3006</t>
  </si>
  <si>
    <t>STABILISER WATER BOOT LVL DIFF</t>
  </si>
  <si>
    <t>CDU4_3000_46:LIZ3006</t>
  </si>
  <si>
    <t>LIZ3006</t>
  </si>
  <si>
    <t>STABILISER WATER BOOT</t>
  </si>
  <si>
    <t>CDU4_3000_46:LIZ3006A</t>
  </si>
  <si>
    <t>LIZ3006A</t>
  </si>
  <si>
    <t>DFU STABLR OVERHEAD WATER</t>
  </si>
  <si>
    <t>CDU4_3000_46:LIZ3006B</t>
  </si>
  <si>
    <t>LIZ3006B</t>
  </si>
  <si>
    <t>STABILISER WATER BOOT (LT)</t>
  </si>
  <si>
    <t>CDU4_3000_46:PDZ3002</t>
  </si>
  <si>
    <t>PDZ3002</t>
  </si>
  <si>
    <t>DFU STABLR OVERHEAD DRUM</t>
  </si>
  <si>
    <t>CDU4_3000_46:PDZ3013</t>
  </si>
  <si>
    <t>PDZ3013</t>
  </si>
  <si>
    <t>DFU SPLITTER TOP</t>
  </si>
  <si>
    <t>CDU4_3000_46:PIZ3002</t>
  </si>
  <si>
    <t>PIZ3002</t>
  </si>
  <si>
    <t>DFU STABILISER TOP</t>
  </si>
  <si>
    <t>CDU4_3000_46:PIZ3002A</t>
  </si>
  <si>
    <t>PIZ3002A</t>
  </si>
  <si>
    <t>CDU4_3000_46:PIZ3002B</t>
  </si>
  <si>
    <t>PIZ3002B</t>
  </si>
  <si>
    <t>CDU4_3000_46:PIZ3013</t>
  </si>
  <si>
    <t>PIZ3013</t>
  </si>
  <si>
    <t>CDU4_3000_46:PIZ3013A</t>
  </si>
  <si>
    <t>PIZ3013A</t>
  </si>
  <si>
    <t>CDU4_3000_46:PIZ3013B</t>
  </si>
  <si>
    <t>PIZ3013B</t>
  </si>
  <si>
    <t>CDU4_3000_48:AIZ_3011A</t>
  </si>
  <si>
    <t>AIZ_3011A</t>
  </si>
  <si>
    <t>PH BEFORE INJECT POINT</t>
  </si>
  <si>
    <t>CDU4_3000_48:AIZ_3011B</t>
  </si>
  <si>
    <t>AIZ_3011B</t>
  </si>
  <si>
    <t>CDU4_3000_48:AIZ_3012A</t>
  </si>
  <si>
    <t>AIZ_3012A</t>
  </si>
  <si>
    <t>PH AFTER INJECTIONPOINT</t>
  </si>
  <si>
    <t>CDU4_3000_48:AIZ_3012B</t>
  </si>
  <si>
    <t>AIZ_3012B</t>
  </si>
  <si>
    <t>CDU4_3000_48:AIZ3007</t>
  </si>
  <si>
    <t>AIZ3007</t>
  </si>
  <si>
    <t>SPLITTER HEATER O2 FLUE GAS</t>
  </si>
  <si>
    <t>CDU4_3000_48:AIZ3007_L2</t>
  </si>
  <si>
    <t>AIZ3007_L2</t>
  </si>
  <si>
    <t>CDU4_3000_48:FITZ3005</t>
  </si>
  <si>
    <t>FITZ3005</t>
  </si>
  <si>
    <t>DFU STAB. O/H DRUM OFFGAS</t>
  </si>
  <si>
    <t>CDU4_3000_48:FITZ3012</t>
  </si>
  <si>
    <t>FITZ3012</t>
  </si>
  <si>
    <t>SPLITTER HEATER FUEL GAS</t>
  </si>
  <si>
    <t>CDU4_3000_48:FITZ3021</t>
  </si>
  <si>
    <t>FITZ3021</t>
  </si>
  <si>
    <t>SRB R/D TO 500 UNIT</t>
  </si>
  <si>
    <t>CDU4_3000_48:JQIZ3015</t>
  </si>
  <si>
    <t>JQIZ3015</t>
  </si>
  <si>
    <t>ENERGY CONSUMPTIONSUBSTATION BB</t>
  </si>
  <si>
    <t>MWATT</t>
  </si>
  <si>
    <t>CDU4_3000_48:TIAZ3036</t>
  </si>
  <si>
    <t>TIAZ3036</t>
  </si>
  <si>
    <t>SPLITTER HEATER PASS 8 SKIN</t>
  </si>
  <si>
    <t>CDU4_3000_48:TIAZ3036_43</t>
  </si>
  <si>
    <t>TIAZ3036_43</t>
  </si>
  <si>
    <t>SPLITTER HEATR MAXPASSES SKIN</t>
  </si>
  <si>
    <t>CDU4_3000_48:TIAZ3037</t>
  </si>
  <si>
    <t>TIAZ3037</t>
  </si>
  <si>
    <t>SPLITTER HEATER PASS 7 SKIN</t>
  </si>
  <si>
    <t>CDU4_3000_48:TIAZ3038</t>
  </si>
  <si>
    <t>TIAZ3038</t>
  </si>
  <si>
    <t>SPLITTER HEATER PASS 6 SKIN</t>
  </si>
  <si>
    <t>CDU4_3000_48:TIAZ3039</t>
  </si>
  <si>
    <t>TIAZ3039</t>
  </si>
  <si>
    <t>SPLITTER HEATER PASS 5 SKIN</t>
  </si>
  <si>
    <t>CDU4_3000_48:TIAZ3040</t>
  </si>
  <si>
    <t>TIAZ3040</t>
  </si>
  <si>
    <t>SPLITTER HEATER PASS 1 SKIN</t>
  </si>
  <si>
    <t>CDU4_3000_48:TIAZ3041</t>
  </si>
  <si>
    <t>TIAZ3041</t>
  </si>
  <si>
    <t>SPLITTER HEATER PASS 2 SKIN</t>
  </si>
  <si>
    <t>CDU4_3000_48:TIAZ3042</t>
  </si>
  <si>
    <t>TIAZ3042</t>
  </si>
  <si>
    <t>SPLITTER HEATER PASS 3 SKIN</t>
  </si>
  <si>
    <t>CDU4_3000_48:TIAZ3043</t>
  </si>
  <si>
    <t>TIAZ3043</t>
  </si>
  <si>
    <t>SPLITTER HEATER PASS 4 SKIN</t>
  </si>
  <si>
    <t>CDU4_3000_48:TIZ3001</t>
  </si>
  <si>
    <t>TIZ3001</t>
  </si>
  <si>
    <t>DFU STABLR FD EX EZ2202 B</t>
  </si>
  <si>
    <t>CDU4_3000_48:TIZ3002</t>
  </si>
  <si>
    <t>TIZ3002</t>
  </si>
  <si>
    <t>DFU STABLR FD EX E2Z202 D</t>
  </si>
  <si>
    <t>CDU4_3000_48:TIZ3003</t>
  </si>
  <si>
    <t>TIZ3003</t>
  </si>
  <si>
    <t>RESIDUE EX STABLR REBOILR A</t>
  </si>
  <si>
    <t>CDU4_3000_48:TIZ3004</t>
  </si>
  <si>
    <t>TIZ3004</t>
  </si>
  <si>
    <t>RESIDUE EX STABLR REBOILR B</t>
  </si>
  <si>
    <t>CDU4_3000_48:TIZ3005</t>
  </si>
  <si>
    <t>TIZ3005</t>
  </si>
  <si>
    <t>DFU STABLR OUTL REBOIL A</t>
  </si>
  <si>
    <t>CDU4_3000_48:TIZ3006</t>
  </si>
  <si>
    <t>TIZ3006</t>
  </si>
  <si>
    <t>DFU STABLR OUTL REBOIL B</t>
  </si>
  <si>
    <t>CDU4_3000_48:TIZ3007</t>
  </si>
  <si>
    <t>TIZ3007</t>
  </si>
  <si>
    <t>DFU STABILISER TRAY 9</t>
  </si>
  <si>
    <t>CDU4_3000_48:TIZ3008</t>
  </si>
  <si>
    <t>TIZ3008</t>
  </si>
  <si>
    <t>DFU STABILISER TRAY 3</t>
  </si>
  <si>
    <t>CDU4_3000_48:TIZ3009</t>
  </si>
  <si>
    <t>TIZ3009</t>
  </si>
  <si>
    <t>DFU STABILISER BOTTOM</t>
  </si>
  <si>
    <t>CDU4_3000_48:TIZ3011</t>
  </si>
  <si>
    <t>TIZ3011</t>
  </si>
  <si>
    <t>DFU STABILISER OVERHEAD DRUM</t>
  </si>
  <si>
    <t>CDU4_3000_48:TIZ3013</t>
  </si>
  <si>
    <t>TIZ3013</t>
  </si>
  <si>
    <t>DFU SPLITTER FEED</t>
  </si>
  <si>
    <t>CDU4_3000_48:TIZ3018</t>
  </si>
  <si>
    <t>TIZ3018</t>
  </si>
  <si>
    <t>SPLITTER HEATER PASS 1 OUTLET</t>
  </si>
  <si>
    <t>CDU4_3000_48:TIZ3018_25</t>
  </si>
  <si>
    <t>TIZ3018_25</t>
  </si>
  <si>
    <t>SPLITTER HEATR MAXPASSES OUTLET</t>
  </si>
  <si>
    <t>CDU4_3000_48:TIZ3019</t>
  </si>
  <si>
    <t>TIZ3019</t>
  </si>
  <si>
    <t>SPLITTER HEATER PASS 2 OUTLET</t>
  </si>
  <si>
    <t>CDU4_3000_48:TIZ3020</t>
  </si>
  <si>
    <t>TIZ3020</t>
  </si>
  <si>
    <t>SPLITTER HEATER PASS 3 OUTLET</t>
  </si>
  <si>
    <t>CDU4_3000_48:TIZ3021</t>
  </si>
  <si>
    <t>TIZ3021</t>
  </si>
  <si>
    <t>SPLITTER HEATER PASS 4 OUTLET</t>
  </si>
  <si>
    <t>CDU4_3000_48:TIZ3022</t>
  </si>
  <si>
    <t>TIZ3022</t>
  </si>
  <si>
    <t>SPLITTER HEATER PASS 5 OUTLET</t>
  </si>
  <si>
    <t>CDU4_3000_48:TIZ3023</t>
  </si>
  <si>
    <t>TIZ3023</t>
  </si>
  <si>
    <t>SPLITTER HEATER PASS 6 OUTLET</t>
  </si>
  <si>
    <t>CDU4_3000_48:TIZ3024</t>
  </si>
  <si>
    <t>TIZ3024</t>
  </si>
  <si>
    <t>SPLITTER HEATER PASS 7 OUTLET</t>
  </si>
  <si>
    <t>CDU4_3000_48:TIZ3025</t>
  </si>
  <si>
    <t>TIZ3025</t>
  </si>
  <si>
    <t>SPLITTER HEATER PASS 8 OUTLET</t>
  </si>
  <si>
    <t>CDU4_3000_48:TIZ3026</t>
  </si>
  <si>
    <t>TIZ3026</t>
  </si>
  <si>
    <t>DFU SPLITTER REBOILER STACK</t>
  </si>
  <si>
    <t>CDU4_3000_48:TIZ3027</t>
  </si>
  <si>
    <t>TIZ3027</t>
  </si>
  <si>
    <t>DFU SPIT REBOILER</t>
  </si>
  <si>
    <t>CDU4_3000_48:TIZ3029</t>
  </si>
  <si>
    <t>TIZ3029</t>
  </si>
  <si>
    <t>DFU STRIP. REBOIL RETURN</t>
  </si>
  <si>
    <t>CDU4_3000_48:TIZ3031</t>
  </si>
  <si>
    <t>TIZ3031</t>
  </si>
  <si>
    <t>DFU SRB/NAPHTHA RUNDOWN</t>
  </si>
  <si>
    <t>CDU4_3000_48:TIZ3032</t>
  </si>
  <si>
    <t>TIZ3032</t>
  </si>
  <si>
    <t>DFU SPLITTER OVHD EX CONDENSER</t>
  </si>
  <si>
    <t>CDU4_3000_48:TIZ3033</t>
  </si>
  <si>
    <t>TIZ3033</t>
  </si>
  <si>
    <t>DFU SPLITTER OVHD LIQUID</t>
  </si>
  <si>
    <t>CDU4_3000_48:TIZ3034</t>
  </si>
  <si>
    <t>TIZ3034</t>
  </si>
  <si>
    <t>DFU SRG RUNDOWN</t>
  </si>
  <si>
    <t>CDU4_3000_48:TIZ3035</t>
  </si>
  <si>
    <t>TIZ3035</t>
  </si>
  <si>
    <t>DFU KERO RUNDOWN</t>
  </si>
  <si>
    <t>CDU4_3000_48:TIZ3050</t>
  </si>
  <si>
    <t>TIZ3050</t>
  </si>
  <si>
    <t>KERO (BEFORE AIRFIN)</t>
  </si>
  <si>
    <t>CDU4_3000_48:TIZ3051</t>
  </si>
  <si>
    <t>TIZ3051</t>
  </si>
  <si>
    <t>NAFTA (STRIPPER BOTTOM)</t>
  </si>
  <si>
    <t>CDU4_3000_48:TTZ3017</t>
  </si>
  <si>
    <t>TTZ3017</t>
  </si>
  <si>
    <t>CDU4_3000_48:XFDZ1_2201</t>
  </si>
  <si>
    <t>XFDZ1_2201</t>
  </si>
  <si>
    <t>FIRED DUTY HZ2201</t>
  </si>
  <si>
    <t>MW</t>
  </si>
  <si>
    <t>CDU4_3000_48:XIAZ3009</t>
  </si>
  <si>
    <t>XIAZ3009</t>
  </si>
  <si>
    <t>DFU SPLITTER TAIL GAS</t>
  </si>
  <si>
    <t>CDU4_3000_57:FICZ3003_L2</t>
  </si>
  <si>
    <t>FICZ3003_L2</t>
  </si>
  <si>
    <t>CDU4_3000_57:FICZ3004_L2</t>
  </si>
  <si>
    <t>FICZ3004_L2</t>
  </si>
  <si>
    <t>CDU4_3000_57:FIZ3002</t>
  </si>
  <si>
    <t>FIZ3002</t>
  </si>
  <si>
    <t>DFU STABILISER REFLUX</t>
  </si>
  <si>
    <t>CDU4_3000_57:FIZ3003</t>
  </si>
  <si>
    <t>FIZ3003</t>
  </si>
  <si>
    <t>CDU4_3000_57:FIZ3004</t>
  </si>
  <si>
    <t>FIZ3004</t>
  </si>
  <si>
    <t>DFU STAB. C3/C4 TO 600 UNIT</t>
  </si>
  <si>
    <t>CDU4_3000_57:FYIZ3002</t>
  </si>
  <si>
    <t>FYIZ3002</t>
  </si>
  <si>
    <t>STAB. INTERNAL REFLUX</t>
  </si>
  <si>
    <t>CDU4_3000_57:FYZ1002</t>
  </si>
  <si>
    <t>FYZ1002</t>
  </si>
  <si>
    <t>TOTAL RESIDUE FLOW STAB-REBOILER</t>
  </si>
  <si>
    <t>CDU4_3000_57:LDZ3003</t>
  </si>
  <si>
    <t>LDZ3003</t>
  </si>
  <si>
    <t>STABILISER OVHD DRUM LVL DIFF</t>
  </si>
  <si>
    <t>CDU4_3000_57:LIZ3003</t>
  </si>
  <si>
    <t>LIZ3003</t>
  </si>
  <si>
    <t>CDU4_3000_57:LIZ3003A</t>
  </si>
  <si>
    <t>LIZ3003A</t>
  </si>
  <si>
    <t>CDU4_3000_57:LIZ3003B</t>
  </si>
  <si>
    <t>LIZ3003B</t>
  </si>
  <si>
    <t>CDU4_3000_57:PDTZ3017</t>
  </si>
  <si>
    <t>PDTZ3017</t>
  </si>
  <si>
    <t>DFU STABL. D.P. UPPER SECTION</t>
  </si>
  <si>
    <t>MBAR</t>
  </si>
  <si>
    <t>CDU4_3000_57:PDTZ3018</t>
  </si>
  <si>
    <t>PDTZ3018</t>
  </si>
  <si>
    <t>DFU STABL. D.P. LOWER SECTION</t>
  </si>
  <si>
    <t>CDU4_3000_57:PIZ3001</t>
  </si>
  <si>
    <t>PIZ3001</t>
  </si>
  <si>
    <t>CDU4_3000_57:TIIZ3002</t>
  </si>
  <si>
    <t>TIIZ3002</t>
  </si>
  <si>
    <t>DFU STABILISER FEED</t>
  </si>
  <si>
    <t>CDU4_3000_57:TIIZ3003</t>
  </si>
  <si>
    <t>TIIZ3003</t>
  </si>
  <si>
    <t>DFU STABILISER TRAY3 (REBOIL)</t>
  </si>
  <si>
    <t>CDU4_3000_57:TIZ3010</t>
  </si>
  <si>
    <t>TIZ3010</t>
  </si>
  <si>
    <t>CDU4_3000_57:TIZ3010C</t>
  </si>
  <si>
    <t>TIZ3010C</t>
  </si>
  <si>
    <t>DFU STABILISER TOP(CORR. 8BAR)</t>
  </si>
  <si>
    <t>CDU4_3000_57:TIZ3012</t>
  </si>
  <si>
    <t>TIZ3012</t>
  </si>
  <si>
    <t>DFU STABILISER OVERHEAD LIQ.</t>
  </si>
  <si>
    <t>CDU4_3000_57:TIZ3048</t>
  </si>
  <si>
    <t>TIZ3048</t>
  </si>
  <si>
    <t>DFU STABILISER TRAY 28</t>
  </si>
  <si>
    <t>CDU4_3000_57:TIZ3048C</t>
  </si>
  <si>
    <t>TIZ3048C</t>
  </si>
  <si>
    <t>DFU STABILISER T28(CORR. 8BAR)</t>
  </si>
  <si>
    <t>CDU4_3000_57:TIZ3049</t>
  </si>
  <si>
    <t>TIZ3049</t>
  </si>
  <si>
    <t>SRB NAPHTA TO FW UNIT 500</t>
  </si>
  <si>
    <t>CDU4_3000_57:TTZ3044</t>
  </si>
  <si>
    <t>TTZ3044</t>
  </si>
  <si>
    <t>RESIDUE TO STABL. REBOILER</t>
  </si>
  <si>
    <t>CDU4_3000_57:TTZ3045</t>
  </si>
  <si>
    <t>TTZ3045</t>
  </si>
  <si>
    <t>RESIDUE EX STABL. REBOILER</t>
  </si>
  <si>
    <t>CDU4_3000_57:TYZ3003</t>
  </si>
  <si>
    <t>TYZ3003</t>
  </si>
  <si>
    <t>ENERGY MEAS. STAB REBOILER</t>
  </si>
  <si>
    <t>CDU4_3000_58:VIZ3001A</t>
  </si>
  <si>
    <t>VIZ3001A</t>
  </si>
  <si>
    <t>VIBRATION EZ2207A</t>
  </si>
  <si>
    <t>MM/S</t>
  </si>
  <si>
    <t>CDU4_3000_58:VIZ3001B</t>
  </si>
  <si>
    <t>VIZ3001B</t>
  </si>
  <si>
    <t>VIBRATION EZ2207B</t>
  </si>
  <si>
    <t>CDU4_3000_59:FICZ3008_L2</t>
  </si>
  <si>
    <t>FICZ3008_L2</t>
  </si>
  <si>
    <t>CDU4_3000_59:FICZ3010_L2</t>
  </si>
  <si>
    <t>FICZ3010_L2</t>
  </si>
  <si>
    <t>CDU4_3000_59:FISZ3090</t>
  </si>
  <si>
    <t>FISZ3090</t>
  </si>
  <si>
    <t>SPLITTER BOILUP</t>
  </si>
  <si>
    <t>CDU4_3000_59:FISZ3091</t>
  </si>
  <si>
    <t>FISZ3091</t>
  </si>
  <si>
    <t>TZ2202 LIQ. LOAD TRAY 10-20</t>
  </si>
  <si>
    <t>CDU4_3000_59:FITZ3001_L2</t>
  </si>
  <si>
    <t>FITZ3001_L2</t>
  </si>
  <si>
    <t>CDU4_3000_59:FIZ3001</t>
  </si>
  <si>
    <t>FIZ3001</t>
  </si>
  <si>
    <t>DFU SPLITTER KERO RUNDOWN</t>
  </si>
  <si>
    <t>CDU4_3000_59:FIZ3006</t>
  </si>
  <si>
    <t>FIZ3006</t>
  </si>
  <si>
    <t>DFU SPLITTER REFLUX</t>
  </si>
  <si>
    <t>CDU4_3000_59:FIZ3007</t>
  </si>
  <si>
    <t>FIZ3007</t>
  </si>
  <si>
    <t>DFU STRIPPER FEED</t>
  </si>
  <si>
    <t>CDU4_3000_59:FIZ3008</t>
  </si>
  <si>
    <t>FIZ3008</t>
  </si>
  <si>
    <t>STRIPPER SRB/N RUN DOWN</t>
  </si>
  <si>
    <t>CDU4_3000_59:FIZ3010</t>
  </si>
  <si>
    <t>FIZ3010</t>
  </si>
  <si>
    <t>DFU SPLITTER SRG PRODUCT</t>
  </si>
  <si>
    <t>CDU4_3000_59:FIZ3013</t>
  </si>
  <si>
    <t>FIZ3013</t>
  </si>
  <si>
    <t>SPLITTER HEATER PASS 1</t>
  </si>
  <si>
    <t>CDU4_3000_59:FIZ3014</t>
  </si>
  <si>
    <t>FIZ3014</t>
  </si>
  <si>
    <t>SPLITTER HEATER PASS 2</t>
  </si>
  <si>
    <t>CDU4_3000_59:FIZ3015</t>
  </si>
  <si>
    <t>FIZ3015</t>
  </si>
  <si>
    <t>SPLITTER HEATER PASS 3</t>
  </si>
  <si>
    <t>CDU4_3000_59:FIZ3016</t>
  </si>
  <si>
    <t>FIZ3016</t>
  </si>
  <si>
    <t>SPLITTER HEATER PASS 4</t>
  </si>
  <si>
    <t>CDU4_3000_59:FIZ3017</t>
  </si>
  <si>
    <t>FIZ3017</t>
  </si>
  <si>
    <t>SPLITTER HEATER PASS 5</t>
  </si>
  <si>
    <t>CDU4_3000_59:FIZ3018</t>
  </si>
  <si>
    <t>FIZ3018</t>
  </si>
  <si>
    <t>SPLITTER HEATER PASS 6</t>
  </si>
  <si>
    <t>CDU4_3000_59:FIZ3019</t>
  </si>
  <si>
    <t>FIZ3019</t>
  </si>
  <si>
    <t>SPLITTER HEATER PASS 7</t>
  </si>
  <si>
    <t>CDU4_3000_59:FIZ3020</t>
  </si>
  <si>
    <t>FIZ3020</t>
  </si>
  <si>
    <t>SPLITTER HEATER PASS 8</t>
  </si>
  <si>
    <t>CDU4_3000_59:FXSZ3006</t>
  </si>
  <si>
    <t>FXSZ3006</t>
  </si>
  <si>
    <t>EXT. REFL. RATIO SPLITTER CDU4</t>
  </si>
  <si>
    <t>M3/M3</t>
  </si>
  <si>
    <t>CDU4_3000_59:FYZ3008A</t>
  </si>
  <si>
    <t>FYZ3008A</t>
  </si>
  <si>
    <t>SRBN RUNDOWN STRIPPER FEED</t>
  </si>
  <si>
    <t>CDU4_3000_59:LDZ3009</t>
  </si>
  <si>
    <t>LDZ3009</t>
  </si>
  <si>
    <t>DFU STRIPPER BTM LEVEL DIFF</t>
  </si>
  <si>
    <t>CDU4_3000_59:LDZ3012</t>
  </si>
  <si>
    <t>LDZ3012</t>
  </si>
  <si>
    <t>SPLITTER OVHD DRUMLEVEL DIFF</t>
  </si>
  <si>
    <t>CDU4_3000_59:LIZ3009</t>
  </si>
  <si>
    <t>LIZ3009</t>
  </si>
  <si>
    <t>DFU STRIPPER BOTTOM</t>
  </si>
  <si>
    <t>CDU4_3000_59:LIZ3009A</t>
  </si>
  <si>
    <t>LIZ3009A</t>
  </si>
  <si>
    <t>CDU4_3000_59:LIZ3009B</t>
  </si>
  <si>
    <t>LIZ3009B</t>
  </si>
  <si>
    <t>CDU4_3000_59:LIZ3012</t>
  </si>
  <si>
    <t>LIZ3012</t>
  </si>
  <si>
    <t>DFU SPLITTER OVERHEAD DRUM</t>
  </si>
  <si>
    <t>CDU4_3000_59:LIZ3012A</t>
  </si>
  <si>
    <t>LIZ3012A</t>
  </si>
  <si>
    <t>CDU4_3000_59:LIZ3012B</t>
  </si>
  <si>
    <t>LIZ3012B</t>
  </si>
  <si>
    <t>CDU4_3000_59:PIVZ3010</t>
  </si>
  <si>
    <t>PIVZ3010</t>
  </si>
  <si>
    <t>CDU4_3000_59:PIZ3004</t>
  </si>
  <si>
    <t>PIZ3004</t>
  </si>
  <si>
    <t>CDU4_3000_59:PIZ3010</t>
  </si>
  <si>
    <t>PIZ3010</t>
  </si>
  <si>
    <t>CDU4_3000_59:RISZ3091</t>
  </si>
  <si>
    <t>RISZ3091</t>
  </si>
  <si>
    <t>TZ2202 INT.REFLUX TRAY 10-20</t>
  </si>
  <si>
    <t>CDU4_3000_59:TAZ3016</t>
  </si>
  <si>
    <t>TAZ3016</t>
  </si>
  <si>
    <t>TDIFF FLASH/REBOIL OUTLET</t>
  </si>
  <si>
    <t>CDU4_3000_59:TDZ3006</t>
  </si>
  <si>
    <t>TDZ3006</t>
  </si>
  <si>
    <t>DFU STRIPPER DIFF. TEMP.</t>
  </si>
  <si>
    <t>CDU4_3000_59:TDZ3008</t>
  </si>
  <si>
    <t>TDZ3008</t>
  </si>
  <si>
    <t>OUTLET GASOLINE</t>
  </si>
  <si>
    <t>CDU4_3000_59:TICZ3005</t>
  </si>
  <si>
    <t>TICZ3005</t>
  </si>
  <si>
    <t>DFU SPLITTER REBOIL.OUTLET</t>
  </si>
  <si>
    <t>CDU4_3000_59:TIZ3006A</t>
  </si>
  <si>
    <t>TIZ3006A</t>
  </si>
  <si>
    <t>CDU4_3000_59:TIZ3006B</t>
  </si>
  <si>
    <t>TIZ3006B</t>
  </si>
  <si>
    <t>DFU STRIPPER BOTTOMS</t>
  </si>
  <si>
    <t>CDU4_3000_59:TIZ3008</t>
  </si>
  <si>
    <t>CDU4_3000_59:TIZ3008A</t>
  </si>
  <si>
    <t>TIZ3008A</t>
  </si>
  <si>
    <t>CDU4_3000_59:TIZ3008B</t>
  </si>
  <si>
    <t>TIZ3008B</t>
  </si>
  <si>
    <t>CDU4_3000_59:TIZ3014</t>
  </si>
  <si>
    <t>TIZ3014</t>
  </si>
  <si>
    <t>CDU4_3000_59:TIZ3015</t>
  </si>
  <si>
    <t>TIZ3015</t>
  </si>
  <si>
    <t>DFU SPLITTER BOTTOM</t>
  </si>
  <si>
    <t>CDU4_3000_59:TIZ3016</t>
  </si>
  <si>
    <t>TIZ3016</t>
  </si>
  <si>
    <t>DFU SPLITTER REBOIL. OUTLET</t>
  </si>
  <si>
    <t>CDU4_3000_59:TIZ3017</t>
  </si>
  <si>
    <t>TIZ3017</t>
  </si>
  <si>
    <t>DFU SPLITTER REBOIL. FEED</t>
  </si>
  <si>
    <t>CDU4_3000_59:TIZ3047</t>
  </si>
  <si>
    <t>TIZ3047</t>
  </si>
  <si>
    <t>DFU STRIPPER REBOIL. RETURN</t>
  </si>
  <si>
    <t>CDU4_3000_59:TTZ3014C</t>
  </si>
  <si>
    <t>TTZ3014C</t>
  </si>
  <si>
    <t>DFU SPLITTER TOP (PRESS CORR.)</t>
  </si>
  <si>
    <t>CDU4_3000_81:LDZ3002</t>
  </si>
  <si>
    <t>LDZ3002</t>
  </si>
  <si>
    <t>STABILISER BOTTOM LEVEL DIFF</t>
  </si>
  <si>
    <t>CDU4_3000_81:LDZ3008</t>
  </si>
  <si>
    <t>LDZ3008</t>
  </si>
  <si>
    <t>SPLITTER BOTTOM LEVEL DIFF</t>
  </si>
  <si>
    <t>CDU4_3000_81:LIZ3002</t>
  </si>
  <si>
    <t>LIZ3002</t>
  </si>
  <si>
    <t>CDU4_3000_81:LIZ3002A</t>
  </si>
  <si>
    <t>LIZ3002A</t>
  </si>
  <si>
    <t>CDU4_3000_81:LIZ3002B</t>
  </si>
  <si>
    <t>LIZ3002B</t>
  </si>
  <si>
    <t>CDU4_3000_81:LIZ3002C</t>
  </si>
  <si>
    <t>LIZ3002C</t>
  </si>
  <si>
    <t>CDU4_3000_81:LIZ3008</t>
  </si>
  <si>
    <t>LIZ3008</t>
  </si>
  <si>
    <t>CDU4_3000_81:LIZ3008A</t>
  </si>
  <si>
    <t>LIZ3008A</t>
  </si>
  <si>
    <t>CDU4_3000_81:LIZ3008B</t>
  </si>
  <si>
    <t>LIZ3008B</t>
  </si>
  <si>
    <t>CDU4_3000_81:LIZ3008C</t>
  </si>
  <si>
    <t>LIZ3008C</t>
  </si>
  <si>
    <t>CDU4_3000_81:PDAZ3066</t>
  </si>
  <si>
    <t>PDAZ3066</t>
  </si>
  <si>
    <t>HZ2201 PILOTGAS HEADER PRESS</t>
  </si>
  <si>
    <t>CDU4_3000_81:PIAZ3066</t>
  </si>
  <si>
    <t>PIAZ3066</t>
  </si>
  <si>
    <t>CDU4_3000_81:PIAZ3069</t>
  </si>
  <si>
    <t>PIAZ3069</t>
  </si>
  <si>
    <t>HZ2201 INSTRUMENT AIR PILOTS</t>
  </si>
  <si>
    <t>CDU4_3000_81:PIAZ3072</t>
  </si>
  <si>
    <t>PIAZ3072</t>
  </si>
  <si>
    <t>HZ2201 PILOT GAS AFTER FILTER</t>
  </si>
  <si>
    <t>CDU4_3000_81:PIZ3066A</t>
  </si>
  <si>
    <t>PIZ3066A</t>
  </si>
  <si>
    <t>HZ2201 PILOTGAS HEADER PRES A</t>
  </si>
  <si>
    <t>CDU4_3000_81:PIZ3066B</t>
  </si>
  <si>
    <t>PIZ3066B</t>
  </si>
  <si>
    <t>HZ2201 PILOTGAS HEADER PRES B</t>
  </si>
  <si>
    <t>CDU4_3000_81:PIZ3074</t>
  </si>
  <si>
    <t>PIZ3074</t>
  </si>
  <si>
    <t>SEALS PZ2201A</t>
  </si>
  <si>
    <t>CDU4_3000_81:PIZ3075</t>
  </si>
  <si>
    <t>PIZ3075</t>
  </si>
  <si>
    <t>SEALS PZ2201B</t>
  </si>
  <si>
    <t>CDU4_3000_81:PIZ3076</t>
  </si>
  <si>
    <t>PIZ3076</t>
  </si>
  <si>
    <t>SEALS PZ2202A</t>
  </si>
  <si>
    <t>CDU4_3000_81:PIZ3077</t>
  </si>
  <si>
    <t>PIZ3077</t>
  </si>
  <si>
    <t>SEALS PZ2202B</t>
  </si>
  <si>
    <t>CDU4_3020_48:PIZ3025</t>
  </si>
  <si>
    <t>PIZ3025</t>
  </si>
  <si>
    <t>DRAUGHT RADIANT HZ2201</t>
  </si>
  <si>
    <t>CDU4_3080_81:PDZ3083</t>
  </si>
  <si>
    <t>PDZ3083</t>
  </si>
  <si>
    <t>PRESSURE HZ2201</t>
  </si>
  <si>
    <t>CDU4_3080_81:PTZ3083</t>
  </si>
  <si>
    <t>PTZ3083</t>
  </si>
  <si>
    <t>CDU4_3080_81:PTZ3083HHTMR</t>
  </si>
  <si>
    <t>PTZ3083HHTMR</t>
  </si>
  <si>
    <t>CDU4_4000_45:FTZ4010_TMR</t>
  </si>
  <si>
    <t>FTZ4010_TMR</t>
  </si>
  <si>
    <t>TIME TO OVR FSA4010</t>
  </si>
  <si>
    <t>CDU4_4000_46:FIZ4010</t>
  </si>
  <si>
    <t>FIZ4010</t>
  </si>
  <si>
    <t>RICH AMINE FROM TZ2851</t>
  </si>
  <si>
    <t>CDU4_4000_46:LDAZ4003</t>
  </si>
  <si>
    <t>LDAZ4003</t>
  </si>
  <si>
    <t>AMINE GAS ABSORBER</t>
  </si>
  <si>
    <t>CDU4_4000_46:LIAZ4003A</t>
  </si>
  <si>
    <t>LIAZ4003A</t>
  </si>
  <si>
    <t>CDU4_4000_46:LIAZ4003B</t>
  </si>
  <si>
    <t>LIAZ4003B</t>
  </si>
  <si>
    <t>CDU4_4000_46:LIZ4003</t>
  </si>
  <si>
    <t>LIZ4003</t>
  </si>
  <si>
    <t>CDU4_4000_48:FTZ4005</t>
  </si>
  <si>
    <t>FTZ4005</t>
  </si>
  <si>
    <t>CDU4_4000_48:FTZ4006</t>
  </si>
  <si>
    <t>FTZ4006</t>
  </si>
  <si>
    <t>OFF GAS FROM TZ2851</t>
  </si>
  <si>
    <t>CDU4_4000_48:FTZ4006_L2</t>
  </si>
  <si>
    <t>FTZ4006_L2</t>
  </si>
  <si>
    <t>LVL2 TAG DESCRIPTION</t>
  </si>
  <si>
    <t>NM3/HR</t>
  </si>
  <si>
    <t>CDU4_4000_48:FTZ4006V</t>
  </si>
  <si>
    <t>FTZ4006V</t>
  </si>
  <si>
    <t>CDU4_4000_48:FTZ4007</t>
  </si>
  <si>
    <t>FTZ4007</t>
  </si>
  <si>
    <t>AMINE LIQ ABS LEAN DEA EX BL</t>
  </si>
  <si>
    <t>CDU4_4000_48:LICAZ4006</t>
  </si>
  <si>
    <t>LICAZ4006</t>
  </si>
  <si>
    <t>LIQUID ABSORBER LSA</t>
  </si>
  <si>
    <t>CDU4_4000_48:TDAZ4003</t>
  </si>
  <si>
    <t>TDAZ4003</t>
  </si>
  <si>
    <t>DIFF TEMP LEAN AMIVS VAPOUR</t>
  </si>
  <si>
    <t>CDU4_4000_48:TIZ4001</t>
  </si>
  <si>
    <t>TIZ4001</t>
  </si>
  <si>
    <t>GAS TO TZ2851</t>
  </si>
  <si>
    <t>CDU4_4000_48:TIZ4002</t>
  </si>
  <si>
    <t>TIZ4002</t>
  </si>
  <si>
    <t>CDU4_4000_48:TIZ4003</t>
  </si>
  <si>
    <t>TIZ4003</t>
  </si>
  <si>
    <t>LEAN AMINE TO TZ2851</t>
  </si>
  <si>
    <t>CDU4_4000_48:TIZ4004</t>
  </si>
  <si>
    <t>TIZ4004</t>
  </si>
  <si>
    <t>CDU4_4000_48:TIZ4005</t>
  </si>
  <si>
    <t>TIZ4005</t>
  </si>
  <si>
    <t>ATU LEAN DEA EX EZ2852</t>
  </si>
  <si>
    <t>CDU4_4000_48:TIZ4006</t>
  </si>
  <si>
    <t>TIZ4006</t>
  </si>
  <si>
    <t>ATU LEAN DEA LIQUID ABSRBR</t>
  </si>
  <si>
    <t>CDU4_4000_55:FICZ4001_L2</t>
  </si>
  <si>
    <t>FICZ4001_L2</t>
  </si>
  <si>
    <t>CDU4_4000_55:FIZ4001</t>
  </si>
  <si>
    <t>FIZ4001</t>
  </si>
  <si>
    <t>OFF GAS FLOW CDU4 TO HRU</t>
  </si>
  <si>
    <t>CDU4_4000_55:FIZ4002</t>
  </si>
  <si>
    <t>FIZ4002</t>
  </si>
  <si>
    <t>CDU4_4000_55:FYIZ4006</t>
  </si>
  <si>
    <t>FYIZ4006</t>
  </si>
  <si>
    <t>OFFGAS FLOW CDU4 (CALCULATED)</t>
  </si>
  <si>
    <t>CDU4_4000_55:LIZ4001</t>
  </si>
  <si>
    <t>LIZ4001</t>
  </si>
  <si>
    <t>DZ2851 K.O. POT</t>
  </si>
  <si>
    <t>CDU4_4000_55:PDI4004</t>
  </si>
  <si>
    <t>PDI4004</t>
  </si>
  <si>
    <t>DELTA P TZ2851</t>
  </si>
  <si>
    <t>CDU4_4000_55:PIZ4001</t>
  </si>
  <si>
    <t>PIZ4001</t>
  </si>
  <si>
    <t>CDU4_4000_55:PIZ4003</t>
  </si>
  <si>
    <t>PIZ4003</t>
  </si>
  <si>
    <t>GAS FROM GAS/DEASEP DZ2851</t>
  </si>
  <si>
    <t>CDU4_4000_55:PIZ4004</t>
  </si>
  <si>
    <t>PIZ4004</t>
  </si>
  <si>
    <t>GAS TO GAS/DEASEP DZ2852</t>
  </si>
  <si>
    <t>CDU4_4000_80:AIZ1030</t>
  </si>
  <si>
    <t>AIZ1030</t>
  </si>
  <si>
    <t>H2S IN OFFGAS DZ2852</t>
  </si>
  <si>
    <t>CDU4_5000_48:ATZ5054</t>
  </si>
  <si>
    <t>ATZ5054</t>
  </si>
  <si>
    <t>H2S IN FUELGAS CDU-4</t>
  </si>
  <si>
    <t>CDU4_5000_48:FIAZ5013</t>
  </si>
  <si>
    <t>GAS TO FLARE</t>
  </si>
  <si>
    <t>CDU4_5000_48:FITZ5017</t>
  </si>
  <si>
    <t>FG SUPPLY</t>
  </si>
  <si>
    <t>CDU4_5000_48:LIZ5005</t>
  </si>
  <si>
    <t>LIZ5005</t>
  </si>
  <si>
    <t>OIL SEWER</t>
  </si>
  <si>
    <t>CDU4_5000_48:PIAZ5001</t>
  </si>
  <si>
    <t>PIAZ5001</t>
  </si>
  <si>
    <t>COOLING WATER</t>
  </si>
  <si>
    <t>CDU4_5000_48:PIAZ5002</t>
  </si>
  <si>
    <t>PIAZ5002</t>
  </si>
  <si>
    <t>INSTRUMENT AIR</t>
  </si>
  <si>
    <t>CDU4_5000_48:TIZ5001</t>
  </si>
  <si>
    <t>TIZ5001</t>
  </si>
  <si>
    <t>HP STEAM HEADER</t>
  </si>
  <si>
    <t>CDU4_5000_48:TIZ5002</t>
  </si>
  <si>
    <t>TIZ5002</t>
  </si>
  <si>
    <t>LP STEAM HEADER</t>
  </si>
  <si>
    <t>CDU4_5000_48:TIZ5003</t>
  </si>
  <si>
    <t>TIZ5003</t>
  </si>
  <si>
    <t>FUEL OIL SUPPLY</t>
  </si>
  <si>
    <t>CDU4_5000_48:TIZ5062</t>
  </si>
  <si>
    <t>TIZ5062</t>
  </si>
  <si>
    <t>FLARE LINE TO DZ3004</t>
  </si>
  <si>
    <t>CDU4_5000_48:XEF2301</t>
  </si>
  <si>
    <t>XEF2301</t>
  </si>
  <si>
    <t>EFFICIENCY H2301</t>
  </si>
  <si>
    <t>CDU4_5000_48:XEFZ2101</t>
  </si>
  <si>
    <t>XEFZ2101</t>
  </si>
  <si>
    <t>EFFICIENCY HZ2101</t>
  </si>
  <si>
    <t>CDU4_5000_48:XEFZ2151</t>
  </si>
  <si>
    <t>XEFZ2151</t>
  </si>
  <si>
    <t>EFFICIENCY HZ2151</t>
  </si>
  <si>
    <t>CDU4_5000_48:XEFZ2201</t>
  </si>
  <si>
    <t>XEFZ2201</t>
  </si>
  <si>
    <t>EFFICIENCY HZ2201</t>
  </si>
  <si>
    <t>CDU4_5000_49:AICZ5053</t>
  </si>
  <si>
    <t>AICZ5053</t>
  </si>
  <si>
    <t>FUEL GAS HEADER SG</t>
  </si>
  <si>
    <t>KG/NM3</t>
  </si>
  <si>
    <t>CDU4_5000_49:APMZ5053_E</t>
  </si>
  <si>
    <t>APMZ5053_E</t>
  </si>
  <si>
    <t>ANALYSER PERF_MON STATUS</t>
  </si>
  <si>
    <t>STATUS</t>
  </si>
  <si>
    <t>CDU4_5000_49:PIZ10109</t>
  </si>
  <si>
    <t>PIZ10109</t>
  </si>
  <si>
    <t>FUELGAS TO HZ2101</t>
  </si>
  <si>
    <t>CDU4_5000_49:PIZ5007</t>
  </si>
  <si>
    <t>PIZ5007</t>
  </si>
  <si>
    <t>FUEL GAS MIXING DRUM</t>
  </si>
  <si>
    <t>CDU4_5000_49:PTZ5014</t>
  </si>
  <si>
    <t>PTZ5014</t>
  </si>
  <si>
    <t>FUEL GAS HEADER</t>
  </si>
  <si>
    <t>CDU4_5000_49:TTZ5056</t>
  </si>
  <si>
    <t>TTZ5056</t>
  </si>
  <si>
    <t>CDU4_5000_49:XFDZ1_2101</t>
  </si>
  <si>
    <t>XFDZ1_2101</t>
  </si>
  <si>
    <t>FIRED DUTY HZ2101</t>
  </si>
  <si>
    <t>CDU4_5000_49:XFDZ1_2151</t>
  </si>
  <si>
    <t>XFDZ1_2151</t>
  </si>
  <si>
    <t>FIRED DUTY HZ2151</t>
  </si>
  <si>
    <t>CDU4_5000_57:FITZ5009</t>
  </si>
  <si>
    <t>FITZ5009</t>
  </si>
  <si>
    <t>CDU4 LP STEAM EXPORT TO OM</t>
  </si>
  <si>
    <t>CDU4_5000_57:FITZ5010</t>
  </si>
  <si>
    <t>FITZ5010</t>
  </si>
  <si>
    <t>CDU4 LP STEAM EXPORT TO FW</t>
  </si>
  <si>
    <t>CDU4_5000_57:FITZ5011</t>
  </si>
  <si>
    <t>FITZ5011</t>
  </si>
  <si>
    <t>CDU4 HP STEAM EXPORT</t>
  </si>
  <si>
    <t>CDU4_5000_57:FITZ5012</t>
  </si>
  <si>
    <t>FITZ5012</t>
  </si>
  <si>
    <t>CDU4 HP STEAM IMPORT</t>
  </si>
  <si>
    <t>CDU4_5000_57:FITZ5062</t>
  </si>
  <si>
    <t>FITZ5062</t>
  </si>
  <si>
    <t>CDU4_5000_57:HPZCONSUMP</t>
  </si>
  <si>
    <t>HPZCONSUMP</t>
  </si>
  <si>
    <t>CDU4 HP STEAM CONSUMPTION</t>
  </si>
  <si>
    <t>CDU4_5000_57:PISAZ5013</t>
  </si>
  <si>
    <t>PISAZ5013</t>
  </si>
  <si>
    <t>BOILER FEED WATER</t>
  </si>
  <si>
    <t>CDU4_5000_57:PIZ5010</t>
  </si>
  <si>
    <t>PIZ5010</t>
  </si>
  <si>
    <t>LP STEAM</t>
  </si>
  <si>
    <t>CDU4_5000_81:LIZ5008</t>
  </si>
  <si>
    <t>LIZ5008</t>
  </si>
  <si>
    <t>MIXING DRUM DZ3002LEVEL</t>
  </si>
  <si>
    <t>CDU4_5010_54:PIZ5015</t>
  </si>
  <si>
    <t>PIZ5015</t>
  </si>
  <si>
    <t>K.O. DRUM DZ3004</t>
  </si>
  <si>
    <t>CDU4_5010_54:PIZ5017</t>
  </si>
  <si>
    <t>PIZ5017</t>
  </si>
  <si>
    <t>WASHWATER DZ2104 TO DZ3004</t>
  </si>
  <si>
    <t>CDU4_5010_54:PIZ5018</t>
  </si>
  <si>
    <t>PIZ5018</t>
  </si>
  <si>
    <t>DHT4 TO DZ3004</t>
  </si>
  <si>
    <t>CDU4_5010_54:PIZ5019</t>
  </si>
  <si>
    <t>PIZ5019</t>
  </si>
  <si>
    <t>LIQ.RELIEF HEADER TO DZ3004</t>
  </si>
  <si>
    <t>CDU4_5020_54:PIZ5020</t>
  </si>
  <si>
    <t>PIZ5020</t>
  </si>
  <si>
    <t>GAS RELIEF HEADER TO DZ3004</t>
  </si>
  <si>
    <t>CDU4_5020_54:PIZ5021</t>
  </si>
  <si>
    <t>PIZ5021</t>
  </si>
  <si>
    <t>RELIEF HEADER GOH3 TO DZ3004</t>
  </si>
  <si>
    <t>CDU4_5020_81:PDDZ5022</t>
  </si>
  <si>
    <t>PDDZ5022</t>
  </si>
  <si>
    <t>BACKFLOW PROTECT. DZ3004</t>
  </si>
  <si>
    <t>CDU4_5020_81:PDIZ5022</t>
  </si>
  <si>
    <t>PDIZ5022</t>
  </si>
  <si>
    <t>CDU4_5050_48:LDZ5055</t>
  </si>
  <si>
    <t>LDZ5055</t>
  </si>
  <si>
    <t>LEVEL VERSCHIL DZ3004</t>
  </si>
  <si>
    <t>CDU4_5050_48:LIZ5055</t>
  </si>
  <si>
    <t>LIZ5055</t>
  </si>
  <si>
    <t>CDU4_5050_48:LIZ5055A</t>
  </si>
  <si>
    <t>LIZ5055A</t>
  </si>
  <si>
    <t>CDU4_5050_48:LIZ5055A_MM</t>
  </si>
  <si>
    <t>LIZ5055A_MM</t>
  </si>
  <si>
    <t>MM</t>
  </si>
  <si>
    <t>CDU4_5050_48:LIZ5055B</t>
  </si>
  <si>
    <t>LIZ5055B</t>
  </si>
  <si>
    <t>CDU4_5050_48:LIZ5055B_DP</t>
  </si>
  <si>
    <t>LIZ5055B_DP</t>
  </si>
  <si>
    <t>CDU4_5050_48:LIZ5055B_MM</t>
  </si>
  <si>
    <t>LIZ5055B_MM</t>
  </si>
  <si>
    <t>CDU4_5060_48:FIZ5065</t>
  </si>
  <si>
    <t>FIZ5065</t>
  </si>
  <si>
    <t>DZ3004 TO SLOPS</t>
  </si>
  <si>
    <t>CDU4_5060_54:TIZ5063</t>
  </si>
  <si>
    <t>TIZ5063</t>
  </si>
  <si>
    <t>CDU4_5060_81:TTZ5063_TMR</t>
  </si>
  <si>
    <t>TTZ5063_TMR</t>
  </si>
  <si>
    <t>TIME TO RESET OVR DZ3004</t>
  </si>
  <si>
    <t>SEC.</t>
  </si>
  <si>
    <t>CDU4_BNR1_43:TEZ_2052AB</t>
  </si>
  <si>
    <t>TEZ_2052AB</t>
  </si>
  <si>
    <t>TEMP. LUBE OIL VOITH</t>
  </si>
  <si>
    <t>CDU4_BNR1_43:TEZ_2053AB</t>
  </si>
  <si>
    <t>TEZ_2053AB</t>
  </si>
  <si>
    <t>TEMP. WORKING OIL VOITH</t>
  </si>
  <si>
    <t>CDU4_BNR1_43:TEZ_2055_6_7</t>
  </si>
  <si>
    <t>TEZ_2055_6_7</t>
  </si>
  <si>
    <t>TEMP. WINDING E-MOTOR</t>
  </si>
  <si>
    <t>CDU4_BNR1_43:TEZ_2060AB</t>
  </si>
  <si>
    <t>TEZ_2060AB</t>
  </si>
  <si>
    <t>TEMP. BEARING AXIAL O.B COMPR.</t>
  </si>
  <si>
    <t>CDU4_BNR1_43:TEZ_2061AB</t>
  </si>
  <si>
    <t>TEZ_2061AB</t>
  </si>
  <si>
    <t>TEMP. BEARING AXIAL I.B COMPR.</t>
  </si>
  <si>
    <t>CDU4_BNR1_43:TEZ_2062AB</t>
  </si>
  <si>
    <t>TEZ_2062AB</t>
  </si>
  <si>
    <t>TEMP. BEAR. RADIAL N.D.E COMPR.</t>
  </si>
  <si>
    <t>CDU4_BNR1_43:TEZ_2063AB</t>
  </si>
  <si>
    <t>TEZ_2063AB</t>
  </si>
  <si>
    <t>TEMP. BEARING RADIAL D.E COMPR.</t>
  </si>
  <si>
    <t>CDU4_BNR1_43:TEZ_2064AB</t>
  </si>
  <si>
    <t>TEZ_2064AB</t>
  </si>
  <si>
    <t>TEMP. RADIAL OUTPUT O.B VOITH</t>
  </si>
  <si>
    <t>CDU4_BNR1_43:TEZ_2065AB</t>
  </si>
  <si>
    <t>TEZ_2065AB</t>
  </si>
  <si>
    <t>CDU4_BNR1_43:TEZ_2066AB</t>
  </si>
  <si>
    <t>TEZ_2066AB</t>
  </si>
  <si>
    <t>TEMP. RADIAL OUTPUT I.B VOITH</t>
  </si>
  <si>
    <t>CDU4_BNR1_43:TEZ_2067AB</t>
  </si>
  <si>
    <t>TEZ_2067AB</t>
  </si>
  <si>
    <t>CDU4_BNR1_43:TEZ_2068AB</t>
  </si>
  <si>
    <t>TEZ_2068AB</t>
  </si>
  <si>
    <t>TEMP. RADIAL PINION I.B VOITH</t>
  </si>
  <si>
    <t>CDU4_BNR1_43:TEZ_2069AB</t>
  </si>
  <si>
    <t>TEZ_2069AB</t>
  </si>
  <si>
    <t>TEMP. RADIAL INPUT I.B VOITH</t>
  </si>
  <si>
    <t>CDU4_BNR1_43:TEZ_2070AB</t>
  </si>
  <si>
    <t>TEZ_2070AB</t>
  </si>
  <si>
    <t>TEMP. RADIAL INPUT O.B VOITH</t>
  </si>
  <si>
    <t>CDU4_BNR1_43:TEZ_2071AB</t>
  </si>
  <si>
    <t>TEZ_2071AB</t>
  </si>
  <si>
    <t>TEMP. RADIAL PINION O.B. VOITH</t>
  </si>
  <si>
    <t>CDU4_BNR1_43:TEZ_2072AB</t>
  </si>
  <si>
    <t>TEZ_2072AB</t>
  </si>
  <si>
    <t>TEMP. AXIAL PINION I.B VOITH</t>
  </si>
  <si>
    <t>CDU4_BNR1_43:TEZ_2073AB</t>
  </si>
  <si>
    <t>TEZ_2073AB</t>
  </si>
  <si>
    <t>TEMP. AXIAL PINION O.B VOITH</t>
  </si>
  <si>
    <t>CDU4_BNR1_43:TEZ_2074AB</t>
  </si>
  <si>
    <t>TEZ_2074AB</t>
  </si>
  <si>
    <t>TEMP. BEARING RADIAL D.E E-MOTOR</t>
  </si>
  <si>
    <t>CDU4_BNR1_43:TEZ_2075AB</t>
  </si>
  <si>
    <t>TEZ_2075AB</t>
  </si>
  <si>
    <t>TEMP. BEAR. RADIAL N.D.E E-MOTOR</t>
  </si>
  <si>
    <t>CDU4_BNR2_43:SEZ_2002A</t>
  </si>
  <si>
    <t>SEZ_2002A</t>
  </si>
  <si>
    <t>SPEED</t>
  </si>
  <si>
    <t>CDU4_BNR2_43:VEZ_2001E</t>
  </si>
  <si>
    <t>VEZ_2001E</t>
  </si>
  <si>
    <t>REL. VIBR. RADIAL D.E COMPR.</t>
  </si>
  <si>
    <t>UM</t>
  </si>
  <si>
    <t>CDU4_BNR2_43:VEZ_2001F</t>
  </si>
  <si>
    <t>VEZ_2001F</t>
  </si>
  <si>
    <t>CDU4_BNR2_43:VEZ_2001G</t>
  </si>
  <si>
    <t>VEZ_2001G</t>
  </si>
  <si>
    <t>REL. VIBR. RADIAL N.D.E COMPR.</t>
  </si>
  <si>
    <t>CDU4_BNR2_43:VEZ_2001H</t>
  </si>
  <si>
    <t>VEZ_2001H</t>
  </si>
  <si>
    <t>CDU4_BNR2_43:VEZ_2001I</t>
  </si>
  <si>
    <t>VEZ_2001I</t>
  </si>
  <si>
    <t>REL. VIBR. RADIAL D.E E-MOTOR</t>
  </si>
  <si>
    <t>CDU4_BNR2_43:VEZ_2001J</t>
  </si>
  <si>
    <t>VEZ_2001J</t>
  </si>
  <si>
    <t>CDU4_BNR2_43:VEZ_2001K</t>
  </si>
  <si>
    <t>VEZ_2001K</t>
  </si>
  <si>
    <t>REL. VIBR. RADIAL N.D.E E-MOTOR</t>
  </si>
  <si>
    <t>CDU4_BNR2_43:VEZ_2001L</t>
  </si>
  <si>
    <t>VEZ_2001L</t>
  </si>
  <si>
    <t>CDU4_BNR2_43:VEZ_2002A</t>
  </si>
  <si>
    <t>VEZ_2002A</t>
  </si>
  <si>
    <t>ABS. VIBR. AXIAL</t>
  </si>
  <si>
    <t>CDU4_BNR2_43:VEZ_2002B</t>
  </si>
  <si>
    <t>VEZ_2002B</t>
  </si>
  <si>
    <t>CDU4_BNR2_43:VYZ_2001AB</t>
  </si>
  <si>
    <t>VYZ_2001AB</t>
  </si>
  <si>
    <t>REL. VIBR. RAD. INPUT VOITH</t>
  </si>
  <si>
    <t>CDU4_BNR2_43:VYZ_2001CD</t>
  </si>
  <si>
    <t>VYZ_2001CD</t>
  </si>
  <si>
    <t>REL. VIBR. RAD. OUTPUT VOITH</t>
  </si>
  <si>
    <t>CDU4_CROB_46:FIZ2306</t>
  </si>
  <si>
    <t>FIZ2306</t>
  </si>
  <si>
    <t>NS CRUDE BLENDER TK106</t>
  </si>
  <si>
    <t>CDU4_CROB_46:FIZ2307</t>
  </si>
  <si>
    <t>FIZ2307</t>
  </si>
  <si>
    <t>NS CRUDE BLENDER TK105</t>
  </si>
  <si>
    <t>CDU4_CROB_46:FIZ2308</t>
  </si>
  <si>
    <t>FIZ2308</t>
  </si>
  <si>
    <t>NS CRUDE BLENDER TK04 TO CDU4</t>
  </si>
  <si>
    <t>CDU4_CROB_46:FIZ2308_DUMY</t>
  </si>
  <si>
    <t>FIZ2308_DUMY</t>
  </si>
  <si>
    <t>CDU4_DMC_44:QPSSZ1003</t>
  </si>
  <si>
    <t>QPSSZ1003</t>
  </si>
  <si>
    <t>LGO CLOUDPOINT PREDICTION</t>
  </si>
  <si>
    <t>CDU4_DMC_44:QPSSZ1015</t>
  </si>
  <si>
    <t>QPSSZ1015</t>
  </si>
  <si>
    <t>HGO COLOUR PREDICTION</t>
  </si>
  <si>
    <t>CDU4_DMC_44:QPSSZ1016</t>
  </si>
  <si>
    <t>QPSSZ1016</t>
  </si>
  <si>
    <t>LGO DIST 95% PREDICTION</t>
  </si>
  <si>
    <t>CDU4_DMC_44:QPSSZ3001A</t>
  </si>
  <si>
    <t>QPSSZ3001A</t>
  </si>
  <si>
    <t>SRG DIST 90% PREDICTION</t>
  </si>
  <si>
    <t>CDU4_DMC_44:QPSSZ3001B</t>
  </si>
  <si>
    <t>QPSSZ3001B</t>
  </si>
  <si>
    <t>SRG RVP PREDICTION</t>
  </si>
  <si>
    <t>CDU4_DMC_44:QPSSZ3001D</t>
  </si>
  <si>
    <t>QPSSZ3001D</t>
  </si>
  <si>
    <t>SRG TOTAL C4 PREDICTION</t>
  </si>
  <si>
    <t>CDU4_DMC_44:QPSSZ3003A</t>
  </si>
  <si>
    <t>QPSSZ3003A</t>
  </si>
  <si>
    <t>SRB DIST 90% PREDICTION</t>
  </si>
  <si>
    <t>CDU4_DMC_44:QPSSZ3003B</t>
  </si>
  <si>
    <t>QPSSZ3003B</t>
  </si>
  <si>
    <t>SRB DIST 5% PREDICTION</t>
  </si>
  <si>
    <t>CDU4_DMC_44:QPSSZ3004A</t>
  </si>
  <si>
    <t>QPSSZ3004A</t>
  </si>
  <si>
    <t>KERO FLASHPOINT PREDICTION</t>
  </si>
  <si>
    <t>CDU4_DMC_44:QPSSZ3004B</t>
  </si>
  <si>
    <t>QPSSZ3004B</t>
  </si>
  <si>
    <t>KERO 90% POINT PREDICTION</t>
  </si>
  <si>
    <t>CDU4_DMC_44:QPSSZ3004D</t>
  </si>
  <si>
    <t>QPSSZ3004D</t>
  </si>
  <si>
    <t>KERO FREEZING PNT PREDICTION</t>
  </si>
  <si>
    <t>CDU4_DMC_44:QPSSZ3010</t>
  </si>
  <si>
    <t>QPSSZ3010</t>
  </si>
  <si>
    <t>LPG C5 PREDICTION</t>
  </si>
  <si>
    <t>CDU4_DMC_44:QPZ1003_ST</t>
  </si>
  <si>
    <t>QPZ1003_ST</t>
  </si>
  <si>
    <t>LGO CLOUDPOINT STATUS</t>
  </si>
  <si>
    <t>CDU4_DMC_44:QPZ1015_ST</t>
  </si>
  <si>
    <t>QPZ1015_ST</t>
  </si>
  <si>
    <t>HGO COLOUR STATUS</t>
  </si>
  <si>
    <t>CDU4_DMC_44:QPZ3001A_ST</t>
  </si>
  <si>
    <t>QPZ3001A_ST</t>
  </si>
  <si>
    <t>SRG 90% POINT STATUS</t>
  </si>
  <si>
    <t>CDU4_DMC_44:QPZ3001B_ST</t>
  </si>
  <si>
    <t>QPZ3001B_ST</t>
  </si>
  <si>
    <t>SRG RVP STATUS</t>
  </si>
  <si>
    <t>CDU4_DMC_44:QPZ3001D_ST</t>
  </si>
  <si>
    <t>QPZ3001D_ST</t>
  </si>
  <si>
    <t>SRG C4% STATUS</t>
  </si>
  <si>
    <t>CDU4_DMC_44:QPZ3003A_ST</t>
  </si>
  <si>
    <t>QPZ3003A_ST</t>
  </si>
  <si>
    <t>SRB 90% POINT STATUS</t>
  </si>
  <si>
    <t>CDU4_DMC_44:QPZ3003B_ST</t>
  </si>
  <si>
    <t>QPZ3003B_ST</t>
  </si>
  <si>
    <t>SRB 5% POINT STATUS</t>
  </si>
  <si>
    <t>CDU4_DMC_44:QPZ3004A_ST</t>
  </si>
  <si>
    <t>QPZ3004A_ST</t>
  </si>
  <si>
    <t>KERO FLASHPOINT STATUS</t>
  </si>
  <si>
    <t>CDU4_DMC_44:QPZ3004B_ST</t>
  </si>
  <si>
    <t>QPZ3004B_ST</t>
  </si>
  <si>
    <t>KERO 90% STATUS</t>
  </si>
  <si>
    <t>CDU4_DMC_44:QPZ3004D_ST</t>
  </si>
  <si>
    <t>QPZ3004D_ST</t>
  </si>
  <si>
    <t>KERO FREEZINGPOINTSTATUS</t>
  </si>
  <si>
    <t>CDU4_DMC_44:QPZ3010_ST</t>
  </si>
  <si>
    <t>QPZ3010_ST</t>
  </si>
  <si>
    <t>LPG C5% STATUS</t>
  </si>
  <si>
    <t>CDU4_DMC_44:QSTAT_1003</t>
  </si>
  <si>
    <t>QSTAT_1003</t>
  </si>
  <si>
    <t>LGO CLOUDP.UPDATE MESSAGE</t>
  </si>
  <si>
    <t>CDU4_DMC_44:QSTAT_1015</t>
  </si>
  <si>
    <t>QSTAT_1015</t>
  </si>
  <si>
    <t>HGO COLOR UPDATE MESSAGE</t>
  </si>
  <si>
    <t>CDU4_DMC_44:QSTAT_1016</t>
  </si>
  <si>
    <t>QSTAT_1016</t>
  </si>
  <si>
    <t>LGO 95% UPDATE MESSAGE</t>
  </si>
  <si>
    <t>CDU4_DMC_44:QSTAT_3001A</t>
  </si>
  <si>
    <t>QSTAT_3001A</t>
  </si>
  <si>
    <t>SRG 90% UPDATE MESSAGE</t>
  </si>
  <si>
    <t>CDU4_DMC_44:QSTAT_3001B</t>
  </si>
  <si>
    <t>QSTAT_3001B</t>
  </si>
  <si>
    <t>SRG RVP UPDATE MESSAGE</t>
  </si>
  <si>
    <t>CDU4_DMC_44:QSTAT_3001D</t>
  </si>
  <si>
    <t>QSTAT_3001D</t>
  </si>
  <si>
    <t>SRG %C4 UPDATE MESSAGE</t>
  </si>
  <si>
    <t>CDU4_DMC_44:QSTAT_3003A</t>
  </si>
  <si>
    <t>QSTAT_3003A</t>
  </si>
  <si>
    <t>SRB 90% UPDATE MESSAGE</t>
  </si>
  <si>
    <t>CDU4_DMC_44:QSTAT_3003B</t>
  </si>
  <si>
    <t>QSTAT_3003B</t>
  </si>
  <si>
    <t>SRB 5% UPDATE MESSAGE</t>
  </si>
  <si>
    <t>CDU4_DMC_44:QSTAT_3004A</t>
  </si>
  <si>
    <t>QSTAT_3004A</t>
  </si>
  <si>
    <t>KERO FLASH UPDATE MESSAGE</t>
  </si>
  <si>
    <t>CDU4_DMC_44:QSTAT_3004B</t>
  </si>
  <si>
    <t>QSTAT_3004B</t>
  </si>
  <si>
    <t>KERO 90% UPDATE MESSAGE</t>
  </si>
  <si>
    <t>CDU4_DMC_44:QSTAT_3004D</t>
  </si>
  <si>
    <t>QSTAT_3004D</t>
  </si>
  <si>
    <t>KERO FREEZ UPDATE MESSAGE</t>
  </si>
  <si>
    <t>CDU4_DMC_44:QSTAT_3010</t>
  </si>
  <si>
    <t>QSTAT_3010</t>
  </si>
  <si>
    <t>LPG %C5 UPDATE MESSAGE</t>
  </si>
  <si>
    <t>CDU4_DMC_48:FITZ3005_F</t>
  </si>
  <si>
    <t>FITZ3005_F</t>
  </si>
  <si>
    <t>STABILISER OVHD OFFGAS</t>
  </si>
  <si>
    <t>CDU4_DMC_48:TAHZ1080_F</t>
  </si>
  <si>
    <t>TAHZ1080_F</t>
  </si>
  <si>
    <t>CDU4_DMC_48:TDZ1040</t>
  </si>
  <si>
    <t>TDZ1040</t>
  </si>
  <si>
    <t>CDU HEATER PASS 1 OUTLET DEV</t>
  </si>
  <si>
    <t>CDU4_DMC_48:TDZ1041</t>
  </si>
  <si>
    <t>TDZ1041</t>
  </si>
  <si>
    <t>CDU HEATER PASS 2 OUTLET DEV</t>
  </si>
  <si>
    <t>CDU4_DMC_48:TDZ1042</t>
  </si>
  <si>
    <t>TDZ1042</t>
  </si>
  <si>
    <t>CDU HEATER PASS 3 OUTLET DEV</t>
  </si>
  <si>
    <t>CDU4_DMC_48:TDZ1043</t>
  </si>
  <si>
    <t>TDZ1043</t>
  </si>
  <si>
    <t>CDU HEATER PASS 4 OUTLET DEV</t>
  </si>
  <si>
    <t>CDU4_DMC_48:TDZ1044</t>
  </si>
  <si>
    <t>TDZ1044</t>
  </si>
  <si>
    <t>CDU HEATER PASS 5 OUTLET DEV</t>
  </si>
  <si>
    <t>CDU4_DMC_48:TDZ1045</t>
  </si>
  <si>
    <t>TDZ1045</t>
  </si>
  <si>
    <t>CDU HEATER PASS 6 OUTLET DEV</t>
  </si>
  <si>
    <t>CDU4_DMC_48:TDZ1046</t>
  </si>
  <si>
    <t>TDZ1046</t>
  </si>
  <si>
    <t>CDU HEATER PASS 7 OUTLET DEV</t>
  </si>
  <si>
    <t>CDU4_DMC_48:TDZ1047</t>
  </si>
  <si>
    <t>TDZ1047</t>
  </si>
  <si>
    <t>CDU HEATER PASS 8 OUTLET DEV</t>
  </si>
  <si>
    <t>CDU4_DMC_48:TIZ1020_F</t>
  </si>
  <si>
    <t>TIZ1020_F</t>
  </si>
  <si>
    <t>HZ2101 RADIANT SECTION FILT.</t>
  </si>
  <si>
    <t>CDU4_DMC_48:TIZ1022_F</t>
  </si>
  <si>
    <t>TIZ1022_F</t>
  </si>
  <si>
    <t>CDU HEATER PASS 1 SKIN LOWER FLT</t>
  </si>
  <si>
    <t>CDU4_DMC_48:TIZ1023_F</t>
  </si>
  <si>
    <t>TIZ1023_F</t>
  </si>
  <si>
    <t>CDU HEATER PASS 2 SKIN LOWER FLT</t>
  </si>
  <si>
    <t>CDU4_DMC_48:TIZ1024_F</t>
  </si>
  <si>
    <t>TIZ1024_F</t>
  </si>
  <si>
    <t>CDU HEATER PASS 3 SKIN LOWER FLT</t>
  </si>
  <si>
    <t>CDU4_DMC_48:TIZ1025_F</t>
  </si>
  <si>
    <t>TIZ1025_F</t>
  </si>
  <si>
    <t>CDU HEATER PASS 4 SKIN LOWER FLT</t>
  </si>
  <si>
    <t>CDU4_DMC_48:TIZ1026_F</t>
  </si>
  <si>
    <t>TIZ1026_F</t>
  </si>
  <si>
    <t>CDU HEATER PASS 5 SKIN LOWER FLT</t>
  </si>
  <si>
    <t>CDU4_DMC_48:TIZ1027_F</t>
  </si>
  <si>
    <t>TIZ1027_F</t>
  </si>
  <si>
    <t>CDU HEATER PASS 6 SKIN LOWER FLT</t>
  </si>
  <si>
    <t>CDU4_DMC_48:TIZ1028_F</t>
  </si>
  <si>
    <t>TIZ1028_F</t>
  </si>
  <si>
    <t>CDU HEATER PASS 7 SKIN LOWER FLT</t>
  </si>
  <si>
    <t>CDU4_DMC_48:TIZ1029_F</t>
  </si>
  <si>
    <t>TIZ1029_F</t>
  </si>
  <si>
    <t>CDU HEATER PASS 8 SKIN LOWER FLT</t>
  </si>
  <si>
    <t>CDU4_DMC_48:TIZ1030_F</t>
  </si>
  <si>
    <t>TIZ1030_F</t>
  </si>
  <si>
    <t>FLUEGAS EX CONV SECTION FILT.</t>
  </si>
  <si>
    <t>CDU4_DMC_48:TIZ1040_F</t>
  </si>
  <si>
    <t>TIZ1040_F</t>
  </si>
  <si>
    <t>CDU HEATER HZ2101 PASS 1 OUTLET</t>
  </si>
  <si>
    <t>CDU4_DMC_48:TIZ1041_F</t>
  </si>
  <si>
    <t>TIZ1041_F</t>
  </si>
  <si>
    <t>CDU HEATER HZ2101 PASS 2 OUTLET</t>
  </si>
  <si>
    <t>CDU4_DMC_48:TIZ1042_F</t>
  </si>
  <si>
    <t>TIZ1042_F</t>
  </si>
  <si>
    <t>CDU HEATER HZ2101 PASS 3 OUTLET</t>
  </si>
  <si>
    <t>CDU4_DMC_48:TIZ1043_F</t>
  </si>
  <si>
    <t>TIZ1043_F</t>
  </si>
  <si>
    <t>CDU HEATER HZ2101 PASS 4 OUTLET</t>
  </si>
  <si>
    <t>CDU4_DMC_48:TIZ1044_F</t>
  </si>
  <si>
    <t>TIZ1044_F</t>
  </si>
  <si>
    <t>CDU HEATER HZ2101 PASS 5 OUTLET</t>
  </si>
  <si>
    <t>CDU4_DMC_48:TIZ1045_F</t>
  </si>
  <si>
    <t>TIZ1045_F</t>
  </si>
  <si>
    <t>CDU HEATER HZ2101 PASS 6 OUTLET</t>
  </si>
  <si>
    <t>CDU4_DMC_48:TIZ1046_F</t>
  </si>
  <si>
    <t>TIZ1046_F</t>
  </si>
  <si>
    <t>CDU HEATER HZ2101 PASS 7 OUTLET</t>
  </si>
  <si>
    <t>CDU4_DMC_48:TIZ1047_F</t>
  </si>
  <si>
    <t>TIZ1047_F</t>
  </si>
  <si>
    <t>CDU HEATER HZ2101 PASS 8 OUTLET</t>
  </si>
  <si>
    <t>CDU4_DMC_48:TIZ1065_F</t>
  </si>
  <si>
    <t>TIZ1065_F</t>
  </si>
  <si>
    <t>CDU4_DMC_48:TIZ1113_F</t>
  </si>
  <si>
    <t>TIZ1113_F</t>
  </si>
  <si>
    <t>H2101 FLUEGAS CONVECTION BOX</t>
  </si>
  <si>
    <t>CDU4_DMC_48:TIZ1114_F</t>
  </si>
  <si>
    <t>TIZ1114_F</t>
  </si>
  <si>
    <t>HZ2101 FLUEGAS CONVECTION BOX</t>
  </si>
  <si>
    <t>CDU4_DMC_48:TYZ1022</t>
  </si>
  <si>
    <t>TYZ1022</t>
  </si>
  <si>
    <t>CRUDE FURNACE HIGHSKIN PASS 1</t>
  </si>
  <si>
    <t>CDU4_DMC_48:TYZ1023</t>
  </si>
  <si>
    <t>TYZ1023</t>
  </si>
  <si>
    <t>CRUDE FURNACE HIGHSKIN PASS 2</t>
  </si>
  <si>
    <t>CDU4_DMC_48:TYZ1024</t>
  </si>
  <si>
    <t>TYZ1024</t>
  </si>
  <si>
    <t>CRUDE FURNACE HIGHSKIN PASS 3</t>
  </si>
  <si>
    <t>CDU4_DMC_48:TYZ1025</t>
  </si>
  <si>
    <t>TYZ1025</t>
  </si>
  <si>
    <t>CRUDE FURNACE HIGHSKIN PASS 4</t>
  </si>
  <si>
    <t>CDU4_DMC_48:TYZ1026</t>
  </si>
  <si>
    <t>TYZ1026</t>
  </si>
  <si>
    <t>CRUDE FURNACE HIGHSKIN PASS 5</t>
  </si>
  <si>
    <t>CDU4_DMC_48:TYZ1027</t>
  </si>
  <si>
    <t>TYZ1027</t>
  </si>
  <si>
    <t>CRUDE FURNACE HIGHSKIN PASS 6</t>
  </si>
  <si>
    <t>CDU4_DMC_48:TYZ1028</t>
  </si>
  <si>
    <t>TYZ1028</t>
  </si>
  <si>
    <t>CRUDE FURNACE HIGHSKIN PASS 7</t>
  </si>
  <si>
    <t>CDU4_DMC_48:TYZ1029</t>
  </si>
  <si>
    <t>TYZ1029</t>
  </si>
  <si>
    <t>CRUDE FURNACE HIGHSKIN PASS 8</t>
  </si>
  <si>
    <t>CDU4_DMC_48:TYZ3025</t>
  </si>
  <si>
    <t>TYZ3025</t>
  </si>
  <si>
    <t>SPLITTER REBOILER HIGH OUTL SEL</t>
  </si>
  <si>
    <t>CDU4_DMC_48:TYZ3043</t>
  </si>
  <si>
    <t>TYZ3043</t>
  </si>
  <si>
    <t>SPLITTER REBOILER HIGH SKIN SEL</t>
  </si>
  <si>
    <t>CDU4_DMC_48:WAT_HZ2101</t>
  </si>
  <si>
    <t>WAT_HZ2101</t>
  </si>
  <si>
    <t>HZ2101 WEIGHTED AVG TEMP.</t>
  </si>
  <si>
    <t>CDU4_DMC_48:XYZ2007</t>
  </si>
  <si>
    <t>XYZ2007</t>
  </si>
  <si>
    <t>DHT PZ2151 A /B HIGH SELECTOR</t>
  </si>
  <si>
    <t>CDU4_DMC_49:FVIZ1002</t>
  </si>
  <si>
    <t>FVIZ1002</t>
  </si>
  <si>
    <t>RESIDUE RUNDOWN VALVE</t>
  </si>
  <si>
    <t>CDU4_DMC_49:FVIZ1017</t>
  </si>
  <si>
    <t>FVIZ1017</t>
  </si>
  <si>
    <t>TOP PUMP AROUND FLOW VALVE</t>
  </si>
  <si>
    <t>CDU4_DMC_49:FVIZ1018</t>
  </si>
  <si>
    <t>FVIZ1018</t>
  </si>
  <si>
    <t>MIDDLE PUMP AROUNDFLOW VALVE</t>
  </si>
  <si>
    <t>CDU4_DMC_49:FVIZ1019</t>
  </si>
  <si>
    <t>FVIZ1019</t>
  </si>
  <si>
    <t>BOTTOM PUMP AROUNDFLOW VALVE</t>
  </si>
  <si>
    <t>CDU4_DMC_49:FVIZ1069</t>
  </si>
  <si>
    <t>FVIZ1069</t>
  </si>
  <si>
    <t>CRUDE TOWER BOTTOMSTEAM VALVE</t>
  </si>
  <si>
    <t>CDU4_DMC_49:FVIZ1094</t>
  </si>
  <si>
    <t>FVIZ1094</t>
  </si>
  <si>
    <t>CRUDE TOWER QUENCHTO BOTTOM</t>
  </si>
  <si>
    <t>CDU4_DMC_49:LIFZ1018</t>
  </si>
  <si>
    <t>LIFZ1018</t>
  </si>
  <si>
    <t>CDU4 TOWER BOTTOM FILTERED</t>
  </si>
  <si>
    <t>CDU4_DMC_49:LVIZ1019</t>
  </si>
  <si>
    <t>LVIZ1019</t>
  </si>
  <si>
    <t>LGO STRIPPER T2102FILTERED</t>
  </si>
  <si>
    <t>CDU4_DMC_49:LVIZ1024</t>
  </si>
  <si>
    <t>LVIZ1024</t>
  </si>
  <si>
    <t>CDU4_DMC_49:LVIZ1028</t>
  </si>
  <si>
    <t>LVIZ1028</t>
  </si>
  <si>
    <t>HGO STRIPPER FILT. OUTPUT</t>
  </si>
  <si>
    <t>CDU4_DMC_49:PVIZ1053</t>
  </si>
  <si>
    <t>PVIZ1053</t>
  </si>
  <si>
    <t>HZ2101 RADIANT TOP OUTP.</t>
  </si>
  <si>
    <t>CDU4_DMC_49:TICZ1014_F</t>
  </si>
  <si>
    <t>TICZ1014_F</t>
  </si>
  <si>
    <t>ATMOS TOWER TOP CORRECTED</t>
  </si>
  <si>
    <t>CDU4_DMC_53:ATMZMPAFANS</t>
  </si>
  <si>
    <t>ATMZMPAFANS</t>
  </si>
  <si>
    <t>CDU4 #ATM MPA FANS</t>
  </si>
  <si>
    <t>NR.</t>
  </si>
  <si>
    <t>CDU4_DMC_53:ATMZOVHDFANS</t>
  </si>
  <si>
    <t>ATMZOVHDFANS</t>
  </si>
  <si>
    <t>CDU4 # ATM OVHD FANS</t>
  </si>
  <si>
    <t>CDU4_DMC_53:ATMZTPAFANS</t>
  </si>
  <si>
    <t>ATMZTPAFANS</t>
  </si>
  <si>
    <t>CDU4 #ATM TPA FANS</t>
  </si>
  <si>
    <t>CDU4_DMC_53:DHT4_TOT_INJ</t>
  </si>
  <si>
    <t>DHT4_TOT_INJ</t>
  </si>
  <si>
    <t>DHT4 TOTAL INJECT.FLOWS</t>
  </si>
  <si>
    <t>CDU4_DMC_53:FVIZ1024</t>
  </si>
  <si>
    <t>FVIZ1024</t>
  </si>
  <si>
    <t>HGO RUNDOWN VALVE</t>
  </si>
  <si>
    <t>CDU4_DMC_53:FVIZ1032</t>
  </si>
  <si>
    <t>FVIZ1032</t>
  </si>
  <si>
    <t>CDU HEATER HZ2101 PASS 1 FILTD</t>
  </si>
  <si>
    <t>CDU4_DMC_53:FVIZ1033</t>
  </si>
  <si>
    <t>FVIZ1033</t>
  </si>
  <si>
    <t>CDU HEATER HZ2101 PASS 2 FILTD</t>
  </si>
  <si>
    <t>CDU4_DMC_53:FVIZ1034</t>
  </si>
  <si>
    <t>FVIZ1034</t>
  </si>
  <si>
    <t>CDU HEATER HZ2101 PASS 3 FILTD</t>
  </si>
  <si>
    <t>CDU4_DMC_53:FVIZ1035</t>
  </si>
  <si>
    <t>FVIZ1035</t>
  </si>
  <si>
    <t>CDU HEATER HZ2101 PASS 4 FILTD</t>
  </si>
  <si>
    <t>CDU4_DMC_53:FVIZ1036</t>
  </si>
  <si>
    <t>FVIZ1036</t>
  </si>
  <si>
    <t>CDU HEATER H2101 PASS 5 FILTD</t>
  </si>
  <si>
    <t>CDU4_DMC_53:FVIZ1037</t>
  </si>
  <si>
    <t>FVIZ1037</t>
  </si>
  <si>
    <t>CDU HEATER HZ2101 PASS 6 FILTD</t>
  </si>
  <si>
    <t>CDU4_DMC_53:FVIZ1038</t>
  </si>
  <si>
    <t>FVIZ1038</t>
  </si>
  <si>
    <t>CDU HEATER HZ2101 PASS 7 FILTD</t>
  </si>
  <si>
    <t>CDU4_DMC_53:FVIZ1039</t>
  </si>
  <si>
    <t>FVIZ1039</t>
  </si>
  <si>
    <t>CDU HEATER HZ2101 PASS 8 FILTD</t>
  </si>
  <si>
    <t>CDU4_DMC_53:FVIZ1070</t>
  </si>
  <si>
    <t>FVIZ1070</t>
  </si>
  <si>
    <t>STRIP STEAM LGO STRIPPER VALVE</t>
  </si>
  <si>
    <t>CDU4_DMC_53:FVIZ1071</t>
  </si>
  <si>
    <t>FVIZ1071</t>
  </si>
  <si>
    <t>STRIP STEAM HGO STRIPPER VALVE</t>
  </si>
  <si>
    <t>CDU4_DMC_53:FVIZ2001</t>
  </si>
  <si>
    <t>FVIZ2001</t>
  </si>
  <si>
    <t>DHT BYPASS FLOW VALVE</t>
  </si>
  <si>
    <t>CDU4_DMC_53:FVIZ2002</t>
  </si>
  <si>
    <t>FVIZ2002</t>
  </si>
  <si>
    <t>DHT REACTOR FEED FLOW VALVE</t>
  </si>
  <si>
    <t>CDU4_DMC_53:FVIZ2010</t>
  </si>
  <si>
    <t>FVIZ2010</t>
  </si>
  <si>
    <t>STABILISER FEED FLOW VALVE</t>
  </si>
  <si>
    <t>CDU4_DMC_53:FYZ1032</t>
  </si>
  <si>
    <t>FYZ1032</t>
  </si>
  <si>
    <t>CDU HEATER HZ2101 PASS 1 FLOW %</t>
  </si>
  <si>
    <t>CDU4_DMC_53:FYZ1033</t>
  </si>
  <si>
    <t>FYZ1033</t>
  </si>
  <si>
    <t>CDU HEATER HZ2101 PASS 2 FLOW %</t>
  </si>
  <si>
    <t>CDU4_DMC_53:FYZ1034</t>
  </si>
  <si>
    <t>FYZ1034</t>
  </si>
  <si>
    <t>CDU HEATER HZ2101 PASS 3 FLOW %</t>
  </si>
  <si>
    <t>CDU4_DMC_53:FYZ1035</t>
  </si>
  <si>
    <t>FYZ1035</t>
  </si>
  <si>
    <t>CDU HEATER HZ2101 PASS 4 FLOW %</t>
  </si>
  <si>
    <t>CDU4_DMC_53:FYZ1036</t>
  </si>
  <si>
    <t>FYZ1036</t>
  </si>
  <si>
    <t>CDU HEATER HZ2101 PASS 5 FLOW %</t>
  </si>
  <si>
    <t>CDU4_DMC_53:FYZ1037</t>
  </si>
  <si>
    <t>FYZ1037</t>
  </si>
  <si>
    <t>CDU HEATER HZ2101 PASS 6 FLOW %</t>
  </si>
  <si>
    <t>CDU4_DMC_53:FYZ1038</t>
  </si>
  <si>
    <t>FYZ1038</t>
  </si>
  <si>
    <t>CDU HEATER HZ2101 PASS 7 FLOW %</t>
  </si>
  <si>
    <t>CDU4_DMC_53:FYZ1039</t>
  </si>
  <si>
    <t>FYZ1039</t>
  </si>
  <si>
    <t>CDU HEATER HZ2101 PASS 8 FLOW %</t>
  </si>
  <si>
    <t>CDU4_DMC_53:LIFZ1007</t>
  </si>
  <si>
    <t>LIFZ1007</t>
  </si>
  <si>
    <t>CDU4 OVERHEAD DRUMFILTERED</t>
  </si>
  <si>
    <t>CDU4_DMC_53:LVIZ2007</t>
  </si>
  <si>
    <t>LVIZ2007</t>
  </si>
  <si>
    <t>HP SEPARATOR LEVELFILT. OUTPUT</t>
  </si>
  <si>
    <t>CDU4_DMC_53:PVIZ2003</t>
  </si>
  <si>
    <t>PVIZ2003</t>
  </si>
  <si>
    <t>HP SEPARATOR PRESSFILT. OUTPUT</t>
  </si>
  <si>
    <t>CDU4_DMC_53:PVIZ2005</t>
  </si>
  <si>
    <t>PVIZ2005</t>
  </si>
  <si>
    <t>LP SEPARATOR PRESSFILT. OUTPUT</t>
  </si>
  <si>
    <t>CDU4_DMC_53:XZ2017F</t>
  </si>
  <si>
    <t>XZ2017F</t>
  </si>
  <si>
    <t>DHT RECYCLE RATIO FILTERED</t>
  </si>
  <si>
    <t>CDU4_DMC_57:FICZ3008_SPT</t>
  </si>
  <si>
    <t>FICZ3008_SPT</t>
  </si>
  <si>
    <t>STRIPPER SRB FLOW SETPOINT</t>
  </si>
  <si>
    <t>CDU4_DMC_57:FVIZ3001</t>
  </si>
  <si>
    <t>FVIZ3001</t>
  </si>
  <si>
    <t>SPLITTER KERO FLOW OUTPUT</t>
  </si>
  <si>
    <t>CDU4_DMC_57:FVIZ3002</t>
  </si>
  <si>
    <t>FVIZ3002</t>
  </si>
  <si>
    <t>STABILISER REFLUX FLOW OUTPUT</t>
  </si>
  <si>
    <t>CDU4_DMC_57:FVIZ3004</t>
  </si>
  <si>
    <t>FVIZ3004</t>
  </si>
  <si>
    <t>STABILISER DISTIL.FLOW OUTPUT</t>
  </si>
  <si>
    <t>CDU4_DMC_57:FVIZ3006</t>
  </si>
  <si>
    <t>FVIZ3006</t>
  </si>
  <si>
    <t>SPLITTER REFLUX FLOW OUTPUT</t>
  </si>
  <si>
    <t>CDU4_DMC_57:FVIZ3007</t>
  </si>
  <si>
    <t>FVIZ3007</t>
  </si>
  <si>
    <t>STRIPPER FEED FLOW OUTPUT</t>
  </si>
  <si>
    <t>CDU4_DMC_57:FVIZ3008</t>
  </si>
  <si>
    <t>FVIZ3008</t>
  </si>
  <si>
    <t>SPLITTER SRB DRAW FLOW OUTPUT</t>
  </si>
  <si>
    <t>CDU4_DMC_57:FVIZ3010</t>
  </si>
  <si>
    <t>FVIZ3010</t>
  </si>
  <si>
    <t>SPLITTER DISTILL. FLOW OUTPUT</t>
  </si>
  <si>
    <t>CDU4_DMC_57:LIFZ3003</t>
  </si>
  <si>
    <t>LIFZ3003</t>
  </si>
  <si>
    <t>DFU4 STABILISER OVHD FILTERED</t>
  </si>
  <si>
    <t>CDU4_DMC_57:PCTZ3010</t>
  </si>
  <si>
    <t>PCTZ3010</t>
  </si>
  <si>
    <t>TIZ3010 PRESSURE COMPENSATED</t>
  </si>
  <si>
    <t>CDU4_DMC_57:PDTZ3017_F</t>
  </si>
  <si>
    <t>PDTZ3017_F</t>
  </si>
  <si>
    <t>STABILISER UPPER SECTION DP</t>
  </si>
  <si>
    <t>CDU4_DMC_57:PDTZ3018_F</t>
  </si>
  <si>
    <t>PDTZ3018_F</t>
  </si>
  <si>
    <t>STABILISER LOWER SECTION DP</t>
  </si>
  <si>
    <t>CDU4_DMC_57:PVIZ3001</t>
  </si>
  <si>
    <t>PVIZ3001</t>
  </si>
  <si>
    <t>STABILISER PRESS. CONTROL OUTPUT</t>
  </si>
  <si>
    <t>CDU4_DMC_57:PVIZ3010</t>
  </si>
  <si>
    <t>PVIZ3010</t>
  </si>
  <si>
    <t>SPLITTER FUELGAS PRESS. OUTPUT</t>
  </si>
  <si>
    <t>CDU4_DMC_57:SPLITZFANS</t>
  </si>
  <si>
    <t>SPLITZFANS</t>
  </si>
  <si>
    <t>CDU4 # SPLITTER FANS</t>
  </si>
  <si>
    <t>CDU4_DMC_57:STABZFANS</t>
  </si>
  <si>
    <t>STABZFANS</t>
  </si>
  <si>
    <t>CDU4 # STABILISER FANS</t>
  </si>
  <si>
    <t>CDU4_DMC_57:TVIZ3002</t>
  </si>
  <si>
    <t>TVIZ3002</t>
  </si>
  <si>
    <t>STABILISER FEED TEMP. OUTPUT</t>
  </si>
  <si>
    <t>CDU4_DMC_57:TVYZ3003</t>
  </si>
  <si>
    <t>TVYZ3003</t>
  </si>
  <si>
    <t>STABILISER BOILUP CONTROL</t>
  </si>
  <si>
    <t>CDU4_EMIS_46:NOX_HZ2101</t>
  </si>
  <si>
    <t>NOX_HZ2101</t>
  </si>
  <si>
    <t>CDU4 HEATER HZ2101 NOX EMISSIE</t>
  </si>
  <si>
    <t>CDU4_EMIS_46:NOX_HZ2201</t>
  </si>
  <si>
    <t>NOX_HZ2201</t>
  </si>
  <si>
    <t>CDU4 HEATER HZ2201 NOX EMISSIE</t>
  </si>
  <si>
    <t>CDU4_EMIS_46:SO2_REF_BUBL</t>
  </si>
  <si>
    <t>SO2_REF_BUBL</t>
  </si>
  <si>
    <t>REFINERY CLC_SO2 BUBBLE</t>
  </si>
  <si>
    <t>CDU4_FEED_48:XIZ1002</t>
  </si>
  <si>
    <t>XIZ1002</t>
  </si>
  <si>
    <t>CDU FD PMP PZ2101A MOTOR CURRT</t>
  </si>
  <si>
    <t>CDU4_FEED_48:XIZ1003</t>
  </si>
  <si>
    <t>XIZ1003</t>
  </si>
  <si>
    <t>CDU FD PMP PZ2101B MOTOR CURRT</t>
  </si>
  <si>
    <t>CDU4_FEED_48:XIZ1004</t>
  </si>
  <si>
    <t>XIZ1004</t>
  </si>
  <si>
    <t>CDU FD PMP PZ2101C MOTOR CURRT</t>
  </si>
  <si>
    <t>CDU4_FEED_51:PVIZ1004</t>
  </si>
  <si>
    <t>PVIZ1004</t>
  </si>
  <si>
    <t>CRUDE CO. INPUT EX PICA_1004</t>
  </si>
  <si>
    <t>CDU4_OPAL_81:OPAL_AIN_01</t>
  </si>
  <si>
    <t>OPAL_AIN_01</t>
  </si>
  <si>
    <t>OPAL BLOCK 01</t>
  </si>
  <si>
    <t>CDU4_OPAL_81:OPAL_AIN_02</t>
  </si>
  <si>
    <t>OPAL_AIN_02</t>
  </si>
  <si>
    <t>OPAL BLOCK 02</t>
  </si>
  <si>
    <t>CDU4_OPAL_81:OPAL_AIN_03</t>
  </si>
  <si>
    <t>OPAL_AIN_03</t>
  </si>
  <si>
    <t>OPAL BLOCK 03</t>
  </si>
  <si>
    <t>CDU4_OPAL_81:OPAL_AIN_04</t>
  </si>
  <si>
    <t>OPAL_AIN_04</t>
  </si>
  <si>
    <t>OPAL BLOCK 04</t>
  </si>
  <si>
    <t>CDU4_OPAL_81:OPAL_AIN_05</t>
  </si>
  <si>
    <t>OPAL_AIN_05</t>
  </si>
  <si>
    <t>OPAL BLOCK 05</t>
  </si>
  <si>
    <t>CDU4_OPAL_81:OPAL_AIN_06</t>
  </si>
  <si>
    <t>OPAL_AIN_06</t>
  </si>
  <si>
    <t>OPAL BLOCK 06</t>
  </si>
  <si>
    <t>CDU4_OPAL_81:OPAL_AIN_07</t>
  </si>
  <si>
    <t>OPAL_AIN_07</t>
  </si>
  <si>
    <t>OPAL BLOCK 07</t>
  </si>
  <si>
    <t>CDU4_OPAL_81:OPAL_AIN_08</t>
  </si>
  <si>
    <t>OPAL_AIN_08</t>
  </si>
  <si>
    <t>OPAL BLOCK 08</t>
  </si>
  <si>
    <t>CDU4_OPAL_81:OPAL_AIN_09</t>
  </si>
  <si>
    <t>OPAL_AIN_09</t>
  </si>
  <si>
    <t>OPAL BLOCK 09</t>
  </si>
  <si>
    <t>CDU4_OPAL_81:OPAL_AIN_10</t>
  </si>
  <si>
    <t>OPAL_AIN_10</t>
  </si>
  <si>
    <t>OPAL BLOCK 10</t>
  </si>
  <si>
    <t>CDU4_OPAL_81:OPAL_AIN_11</t>
  </si>
  <si>
    <t>OPAL_AIN_11</t>
  </si>
  <si>
    <t>OPAL BLOCK 11</t>
  </si>
  <si>
    <t>CDU4_OPAL_81:OPAL_AIN_12</t>
  </si>
  <si>
    <t>OPAL_AIN_12</t>
  </si>
  <si>
    <t>OPAL BLOCK 12</t>
  </si>
  <si>
    <t>CDU4_OPAL_81:OPAL_AIN_13</t>
  </si>
  <si>
    <t>OPAL_AIN_13</t>
  </si>
  <si>
    <t>OPAL BLOCK 13</t>
  </si>
  <si>
    <t>CDU4_OPAL_81:OPAL_AIN_14</t>
  </si>
  <si>
    <t>OPAL_AIN_14</t>
  </si>
  <si>
    <t>OPAL BLOCK 14</t>
  </si>
  <si>
    <t>CDU4_OPAL_81:OPAL_AIN_15</t>
  </si>
  <si>
    <t>OPAL_AIN_15</t>
  </si>
  <si>
    <t>OPAL BLOCK 15</t>
  </si>
  <si>
    <t>CDU4_OPAL_81:OPAL_AIN_16</t>
  </si>
  <si>
    <t>OPAL_AIN_16</t>
  </si>
  <si>
    <t>OPAL BLOCK 16</t>
  </si>
  <si>
    <t>CDU4_OPAL_81:OPAL_AIN_17</t>
  </si>
  <si>
    <t>OPAL_AIN_17</t>
  </si>
  <si>
    <t>OPAL BLOCK 17</t>
  </si>
  <si>
    <t>CDU4_OPAL_81:OPAL_AIN_18</t>
  </si>
  <si>
    <t>OPAL_AIN_18</t>
  </si>
  <si>
    <t>OPAL BLOCK 18</t>
  </si>
  <si>
    <t>CDU4_OPAL_81:OPAL_AIN_19</t>
  </si>
  <si>
    <t>OPAL_AIN_19</t>
  </si>
  <si>
    <t>OPAL BLOCK 19</t>
  </si>
  <si>
    <t>CDU4_OPAL_81:OPAL_AIN_20</t>
  </si>
  <si>
    <t>OPAL_AIN_20</t>
  </si>
  <si>
    <t>OPAL BLOCK 20</t>
  </si>
  <si>
    <t>CDU4_TEST_81:TEST_AIN</t>
  </si>
  <si>
    <t>TEST_AIN</t>
  </si>
  <si>
    <t>TEST HS0001 ALARM LOGGING</t>
  </si>
  <si>
    <t>CDU4_TURB_53:TPZ2103C</t>
  </si>
  <si>
    <t>TPZ2103C</t>
  </si>
  <si>
    <t>TPA PUMP</t>
  </si>
  <si>
    <t>TON/H</t>
  </si>
  <si>
    <t>CDU4_TURB_53:TPZ2104B</t>
  </si>
  <si>
    <t>TPZ2104B</t>
  </si>
  <si>
    <t>MPA PUMP</t>
  </si>
  <si>
    <t>CDU4_TURB_53:TPZ2106C</t>
  </si>
  <si>
    <t>TPZ2106C</t>
  </si>
  <si>
    <t>ATRES PUMP</t>
  </si>
  <si>
    <t>CDU4_TURB_53:TPZ2204B</t>
  </si>
  <si>
    <t>TPZ2204B</t>
  </si>
  <si>
    <t>SPLITTER REB. CIRCPUMP</t>
  </si>
  <si>
    <t>CDU4_TURB_53:XTPZ2103C</t>
  </si>
  <si>
    <t>XTPZ2103C</t>
  </si>
  <si>
    <t>CDU4_TURB_53:XTPZ2104B</t>
  </si>
  <si>
    <t>XTPZ2104B</t>
  </si>
  <si>
    <t>CDU4_TURB_53:XTPZ2106C</t>
  </si>
  <si>
    <t>XTPZ2106C</t>
  </si>
  <si>
    <t>CDU4_TURB_53:XTPZ2204B</t>
  </si>
  <si>
    <t>XTPZ2204B</t>
  </si>
  <si>
    <t>CDU4_TVP_59:SRG4_TVP</t>
  </si>
  <si>
    <t>SRG4_TVP</t>
  </si>
  <si>
    <t>SRG4 TRUE VAPOUR PRESSURE</t>
  </si>
  <si>
    <t>CDU4_AIN (Transmitters).xlsx</t>
  </si>
  <si>
    <t>LHVZ5008</t>
    <phoneticPr fontId="14" type="noConversion"/>
  </si>
  <si>
    <t>PVZ5006</t>
    <phoneticPr fontId="14" type="noConversion"/>
  </si>
  <si>
    <t>PVZ5010A</t>
    <phoneticPr fontId="14" type="noConversion"/>
  </si>
  <si>
    <t>PVZ5010B</t>
    <phoneticPr fontId="14" type="noConversion"/>
  </si>
  <si>
    <t>PICZ5007AB.pdf, 3/4</t>
    <phoneticPr fontId="16" type="noConversion"/>
  </si>
  <si>
    <t>OVERVIEW.1101</t>
  </si>
  <si>
    <t>FITZ2001</t>
  </si>
  <si>
    <t>FICZ2002</t>
  </si>
  <si>
    <t>FVZ2001</t>
    <phoneticPr fontId="14" type="noConversion"/>
  </si>
  <si>
    <t>Multiplicateur</t>
  </si>
  <si>
    <t>AtmosphericTank</t>
  </si>
  <si>
    <t>Pump</t>
  </si>
  <si>
    <t>MotorActuator</t>
  </si>
  <si>
    <t>Mixer</t>
  </si>
  <si>
    <t>HeatExch</t>
  </si>
  <si>
    <t>Splitter</t>
  </si>
  <si>
    <t>ComputeMode</t>
  </si>
  <si>
    <t>SolverMethod</t>
  </si>
  <si>
    <t>InletHead</t>
  </si>
  <si>
    <t>OutletFlow</t>
  </si>
  <si>
    <t>OverFlowing</t>
  </si>
  <si>
    <t>OutletTemperature</t>
  </si>
  <si>
    <t>SolverEnthalpyPoints</t>
  </si>
  <si>
    <t>Height</t>
  </si>
  <si>
    <t>CellsPerPass</t>
  </si>
  <si>
    <t>InletFlow</t>
  </si>
  <si>
    <t>overflow</t>
  </si>
  <si>
    <t>ConstantVariableSpeed</t>
  </si>
  <si>
    <t>TEMADesign</t>
  </si>
  <si>
    <t>InletHeight</t>
  </si>
  <si>
    <t>DCSCommandKind</t>
  </si>
  <si>
    <t>TubePosition</t>
  </si>
  <si>
    <t>OilOutHeight</t>
  </si>
  <si>
    <t>SpeedCommandMin</t>
  </si>
  <si>
    <t>ComputationExchangeSurface</t>
  </si>
  <si>
    <t>SpeedCommandMax</t>
  </si>
  <si>
    <t>StandardSpec</t>
  </si>
  <si>
    <t>NominalMaximumHead</t>
  </si>
  <si>
    <t>StopTimeConstant</t>
  </si>
  <si>
    <t>StandardTubeLength</t>
  </si>
  <si>
    <t>RatioOperationalHead</t>
  </si>
  <si>
    <t>RunTimeConstant</t>
  </si>
  <si>
    <t>StandardType</t>
  </si>
  <si>
    <t>OutletOilNozzleLevel</t>
  </si>
  <si>
    <t>NominalOperationalHead</t>
  </si>
  <si>
    <t>RunStatusThreshold</t>
  </si>
  <si>
    <t>ComputationTubeLength</t>
  </si>
  <si>
    <t>OutletGasNozzleLevel</t>
  </si>
  <si>
    <t>UseCharacteristicWithTabulation</t>
  </si>
  <si>
    <t>ShellInternalDiameter</t>
  </si>
  <si>
    <t>ExternalHeatExchangeCoeffOLD</t>
  </si>
  <si>
    <t>NominalEfficiency</t>
  </si>
  <si>
    <t>LengthOverShellID</t>
  </si>
  <si>
    <t>MechanicalYield</t>
  </si>
  <si>
    <t>CommandPosition</t>
  </si>
  <si>
    <t>TEMAOutSizing</t>
  </si>
  <si>
    <t>PumpType</t>
  </si>
  <si>
    <t>AuthorizationSwitch</t>
  </si>
  <si>
    <t>TubeExternalDiameter</t>
  </si>
  <si>
    <t>NominalVolumeFlowArray</t>
  </si>
  <si>
    <t>DCSSwitch</t>
  </si>
  <si>
    <t>TubeSpacing</t>
  </si>
  <si>
    <t>NominalHeadArray</t>
  </si>
  <si>
    <t>LocalSwitch</t>
  </si>
  <si>
    <t>TubeThickness</t>
  </si>
  <si>
    <t>UseMaximumFlow</t>
  </si>
  <si>
    <t>LogicalControl</t>
  </si>
  <si>
    <t>TubeInternalDiameter</t>
  </si>
  <si>
    <t>NominalMaxFlow</t>
  </si>
  <si>
    <t>ESD</t>
  </si>
  <si>
    <t>TubeMetalHeatConductivity</t>
  </si>
  <si>
    <t>EfficiencyComputation</t>
  </si>
  <si>
    <t>CommandSpeed</t>
  </si>
  <si>
    <t>TubeMetalHeatCapacity</t>
  </si>
  <si>
    <t>LostEnthalpy</t>
  </si>
  <si>
    <t>EfficiencyArray</t>
  </si>
  <si>
    <t>StartCommand</t>
  </si>
  <si>
    <t>TubeMetalDensity</t>
  </si>
  <si>
    <t>ExternalPressure</t>
  </si>
  <si>
    <t>SplineStrain</t>
  </si>
  <si>
    <t>StopCommand</t>
  </si>
  <si>
    <t>TubeNumber</t>
  </si>
  <si>
    <t>NominalSpeed</t>
  </si>
  <si>
    <t>Status</t>
  </si>
  <si>
    <t>TubeSidePassNumber</t>
  </si>
  <si>
    <t>VapourOutletMassFlow</t>
  </si>
  <si>
    <t>CommandIndicator</t>
  </si>
  <si>
    <t>ShellBaffleNumber</t>
  </si>
  <si>
    <t>OutletMassFlow</t>
  </si>
  <si>
    <t>StartUpTime</t>
  </si>
  <si>
    <t>SpeedCommand</t>
  </si>
  <si>
    <t>NumberOfTubeRows</t>
  </si>
  <si>
    <t>OverMassFlow</t>
  </si>
  <si>
    <t>InertiaMomentum</t>
  </si>
  <si>
    <t>MotorActuatorActivity</t>
  </si>
  <si>
    <t>TubeTopology</t>
  </si>
  <si>
    <t>Level</t>
  </si>
  <si>
    <t>UNACK</t>
  </si>
  <si>
    <t>BaffleCut</t>
  </si>
  <si>
    <t>LevelMM</t>
  </si>
  <si>
    <t>Voltage</t>
  </si>
  <si>
    <t>Ack</t>
  </si>
  <si>
    <t>MaterialCoefficient</t>
  </si>
  <si>
    <t>PowerPhase</t>
  </si>
  <si>
    <t>FoulingCoefficientShellSide</t>
  </si>
  <si>
    <t>Duty</t>
  </si>
  <si>
    <t>PowerFactor</t>
  </si>
  <si>
    <t>FoulingCoefficientTubeSide</t>
  </si>
  <si>
    <t>VaporizedFraction</t>
  </si>
  <si>
    <t>MinCurrent</t>
  </si>
  <si>
    <t>StaticConfigurationMode</t>
  </si>
  <si>
    <t>Section</t>
  </si>
  <si>
    <t>MinPower</t>
  </si>
  <si>
    <t>Starting</t>
  </si>
  <si>
    <t>LiquidVolume</t>
  </si>
  <si>
    <t>ManageHistoryTable</t>
  </si>
  <si>
    <t>Stopping</t>
  </si>
  <si>
    <t>HistFreq</t>
  </si>
  <si>
    <t>ShellConvCorr</t>
  </si>
  <si>
    <t>PointNumber</t>
  </si>
  <si>
    <t>ShellVapCorr</t>
  </si>
  <si>
    <t>IsFixedHead</t>
  </si>
  <si>
    <t>ShellCondCorr</t>
  </si>
  <si>
    <t>PassingPump</t>
  </si>
  <si>
    <t>EquipmentFailure</t>
  </si>
  <si>
    <t>TubeConvCorr</t>
  </si>
  <si>
    <t>PositionFailure</t>
  </si>
  <si>
    <t>TubeVapCorr</t>
  </si>
  <si>
    <t>BlockedPosition</t>
  </si>
  <si>
    <t>TubeCondCorr</t>
  </si>
  <si>
    <t>StatusIndicatorFailure</t>
  </si>
  <si>
    <t>HTCComputation</t>
  </si>
  <si>
    <t>UpstreamBlockValveEnable</t>
  </si>
  <si>
    <t>StatusIndicatorFailurePrev</t>
  </si>
  <si>
    <t>FillHTCTables</t>
  </si>
  <si>
    <t>UpstreamBlockValvesOpenCloseTimeConstant</t>
  </si>
  <si>
    <t>StatusIndicatorPosition</t>
  </si>
  <si>
    <t>TabulatedHTCHotSide</t>
  </si>
  <si>
    <t>UpstreamBlockValveCommand</t>
  </si>
  <si>
    <t>StatusIndicatorPositionTarget</t>
  </si>
  <si>
    <t>TabulatedHTCColdSide</t>
  </si>
  <si>
    <t>UpstreamBlockValvePosition</t>
  </si>
  <si>
    <t>StatusIndicatorPositionPrev</t>
  </si>
  <si>
    <t>OverallHTCFactor</t>
  </si>
  <si>
    <t>DownstreamBlockValveEnable</t>
  </si>
  <si>
    <t>AvailabilitySwitch</t>
  </si>
  <si>
    <t>ImposedHTCTubeSide</t>
  </si>
  <si>
    <t>DownstreamBlockValvesOpenCloseTimeConstant</t>
  </si>
  <si>
    <t>ImposedHTCShellSide</t>
  </si>
  <si>
    <t>DownstreamBlockValveCommand</t>
  </si>
  <si>
    <t>MinimumHTC</t>
  </si>
  <si>
    <t>DownstreamBlockValvePosition</t>
  </si>
  <si>
    <t>MaximumHTC</t>
  </si>
  <si>
    <t>NominalVolumeFlow</t>
  </si>
  <si>
    <t>TubeRegime</t>
  </si>
  <si>
    <t>ShellRegime</t>
  </si>
  <si>
    <t>Current</t>
  </si>
  <si>
    <t>NominalTubeSideHeatExchangeCoeff</t>
  </si>
  <si>
    <t>NPSHavailable</t>
  </si>
  <si>
    <t>NominalShellSideHeatExchangeCoeff</t>
  </si>
  <si>
    <t>PumpSpeed</t>
  </si>
  <si>
    <t>NominalTubeSideFlowRate</t>
  </si>
  <si>
    <t>ActualDiameter</t>
  </si>
  <si>
    <t>NominalShellSideFlowRate</t>
  </si>
  <si>
    <t>Efficiency</t>
  </si>
  <si>
    <t>TubeSideCv</t>
  </si>
  <si>
    <t>ActualVolumeFlow</t>
  </si>
  <si>
    <t>ShellSideCv</t>
  </si>
  <si>
    <t>ActualMaximumHead</t>
  </si>
  <si>
    <t>ActualOperationalHead</t>
  </si>
  <si>
    <t>TubeDirection</t>
  </si>
  <si>
    <t>QTESTTABLE</t>
  </si>
  <si>
    <t>ShellDirection</t>
  </si>
  <si>
    <t>HTESTTABLE</t>
  </si>
  <si>
    <t>VolumeFlowArray</t>
  </si>
  <si>
    <t>HeadArray</t>
  </si>
  <si>
    <t>CorrectiveShellTubeHeatExchangeCoeff</t>
  </si>
  <si>
    <t>HistCount</t>
  </si>
  <si>
    <t>DynamicBehaviour</t>
  </si>
  <si>
    <t>HeadTable</t>
  </si>
  <si>
    <t>TubeUpstreamBlockValveEnable</t>
  </si>
  <si>
    <t>FlowTable</t>
  </si>
  <si>
    <t>TubeUpstreamBlockValvesOpenCloseTimeConstant</t>
  </si>
  <si>
    <t>OldPointNumber</t>
  </si>
  <si>
    <t>TubeUpstreamBlockValveCommand</t>
  </si>
  <si>
    <t>TubeUpstreamBlockValvePosition</t>
  </si>
  <si>
    <t>TubeDownstreamBlockValveEnable</t>
  </si>
  <si>
    <t>TubeDownstreamBlockValvesOpenCloseTimeConstant</t>
  </si>
  <si>
    <t>CurrentPointIndex</t>
  </si>
  <si>
    <t>TubeDownstreamBlockValveCommand</t>
  </si>
  <si>
    <t>InletDensity</t>
  </si>
  <si>
    <t>TubeDownstreamBlockValvePosition</t>
  </si>
  <si>
    <t>TubeBypassValveEnable</t>
  </si>
  <si>
    <t>TubeBypassValveCvnMultiplier</t>
  </si>
  <si>
    <t>Failure</t>
  </si>
  <si>
    <t>TubeBypassValveCommand</t>
  </si>
  <si>
    <t>TubeBypassValvePosition</t>
  </si>
  <si>
    <t>TubeBypassValveCvn</t>
  </si>
  <si>
    <t>TubeBypassDirection</t>
  </si>
  <si>
    <t>TubeBypassFlowRate</t>
  </si>
  <si>
    <t>ShellUpstreamBlockValveEnable</t>
  </si>
  <si>
    <t>ShellUpstreamBlockValvesOpenCloseTimeConstant</t>
  </si>
  <si>
    <t>ShellUpstreamBlockValveCommand</t>
  </si>
  <si>
    <t>ShellUpstreamBlockValvePosition</t>
  </si>
  <si>
    <t>ShellDownstreamBlockValveEnable</t>
  </si>
  <si>
    <t>ShellDownstreamBlockValvesOpenCloseTimeConstant</t>
  </si>
  <si>
    <t>ShellDownstreamBlockValveCommand</t>
  </si>
  <si>
    <t>ShellDownstreamBlockValvePosition</t>
  </si>
  <si>
    <t>ShellBypassValveEnable</t>
  </si>
  <si>
    <t>ShellBypassValveCvnMultiplier</t>
  </si>
  <si>
    <t>ShellBypassValveCommand</t>
  </si>
  <si>
    <t>ShellBypassValvePosition</t>
  </si>
  <si>
    <t>ShellBypassValveCvn</t>
  </si>
  <si>
    <t>ShellBypassDirection</t>
  </si>
  <si>
    <t>ShellBypassFlowRate</t>
  </si>
  <si>
    <t>ThermoTypeArray</t>
  </si>
  <si>
    <t>InverseTables</t>
  </si>
  <si>
    <t>EnthalpyPoints</t>
  </si>
  <si>
    <t>ThermoTableH</t>
  </si>
  <si>
    <t>ThermoTableT</t>
  </si>
  <si>
    <t>ThermoTableDensity</t>
  </si>
  <si>
    <t>ThermoTableGasDensity</t>
  </si>
  <si>
    <t>ThermoTableLiquidDensity</t>
  </si>
  <si>
    <t>ThermoTableGasFraction</t>
  </si>
  <si>
    <t>ThermoTableGasVolFraction</t>
  </si>
  <si>
    <t>ThermoTableWaterVolFraction</t>
  </si>
  <si>
    <t>ThermoTableGasMassFraction</t>
  </si>
  <si>
    <t>ThermoTableViscosity</t>
  </si>
  <si>
    <t>ThermoTableGasViscosity</t>
  </si>
  <si>
    <t>ThermoTableLiquidViscosity</t>
  </si>
  <si>
    <t>ThermoTableHeatCapacityMass</t>
  </si>
  <si>
    <t>ThermoTableGasHeatCapacityMass</t>
  </si>
  <si>
    <t>ThermoTableLiquidHeatCapacityMass</t>
  </si>
  <si>
    <t>ThermoTableConductivity</t>
  </si>
  <si>
    <t>ThermoTableGasConductivity</t>
  </si>
  <si>
    <t>ThermoTableLiquidConductivity</t>
  </si>
  <si>
    <t>ThermoTableGasMolWeight</t>
  </si>
  <si>
    <t>ThermoTableLiquidMolWeight</t>
  </si>
  <si>
    <t>ThermoTableLatentHeat</t>
  </si>
  <si>
    <t>ThermoTableOilGasSurfaceTension</t>
  </si>
  <si>
    <t>ThermoTableH2</t>
  </si>
  <si>
    <t>ThermoTableT2</t>
  </si>
  <si>
    <t>ThermoTableDensity2</t>
  </si>
  <si>
    <t>ThermoTableGasDensity2</t>
  </si>
  <si>
    <t>ThermoTableLiquidDensity2</t>
  </si>
  <si>
    <t>ThermoTableGasFraction2</t>
  </si>
  <si>
    <t>ThermoTableGasVolFraction2</t>
  </si>
  <si>
    <t>ThermoTableWaterVolFraction2</t>
  </si>
  <si>
    <t>ThermoTableGasMassFraction2</t>
  </si>
  <si>
    <t>ThermoTableViscosity2</t>
  </si>
  <si>
    <t>ThermoTableGasViscosity2</t>
  </si>
  <si>
    <t>ThermoTableLiquidViscosity2</t>
  </si>
  <si>
    <t>ThermoTableHeatCapacityMass2</t>
  </si>
  <si>
    <t>ThermoTableGasHeatCapacityMass2</t>
  </si>
  <si>
    <t>ThermoTableLiquidHeatCapacityMass2</t>
  </si>
  <si>
    <t>ThermoTableConductivity2</t>
  </si>
  <si>
    <t>ThermoTableGasConductivity2</t>
  </si>
  <si>
    <t>ThermoTableLiquidConductivity2</t>
  </si>
  <si>
    <t>ThermoTableGasMolWeight2</t>
  </si>
  <si>
    <t>ThermoTableLiquidMolWeight2</t>
  </si>
  <si>
    <t>ThermoTableLatentHeat2</t>
  </si>
  <si>
    <t>ThermoTableOilGasSurfaceTension2</t>
  </si>
  <si>
    <t>TubeInletTemperature</t>
  </si>
  <si>
    <t>ShellInletTemperature</t>
  </si>
  <si>
    <t>TubeInletPressure</t>
  </si>
  <si>
    <t>ShellInletPressure</t>
  </si>
  <si>
    <t>TubeOutletPressure</t>
  </si>
  <si>
    <t>TubeDeltaPressure</t>
  </si>
  <si>
    <t>ShellOutletPressure</t>
  </si>
  <si>
    <t>ShellDeltaPressure</t>
  </si>
  <si>
    <t>TubeSideFlowRate</t>
  </si>
  <si>
    <t>ShellSideFlowRate</t>
  </si>
  <si>
    <t>ExternalSurface</t>
  </si>
  <si>
    <t>TubeSideHeatExchangeCoeff</t>
  </si>
  <si>
    <t>ShellSideHeatExchangeCoeff</t>
  </si>
  <si>
    <t>OverallHeatExchangeCoeff</t>
  </si>
  <si>
    <t>LMTD</t>
  </si>
  <si>
    <t>PowersByPhenomenaTubeSide</t>
  </si>
  <si>
    <t>PowersByPhenomenaShellSide</t>
  </si>
  <si>
    <t>SurfacesByPhenomenaTubeSide</t>
  </si>
  <si>
    <t>SurfacesByPhenomenaShellSide</t>
  </si>
  <si>
    <t>ActualTubeSideCv</t>
  </si>
  <si>
    <t>ActualShellSideCv</t>
  </si>
  <si>
    <t>IntermediateTubeTemperature</t>
  </si>
  <si>
    <t>TubeOutletTemperature</t>
  </si>
  <si>
    <t>IntermediateShellTemperature</t>
  </si>
  <si>
    <t>ShellOutletTemperature</t>
  </si>
  <si>
    <t>WallPower</t>
  </si>
  <si>
    <t>MaxPowerShell</t>
  </si>
  <si>
    <t>MaxPowerTube</t>
  </si>
  <si>
    <t>TableS</t>
  </si>
  <si>
    <t>TableH</t>
  </si>
  <si>
    <t>TableT</t>
  </si>
  <si>
    <t>TableU</t>
  </si>
  <si>
    <t>TableX</t>
  </si>
  <si>
    <t>PhenomenaTable</t>
  </si>
  <si>
    <t>CellPowerTable</t>
  </si>
  <si>
    <t>ShellH</t>
  </si>
  <si>
    <t>ShellHPrevious</t>
  </si>
  <si>
    <t>PreviousTubeEnth</t>
  </si>
  <si>
    <t>DeltaShellH</t>
  </si>
  <si>
    <t>OldVariableArray</t>
  </si>
  <si>
    <t>PreviousMetalTemperatures</t>
  </si>
  <si>
    <t>Accuracy</t>
  </si>
  <si>
    <t>Count</t>
  </si>
  <si>
    <t>StaticCount</t>
  </si>
  <si>
    <t>DynamicVolumeFactor</t>
  </si>
  <si>
    <t>EnthalpyBalance</t>
  </si>
  <si>
    <t>SolverTol</t>
  </si>
  <si>
    <t>LogFile</t>
  </si>
  <si>
    <t>MaxIter</t>
  </si>
  <si>
    <t>ShellFailure</t>
  </si>
  <si>
    <t>ShellFouling</t>
  </si>
  <si>
    <t>ShellFoulingTarget</t>
  </si>
  <si>
    <t>ShellFoulingCvRatioMin</t>
  </si>
  <si>
    <t>ShellFoulingHTCResistanceMax</t>
  </si>
  <si>
    <t>TubeFailure</t>
  </si>
  <si>
    <t>TubeFouling</t>
  </si>
  <si>
    <t>TubeFoulingTarget</t>
  </si>
  <si>
    <t>TubeFoulingCvRatioMin</t>
  </si>
  <si>
    <t>TubeFoulingHTCResistanceMax</t>
  </si>
  <si>
    <t>TubeMonophasic</t>
  </si>
  <si>
    <t>ShellMonophasic</t>
  </si>
  <si>
    <t>EnableDoubleWayHeatExchange</t>
  </si>
  <si>
    <t>GASOLINE</t>
  </si>
  <si>
    <t>FUELGAS</t>
  </si>
  <si>
    <t>CWR</t>
  </si>
  <si>
    <t>HCCS</t>
  </si>
  <si>
    <t>CWS</t>
  </si>
  <si>
    <t>WILDNAPHTHA</t>
  </si>
  <si>
    <t>EZ2151E</t>
    <phoneticPr fontId="16" type="noConversion"/>
  </si>
  <si>
    <t>CDU4 Battery limits.xlsx</t>
  </si>
  <si>
    <t>OVERVIEW.1109</t>
  </si>
  <si>
    <t>COND</t>
  </si>
  <si>
    <t>Scrubber</t>
  </si>
  <si>
    <t>CalculationType</t>
  </si>
  <si>
    <t>Initialization</t>
  </si>
  <si>
    <t>GasEntrainmentLimit</t>
  </si>
  <si>
    <t>FluidEnthalpy</t>
  </si>
  <si>
    <t>AuxiliaryEquilibriumConstantsTable</t>
  </si>
  <si>
    <t>StaticPressure</t>
  </si>
  <si>
    <t>StaticFluidTemperature</t>
  </si>
  <si>
    <t>StaticLevel</t>
  </si>
  <si>
    <t>GasOutputFlow</t>
  </si>
  <si>
    <t>OilOutputFlow</t>
  </si>
  <si>
    <t>DutyToInternalFluid</t>
  </si>
  <si>
    <t>OilMassFlow</t>
  </si>
  <si>
    <t>GasMassFlow</t>
  </si>
  <si>
    <t>EnthalpicError</t>
  </si>
  <si>
    <t>TemperatureError</t>
  </si>
  <si>
    <t>OrificeDiameter</t>
  </si>
  <si>
    <t>Kb</t>
  </si>
  <si>
    <t>Kc</t>
  </si>
  <si>
    <t>Kd</t>
  </si>
  <si>
    <t>Kv</t>
  </si>
  <si>
    <t>F2</t>
  </si>
  <si>
    <t>k</t>
  </si>
  <si>
    <t>Z</t>
  </si>
  <si>
    <t>C</t>
  </si>
  <si>
    <t>Re</t>
  </si>
  <si>
    <t>Visc</t>
  </si>
  <si>
    <t>Criticity</t>
  </si>
  <si>
    <t>Hysteresis</t>
  </si>
  <si>
    <t>FirstOpeningRatio</t>
  </si>
  <si>
    <t>LastOpeningRatio</t>
  </si>
  <si>
    <t>IntermediatePressure</t>
  </si>
  <si>
    <t>FirstPressure</t>
  </si>
  <si>
    <t>BlockValvesCommand</t>
  </si>
  <si>
    <t>BlockValvesPosition</t>
  </si>
  <si>
    <t>State</t>
  </si>
  <si>
    <t>OpenState</t>
  </si>
  <si>
    <t>LiquidMolarWeight</t>
  </si>
  <si>
    <t>DZ3002</t>
  </si>
  <si>
    <t>SWOUT</t>
  </si>
  <si>
    <t>LICAZ2010</t>
  </si>
  <si>
    <t>LICAZ2002</t>
  </si>
  <si>
    <t>PICZ2003</t>
  </si>
  <si>
    <t>PICZ2005</t>
  </si>
  <si>
    <t>LICZ2003</t>
  </si>
  <si>
    <t>AirCoolerV2</t>
  </si>
  <si>
    <t>DrumSeparatorV2</t>
  </si>
  <si>
    <t>NominalMassFlow</t>
  </si>
  <si>
    <t>NetworkBehaviour</t>
  </si>
  <si>
    <t>ComputationType</t>
  </si>
  <si>
    <t>MolarFlow</t>
  </si>
  <si>
    <t>ConnectionDirection</t>
  </si>
  <si>
    <t>Geometry</t>
  </si>
  <si>
    <t>LightMinLevel</t>
  </si>
  <si>
    <t>LightMaxLevel</t>
  </si>
  <si>
    <t>HeavyMinLevel</t>
  </si>
  <si>
    <t>HeavyMaxLevel</t>
  </si>
  <si>
    <t>NozzlesPosition</t>
  </si>
  <si>
    <t>OutletTopNozzleLevel</t>
  </si>
  <si>
    <t>HeatCoeff</t>
  </si>
  <si>
    <t>OutletMediumNozzleLevel</t>
  </si>
  <si>
    <t>AirMassFlow</t>
  </si>
  <si>
    <t>OutletLowerNozzleLevel</t>
  </si>
  <si>
    <t>AirComposition</t>
  </si>
  <si>
    <t>InletNozzleLocation</t>
  </si>
  <si>
    <t>OutletTopNozzleLocation</t>
  </si>
  <si>
    <t>OutletMediumNozzleLocation</t>
  </si>
  <si>
    <t>OutletLowerNozzleLocation</t>
  </si>
  <si>
    <t>AirFlowComputationType</t>
  </si>
  <si>
    <t>Entrainment</t>
  </si>
  <si>
    <t>AirNaturalConvectionMassFlow</t>
  </si>
  <si>
    <t>LightInGas</t>
  </si>
  <si>
    <t>NominalAirMassFlow</t>
  </si>
  <si>
    <t>HeavyInGas</t>
  </si>
  <si>
    <t>GasInLight</t>
  </si>
  <si>
    <t>HeavyInLight</t>
  </si>
  <si>
    <t>NominalOrientation</t>
  </si>
  <si>
    <t>GasInHeavy</t>
  </si>
  <si>
    <t>OrientationTime</t>
  </si>
  <si>
    <t>LightInHeavy</t>
  </si>
  <si>
    <t>AirVolumicFlowTable</t>
  </si>
  <si>
    <t>BladesOrientationTable</t>
  </si>
  <si>
    <t>HeatExchangeType</t>
  </si>
  <si>
    <t>InternalHeatExchangeCoeff</t>
  </si>
  <si>
    <t>AirNaturalConvectionCoeff</t>
  </si>
  <si>
    <t>TubeHeatCapacity</t>
  </si>
  <si>
    <t>TubeMass</t>
  </si>
  <si>
    <t>PropagationTime</t>
  </si>
  <si>
    <t>TubeInternalConvectionCoeff</t>
  </si>
  <si>
    <t>ImposedEnthalpy</t>
  </si>
  <si>
    <t>StaticPowerToTube</t>
  </si>
  <si>
    <t>TubeSurface</t>
  </si>
  <si>
    <t>LiquidLiquidEquilibrium</t>
  </si>
  <si>
    <t>K</t>
  </si>
  <si>
    <t>LightResidenceTime</t>
  </si>
  <si>
    <t>HeavyResidenceTime</t>
  </si>
  <si>
    <t>GasResidenceTime</t>
  </si>
  <si>
    <t>FanSpeedCommand</t>
  </si>
  <si>
    <t>OutletTopFlow</t>
  </si>
  <si>
    <t>FanSpeed</t>
  </si>
  <si>
    <t>OutletMediumFlow</t>
  </si>
  <si>
    <t>FanOrientationCommand</t>
  </si>
  <si>
    <t>OutletLowerFlow</t>
  </si>
  <si>
    <t>FanOrientation</t>
  </si>
  <si>
    <t>TubeTemperature</t>
  </si>
  <si>
    <t>BootVolume</t>
  </si>
  <si>
    <t>AirOutletTemperature</t>
  </si>
  <si>
    <t>LightLevel</t>
  </si>
  <si>
    <t>HeavyLevel</t>
  </si>
  <si>
    <t>ConvectionCoeff</t>
  </si>
  <si>
    <t>LightLevelMM</t>
  </si>
  <si>
    <t>HeavyLevelMM</t>
  </si>
  <si>
    <t>IsWaterHeaviest</t>
  </si>
  <si>
    <t>InletNozzleCell</t>
  </si>
  <si>
    <t>OutletMediumNozzleCell</t>
  </si>
  <si>
    <t>OutletLowerNozzleCell</t>
  </si>
  <si>
    <t>OutletTopNozzleCell</t>
  </si>
  <si>
    <t>HBError</t>
  </si>
  <si>
    <t>DutyTube</t>
  </si>
  <si>
    <t>DutyDTLM</t>
  </si>
  <si>
    <t>AdvancedTuning</t>
  </si>
  <si>
    <t>ExponentProcessFluid</t>
  </si>
  <si>
    <t>ExponentAir</t>
  </si>
  <si>
    <t>CellsNumber</t>
  </si>
  <si>
    <t>MixingRegime</t>
  </si>
  <si>
    <t>IsCellFlashed</t>
  </si>
  <si>
    <t>SmoothingHeight</t>
  </si>
  <si>
    <t>FanFailure</t>
  </si>
  <si>
    <t>PressureStabilizer</t>
  </si>
  <si>
    <t>TubeFoulingEffectTransfer</t>
  </si>
  <si>
    <t>TubeFoulingEffectFlow</t>
  </si>
  <si>
    <t>UseStaticHeightPressure</t>
  </si>
  <si>
    <t>TubeFoulingValue</t>
  </si>
  <si>
    <t>PressureFc</t>
  </si>
  <si>
    <t>TubeFoulingValueTarget</t>
  </si>
  <si>
    <t>ELLPrecision</t>
  </si>
  <si>
    <t>HExch</t>
  </si>
  <si>
    <t>InertiaVolume</t>
  </si>
  <si>
    <t>EnthalpyError</t>
  </si>
  <si>
    <t>ResetPseudoAccumulation</t>
  </si>
  <si>
    <t>MassBalanceError</t>
  </si>
  <si>
    <t>MoleBalanceError</t>
  </si>
  <si>
    <t>NominalSpeed</t>
    <phoneticPr fontId="14" type="noConversion"/>
  </si>
  <si>
    <t>HeatExchangeType</t>
    <phoneticPr fontId="14" type="noConversion"/>
  </si>
  <si>
    <t>LICZ2007</t>
  </si>
  <si>
    <t>PV High Scale</t>
  </si>
  <si>
    <t>PV Low Scale</t>
  </si>
  <si>
    <t>PV Units</t>
  </si>
  <si>
    <t>Output High Scale</t>
  </si>
  <si>
    <t>Output Low Scale</t>
  </si>
  <si>
    <t>Output Units</t>
  </si>
  <si>
    <t>CDU4_1000_46:LICAZ1032</t>
  </si>
  <si>
    <t>CDU4_1000_46:LICZ1015</t>
  </si>
  <si>
    <t>LICZ1015</t>
  </si>
  <si>
    <t>CDU4_1000_46:LICZ1017</t>
  </si>
  <si>
    <t>LICZ1017</t>
  </si>
  <si>
    <t>CDU4_1000_46:LICZ1027</t>
  </si>
  <si>
    <t>LICZ1027</t>
  </si>
  <si>
    <t>CDU4_1000_46:LICZ1033</t>
  </si>
  <si>
    <t>CDU4_1000_46:LICZ1034</t>
  </si>
  <si>
    <t>CDU4_1000_46:LICZ1043</t>
  </si>
  <si>
    <t>WASTE HEAT BOILER EZ2128</t>
  </si>
  <si>
    <t>CDU4_1000_49:ACZ1003</t>
  </si>
  <si>
    <t>ACZ1003</t>
  </si>
  <si>
    <t>LGO CLOUDPOINT</t>
  </si>
  <si>
    <t>CDU4_1000_49:ACZ1008</t>
  </si>
  <si>
    <t>ACZ1008</t>
  </si>
  <si>
    <t>CDU HEATER O2 FLUE GAS</t>
  </si>
  <si>
    <t>CDU4_1000_49:FICZ1062</t>
  </si>
  <si>
    <t>FICZ1062</t>
  </si>
  <si>
    <t>CDU4_1000_49:FICZ1072</t>
  </si>
  <si>
    <t>FICZ1072</t>
  </si>
  <si>
    <t>CDU4_1000_49:FICZ1085C</t>
  </si>
  <si>
    <t>FICZ1085C</t>
  </si>
  <si>
    <t>LGO RUND.(VIRTUAL)(LVZ1024A/B)</t>
  </si>
  <si>
    <t>CDU4_1000_49:LDCZ1024</t>
  </si>
  <si>
    <t>LDCZ1024</t>
  </si>
  <si>
    <t>LGO LC'S OVERRIDE CONTROL</t>
  </si>
  <si>
    <t>ERROR</t>
  </si>
  <si>
    <t>CDU4_1000_49:LICAZ1031</t>
  </si>
  <si>
    <t>LICAZ1031</t>
  </si>
  <si>
    <t>CDU4_1000_49:LICZ1024</t>
  </si>
  <si>
    <t>LGO STRIPR. TZ2102(LVZ1019)</t>
  </si>
  <si>
    <t>CDU4_1000_49:LICZ1024B</t>
  </si>
  <si>
    <t>LICZ1024B</t>
  </si>
  <si>
    <t>LGO STRIPR. TZ2102(LVZ1024)</t>
  </si>
  <si>
    <t>CDU4_1000_49:LICZ1028</t>
  </si>
  <si>
    <t>CDU4_1000_49:PICZ1006</t>
  </si>
  <si>
    <t>PICZ1006</t>
  </si>
  <si>
    <t>CDU4_1000_49:PICZ1017</t>
  </si>
  <si>
    <t>PICZ1017</t>
  </si>
  <si>
    <t>CDU4_1000_49:PICZ1053</t>
  </si>
  <si>
    <t>PICZ1053</t>
  </si>
  <si>
    <t>CDU4_1000_49:TICZ1011</t>
  </si>
  <si>
    <t>TICZ1011</t>
  </si>
  <si>
    <t>CDU4_1000_49:TICZ1013</t>
  </si>
  <si>
    <t>TICZ1013</t>
  </si>
  <si>
    <t>CDU4_1000_49:TYCZ1040_47</t>
  </si>
  <si>
    <t>TYCZ1040_47</t>
  </si>
  <si>
    <t>H2101 PASS PROTECT CONTROLLER</t>
  </si>
  <si>
    <t>CDU4_1000_49:TYZ1013</t>
  </si>
  <si>
    <t>TYZ1013</t>
  </si>
  <si>
    <t>TOTAL FUEL CONTR.</t>
  </si>
  <si>
    <t>CDU4_1000_51:FICAZ1001</t>
  </si>
  <si>
    <t>FICAZ1001</t>
  </si>
  <si>
    <t>CDU4_1000_51:FICAZ1008</t>
  </si>
  <si>
    <t>FICAZ1008</t>
  </si>
  <si>
    <t>CDU4_1000_51:FICAZ1011</t>
  </si>
  <si>
    <t>FICAZ1011</t>
  </si>
  <si>
    <t>CDU4_1000_51:FICAZ1045</t>
  </si>
  <si>
    <t>FICAZ1045</t>
  </si>
  <si>
    <t>CDU4_1000_51:FICZ1002</t>
  </si>
  <si>
    <t>CDU4_1000_51:FICZ1017</t>
  </si>
  <si>
    <t>FICZ1017</t>
  </si>
  <si>
    <t>CDU4_1000_51:FICZ1018</t>
  </si>
  <si>
    <t>FICZ1018</t>
  </si>
  <si>
    <t>CDU4_1000_51:FICZ1019</t>
  </si>
  <si>
    <t>FICZ1019</t>
  </si>
  <si>
    <t>CDU4_1000_51:FICZ1060</t>
  </si>
  <si>
    <t>FICZ1060</t>
  </si>
  <si>
    <t>RECYCLED RESIDUE</t>
  </si>
  <si>
    <t>CDU4_1000_51:FICZ1069</t>
  </si>
  <si>
    <t>CDU4_1000_51:FICZ1094</t>
  </si>
  <si>
    <t>FICZ1094</t>
  </si>
  <si>
    <t>CDU4_1000_51:FICZ1095</t>
  </si>
  <si>
    <t>FICZ1095</t>
  </si>
  <si>
    <t>CDU4_1000_51:LICZ1018</t>
  </si>
  <si>
    <t>LICZ1018</t>
  </si>
  <si>
    <t>CDU4_1000_51:PICAZ1004</t>
  </si>
  <si>
    <t>PICAZ1004</t>
  </si>
  <si>
    <t>CDU4_1000_51:TICZ1001</t>
  </si>
  <si>
    <t>TICZ1001</t>
  </si>
  <si>
    <t>CDU4_1000_51:TICZ1002</t>
  </si>
  <si>
    <t>TICZ1002</t>
  </si>
  <si>
    <t>CDU4_1000_51:TICZ1003</t>
  </si>
  <si>
    <t>TICZ1003</t>
  </si>
  <si>
    <t>CDU4_1000_51:TICZ1008</t>
  </si>
  <si>
    <t>TICZ1008</t>
  </si>
  <si>
    <t>CDU4_1000_51:TICZ1012</t>
  </si>
  <si>
    <t>TICZ1012</t>
  </si>
  <si>
    <t>CDU4_1000_51:TICZ1014</t>
  </si>
  <si>
    <t>TICZ1014</t>
  </si>
  <si>
    <t>CDU4_1000_51:TICZ1088</t>
  </si>
  <si>
    <t>TICZ1088</t>
  </si>
  <si>
    <t>CDU4_1000_53:FICAZ1032</t>
  </si>
  <si>
    <t>FICAZ1032</t>
  </si>
  <si>
    <t>CDU4_1000_53:FICAZ1033</t>
  </si>
  <si>
    <t>FICAZ1033</t>
  </si>
  <si>
    <t>CDU4_1000_53:FICAZ1034</t>
  </si>
  <si>
    <t>FICAZ1034</t>
  </si>
  <si>
    <t>CDU4_1000_53:FICAZ1035</t>
  </si>
  <si>
    <t>FICAZ1035</t>
  </si>
  <si>
    <t>CDU4_1000_53:FICAZ1036</t>
  </si>
  <si>
    <t>FICAZ1036</t>
  </si>
  <si>
    <t>CDU4_1000_53:FICAZ1037</t>
  </si>
  <si>
    <t>FICAZ1037</t>
  </si>
  <si>
    <t>CDU4_1000_53:FICAZ1038</t>
  </si>
  <si>
    <t>FICAZ1038</t>
  </si>
  <si>
    <t>CDU4_1000_53:FICAZ1039</t>
  </si>
  <si>
    <t>FICAZ1039</t>
  </si>
  <si>
    <t>CDU4_1000_53:FICZ1003</t>
  </si>
  <si>
    <t>FICZ1003</t>
  </si>
  <si>
    <t>HZ2101 TOTAL CRUDEFEED</t>
  </si>
  <si>
    <t>CDU4_1000_53:FICZ1024</t>
  </si>
  <si>
    <t>FICZ1024</t>
  </si>
  <si>
    <t>CDU4_1000_53:FICZ1070</t>
  </si>
  <si>
    <t>CDU4_1000_53:FICZ1071</t>
  </si>
  <si>
    <t>CDU4_1000_53:FICZ1074</t>
  </si>
  <si>
    <t>FICZ1074</t>
  </si>
  <si>
    <t>CDU4_1000_53:FICZ1085</t>
  </si>
  <si>
    <t>FICZ1085</t>
  </si>
  <si>
    <t>CDU4_1000_53:LICZ1007</t>
  </si>
  <si>
    <t>LICZ1007</t>
  </si>
  <si>
    <t>CDU4_1000_53:LICZ1019</t>
  </si>
  <si>
    <t>LGO DRIER TZ2104 (FICZ1085)</t>
  </si>
  <si>
    <t>CDU4_1000_53:LICZ1019B</t>
  </si>
  <si>
    <t>LICZ1019B</t>
  </si>
  <si>
    <t>LGO DRIER TZ2104 (LVZ1019)</t>
  </si>
  <si>
    <t>CDU4_1000_53:PICZ1003</t>
  </si>
  <si>
    <t>PICZ1003</t>
  </si>
  <si>
    <t>CDU4_1000_53:PICZ1003B</t>
  </si>
  <si>
    <t>PICZ1003B</t>
  </si>
  <si>
    <t>CDU TOWER OVERH. DRUM OVERRIDE</t>
  </si>
  <si>
    <t>CDU4_1000_53:PICZ1010</t>
  </si>
  <si>
    <t>PICZ1010</t>
  </si>
  <si>
    <t>CDU4_1000_53:TICZ1009</t>
  </si>
  <si>
    <t>TICZ1009</t>
  </si>
  <si>
    <t>CDU4_1000_53:TICZ1010</t>
  </si>
  <si>
    <t>TICZ1010</t>
  </si>
  <si>
    <t>CDU4_1000_54:LICZ1005</t>
  </si>
  <si>
    <t>LICZ1005</t>
  </si>
  <si>
    <t>CDU4_1000_55:FCZ_1087</t>
  </si>
  <si>
    <t>FCZ_1087</t>
  </si>
  <si>
    <t>CDU4_1000_57:PICZ10000</t>
  </si>
  <si>
    <t>PICZ10000</t>
  </si>
  <si>
    <t>CDU4_1000_81:FICAZ10101</t>
  </si>
  <si>
    <t>FICAZ10101</t>
  </si>
  <si>
    <t>WATER TO C DESALTER</t>
  </si>
  <si>
    <t>CDU4_1000_81:LICAZ1010</t>
  </si>
  <si>
    <t>LICAZ1010</t>
  </si>
  <si>
    <t>CDU4_1000_81:LICAZ1044</t>
  </si>
  <si>
    <t>LICAZ1044</t>
  </si>
  <si>
    <t>CDU4_1000_81:LICZ1052</t>
  </si>
  <si>
    <t>LICZ1052</t>
  </si>
  <si>
    <t>TAILGAS KO</t>
  </si>
  <si>
    <t>CDU4_1000_81:PICAZ10119</t>
  </si>
  <si>
    <t>PICAZ10119</t>
  </si>
  <si>
    <t>DESALTER EFFLUENCE BACK PRESSURE</t>
  </si>
  <si>
    <t>CDU4_1030_50:TICZ1035</t>
  </si>
  <si>
    <t>TICZ1035</t>
  </si>
  <si>
    <t>CDU4_1060_48:TCZ10167</t>
  </si>
  <si>
    <t>TCZ10167</t>
  </si>
  <si>
    <t>CDU4_1060_50:TICZ10164</t>
  </si>
  <si>
    <t>TICZ10164</t>
  </si>
  <si>
    <t>CDU4_1060_50:TICZ10168</t>
  </si>
  <si>
    <t>TICZ10168</t>
  </si>
  <si>
    <t>CDU4_1070_48:TCZ10171</t>
  </si>
  <si>
    <t>TCZ10171</t>
  </si>
  <si>
    <t>CDU4_2000_46:FICZ2065</t>
  </si>
  <si>
    <t>FICZ2065</t>
  </si>
  <si>
    <t>CDU4_2000_46:LICAZ2002</t>
  </si>
  <si>
    <t>CDU4_2000_46:LICAZ2010</t>
  </si>
  <si>
    <t>DHT HP WATER BOOT</t>
  </si>
  <si>
    <t>CDU4_2000_53:FICZ2002</t>
  </si>
  <si>
    <t>CDU4_2000_53:FITZ2001</t>
  </si>
  <si>
    <t>CRUDE OVH PRODUCT</t>
  </si>
  <si>
    <t>CDU4_2000_55:FICZ2010</t>
  </si>
  <si>
    <t>CDU4_2000_55:FICZ2011</t>
  </si>
  <si>
    <t>CDU4_2000_55:FICZ2015</t>
  </si>
  <si>
    <t>FICZ2015</t>
  </si>
  <si>
    <t>CDU4_2000_55:FYZ2003</t>
  </si>
  <si>
    <t>FYZ2003</t>
  </si>
  <si>
    <t>RECYCLE GAS</t>
  </si>
  <si>
    <t>CDU4_2000_55:LICZ2003</t>
  </si>
  <si>
    <t>CDU4_2000_55:LICZ2007</t>
  </si>
  <si>
    <t>CDU4_2000_55:PICZ2003</t>
  </si>
  <si>
    <t>CDU4_2000_55:PICZ2005</t>
  </si>
  <si>
    <t>CDU4_2000_55:PICZ2010</t>
  </si>
  <si>
    <t>CDU4_2000_55:TCZ2029</t>
  </si>
  <si>
    <t>TCZ2029</t>
  </si>
  <si>
    <t>DHT REACTOR OUTLET</t>
  </si>
  <si>
    <t>CDU4_2000_55:TICZ2001</t>
  </si>
  <si>
    <t>TICZ2001</t>
  </si>
  <si>
    <t>CDU4_2020_48:PICZ2023</t>
  </si>
  <si>
    <t>PICZ2023</t>
  </si>
  <si>
    <t>CDU4_2060_54:FICZ2066</t>
  </si>
  <si>
    <t>FICZ2066</t>
  </si>
  <si>
    <t>CDU4_2060_54:FICZ2067</t>
  </si>
  <si>
    <t>FICZ2067</t>
  </si>
  <si>
    <t>CDU4_3000_57:FICZ3002</t>
  </si>
  <si>
    <t>FICZ3002</t>
  </si>
  <si>
    <t>STABILISER REFLUX</t>
  </si>
  <si>
    <t>CDU4_3000_57:FICZ3003</t>
  </si>
  <si>
    <t>FICZ3003</t>
  </si>
  <si>
    <t>CDU4_3000_57:FICZ3004</t>
  </si>
  <si>
    <t>FICZ3004</t>
  </si>
  <si>
    <t>LPG R/D TO 600 UNIT</t>
  </si>
  <si>
    <t>CDU4_3000_57:LICZ3002</t>
  </si>
  <si>
    <t>LICZ3002</t>
  </si>
  <si>
    <t>CDU4_3000_57:LICZ3003</t>
  </si>
  <si>
    <t>LICZ3003</t>
  </si>
  <si>
    <t>CDU4_3000_57:PICZ3001</t>
  </si>
  <si>
    <t>PICZ3001</t>
  </si>
  <si>
    <t>CDU4_3000_57:PICZ3002</t>
  </si>
  <si>
    <t>PICZ3002</t>
  </si>
  <si>
    <t>DFU STABILISER TOWER</t>
  </si>
  <si>
    <t>CDU4_3000_57:TDCZ3002</t>
  </si>
  <si>
    <t>TDCZ3002</t>
  </si>
  <si>
    <t>STABL. FEED/REBL. DIFF. TEMP.</t>
  </si>
  <si>
    <t>CDU4_3000_57:TICZ3002</t>
  </si>
  <si>
    <t>TICZ3002</t>
  </si>
  <si>
    <t>CDU4_3000_57:TICZ3003</t>
  </si>
  <si>
    <t>TICZ3003</t>
  </si>
  <si>
    <t>CDU4_3000_57:TICZ3010</t>
  </si>
  <si>
    <t>TICZ3010</t>
  </si>
  <si>
    <t>CDU4_3000_57:TICZ3011</t>
  </si>
  <si>
    <t>TICZ3011</t>
  </si>
  <si>
    <t>DFU STABILISER OVHD</t>
  </si>
  <si>
    <t>CDU4_3000_57:TICZ3049</t>
  </si>
  <si>
    <t>TICZ3049</t>
  </si>
  <si>
    <t>CDU4_3000_57:TYCZ3003</t>
  </si>
  <si>
    <t>TYCZ3003</t>
  </si>
  <si>
    <t>DFU STABILISER BOILUP CONTROL</t>
  </si>
  <si>
    <t>CDU4_3000_59:FCSZ3090</t>
  </si>
  <si>
    <t>FCSZ3090</t>
  </si>
  <si>
    <t>SPLITTER BOILUP CONTROLLER</t>
  </si>
  <si>
    <t>CDU4_3000_59:FICAZ3013</t>
  </si>
  <si>
    <t>FICAZ3013</t>
  </si>
  <si>
    <t>CDU4_3000_59:FICAZ3014</t>
  </si>
  <si>
    <t>FICAZ3014</t>
  </si>
  <si>
    <t>CDU4_3000_59:FICAZ3015</t>
  </si>
  <si>
    <t>FICAZ3015</t>
  </si>
  <si>
    <t>CDU4_3000_59:FICAZ3016</t>
  </si>
  <si>
    <t>FICAZ3016</t>
  </si>
  <si>
    <t>CDU4_3000_59:FICAZ3017</t>
  </si>
  <si>
    <t>FICAZ3017</t>
  </si>
  <si>
    <t>CDU4_3000_59:FICAZ3018</t>
  </si>
  <si>
    <t>FICAZ3018</t>
  </si>
  <si>
    <t>CDU4_3000_59:FICAZ3019</t>
  </si>
  <si>
    <t>FICAZ3019</t>
  </si>
  <si>
    <t>CDU4_3000_59:FICAZ3020</t>
  </si>
  <si>
    <t>FICAZ3020</t>
  </si>
  <si>
    <t>CDU4_3000_59:FICZ3006</t>
  </si>
  <si>
    <t>FICZ3006</t>
  </si>
  <si>
    <t>CDU4_3000_59:FICZ3007</t>
  </si>
  <si>
    <t>FICZ3007</t>
  </si>
  <si>
    <t>SRB STRIPPER FEED</t>
  </si>
  <si>
    <t>CDU4_3000_59:FICZ3008</t>
  </si>
  <si>
    <t>FICZ3008</t>
  </si>
  <si>
    <t>SRB STRIPPER R/D</t>
  </si>
  <si>
    <t>CDU4_3000_59:FICZ3010</t>
  </si>
  <si>
    <t>FICZ3010</t>
  </si>
  <si>
    <t>SRG R/D</t>
  </si>
  <si>
    <t>CDU4_3000_59:FITZ3001</t>
  </si>
  <si>
    <t>FITZ3001</t>
  </si>
  <si>
    <t>KERO R/D</t>
  </si>
  <si>
    <t>CDU4_3000_59:FXZ3008</t>
  </si>
  <si>
    <t>FXZ3008</t>
  </si>
  <si>
    <t>SRBN RUN DOWN STRIPPER FEED</t>
  </si>
  <si>
    <t>CDU4_3000_59:LICAZ3008</t>
  </si>
  <si>
    <t>LICAZ3008</t>
  </si>
  <si>
    <t>CDU4_3000_59:LICAZ3009</t>
  </si>
  <si>
    <t>LICAZ3009</t>
  </si>
  <si>
    <t>CDU4_3000_59:LICAZ3012</t>
  </si>
  <si>
    <t>LICAZ3012</t>
  </si>
  <si>
    <t>CDU4_3000_59:PICZ3004</t>
  </si>
  <si>
    <t>CDU4_3000_59:PICZ3010</t>
  </si>
  <si>
    <t>PICZ3010</t>
  </si>
  <si>
    <t>CDU4_3000_59:TICZ3008</t>
  </si>
  <si>
    <t>TICZ3008</t>
  </si>
  <si>
    <t>CDU4_3000_59:TTZ3014</t>
  </si>
  <si>
    <t>TTZ3014</t>
  </si>
  <si>
    <t>CDU4_3020_48:PICZ3025</t>
  </si>
  <si>
    <t>PICZ3025</t>
  </si>
  <si>
    <t>CDU4_4000_46:LICAZ4003</t>
  </si>
  <si>
    <t>CDU4_4000_55:FICZ4001</t>
  </si>
  <si>
    <t>FICZ4001</t>
  </si>
  <si>
    <t>CDU4_4000_55:FICZ4002</t>
  </si>
  <si>
    <t>FICZ4002</t>
  </si>
  <si>
    <t>CDU4_4000_55:LICAZ4001</t>
  </si>
  <si>
    <t>CDU4_4000_55:PICZ4001</t>
  </si>
  <si>
    <t>CDU4_5000_49:PICZ5007</t>
  </si>
  <si>
    <t>CDU4_5000_57:PICZ5010</t>
  </si>
  <si>
    <t>PICZ5010</t>
  </si>
  <si>
    <t>CDU4_5060_48:FICZ5065</t>
  </si>
  <si>
    <t>FICZ5065</t>
  </si>
  <si>
    <t>CDU4_CHAR_99:FICZ2002_99</t>
  </si>
  <si>
    <t>FICZ2002_99</t>
  </si>
  <si>
    <t>CDU4_CHAR_99:PICZ3010_99</t>
  </si>
  <si>
    <t>PICZ3010_99</t>
  </si>
  <si>
    <t>CDU4_CHAR_99:TICZ3002_99</t>
  </si>
  <si>
    <t>TICZ3002_99</t>
  </si>
  <si>
    <t>CDU4_CHAR_99:TICZ3003_99</t>
  </si>
  <si>
    <t>TICZ3003_99</t>
  </si>
  <si>
    <t>DFU STABILISER TRAY3 (REBOILER)</t>
  </si>
  <si>
    <t>CDU4_CHAR_99:TYCZ3003_99</t>
  </si>
  <si>
    <t>TYCZ3003_99</t>
  </si>
  <si>
    <t>CDU4_CROB_46:FICZ2306</t>
  </si>
  <si>
    <t>FICZ2306</t>
  </si>
  <si>
    <t>CDU4_CROB_46:FICZ2307</t>
  </si>
  <si>
    <t>FICZ2307</t>
  </si>
  <si>
    <t>CDU4_CROB_46:FICZ2308</t>
  </si>
  <si>
    <t>FICZ2308</t>
  </si>
  <si>
    <t>CDU4_PIDA (PID_controllers).xlsx</t>
  </si>
  <si>
    <t>LVZ2007</t>
    <phoneticPr fontId="16" type="noConversion"/>
  </si>
  <si>
    <t>PVZ2005</t>
    <phoneticPr fontId="14" type="noConversion"/>
  </si>
  <si>
    <t>DZ2158</t>
  </si>
  <si>
    <t>HZ2151(check).pdf</t>
    <phoneticPr fontId="14" type="noConversion"/>
  </si>
  <si>
    <t>LVZ1015</t>
    <phoneticPr fontId="16" type="noConversion"/>
  </si>
  <si>
    <t>LVZ1017</t>
    <phoneticPr fontId="16" type="noConversion"/>
  </si>
  <si>
    <t>OVERVIEW.2105B</t>
  </si>
  <si>
    <t>EZ2104A_B</t>
    <phoneticPr fontId="14" type="noConversion"/>
  </si>
  <si>
    <t>KEROBLEND</t>
  </si>
  <si>
    <t>Kero rundow to Blender</t>
    <phoneticPr fontId="14" type="noConversion"/>
  </si>
  <si>
    <t>TVZ3002</t>
    <phoneticPr fontId="14" type="noConversion"/>
  </si>
  <si>
    <t>PVZ3005</t>
    <phoneticPr fontId="14" type="noConversion"/>
  </si>
  <si>
    <t>PVZ3009</t>
    <phoneticPr fontId="14" type="noConversion"/>
  </si>
  <si>
    <t>PVZ3014</t>
    <phoneticPr fontId="14" type="noConversion"/>
  </si>
  <si>
    <t>XCVZ3003</t>
    <phoneticPr fontId="14" type="noConversion"/>
  </si>
  <si>
    <t>PCVZ30010</t>
    <phoneticPr fontId="14" type="noConversion"/>
  </si>
  <si>
    <t>OVERVIEW.2201B</t>
  </si>
  <si>
    <t>OVERVIEW.2201A</t>
  </si>
  <si>
    <t>LPGRD</t>
  </si>
  <si>
    <t>EZ2204A_F</t>
    <phoneticPr fontId="16" type="noConversion"/>
  </si>
  <si>
    <t>LPG rd</t>
    <phoneticPr fontId="14" type="noConversion"/>
  </si>
  <si>
    <t>TVZ3003</t>
    <phoneticPr fontId="14" type="noConversion"/>
  </si>
  <si>
    <t>Desalter</t>
  </si>
  <si>
    <t>SaltInEmulsionBigDrop</t>
  </si>
  <si>
    <t>FalseMass</t>
  </si>
  <si>
    <t>LowerElectrodeHeight</t>
  </si>
  <si>
    <t>HigherElectrodeHeight</t>
  </si>
  <si>
    <t>SaltSaturationRatio</t>
  </si>
  <si>
    <t>MaxMixingValvePressureDrop</t>
  </si>
  <si>
    <t>NominalMixingValvePressureDrop</t>
  </si>
  <si>
    <t>MinMixingValvePressureDrop</t>
  </si>
  <si>
    <t>MaxElectricalField</t>
  </si>
  <si>
    <t>MinElectricalField</t>
  </si>
  <si>
    <t>NominalInletWaterToOilMassRatio</t>
  </si>
  <si>
    <t>MaxTemperature</t>
  </si>
  <si>
    <t>MinTemperature</t>
  </si>
  <si>
    <t>DesalterTimeConstant</t>
  </si>
  <si>
    <t>TransformerPower</t>
  </si>
  <si>
    <t>TransformerCoeff</t>
  </si>
  <si>
    <t>WaterResistivity</t>
  </si>
  <si>
    <t>OilResistivity</t>
  </si>
  <si>
    <t>NormalizedPressureDropTable</t>
  </si>
  <si>
    <t>DropDistributionEffect</t>
  </si>
  <si>
    <t>SecondNormalizedPressureDropTable</t>
  </si>
  <si>
    <t>CoalescenceEffect</t>
  </si>
  <si>
    <t>NormalizedElectricalFieldTable</t>
  </si>
  <si>
    <t>FieldEfficiencyEffect</t>
  </si>
  <si>
    <t>WaterOilRatioTable</t>
  </si>
  <si>
    <t>WaterOilRatioEffect</t>
  </si>
  <si>
    <t>NormalizedTemperatureTable</t>
  </si>
  <si>
    <t>TemperatureEffectTable</t>
  </si>
  <si>
    <t>SaltMassRatioInFeed</t>
  </si>
  <si>
    <t>AntiEmulsifiant</t>
  </si>
  <si>
    <t>ElectricalField</t>
  </si>
  <si>
    <t>WaterMassFlow</t>
  </si>
  <si>
    <t>PowerState</t>
  </si>
  <si>
    <t>OilImposedOutletMassFlow</t>
  </si>
  <si>
    <t>WaterImposedOutletMassFlow</t>
  </si>
  <si>
    <t>WaterLevel</t>
  </si>
  <si>
    <t>WaterHeight</t>
  </si>
  <si>
    <t>EmulsionLevel</t>
  </si>
  <si>
    <t>EmulsionHeight</t>
  </si>
  <si>
    <t>OilLevel</t>
  </si>
  <si>
    <t>WaterToOilVolumeRatio</t>
  </si>
  <si>
    <t>SmallDropsMassFraction</t>
  </si>
  <si>
    <t>MixingValvePressureDrop</t>
  </si>
  <si>
    <t>SaltInOil</t>
  </si>
  <si>
    <t>SaltInWater</t>
  </si>
  <si>
    <t>WaterInOil</t>
  </si>
  <si>
    <t>GasDetection</t>
  </si>
  <si>
    <t>CoalescenceFracRate</t>
  </si>
  <si>
    <t>WaterDecantationFracRate</t>
  </si>
  <si>
    <t>OilDecantationFracRate</t>
  </si>
  <si>
    <t>Intensity</t>
  </si>
  <si>
    <t>TransformerPowerUsed</t>
  </si>
  <si>
    <t>ShortCircuit</t>
  </si>
  <si>
    <t>DecantationTuningFactor</t>
  </si>
  <si>
    <t>SaltInSmallDropsTuningFactor</t>
  </si>
  <si>
    <t>WaterCoalescenceTuningFactor</t>
  </si>
  <si>
    <t>OilSeparationTuningFactor</t>
  </si>
  <si>
    <t>OilSeparationVSElectricalFieldTuningFactor</t>
  </si>
  <si>
    <t>ElasticWeight</t>
  </si>
  <si>
    <t>InitNode</t>
  </si>
  <si>
    <t>NetworkNominalPressure</t>
  </si>
  <si>
    <t>SaltMassFractionInEmulsionOil</t>
  </si>
  <si>
    <t>SaltMassFractionInEmulsionSmallDrop</t>
  </si>
  <si>
    <t>FullLiquidDesalter</t>
  </si>
  <si>
    <t>OldPowerValue</t>
  </si>
  <si>
    <t>OldOffPowerValue</t>
  </si>
  <si>
    <t>DZ2101C</t>
  </si>
  <si>
    <t>DZ2101B</t>
  </si>
  <si>
    <t>DZ2101A</t>
  </si>
  <si>
    <t>OVERVIEW.2111</t>
  </si>
  <si>
    <t>14</t>
    <phoneticPr fontId="14" type="noConversion"/>
  </si>
  <si>
    <t>2110MN1</t>
    <phoneticPr fontId="14" type="noConversion"/>
  </si>
  <si>
    <t>2110MN2</t>
  </si>
  <si>
    <t>8</t>
    <phoneticPr fontId="14" type="noConversion"/>
  </si>
  <si>
    <t>2110MN3</t>
  </si>
  <si>
    <t>2110MN4</t>
  </si>
  <si>
    <t>2110MN5</t>
  </si>
  <si>
    <t>2110MN6</t>
  </si>
  <si>
    <t>2110MN7</t>
  </si>
  <si>
    <t>2110MN8</t>
  </si>
  <si>
    <t>2110MN9</t>
  </si>
  <si>
    <t>2110MN10</t>
  </si>
  <si>
    <t>2110MN11</t>
  </si>
  <si>
    <t>2110MN12</t>
  </si>
  <si>
    <t>2110MN13</t>
  </si>
  <si>
    <t>2110MN14</t>
  </si>
  <si>
    <t>2110MN15</t>
  </si>
  <si>
    <t>2110MN16</t>
  </si>
  <si>
    <t>2110MN17</t>
  </si>
  <si>
    <t>2110MN18</t>
  </si>
  <si>
    <t>2110MN19</t>
  </si>
  <si>
    <t>2110MN20</t>
  </si>
  <si>
    <t>2110MN21</t>
  </si>
  <si>
    <t>2110MN22</t>
  </si>
  <si>
    <t>2110MN23</t>
  </si>
  <si>
    <t>2110MN24</t>
  </si>
  <si>
    <t>2110MN25</t>
  </si>
  <si>
    <t>2</t>
    <phoneticPr fontId="14" type="noConversion"/>
  </si>
  <si>
    <t>2110MN26</t>
  </si>
  <si>
    <t>12</t>
    <phoneticPr fontId="14" type="noConversion"/>
  </si>
  <si>
    <t>2110MN27</t>
  </si>
  <si>
    <t>2110MN28</t>
  </si>
  <si>
    <t>36</t>
    <phoneticPr fontId="14" type="noConversion"/>
  </si>
  <si>
    <t>2110MN29</t>
  </si>
  <si>
    <t>2111MN2</t>
  </si>
  <si>
    <t>2111MN3</t>
  </si>
  <si>
    <t>2111MN4</t>
  </si>
  <si>
    <t>2111MN6</t>
  </si>
  <si>
    <t>2111MN7</t>
  </si>
  <si>
    <t>2111MN8</t>
  </si>
  <si>
    <t>2111MN9</t>
  </si>
  <si>
    <t>2111MN10</t>
  </si>
  <si>
    <t>2111MN11</t>
  </si>
  <si>
    <t>2111MN12</t>
  </si>
  <si>
    <t>2111MN13</t>
  </si>
  <si>
    <t>2111MN14</t>
  </si>
  <si>
    <t>2111MN15</t>
  </si>
  <si>
    <t>2111MN16</t>
  </si>
  <si>
    <t>2111MN17</t>
  </si>
  <si>
    <t>2111MN18</t>
  </si>
  <si>
    <t>2111MN19</t>
  </si>
  <si>
    <t>2111MN20</t>
  </si>
  <si>
    <t>2111MN22</t>
  </si>
  <si>
    <t>10</t>
    <phoneticPr fontId="14" type="noConversion"/>
  </si>
  <si>
    <t>1.5</t>
    <phoneticPr fontId="14" type="noConversion"/>
  </si>
  <si>
    <t>15</t>
    <phoneticPr fontId="14" type="noConversion"/>
  </si>
  <si>
    <t>2111MN23</t>
    <phoneticPr fontId="14" type="noConversion"/>
  </si>
  <si>
    <t>6</t>
  </si>
  <si>
    <t>6</t>
    <phoneticPr fontId="14" type="noConversion"/>
  </si>
  <si>
    <t>2204MN1</t>
    <phoneticPr fontId="14" type="noConversion"/>
  </si>
  <si>
    <t>2204MN2</t>
  </si>
  <si>
    <t>2204MN3</t>
  </si>
  <si>
    <t>2204MN4</t>
  </si>
  <si>
    <t>2204MN5</t>
  </si>
  <si>
    <t>2204MN6</t>
  </si>
  <si>
    <t>2204MN7</t>
  </si>
  <si>
    <t>2204MN8</t>
  </si>
  <si>
    <t>2204MN9</t>
  </si>
  <si>
    <t>2204MN10</t>
  </si>
  <si>
    <t>2204MN11</t>
  </si>
  <si>
    <t>2204MN12</t>
  </si>
  <si>
    <t>2204MN13</t>
  </si>
  <si>
    <t>2204MN14</t>
  </si>
  <si>
    <t>2204MN15</t>
  </si>
  <si>
    <t>2204MN16</t>
  </si>
  <si>
    <t>2204MN17</t>
  </si>
  <si>
    <t>2204MN18</t>
  </si>
  <si>
    <t>2204MN19</t>
  </si>
  <si>
    <t>2204MN20</t>
  </si>
  <si>
    <t>2204MN21</t>
  </si>
  <si>
    <t>30</t>
    <phoneticPr fontId="14" type="noConversion"/>
  </si>
  <si>
    <t>2204MN22</t>
  </si>
  <si>
    <t>2204MN23</t>
  </si>
  <si>
    <t>2204MN24</t>
  </si>
  <si>
    <t>2204MN25</t>
  </si>
  <si>
    <t>2204MN26</t>
  </si>
  <si>
    <t>2208MN2</t>
  </si>
  <si>
    <t>2208MN3</t>
  </si>
  <si>
    <t>2208MN4</t>
  </si>
  <si>
    <t>2208MN5</t>
  </si>
  <si>
    <t>2208MN6</t>
  </si>
  <si>
    <t>4</t>
    <phoneticPr fontId="14" type="noConversion"/>
  </si>
  <si>
    <t>2208MN7</t>
  </si>
  <si>
    <t>2208MN8</t>
  </si>
  <si>
    <t>2208MN9</t>
  </si>
  <si>
    <t>2208MN10</t>
  </si>
  <si>
    <t>2208MN11</t>
  </si>
  <si>
    <t>2208MN12</t>
  </si>
  <si>
    <t>2208MN13</t>
  </si>
  <si>
    <t>2208MN14</t>
  </si>
  <si>
    <t>2208MN15</t>
  </si>
  <si>
    <t>2208MN17</t>
  </si>
  <si>
    <t>2208MN18</t>
  </si>
  <si>
    <t>2208MN19</t>
  </si>
  <si>
    <t>A_FCVZ1032</t>
    <phoneticPr fontId="14" type="noConversion"/>
  </si>
  <si>
    <t>A_FCVZ1033</t>
  </si>
  <si>
    <t>A_FCVZ1034</t>
  </si>
  <si>
    <t>A_FCVZ1035</t>
  </si>
  <si>
    <t>A_FCVZ1036</t>
  </si>
  <si>
    <t>A_FCVZ1037</t>
  </si>
  <si>
    <t>A_FCVZ1038</t>
  </si>
  <si>
    <t>A_FCVZ1039</t>
  </si>
  <si>
    <t>A_TCVZ1008</t>
  </si>
  <si>
    <t>A_HCVZ1047</t>
  </si>
  <si>
    <t>A_2110MV01</t>
  </si>
  <si>
    <t>A_2110MV02</t>
  </si>
  <si>
    <t>A_2110MV03</t>
  </si>
  <si>
    <t>A_2110MV04</t>
  </si>
  <si>
    <t>A_2110MV05</t>
  </si>
  <si>
    <t>12</t>
    <phoneticPr fontId="14" type="noConversion"/>
  </si>
  <si>
    <t>1.5</t>
    <phoneticPr fontId="14" type="noConversion"/>
  </si>
  <si>
    <t>14</t>
    <phoneticPr fontId="14" type="noConversion"/>
  </si>
  <si>
    <t>A_PCVZ1017</t>
    <phoneticPr fontId="14" type="noConversion"/>
  </si>
  <si>
    <t>A_PCVZ10122</t>
  </si>
  <si>
    <t>A_PCVZ10123</t>
  </si>
  <si>
    <t>A_TCVZ1035</t>
  </si>
  <si>
    <t>A_TVZ10164</t>
  </si>
  <si>
    <t>A_TVZ10168</t>
  </si>
  <si>
    <t>A_XZCVZ10133</t>
  </si>
  <si>
    <t>A_XZCVZ10134</t>
  </si>
  <si>
    <t>A_XCVZ1025</t>
  </si>
  <si>
    <t>A_PCVZ1053</t>
  </si>
  <si>
    <t>A_XCVZ1007</t>
  </si>
  <si>
    <t>A_XCVZ1067</t>
  </si>
  <si>
    <t>A_XCVZ1079</t>
  </si>
  <si>
    <t>A_XCVZ1080</t>
  </si>
  <si>
    <t>A_HCVZ1055A</t>
  </si>
  <si>
    <t>A_HCVZ1055B</t>
    <phoneticPr fontId="14" type="noConversion"/>
  </si>
  <si>
    <t>A_XCVZ1069</t>
  </si>
  <si>
    <t>A_XCVZ1070</t>
  </si>
  <si>
    <t>A_XCVZ1071</t>
  </si>
  <si>
    <t>A_XCVZ1072</t>
  </si>
  <si>
    <t>A_XCVZ1073</t>
  </si>
  <si>
    <t>A_XCVZ1074</t>
  </si>
  <si>
    <t>A_XCVZ1075</t>
  </si>
  <si>
    <t>A_XCVZ1076</t>
  </si>
  <si>
    <t>A_XCVZ1077</t>
  </si>
  <si>
    <t>A_XCVZ1078</t>
  </si>
  <si>
    <t>A_XCVZ1081</t>
  </si>
  <si>
    <t>A_XCVZ1082</t>
  </si>
  <si>
    <t>A_XCVZ1083</t>
  </si>
  <si>
    <t>A_XCVZ1084</t>
  </si>
  <si>
    <t>A_XCVZ1085</t>
  </si>
  <si>
    <t>A_XCVZ1086</t>
  </si>
  <si>
    <t>A_XCVZ1087</t>
  </si>
  <si>
    <t>A_XCVZ1088</t>
  </si>
  <si>
    <t>A_XCVZ1089</t>
  </si>
  <si>
    <t>A_XCVZ1090</t>
  </si>
  <si>
    <t>A_HZ2101APGAB1</t>
  </si>
  <si>
    <t>A_HZ2101APGAB2</t>
  </si>
  <si>
    <t>A_HZ2101APGAB3</t>
  </si>
  <si>
    <t>A_HZ2101APGAB4</t>
  </si>
  <si>
    <t>A_HZ2101APGAB5</t>
  </si>
  <si>
    <t>A_HZ2101APGAB6</t>
  </si>
  <si>
    <t>A_HZ2101APGAB7</t>
  </si>
  <si>
    <t>A_HZ2101APGAB8</t>
  </si>
  <si>
    <t>A_HZ2101APGAB9</t>
  </si>
  <si>
    <t>A_HZ2101APGAB10</t>
  </si>
  <si>
    <t>A_2111MV01</t>
  </si>
  <si>
    <t>A_2111MV02</t>
  </si>
  <si>
    <t>A_2111MV03</t>
  </si>
  <si>
    <t>A_2111MV04</t>
  </si>
  <si>
    <t>A_2111MV05</t>
  </si>
  <si>
    <t>A_2111MV06</t>
  </si>
  <si>
    <t>A_2111MV07</t>
  </si>
  <si>
    <t>A_2111MV08</t>
  </si>
  <si>
    <t>A_2111MV09</t>
  </si>
  <si>
    <t>A_2111MV10</t>
  </si>
  <si>
    <t>2111MN24</t>
    <phoneticPr fontId="14" type="noConversion"/>
  </si>
  <si>
    <t>8</t>
    <phoneticPr fontId="14" type="noConversion"/>
  </si>
  <si>
    <t>4</t>
  </si>
  <si>
    <t>0.75</t>
  </si>
  <si>
    <t>0.75</t>
    <phoneticPr fontId="14" type="noConversion"/>
  </si>
  <si>
    <t>A_FCVZ3013</t>
  </si>
  <si>
    <t>A_FCVZ3014</t>
  </si>
  <si>
    <t>A_FCVZ3015</t>
  </si>
  <si>
    <t>A_FCVZ3016</t>
  </si>
  <si>
    <t>A_FCVZ3017</t>
  </si>
  <si>
    <t>A_FCVZ3018</t>
  </si>
  <si>
    <t>A_FCVZ3019</t>
  </si>
  <si>
    <t>A_FCVZ3020</t>
  </si>
  <si>
    <t>2208MN20</t>
  </si>
  <si>
    <t>A_PCVZ3010A</t>
  </si>
  <si>
    <t>A_PCVZ3010B</t>
    <phoneticPr fontId="14" type="noConversion"/>
  </si>
  <si>
    <t>A_PCVZ3027</t>
  </si>
  <si>
    <t>A_XCVZ3008A</t>
  </si>
  <si>
    <t>A_XCVZ3008B</t>
    <phoneticPr fontId="14" type="noConversion"/>
  </si>
  <si>
    <t>A_XCVZ3023</t>
  </si>
  <si>
    <t>A_PCVZ3065</t>
  </si>
  <si>
    <t>A_2208MV01</t>
  </si>
  <si>
    <t>A_2208MV02</t>
  </si>
  <si>
    <t>A_2208MV03</t>
  </si>
  <si>
    <t>A_2208MV04</t>
  </si>
  <si>
    <t>A_2208MV05</t>
  </si>
  <si>
    <t>A_2208MV06</t>
  </si>
  <si>
    <t>A_2208MV07</t>
  </si>
  <si>
    <t>A_2208MV08</t>
  </si>
  <si>
    <t>A_2208MV09</t>
  </si>
  <si>
    <t>A_HZ2201FGB1</t>
  </si>
  <si>
    <t>A_HZ2201FGB2</t>
  </si>
  <si>
    <t>A_HZ2201FGB3</t>
  </si>
  <si>
    <t>A_HZ2201FGB4</t>
  </si>
  <si>
    <t>A_HZ2201FGB5</t>
  </si>
  <si>
    <t>A_HZ2201FGB6</t>
  </si>
  <si>
    <t>A_HZ2201FGB7</t>
  </si>
  <si>
    <t>A_HZ2201FGB8</t>
  </si>
  <si>
    <t>A_HZ2201FGB9</t>
  </si>
  <si>
    <t>A_HZ2201FGB10</t>
  </si>
  <si>
    <t>A_HZ2201FGB11</t>
  </si>
  <si>
    <t>A_HZ2201FGB12</t>
  </si>
  <si>
    <t>A_HZ2201FGB13</t>
  </si>
  <si>
    <t>A_HZ2201FGB14</t>
  </si>
  <si>
    <t>A_HZ2201FGB15</t>
  </si>
  <si>
    <t>A_HZ2201FGB16</t>
  </si>
  <si>
    <t>A_XCVZ3029</t>
  </si>
  <si>
    <t>A_XCVZ3030</t>
  </si>
  <si>
    <t>A_XCVZ3031</t>
  </si>
  <si>
    <t>A_XCVZ3032</t>
  </si>
  <si>
    <t>A_XCVZ3033</t>
  </si>
  <si>
    <t>A_XCVZ3034</t>
  </si>
  <si>
    <t>A_XCVZ3035</t>
  </si>
  <si>
    <t>A_XCVZ3036</t>
  </si>
  <si>
    <t>A_XCVZ3037</t>
  </si>
  <si>
    <t>A_XCVZ3038</t>
  </si>
  <si>
    <t>A_XCVZ3039</t>
  </si>
  <si>
    <t>A_XCVZ3040</t>
  </si>
  <si>
    <t>A_XCVZ3041</t>
  </si>
  <si>
    <t>A_XCVZ3042</t>
  </si>
  <si>
    <t>A_XCVZ3043</t>
  </si>
  <si>
    <t>A_XCVZ3044</t>
  </si>
  <si>
    <t>A_HZ2201PGAB1</t>
  </si>
  <si>
    <t>A_HZ2201PGAB2</t>
  </si>
  <si>
    <t>A_HZ2201PGAB3</t>
  </si>
  <si>
    <t>A_HZ2201PGAB4</t>
  </si>
  <si>
    <t>A_HZ2201PGAB5</t>
  </si>
  <si>
    <t>A_HZ2201PGAB6</t>
  </si>
  <si>
    <t>A_HZ2201PGAB7</t>
  </si>
  <si>
    <t>A_HZ2201PGAB8</t>
  </si>
  <si>
    <t>A_HZ2201PGAB9</t>
  </si>
  <si>
    <t>A_HZ2201PGAB10</t>
  </si>
  <si>
    <t>A_HZ2201PGAB11</t>
  </si>
  <si>
    <t>A_HZ2201PGAB12</t>
  </si>
  <si>
    <t>A_HZ2201PGAB13</t>
  </si>
  <si>
    <t>A_HZ2201PGAB14</t>
  </si>
  <si>
    <t>A_HZ2201PGAB15</t>
  </si>
  <si>
    <t>A_HZ2201PGAB16</t>
  </si>
  <si>
    <t>A_XCVZ3046</t>
  </si>
  <si>
    <t>A_XCVZ3028</t>
  </si>
  <si>
    <t>A_HZ2201FGB17</t>
    <phoneticPr fontId="14" type="noConversion"/>
  </si>
  <si>
    <t>A_XCVZ3045</t>
    <phoneticPr fontId="14" type="noConversion"/>
  </si>
  <si>
    <t>A_HZ2201PGAB17</t>
    <phoneticPr fontId="14" type="noConversion"/>
  </si>
  <si>
    <t>6</t>
    <phoneticPr fontId="14" type="noConversion"/>
  </si>
  <si>
    <t>2</t>
  </si>
  <si>
    <t>2</t>
    <phoneticPr fontId="14" type="noConversion"/>
  </si>
  <si>
    <t>FCVZ1033</t>
  </si>
  <si>
    <t>FCVZ1034</t>
  </si>
  <si>
    <t>FCVZ1035</t>
  </si>
  <si>
    <t>FCVZ1036</t>
  </si>
  <si>
    <t>FCVZ1037</t>
  </si>
  <si>
    <t>FCVZ1038</t>
  </si>
  <si>
    <t>FCVZ1039</t>
  </si>
  <si>
    <t>HCVZ1047</t>
  </si>
  <si>
    <t>PCVZ1017</t>
  </si>
  <si>
    <t>PCVZ10122</t>
  </si>
  <si>
    <t>PCVZ10123</t>
  </si>
  <si>
    <t>TCVZ1035</t>
  </si>
  <si>
    <t>TVZ10164</t>
  </si>
  <si>
    <t>TVZ10168</t>
  </si>
  <si>
    <t>XZCVZ10133</t>
  </si>
  <si>
    <t>XZCVZ10134</t>
  </si>
  <si>
    <t>XCVZ1025</t>
  </si>
  <si>
    <t>XCVZ1007</t>
  </si>
  <si>
    <t>FCVZ3013</t>
  </si>
  <si>
    <t>FCVZ3014</t>
  </si>
  <si>
    <t>FCVZ3015</t>
  </si>
  <si>
    <t>FCVZ3016</t>
  </si>
  <si>
    <t>FCVZ3017</t>
  </si>
  <si>
    <t>FCVZ3018</t>
  </si>
  <si>
    <t>FCVZ3019</t>
  </si>
  <si>
    <t>FCVZ3020</t>
  </si>
  <si>
    <t>PCVZ3010A</t>
  </si>
  <si>
    <t>PCVZ3010B</t>
  </si>
  <si>
    <t>PCVZ3027</t>
  </si>
  <si>
    <t>XCVZ3008A</t>
  </si>
  <si>
    <t>XCVZ3008B</t>
  </si>
  <si>
    <t>XCVZ3023</t>
  </si>
  <si>
    <t>PCVZ3065</t>
  </si>
  <si>
    <t>XCVZ3028</t>
  </si>
  <si>
    <t>EQ%?</t>
    <phoneticPr fontId="14" type="noConversion"/>
  </si>
  <si>
    <t>EQ%/CV?</t>
    <phoneticPr fontId="14" type="noConversion"/>
  </si>
  <si>
    <t>A_PCVZ3068</t>
    <phoneticPr fontId="14" type="noConversion"/>
  </si>
  <si>
    <t>PCVZ3068</t>
    <phoneticPr fontId="14" type="noConversion"/>
  </si>
  <si>
    <t>T_FICAZ1032</t>
  </si>
  <si>
    <t>T_FICAZ1033</t>
  </si>
  <si>
    <t>T_FICAZ1034</t>
  </si>
  <si>
    <t>T_FICAZ1035</t>
  </si>
  <si>
    <t>T_FICAZ1036</t>
  </si>
  <si>
    <t>T_FICAZ1037</t>
  </si>
  <si>
    <t>T_FICAZ1038</t>
  </si>
  <si>
    <t>T_FICAZ1039</t>
  </si>
  <si>
    <t>T_TICZ1008</t>
  </si>
  <si>
    <t>T_TICZ1013</t>
  </si>
  <si>
    <t>T_FIZ1032</t>
  </si>
  <si>
    <t>T_FIZ1033</t>
  </si>
  <si>
    <t>T_FIZ1034</t>
  </si>
  <si>
    <t>T_FIZ1035</t>
  </si>
  <si>
    <t>T_FIZ1036</t>
  </si>
  <si>
    <t>T_FIZ1037</t>
  </si>
  <si>
    <t>T_FIZ1038</t>
  </si>
  <si>
    <t>CDU4_PIDA (PID_controllers).xlsx</t>
    <phoneticPr fontId="14" type="noConversion"/>
  </si>
  <si>
    <t>T_PIZ10101</t>
  </si>
  <si>
    <t>T_PIZ10102</t>
  </si>
  <si>
    <t>T_PIZ10103</t>
  </si>
  <si>
    <t>T_PIZ10104</t>
  </si>
  <si>
    <t>T_PIZ10105</t>
  </si>
  <si>
    <t>T_PIZ10106</t>
  </si>
  <si>
    <t>T_PIZ10107</t>
  </si>
  <si>
    <t>T_PIZ10108</t>
  </si>
  <si>
    <t>FIZ1039</t>
    <phoneticPr fontId="14" type="noConversion"/>
  </si>
  <si>
    <t>T_TIZ10107</t>
  </si>
  <si>
    <t>T_TIZ10108</t>
  </si>
  <si>
    <t>T_TIZ1040</t>
  </si>
  <si>
    <t>T_TIZ1041</t>
  </si>
  <si>
    <t>T_TIZ1042</t>
  </si>
  <si>
    <t>T_TIZ1043</t>
  </si>
  <si>
    <t>T_TIZ1044</t>
  </si>
  <si>
    <t>T_TIZ1045</t>
  </si>
  <si>
    <t>T_TIZ1046</t>
  </si>
  <si>
    <t>T_TIZ1047</t>
  </si>
  <si>
    <t>T_TIAZ1015</t>
  </si>
  <si>
    <t>T_TIZ1022</t>
  </si>
  <si>
    <t>T_TIAZ1016</t>
  </si>
  <si>
    <t>T_TIZ1023</t>
  </si>
  <si>
    <t>T_TIZ10109</t>
  </si>
  <si>
    <t>T_TIZ10110</t>
  </si>
  <si>
    <t>T_TIAZ1017</t>
  </si>
  <si>
    <t>T_TIZ1024</t>
  </si>
  <si>
    <t>T_TIZ10118</t>
  </si>
  <si>
    <t>T_TIAZ1018</t>
  </si>
  <si>
    <t>T_TIZ1025</t>
  </si>
  <si>
    <t>T_TIAZ1019</t>
  </si>
  <si>
    <t>T_TIZ1026</t>
  </si>
  <si>
    <t>T_TIAZ1020</t>
  </si>
  <si>
    <t>T_TIZ1027</t>
  </si>
  <si>
    <t>T_TIAZ1021</t>
  </si>
  <si>
    <t>T_TIZ1028</t>
  </si>
  <si>
    <t>T_TIZ10111</t>
  </si>
  <si>
    <t>T_TIZ10112</t>
  </si>
  <si>
    <t>T_TIAZ1022</t>
  </si>
  <si>
    <t>T_TIZ1029</t>
  </si>
  <si>
    <t>T_TIZ10119</t>
  </si>
  <si>
    <t>T_TIZ1049</t>
  </si>
  <si>
    <t>T_TIZ1048</t>
  </si>
  <si>
    <t>FIAZ1031</t>
    <phoneticPr fontId="14" type="noConversion"/>
  </si>
  <si>
    <t>TIZ10195</t>
    <phoneticPr fontId="14" type="noConversion"/>
  </si>
  <si>
    <t>TIZ10196</t>
    <phoneticPr fontId="14" type="noConversion"/>
  </si>
  <si>
    <t>TIZ10201</t>
    <phoneticPr fontId="14" type="noConversion"/>
  </si>
  <si>
    <t>T_TIZ10190</t>
  </si>
  <si>
    <t>T_TIZ10191</t>
  </si>
  <si>
    <t>T_TIZ10178</t>
  </si>
  <si>
    <t>T_TIZ10179</t>
  </si>
  <si>
    <t>T_TIZ10192</t>
  </si>
  <si>
    <t>T_TIZ10193</t>
  </si>
  <si>
    <t>T_TIZ10180</t>
  </si>
  <si>
    <t>T_TIZ10181</t>
  </si>
  <si>
    <t>T_TIZ10195</t>
  </si>
  <si>
    <t>T_TIZ10182</t>
  </si>
  <si>
    <t>T_TIZ10183</t>
  </si>
  <si>
    <t>T_TIZ10196</t>
  </si>
  <si>
    <t>T_TIZ10184</t>
  </si>
  <si>
    <t>T_TIZ10185</t>
  </si>
  <si>
    <t>T_TIZ10197</t>
  </si>
  <si>
    <t>T_TIZ10186</t>
  </si>
  <si>
    <t>T_TIZ10187</t>
  </si>
  <si>
    <t>T_TIZ10198</t>
  </si>
  <si>
    <t>T_TIZ10199</t>
  </si>
  <si>
    <t>T_TIZ10188</t>
  </si>
  <si>
    <t>T_TIZ10189</t>
  </si>
  <si>
    <t>T_TIZ10200</t>
  </si>
  <si>
    <t>T_TIZ10201</t>
  </si>
  <si>
    <t>T_PICZ1017</t>
  </si>
  <si>
    <t>T_PCCZ10122</t>
  </si>
  <si>
    <t>T_PCCZ10123</t>
  </si>
  <si>
    <t>T_PICZ1053</t>
  </si>
  <si>
    <t>T_ACZ1008</t>
  </si>
  <si>
    <t>T_TICZ1035</t>
  </si>
  <si>
    <t>T_TICZ10164</t>
  </si>
  <si>
    <t>T_TICZ10168</t>
  </si>
  <si>
    <t>T_FIZ1059</t>
  </si>
  <si>
    <t>T_FIZ1050A</t>
  </si>
  <si>
    <t>T_FICZ1072</t>
  </si>
  <si>
    <t>T_FIZ1050B</t>
  </si>
  <si>
    <t>FIZ1050A</t>
    <phoneticPr fontId="14" type="noConversion"/>
  </si>
  <si>
    <t>T_TIZ1109</t>
  </si>
  <si>
    <t>T_TIZ10165</t>
  </si>
  <si>
    <t>T_TIZ10169</t>
  </si>
  <si>
    <t>T_TAHZ1080</t>
  </si>
  <si>
    <t>T_TIZ1113</t>
  </si>
  <si>
    <t>T_TIZ1114</t>
  </si>
  <si>
    <t>T_TIZ1030</t>
  </si>
  <si>
    <t>T_TIZ10166</t>
  </si>
  <si>
    <t>T_TIZ10170</t>
  </si>
  <si>
    <t>T_TIZ10167</t>
  </si>
  <si>
    <t>T_TIZ10171</t>
  </si>
  <si>
    <t>T_TIZ1110</t>
  </si>
  <si>
    <t>T_PIZ1025A</t>
  </si>
  <si>
    <t>T_PIZ1025B</t>
  </si>
  <si>
    <t>T_PIZ10179</t>
  </si>
  <si>
    <t>T_PIZ10183</t>
  </si>
  <si>
    <t>T_TIZ10113</t>
  </si>
  <si>
    <t>T_TIZ10114</t>
  </si>
  <si>
    <t>T_TIZ10115</t>
  </si>
  <si>
    <t>T_TIZ10116</t>
  </si>
  <si>
    <t>T_TIZ10117</t>
  </si>
  <si>
    <t>T_PIZ1025</t>
  </si>
  <si>
    <t>T_PIZ10181</t>
  </si>
  <si>
    <t>T_PIZ10185</t>
  </si>
  <si>
    <t>T_PIZ10182</t>
  </si>
  <si>
    <t>T_PIZ10186</t>
  </si>
  <si>
    <t>T_AIZ1018A</t>
  </si>
  <si>
    <t>T_AIZ1019A</t>
  </si>
  <si>
    <t>T_AIZ1020A</t>
  </si>
  <si>
    <t>T_AIZ1021A</t>
  </si>
  <si>
    <t>T_AIZ1022A</t>
  </si>
  <si>
    <t>T_AIAZ1007</t>
  </si>
  <si>
    <t>T_AIZ1026</t>
  </si>
  <si>
    <t>T_AIZ1027</t>
  </si>
  <si>
    <t>T_AIZ1009</t>
  </si>
  <si>
    <t>T_AIZ1018B</t>
  </si>
  <si>
    <t>T_AIZ1019B</t>
  </si>
  <si>
    <t>T_AIZ1020B</t>
  </si>
  <si>
    <t>T_AIZ1021B</t>
  </si>
  <si>
    <t>T_AIZ1022B</t>
  </si>
  <si>
    <t>PIZ10180</t>
    <phoneticPr fontId="14" type="noConversion"/>
  </si>
  <si>
    <t>PIZ10184</t>
    <phoneticPr fontId="14" type="noConversion"/>
  </si>
  <si>
    <t>T_PIZ10109</t>
  </si>
  <si>
    <t>PIZ10109</t>
    <phoneticPr fontId="14" type="noConversion"/>
  </si>
  <si>
    <t>HZ2101 PILOTE</t>
    <phoneticPr fontId="14" type="noConversion"/>
  </si>
  <si>
    <t>HZ2101 INSTRUMENT AIR</t>
    <phoneticPr fontId="14" type="noConversion"/>
  </si>
  <si>
    <t>HZ2101 PILOTE FILTER</t>
    <phoneticPr fontId="14" type="noConversion"/>
  </si>
  <si>
    <t>HZ2101 MAIN FG FILTER</t>
    <phoneticPr fontId="14" type="noConversion"/>
  </si>
  <si>
    <t>HZ2101 INSTRUMENT AIR FILTER</t>
    <phoneticPr fontId="14" type="noConversion"/>
  </si>
  <si>
    <t>PIAZ10127</t>
    <phoneticPr fontId="14" type="noConversion"/>
  </si>
  <si>
    <t>T_FICAZ3013</t>
  </si>
  <si>
    <t>T_FICAZ3014</t>
  </si>
  <si>
    <t>T_FICAZ3015</t>
  </si>
  <si>
    <t>T_FICAZ3016</t>
  </si>
  <si>
    <t>T_FICAZ3017</t>
  </si>
  <si>
    <t>T_FICAZ3018</t>
  </si>
  <si>
    <t>T_FICAZ3019</t>
  </si>
  <si>
    <t>T_FICAZ3020</t>
  </si>
  <si>
    <t>T_TICZ3005</t>
  </si>
  <si>
    <t>T_TIZ3018</t>
  </si>
  <si>
    <t>T_TIZ3019</t>
  </si>
  <si>
    <t>T_TIZ3020</t>
  </si>
  <si>
    <t>T_TIZ3021</t>
  </si>
  <si>
    <t>T_TIZ3022</t>
  </si>
  <si>
    <t>T_TIZ3023</t>
  </si>
  <si>
    <t>T_TIZ3024</t>
  </si>
  <si>
    <t>CDU4_AIN (Transmitters).xlsx</t>
    <phoneticPr fontId="14" type="noConversion"/>
  </si>
  <si>
    <t>T_TIAZ3036</t>
  </si>
  <si>
    <t>T_TIAZ3037</t>
  </si>
  <si>
    <t>T_TIAZ3038</t>
  </si>
  <si>
    <t>T_TIAZ3039</t>
  </si>
  <si>
    <t>T_TIAZ3040</t>
  </si>
  <si>
    <t>T_TIAZ3041</t>
  </si>
  <si>
    <t>T_TIAZ3042</t>
  </si>
  <si>
    <t>T_TIAZ3043</t>
  </si>
  <si>
    <t>T_TIZ3025</t>
  </si>
  <si>
    <t>T_PICZ3010</t>
  </si>
  <si>
    <t>T_PCCZ3027</t>
  </si>
  <si>
    <t>T_PCCZ3065</t>
  </si>
  <si>
    <t>T_PCCZ3068</t>
  </si>
  <si>
    <t>T_FITZ3012</t>
  </si>
  <si>
    <t>T_TIZ3027</t>
  </si>
  <si>
    <t>T_TIZ3026</t>
  </si>
  <si>
    <t>T_PIAZ3072</t>
  </si>
  <si>
    <t>T_PIAZ3066</t>
  </si>
  <si>
    <t>T_PIAZ3069</t>
  </si>
  <si>
    <t>T_PTZ3083A</t>
  </si>
  <si>
    <t>T_PTZ3083B</t>
  </si>
  <si>
    <t>T_AIZ3007</t>
  </si>
  <si>
    <t>T_PDIZ1155</t>
  </si>
  <si>
    <t>T_PDIZ3071</t>
  </si>
  <si>
    <t>T_PDIZ3073</t>
  </si>
  <si>
    <t>T_PICZ3025</t>
  </si>
  <si>
    <t>HZ2201 PILOTE FILTER</t>
    <phoneticPr fontId="14" type="noConversion"/>
  </si>
  <si>
    <t>HZ2201 MAIN FG FILTER</t>
    <phoneticPr fontId="14" type="noConversion"/>
  </si>
  <si>
    <t>HZ2201 INSTRUMENT AIR FILTER</t>
    <phoneticPr fontId="14" type="noConversion"/>
  </si>
  <si>
    <t>HZ2201 MAIN FG</t>
    <phoneticPr fontId="14" type="noConversion"/>
  </si>
  <si>
    <t>HZ2201 PILOTE</t>
    <phoneticPr fontId="14" type="noConversion"/>
  </si>
  <si>
    <t>HZ2201 INSTRUMENT AIR</t>
    <phoneticPr fontId="14" type="noConversion"/>
  </si>
  <si>
    <t>FICAZ3013</t>
    <phoneticPr fontId="14" type="noConversion"/>
  </si>
  <si>
    <t>C2124A</t>
    <phoneticPr fontId="14" type="noConversion"/>
  </si>
  <si>
    <t>C2124B</t>
    <phoneticPr fontId="14" type="noConversion"/>
  </si>
  <si>
    <t>C2125A</t>
    <phoneticPr fontId="14" type="noConversion"/>
  </si>
  <si>
    <t>C2125B</t>
    <phoneticPr fontId="14" type="noConversion"/>
  </si>
  <si>
    <t>FD FAN for HZ2101</t>
    <phoneticPr fontId="14" type="noConversion"/>
  </si>
  <si>
    <t>ID FAN for HZ2101</t>
    <phoneticPr fontId="14" type="noConversion"/>
  </si>
  <si>
    <t>AIZ1008A</t>
    <phoneticPr fontId="14" type="noConversion"/>
  </si>
  <si>
    <t>AIZ1008B</t>
    <phoneticPr fontId="14" type="noConversion"/>
  </si>
  <si>
    <t>DP_HZ2101</t>
  </si>
  <si>
    <t>2110MN30</t>
    <phoneticPr fontId="14" type="noConversion"/>
  </si>
  <si>
    <t>FIZ1061</t>
    <phoneticPr fontId="14" type="noConversion"/>
  </si>
  <si>
    <t>PIZ10125A</t>
    <phoneticPr fontId="14" type="noConversion"/>
  </si>
  <si>
    <t>PIZ10125B</t>
    <phoneticPr fontId="14" type="noConversion"/>
  </si>
  <si>
    <t>2204MN27</t>
    <phoneticPr fontId="14" type="noConversion"/>
  </si>
  <si>
    <t>OVERVIEW.2202B</t>
  </si>
  <si>
    <t>BLO1004_SRBN_to_500</t>
  </si>
  <si>
    <t>BLO1004_SRG_to_tk</t>
  </si>
  <si>
    <t>2202BMN1</t>
    <phoneticPr fontId="14" type="noConversion"/>
  </si>
  <si>
    <t>2202BMN2</t>
  </si>
  <si>
    <t>2202BMN3</t>
  </si>
  <si>
    <t>2202BMN4</t>
  </si>
  <si>
    <t>2202BMN5</t>
  </si>
  <si>
    <t>2202BMN6</t>
  </si>
  <si>
    <t>2202BMN7</t>
  </si>
  <si>
    <t>2202BMN8</t>
  </si>
  <si>
    <t>2202BMN9</t>
  </si>
  <si>
    <t>2202BMN10</t>
  </si>
  <si>
    <t>2202BMN11</t>
  </si>
  <si>
    <t>2202BMN12</t>
  </si>
  <si>
    <t>2202BMN13</t>
  </si>
  <si>
    <t>2202BMN14</t>
  </si>
  <si>
    <t>2202BMN15</t>
  </si>
  <si>
    <t>2202BMN16</t>
  </si>
  <si>
    <t>2202BMN17</t>
  </si>
  <si>
    <t>2202BMN18</t>
  </si>
  <si>
    <t>2202BMN19</t>
  </si>
  <si>
    <t>2202BMN20</t>
  </si>
  <si>
    <t>2202BMN21</t>
  </si>
  <si>
    <t>8</t>
    <phoneticPr fontId="14" type="noConversion"/>
  </si>
  <si>
    <t>2203MN1</t>
    <phoneticPr fontId="14" type="noConversion"/>
  </si>
  <si>
    <t>2203MN2</t>
  </si>
  <si>
    <t>2203MN3</t>
  </si>
  <si>
    <t>2203MN4</t>
  </si>
  <si>
    <t>2203MN6</t>
  </si>
  <si>
    <t>2203MN7</t>
  </si>
  <si>
    <t>2203MN8</t>
  </si>
  <si>
    <t>2203MN9</t>
  </si>
  <si>
    <t>2203MN10</t>
  </si>
  <si>
    <t>2203MN11</t>
  </si>
  <si>
    <t>2203MN12</t>
  </si>
  <si>
    <t>2203MN13</t>
  </si>
  <si>
    <t>2203MN14</t>
  </si>
  <si>
    <t>2203MN15</t>
    <phoneticPr fontId="14" type="noConversion"/>
  </si>
  <si>
    <t>16</t>
    <phoneticPr fontId="14" type="noConversion"/>
  </si>
  <si>
    <t>RVZ3004B</t>
    <phoneticPr fontId="14" type="noConversion"/>
  </si>
  <si>
    <t>RVZ3004C</t>
    <phoneticPr fontId="14" type="noConversion"/>
  </si>
  <si>
    <t>RVZ3004D</t>
    <phoneticPr fontId="14" type="noConversion"/>
  </si>
  <si>
    <t>RVZ3004E</t>
    <phoneticPr fontId="14" type="noConversion"/>
  </si>
  <si>
    <t>RVZ3004F</t>
    <phoneticPr fontId="14" type="noConversion"/>
  </si>
  <si>
    <t>RVZ3004G</t>
    <phoneticPr fontId="14" type="noConversion"/>
  </si>
  <si>
    <t>RVZ3004H</t>
    <phoneticPr fontId="14" type="noConversion"/>
  </si>
  <si>
    <t>RVZ3004J</t>
    <phoneticPr fontId="14" type="noConversion"/>
  </si>
  <si>
    <t>RVZ3004S</t>
    <phoneticPr fontId="14" type="noConversion"/>
  </si>
  <si>
    <t>RVZ3005AB</t>
    <phoneticPr fontId="14" type="noConversion"/>
  </si>
  <si>
    <t>A_FCVZ3006</t>
  </si>
  <si>
    <t>A_FCVZ3007</t>
  </si>
  <si>
    <t>A_TCVZ3006A</t>
  </si>
  <si>
    <t>A_TCVZ3006B</t>
    <phoneticPr fontId="14" type="noConversion"/>
  </si>
  <si>
    <t>A_TCVZ3049</t>
  </si>
  <si>
    <t>A_XCVZ3003</t>
  </si>
  <si>
    <t>A_2202BMV05</t>
  </si>
  <si>
    <t>A_2202BMV06</t>
  </si>
  <si>
    <t>A_2202BMV07</t>
  </si>
  <si>
    <t>A_2202BMV08</t>
  </si>
  <si>
    <t>A_2202BMV09</t>
  </si>
  <si>
    <t>A_2202BMV10</t>
  </si>
  <si>
    <t>A_2202BMV11</t>
  </si>
  <si>
    <t>A_2202BMV12</t>
  </si>
  <si>
    <t>A_2202BMV13</t>
  </si>
  <si>
    <t>A_2202BMV14</t>
  </si>
  <si>
    <t>A_2202BMV15</t>
  </si>
  <si>
    <t>A_2202BMV16</t>
  </si>
  <si>
    <t>A_FCVZ3010</t>
  </si>
  <si>
    <t>A_SCZ2206</t>
  </si>
  <si>
    <t>A_SCZ2207</t>
  </si>
  <si>
    <t>A_HCVZ3004</t>
  </si>
  <si>
    <t>A_MVD_PZ2204A</t>
  </si>
  <si>
    <t>A_MVD_PZ2205A</t>
  </si>
  <si>
    <t>A_MVD_PZ2204B</t>
    <phoneticPr fontId="14" type="noConversion"/>
  </si>
  <si>
    <t>A_MVD_PZ2204C</t>
    <phoneticPr fontId="14" type="noConversion"/>
  </si>
  <si>
    <t>A_MVD_PZ2206A</t>
    <phoneticPr fontId="14" type="noConversion"/>
  </si>
  <si>
    <t>A_MVD_PZ2206B</t>
    <phoneticPr fontId="14" type="noConversion"/>
  </si>
  <si>
    <t>A_MVD_PZ2207</t>
    <phoneticPr fontId="14" type="noConversion"/>
  </si>
  <si>
    <t>A_2203MV02</t>
  </si>
  <si>
    <t>A_2203MV03</t>
  </si>
  <si>
    <t>A_2203MV04</t>
  </si>
  <si>
    <t>A_2203MV01</t>
    <phoneticPr fontId="14" type="noConversion"/>
  </si>
  <si>
    <t>A_1004MV10</t>
  </si>
  <si>
    <t>A_1004MV11</t>
  </si>
  <si>
    <t>A_MVD_PZ2203A</t>
  </si>
  <si>
    <t>A_MVD_PZ2203B</t>
    <phoneticPr fontId="14" type="noConversion"/>
  </si>
  <si>
    <t>A_MVD_PZ2205B</t>
    <phoneticPr fontId="14" type="noConversion"/>
  </si>
  <si>
    <t>A_1004MV04</t>
  </si>
  <si>
    <t>A_1004MV05</t>
  </si>
  <si>
    <t>A_FCVZ3008</t>
    <phoneticPr fontId="14" type="noConversion"/>
  </si>
  <si>
    <t>A_PCVZ3014</t>
  </si>
  <si>
    <t>A_1004MV18</t>
    <phoneticPr fontId="14" type="noConversion"/>
  </si>
  <si>
    <t>6</t>
    <phoneticPr fontId="14" type="noConversion"/>
  </si>
  <si>
    <t>10</t>
    <phoneticPr fontId="14" type="noConversion"/>
  </si>
  <si>
    <t>2</t>
    <phoneticPr fontId="14" type="noConversion"/>
  </si>
  <si>
    <t>20</t>
    <phoneticPr fontId="14" type="noConversion"/>
  </si>
  <si>
    <t>3</t>
    <phoneticPr fontId="14" type="noConversion"/>
  </si>
  <si>
    <t>4</t>
    <phoneticPr fontId="14" type="noConversion"/>
  </si>
  <si>
    <t>12</t>
    <phoneticPr fontId="14" type="noConversion"/>
  </si>
  <si>
    <t>FCVZ3006</t>
  </si>
  <si>
    <t>FCVZ3007</t>
  </si>
  <si>
    <t>FCVZ3008</t>
  </si>
  <si>
    <t>TCVZ3006A</t>
  </si>
  <si>
    <t>TCVZ3006B</t>
  </si>
  <si>
    <t>TCVZ3049</t>
  </si>
  <si>
    <t>PCVZ3014</t>
  </si>
  <si>
    <t>XCVZ3003</t>
  </si>
  <si>
    <t>FCVZ3010</t>
  </si>
  <si>
    <t>HCVZ3004</t>
  </si>
  <si>
    <t>PZ2204A</t>
    <phoneticPr fontId="14" type="noConversion"/>
  </si>
  <si>
    <t>M_PZ2204B</t>
    <phoneticPr fontId="14" type="noConversion"/>
  </si>
  <si>
    <t>M_PZ2205A</t>
    <phoneticPr fontId="14" type="noConversion"/>
  </si>
  <si>
    <t>M_PZ2206A</t>
    <phoneticPr fontId="14" type="noConversion"/>
  </si>
  <si>
    <t>M_PZ2206B</t>
    <phoneticPr fontId="14" type="noConversion"/>
  </si>
  <si>
    <t>M_PZ2207</t>
    <phoneticPr fontId="14" type="noConversion"/>
  </si>
  <si>
    <t>M_PZ2203A</t>
  </si>
  <si>
    <t>M_PZ2203B</t>
    <phoneticPr fontId="14" type="noConversion"/>
  </si>
  <si>
    <t>M_PZ2205B</t>
    <phoneticPr fontId="14" type="noConversion"/>
  </si>
  <si>
    <t>M_EZ2206B</t>
    <phoneticPr fontId="14" type="noConversion"/>
  </si>
  <si>
    <t>M_EZ2206C</t>
    <phoneticPr fontId="14" type="noConversion"/>
  </si>
  <si>
    <t>M_EZ2206D</t>
    <phoneticPr fontId="14" type="noConversion"/>
  </si>
  <si>
    <t>M_EZ2206E</t>
    <phoneticPr fontId="14" type="noConversion"/>
  </si>
  <si>
    <t>M_EZ2206F</t>
    <phoneticPr fontId="14" type="noConversion"/>
  </si>
  <si>
    <t>M_EZ2206G</t>
    <phoneticPr fontId="14" type="noConversion"/>
  </si>
  <si>
    <t>M_EZ2206H</t>
    <phoneticPr fontId="14" type="noConversion"/>
  </si>
  <si>
    <t>M_EZ2206I</t>
    <phoneticPr fontId="14" type="noConversion"/>
  </si>
  <si>
    <t>M_EZ2206J</t>
    <phoneticPr fontId="14" type="noConversion"/>
  </si>
  <si>
    <t>M_EZ2206K</t>
    <phoneticPr fontId="14" type="noConversion"/>
  </si>
  <si>
    <t>M_EZ2206M</t>
    <phoneticPr fontId="14" type="noConversion"/>
  </si>
  <si>
    <t>M_EZ2206N</t>
    <phoneticPr fontId="14" type="noConversion"/>
  </si>
  <si>
    <t>M_EZ2206O</t>
    <phoneticPr fontId="14" type="noConversion"/>
  </si>
  <si>
    <t>M_EZ2206P</t>
    <phoneticPr fontId="14" type="noConversion"/>
  </si>
  <si>
    <t>M_EZ2206Q</t>
    <phoneticPr fontId="14" type="noConversion"/>
  </si>
  <si>
    <t>M_EZ2206R</t>
    <phoneticPr fontId="14" type="noConversion"/>
  </si>
  <si>
    <t>M_EZ2206S</t>
    <phoneticPr fontId="14" type="noConversion"/>
  </si>
  <si>
    <t>M_EZ2206T</t>
    <phoneticPr fontId="14" type="noConversion"/>
  </si>
  <si>
    <t>M_EZ2206L</t>
    <phoneticPr fontId="14" type="noConversion"/>
  </si>
  <si>
    <t>EZ2206A_T</t>
  </si>
  <si>
    <t>EZ2206A_T</t>
    <phoneticPr fontId="14" type="noConversion"/>
  </si>
  <si>
    <t>M_EZ2206A</t>
    <phoneticPr fontId="14" type="noConversion"/>
  </si>
  <si>
    <t>M_PZ2204A</t>
    <phoneticPr fontId="14" type="noConversion"/>
  </si>
  <si>
    <t>CZ2124A-B-Win.pdf</t>
    <phoneticPr fontId="14" type="noConversion"/>
  </si>
  <si>
    <t>CZ2125A-B-Win.pdf</t>
    <phoneticPr fontId="14" type="noConversion"/>
  </si>
  <si>
    <t>PZ2204B</t>
    <phoneticPr fontId="14" type="noConversion"/>
  </si>
  <si>
    <t>PZ2204C</t>
    <phoneticPr fontId="14" type="noConversion"/>
  </si>
  <si>
    <t>PZ2206A</t>
    <phoneticPr fontId="14" type="noConversion"/>
  </si>
  <si>
    <t>PZ2206B</t>
    <phoneticPr fontId="14" type="noConversion"/>
  </si>
  <si>
    <t>PZ2207</t>
    <phoneticPr fontId="14" type="noConversion"/>
  </si>
  <si>
    <t>PZ2203A</t>
    <phoneticPr fontId="14" type="noConversion"/>
  </si>
  <si>
    <t>PZ2203B</t>
    <phoneticPr fontId="14" type="noConversion"/>
  </si>
  <si>
    <t>PZ2205A</t>
    <phoneticPr fontId="14" type="noConversion"/>
  </si>
  <si>
    <t>PZ2205B</t>
    <phoneticPr fontId="14" type="noConversion"/>
  </si>
  <si>
    <t>NominalMaximumHead</t>
    <phoneticPr fontId="14" type="noConversion"/>
  </si>
  <si>
    <t>Head with 0 Flow</t>
    <phoneticPr fontId="14" type="noConversion"/>
  </si>
  <si>
    <t>Pump Speed</t>
    <phoneticPr fontId="14" type="noConversion"/>
  </si>
  <si>
    <t>Efficiency</t>
    <phoneticPr fontId="14" type="noConversion"/>
  </si>
  <si>
    <t>Tag_Motor</t>
    <phoneticPr fontId="14" type="noConversion"/>
  </si>
  <si>
    <t>Ref.</t>
    <phoneticPr fontId="14" type="noConversion"/>
  </si>
  <si>
    <t>EZ2206AJ</t>
    <phoneticPr fontId="14" type="noConversion"/>
  </si>
  <si>
    <t>EZ2206KT</t>
    <phoneticPr fontId="14" type="noConversion"/>
  </si>
  <si>
    <t>EZ2206A_T</t>
    <phoneticPr fontId="14" type="noConversion"/>
  </si>
  <si>
    <t>M_EZ2208A</t>
    <phoneticPr fontId="14" type="noConversion"/>
  </si>
  <si>
    <t>M_EZ2208C</t>
    <phoneticPr fontId="14" type="noConversion"/>
  </si>
  <si>
    <t>M_EZ2208D</t>
    <phoneticPr fontId="14" type="noConversion"/>
  </si>
  <si>
    <t>M_EZ2208B</t>
    <phoneticPr fontId="14" type="noConversion"/>
  </si>
  <si>
    <t>EZ2208A_D</t>
    <phoneticPr fontId="14" type="noConversion"/>
  </si>
  <si>
    <t>Stabilizer Reboiler</t>
  </si>
  <si>
    <t>Benzine Reboiler</t>
  </si>
  <si>
    <t>Gasoline Cooler</t>
  </si>
  <si>
    <t>Kerosene Cooler</t>
  </si>
  <si>
    <t>Kerosene/Stabilizer Feed Exchanger</t>
  </si>
  <si>
    <t>Crude/Residue Exchanger</t>
  </si>
  <si>
    <t>Crude Overhead Condenser</t>
  </si>
  <si>
    <t>Crude/Light Gas Oil to Drier Exchanger</t>
  </si>
  <si>
    <t>Crude/Light Gas Oil Pump Around Exchanger</t>
  </si>
  <si>
    <t>Crude/ATM Residue Exchanger</t>
  </si>
  <si>
    <t>Crude/Bottom Pump Around Exchanger</t>
  </si>
  <si>
    <t>Crude Tower Overhead Condenser</t>
  </si>
  <si>
    <t>Top Pump Around Cooler</t>
  </si>
  <si>
    <t>Middle Pump Around Cooler</t>
  </si>
  <si>
    <t>Wet LGO Air Cooler</t>
  </si>
  <si>
    <t>Dry LGO Air Cooler</t>
  </si>
  <si>
    <t>Dry Heavy Gas Oil Air Cooler</t>
  </si>
  <si>
    <t>Drier Overhead Condenser</t>
  </si>
  <si>
    <t>Residue Tempered Water Cooler</t>
  </si>
  <si>
    <t>Brine/Condensate Exchanger</t>
  </si>
  <si>
    <t>Ejector Inter Condenser</t>
  </si>
  <si>
    <t>Ejector After Condenser</t>
  </si>
  <si>
    <t>Air Preheater</t>
  </si>
  <si>
    <t>Brine/Cool Water Cooler</t>
  </si>
  <si>
    <t>Waste Heat Boiler</t>
  </si>
  <si>
    <t>Brine Effluent Cooler</t>
  </si>
  <si>
    <t>Reactor Feed/Effluent Exchanger</t>
  </si>
  <si>
    <t>Reactor Effluent Cooler</t>
  </si>
  <si>
    <t>Plate Cooler Lube Oil</t>
  </si>
  <si>
    <t>Splitter Overhead Condenser</t>
  </si>
  <si>
    <t>Benzine Cooler</t>
  </si>
  <si>
    <t>EZ2208A_D</t>
    <phoneticPr fontId="14" type="noConversion"/>
  </si>
  <si>
    <t>EZ2208AD</t>
    <phoneticPr fontId="14" type="noConversion"/>
  </si>
  <si>
    <t>FICZ3006</t>
    <phoneticPr fontId="14" type="noConversion"/>
  </si>
  <si>
    <t>LICAZ3008</t>
    <phoneticPr fontId="14" type="noConversion"/>
  </si>
  <si>
    <t>T_FITZ3021</t>
  </si>
  <si>
    <t>T_TIZ3013</t>
  </si>
  <si>
    <t>T_FISZ3091</t>
  </si>
  <si>
    <t>T_TIZ3015</t>
  </si>
  <si>
    <t>T_TAZ3016</t>
  </si>
  <si>
    <t>T_TIZ3006A</t>
  </si>
  <si>
    <t>T_TDZ3006</t>
  </si>
  <si>
    <t>T_TIZ3051</t>
  </si>
  <si>
    <t>T_TIZ3029</t>
  </si>
  <si>
    <t>T_TIZ3047</t>
  </si>
  <si>
    <t>T_TIZ3031</t>
  </si>
  <si>
    <t>T_AIZ3003A</t>
  </si>
  <si>
    <t>Psuct_PZ2204A</t>
  </si>
  <si>
    <t>Pdisch_PZ2204A</t>
  </si>
  <si>
    <t>Psuct_PZ2204B</t>
  </si>
  <si>
    <t>Pdisch_PZ2204B</t>
  </si>
  <si>
    <t>Psuct_PZ2204C</t>
  </si>
  <si>
    <t>Pdisch_PZ2204C</t>
  </si>
  <si>
    <t>Psuct_PZ2206A</t>
  </si>
  <si>
    <t>Pdisch_PZ2206A</t>
  </si>
  <si>
    <t>Psuct_PZ2206B</t>
  </si>
  <si>
    <t>Pdisch_PZ2206B</t>
  </si>
  <si>
    <t>Psuct_PZ2207</t>
  </si>
  <si>
    <t>Pdisch_PZ2207</t>
  </si>
  <si>
    <t>SUC. PRESS. FOR PZ2204A</t>
    <phoneticPr fontId="14" type="noConversion"/>
  </si>
  <si>
    <t>DISC. PRESS. FOR PZ2204A</t>
    <phoneticPr fontId="14" type="noConversion"/>
  </si>
  <si>
    <t>SUC. PRESS. FOR PZ2204B</t>
    <phoneticPr fontId="14" type="noConversion"/>
  </si>
  <si>
    <t>DISC. PRESS. FOR PZ2204B</t>
    <phoneticPr fontId="14" type="noConversion"/>
  </si>
  <si>
    <t>SUC. PRESS. FOR PZ2204C</t>
    <phoneticPr fontId="14" type="noConversion"/>
  </si>
  <si>
    <t>DISC. PRESS. FOR PZ2204C</t>
    <phoneticPr fontId="14" type="noConversion"/>
  </si>
  <si>
    <t>SUC. PRESS. FOR PZ2206A</t>
    <phoneticPr fontId="14" type="noConversion"/>
  </si>
  <si>
    <t>DISC. PRESS. FOR PZ2206A</t>
    <phoneticPr fontId="14" type="noConversion"/>
  </si>
  <si>
    <t>SUC. PRESS. FOR PZ2206B</t>
    <phoneticPr fontId="14" type="noConversion"/>
  </si>
  <si>
    <t>DISC. PRESS. FOR PZ2206B</t>
    <phoneticPr fontId="14" type="noConversion"/>
  </si>
  <si>
    <t>SUC. PRESS. FOR PZ2207</t>
    <phoneticPr fontId="14" type="noConversion"/>
  </si>
  <si>
    <t>DISC. PRESS. FOR PZ2207</t>
    <phoneticPr fontId="14" type="noConversion"/>
  </si>
  <si>
    <t>LICAZ3009</t>
    <phoneticPr fontId="14" type="noConversion"/>
  </si>
  <si>
    <t>TICZ3008</t>
    <phoneticPr fontId="14" type="noConversion"/>
  </si>
  <si>
    <t>LICAZ3012</t>
    <phoneticPr fontId="14" type="noConversion"/>
  </si>
  <si>
    <t>FICZ3010</t>
    <phoneticPr fontId="14" type="noConversion"/>
  </si>
  <si>
    <t>AIZ3001A</t>
    <phoneticPr fontId="14" type="noConversion"/>
  </si>
  <si>
    <t>AIZ3001B</t>
    <phoneticPr fontId="14" type="noConversion"/>
  </si>
  <si>
    <t>AIZ3001D</t>
    <phoneticPr fontId="14" type="noConversion"/>
  </si>
  <si>
    <t>Psuct_PZ2203A</t>
  </si>
  <si>
    <t>Pdisch_PZ2203A</t>
  </si>
  <si>
    <t>Psuct_PZ2203B</t>
  </si>
  <si>
    <t>Pdisch_PZ2203B</t>
  </si>
  <si>
    <t>SUC. PRESS. FOR PZ2203A</t>
    <phoneticPr fontId="14" type="noConversion"/>
  </si>
  <si>
    <t>DISC. PRESS. FOR PZ2203A</t>
    <phoneticPr fontId="14" type="noConversion"/>
  </si>
  <si>
    <t>SUC. PRESS. FOR PZ2203B</t>
    <phoneticPr fontId="14" type="noConversion"/>
  </si>
  <si>
    <t>DISC. PRESS. FOR PZ2203B</t>
    <phoneticPr fontId="14" type="noConversion"/>
  </si>
  <si>
    <t>SUC. PRESS. FOR PZ2205A</t>
    <phoneticPr fontId="14" type="noConversion"/>
  </si>
  <si>
    <t>DISC. PRESS. FOR PZ2205A</t>
    <phoneticPr fontId="14" type="noConversion"/>
  </si>
  <si>
    <t>SUC. PRESS. FOR PZ2205B</t>
    <phoneticPr fontId="14" type="noConversion"/>
  </si>
  <si>
    <t>DISC. PRESS. FOR PZ2205B</t>
    <phoneticPr fontId="14" type="noConversion"/>
  </si>
  <si>
    <t>BAR</t>
    <phoneticPr fontId="14" type="noConversion"/>
  </si>
  <si>
    <t>TICZ3006</t>
  </si>
  <si>
    <t>EZ2207AB</t>
    <phoneticPr fontId="14" type="noConversion"/>
  </si>
  <si>
    <t>EZ2207A_B</t>
    <phoneticPr fontId="16" type="noConversion"/>
  </si>
  <si>
    <t>EZ2207A_B</t>
    <phoneticPr fontId="14" type="noConversion"/>
  </si>
  <si>
    <t>DZ2202</t>
    <phoneticPr fontId="14" type="noConversion"/>
  </si>
  <si>
    <t>M_EZ2207A</t>
    <phoneticPr fontId="14" type="noConversion"/>
  </si>
  <si>
    <t>EZ2207A_B</t>
    <phoneticPr fontId="14" type="noConversion"/>
  </si>
  <si>
    <t>M_EZ2207B</t>
    <phoneticPr fontId="14" type="noConversion"/>
  </si>
  <si>
    <t>EZ2205</t>
    <phoneticPr fontId="14" type="noConversion"/>
  </si>
  <si>
    <t>DZ2151</t>
  </si>
  <si>
    <t>EZ2112A_N</t>
  </si>
  <si>
    <t>EZ2209A_D</t>
  </si>
  <si>
    <t>EZ2204A_F</t>
  </si>
  <si>
    <t>EZ2151E</t>
  </si>
  <si>
    <t>EZ2151A</t>
  </si>
  <si>
    <t>EZ2151B</t>
  </si>
  <si>
    <t>EZ2151D</t>
  </si>
  <si>
    <t>EZ2151C</t>
  </si>
  <si>
    <t>EZ2104A_B</t>
  </si>
  <si>
    <t>EZ2104A</t>
  </si>
  <si>
    <t>EZ2104B</t>
  </si>
  <si>
    <t>EZ2201A_B</t>
  </si>
  <si>
    <t>EZ2202A_D</t>
  </si>
  <si>
    <t>EZ2202AB</t>
  </si>
  <si>
    <t>EZ2202CD</t>
  </si>
  <si>
    <t>EZ2203B</t>
  </si>
  <si>
    <t>EZ2203A</t>
  </si>
  <si>
    <t>M_PZ2151A</t>
  </si>
  <si>
    <t>M_PZ2151B</t>
  </si>
  <si>
    <t>M_EZ2152D</t>
  </si>
  <si>
    <t>EZ2152A_F</t>
  </si>
  <si>
    <t>M_EZ2152A</t>
  </si>
  <si>
    <t>M_EZ2152B</t>
  </si>
  <si>
    <t>M_EZ2152E</t>
  </si>
  <si>
    <t>M_EZ2152F</t>
  </si>
  <si>
    <t>M_EZ2152C</t>
  </si>
  <si>
    <t>M_PZ2153A</t>
  </si>
  <si>
    <t>M_PZ2153B</t>
  </si>
  <si>
    <t>M_PZ2156</t>
  </si>
  <si>
    <t>M_PZ2102A</t>
  </si>
  <si>
    <t>M_PZ2102B</t>
  </si>
  <si>
    <t>M_PZ2102C</t>
  </si>
  <si>
    <t>M_PZ2161A</t>
  </si>
  <si>
    <t>M_PZ2161B</t>
  </si>
  <si>
    <t>M_EZ2112J</t>
  </si>
  <si>
    <t>M_EZ2112N</t>
  </si>
  <si>
    <t>M_EZ2112E</t>
  </si>
  <si>
    <t>M_EZ2112C</t>
  </si>
  <si>
    <t>M_EZ2112D</t>
  </si>
  <si>
    <t>M_EZ2112K</t>
  </si>
  <si>
    <t>M_EZ2112M</t>
  </si>
  <si>
    <t>M_EZ2112H</t>
  </si>
  <si>
    <t>M_EZ2112A</t>
  </si>
  <si>
    <t>M_EZ2112L</t>
  </si>
  <si>
    <t>M_EZ2112G</t>
  </si>
  <si>
    <t>M_EZ2112I</t>
  </si>
  <si>
    <t>M_EZ2112B</t>
  </si>
  <si>
    <t>M_EZ2112F</t>
  </si>
  <si>
    <t>M_EZ2209D</t>
  </si>
  <si>
    <t>M_EZ2209B</t>
  </si>
  <si>
    <t>M_EZ2209C</t>
  </si>
  <si>
    <t>M_EZ2209A</t>
  </si>
  <si>
    <t>M_EZ2204A</t>
  </si>
  <si>
    <t>M_EZ2204B</t>
  </si>
  <si>
    <t>M_EZ2204C</t>
  </si>
  <si>
    <t>M_EZ2204D</t>
  </si>
  <si>
    <t>M_EZ2204E</t>
  </si>
  <si>
    <t>M_EZ2204F</t>
  </si>
  <si>
    <t>M_PZ2201A</t>
  </si>
  <si>
    <t>M_PZ2201B</t>
  </si>
  <si>
    <t>M_PZ2202A</t>
  </si>
  <si>
    <t>M_PZ2202B</t>
  </si>
  <si>
    <t>Stabilizer Overhead Condenser</t>
    <phoneticPr fontId="14" type="noConversion"/>
  </si>
  <si>
    <t>PZ2156</t>
  </si>
  <si>
    <t>PZ2202A</t>
  </si>
  <si>
    <t>RVZ5002A</t>
  </si>
  <si>
    <t>Comment</t>
    <phoneticPr fontId="14" type="noConversion"/>
  </si>
  <si>
    <t>T_PICZ5007</t>
  </si>
  <si>
    <t>T_FIZ5003</t>
  </si>
  <si>
    <t>T_FRTZ5005</t>
  </si>
  <si>
    <t>T_FRZ5017</t>
  </si>
  <si>
    <t>T_LAZ5002</t>
  </si>
  <si>
    <t>T_PAZ5009</t>
  </si>
  <si>
    <t>T_PICZ5004</t>
  </si>
  <si>
    <t>T_TIZ5005</t>
  </si>
  <si>
    <t>T_TWZ5006</t>
  </si>
  <si>
    <t>T_FITZ2001B</t>
  </si>
  <si>
    <t>T_PIZ2005</t>
  </si>
  <si>
    <t>T_TIZ2001</t>
  </si>
  <si>
    <t>T_TIZ2002</t>
  </si>
  <si>
    <t>T_TIZ2003</t>
  </si>
  <si>
    <t>T_TIZ2004</t>
  </si>
  <si>
    <t>T_TIZ2005</t>
  </si>
  <si>
    <t>T_TIZ2006</t>
  </si>
  <si>
    <t>T_TIZ2007</t>
  </si>
  <si>
    <t>T_TIZ2029</t>
  </si>
  <si>
    <t>T_PIZ2007</t>
  </si>
  <si>
    <t>T_PIZ2008</t>
  </si>
  <si>
    <t>T_PIZ2009</t>
  </si>
  <si>
    <t>T_PIZ2014</t>
  </si>
  <si>
    <t>Pdisch_PZ2151A</t>
  </si>
  <si>
    <t>Pdisch_PZ2151B</t>
  </si>
  <si>
    <t>Psuct_PZ2151A</t>
  </si>
  <si>
    <t>Psuct_PZ2151B</t>
  </si>
  <si>
    <t>T_FICAZ2003</t>
  </si>
  <si>
    <t>T_PIZ2077</t>
  </si>
  <si>
    <t>T_PTZ2021</t>
  </si>
  <si>
    <t>T_TIAZ2020</t>
  </si>
  <si>
    <t>T_TIZ2031</t>
  </si>
  <si>
    <t>Pdisch_PZ2153A</t>
  </si>
  <si>
    <t>Pdisch_PZ2153B</t>
  </si>
  <si>
    <t>Psuct_PZ2153A</t>
  </si>
  <si>
    <t>Psuct_PZ2153B</t>
  </si>
  <si>
    <t>T_FICZ2010</t>
  </si>
  <si>
    <t>T_FICZ2011</t>
  </si>
  <si>
    <t>T_FITZ2007</t>
  </si>
  <si>
    <t>T_LICAZ2010</t>
  </si>
  <si>
    <t>T_LICZ2007</t>
  </si>
  <si>
    <t>T_LIAZ2002</t>
  </si>
  <si>
    <t>T_LICAZ2002</t>
  </si>
  <si>
    <t>T_LICAZ2004</t>
  </si>
  <si>
    <t>T_LICZ2003</t>
  </si>
  <si>
    <t>T_LICZ2010A</t>
  </si>
  <si>
    <t>T_LICZ2010B</t>
  </si>
  <si>
    <t>T_LIZ2007A</t>
  </si>
  <si>
    <t>T_LIZ2007B</t>
  </si>
  <si>
    <t>T_PIAZ2078</t>
  </si>
  <si>
    <t>T_PICZ2003</t>
  </si>
  <si>
    <t>T_PICZ2005</t>
  </si>
  <si>
    <t>T_PIZ2004</t>
  </si>
  <si>
    <t>T_TIZ2032</t>
  </si>
  <si>
    <t>T_TIZ2034</t>
  </si>
  <si>
    <t>T_TIZ2035</t>
  </si>
  <si>
    <t>T_LIZ2050</t>
  </si>
  <si>
    <t>T_PIZ2067A</t>
  </si>
  <si>
    <t>T_PIZ2067B</t>
  </si>
  <si>
    <t>T_PIAZ2089</t>
  </si>
  <si>
    <t>T_PIAZ2081</t>
  </si>
  <si>
    <t>T_PIAZ2087</t>
  </si>
  <si>
    <t>T_PICZ2010</t>
  </si>
  <si>
    <t>T_TIZ2022</t>
  </si>
  <si>
    <t>T_TIZ2023</t>
  </si>
  <si>
    <t>T_TIZ2024</t>
  </si>
  <si>
    <t>T_TIZ2025</t>
  </si>
  <si>
    <t>T_TIZ2026</t>
  </si>
  <si>
    <t>T_TIZ2027</t>
  </si>
  <si>
    <t>T_TIAZ2013</t>
  </si>
  <si>
    <t>T_TIAZ2014</t>
  </si>
  <si>
    <t>T_TIAZ2015</t>
  </si>
  <si>
    <t>T_TIAZ2016</t>
  </si>
  <si>
    <t>T_TIAZ2017</t>
  </si>
  <si>
    <t>T_TIAZ2018</t>
  </si>
  <si>
    <t>T_TIZ20099</t>
  </si>
  <si>
    <t>T_TIZ20100</t>
  </si>
  <si>
    <t>T_TIZ20101</t>
  </si>
  <si>
    <t>T_TIZ20102</t>
  </si>
  <si>
    <t>T_TIZ20103</t>
  </si>
  <si>
    <t>T_TIZ20104</t>
  </si>
  <si>
    <t>T_TIZ20105</t>
  </si>
  <si>
    <t>T_TIZ20106</t>
  </si>
  <si>
    <t>T_TIZ20107</t>
  </si>
  <si>
    <t>T_TIZ20108</t>
  </si>
  <si>
    <t>T_TIZ20109</t>
  </si>
  <si>
    <t>T_TIZ20110</t>
  </si>
  <si>
    <t>T_TEZ2052A</t>
  </si>
  <si>
    <t>T_TEZ2052B</t>
  </si>
  <si>
    <t>T_TEZ2053A</t>
  </si>
  <si>
    <t>T_TEZ2053B</t>
  </si>
  <si>
    <t>T_TICZ2001</t>
  </si>
  <si>
    <t>T_FITZ2014</t>
  </si>
  <si>
    <t>T_PICZ2023</t>
  </si>
  <si>
    <t>T_TIZ2015</t>
  </si>
  <si>
    <t>T_TIZ2008</t>
  </si>
  <si>
    <t>T_AIZ2001</t>
  </si>
  <si>
    <t>T_PTZ2098</t>
  </si>
  <si>
    <t>Pdisch_PZ2156</t>
  </si>
  <si>
    <t>Psuct_PZ2156</t>
  </si>
  <si>
    <t>T_PCCZ2031</t>
  </si>
  <si>
    <t>T_PCCZ2079</t>
  </si>
  <si>
    <t>T_PCCZ2084</t>
  </si>
  <si>
    <t>T_PDIZ2086</t>
  </si>
  <si>
    <t>T_PDIZ2088</t>
  </si>
  <si>
    <t>T_PDSZ2063</t>
  </si>
  <si>
    <t>PDSZ2063</t>
  </si>
  <si>
    <t>T_PICZ2056</t>
  </si>
  <si>
    <t>T_PDAZ1027</t>
  </si>
  <si>
    <t>T_PDAZ1028</t>
  </si>
  <si>
    <t>T_TIZ1009</t>
  </si>
  <si>
    <t>T_TIZ1010</t>
  </si>
  <si>
    <t>T_TIZ2028</t>
  </si>
  <si>
    <t>T_XIZ1008</t>
  </si>
  <si>
    <t>T_XIZ1009</t>
  </si>
  <si>
    <t>T_XIZ1010</t>
  </si>
  <si>
    <t>T_XIZ1011</t>
  </si>
  <si>
    <t>T_XIZ1012</t>
  </si>
  <si>
    <t>T_XIZ1013</t>
  </si>
  <si>
    <t>T_FICAZ1008</t>
  </si>
  <si>
    <t>T_FICAZ1011</t>
  </si>
  <si>
    <t>T_FICAZ1045</t>
  </si>
  <si>
    <t>T_LAZ1016</t>
  </si>
  <si>
    <t>T_TICZ2076</t>
  </si>
  <si>
    <t>T_PIZ1029</t>
  </si>
  <si>
    <t>T_PIZ1030</t>
  </si>
  <si>
    <t>Pdisch_PZ2102A</t>
  </si>
  <si>
    <t>Pdisch_PZ2102B</t>
  </si>
  <si>
    <t>Pdisch_PZ2102C</t>
  </si>
  <si>
    <t>Psuct_PZ2102A</t>
  </si>
  <si>
    <t>Psuct_PZ2102B</t>
  </si>
  <si>
    <t>Psuct_PZ2102C</t>
  </si>
  <si>
    <t>T_FIZ1012</t>
  </si>
  <si>
    <t>FIAZ5013</t>
    <phoneticPr fontId="14" type="noConversion"/>
  </si>
  <si>
    <t>T_FITZ2001</t>
    <phoneticPr fontId="14" type="noConversion"/>
  </si>
  <si>
    <t>T_FICZ2002</t>
    <phoneticPr fontId="14" type="noConversion"/>
  </si>
  <si>
    <t>T_LAZ1014</t>
    <phoneticPr fontId="14" type="noConversion"/>
  </si>
  <si>
    <t>10</t>
  </si>
  <si>
    <t>A_1006MV01</t>
  </si>
  <si>
    <t>A_1006MV02</t>
  </si>
  <si>
    <t>A_1008MV01</t>
  </si>
  <si>
    <t>A_1008MV02</t>
  </si>
  <si>
    <t>A_PVZ5004</t>
  </si>
  <si>
    <t>A_PVZ5007A</t>
  </si>
  <si>
    <t>A_PVZ5007B</t>
  </si>
  <si>
    <t>3</t>
  </si>
  <si>
    <t>A_1004MV15</t>
  </si>
  <si>
    <t>A_1004MV16</t>
  </si>
  <si>
    <t>A_1004MV17</t>
  </si>
  <si>
    <t>A_1101MV01</t>
  </si>
  <si>
    <t>A_1101MV03</t>
  </si>
  <si>
    <t>A_FVZ2001</t>
  </si>
  <si>
    <t>A_FVZ2002</t>
  </si>
  <si>
    <t>8</t>
  </si>
  <si>
    <t>A_MVD_PZ2151A</t>
  </si>
  <si>
    <t>A_MVD_PZ2151B</t>
  </si>
  <si>
    <t>A_MVU_PZ2151A</t>
  </si>
  <si>
    <t>A_MVU_PZ2151B</t>
  </si>
  <si>
    <t>A_XCVZ2020</t>
  </si>
  <si>
    <t>A_1101MV04</t>
  </si>
  <si>
    <t>A_1101MV05</t>
  </si>
  <si>
    <t>A_XCVZ2019</t>
  </si>
  <si>
    <t>A_FCVZ2065</t>
  </si>
  <si>
    <t>A_FCVZ2003</t>
  </si>
  <si>
    <t>A_1102MV01</t>
  </si>
  <si>
    <t>A_1102MV02</t>
  </si>
  <si>
    <t>A_1102MV03</t>
  </si>
  <si>
    <t>A_1102MV04</t>
  </si>
  <si>
    <t>A_1102MV05</t>
  </si>
  <si>
    <t>A_1102MV06</t>
  </si>
  <si>
    <t>1</t>
  </si>
  <si>
    <t>A_1102MV07</t>
  </si>
  <si>
    <t>A_1102MV08</t>
  </si>
  <si>
    <t>A_MVD_PZ2153A</t>
  </si>
  <si>
    <t>A_MVD_PZ2153B</t>
  </si>
  <si>
    <t>A_FVZ2010</t>
  </si>
  <si>
    <t>A_FVZ2011</t>
  </si>
  <si>
    <t>A_LCVZ2010</t>
  </si>
  <si>
    <t>A_LVZ2002</t>
  </si>
  <si>
    <t>A_LVZ2004</t>
  </si>
  <si>
    <t>A_LVZ2007</t>
  </si>
  <si>
    <t>A_PVZ2005</t>
  </si>
  <si>
    <t>A_XCVZ2016</t>
  </si>
  <si>
    <t>A_XVZ2017</t>
  </si>
  <si>
    <t>A_1101MV06</t>
  </si>
  <si>
    <t>A_1109MV01</t>
  </si>
  <si>
    <t>A_HZ2151FGB1</t>
  </si>
  <si>
    <t>A_HZ2151FGB2</t>
  </si>
  <si>
    <t>A_HZ2151FGB3</t>
  </si>
  <si>
    <t>A_HZ2151FGB4</t>
  </si>
  <si>
    <t>A_HZ2151FGB5</t>
  </si>
  <si>
    <t>A_HZ2151FGB6</t>
  </si>
  <si>
    <t>A_MVD_PZ2156</t>
  </si>
  <si>
    <t>A_HZ2151PGAB1</t>
  </si>
  <si>
    <t>A_HZ2151PGAB2</t>
  </si>
  <si>
    <t>A_HZ2151PGAB3</t>
  </si>
  <si>
    <t>A_HZ2151PGAB4</t>
  </si>
  <si>
    <t>A_HZ2151PGAB5</t>
  </si>
  <si>
    <t>A_HZ2151PGAB6</t>
  </si>
  <si>
    <t>A_PCVZ2026</t>
  </si>
  <si>
    <t>A_PCVZ2031</t>
  </si>
  <si>
    <t>A_PCVZ2079</t>
  </si>
  <si>
    <t>A_PVZ2010</t>
  </si>
  <si>
    <t>A_XCVZ2002</t>
  </si>
  <si>
    <t>A_XCVZ2021</t>
  </si>
  <si>
    <t>A_XCVZ2022</t>
  </si>
  <si>
    <t>A_XCVZ2023</t>
  </si>
  <si>
    <t>A_XCVZ2024</t>
  </si>
  <si>
    <t>A_XCVZ2025</t>
  </si>
  <si>
    <t>A_XCVZ2026</t>
  </si>
  <si>
    <t>A_XCVZ2027</t>
  </si>
  <si>
    <t>A_XCVZ2028</t>
  </si>
  <si>
    <t>A_2105MV01</t>
  </si>
  <si>
    <t>12</t>
  </si>
  <si>
    <t>A_2105MV02</t>
  </si>
  <si>
    <t>A_2105MV03</t>
  </si>
  <si>
    <t>A_2105MV04</t>
  </si>
  <si>
    <t>A_2105MV05</t>
  </si>
  <si>
    <t>A_2105MV06</t>
  </si>
  <si>
    <t>A_2105MV07</t>
  </si>
  <si>
    <t>A_2105MV08</t>
  </si>
  <si>
    <t>A_2105MV09</t>
  </si>
  <si>
    <t>A_2105MV17</t>
  </si>
  <si>
    <t>A_2105MV18</t>
  </si>
  <si>
    <t>A_FCVZ1008</t>
  </si>
  <si>
    <t>A_FCVZ1011</t>
  </si>
  <si>
    <t>A_FCVZ1045</t>
  </si>
  <si>
    <t>A_LVZ1015</t>
  </si>
  <si>
    <t>A_LVZ1017</t>
  </si>
  <si>
    <t>A_2105MV10</t>
  </si>
  <si>
    <t>A_2105MV11</t>
  </si>
  <si>
    <t>A_2105MV12</t>
  </si>
  <si>
    <t>A_2105MV13</t>
  </si>
  <si>
    <t>A_2105MV14</t>
  </si>
  <si>
    <t>A_HVZ1022</t>
  </si>
  <si>
    <t>A_HVZ1023</t>
  </si>
  <si>
    <t>A_MVD_PZ2102A</t>
  </si>
  <si>
    <t>A_MVD_PZ2102B</t>
  </si>
  <si>
    <t>A_MVD_PZ2102C</t>
  </si>
  <si>
    <t>16</t>
  </si>
  <si>
    <t>A_2119MV01</t>
  </si>
  <si>
    <t>A_2119MV02</t>
  </si>
  <si>
    <t>A_2119MV03</t>
  </si>
  <si>
    <t>A_2119MV04</t>
  </si>
  <si>
    <t>A_2119MV05</t>
  </si>
  <si>
    <t>A_2119MV06</t>
  </si>
  <si>
    <t>A_FCVZ10101</t>
  </si>
  <si>
    <t>A_MVD_PZ2161A</t>
  </si>
  <si>
    <t>A_MVD_PZ2161B</t>
  </si>
  <si>
    <t>A_TV2076</t>
  </si>
  <si>
    <t>A_TV2076B</t>
  </si>
  <si>
    <t>A_GZ2155B</t>
  </si>
  <si>
    <t>A_FZ2105</t>
  </si>
  <si>
    <t>A_GZ2155A</t>
  </si>
  <si>
    <t>A_2201MV01</t>
  </si>
  <si>
    <t>A_2201MV02</t>
  </si>
  <si>
    <t>A_2201MV03</t>
  </si>
  <si>
    <t>A_2201MV04</t>
  </si>
  <si>
    <t>A_2201MV05</t>
  </si>
  <si>
    <t>A_2201MV06</t>
  </si>
  <si>
    <t>A_MVD_PZ2201A</t>
  </si>
  <si>
    <t>A_MVD_PZ2201B</t>
  </si>
  <si>
    <t>A_MVD_PZ2202A</t>
  </si>
  <si>
    <t>A_MVD_PZ2202B</t>
  </si>
  <si>
    <t>A_FCVZ3001A</t>
  </si>
  <si>
    <t>A_FCVZ3001B</t>
  </si>
  <si>
    <t>A_FCVZ3004</t>
  </si>
  <si>
    <t>A_FVZ3002</t>
  </si>
  <si>
    <t>A_FVZ3003</t>
  </si>
  <si>
    <t>A_TVZ3002</t>
  </si>
  <si>
    <t>A_TVZ3003</t>
  </si>
  <si>
    <t>A_XCVZ3001</t>
  </si>
  <si>
    <t>A_XCVZ3002</t>
  </si>
  <si>
    <t>PVZ5007A</t>
  </si>
  <si>
    <t>PVZ5004</t>
  </si>
  <si>
    <t>PVZ5007B</t>
  </si>
  <si>
    <t>FVZ2002</t>
  </si>
  <si>
    <t>FVZ2001</t>
  </si>
  <si>
    <t>FVZ2010</t>
  </si>
  <si>
    <t>LVZ2002</t>
  </si>
  <si>
    <t>LVZ2004</t>
  </si>
  <si>
    <t>PVZ2005</t>
  </si>
  <si>
    <t>XCVZ2002</t>
  </si>
  <si>
    <t>XCVZ2016</t>
  </si>
  <si>
    <t>FCVZ1008</t>
  </si>
  <si>
    <t>FCVZ1011</t>
  </si>
  <si>
    <t>FCVZ1045</t>
  </si>
  <si>
    <t>LVZ1015</t>
  </si>
  <si>
    <t>LVZ1017</t>
  </si>
  <si>
    <t>HVZ1022</t>
  </si>
  <si>
    <t>FCVZ10101</t>
  </si>
  <si>
    <t>FCVZ3004</t>
  </si>
  <si>
    <t>TVZ3002</t>
  </si>
  <si>
    <t>TVZ3003</t>
  </si>
  <si>
    <t>FCVZ3001A</t>
  </si>
  <si>
    <t>FCVZ3001B</t>
  </si>
  <si>
    <t>XCVZ3001</t>
  </si>
  <si>
    <t>XCVZ3002</t>
  </si>
  <si>
    <t>FVZ2011</t>
    <phoneticPr fontId="14" type="noConversion"/>
  </si>
  <si>
    <t>LVZ2007</t>
    <phoneticPr fontId="14" type="noConversion"/>
  </si>
  <si>
    <t>PVZ2010</t>
    <phoneticPr fontId="14" type="noConversion"/>
  </si>
  <si>
    <t>LICZ2007</t>
    <phoneticPr fontId="14" type="noConversion"/>
  </si>
  <si>
    <t>PICZ2023</t>
    <phoneticPr fontId="14" type="noConversion"/>
  </si>
  <si>
    <t>Manifold</t>
    <phoneticPr fontId="14" type="noConversion"/>
  </si>
  <si>
    <t>IsMass</t>
  </si>
  <si>
    <t>MassComposition</t>
  </si>
  <si>
    <t>MassCompositionTotal</t>
  </si>
  <si>
    <t>TargetMassComposition</t>
  </si>
  <si>
    <t>TargetMassCompositionTotal</t>
  </si>
  <si>
    <t>CavitationDetection</t>
  </si>
  <si>
    <t>BubblePointDetection</t>
  </si>
  <si>
    <t>BubblePointPressure</t>
  </si>
  <si>
    <t>MassFlowCorrection</t>
  </si>
  <si>
    <t>EfficiencyHeatingEffect</t>
  </si>
  <si>
    <t>HasAMaximum</t>
  </si>
  <si>
    <t>Conditions</t>
  </si>
  <si>
    <t>ReferencePressure</t>
  </si>
  <si>
    <t>ReferenceTemperature</t>
  </si>
  <si>
    <t>InputBias</t>
  </si>
  <si>
    <t>PercentValue</t>
  </si>
  <si>
    <t>NonFailValue</t>
  </si>
  <si>
    <t>LiquidStandardDensity</t>
  </si>
  <si>
    <t>ReportSignalSQREnable</t>
  </si>
  <si>
    <t>ReportSignalLowerRange</t>
  </si>
  <si>
    <t>ReportSignalUpperRange</t>
  </si>
  <si>
    <t>ReportSignal</t>
  </si>
  <si>
    <t>ReportSignalLowAlm</t>
  </si>
  <si>
    <t>ReportSignalHighAlm</t>
  </si>
  <si>
    <t>UncompEnable</t>
  </si>
  <si>
    <t>UncompType</t>
  </si>
  <si>
    <t>UncompPressureAddTerm</t>
  </si>
  <si>
    <t>UncompTemperatureAddTerm</t>
  </si>
  <si>
    <t>UncompDesignPressure</t>
  </si>
  <si>
    <t>UncompDesignTemperature</t>
  </si>
  <si>
    <t>UncompDesignDensity</t>
  </si>
  <si>
    <t>UncompDesignMW</t>
  </si>
  <si>
    <t>UncompInputPressure</t>
  </si>
  <si>
    <t>UncompInputTemperature</t>
  </si>
  <si>
    <t>UncompInputDensity</t>
  </si>
  <si>
    <t>UncompInputMW</t>
  </si>
  <si>
    <t>PCvaluemin</t>
  </si>
  <si>
    <t>PCvaluemax</t>
  </si>
  <si>
    <t>TCvaluemin</t>
  </si>
  <si>
    <t>TCvaluemax</t>
  </si>
  <si>
    <t>DCvaluemin</t>
  </si>
  <si>
    <t>DCvaluemax</t>
  </si>
  <si>
    <t>MWCvaluemin</t>
  </si>
  <si>
    <t>MWCvaluemax</t>
  </si>
  <si>
    <t>UncompFactormin</t>
  </si>
  <si>
    <t>UncompFactormax</t>
  </si>
  <si>
    <t>UncompValue</t>
  </si>
  <si>
    <t>PreviousStepProcessOutput</t>
  </si>
  <si>
    <t>NodeFlashType</t>
  </si>
  <si>
    <t>MaxInput</t>
  </si>
  <si>
    <t>MaxOutput</t>
  </si>
  <si>
    <t>SplitRangeValue</t>
  </si>
  <si>
    <t>SplitRangeValue1</t>
  </si>
  <si>
    <t>SplitRangeValue2</t>
  </si>
  <si>
    <t>SplitRangeType1</t>
  </si>
  <si>
    <t>SplitRangeType2</t>
  </si>
  <si>
    <t>MA1</t>
  </si>
  <si>
    <t>MA2</t>
  </si>
  <si>
    <t>output_value_1</t>
  </si>
  <si>
    <t>output_value_2</t>
  </si>
  <si>
    <t>MaximumFlowMode</t>
  </si>
  <si>
    <t>Chimney</t>
  </si>
  <si>
    <t>AtmosphericPressure</t>
  </si>
  <si>
    <t>AirDensity</t>
  </si>
  <si>
    <t>MinUnburnt</t>
  </si>
  <si>
    <t>MaxUnburnt</t>
  </si>
  <si>
    <t>SmokeDensity</t>
  </si>
  <si>
    <t>TopPressure</t>
  </si>
  <si>
    <t>Oxygen</t>
  </si>
  <si>
    <t>CarbonOxid</t>
  </si>
  <si>
    <t>CarbonDiOxid</t>
  </si>
  <si>
    <t>NitrogenDiOxid</t>
  </si>
  <si>
    <t>Carbon</t>
  </si>
  <si>
    <t>SmokeOpacity</t>
  </si>
  <si>
    <t>Valve</t>
  </si>
  <si>
    <t>HandwheelEnable</t>
  </si>
  <si>
    <t>AuxTrackOpeningCommand</t>
  </si>
  <si>
    <t>FailTransition</t>
  </si>
  <si>
    <t>HandwheelGear</t>
  </si>
  <si>
    <t>HandwheelCommand</t>
  </si>
  <si>
    <t>HandWheelTime</t>
  </si>
  <si>
    <t>Zll_R</t>
  </si>
  <si>
    <t>Zhl_R</t>
  </si>
  <si>
    <t>HandwheelPosition</t>
  </si>
  <si>
    <t>Content</t>
  </si>
  <si>
    <t>Background</t>
  </si>
  <si>
    <t>BorderVisible</t>
  </si>
  <si>
    <t>NameVisible</t>
  </si>
  <si>
    <t>GradientVisibleKey</t>
  </si>
  <si>
    <t>DCScanStopPumpInLocal</t>
  </si>
  <si>
    <t>OAJ_Type</t>
  </si>
  <si>
    <t>EnableOAJHfunction</t>
  </si>
  <si>
    <t>OAJHOperation</t>
  </si>
  <si>
    <t>AvailableToStart</t>
  </si>
  <si>
    <t>AuxSpeedCommand</t>
  </si>
  <si>
    <t>Status_R</t>
  </si>
  <si>
    <t>VibrationFactor</t>
  </si>
  <si>
    <t>MaxCurrent</t>
  </si>
  <si>
    <t>MaxPower</t>
  </si>
  <si>
    <t>T_Jog</t>
  </si>
  <si>
    <t>Jog_Pulse</t>
  </si>
  <si>
    <t>StopStatusThreshold</t>
  </si>
  <si>
    <t>CouplingFailure</t>
  </si>
  <si>
    <t>CouplingValue</t>
  </si>
  <si>
    <t>StatusOFFAtZeroSpeed</t>
  </si>
  <si>
    <t>Integrateur</t>
  </si>
  <si>
    <t>reset</t>
  </si>
  <si>
    <t>ExchangerTube</t>
  </si>
  <si>
    <t>PowerToTube</t>
  </si>
  <si>
    <t>ComputationMethod</t>
  </si>
  <si>
    <t>InformationDirection</t>
  </si>
  <si>
    <t>HeatExchangeCoeffMode</t>
  </si>
  <si>
    <t>OutletTemperatureRatio</t>
  </si>
  <si>
    <t>TubeLength</t>
  </si>
  <si>
    <t>TubeDiameter</t>
  </si>
  <si>
    <t>TubeInnerDiameter</t>
  </si>
  <si>
    <t>TubeOuterDiameter</t>
  </si>
  <si>
    <t>TubeConductivity</t>
  </si>
  <si>
    <t>TubeDensity</t>
  </si>
  <si>
    <t>ThermocoupleLengthPctTable</t>
  </si>
  <si>
    <t>TubeSkinTemperatureTable</t>
  </si>
  <si>
    <t>InternalExchangeSurface</t>
  </si>
  <si>
    <t>ExternalExchangeSurface</t>
  </si>
  <si>
    <t>TubeGlobalExchangeCoeff</t>
  </si>
  <si>
    <t>PowerToFluid</t>
  </si>
  <si>
    <t>FluidMeanTemperature</t>
  </si>
  <si>
    <t>FluidSpeed</t>
  </si>
  <si>
    <t>Reynolds</t>
  </si>
  <si>
    <t>Prandtl</t>
  </si>
  <si>
    <t>Nusselt</t>
  </si>
  <si>
    <t>InnerTubeVolume</t>
  </si>
  <si>
    <t>TubeMassMetal</t>
  </si>
  <si>
    <t>SolverTolerance</t>
  </si>
  <si>
    <t>SolverError</t>
  </si>
  <si>
    <t>SolverStatus</t>
  </si>
  <si>
    <t>GaseousPhase</t>
  </si>
  <si>
    <t>TubeFoulingFailureActivation</t>
  </si>
  <si>
    <t>FoulingDelay</t>
  </si>
  <si>
    <t>FoulingConductivity</t>
  </si>
  <si>
    <t>FoulingSpeed</t>
  </si>
  <si>
    <t>TubeCokingFailureActivation</t>
  </si>
  <si>
    <t>CokingDelay</t>
  </si>
  <si>
    <t>TubeCoking</t>
  </si>
  <si>
    <t>CokeConductivity</t>
  </si>
  <si>
    <t>CokingSpeed</t>
  </si>
  <si>
    <t>Balance</t>
  </si>
  <si>
    <t>GasConductivity</t>
  </si>
  <si>
    <t>LiquidConductivity</t>
  </si>
  <si>
    <t>WaterConductivity</t>
  </si>
  <si>
    <t>GasViscosity</t>
  </si>
  <si>
    <t>LiquidViscosity</t>
  </si>
  <si>
    <t>WaterViscosity</t>
  </si>
  <si>
    <t>GasHeatCapacity</t>
  </si>
  <si>
    <t>LiquidHeatCapacity</t>
  </si>
  <si>
    <t>WaterHeatCapacity</t>
  </si>
  <si>
    <t>IterarionOnDutyFix</t>
  </si>
  <si>
    <t>Demultiplexeur</t>
  </si>
  <si>
    <t>DefaultOutputValue</t>
  </si>
  <si>
    <t>UseDefaultOutputValue</t>
  </si>
  <si>
    <t>select_value</t>
  </si>
  <si>
    <t>output_value_3</t>
  </si>
  <si>
    <t>output_value_4</t>
  </si>
  <si>
    <t>output_value_5</t>
  </si>
  <si>
    <t>Prog</t>
  </si>
  <si>
    <t>InitFilename</t>
  </si>
  <si>
    <t>InitFileToBeLoad</t>
  </si>
  <si>
    <t>filename</t>
  </si>
  <si>
    <t>FileToBeLoad</t>
  </si>
  <si>
    <t>Tc01</t>
  </si>
  <si>
    <t>Tc02</t>
  </si>
  <si>
    <t>Hold</t>
  </si>
  <si>
    <t>IndexOfAction</t>
  </si>
  <si>
    <t>X01</t>
  </si>
  <si>
    <t>X02</t>
  </si>
  <si>
    <t>X03</t>
  </si>
  <si>
    <t>X04</t>
  </si>
  <si>
    <t>Y01</t>
  </si>
  <si>
    <t>Y02</t>
  </si>
  <si>
    <t>Y03</t>
  </si>
  <si>
    <t>Y04</t>
  </si>
  <si>
    <t>Xd01</t>
  </si>
  <si>
    <t>Xd02</t>
  </si>
  <si>
    <t>Xd03</t>
  </si>
  <si>
    <t>Xd04</t>
  </si>
  <si>
    <t>Xd05</t>
  </si>
  <si>
    <t>Xd06</t>
  </si>
  <si>
    <t>Xd07</t>
  </si>
  <si>
    <t>Xd08</t>
  </si>
  <si>
    <t>Xd09</t>
  </si>
  <si>
    <t>Xd10</t>
  </si>
  <si>
    <t>Xd11</t>
  </si>
  <si>
    <t>Xd12</t>
  </si>
  <si>
    <t>Xd13</t>
  </si>
  <si>
    <t>Xd14</t>
  </si>
  <si>
    <t>Xd15</t>
  </si>
  <si>
    <t>Xd16</t>
  </si>
  <si>
    <t>Xd17</t>
  </si>
  <si>
    <t>Xd18</t>
  </si>
  <si>
    <t>Xd19</t>
  </si>
  <si>
    <t>Xd20</t>
  </si>
  <si>
    <t>Xd21</t>
  </si>
  <si>
    <t>Xd22</t>
  </si>
  <si>
    <t>Xd23</t>
  </si>
  <si>
    <t>Xd24</t>
  </si>
  <si>
    <t>Xd25</t>
  </si>
  <si>
    <t>Xd26</t>
  </si>
  <si>
    <t>Xd27</t>
  </si>
  <si>
    <t>Xd28</t>
  </si>
  <si>
    <t>Xd29</t>
  </si>
  <si>
    <t>Xd30</t>
  </si>
  <si>
    <t>Xd31</t>
  </si>
  <si>
    <t>Xd32</t>
  </si>
  <si>
    <t>Xi01</t>
  </si>
  <si>
    <t>Xi02</t>
  </si>
  <si>
    <t>Xi03</t>
  </si>
  <si>
    <t>Xi04</t>
  </si>
  <si>
    <t>Xi05</t>
  </si>
  <si>
    <t>Xi06</t>
  </si>
  <si>
    <t>Xi07</t>
  </si>
  <si>
    <t>Xi08</t>
  </si>
  <si>
    <t>Xi09</t>
  </si>
  <si>
    <t>Xi10</t>
  </si>
  <si>
    <t>Xi11</t>
  </si>
  <si>
    <t>Xi12</t>
  </si>
  <si>
    <t>Xi13</t>
  </si>
  <si>
    <t>Xi14</t>
  </si>
  <si>
    <t>Xi15</t>
  </si>
  <si>
    <t>Xi16</t>
  </si>
  <si>
    <t>Xi17</t>
  </si>
  <si>
    <t>Xi18</t>
  </si>
  <si>
    <t>Xi19</t>
  </si>
  <si>
    <t>Xi20</t>
  </si>
  <si>
    <t>Xi21</t>
  </si>
  <si>
    <t>Xi22</t>
  </si>
  <si>
    <t>Xi23</t>
  </si>
  <si>
    <t>Xi24</t>
  </si>
  <si>
    <t>Xi25</t>
  </si>
  <si>
    <t>Xi26</t>
  </si>
  <si>
    <t>Xi27</t>
  </si>
  <si>
    <t>Xi28</t>
  </si>
  <si>
    <t>Xi29</t>
  </si>
  <si>
    <t>Xi30</t>
  </si>
  <si>
    <t>Xi31</t>
  </si>
  <si>
    <t>Xi32</t>
  </si>
  <si>
    <t>Xb01</t>
  </si>
  <si>
    <t>Xb02</t>
  </si>
  <si>
    <t>Xb03</t>
  </si>
  <si>
    <t>Xb04</t>
  </si>
  <si>
    <t>Xb05</t>
  </si>
  <si>
    <t>Xb06</t>
  </si>
  <si>
    <t>Xb07</t>
  </si>
  <si>
    <t>Xb08</t>
  </si>
  <si>
    <t>Xb09</t>
  </si>
  <si>
    <t>Xb10</t>
  </si>
  <si>
    <t>Xb11</t>
  </si>
  <si>
    <t>Xb12</t>
  </si>
  <si>
    <t>Xb13</t>
  </si>
  <si>
    <t>Xb14</t>
  </si>
  <si>
    <t>Xb15</t>
  </si>
  <si>
    <t>Xb16</t>
  </si>
  <si>
    <t>Xb17</t>
  </si>
  <si>
    <t>Xb18</t>
  </si>
  <si>
    <t>Xb19</t>
  </si>
  <si>
    <t>Xb20</t>
  </si>
  <si>
    <t>Xb21</t>
  </si>
  <si>
    <t>Xb22</t>
  </si>
  <si>
    <t>Xb23</t>
  </si>
  <si>
    <t>Xb24</t>
  </si>
  <si>
    <t>Xb25</t>
  </si>
  <si>
    <t>Xb26</t>
  </si>
  <si>
    <t>Xb27</t>
  </si>
  <si>
    <t>Xb28</t>
  </si>
  <si>
    <t>Xb29</t>
  </si>
  <si>
    <t>Xb30</t>
  </si>
  <si>
    <t>Xb31</t>
  </si>
  <si>
    <t>Xb32</t>
  </si>
  <si>
    <t>Yd01</t>
  </si>
  <si>
    <t>Yd02</t>
  </si>
  <si>
    <t>Yd03</t>
  </si>
  <si>
    <t>Yd04</t>
  </si>
  <si>
    <t>Yd05</t>
  </si>
  <si>
    <t>Yd06</t>
  </si>
  <si>
    <t>Yd07</t>
  </si>
  <si>
    <t>Yd08</t>
  </si>
  <si>
    <t>Yd09</t>
  </si>
  <si>
    <t>Yd10</t>
  </si>
  <si>
    <t>Yd11</t>
  </si>
  <si>
    <t>Yd12</t>
  </si>
  <si>
    <t>Yd13</t>
  </si>
  <si>
    <t>Yd14</t>
  </si>
  <si>
    <t>Yd15</t>
  </si>
  <si>
    <t>Yd16</t>
  </si>
  <si>
    <t>Yd17</t>
  </si>
  <si>
    <t>Yd18</t>
  </si>
  <si>
    <t>Yd19</t>
  </si>
  <si>
    <t>Yd20</t>
  </si>
  <si>
    <t>Yd21</t>
  </si>
  <si>
    <t>Yd22</t>
  </si>
  <si>
    <t>Yd23</t>
  </si>
  <si>
    <t>Yd24</t>
  </si>
  <si>
    <t>Yd25</t>
  </si>
  <si>
    <t>Yd26</t>
  </si>
  <si>
    <t>Yd27</t>
  </si>
  <si>
    <t>Yd28</t>
  </si>
  <si>
    <t>Yd29</t>
  </si>
  <si>
    <t>Yd30</t>
  </si>
  <si>
    <t>Yd31</t>
  </si>
  <si>
    <t>Yd32</t>
  </si>
  <si>
    <t>Yi01</t>
  </si>
  <si>
    <t>Yi02</t>
  </si>
  <si>
    <t>Yi03</t>
  </si>
  <si>
    <t>Yi04</t>
  </si>
  <si>
    <t>Yi05</t>
  </si>
  <si>
    <t>Yi06</t>
  </si>
  <si>
    <t>Yi07</t>
  </si>
  <si>
    <t>Yi08</t>
  </si>
  <si>
    <t>Yi09</t>
  </si>
  <si>
    <t>Yi10</t>
  </si>
  <si>
    <t>Yi11</t>
  </si>
  <si>
    <t>Yi12</t>
  </si>
  <si>
    <t>Yi13</t>
  </si>
  <si>
    <t>Yi14</t>
  </si>
  <si>
    <t>Yi15</t>
  </si>
  <si>
    <t>Yi16</t>
  </si>
  <si>
    <t>Yi17</t>
  </si>
  <si>
    <t>Yi18</t>
  </si>
  <si>
    <t>Yi19</t>
  </si>
  <si>
    <t>Yi20</t>
  </si>
  <si>
    <t>Yi21</t>
  </si>
  <si>
    <t>Yi22</t>
  </si>
  <si>
    <t>Yi23</t>
  </si>
  <si>
    <t>Yi24</t>
  </si>
  <si>
    <t>Yi25</t>
  </si>
  <si>
    <t>Yi26</t>
  </si>
  <si>
    <t>Yi27</t>
  </si>
  <si>
    <t>Yi28</t>
  </si>
  <si>
    <t>Yi29</t>
  </si>
  <si>
    <t>Yi30</t>
  </si>
  <si>
    <t>Yi31</t>
  </si>
  <si>
    <t>Yi32</t>
  </si>
  <si>
    <t>Yb01</t>
  </si>
  <si>
    <t>Yb02</t>
  </si>
  <si>
    <t>Yb03</t>
  </si>
  <si>
    <t>Yb04</t>
  </si>
  <si>
    <t>Yb05</t>
  </si>
  <si>
    <t>Yb06</t>
  </si>
  <si>
    <t>Yb07</t>
  </si>
  <si>
    <t>Yb08</t>
  </si>
  <si>
    <t>Yb09</t>
  </si>
  <si>
    <t>Yb10</t>
  </si>
  <si>
    <t>Yb11</t>
  </si>
  <si>
    <t>Yb12</t>
  </si>
  <si>
    <t>Yb13</t>
  </si>
  <si>
    <t>Yb14</t>
  </si>
  <si>
    <t>Yb15</t>
  </si>
  <si>
    <t>Yb16</t>
  </si>
  <si>
    <t>Yb17</t>
  </si>
  <si>
    <t>Yb18</t>
  </si>
  <si>
    <t>Yb19</t>
  </si>
  <si>
    <t>Yb20</t>
  </si>
  <si>
    <t>Yb21</t>
  </si>
  <si>
    <t>Yb22</t>
  </si>
  <si>
    <t>Yb23</t>
  </si>
  <si>
    <t>Yb24</t>
  </si>
  <si>
    <t>Yb25</t>
  </si>
  <si>
    <t>Yb26</t>
  </si>
  <si>
    <t>Yb27</t>
  </si>
  <si>
    <t>Yb28</t>
  </si>
  <si>
    <t>Yb29</t>
  </si>
  <si>
    <t>Yb30</t>
  </si>
  <si>
    <t>Yb31</t>
  </si>
  <si>
    <t>Yb32</t>
  </si>
  <si>
    <t>ERRC</t>
  </si>
  <si>
    <t>InitEERL</t>
  </si>
  <si>
    <t>InitErrorString</t>
  </si>
  <si>
    <t>EERL</t>
  </si>
  <si>
    <t>ErrorString</t>
  </si>
  <si>
    <t>Dt</t>
  </si>
  <si>
    <t>CompressorMC</t>
  </si>
  <si>
    <t>InletVolumeFlow</t>
  </si>
  <si>
    <t>PolytropicYield</t>
  </si>
  <si>
    <t>IsentropicYield</t>
  </si>
  <si>
    <t>TransformationKind</t>
  </si>
  <si>
    <t>UsingYieldTabulation</t>
  </si>
  <si>
    <t>CompressorControl</t>
  </si>
  <si>
    <t>IsentropicExponentComputation</t>
  </si>
  <si>
    <t>FullComputation</t>
  </si>
  <si>
    <t>FastComputation</t>
  </si>
  <si>
    <t>InitializeCurves</t>
  </si>
  <si>
    <t>PerformanceCurveExtrapolation</t>
  </si>
  <si>
    <t>MechanicalYieldComputation</t>
  </si>
  <si>
    <t>WheelRadius</t>
  </si>
  <si>
    <t>NominalInletTemperature</t>
  </si>
  <si>
    <t>NominalMolarWeight</t>
  </si>
  <si>
    <t>NominalIsentropicCoeff</t>
  </si>
  <si>
    <t>TempAdjustCoeff</t>
  </si>
  <si>
    <t>NumberOfCurves</t>
  </si>
  <si>
    <t>NumberOfSpeedCurves</t>
  </si>
  <si>
    <t>SpeedArray</t>
  </si>
  <si>
    <t>CommandArray</t>
  </si>
  <si>
    <t>PolytropicHeadCharacteristicArray</t>
  </si>
  <si>
    <t>PolytropicYieldCharacteristicArray</t>
  </si>
  <si>
    <t>IsentropicHeadCharacteristicArray</t>
  </si>
  <si>
    <t>IsentropicYieldCharacteristicArray</t>
  </si>
  <si>
    <t>MechanicalYieldCharacteristicArray</t>
  </si>
  <si>
    <t>CompressionRatioCharacteristicArray</t>
  </si>
  <si>
    <t>VolumeFlowCharacteristicArray</t>
  </si>
  <si>
    <t>PolytropicHeadCharacteristicArray1</t>
  </si>
  <si>
    <t>PolytropicYieldCharacteristicArray1</t>
  </si>
  <si>
    <t>IsentropicHeadCharacteristicArray1</t>
  </si>
  <si>
    <t>IsentropicYieldCharacteristicArray1</t>
  </si>
  <si>
    <t>MechanicalYieldCharacteristicArray1</t>
  </si>
  <si>
    <t>CompressionRatioCharacteristicArray1</t>
  </si>
  <si>
    <t>VolumeFlowCharacteristicArray1</t>
  </si>
  <si>
    <t>PolytropicHeadCharacteristicArray2</t>
  </si>
  <si>
    <t>PolytropicYieldCharacteristicArray2</t>
  </si>
  <si>
    <t>IsentropicHeadCharacteristicArray2</t>
  </si>
  <si>
    <t>IsentropicYieldCharacteristicArray2</t>
  </si>
  <si>
    <t>MechanicalYieldCharacteristicArray2</t>
  </si>
  <si>
    <t>CompressionRatioCharacteristicArray2</t>
  </si>
  <si>
    <t>VolumeFlowCharacteristicArray2</t>
  </si>
  <si>
    <t>ResetRFPITable</t>
  </si>
  <si>
    <t>RatioTable</t>
  </si>
  <si>
    <t>PolytropicHeadTable</t>
  </si>
  <si>
    <t>IsentropicHeadTable</t>
  </si>
  <si>
    <t>PassingCompressor</t>
  </si>
  <si>
    <t>IGVCommand</t>
  </si>
  <si>
    <t>CompressorSpeed</t>
  </si>
  <si>
    <t>PreviousCompressorSpeed</t>
  </si>
  <si>
    <t>CompressionRatio</t>
  </si>
  <si>
    <t>OutletVolumeFlow</t>
  </si>
  <si>
    <t>IsentropicCoeff</t>
  </si>
  <si>
    <t>MachNumber</t>
  </si>
  <si>
    <t>PolytropicHead</t>
  </si>
  <si>
    <t>PolytropicExponent</t>
  </si>
  <si>
    <t>IsentropicHead</t>
  </si>
  <si>
    <t>IsentropicExponent</t>
  </si>
  <si>
    <t>ASMEfactor</t>
  </si>
  <si>
    <t>EfficiencyPower</t>
  </si>
  <si>
    <t>ConsumedPower</t>
  </si>
  <si>
    <t>FlowArray</t>
  </si>
  <si>
    <t>MechanicalYieldArray</t>
  </si>
  <si>
    <t>CompressionRatioArray</t>
  </si>
  <si>
    <t>PolytropicHeadArray</t>
  </si>
  <si>
    <t>ChangedCharacteristic</t>
  </si>
  <si>
    <t>SurgeIndicator</t>
  </si>
  <si>
    <t>SurgeTime</t>
  </si>
  <si>
    <t>SurgeIndex</t>
  </si>
  <si>
    <t>ImposeMinimumSpeedForSurgeDetection</t>
  </si>
  <si>
    <t>MinimumSpeedForSurgeDetection</t>
  </si>
  <si>
    <t>InletMolarWeight</t>
  </si>
  <si>
    <t>MaxHeadValue</t>
  </si>
  <si>
    <t>MinHeadValue</t>
  </si>
  <si>
    <t>MaxRatioValue</t>
  </si>
  <si>
    <t>MinRatioValue</t>
  </si>
  <si>
    <t>MouseRatioValue</t>
  </si>
  <si>
    <t>MaxFlowValue</t>
  </si>
  <si>
    <t>MinFlowValue</t>
  </si>
  <si>
    <t>MouseFlowValue</t>
  </si>
  <si>
    <t>IsFixedCompressionRatio</t>
  </si>
  <si>
    <t>FixedCompressionRatio</t>
  </si>
  <si>
    <t>IsComputedSpeed</t>
  </si>
  <si>
    <t>NumberOfCurvesPoints</t>
  </si>
  <si>
    <t>ElectricalHeater</t>
  </si>
  <si>
    <t>OnOff</t>
  </si>
  <si>
    <t>ExchEnthalpy</t>
  </si>
  <si>
    <t>PowerTc</t>
  </si>
  <si>
    <t>EfficiencyCoeff</t>
  </si>
  <si>
    <t>PreviousEfficiencyCoef</t>
  </si>
  <si>
    <t>PreviousTubeFouling</t>
  </si>
  <si>
    <t>FoulingSwitch</t>
  </si>
  <si>
    <t>MinFlow</t>
  </si>
  <si>
    <t>FailureStatus</t>
  </si>
  <si>
    <t>FlowGenerator</t>
  </si>
  <si>
    <t>Kind</t>
  </si>
  <si>
    <t>FixedMassFlow</t>
  </si>
  <si>
    <t>RequiredMassFlow</t>
  </si>
  <si>
    <t>RequiredVolumeFlow</t>
  </si>
  <si>
    <t>MaxPressureDifference</t>
  </si>
  <si>
    <t>MinPressureAtInlet</t>
  </si>
  <si>
    <t>PressureDifference</t>
  </si>
  <si>
    <t>VolumeFlow</t>
  </si>
  <si>
    <t>XY</t>
  </si>
  <si>
    <t>ReInitialise</t>
  </si>
  <si>
    <t>FunctionType</t>
  </si>
  <si>
    <t>PointNumberX</t>
  </si>
  <si>
    <t>PointNumberY</t>
  </si>
  <si>
    <t>XTable</t>
  </si>
  <si>
    <t>YTable</t>
  </si>
  <si>
    <t>XTable2D</t>
  </si>
  <si>
    <t>YTable2D</t>
  </si>
  <si>
    <t>ZTable2D</t>
  </si>
  <si>
    <t>UseDerivative</t>
  </si>
  <si>
    <t>FirstDerivative</t>
  </si>
  <si>
    <t>LastDerivative</t>
  </si>
  <si>
    <t>Strain</t>
  </si>
  <si>
    <t>Test</t>
  </si>
  <si>
    <t>TestPointNumber</t>
  </si>
  <si>
    <t>XTestTable</t>
  </si>
  <si>
    <t>YTestTable</t>
  </si>
  <si>
    <t>ZTestTable</t>
  </si>
  <si>
    <t>X</t>
  </si>
  <si>
    <t>Y</t>
  </si>
  <si>
    <t>UseDerivativeFix</t>
  </si>
  <si>
    <t>TestData1D</t>
  </si>
  <si>
    <t>ColumnBottom</t>
  </si>
  <si>
    <t>TotalMassInput</t>
  </si>
  <si>
    <t>TotalMassAccumulation</t>
  </si>
  <si>
    <t>TotalMassOutput</t>
  </si>
  <si>
    <t>TotalMassBalance</t>
  </si>
  <si>
    <t>TotalMoleInput</t>
  </si>
  <si>
    <t>TotalMoleAccumulation</t>
  </si>
  <si>
    <t>TotalMoleOutput</t>
  </si>
  <si>
    <t>TotalMoleBalance</t>
  </si>
  <si>
    <t>BaffleHeight</t>
  </si>
  <si>
    <t>LeftCompartmentLength</t>
  </si>
  <si>
    <t>RightCompartmentLength</t>
  </si>
  <si>
    <t>ToReboilerFlow</t>
  </si>
  <si>
    <t>ColumnOilInletMassFlow</t>
  </si>
  <si>
    <t>ColumnVapourOutletMassFlow</t>
  </si>
  <si>
    <t>ToReboilerMassFlow</t>
  </si>
  <si>
    <t>FromReboilerMassFlow</t>
  </si>
  <si>
    <t>LeftLevel</t>
  </si>
  <si>
    <t>RightLevel</t>
  </si>
  <si>
    <t>BaffleLevel</t>
  </si>
  <si>
    <t>LiquidTemperature</t>
  </si>
  <si>
    <t>LeftLiquidTemperature</t>
  </si>
  <si>
    <t>RightLiquidTemperature</t>
  </si>
  <si>
    <t>LeftWallTemperature</t>
  </si>
  <si>
    <t>RightWallTemperature</t>
  </si>
  <si>
    <t>LeftVaporizedFraction</t>
  </si>
  <si>
    <t>RightVaporizedFraction</t>
  </si>
  <si>
    <t>RightSection</t>
  </si>
  <si>
    <t>LeftSection</t>
  </si>
  <si>
    <t>BaffleVolume</t>
  </si>
  <si>
    <t>LeftBaffleVolume</t>
  </si>
  <si>
    <t>RightBaffleVolume</t>
  </si>
  <si>
    <t>LeftLiquidVolume</t>
  </si>
  <si>
    <t>RightLiquidVolume</t>
  </si>
  <si>
    <t>LiquidHeight</t>
  </si>
  <si>
    <t>LeftLiquidHeight</t>
  </si>
  <si>
    <t>RightLiquidHeight</t>
  </si>
  <si>
    <t>CurrentVersion</t>
  </si>
  <si>
    <t>Shaft</t>
  </si>
  <si>
    <t>ShaftInertia</t>
  </si>
  <si>
    <t>ShaftFriction</t>
  </si>
  <si>
    <t>ShaftFrictionCoef</t>
  </si>
  <si>
    <t>ImposedSpeedIndicator</t>
  </si>
  <si>
    <t>ImposedRotSpeed</t>
  </si>
  <si>
    <t>RotatingSpeed</t>
  </si>
  <si>
    <t>Inertia</t>
  </si>
  <si>
    <t>Column</t>
  </si>
  <si>
    <t>TrayAltitude</t>
  </si>
  <si>
    <t>ImposedTopPressure</t>
  </si>
  <si>
    <t>CalculatePressureFromTop</t>
  </si>
  <si>
    <t>InitializeColumn</t>
  </si>
  <si>
    <t>UpdateInternalStreams</t>
  </si>
  <si>
    <t>IdenticalTrays</t>
  </si>
  <si>
    <t>TrayNumber</t>
  </si>
  <si>
    <t>HeadHeight</t>
  </si>
  <si>
    <t>WeirHeight</t>
  </si>
  <si>
    <t>WeirHeights</t>
  </si>
  <si>
    <t>TraySection</t>
  </si>
  <si>
    <t>TraySections</t>
  </si>
  <si>
    <t>TrayEfficiencies</t>
  </si>
  <si>
    <t>HeadExternalHeatExchangeCoeff</t>
  </si>
  <si>
    <t>TrayExternalHeatExchangeCoeff</t>
  </si>
  <si>
    <t>GasPressureDropCoeff</t>
  </si>
  <si>
    <t>GasPressureDropCoeffs</t>
  </si>
  <si>
    <t>OilFlowingCoeff</t>
  </si>
  <si>
    <t>OilFlowingCoeffs</t>
  </si>
  <si>
    <t>NodeWeight</t>
  </si>
  <si>
    <t>StabilizingVolume</t>
  </si>
  <si>
    <t>MinimalTrayPressureDrop</t>
  </si>
  <si>
    <t>MaximalTrayPressureDrop</t>
  </si>
  <si>
    <t>TrayIn</t>
  </si>
  <si>
    <t>TrayOut</t>
  </si>
  <si>
    <t>TrayGasOut</t>
  </si>
  <si>
    <t>ProfilesRange</t>
  </si>
  <si>
    <t>ProfilesColor</t>
  </si>
  <si>
    <t>AutoSetRanges</t>
  </si>
  <si>
    <t>OutletGasFlow</t>
  </si>
  <si>
    <t>NodeAccumulation</t>
  </si>
  <si>
    <t>ColumnTopology</t>
  </si>
  <si>
    <t>Profiles</t>
  </si>
  <si>
    <t>MassBalance</t>
  </si>
  <si>
    <t>MolarBalance</t>
  </si>
  <si>
    <t>LiqAccumulation</t>
  </si>
  <si>
    <t>TopAccumulationDyanmicRatio</t>
  </si>
  <si>
    <t>PreviousGasFlow</t>
  </si>
  <si>
    <t>GasFlowCoeff</t>
  </si>
  <si>
    <t>CorrectionFactor</t>
  </si>
  <si>
    <t>DutyToTray</t>
  </si>
  <si>
    <t>Ramp</t>
  </si>
  <si>
    <t>slope</t>
  </si>
  <si>
    <t>Target</t>
  </si>
  <si>
    <t>minimum</t>
  </si>
  <si>
    <t>maximum</t>
  </si>
  <si>
    <t>enable</t>
  </si>
  <si>
    <t>TargetHasChanged</t>
  </si>
  <si>
    <t>ConstanteTemps</t>
  </si>
  <si>
    <t>ThermodynamicAreaTrans</t>
  </si>
  <si>
    <t>ThermodynamicMode</t>
  </si>
  <si>
    <t>ForceCompoChange</t>
  </si>
  <si>
    <t>AutomaticFilling</t>
  </si>
  <si>
    <t>ComponentsMatrix</t>
  </si>
  <si>
    <t>ReverseComponentsMatrix</t>
  </si>
  <si>
    <t>InletMolarFlow</t>
  </si>
  <si>
    <t>OutletMolarFlow</t>
  </si>
  <si>
    <t>MolarFlowError</t>
  </si>
  <si>
    <t>MolarWeightsTable</t>
  </si>
  <si>
    <t>ReverseMolarWeightsTable</t>
  </si>
  <si>
    <t>ScrubberThreePhase</t>
  </si>
  <si>
    <t>VolumeInFunctionOfLevelArraySize</t>
  </si>
  <si>
    <t>VolumeInFunctionOfLevelArray</t>
  </si>
  <si>
    <t>RangeLevelCalculation</t>
  </si>
  <si>
    <t>OilMinLevel</t>
  </si>
  <si>
    <t>OilMaxLevel</t>
  </si>
  <si>
    <t>WaterMinLevel</t>
  </si>
  <si>
    <t>WaterMaxLevel</t>
  </si>
  <si>
    <t>HydrostaticPressureCalculation</t>
  </si>
  <si>
    <t>AuxiliaryEquilibriumConstantsGasOilTable</t>
  </si>
  <si>
    <t>AuxiliaryEquilibriumConstantsOilWaterTable</t>
  </si>
  <si>
    <t>Dispersion</t>
  </si>
  <si>
    <t>PercentOilInGas</t>
  </si>
  <si>
    <t>PercentGasInOil</t>
  </si>
  <si>
    <t>PercentWaterInOil</t>
  </si>
  <si>
    <t>PercentOilInWater</t>
  </si>
  <si>
    <t>PercentGasInWater</t>
  </si>
  <si>
    <t>PercentWaterInGas</t>
  </si>
  <si>
    <t>StaticOilLevel</t>
  </si>
  <si>
    <t>StaticWaterLevel</t>
  </si>
  <si>
    <t>OilLevelAbs</t>
  </si>
  <si>
    <t>WaterLevelAbs</t>
  </si>
  <si>
    <t>OilLevelAbsPercent</t>
  </si>
  <si>
    <t>WaterLevelAbsPercent</t>
  </si>
  <si>
    <t>EquilibriumType</t>
  </si>
  <si>
    <t>UORelaxCoefficient</t>
  </si>
  <si>
    <t>AirBagRelaxCoefficient</t>
  </si>
  <si>
    <t>AirBagBrake</t>
  </si>
  <si>
    <t>AirBagNominalPressure</t>
  </si>
  <si>
    <t>FlashCalls</t>
  </si>
  <si>
    <t>MolesAccumulated</t>
  </si>
  <si>
    <t>HeatAccumulated</t>
  </si>
  <si>
    <t>NumberOfCompounds</t>
  </si>
  <si>
    <t>EnthalpySolverTolerance</t>
  </si>
  <si>
    <t>EnthalpySolverTemperatureTolerance</t>
  </si>
  <si>
    <t>LLHSolverTMax</t>
  </si>
  <si>
    <t>LLHSolverTMin</t>
  </si>
  <si>
    <t>EnthalpySolver</t>
  </si>
  <si>
    <t>IndissPlus_CSOUT</t>
  </si>
  <si>
    <t>VelocityLimiter</t>
  </si>
  <si>
    <t>MaxDerivative</t>
  </si>
  <si>
    <t>MinDerivative</t>
  </si>
  <si>
    <t>Active</t>
  </si>
  <si>
    <t>LimitedValue</t>
  </si>
  <si>
    <t>DAC</t>
  </si>
  <si>
    <t>FalseValue</t>
  </si>
  <si>
    <t>TrueValue</t>
  </si>
  <si>
    <t>LogicState</t>
  </si>
  <si>
    <t>AnalogicState</t>
  </si>
  <si>
    <t>Non</t>
  </si>
  <si>
    <t>BornierBooleen</t>
  </si>
  <si>
    <t>LogicTest</t>
  </si>
  <si>
    <t>Value1</t>
  </si>
  <si>
    <t>Value2</t>
  </si>
  <si>
    <t>Operand</t>
  </si>
  <si>
    <t>HDTBed</t>
  </si>
  <si>
    <t>ReactorType</t>
  </si>
  <si>
    <t>ReactionComputationType</t>
  </si>
  <si>
    <t>HydraulicComputationType</t>
  </si>
  <si>
    <t>NominalActivity</t>
  </si>
  <si>
    <t>FreshFeedValveName</t>
  </si>
  <si>
    <t>SpaceVelocity</t>
  </si>
  <si>
    <t>HDS</t>
  </si>
  <si>
    <t>HDN</t>
  </si>
  <si>
    <t>HDO</t>
  </si>
  <si>
    <t>THERMAL_CRACKING</t>
  </si>
  <si>
    <t>HDOl</t>
  </si>
  <si>
    <t>HDDOl</t>
  </si>
  <si>
    <t>HDA</t>
  </si>
  <si>
    <t>HYDROCRACKING</t>
  </si>
  <si>
    <t>HDP_PMW</t>
  </si>
  <si>
    <t>HDOl_OlMW</t>
  </si>
  <si>
    <t>HDDOl_DOlMW</t>
  </si>
  <si>
    <t>HDA_AMW</t>
  </si>
  <si>
    <t>HDL_LMW</t>
  </si>
  <si>
    <t>InitDistribution</t>
  </si>
  <si>
    <t>SelectTable</t>
  </si>
  <si>
    <t>Distribution</t>
  </si>
  <si>
    <t>Hreac_S</t>
  </si>
  <si>
    <t>Hreac_N</t>
  </si>
  <si>
    <t>Hreac_O</t>
  </si>
  <si>
    <t>Hreac_HYDRO</t>
  </si>
  <si>
    <t>Hreac_HYDROAromatics</t>
  </si>
  <si>
    <t>Hreac_THERMAL_CRACKING</t>
  </si>
  <si>
    <t>Hreac_HYDROCRACKING</t>
  </si>
  <si>
    <t>HeatExchCoeff</t>
  </si>
  <si>
    <t>CatalystDensity</t>
  </si>
  <si>
    <t>CatalystCp</t>
  </si>
  <si>
    <t>BedDiameter</t>
  </si>
  <si>
    <t>BedLength</t>
  </si>
  <si>
    <t>TemperatureSensorLevel</t>
  </si>
  <si>
    <t>TemperatureSensorPlace</t>
  </si>
  <si>
    <t>HydraulicDiameter</t>
  </si>
  <si>
    <t>ShapeFactor</t>
  </si>
  <si>
    <t>BedFreeVolumeFactor</t>
  </si>
  <si>
    <t>FrictionFactor</t>
  </si>
  <si>
    <t>CatalystPorosity</t>
  </si>
  <si>
    <t>InternalCoefficient</t>
  </si>
  <si>
    <t>FirstErgunCoefficient</t>
  </si>
  <si>
    <t>SecondErgunCoefficient</t>
  </si>
  <si>
    <t>StaticCoefficient</t>
  </si>
  <si>
    <t>BalancE</t>
  </si>
  <si>
    <t>Verbose</t>
  </si>
  <si>
    <t>TuningComputation</t>
  </si>
  <si>
    <t>ReactionTemperature_Tuning</t>
  </si>
  <si>
    <t>ContentInlet_Tuning</t>
  </si>
  <si>
    <t>ContentOutlet_Tuning</t>
  </si>
  <si>
    <t>InletNominalMassFrac</t>
  </si>
  <si>
    <t>OutletNominalMassFrac</t>
  </si>
  <si>
    <t>SkinTemperatureTuningFactor</t>
  </si>
  <si>
    <t>HDS_PreexponentialFactor</t>
  </si>
  <si>
    <t>HDN_PreexponentialFactor</t>
  </si>
  <si>
    <t>HDO_PreexponentialFactor</t>
  </si>
  <si>
    <t>THERMAL_CRACKING_PreexponentialFactor</t>
  </si>
  <si>
    <t>HDOl_PreexponentialFactor</t>
  </si>
  <si>
    <t>HDDOl_PreexponentialFactor</t>
  </si>
  <si>
    <t>HDA_PreexponentialFactor</t>
  </si>
  <si>
    <t>HDHC_PreexponentialFactor</t>
  </si>
  <si>
    <t>MinimumZVVH</t>
  </si>
  <si>
    <t>Hreac_N_Tuning</t>
  </si>
  <si>
    <t>Hreac_O_Tuning</t>
  </si>
  <si>
    <t>Hreac_S_Tuning</t>
  </si>
  <si>
    <t>Hreac_THERMAL_CRACKING_Tuning</t>
  </si>
  <si>
    <t>Hreac_HYDRO_Tuning</t>
  </si>
  <si>
    <t>Hreac_HYDROAromatics_Tuning</t>
  </si>
  <si>
    <t>Hreac_HYDROCRACKING_Tuning</t>
  </si>
  <si>
    <t>IterationNumberTuning</t>
  </si>
  <si>
    <t>CatalystMass</t>
  </si>
  <si>
    <t>BedVolume</t>
  </si>
  <si>
    <t>ExchangeSurface</t>
  </si>
  <si>
    <t>ActualActivity</t>
  </si>
  <si>
    <t>ContentInlet</t>
  </si>
  <si>
    <t>ContentOutlet</t>
  </si>
  <si>
    <t>VVH</t>
  </si>
  <si>
    <t>LHSV</t>
  </si>
  <si>
    <t>PPH2</t>
  </si>
  <si>
    <t>FeedReactivity</t>
  </si>
  <si>
    <t>InternalTemperature</t>
  </si>
  <si>
    <t>SkinTemperature</t>
  </si>
  <si>
    <t>FoulingFactor</t>
  </si>
  <si>
    <t>CatalystCokedFraction</t>
  </si>
  <si>
    <t>CokingTemperature</t>
  </si>
  <si>
    <t>CokingTimeConstant</t>
  </si>
  <si>
    <t>CokingIntegrator</t>
  </si>
  <si>
    <t>WeightFlow00</t>
  </si>
  <si>
    <t>WeightFlow01</t>
  </si>
  <si>
    <t>WeightFlow02</t>
  </si>
  <si>
    <t>WeightFlow03</t>
  </si>
  <si>
    <t>WeightFlow04</t>
  </si>
  <si>
    <t>MolarFlowRates</t>
  </si>
  <si>
    <t>CorrectedDistribution</t>
  </si>
  <si>
    <t>IsLimitingReactant</t>
  </si>
  <si>
    <t>DistributionSumThreshold</t>
  </si>
  <si>
    <t>NumberDistribution</t>
  </si>
  <si>
    <t>MinConstantDistribution</t>
  </si>
  <si>
    <t>MaxConstantDistribution</t>
  </si>
  <si>
    <t>Password</t>
  </si>
  <si>
    <t>Furnace</t>
  </si>
  <si>
    <t>Igniter</t>
  </si>
  <si>
    <t>ComponentsBurntTable</t>
  </si>
  <si>
    <t>FormationEnthalpyComputation</t>
  </si>
  <si>
    <t>CompleteCombustion</t>
  </si>
  <si>
    <t>ActivateCOReaction</t>
  </si>
  <si>
    <t>COPreExponentialFactor</t>
  </si>
  <si>
    <t>COAdvancement</t>
  </si>
  <si>
    <t>NOPreExponential</t>
  </si>
  <si>
    <t>NO2PreExponential</t>
  </si>
  <si>
    <t>NOEnergy</t>
  </si>
  <si>
    <t>NO2Energy</t>
  </si>
  <si>
    <t>TubeThermalYield</t>
  </si>
  <si>
    <t>GeometricCoeff</t>
  </si>
  <si>
    <t>SmokeEmissivityCoeff</t>
  </si>
  <si>
    <t>NominalSmokeFlow</t>
  </si>
  <si>
    <t>MaxOilPressure</t>
  </si>
  <si>
    <t>MaxVaporMassFlow</t>
  </si>
  <si>
    <t>PiloteSmotheringO2Exces</t>
  </si>
  <si>
    <t>GasSmotheringO2Exces</t>
  </si>
  <si>
    <t>GasBlowingO2Exces</t>
  </si>
  <si>
    <t>OilSmotheringO2Exces</t>
  </si>
  <si>
    <t>OilBlowingO2Exces</t>
  </si>
  <si>
    <t>FlameMinFlow</t>
  </si>
  <si>
    <t>ExtinctionFlameDelay</t>
  </si>
  <si>
    <t>SmokeAccumulationInit</t>
  </si>
  <si>
    <t>CoilsActivation</t>
  </si>
  <si>
    <t>CoilsSurface</t>
  </si>
  <si>
    <t>CoilsConvectionCoeff</t>
  </si>
  <si>
    <t>CoilsTemperature</t>
  </si>
  <si>
    <t>CoilsActive</t>
  </si>
  <si>
    <t>CoilsNominalSmokeFlow</t>
  </si>
  <si>
    <t>CoilsSmokeFlow</t>
  </si>
  <si>
    <t>Flame</t>
  </si>
  <si>
    <t>PiloteFlame</t>
  </si>
  <si>
    <t>GasFlame</t>
  </si>
  <si>
    <t>OilFlame</t>
  </si>
  <si>
    <t>O2Excess</t>
  </si>
  <si>
    <t>UnburntFuelOilMassFlow</t>
  </si>
  <si>
    <t>LHV</t>
  </si>
  <si>
    <t>AdiabaticFlameTemperature</t>
  </si>
  <si>
    <t>TotalPower</t>
  </si>
  <si>
    <t>RadiationToTube</t>
  </si>
  <si>
    <t>ConvectionToTube</t>
  </si>
  <si>
    <t>InitCO2</t>
  </si>
  <si>
    <t>SolverInformation</t>
  </si>
  <si>
    <t>MolarFlowBeforeComb</t>
  </si>
  <si>
    <t>MolarFlowAfterComb</t>
  </si>
  <si>
    <t>FormationEnthalpy</t>
  </si>
  <si>
    <t>CoilsSmokeTemperature</t>
  </si>
  <si>
    <t>CoilsSmokeTemperatures</t>
  </si>
  <si>
    <t>CoilsTotalPower</t>
  </si>
  <si>
    <t>CoilsPower</t>
  </si>
  <si>
    <t>CoilsSolverError</t>
  </si>
  <si>
    <t>CoilsSolverStatus</t>
  </si>
  <si>
    <t>CoilsFEvals</t>
  </si>
  <si>
    <t>NO2ThermoTuningFactor</t>
  </si>
  <si>
    <t>GasShiftThermoTuningFactor</t>
  </si>
  <si>
    <t>PowerPropagationTime</t>
  </si>
  <si>
    <t>MinConvectionFlowPercent</t>
  </si>
  <si>
    <t>CombustionResult</t>
  </si>
  <si>
    <t>Expander</t>
  </si>
  <si>
    <t>IsentropicTransformation</t>
  </si>
  <si>
    <t>ImposedIsentropicCoeff</t>
  </si>
  <si>
    <t>NominalWheelRadius</t>
  </si>
  <si>
    <t>NominalPressureRatioTable</t>
  </si>
  <si>
    <t>NominalVolumeFlowTable</t>
  </si>
  <si>
    <t>IsentropicYieldTable</t>
  </si>
  <si>
    <t>ExternalHeatCoeff</t>
  </si>
  <si>
    <t>InternalHeatCoeff</t>
  </si>
  <si>
    <t>ExpanderHeatCapacity</t>
  </si>
  <si>
    <t>NominalMachNumber</t>
  </si>
  <si>
    <t>RotationSpeed</t>
  </si>
  <si>
    <t>PressureRatioTable</t>
  </si>
  <si>
    <t>VolumeFlowTable</t>
  </si>
  <si>
    <t>PressureRatio</t>
  </si>
  <si>
    <t>ExpanderTemperature</t>
  </si>
  <si>
    <t>MechanicalPower</t>
  </si>
  <si>
    <t>LiquidDetection</t>
  </si>
  <si>
    <t>GasLiquidColumnNode</t>
  </si>
  <si>
    <t>ComponentsTransferringTable</t>
  </si>
  <si>
    <t>HandlingComplex</t>
  </si>
  <si>
    <t>ResetComplexData</t>
  </si>
  <si>
    <t>IsComplexTable</t>
  </si>
  <si>
    <t>ComplexStoichiometryTable</t>
  </si>
  <si>
    <t>ComplexationEnthalpyTable</t>
  </si>
  <si>
    <t>TransferModel</t>
  </si>
  <si>
    <t>ComputationMode</t>
  </si>
  <si>
    <t>EquilibriumConstantsTable</t>
  </si>
  <si>
    <t>HenryConstants</t>
  </si>
  <si>
    <t>HenryTemperatureDeps</t>
  </si>
  <si>
    <t>NTUTable</t>
  </si>
  <si>
    <t>TransferEnthalpyTable</t>
  </si>
  <si>
    <t>DispersedPhase</t>
  </si>
  <si>
    <t>StaticFitMode</t>
  </si>
  <si>
    <t>DisengagementFromTop</t>
  </si>
  <si>
    <t>DisengagementFromBottom</t>
  </si>
  <si>
    <t>NETP</t>
  </si>
  <si>
    <t>HETP</t>
  </si>
  <si>
    <t>HeatTransferMode</t>
  </si>
  <si>
    <t>AmineMode</t>
  </si>
  <si>
    <t>OleumMode</t>
  </si>
  <si>
    <t>Validation</t>
  </si>
  <si>
    <t>GasPhaseExternalHeatExchangeCoeff</t>
  </si>
  <si>
    <t>LiquidPhaseExternalHeatExchangeCoeff</t>
  </si>
  <si>
    <t>NominalLiquidMassFlow</t>
  </si>
  <si>
    <t>LightDiffusionCoeffTable</t>
  </si>
  <si>
    <t>HeavyDiffusionCoeffTable</t>
  </si>
  <si>
    <t>ReferencePhase</t>
  </si>
  <si>
    <t>Defects</t>
  </si>
  <si>
    <t>H2SStrippingDataSet</t>
  </si>
  <si>
    <t>CO2StrippingDataSet</t>
  </si>
  <si>
    <t>GasFeedTemperature</t>
  </si>
  <si>
    <t>LiquidFeedTemperature</t>
  </si>
  <si>
    <t>GasFeedFlowRate</t>
  </si>
  <si>
    <t>LiquidFeedFlowRate</t>
  </si>
  <si>
    <t>GasOutletFlowRate</t>
  </si>
  <si>
    <t>LiquidOutletFlowRate</t>
  </si>
  <si>
    <t>OperatingTemperature</t>
  </si>
  <si>
    <t>GasOutletConcentrations</t>
  </si>
  <si>
    <t>LiquidOutletConcentrations</t>
  </si>
  <si>
    <t>GasInletConcentrations</t>
  </si>
  <si>
    <t>LiquidInletConcentrations</t>
  </si>
  <si>
    <t>GasOutletTemperature</t>
  </si>
  <si>
    <t>LiquidOutletTemperature</t>
  </si>
  <si>
    <t>LiquidPhaseHoldUp</t>
  </si>
  <si>
    <t>LiquidOutletPressure</t>
  </si>
  <si>
    <t>GasOutletPressure</t>
  </si>
  <si>
    <t>HTUTable</t>
  </si>
  <si>
    <t>OverridingMassTransfer</t>
  </si>
  <si>
    <t>SkimmingAccumulation</t>
  </si>
  <si>
    <t>SkimmingOutletFlow</t>
  </si>
  <si>
    <t>BottomPowerInput</t>
  </si>
  <si>
    <t>BoilerMassFlow</t>
  </si>
  <si>
    <t>LightOutletConcentrations</t>
  </si>
  <si>
    <t>HeavyOutletConcentrations</t>
  </si>
  <si>
    <t>LiquidPhaseVelocity</t>
  </si>
  <si>
    <t>GasPhaseVelocity</t>
  </si>
  <si>
    <t>HydraulicDropSize</t>
  </si>
  <si>
    <t>MassTransferEfficiency</t>
  </si>
  <si>
    <t>DensityDifference</t>
  </si>
  <si>
    <t>LightPhaseThermodynamicCoherence</t>
  </si>
  <si>
    <t>HeavyPhaseThermodynamicCoherence</t>
  </si>
  <si>
    <t>LiquidPhaseMassFlow</t>
  </si>
  <si>
    <t>Foaming</t>
  </si>
  <si>
    <t>ComponentsForSkimming</t>
  </si>
  <si>
    <t>SkimmedPhase</t>
  </si>
  <si>
    <t>GasPhaseEntrainment</t>
  </si>
  <si>
    <t>LiquidPhaseEntrainment</t>
  </si>
  <si>
    <t>Fouling</t>
  </si>
  <si>
    <t>Degradation</t>
  </si>
  <si>
    <t>DegradationTemperature</t>
  </si>
  <si>
    <t>DegradationTimeConstant</t>
  </si>
  <si>
    <t>DegradationIntegrator</t>
  </si>
  <si>
    <t>ComponentsForSearch</t>
  </si>
  <si>
    <t>Start_m</t>
  </si>
  <si>
    <t>q</t>
  </si>
  <si>
    <t>StepFactor</t>
  </si>
  <si>
    <t>NTUArray</t>
  </si>
  <si>
    <t>CharacteristicVelocity</t>
  </si>
  <si>
    <t>PerCentFlooding</t>
  </si>
  <si>
    <t>EnthalpyBalancePrecision</t>
  </si>
  <si>
    <t>PressureLoss</t>
  </si>
  <si>
    <t>PerfectGas</t>
  </si>
  <si>
    <t>GasPhaseHeatExchangeDuty</t>
  </si>
  <si>
    <t>LiquidPhaseHeatExchangeDuty</t>
  </si>
  <si>
    <t>H2STuningFactor</t>
  </si>
  <si>
    <t>CO2TuningFactor</t>
  </si>
  <si>
    <t>OleumTuningFactor</t>
  </si>
  <si>
    <t>MassBalanceMin</t>
  </si>
  <si>
    <t>MassBalanceMax</t>
  </si>
  <si>
    <t>FloodingStiffness</t>
  </si>
  <si>
    <t>HeavyStaticPower</t>
  </si>
  <si>
    <t>LightStaticPower</t>
  </si>
  <si>
    <t>LightEnthalpyTuningFactor</t>
  </si>
  <si>
    <t>HeavyEnthalpyTuningFactor</t>
  </si>
  <si>
    <t>ComplexNumber</t>
  </si>
  <si>
    <t>ComponentsNumber</t>
  </si>
  <si>
    <t>GasOutletMaxFlow</t>
  </si>
  <si>
    <t>KettleNode</t>
  </si>
  <si>
    <t>GeometryComputationType</t>
  </si>
  <si>
    <t>ExternalConvectionCoefficient</t>
  </si>
  <si>
    <t>TubeGasConvectionCoefficient</t>
  </si>
  <si>
    <t>TubeLiqConvectionCoefficient</t>
  </si>
  <si>
    <t>TubeHeightMax</t>
  </si>
  <si>
    <t>TubeHeightMin</t>
  </si>
  <si>
    <t>LiquidEntrainmentLimit</t>
  </si>
  <si>
    <t>GasFlow</t>
  </si>
  <si>
    <t>LiquidFlow</t>
  </si>
  <si>
    <t>PowerToGas</t>
  </si>
  <si>
    <t>PowerToLiq</t>
  </si>
  <si>
    <t>SubmergedTubeSurface</t>
  </si>
  <si>
    <t>EmergedTubeSurface</t>
  </si>
  <si>
    <t>VapourCreated</t>
  </si>
  <si>
    <t>PowerFromExternal</t>
  </si>
  <si>
    <t>PowerIterationNumber</t>
  </si>
  <si>
    <t>AdditionalVolume</t>
  </si>
  <si>
    <t>Types List</t>
    <phoneticPr fontId="14" type="noConversion"/>
  </si>
  <si>
    <t>Simulator :</t>
    <phoneticPr fontId="14" type="noConversion"/>
  </si>
  <si>
    <t>Type Name</t>
    <phoneticPr fontId="14" type="noConversion"/>
  </si>
  <si>
    <t>Variable</t>
    <phoneticPr fontId="14" type="noConversion"/>
  </si>
  <si>
    <t>CDU4</t>
    <phoneticPr fontId="14" type="noConversion"/>
  </si>
  <si>
    <t>TZ2102_BTM</t>
  </si>
  <si>
    <t>TZ2102</t>
    <phoneticPr fontId="14" type="noConversion"/>
  </si>
  <si>
    <t>TZ2103_BTM</t>
    <phoneticPr fontId="14" type="noConversion"/>
  </si>
  <si>
    <t>EZ2109A_B</t>
    <phoneticPr fontId="14" type="noConversion"/>
  </si>
  <si>
    <t>EZ2109A</t>
  </si>
  <si>
    <t>EZ2109A_B</t>
  </si>
  <si>
    <t>EZ2109B</t>
  </si>
  <si>
    <t>EZ2110A_D</t>
    <phoneticPr fontId="14" type="noConversion"/>
  </si>
  <si>
    <t>EZ2110AB</t>
  </si>
  <si>
    <t>EZ2110A_D</t>
  </si>
  <si>
    <t>EZ2110CD</t>
  </si>
  <si>
    <t>EZ2111A_B</t>
  </si>
  <si>
    <t>EZ2111A</t>
  </si>
  <si>
    <t>EZ2111B</t>
  </si>
  <si>
    <t>M_PZ2106A</t>
  </si>
  <si>
    <t>M_PZ2106B</t>
  </si>
  <si>
    <t>M_PZ2103A</t>
  </si>
  <si>
    <t>M_PZ2103B</t>
  </si>
  <si>
    <t>M_PZ2104A</t>
  </si>
  <si>
    <t>M_PZ2105B</t>
  </si>
  <si>
    <t>M_PZ2105A</t>
  </si>
  <si>
    <t>M_PZ2104B</t>
  </si>
  <si>
    <t>M_PZ2104C</t>
  </si>
  <si>
    <t>RVZ1023S</t>
    <phoneticPr fontId="14" type="noConversion"/>
  </si>
  <si>
    <t>1008MN04</t>
  </si>
  <si>
    <t>1008MN02</t>
  </si>
  <si>
    <t>2</t>
    <phoneticPr fontId="14" type="noConversion"/>
  </si>
  <si>
    <t>1008MN01</t>
  </si>
  <si>
    <t>1008MN03</t>
  </si>
  <si>
    <t>1101MN01</t>
  </si>
  <si>
    <t>1101MN02</t>
  </si>
  <si>
    <t>1101MN03</t>
  </si>
  <si>
    <t>1101MN04</t>
  </si>
  <si>
    <t>1101MN05</t>
  </si>
  <si>
    <t>1101MN06</t>
  </si>
  <si>
    <t>1101MN07</t>
  </si>
  <si>
    <t>1101MN08</t>
  </si>
  <si>
    <t>1101MN09</t>
  </si>
  <si>
    <t>1101MN10</t>
  </si>
  <si>
    <t>1101MN11</t>
  </si>
  <si>
    <t>1101MN14</t>
  </si>
  <si>
    <t>1101MN16</t>
  </si>
  <si>
    <t>1101MN17</t>
  </si>
  <si>
    <t>1101MN15</t>
  </si>
  <si>
    <t>1101MN13</t>
  </si>
  <si>
    <t>1101MN18</t>
  </si>
  <si>
    <t>1101MN21</t>
  </si>
  <si>
    <t>1101MN20</t>
  </si>
  <si>
    <t>1101MN19</t>
  </si>
  <si>
    <t>1102MN2</t>
  </si>
  <si>
    <t>1102MN11</t>
  </si>
  <si>
    <t>1102MN3</t>
  </si>
  <si>
    <t>1102MN16</t>
  </si>
  <si>
    <t>1102MN17</t>
  </si>
  <si>
    <t>1102MN14</t>
  </si>
  <si>
    <t>1102MN21</t>
  </si>
  <si>
    <t>1102MN4</t>
  </si>
  <si>
    <t>1102MN5</t>
  </si>
  <si>
    <t>1102MN18</t>
  </si>
  <si>
    <t>1102MN6</t>
  </si>
  <si>
    <t>1102MN12</t>
  </si>
  <si>
    <t>1102MN13</t>
  </si>
  <si>
    <t>1102MN1</t>
  </si>
  <si>
    <t>1102MN9</t>
  </si>
  <si>
    <t>1102MN20</t>
  </si>
  <si>
    <t>1102MN8</t>
  </si>
  <si>
    <t>1102MN10</t>
  </si>
  <si>
    <t>1102MN19</t>
  </si>
  <si>
    <t>1102MN15</t>
  </si>
  <si>
    <t>1102MN7</t>
  </si>
  <si>
    <t>24</t>
    <phoneticPr fontId="14" type="noConversion"/>
  </si>
  <si>
    <t>2108MN01</t>
  </si>
  <si>
    <t>2108MN04</t>
  </si>
  <si>
    <t>2108MN05</t>
  </si>
  <si>
    <t>2108MN06</t>
  </si>
  <si>
    <t>2108MN07</t>
  </si>
  <si>
    <t>2108MN12</t>
  </si>
  <si>
    <t>2108MN13</t>
  </si>
  <si>
    <t>2108MN14</t>
  </si>
  <si>
    <t>2108MN15</t>
  </si>
  <si>
    <t>2108MN16</t>
  </si>
  <si>
    <t>2108MN17</t>
  </si>
  <si>
    <t>2108MN18</t>
  </si>
  <si>
    <t>2108MN19</t>
  </si>
  <si>
    <t>2108MN20</t>
  </si>
  <si>
    <t>2108MN21</t>
  </si>
  <si>
    <t>2108MN24</t>
  </si>
  <si>
    <t>2107MN02</t>
  </si>
  <si>
    <t>2107MN03</t>
  </si>
  <si>
    <t>2107MN05</t>
  </si>
  <si>
    <t>2107MN06</t>
  </si>
  <si>
    <t>2107MN07</t>
  </si>
  <si>
    <t>2107MN08</t>
  </si>
  <si>
    <t>2107MN11</t>
  </si>
  <si>
    <t>2107MN13</t>
  </si>
  <si>
    <t>2107MN15</t>
  </si>
  <si>
    <t>2107MN16</t>
  </si>
  <si>
    <t>2107MN19</t>
  </si>
  <si>
    <t>2107MN20</t>
  </si>
  <si>
    <t>2107MN21</t>
  </si>
  <si>
    <t>2</t>
    <phoneticPr fontId="14" type="noConversion"/>
  </si>
  <si>
    <t>A_2108MV01</t>
  </si>
  <si>
    <t>A_2108MV03</t>
  </si>
  <si>
    <t>A_2108MV04</t>
  </si>
  <si>
    <t>3</t>
    <phoneticPr fontId="14" type="noConversion"/>
  </si>
  <si>
    <t>A_2108MV15</t>
  </si>
  <si>
    <t>6</t>
    <phoneticPr fontId="14" type="noConversion"/>
  </si>
  <si>
    <t>1</t>
    <phoneticPr fontId="14" type="noConversion"/>
  </si>
  <si>
    <t>A_2108MV21</t>
  </si>
  <si>
    <t>A_2108MV22</t>
  </si>
  <si>
    <t>A_FVZ1017</t>
    <phoneticPr fontId="14" type="noConversion"/>
  </si>
  <si>
    <t>A_FVZ1018</t>
    <phoneticPr fontId="14" type="noConversion"/>
  </si>
  <si>
    <t>A_FVZ1019</t>
    <phoneticPr fontId="14" type="noConversion"/>
  </si>
  <si>
    <t>A_FVZ1069</t>
    <phoneticPr fontId="14" type="noConversion"/>
  </si>
  <si>
    <t>12</t>
    <phoneticPr fontId="14" type="noConversion"/>
  </si>
  <si>
    <t>A_MVD_PZ2106A</t>
  </si>
  <si>
    <t>A_MVD_PZ2106B</t>
  </si>
  <si>
    <t>A_MVD_PZ2106C</t>
  </si>
  <si>
    <t>A_XCVZ2101B</t>
  </si>
  <si>
    <t>8</t>
    <phoneticPr fontId="14" type="noConversion"/>
  </si>
  <si>
    <t>A_2108MV02</t>
  </si>
  <si>
    <t>10</t>
    <phoneticPr fontId="14" type="noConversion"/>
  </si>
  <si>
    <t>A_2108MV05</t>
  </si>
  <si>
    <t>A_2108MV06</t>
  </si>
  <si>
    <t>A_2108MV07</t>
  </si>
  <si>
    <t>A_2108MV08</t>
  </si>
  <si>
    <t>A_2108MV09</t>
  </si>
  <si>
    <t>A_2108MV10</t>
  </si>
  <si>
    <t>A_2108MV11</t>
  </si>
  <si>
    <t>A_2108MV12</t>
  </si>
  <si>
    <t>A_2108MV13</t>
  </si>
  <si>
    <t>A_2108MV16</t>
  </si>
  <si>
    <t>A_2108MV17</t>
  </si>
  <si>
    <t>A_2108MV18</t>
  </si>
  <si>
    <t>A_2108MV19</t>
  </si>
  <si>
    <t>A_FVZ1070</t>
  </si>
  <si>
    <t>A_FVZ1071</t>
  </si>
  <si>
    <t>A_LVZ1019</t>
  </si>
  <si>
    <t>A_LVZ1024A</t>
  </si>
  <si>
    <t>A_LVZ1024B</t>
  </si>
  <si>
    <t>A_LVZ1027</t>
  </si>
  <si>
    <t>A_LVZ1028</t>
  </si>
  <si>
    <t>A_PVZ1010</t>
  </si>
  <si>
    <t>A_XCVZ1005</t>
  </si>
  <si>
    <t>A_2107MV01</t>
  </si>
  <si>
    <t>A_2107MV02</t>
  </si>
  <si>
    <t>A_2107MV03</t>
  </si>
  <si>
    <t>A_2107MV04</t>
  </si>
  <si>
    <t>A_2107MV05</t>
  </si>
  <si>
    <t>A_2107MV06</t>
  </si>
  <si>
    <t>A_2107MV07</t>
  </si>
  <si>
    <t>A_2107MV08</t>
  </si>
  <si>
    <t>A_2107MV09</t>
  </si>
  <si>
    <t>A_2107MV10</t>
  </si>
  <si>
    <t>A_2107MV11</t>
  </si>
  <si>
    <t>A_2107MV12</t>
  </si>
  <si>
    <t>4</t>
    <phoneticPr fontId="14" type="noConversion"/>
  </si>
  <si>
    <t>A_2107MV13</t>
  </si>
  <si>
    <t>A_2107MV14</t>
  </si>
  <si>
    <t>A_2107MV15</t>
  </si>
  <si>
    <t>A_2107MV16</t>
  </si>
  <si>
    <t>A_2107MV17</t>
  </si>
  <si>
    <t>A_2107MV18</t>
  </si>
  <si>
    <t>A_TVZ1012</t>
  </si>
  <si>
    <t>FVZ1019</t>
  </si>
  <si>
    <t>FVZ1018</t>
  </si>
  <si>
    <t>FVZ1017</t>
  </si>
  <si>
    <t>PVZ1010</t>
  </si>
  <si>
    <t>LVZ1028</t>
  </si>
  <si>
    <t>LVZ1027</t>
  </si>
  <si>
    <t>LVZ1024B</t>
  </si>
  <si>
    <t>LVZ1024A</t>
  </si>
  <si>
    <t>LVZ1019</t>
  </si>
  <si>
    <t>FVZ1070</t>
  </si>
  <si>
    <t>TVZ1012</t>
  </si>
  <si>
    <t>FVZ1069</t>
    <phoneticPr fontId="14" type="noConversion"/>
  </si>
  <si>
    <t>OVERVIEW.2104</t>
  </si>
  <si>
    <t>EZ2113A_B</t>
    <phoneticPr fontId="14" type="noConversion"/>
  </si>
  <si>
    <t>DZ2108</t>
  </si>
  <si>
    <t>DZ2851</t>
  </si>
  <si>
    <t>DZ2852</t>
  </si>
  <si>
    <t>DZ2102</t>
    <phoneticPr fontId="14" type="noConversion"/>
  </si>
  <si>
    <t>DZ2107</t>
    <phoneticPr fontId="14" type="noConversion"/>
  </si>
  <si>
    <t>EZ2102A_D</t>
    <phoneticPr fontId="14" type="noConversion"/>
  </si>
  <si>
    <t>EZ2103A_B</t>
    <phoneticPr fontId="14" type="noConversion"/>
  </si>
  <si>
    <t>EZ2103A</t>
    <phoneticPr fontId="14" type="noConversion"/>
  </si>
  <si>
    <t>EZ2103B</t>
    <phoneticPr fontId="14" type="noConversion"/>
  </si>
  <si>
    <t>OVERVIEW.2101</t>
  </si>
  <si>
    <t>EZ2119A_D</t>
    <phoneticPr fontId="14" type="noConversion"/>
  </si>
  <si>
    <t>EZ2101A_F</t>
    <phoneticPr fontId="14" type="noConversion"/>
  </si>
  <si>
    <t>EZ2102CD</t>
    <phoneticPr fontId="14" type="noConversion"/>
  </si>
  <si>
    <t>M_PZ2112A</t>
    <phoneticPr fontId="14" type="noConversion"/>
  </si>
  <si>
    <t>M_PZ2111</t>
    <phoneticPr fontId="14" type="noConversion"/>
  </si>
  <si>
    <t>M_PZ2158</t>
    <phoneticPr fontId="14" type="noConversion"/>
  </si>
  <si>
    <t>M_PZ2122</t>
    <phoneticPr fontId="14" type="noConversion"/>
  </si>
  <si>
    <t>2101MN01</t>
  </si>
  <si>
    <t>2101MN02</t>
  </si>
  <si>
    <t>2101MN04</t>
  </si>
  <si>
    <t>2101MN05</t>
  </si>
  <si>
    <t>2101MN08</t>
  </si>
  <si>
    <t>2102MN02</t>
  </si>
  <si>
    <t>2102MN03</t>
  </si>
  <si>
    <t>2102MN04</t>
  </si>
  <si>
    <t>2102MN06</t>
  </si>
  <si>
    <t>2102MN07</t>
  </si>
  <si>
    <t>2102MN09</t>
  </si>
  <si>
    <t>2102MN14</t>
  </si>
  <si>
    <t>2102MN15</t>
  </si>
  <si>
    <t>2102MN20</t>
  </si>
  <si>
    <t>2103MN02</t>
  </si>
  <si>
    <t>2103MN03</t>
  </si>
  <si>
    <t>2103MN04</t>
  </si>
  <si>
    <t>2103MN05</t>
  </si>
  <si>
    <t>2103MN07</t>
  </si>
  <si>
    <t>2103MN09</t>
  </si>
  <si>
    <t>2103MN10</t>
  </si>
  <si>
    <t>2103MN11</t>
  </si>
  <si>
    <t>1801MN01</t>
  </si>
  <si>
    <t>1801MN02</t>
  </si>
  <si>
    <t>1801MN03</t>
  </si>
  <si>
    <t>1801MN04</t>
  </si>
  <si>
    <t>1801MN05</t>
  </si>
  <si>
    <t>1801MN06</t>
  </si>
  <si>
    <t>1801MN07</t>
  </si>
  <si>
    <t>A_2102MV02</t>
  </si>
  <si>
    <t>A_2102MV03</t>
  </si>
  <si>
    <t>A_2102MV04</t>
  </si>
  <si>
    <t>A_2102MV05</t>
  </si>
  <si>
    <t>0.75</t>
    <phoneticPr fontId="14" type="noConversion"/>
  </si>
  <si>
    <t>A_2102MV06</t>
  </si>
  <si>
    <t>A_2102MV07</t>
  </si>
  <si>
    <t>3</t>
    <phoneticPr fontId="14" type="noConversion"/>
  </si>
  <si>
    <t>A_2102MV11</t>
  </si>
  <si>
    <t>A_2102MV12</t>
  </si>
  <si>
    <t>A_2102MV13</t>
  </si>
  <si>
    <t>A_2102MV14</t>
  </si>
  <si>
    <t>A_2102MV15</t>
  </si>
  <si>
    <t>A_2102MV16</t>
  </si>
  <si>
    <t>A_FVZ1002</t>
  </si>
  <si>
    <t>A_MVD_PZ2112A</t>
  </si>
  <si>
    <t>A_MVD_PZ2112B</t>
  </si>
  <si>
    <t>1</t>
    <phoneticPr fontId="14" type="noConversion"/>
  </si>
  <si>
    <t>A_MVD_PZ2117A</t>
  </si>
  <si>
    <t>A_TVZ1001</t>
  </si>
  <si>
    <t>A_2103MV01</t>
  </si>
  <si>
    <t>A_2103MV02</t>
  </si>
  <si>
    <t>A_2103MV03</t>
  </si>
  <si>
    <t>A_2103MV04</t>
  </si>
  <si>
    <t>A_2103MV05</t>
    <phoneticPr fontId="14" type="noConversion"/>
  </si>
  <si>
    <t>A_2103MV06</t>
  </si>
  <si>
    <t>A_2103MV07</t>
  </si>
  <si>
    <t>A_2103MV08</t>
  </si>
  <si>
    <t>A_2103MV09</t>
  </si>
  <si>
    <t>A_FVZ1061</t>
  </si>
  <si>
    <t>A_FVZ1062</t>
  </si>
  <si>
    <t>A_FVZ1086</t>
  </si>
  <si>
    <t>A_LVZ1005</t>
  </si>
  <si>
    <t>A_MVD_PZ2111</t>
  </si>
  <si>
    <t>A_MVD_PZ2122</t>
  </si>
  <si>
    <t>A_MVD_PZ2158</t>
  </si>
  <si>
    <t>A_PVZ1001</t>
  </si>
  <si>
    <t>A_XCVZ10129</t>
    <phoneticPr fontId="14" type="noConversion"/>
  </si>
  <si>
    <t>A_XCVZ1021</t>
    <phoneticPr fontId="14" type="noConversion"/>
  </si>
  <si>
    <t>A_XCVZ1091A</t>
    <phoneticPr fontId="14" type="noConversion"/>
  </si>
  <si>
    <t>A_XCVZ1091B</t>
    <phoneticPr fontId="14" type="noConversion"/>
  </si>
  <si>
    <t>A_1801MV01</t>
  </si>
  <si>
    <t>A_1801MV02</t>
  </si>
  <si>
    <t>A_1801MV03</t>
  </si>
  <si>
    <t>A_1801MV04</t>
  </si>
  <si>
    <t>A_1801MV05</t>
  </si>
  <si>
    <t>A_FVZ4002</t>
  </si>
  <si>
    <t>A_LVZ4001</t>
  </si>
  <si>
    <t>A_LVZ4003</t>
  </si>
  <si>
    <t>A_MVD_PZ2855A</t>
    <phoneticPr fontId="14" type="noConversion"/>
  </si>
  <si>
    <t>A_MVD_PZ2855B</t>
  </si>
  <si>
    <t>A_PVZ4001A</t>
  </si>
  <si>
    <t>A_PVZ4001B</t>
  </si>
  <si>
    <t>FVZ1060</t>
  </si>
  <si>
    <t>TVZ1001</t>
    <phoneticPr fontId="14" type="noConversion"/>
  </si>
  <si>
    <t>FVZ1061</t>
  </si>
  <si>
    <t>FVZ1062</t>
  </si>
  <si>
    <t>FVZ1086</t>
  </si>
  <si>
    <t>LVZ1010</t>
    <phoneticPr fontId="14" type="noConversion"/>
  </si>
  <si>
    <t>LVZ1005</t>
  </si>
  <si>
    <t>PVZ1001</t>
  </si>
  <si>
    <t>XCVZ1021</t>
    <phoneticPr fontId="14" type="noConversion"/>
  </si>
  <si>
    <t>FVZ4002</t>
  </si>
  <si>
    <t>LVZ4001</t>
  </si>
  <si>
    <t>LVZ4003</t>
  </si>
  <si>
    <t>PVZ4001A</t>
  </si>
  <si>
    <t>FVZ1002</t>
    <phoneticPr fontId="14" type="noConversion"/>
  </si>
  <si>
    <t>FVZ1001</t>
    <phoneticPr fontId="14" type="noConversion"/>
  </si>
  <si>
    <t>ProcessDisplay</t>
    <phoneticPr fontId="14" type="noConversion"/>
  </si>
  <si>
    <t>PICZ4001</t>
    <phoneticPr fontId="14" type="noConversion"/>
  </si>
  <si>
    <t>TZ2101</t>
    <phoneticPr fontId="14" type="noConversion"/>
  </si>
  <si>
    <t>TZ2101_BTM</t>
    <phoneticPr fontId="14" type="noConversion"/>
  </si>
  <si>
    <t>2102MN01</t>
    <phoneticPr fontId="14" type="noConversion"/>
  </si>
  <si>
    <t>2102MN08</t>
    <phoneticPr fontId="14" type="noConversion"/>
  </si>
  <si>
    <t>2101MN03</t>
    <phoneticPr fontId="14" type="noConversion"/>
  </si>
  <si>
    <t>2101MN09</t>
    <phoneticPr fontId="14" type="noConversion"/>
  </si>
  <si>
    <t>2103MN06</t>
    <phoneticPr fontId="14" type="noConversion"/>
  </si>
  <si>
    <t>M_PZ2112B</t>
    <phoneticPr fontId="14" type="noConversion"/>
  </si>
  <si>
    <t>PZ2151A</t>
    <phoneticPr fontId="14" type="noConversion"/>
  </si>
  <si>
    <t>A_2102MV01</t>
    <phoneticPr fontId="14" type="noConversion"/>
  </si>
  <si>
    <t>A_2102MV08</t>
    <phoneticPr fontId="14" type="noConversion"/>
  </si>
  <si>
    <t>A_1004MV14</t>
    <phoneticPr fontId="14" type="noConversion"/>
  </si>
  <si>
    <t>RVZ1010S</t>
    <phoneticPr fontId="14" type="noConversion"/>
  </si>
  <si>
    <t>DZ3002 LEVEL</t>
    <phoneticPr fontId="14" type="noConversion"/>
  </si>
  <si>
    <t>DHT LP SEPARATOR</t>
    <phoneticPr fontId="14" type="noConversion"/>
  </si>
  <si>
    <t>OVERVIEW.2107</t>
  </si>
  <si>
    <t>CDU OVHD PRODUCT / DHT BYPASS</t>
    <phoneticPr fontId="14" type="noConversion"/>
  </si>
  <si>
    <t>EZ2151C INLET</t>
    <phoneticPr fontId="14" type="noConversion"/>
  </si>
  <si>
    <t>EZ2151D OUTLET</t>
    <phoneticPr fontId="14" type="noConversion"/>
  </si>
  <si>
    <t>EZ2151E OUTLET</t>
    <phoneticPr fontId="14" type="noConversion"/>
  </si>
  <si>
    <t>EZ2151A OUTLET</t>
    <phoneticPr fontId="14" type="noConversion"/>
  </si>
  <si>
    <t>barg</t>
    <phoneticPr fontId="14" type="noConversion"/>
  </si>
  <si>
    <t>T_FIAZ5013</t>
    <phoneticPr fontId="14" type="noConversion"/>
  </si>
  <si>
    <t>T_FITZ5017</t>
    <phoneticPr fontId="14" type="noConversion"/>
  </si>
  <si>
    <t>T_FIZ1039</t>
  </si>
  <si>
    <t>T_FIAZ1031</t>
  </si>
  <si>
    <t>T_TIZ10101</t>
  </si>
  <si>
    <t>T_TIZ10102</t>
  </si>
  <si>
    <t>T_TIZ10103</t>
  </si>
  <si>
    <t>T_TIZ10104</t>
  </si>
  <si>
    <t>T_TIZ10105</t>
  </si>
  <si>
    <t>T_TIZ10106</t>
  </si>
  <si>
    <t>T_TIZ10194</t>
  </si>
  <si>
    <t>T_TIZ1021</t>
  </si>
  <si>
    <t>T_PIAZ10139</t>
  </si>
  <si>
    <t>T_PIAZ10127</t>
  </si>
  <si>
    <t>T_PIAZ10121</t>
  </si>
  <si>
    <t>T_PIAZ10125</t>
  </si>
  <si>
    <t>T_PIZ10125A</t>
  </si>
  <si>
    <t>T_PIZ10125B</t>
  </si>
  <si>
    <t>T_PIZ10180</t>
  </si>
  <si>
    <t>T_PIZ10184</t>
  </si>
  <si>
    <t>T_PDIZ1096</t>
  </si>
  <si>
    <t>T_PDIZ1100</t>
  </si>
  <si>
    <t>T_PDIZ10142</t>
  </si>
  <si>
    <t>T_AIZ1008A</t>
  </si>
  <si>
    <t>T_AIZ1008B</t>
  </si>
  <si>
    <t>T_TIZ3016</t>
  </si>
  <si>
    <t>T_TIZ3017A</t>
  </si>
  <si>
    <t>T_FIZ1061</t>
  </si>
  <si>
    <t>T_PTZ5014</t>
  </si>
  <si>
    <t>T_PTZ3083</t>
  </si>
  <si>
    <t>T_FICZ3006</t>
  </si>
  <si>
    <t>T_FICZ3007</t>
  </si>
  <si>
    <t>T_FICZ3008</t>
  </si>
  <si>
    <t>T_TICZ3006</t>
  </si>
  <si>
    <t>T_TTZ3014</t>
  </si>
  <si>
    <t>T_TICZ3049</t>
  </si>
  <si>
    <t>T_PICZ3014</t>
  </si>
  <si>
    <t>T_LICAZ3008</t>
  </si>
  <si>
    <t>T_LICAZ3009</t>
  </si>
  <si>
    <t>T_TTZ3014C</t>
  </si>
  <si>
    <t>T_TIZ3006B</t>
  </si>
  <si>
    <t>T_PIZ3013</t>
  </si>
  <si>
    <t>T_AIZ3003B</t>
  </si>
  <si>
    <t>T_FICZ3010</t>
  </si>
  <si>
    <t>T_TICZ3008</t>
  </si>
  <si>
    <t>T_PICZ3004</t>
  </si>
  <si>
    <t>T_LICAZ3012</t>
  </si>
  <si>
    <t>T_TIZ3032</t>
  </si>
  <si>
    <t>T_TIZ3033</t>
  </si>
  <si>
    <t>T_TIZ3034</t>
  </si>
  <si>
    <t>T_AIZ3001A</t>
  </si>
  <si>
    <t>T_AIZ3001B</t>
  </si>
  <si>
    <t>T_AIZ3001D</t>
  </si>
  <si>
    <t>T_VIZ3001A</t>
  </si>
  <si>
    <t>T_VIZ3001B</t>
  </si>
  <si>
    <t>Psuct_PZ2205A</t>
  </si>
  <si>
    <t>Pdisch_PZ2205A</t>
  </si>
  <si>
    <t>Psuct_PZ2205B</t>
  </si>
  <si>
    <t>Pdisch_PZ2205B</t>
  </si>
  <si>
    <t>T_TIZ10145</t>
    <phoneticPr fontId="14" type="noConversion"/>
  </si>
  <si>
    <t>TIZ10146</t>
    <phoneticPr fontId="14" type="noConversion"/>
  </si>
  <si>
    <t>T_TIZ10146</t>
    <phoneticPr fontId="14" type="noConversion"/>
  </si>
  <si>
    <t>FVZ1002</t>
    <phoneticPr fontId="14" type="noConversion"/>
  </si>
  <si>
    <t>FVZ1062</t>
    <phoneticPr fontId="14" type="noConversion"/>
  </si>
  <si>
    <t>FCVZ1045</t>
    <phoneticPr fontId="14" type="noConversion"/>
  </si>
  <si>
    <t>FVZ1060</t>
    <phoneticPr fontId="14" type="noConversion"/>
  </si>
  <si>
    <t>FVZ1069</t>
    <phoneticPr fontId="14" type="noConversion"/>
  </si>
  <si>
    <t>FVZ1001</t>
    <phoneticPr fontId="16" type="noConversion"/>
  </si>
  <si>
    <t>FVZ1017</t>
    <phoneticPr fontId="16" type="noConversion"/>
  </si>
  <si>
    <t>FVZ1018</t>
    <phoneticPr fontId="16" type="noConversion"/>
  </si>
  <si>
    <t>FCV10241</t>
  </si>
  <si>
    <t>FCV10241</t>
    <phoneticPr fontId="16" type="noConversion"/>
  </si>
  <si>
    <t>FCV1024</t>
  </si>
  <si>
    <t>FCVZ1032</t>
    <phoneticPr fontId="14" type="noConversion"/>
  </si>
  <si>
    <t>FCVZ1033</t>
    <phoneticPr fontId="16" type="noConversion"/>
  </si>
  <si>
    <t>FCVZ1034</t>
    <phoneticPr fontId="14" type="noConversion"/>
  </si>
  <si>
    <t>FCVZ1035</t>
    <phoneticPr fontId="14" type="noConversion"/>
  </si>
  <si>
    <t>FCVZ1036</t>
    <phoneticPr fontId="14" type="noConversion"/>
  </si>
  <si>
    <t>FCVZ1037</t>
    <phoneticPr fontId="14" type="noConversion"/>
  </si>
  <si>
    <t>FCVZ1038</t>
    <phoneticPr fontId="14" type="noConversion"/>
  </si>
  <si>
    <t>FCVZ1039</t>
    <phoneticPr fontId="14" type="noConversion"/>
  </si>
  <si>
    <t>FCV1085A</t>
  </si>
  <si>
    <t>FCV1085A</t>
    <phoneticPr fontId="16" type="noConversion"/>
  </si>
  <si>
    <t>FCVZ3006</t>
    <phoneticPr fontId="14" type="noConversion"/>
  </si>
  <si>
    <t>FCVZ3007</t>
    <phoneticPr fontId="14" type="noConversion"/>
  </si>
  <si>
    <t>FCVZ3013</t>
    <phoneticPr fontId="14" type="noConversion"/>
  </si>
  <si>
    <t>FCVZ3014</t>
    <phoneticPr fontId="14" type="noConversion"/>
  </si>
  <si>
    <t>FCVZ3015</t>
    <phoneticPr fontId="14" type="noConversion"/>
  </si>
  <si>
    <t>FCVZ3016</t>
    <phoneticPr fontId="14" type="noConversion"/>
  </si>
  <si>
    <t>FCVZ3017</t>
    <phoneticPr fontId="14" type="noConversion"/>
  </si>
  <si>
    <t>FCVZ3018</t>
    <phoneticPr fontId="14" type="noConversion"/>
  </si>
  <si>
    <t>FCVZ3019</t>
    <phoneticPr fontId="14" type="noConversion"/>
  </si>
  <si>
    <t>FCVZ3020</t>
    <phoneticPr fontId="14" type="noConversion"/>
  </si>
  <si>
    <t>TVZ1009</t>
  </si>
  <si>
    <t>TVZ1009</t>
    <phoneticPr fontId="16" type="noConversion"/>
  </si>
  <si>
    <t>HCVZ3004</t>
    <phoneticPr fontId="16" type="noConversion"/>
  </si>
  <si>
    <t>LCV1052</t>
  </si>
  <si>
    <t>LCV1031</t>
  </si>
  <si>
    <t>LCV1031</t>
    <phoneticPr fontId="16" type="noConversion"/>
  </si>
  <si>
    <t>LVZ3006</t>
    <phoneticPr fontId="14" type="noConversion"/>
  </si>
  <si>
    <t>LCV1033</t>
  </si>
  <si>
    <t>LCV1033</t>
    <phoneticPr fontId="16" type="noConversion"/>
  </si>
  <si>
    <t>LCV1034</t>
  </si>
  <si>
    <t>LCV1034</t>
    <phoneticPr fontId="14" type="noConversion"/>
  </si>
  <si>
    <t>PVZ2010</t>
    <phoneticPr fontId="14" type="noConversion"/>
  </si>
  <si>
    <t>PCVZ3010A</t>
    <phoneticPr fontId="16" type="noConversion"/>
  </si>
  <si>
    <t>PCVZ3014</t>
    <phoneticPr fontId="14" type="noConversion"/>
  </si>
  <si>
    <t>TCVZ3006A</t>
    <phoneticPr fontId="16" type="noConversion"/>
  </si>
  <si>
    <t>TCVZ3006B</t>
    <phoneticPr fontId="16" type="noConversion"/>
  </si>
  <si>
    <t>PCVZ3010B</t>
    <phoneticPr fontId="16" type="noConversion"/>
  </si>
  <si>
    <t>TCVZ3049</t>
    <phoneticPr fontId="16" type="noConversion"/>
  </si>
  <si>
    <t>FCV1085B</t>
  </si>
  <si>
    <t>FCV1085B</t>
    <phoneticPr fontId="16" type="noConversion"/>
  </si>
  <si>
    <t>FCVZ3001A</t>
    <phoneticPr fontId="16" type="noConversion"/>
  </si>
  <si>
    <t>XCVZ3001</t>
    <phoneticPr fontId="16" type="noConversion"/>
  </si>
  <si>
    <t>FCVZ3001B</t>
    <phoneticPr fontId="16" type="noConversion"/>
  </si>
  <si>
    <t>XCVZ1005</t>
  </si>
  <si>
    <t>LVZ1043</t>
  </si>
  <si>
    <t>PVZ3001A</t>
  </si>
  <si>
    <t>PVZ3001B</t>
  </si>
  <si>
    <t>A_FCVZ1094</t>
  </si>
  <si>
    <t>A_FVZ1060</t>
  </si>
  <si>
    <t>A_FVZ1069</t>
  </si>
  <si>
    <t>A_FVZ1001</t>
  </si>
  <si>
    <t>A_FVZ1017</t>
  </si>
  <si>
    <t>A_FVZ1018</t>
  </si>
  <si>
    <t>A_FVZ1019</t>
  </si>
  <si>
    <t>A_FCV10241</t>
  </si>
  <si>
    <t>A_FCV1024</t>
  </si>
  <si>
    <t>A_FCVZ1032</t>
  </si>
  <si>
    <t>A_FCV1085A</t>
  </si>
  <si>
    <t>A_LVZ3006</t>
  </si>
  <si>
    <t>A_FCVZ3008</t>
  </si>
  <si>
    <t>A_PCVZ1017</t>
  </si>
  <si>
    <t>A_TVZ1009</t>
  </si>
  <si>
    <t>A_LCV1052</t>
  </si>
  <si>
    <t>A_LCV1031</t>
  </si>
  <si>
    <t>A_LCV1033</t>
  </si>
  <si>
    <t>A_LCV1034</t>
  </si>
  <si>
    <t>A_LVZ1043</t>
  </si>
  <si>
    <t>A_LVZ1010</t>
  </si>
  <si>
    <t>A_PVZ3001A</t>
  </si>
  <si>
    <t>A_TCVZ3006B</t>
  </si>
  <si>
    <t>A_PVZ3001B</t>
  </si>
  <si>
    <t>A_PCVZ3010B</t>
  </si>
  <si>
    <t>A_XCVZ4009</t>
  </si>
  <si>
    <t>A_FCV1085B</t>
  </si>
  <si>
    <t>A_PCVZ10119</t>
  </si>
  <si>
    <t>A_XCVZ3008B</t>
  </si>
  <si>
    <t>A_FCVZ1011</t>
    <phoneticPr fontId="14" type="noConversion"/>
  </si>
  <si>
    <t>Tag NO.</t>
    <phoneticPr fontId="16" type="noConversion"/>
  </si>
  <si>
    <t>Comment</t>
    <phoneticPr fontId="16" type="noConversion"/>
  </si>
  <si>
    <t>CV</t>
    <phoneticPr fontId="16" type="noConversion"/>
  </si>
  <si>
    <t>Failure mode</t>
    <phoneticPr fontId="16" type="noConversion"/>
  </si>
  <si>
    <t>Opentime</t>
    <phoneticPr fontId="16" type="noConversion"/>
  </si>
  <si>
    <t>Closetime</t>
    <phoneticPr fontId="16" type="noConversion"/>
  </si>
  <si>
    <t>Current opening position</t>
    <phoneticPr fontId="16" type="noConversion"/>
  </si>
  <si>
    <t>Current flow</t>
    <phoneticPr fontId="16" type="noConversion"/>
  </si>
  <si>
    <t>InletPressure</t>
    <phoneticPr fontId="16" type="noConversion"/>
  </si>
  <si>
    <t>OutletPressure</t>
    <phoneticPr fontId="16" type="noConversion"/>
  </si>
  <si>
    <t>DP</t>
    <phoneticPr fontId="16" type="noConversion"/>
  </si>
  <si>
    <t>gal/min</t>
    <phoneticPr fontId="16" type="noConversion"/>
  </si>
  <si>
    <t>second</t>
    <phoneticPr fontId="16" type="noConversion"/>
  </si>
  <si>
    <t>%</t>
    <phoneticPr fontId="16" type="noConversion"/>
  </si>
  <si>
    <t>GPM</t>
    <phoneticPr fontId="16" type="noConversion"/>
  </si>
  <si>
    <t>BPH</t>
    <phoneticPr fontId="16" type="noConversion"/>
  </si>
  <si>
    <t>psig</t>
    <phoneticPr fontId="16" type="noConversion"/>
  </si>
  <si>
    <t>psi</t>
    <phoneticPr fontId="16" type="noConversion"/>
  </si>
  <si>
    <t>gal/min</t>
    <phoneticPr fontId="14" type="noConversion"/>
  </si>
  <si>
    <t>%</t>
    <phoneticPr fontId="14" type="noConversion"/>
  </si>
  <si>
    <t>CharacteristicUsingTabulation</t>
    <phoneticPr fontId="14" type="noConversion"/>
  </si>
  <si>
    <t>RVZ2003B</t>
    <phoneticPr fontId="14" type="noConversion"/>
  </si>
  <si>
    <t>RVZ1021B</t>
    <phoneticPr fontId="14" type="noConversion"/>
  </si>
  <si>
    <t>RVZ1010A</t>
    <phoneticPr fontId="14" type="noConversion"/>
  </si>
  <si>
    <t>RVZ3004A</t>
    <phoneticPr fontId="14" type="noConversion"/>
  </si>
  <si>
    <t>RVZ2007A</t>
    <phoneticPr fontId="14" type="noConversion"/>
  </si>
  <si>
    <t>RVZ1021G</t>
    <phoneticPr fontId="14" type="noConversion"/>
  </si>
  <si>
    <t>RVZ1021F</t>
    <phoneticPr fontId="14" type="noConversion"/>
  </si>
  <si>
    <t>InletPressure</t>
    <phoneticPr fontId="14" type="noConversion"/>
  </si>
  <si>
    <t>OutletPressure</t>
    <phoneticPr fontId="14" type="noConversion"/>
  </si>
  <si>
    <t>PZ2107A</t>
    <phoneticPr fontId="14" type="noConversion"/>
  </si>
  <si>
    <t>PZ2102A</t>
    <phoneticPr fontId="14" type="noConversion"/>
  </si>
  <si>
    <t>ActualVolumeFlow</t>
    <phoneticPr fontId="14" type="noConversion"/>
  </si>
  <si>
    <t>OVERVIEW.2109A</t>
  </si>
  <si>
    <t>PZ2118B</t>
  </si>
  <si>
    <t>PZ2118A</t>
  </si>
  <si>
    <t>OVERVIEW.2123</t>
  </si>
  <si>
    <t>RVZ1029AB</t>
    <phoneticPr fontId="14" type="noConversion"/>
  </si>
  <si>
    <t>RVZ1029AB</t>
    <phoneticPr fontId="14" type="noConversion"/>
  </si>
  <si>
    <t>RVZ1029AB</t>
    <phoneticPr fontId="14" type="noConversion"/>
  </si>
  <si>
    <t>RVZ2104A</t>
    <phoneticPr fontId="14" type="noConversion"/>
  </si>
  <si>
    <t>RVZ2104A</t>
    <phoneticPr fontId="14" type="noConversion"/>
  </si>
  <si>
    <t>A_2106MV15</t>
  </si>
  <si>
    <t>OVERVIEW.2106</t>
  </si>
  <si>
    <t>A_2106MV16</t>
  </si>
  <si>
    <t>A_2123MV09</t>
  </si>
  <si>
    <t>A_2109MV01</t>
  </si>
  <si>
    <t>A_2106MV18</t>
  </si>
  <si>
    <t>A_2104MV13</t>
  </si>
  <si>
    <t>A_2106MV06</t>
  </si>
  <si>
    <t>A_LCV1032</t>
  </si>
  <si>
    <t>A_2203MV05</t>
  </si>
  <si>
    <t>OVERVIEW.2102B</t>
  </si>
  <si>
    <t>A_2106MV10</t>
  </si>
  <si>
    <t>A_2109MV04</t>
  </si>
  <si>
    <t>A_2101MV02</t>
  </si>
  <si>
    <t>A_2123MV01</t>
  </si>
  <si>
    <t>A_2106MV01</t>
  </si>
  <si>
    <t>A_2123MV02</t>
  </si>
  <si>
    <t>A_2106MV03</t>
  </si>
  <si>
    <t>A_MVD_PZ2107B</t>
  </si>
  <si>
    <t>A_2123MV10</t>
  </si>
  <si>
    <t>A_MVD_PZ2104A</t>
  </si>
  <si>
    <t>A_2123MV07</t>
  </si>
  <si>
    <t>A_2106MV08</t>
  </si>
  <si>
    <t>A_2104MV15</t>
  </si>
  <si>
    <t>A_2104MV16</t>
  </si>
  <si>
    <t>A_2109MV07</t>
  </si>
  <si>
    <t>A_MVD_PZ2108</t>
  </si>
  <si>
    <t>A_2101MV03</t>
  </si>
  <si>
    <t>A_2104MV11</t>
  </si>
  <si>
    <t>A_2101MV05</t>
  </si>
  <si>
    <t>A_2109MV03</t>
  </si>
  <si>
    <t>A_2202AMV03</t>
  </si>
  <si>
    <t>A_DP_HZ2101</t>
  </si>
  <si>
    <t>A_2123MV11</t>
  </si>
  <si>
    <t>A_2106MV02</t>
  </si>
  <si>
    <t>A_2106MV14</t>
  </si>
  <si>
    <t>A_MVD_PZ2104C</t>
  </si>
  <si>
    <t>A_2104MV05</t>
  </si>
  <si>
    <t>A_2101MV08</t>
  </si>
  <si>
    <t>A_2123MV12</t>
  </si>
  <si>
    <t>A_2109MV09</t>
  </si>
  <si>
    <t>A_2106MV05</t>
  </si>
  <si>
    <t>A_2104MV10</t>
  </si>
  <si>
    <t>A_2104MV03</t>
  </si>
  <si>
    <t>A_2101MV07</t>
  </si>
  <si>
    <t>A_2108MV23</t>
  </si>
  <si>
    <t>A_TVZ1011A</t>
  </si>
  <si>
    <t>A_2109MV12</t>
  </si>
  <si>
    <t>A_2202AMV02</t>
  </si>
  <si>
    <t>A_2104MV14</t>
  </si>
  <si>
    <t>A_MVD_PZ2104B</t>
  </si>
  <si>
    <t>A_2109MV06</t>
  </si>
  <si>
    <t>A_2104MV08</t>
  </si>
  <si>
    <t>A_MVD_PZ2107A</t>
  </si>
  <si>
    <t>A_2104MV12</t>
  </si>
  <si>
    <t>A_2109MV10</t>
  </si>
  <si>
    <t>A_2106MV27</t>
  </si>
  <si>
    <t>A_2104MV06</t>
  </si>
  <si>
    <t>A_MVD_PZ2118A</t>
  </si>
  <si>
    <t>A_PCVZ10110</t>
  </si>
  <si>
    <t>A_2101MV06</t>
  </si>
  <si>
    <t>A_2123MV03</t>
  </si>
  <si>
    <t>A_2109MV05</t>
  </si>
  <si>
    <t>A_2104MV07</t>
  </si>
  <si>
    <t>A_2104MV01</t>
  </si>
  <si>
    <t>A_MVD_PZ2105B</t>
  </si>
  <si>
    <t>A_2106MV04</t>
  </si>
  <si>
    <t>A_2202AMV04</t>
  </si>
  <si>
    <t>A_2106MV13</t>
  </si>
  <si>
    <t>A_MVD_PZ2118B</t>
  </si>
  <si>
    <t>A_2106MV19</t>
  </si>
  <si>
    <t>A_2106MV07</t>
  </si>
  <si>
    <t>A_2101MV01</t>
  </si>
  <si>
    <t>A_2106MV12</t>
  </si>
  <si>
    <t>A_2104MV09</t>
  </si>
  <si>
    <t>A_2104MV02</t>
  </si>
  <si>
    <t>A_2106MV09</t>
  </si>
  <si>
    <t>A_2123MV14</t>
  </si>
  <si>
    <t>A_2123MV08</t>
  </si>
  <si>
    <t>A_MVD_PZ2105A</t>
  </si>
  <si>
    <t>A_2123MV13</t>
  </si>
  <si>
    <t>A_2101MV04</t>
  </si>
  <si>
    <t>A_2123MV06</t>
  </si>
  <si>
    <t>A_XCVZ3022</t>
  </si>
  <si>
    <t>A_2123MV04</t>
  </si>
  <si>
    <t>A_2104MV04</t>
  </si>
  <si>
    <t>A_2202AMV01</t>
  </si>
  <si>
    <t>A_DP_HZ2201</t>
  </si>
  <si>
    <t>A_2102MV09</t>
  </si>
  <si>
    <t>A_2106MV17</t>
  </si>
  <si>
    <t>A_2109MV11</t>
  </si>
  <si>
    <t>TV2076</t>
  </si>
  <si>
    <t>LCV1032</t>
  </si>
  <si>
    <t>PCVZ2084</t>
  </si>
  <si>
    <t>PCVZ2079</t>
  </si>
  <si>
    <t>PCVZ10110</t>
  </si>
  <si>
    <t>PCVZ2031</t>
  </si>
  <si>
    <t>PCVZ2026</t>
  </si>
  <si>
    <t>Opening</t>
    <phoneticPr fontId="14" type="noConversion"/>
  </si>
  <si>
    <t>DeltaPressure</t>
    <phoneticPr fontId="14" type="noConversion"/>
  </si>
  <si>
    <t>VolumicFlow</t>
    <phoneticPr fontId="14" type="noConversion"/>
  </si>
  <si>
    <t>FCV5065</t>
    <phoneticPr fontId="16" type="noConversion"/>
  </si>
  <si>
    <t>A_FCV5065</t>
    <phoneticPr fontId="14" type="noConversion"/>
  </si>
  <si>
    <t>m2</t>
    <phoneticPr fontId="14" type="noConversion"/>
  </si>
  <si>
    <t>m</t>
    <phoneticPr fontId="14" type="noConversion"/>
  </si>
  <si>
    <t>kg/cm2</t>
    <phoneticPr fontId="14" type="noConversion"/>
  </si>
  <si>
    <t>kg/h</t>
    <phoneticPr fontId="16" type="noConversion"/>
  </si>
  <si>
    <t>kg/h</t>
    <phoneticPr fontId="14" type="noConversion"/>
  </si>
  <si>
    <t>EZ2121B</t>
  </si>
  <si>
    <t>EZ2127</t>
  </si>
  <si>
    <t>EZ2108C</t>
  </si>
  <si>
    <t>EZ2122</t>
  </si>
  <si>
    <t>EZ2107A</t>
  </si>
  <si>
    <t>EZ2108A</t>
  </si>
  <si>
    <t>EZ2125A</t>
  </si>
  <si>
    <t>EZ2118</t>
  </si>
  <si>
    <t>EZ2123</t>
  </si>
  <si>
    <t>EZ2105</t>
  </si>
  <si>
    <t>EZ2125B</t>
  </si>
  <si>
    <t>EZ2121A</t>
  </si>
  <si>
    <t>EZ2107B</t>
  </si>
  <si>
    <t>EZ2118</t>
    <phoneticPr fontId="16" type="noConversion"/>
  </si>
  <si>
    <t>TubeDeltaPressure</t>
    <phoneticPr fontId="14" type="noConversion"/>
  </si>
  <si>
    <t>ShellDeltaPressure</t>
    <phoneticPr fontId="14" type="noConversion"/>
  </si>
  <si>
    <t>Power</t>
    <phoneticPr fontId="14" type="noConversion"/>
  </si>
  <si>
    <t>Error :</t>
    <phoneticPr fontId="14" type="noConversion"/>
  </si>
  <si>
    <t>TubeInletTemperature</t>
    <phoneticPr fontId="14" type="noConversion"/>
  </si>
  <si>
    <t>TubeOutletTemperature</t>
    <phoneticPr fontId="14" type="noConversion"/>
  </si>
  <si>
    <t>ShellInletTemperature</t>
    <phoneticPr fontId="14" type="noConversion"/>
  </si>
  <si>
    <t>ShellOutletTemperature</t>
    <phoneticPr fontId="14" type="noConversion"/>
  </si>
  <si>
    <t>EZ2201A_B</t>
    <phoneticPr fontId="16" type="noConversion"/>
  </si>
  <si>
    <t>EZ2203A_B</t>
    <phoneticPr fontId="16" type="noConversion"/>
  </si>
  <si>
    <t>EZ2109A_B</t>
    <phoneticPr fontId="16" type="noConversion"/>
  </si>
  <si>
    <t>EZ2151A</t>
    <phoneticPr fontId="16" type="noConversion"/>
  </si>
  <si>
    <t>EZ2151B</t>
    <phoneticPr fontId="16" type="noConversion"/>
  </si>
  <si>
    <t>EZ2151D</t>
    <phoneticPr fontId="16" type="noConversion"/>
  </si>
  <si>
    <t>EZ2151C</t>
    <phoneticPr fontId="16" type="noConversion"/>
  </si>
  <si>
    <t>Tube side flow (Design)</t>
    <phoneticPr fontId="16" type="noConversion"/>
  </si>
  <si>
    <t>DeltaPressure</t>
    <phoneticPr fontId="14" type="noConversion"/>
  </si>
  <si>
    <t>InletTemperature</t>
    <phoneticPr fontId="14" type="noConversion"/>
  </si>
  <si>
    <t>OutletTemperature</t>
    <phoneticPr fontId="14" type="noConversion"/>
  </si>
  <si>
    <t>Duty</t>
    <phoneticPr fontId="14" type="noConversion"/>
  </si>
  <si>
    <t>EZ2115</t>
  </si>
  <si>
    <t>EZ2131AB</t>
  </si>
  <si>
    <t>EZ2114</t>
  </si>
  <si>
    <t>EZ2112A_N</t>
    <phoneticPr fontId="16" type="noConversion"/>
  </si>
  <si>
    <t>EZ2114</t>
    <phoneticPr fontId="16" type="noConversion"/>
  </si>
  <si>
    <t>EZ2115</t>
    <phoneticPr fontId="16" type="noConversion"/>
  </si>
  <si>
    <t>EZ2116A_C</t>
    <phoneticPr fontId="16" type="noConversion"/>
  </si>
  <si>
    <t>EZ2117A_C</t>
    <phoneticPr fontId="16" type="noConversion"/>
  </si>
  <si>
    <t>EZ2120A_F</t>
    <phoneticPr fontId="16" type="noConversion"/>
  </si>
  <si>
    <t>EZ2131A_B</t>
    <phoneticPr fontId="16" type="noConversion"/>
  </si>
  <si>
    <t>EZ2204A_F</t>
    <phoneticPr fontId="16" type="noConversion"/>
  </si>
  <si>
    <t>EZ2206A_T</t>
    <phoneticPr fontId="16" type="noConversion"/>
  </si>
  <si>
    <t>EZ2207A_B</t>
    <phoneticPr fontId="16" type="noConversion"/>
  </si>
  <si>
    <t>EZ2208A_D</t>
    <phoneticPr fontId="16" type="noConversion"/>
  </si>
  <si>
    <t>EZ2209A_D</t>
    <phoneticPr fontId="16" type="noConversion"/>
  </si>
  <si>
    <t>EZ2116A_C</t>
    <phoneticPr fontId="14" type="noConversion"/>
  </si>
  <si>
    <t>EZ2117A_C</t>
    <phoneticPr fontId="14" type="noConversion"/>
  </si>
  <si>
    <t>EZ2131A_B</t>
    <phoneticPr fontId="14" type="noConversion"/>
  </si>
  <si>
    <t>Buffel Height</t>
    <phoneticPr fontId="14" type="noConversion"/>
  </si>
  <si>
    <t>Current Temp.</t>
    <phoneticPr fontId="16" type="noConversion"/>
  </si>
  <si>
    <t>m</t>
    <phoneticPr fontId="14" type="noConversion"/>
  </si>
  <si>
    <t>DrumSeparatorV2</t>
    <phoneticPr fontId="14" type="noConversion"/>
  </si>
  <si>
    <t>DZ3004</t>
  </si>
  <si>
    <t>DZ2201</t>
  </si>
  <si>
    <t>Pressure</t>
    <phoneticPr fontId="14" type="noConversion"/>
  </si>
  <si>
    <t>Temperature</t>
    <phoneticPr fontId="14" type="noConversion"/>
  </si>
  <si>
    <t>Scrubber</t>
    <phoneticPr fontId="14" type="noConversion"/>
  </si>
  <si>
    <t>DZ2852</t>
    <phoneticPr fontId="14" type="noConversion"/>
  </si>
  <si>
    <t>TZ2104</t>
    <phoneticPr fontId="14" type="noConversion"/>
  </si>
  <si>
    <t>DZ2120B</t>
  </si>
  <si>
    <t>DZ2120A</t>
  </si>
  <si>
    <t>FluidTemperature</t>
    <phoneticPr fontId="14" type="noConversion"/>
  </si>
  <si>
    <t>ScrubberThreePhase</t>
    <phoneticPr fontId="14" type="noConversion"/>
  </si>
  <si>
    <t>FluidTemperature</t>
    <phoneticPr fontId="14" type="noConversion"/>
  </si>
  <si>
    <t>DZ2105</t>
    <phoneticPr fontId="14" type="noConversion"/>
  </si>
  <si>
    <t>Tank</t>
    <phoneticPr fontId="14" type="noConversion"/>
  </si>
  <si>
    <t>DZ2179</t>
    <phoneticPr fontId="16" type="noConversion"/>
  </si>
  <si>
    <t>ExternalPressure</t>
    <phoneticPr fontId="14" type="noConversion"/>
  </si>
  <si>
    <t>excess O2</t>
    <phoneticPr fontId="16" type="noConversion"/>
  </si>
  <si>
    <t>HZ2101</t>
  </si>
  <si>
    <t>HZ2201</t>
  </si>
  <si>
    <t>Volume</t>
    <phoneticPr fontId="14" type="noConversion"/>
  </si>
  <si>
    <t>TubeNumber</t>
    <phoneticPr fontId="14" type="noConversion"/>
  </si>
  <si>
    <t>ExternalTemperature</t>
    <phoneticPr fontId="14" type="noConversion"/>
  </si>
  <si>
    <t>LHV</t>
    <phoneticPr fontId="14" type="noConversion"/>
  </si>
  <si>
    <t>HZ2151</t>
    <phoneticPr fontId="14" type="noConversion"/>
  </si>
  <si>
    <t>Kcal/h</t>
    <phoneticPr fontId="16" type="noConversion"/>
  </si>
  <si>
    <t>BedDiameter</t>
    <phoneticPr fontId="14" type="noConversion"/>
  </si>
  <si>
    <t>BedLength</t>
    <phoneticPr fontId="14" type="noConversion"/>
  </si>
  <si>
    <t>MassFlow</t>
    <phoneticPr fontId="14" type="noConversion"/>
  </si>
  <si>
    <t>Tag NO.</t>
  </si>
  <si>
    <t>Outlet Temp.</t>
  </si>
  <si>
    <t>m</t>
    <phoneticPr fontId="14" type="noConversion"/>
  </si>
  <si>
    <t>m</t>
    <phoneticPr fontId="14" type="noConversion"/>
  </si>
  <si>
    <t>RZ2156</t>
    <phoneticPr fontId="14" type="noConversion"/>
  </si>
  <si>
    <t>RZ2156</t>
    <phoneticPr fontId="14" type="noConversion"/>
  </si>
  <si>
    <t>t/h</t>
    <phoneticPr fontId="14" type="noConversion"/>
  </si>
  <si>
    <t>TZ2201</t>
  </si>
  <si>
    <t>TZ2201_BTM</t>
  </si>
  <si>
    <t>TZ2203_BTM</t>
  </si>
  <si>
    <t>TZ2101_BTM</t>
  </si>
  <si>
    <t>TZ2103_BTM</t>
  </si>
  <si>
    <t>TZ2202_BTM</t>
  </si>
  <si>
    <t>LiquidTemperature</t>
    <phoneticPr fontId="14" type="noConversion"/>
  </si>
  <si>
    <t>TZ2201_BTM</t>
    <phoneticPr fontId="14" type="noConversion"/>
  </si>
  <si>
    <t>TZ2203_BTM</t>
    <phoneticPr fontId="14" type="noConversion"/>
  </si>
  <si>
    <t>TZ2202_BTM</t>
    <phoneticPr fontId="14" type="noConversion"/>
  </si>
  <si>
    <t>Tray NO.</t>
    <phoneticPr fontId="16" type="noConversion"/>
  </si>
  <si>
    <t>Current Top Pressure</t>
    <phoneticPr fontId="16" type="noConversion"/>
  </si>
  <si>
    <t>barg</t>
    <phoneticPr fontId="16" type="noConversion"/>
  </si>
  <si>
    <t>m</t>
    <phoneticPr fontId="14" type="noConversion"/>
  </si>
  <si>
    <t>Unit</t>
  </si>
  <si>
    <t>TZ2101</t>
    <phoneticPr fontId="14" type="noConversion"/>
  </si>
  <si>
    <t>TZ2101.WeirHeights[0]</t>
    <phoneticPr fontId="14" type="noConversion"/>
  </si>
  <si>
    <t>TZ2101.WeirHeights[1]</t>
  </si>
  <si>
    <t>TZ2101.WeirHeights[2]</t>
  </si>
  <si>
    <t>TZ2101.WeirHeights[3]</t>
  </si>
  <si>
    <t>TZ2101.WeirHeights[4]</t>
  </si>
  <si>
    <t>TZ2101.WeirHeights[5]</t>
  </si>
  <si>
    <t>TZ2101.WeirHeights[6]</t>
  </si>
  <si>
    <t>TZ2101.WeirHeights[7]</t>
  </si>
  <si>
    <t>TZ2101.WeirHeights[8]</t>
  </si>
  <si>
    <t>TZ2101.WeirHeights[9]</t>
  </si>
  <si>
    <t>TZ2101.WeirHeights[10]</t>
  </si>
  <si>
    <t>TZ2101.WeirHeights[11]</t>
  </si>
  <si>
    <t>TZ2101.WeirHeights[12]</t>
  </si>
  <si>
    <t>TZ2101.WeirHeights[13]</t>
  </si>
  <si>
    <t>TZ2101.WeirHeights[14]</t>
  </si>
  <si>
    <t>TZ2101.WeirHeights[15]</t>
  </si>
  <si>
    <t>TZ2101.WeirHeights[16]</t>
  </si>
  <si>
    <t>TZ2101.WeirHeights[17]</t>
  </si>
  <si>
    <t>TZ2101.WeirHeights[18]</t>
  </si>
  <si>
    <t>TZ2101.WeirHeights[19]</t>
  </si>
  <si>
    <t>TZ2101.WeirHeights[20]</t>
  </si>
  <si>
    <t>TZ2101.WeirHeights[21]</t>
  </si>
  <si>
    <t>TZ2101.WeirHeights[22]</t>
  </si>
  <si>
    <t>TZ2101.WeirHeights[23]</t>
  </si>
  <si>
    <t>TZ2101.WeirHeights[24]</t>
  </si>
  <si>
    <t>TZ2101.WeirHeights[25]</t>
  </si>
  <si>
    <t>TZ2101.WeirHeights[26]</t>
  </si>
  <si>
    <t>TZ2101.WeirHeights[27]</t>
  </si>
  <si>
    <t>TZ2101.WeirHeights[28]</t>
  </si>
  <si>
    <t>TZ2101.WeirHeights[29]</t>
  </si>
  <si>
    <t>TZ2101.WeirHeights[30]</t>
  </si>
  <si>
    <t>TZ2101.Diameter[0]</t>
    <phoneticPr fontId="14" type="noConversion"/>
  </si>
  <si>
    <t>TZ2101.Diameter[1]</t>
  </si>
  <si>
    <t>TZ2101.Diameter[2]</t>
  </si>
  <si>
    <t>TZ2101.Diameter[3]</t>
  </si>
  <si>
    <t>TZ2101.Diameter[4]</t>
  </si>
  <si>
    <t>TZ2101.Diameter[5]</t>
  </si>
  <si>
    <t>TZ2101.Diameter[6]</t>
  </si>
  <si>
    <t>TZ2101.Diameter[7]</t>
  </si>
  <si>
    <t>TZ2101.Diameter[8]</t>
  </si>
  <si>
    <t>TZ2101.Diameter[9]</t>
  </si>
  <si>
    <t>TZ2101.Diameter[10]</t>
  </si>
  <si>
    <t>TZ2101.Diameter[11]</t>
  </si>
  <si>
    <t>TZ2101.Diameter[12]</t>
  </si>
  <si>
    <t>TZ2101.Diameter[13]</t>
  </si>
  <si>
    <t>TZ2101.Diameter[14]</t>
  </si>
  <si>
    <t>TZ2101.Diameter[15]</t>
  </si>
  <si>
    <t>TZ2101.Diameter[16]</t>
  </si>
  <si>
    <t>TZ2101.Diameter[17]</t>
  </si>
  <si>
    <t>TZ2101.Diameter[18]</t>
  </si>
  <si>
    <t>TZ2101.Diameter[19]</t>
  </si>
  <si>
    <t>TZ2101.Diameter[20]</t>
  </si>
  <si>
    <t>TZ2101.Diameter[21]</t>
  </si>
  <si>
    <t>TZ2101.Diameter[22]</t>
  </si>
  <si>
    <t>TZ2101.Diameter[23]</t>
  </si>
  <si>
    <t>TZ2101.Diameter[24]</t>
  </si>
  <si>
    <t>TZ2101.Diameter[25]</t>
  </si>
  <si>
    <t>TZ2101.Diameter[26]</t>
  </si>
  <si>
    <t>TZ2101.Diameter[27]</t>
  </si>
  <si>
    <t>TZ2101.Diameter[28]</t>
  </si>
  <si>
    <t>TZ2101.Diameter[29]</t>
  </si>
  <si>
    <t>TZ2101.Diameter[30]</t>
  </si>
  <si>
    <t>TZ2102</t>
    <phoneticPr fontId="14" type="noConversion"/>
  </si>
  <si>
    <t>TZ2102.WeirHeights[0]</t>
    <phoneticPr fontId="14" type="noConversion"/>
  </si>
  <si>
    <t>TZ2102.WeirHeights[1]</t>
  </si>
  <si>
    <t>TZ2102.Diameter[0]</t>
    <phoneticPr fontId="14" type="noConversion"/>
  </si>
  <si>
    <t>TZ2102.Diameter[1]</t>
    <phoneticPr fontId="14" type="noConversion"/>
  </si>
  <si>
    <t>TZ2103.WeirHeights[0]</t>
    <phoneticPr fontId="14" type="noConversion"/>
  </si>
  <si>
    <t>TZ2103.WeirHeights[1]</t>
  </si>
  <si>
    <t>TZ2103.WeirHeights[2]</t>
  </si>
  <si>
    <t>TZ2201.WeirHeights[0]</t>
    <phoneticPr fontId="14" type="noConversion"/>
  </si>
  <si>
    <t>TZ2201.WeirHeights[1]</t>
  </si>
  <si>
    <t>TZ2201.WeirHeights[2]</t>
  </si>
  <si>
    <t>TZ2201.WeirHeights[3]</t>
  </si>
  <si>
    <t>TZ2201.WeirHeights[4]</t>
  </si>
  <si>
    <t>TZ2201.WeirHeights[5]</t>
  </si>
  <si>
    <t>TZ2201.WeirHeights[6]</t>
  </si>
  <si>
    <t>TZ2201.WeirHeights[7]</t>
  </si>
  <si>
    <t>TZ2201.WeirHeights[8]</t>
  </si>
  <si>
    <t>TZ2201.WeirHeights[9]</t>
  </si>
  <si>
    <t>TZ2201.WeirHeights[10]</t>
  </si>
  <si>
    <t>TZ2201.WeirHeights[11]</t>
  </si>
  <si>
    <t>TZ2201.WeirHeights[12]</t>
  </si>
  <si>
    <t>TZ2201.WeirHeights[13]</t>
  </si>
  <si>
    <t>TZ2201.WeirHeights[14]</t>
  </si>
  <si>
    <t>TZ2201.WeirHeights[15]</t>
  </si>
  <si>
    <t>TZ2201.WeirHeights[16]</t>
  </si>
  <si>
    <t>TZ2201.WeirHeights[17]</t>
  </si>
  <si>
    <t>TZ2201.WeirHeights[18]</t>
  </si>
  <si>
    <t>TZ2201.WeirHeights[20]</t>
  </si>
  <si>
    <t>TZ2201.WeirHeights[21]</t>
  </si>
  <si>
    <t>TZ2201.WeirHeights[22]</t>
  </si>
  <si>
    <t>TZ2201.WeirHeights[23]</t>
  </si>
  <si>
    <t>TZ2201.WeirHeights[24]</t>
  </si>
  <si>
    <t>TZ2201.WeirHeights[25]</t>
  </si>
  <si>
    <t>TZ2201.WeirHeights[26]</t>
  </si>
  <si>
    <t>TZ2201.WeirHeights[27]</t>
  </si>
  <si>
    <t>TZ2201.WeirHeights[28]</t>
  </si>
  <si>
    <t>TZ2201.WeirHeights[29]</t>
  </si>
  <si>
    <t>TZ2201.WeirHeights[30]</t>
  </si>
  <si>
    <t>TZ2201.WeirHeights[31]</t>
  </si>
  <si>
    <t>TZ2201.WeirHeights[32]</t>
  </si>
  <si>
    <t>TZ2201.WeirHeights[33]</t>
  </si>
  <si>
    <t>TZ2201.WeirHeights[34]</t>
  </si>
  <si>
    <t>TZ2201.Diameter[1]</t>
  </si>
  <si>
    <t>TZ2201.Diameter[2]</t>
  </si>
  <si>
    <t>TZ2201.Diameter[3]</t>
  </si>
  <si>
    <t>TZ2201.Diameter[4]</t>
  </si>
  <si>
    <t>TZ2201.Diameter[5]</t>
  </si>
  <si>
    <t>TZ2201.Diameter[6]</t>
  </si>
  <si>
    <t>TZ2201.Diameter[7]</t>
  </si>
  <si>
    <t>TZ2201.Diameter[8]</t>
  </si>
  <si>
    <t>TZ2201.Diameter[9]</t>
  </si>
  <si>
    <t>TZ2201.Diameter[10]</t>
  </si>
  <si>
    <t>TZ2201.Diameter[11]</t>
  </si>
  <si>
    <t>TZ2201.Diameter[12]</t>
  </si>
  <si>
    <t>TZ2201.Diameter[13]</t>
  </si>
  <si>
    <t>TZ2201.Diameter[14]</t>
  </si>
  <si>
    <t>TZ2201.Diameter[15]</t>
  </si>
  <si>
    <t>TZ2201.Diameter[16]</t>
  </si>
  <si>
    <t>TZ2201.Diameter[17]</t>
  </si>
  <si>
    <t>TZ2201.Diameter[18]</t>
  </si>
  <si>
    <t>TZ2201.Diameter[19]</t>
  </si>
  <si>
    <t>TZ2201.Diameter[20]</t>
  </si>
  <si>
    <t>TZ2201.Diameter[21]</t>
  </si>
  <si>
    <t>TZ2201.Diameter[22]</t>
  </si>
  <si>
    <t>TZ2201.Diameter[23]</t>
  </si>
  <si>
    <t>TZ2201.Diameter[24]</t>
  </si>
  <si>
    <t>TZ2201.Diameter[25]</t>
  </si>
  <si>
    <t>TZ2201.Diameter[26]</t>
  </si>
  <si>
    <t>TZ2201.Diameter[27]</t>
  </si>
  <si>
    <t>TZ2201.Diameter[28]</t>
  </si>
  <si>
    <t>TZ2201.Diameter[29]</t>
  </si>
  <si>
    <t>TZ2201.Diameter[30]</t>
  </si>
  <si>
    <t>TZ2201.Diameter[31]</t>
  </si>
  <si>
    <t>TZ2201.Diameter[32]</t>
  </si>
  <si>
    <t>TZ2201.Diameter[33]</t>
  </si>
  <si>
    <t>TZ2201.Diameter[34]</t>
  </si>
  <si>
    <t>TZ2201</t>
    <phoneticPr fontId="14" type="noConversion"/>
  </si>
  <si>
    <t>TZ2202</t>
    <phoneticPr fontId="14" type="noConversion"/>
  </si>
  <si>
    <t>TZ2203</t>
    <phoneticPr fontId="14" type="noConversion"/>
  </si>
  <si>
    <t>TZ2202.WeirHeights[0]</t>
    <phoneticPr fontId="14" type="noConversion"/>
  </si>
  <si>
    <t>TZ2202.WeirHeights[1]</t>
  </si>
  <si>
    <t>TZ2202.WeirHeights[2]</t>
  </si>
  <si>
    <t>TZ2202.WeirHeights[3]</t>
  </si>
  <si>
    <t>TZ2202.WeirHeights[4]</t>
  </si>
  <si>
    <t>TZ2202.WeirHeights[5]</t>
  </si>
  <si>
    <t>TZ2202.WeirHeights[6]</t>
  </si>
  <si>
    <t>TZ2202.WeirHeights[7]</t>
  </si>
  <si>
    <t>TZ2202.WeirHeights[8]</t>
  </si>
  <si>
    <t>TZ2202.WeirHeights[9]</t>
  </si>
  <si>
    <t>TZ2202.WeirHeights[10]</t>
  </si>
  <si>
    <t>TZ2202.WeirHeights[11]</t>
  </si>
  <si>
    <t>TZ2202.WeirHeights[12]</t>
  </si>
  <si>
    <t>TZ2202.WeirHeights[13]</t>
  </si>
  <si>
    <t>TZ2202.WeirHeights[14]</t>
  </si>
  <si>
    <t>TZ2202.WeirHeights[15]</t>
  </si>
  <si>
    <t>TZ2202.WeirHeights[16]</t>
  </si>
  <si>
    <t>TZ2202.WeirHeights[17]</t>
  </si>
  <si>
    <t>TZ2202.WeirHeights[18]</t>
  </si>
  <si>
    <t>TZ2202.WeirHeights[19]</t>
  </si>
  <si>
    <t>TZ2202.WeirHeights[20]</t>
  </si>
  <si>
    <t>TZ2202.WeirHeights[21]</t>
  </si>
  <si>
    <t>TZ2202.WeirHeights[22]</t>
  </si>
  <si>
    <t>TZ2202.WeirHeights[23]</t>
  </si>
  <si>
    <t>TZ2202.WeirHeights[24]</t>
  </si>
  <si>
    <t>TZ2202.WeirHeights[25]</t>
  </si>
  <si>
    <t>TZ2202.WeirHeights[26]</t>
  </si>
  <si>
    <t>TZ2202.WeirHeights[27]</t>
  </si>
  <si>
    <t>TZ2202.WeirHeights[28]</t>
  </si>
  <si>
    <t>TZ2202.WeirHeights[29]</t>
  </si>
  <si>
    <t>TZ2201.Diameter[0]</t>
    <phoneticPr fontId="14" type="noConversion"/>
  </si>
  <si>
    <t>TZ2202.Diameter[0]</t>
    <phoneticPr fontId="14" type="noConversion"/>
  </si>
  <si>
    <t>TZ2202.Diameter[1]</t>
  </si>
  <si>
    <t>TZ2202.Diameter[2]</t>
  </si>
  <si>
    <t>TZ2202.Diameter[3]</t>
  </si>
  <si>
    <t>TZ2202.Diameter[4]</t>
  </si>
  <si>
    <t>TZ2202.Diameter[5]</t>
  </si>
  <si>
    <t>TZ2202.Diameter[6]</t>
  </si>
  <si>
    <t>TZ2202.Diameter[7]</t>
  </si>
  <si>
    <t>TZ2202.Diameter[8]</t>
  </si>
  <si>
    <t>TZ2202.Diameter[9]</t>
  </si>
  <si>
    <t>TZ2202.Diameter[10]</t>
  </si>
  <si>
    <t>TZ2202.Diameter[11]</t>
  </si>
  <si>
    <t>TZ2202.Diameter[12]</t>
  </si>
  <si>
    <t>TZ2202.Diameter[13]</t>
  </si>
  <si>
    <t>TZ2202.Diameter[14]</t>
  </si>
  <si>
    <t>TZ2202.Diameter[15]</t>
  </si>
  <si>
    <t>TZ2202.Diameter[16]</t>
  </si>
  <si>
    <t>TZ2202.Diameter[17]</t>
  </si>
  <si>
    <t>TZ2202.Diameter[18]</t>
  </si>
  <si>
    <t>TZ2202.Diameter[19]</t>
  </si>
  <si>
    <t>TZ2202.Diameter[20]</t>
  </si>
  <si>
    <t>TZ2202.Diameter[21]</t>
  </si>
  <si>
    <t>TZ2202.Diameter[22]</t>
  </si>
  <si>
    <t>TZ2202.Diameter[23]</t>
  </si>
  <si>
    <t>TZ2202.Diameter[24]</t>
  </si>
  <si>
    <t>TZ2202.Diameter[25]</t>
  </si>
  <si>
    <t>TZ2202.Diameter[26]</t>
  </si>
  <si>
    <t>TZ2202.Diameter[27]</t>
  </si>
  <si>
    <t>TZ2202.Diameter[28]</t>
  </si>
  <si>
    <t>TZ2202.Diameter[29]</t>
  </si>
  <si>
    <t>TZ2102.Diameter[2]</t>
    <phoneticPr fontId="14" type="noConversion"/>
  </si>
  <si>
    <t>TZ2102.WeirHeights[2]</t>
    <phoneticPr fontId="14" type="noConversion"/>
  </si>
  <si>
    <t>DHT COMPR SUCT DRUM DZ2153</t>
    <phoneticPr fontId="14" type="noConversion"/>
  </si>
  <si>
    <t>T_LICZ1015</t>
    <phoneticPr fontId="14" type="noConversion"/>
  </si>
  <si>
    <t>T_LICZ1017</t>
    <phoneticPr fontId="14" type="noConversion"/>
  </si>
  <si>
    <t>T_FIZ1013</t>
  </si>
  <si>
    <t>T_PIAZ10141</t>
  </si>
  <si>
    <t>T_TIZ10120</t>
  </si>
  <si>
    <t>T_TIZ10147</t>
  </si>
  <si>
    <t>T_TIZ1091</t>
  </si>
  <si>
    <t>T_TIZ1094</t>
  </si>
  <si>
    <t>T_XIZ2102A</t>
  </si>
  <si>
    <t>T_XIZ2102B</t>
  </si>
  <si>
    <t>T_XIZ2102C</t>
  </si>
  <si>
    <t>T_TIZ1066</t>
  </si>
  <si>
    <t>CRUDE INLET EZ2104A</t>
  </si>
  <si>
    <t>T_TIZ1075</t>
  </si>
  <si>
    <t>CRUDE INLET EZ2104B</t>
  </si>
  <si>
    <t>Pdisch_PZ2161A</t>
  </si>
  <si>
    <t>Pdisch_PZ2161B</t>
  </si>
  <si>
    <t>Psuct_PZ2161A</t>
  </si>
  <si>
    <t>Psuct_PZ2161B</t>
  </si>
  <si>
    <t>FICAZ10101</t>
    <phoneticPr fontId="14" type="noConversion"/>
  </si>
  <si>
    <t>T_FICAZ10101</t>
  </si>
  <si>
    <t>T_LICAZ1044</t>
  </si>
  <si>
    <t>T_LAZ1045A</t>
    <phoneticPr fontId="14" type="noConversion"/>
  </si>
  <si>
    <t>T_LAZ1045B</t>
  </si>
  <si>
    <t>T_PIAZ10130</t>
  </si>
  <si>
    <t>T_TIZ1012</t>
  </si>
  <si>
    <t>T_XIZ10102</t>
  </si>
  <si>
    <t>T_XIZ10103</t>
  </si>
  <si>
    <t>T_XIZ10104</t>
  </si>
  <si>
    <t>T_XIZ2161A</t>
  </si>
  <si>
    <t>T_XIZ2161B</t>
  </si>
  <si>
    <t>T_PDAZ10129</t>
  </si>
  <si>
    <t>T_TIZ10123</t>
    <phoneticPr fontId="14" type="noConversion"/>
  </si>
  <si>
    <t>T_CTZ10122</t>
  </si>
  <si>
    <t>EZ2112A_N OUT</t>
  </si>
  <si>
    <t>T_PICZ2024</t>
  </si>
  <si>
    <t>Pdisch_PZ2201A</t>
  </si>
  <si>
    <t>Pdisch_PZ2201B</t>
  </si>
  <si>
    <t>Pdisch_PZ2202A</t>
  </si>
  <si>
    <t>Pdisch_PZ2202B</t>
  </si>
  <si>
    <t>Psuct_PZ2201A</t>
  </si>
  <si>
    <t>Psuct_PZ2201B</t>
  </si>
  <si>
    <t>Psuct_PZ2202A</t>
  </si>
  <si>
    <t>Psuct_PZ2202B</t>
  </si>
  <si>
    <t>FITZ3001</t>
    <phoneticPr fontId="14" type="noConversion"/>
  </si>
  <si>
    <t>T_FITZ3001</t>
  </si>
  <si>
    <t>T_PIZ1051</t>
  </si>
  <si>
    <t>T_TIZ3001</t>
  </si>
  <si>
    <t>T_TIZ3002</t>
  </si>
  <si>
    <t>T_TIZ3017</t>
  </si>
  <si>
    <t>T_TIZ3035</t>
  </si>
  <si>
    <t>T_TIZ3009</t>
  </si>
  <si>
    <t>T_TIZ3011</t>
  </si>
  <si>
    <t>T_TIZ3048</t>
  </si>
  <si>
    <t>T_TIZ3007</t>
  </si>
  <si>
    <t>T_TIZ3008</t>
  </si>
  <si>
    <t>T_PDTZ3018</t>
  </si>
  <si>
    <t>T_PDTZ3017</t>
  </si>
  <si>
    <t>T_TIZ3005</t>
  </si>
  <si>
    <t>T_TIZ3006</t>
  </si>
  <si>
    <t>T_TIZ3003</t>
  </si>
  <si>
    <t>T_TIZ3004</t>
  </si>
  <si>
    <t>T_CTZ1021</t>
  </si>
  <si>
    <t>EZ2203 TUBE IN TEMP</t>
  </si>
  <si>
    <t>T_CTZ1022</t>
  </si>
  <si>
    <t>T_CTZ1023</t>
  </si>
  <si>
    <t>T_CTZ1024</t>
  </si>
  <si>
    <t>T_FICZ3002</t>
  </si>
  <si>
    <t>T_FICZ3003</t>
  </si>
  <si>
    <t>T_FICZ3004</t>
  </si>
  <si>
    <t>T_LICZ3002</t>
  </si>
  <si>
    <t>T_PICZ3002</t>
  </si>
  <si>
    <t>T_TICZ3002</t>
  </si>
  <si>
    <t>T_TICZ3003</t>
  </si>
  <si>
    <t>T_TICZ3010</t>
  </si>
  <si>
    <t>Pdisch_PZ2106A</t>
    <phoneticPr fontId="14" type="noConversion"/>
  </si>
  <si>
    <t>Pdisch_PZ2106B</t>
    <phoneticPr fontId="14" type="noConversion"/>
  </si>
  <si>
    <t>Pdisch_PZ2106C</t>
    <phoneticPr fontId="14" type="noConversion"/>
  </si>
  <si>
    <t>T_FICZ1017A</t>
  </si>
  <si>
    <t>T_FICZ1017B</t>
  </si>
  <si>
    <t>FIZ1018</t>
    <phoneticPr fontId="14" type="noConversion"/>
  </si>
  <si>
    <t>T_FICZ1018</t>
  </si>
  <si>
    <t>T_FICZ1019</t>
  </si>
  <si>
    <t>FIZ1069</t>
    <phoneticPr fontId="14" type="noConversion"/>
  </si>
  <si>
    <t>T_FICZ1069</t>
  </si>
  <si>
    <t>FIZ1095</t>
    <phoneticPr fontId="14" type="noConversion"/>
  </si>
  <si>
    <t>T_FICZ1095</t>
  </si>
  <si>
    <t>T_PIAZ1007A</t>
  </si>
  <si>
    <t>PIAZ1007B</t>
    <phoneticPr fontId="14" type="noConversion"/>
  </si>
  <si>
    <t>T_PIAZ1007B</t>
  </si>
  <si>
    <t>T_TIZ1050</t>
  </si>
  <si>
    <t>T_TIZ1052</t>
  </si>
  <si>
    <t>T_TIZ1055</t>
  </si>
  <si>
    <t>T_LIZ1018</t>
    <phoneticPr fontId="14" type="noConversion"/>
  </si>
  <si>
    <t>%</t>
    <phoneticPr fontId="14" type="noConversion"/>
  </si>
  <si>
    <t>T_PIZ1009</t>
  </si>
  <si>
    <t>T_TIZ1088</t>
    <phoneticPr fontId="14" type="noConversion"/>
  </si>
  <si>
    <t>T_TIZ1053</t>
  </si>
  <si>
    <t>TIZ1054</t>
    <phoneticPr fontId="14" type="noConversion"/>
  </si>
  <si>
    <t>T_TIZ1054</t>
  </si>
  <si>
    <t>T_TIZ1171</t>
  </si>
  <si>
    <t>T_TIZ1172</t>
  </si>
  <si>
    <t>Pdisch_PZ2103A</t>
  </si>
  <si>
    <t>Pdisch_PZ2103B</t>
  </si>
  <si>
    <t>Pdisch_PZ2103C</t>
  </si>
  <si>
    <t>T_FIZ1070</t>
  </si>
  <si>
    <t>T_FIZ1071</t>
  </si>
  <si>
    <t>T_LIZ1018A</t>
  </si>
  <si>
    <t>T_LIZ1018B</t>
  </si>
  <si>
    <t>T_LIZ1018C</t>
  </si>
  <si>
    <t>T_LIZ1019</t>
  </si>
  <si>
    <t>T_LIZ1019A</t>
  </si>
  <si>
    <t>T_LIZ1019B</t>
  </si>
  <si>
    <t>T_LIZ1024B</t>
  </si>
  <si>
    <t>T_LIZ1027</t>
  </si>
  <si>
    <t>T_LIZ1027A</t>
  </si>
  <si>
    <t>T_LIZ1027B</t>
  </si>
  <si>
    <t>T_LIZ1028</t>
  </si>
  <si>
    <t>T_LIZ1028A</t>
  </si>
  <si>
    <t>T_LIZ1028B</t>
  </si>
  <si>
    <t>T_PIZ1010</t>
  </si>
  <si>
    <t>T_TIZ1057</t>
  </si>
  <si>
    <t>T_TIZ1059</t>
  </si>
  <si>
    <t>T_PIAZ1006</t>
  </si>
  <si>
    <t>T_TIZ1016</t>
    <phoneticPr fontId="14" type="noConversion"/>
  </si>
  <si>
    <t>T_TICZ1012</t>
  </si>
  <si>
    <t>T_TIZ1017</t>
  </si>
  <si>
    <t>T_TIZ1018</t>
  </si>
  <si>
    <t>T_TIZ1019</t>
  </si>
  <si>
    <t>T_TIZ1153</t>
  </si>
  <si>
    <t>T_TIZ1162</t>
  </si>
  <si>
    <t>T_TIZ1163</t>
  </si>
  <si>
    <t>T_TIZ1165</t>
  </si>
  <si>
    <t>T_FICZ10100</t>
    <phoneticPr fontId="14" type="noConversion"/>
  </si>
  <si>
    <t>T_TICZ1002</t>
    <phoneticPr fontId="14" type="noConversion"/>
  </si>
  <si>
    <t>T_FICAZ1062</t>
  </si>
  <si>
    <t>FIZ1086</t>
    <phoneticPr fontId="14" type="noConversion"/>
  </si>
  <si>
    <t>T_FICZ1061</t>
  </si>
  <si>
    <t>LDZ1005</t>
    <phoneticPr fontId="14" type="noConversion"/>
  </si>
  <si>
    <t>T_LICZ1005</t>
  </si>
  <si>
    <t>LDZ1007</t>
    <phoneticPr fontId="14" type="noConversion"/>
  </si>
  <si>
    <t>T_LICZ1007</t>
  </si>
  <si>
    <t>LDZ1010</t>
    <phoneticPr fontId="14" type="noConversion"/>
  </si>
  <si>
    <t>T_LICAZ1010</t>
    <phoneticPr fontId="14" type="noConversion"/>
  </si>
  <si>
    <t>PIZ1003</t>
    <phoneticPr fontId="14" type="noConversion"/>
  </si>
  <si>
    <t>T_PICZ1001</t>
  </si>
  <si>
    <t>T_PIZ10159</t>
  </si>
  <si>
    <t>T_PIZ1022</t>
  </si>
  <si>
    <t>T_PIZ1023</t>
  </si>
  <si>
    <t>T_PIZ1161</t>
  </si>
  <si>
    <t>T_TIZ1006</t>
  </si>
  <si>
    <t>T_FICZ1060</t>
    <phoneticPr fontId="14" type="noConversion"/>
  </si>
  <si>
    <t>T_TIZ1115</t>
  </si>
  <si>
    <t>T_FICZ1001</t>
    <phoneticPr fontId="14" type="noConversion"/>
  </si>
  <si>
    <t>FIZ1002</t>
    <phoneticPr fontId="14" type="noConversion"/>
  </si>
  <si>
    <t>T_FICZ1002</t>
    <phoneticPr fontId="14" type="noConversion"/>
  </si>
  <si>
    <t>TIZ1015</t>
    <phoneticPr fontId="14" type="noConversion"/>
  </si>
  <si>
    <t>T_TIZ1015</t>
  </si>
  <si>
    <t>LIAZ1001</t>
    <phoneticPr fontId="14" type="noConversion"/>
  </si>
  <si>
    <t>T_LIAZ1001</t>
    <phoneticPr fontId="14" type="noConversion"/>
  </si>
  <si>
    <t>TIZ1004</t>
    <phoneticPr fontId="14" type="noConversion"/>
  </si>
  <si>
    <t>T_TIZ1004</t>
  </si>
  <si>
    <t>T_TIZ1005</t>
  </si>
  <si>
    <t>T_LAZ4004</t>
  </si>
  <si>
    <t>DZ2852 LEVEL</t>
  </si>
  <si>
    <t>T_LIAZ4003B</t>
    <phoneticPr fontId="14" type="noConversion"/>
  </si>
  <si>
    <t>T_PICZ4001</t>
    <phoneticPr fontId="14" type="noConversion"/>
  </si>
  <si>
    <t>T_PIZ4003</t>
  </si>
  <si>
    <t>T_PIZ4004</t>
  </si>
  <si>
    <t>T_PIZ4028</t>
  </si>
  <si>
    <t>T_TIZ4001</t>
  </si>
  <si>
    <t>T_TIZ4003</t>
  </si>
  <si>
    <t>T_TIZ4004</t>
  </si>
  <si>
    <t>CDU4_PIDA (PID_controllers).xlsx</t>
    <phoneticPr fontId="14" type="noConversion"/>
  </si>
  <si>
    <t>TICZ1013</t>
    <phoneticPr fontId="14" type="noConversion"/>
  </si>
  <si>
    <t>TICZ1008</t>
    <phoneticPr fontId="14" type="noConversion"/>
  </si>
  <si>
    <t>HZ2101 PILOTE</t>
    <phoneticPr fontId="14" type="noConversion"/>
  </si>
  <si>
    <t>FICAZ3014</t>
    <phoneticPr fontId="14" type="noConversion"/>
  </si>
  <si>
    <t>FICAZ3015</t>
    <phoneticPr fontId="14" type="noConversion"/>
  </si>
  <si>
    <t>TICZ3005</t>
    <phoneticPr fontId="14" type="noConversion"/>
  </si>
  <si>
    <t>HZ2201 MAIN FG</t>
    <phoneticPr fontId="14" type="noConversion"/>
  </si>
  <si>
    <t>TTZ3014</t>
    <phoneticPr fontId="14" type="noConversion"/>
  </si>
  <si>
    <t>TICZ3049</t>
    <phoneticPr fontId="14" type="noConversion"/>
  </si>
  <si>
    <t>LICAZ3008</t>
    <phoneticPr fontId="14" type="noConversion"/>
  </si>
  <si>
    <t>LICAZ3009</t>
    <phoneticPr fontId="14" type="noConversion"/>
  </si>
  <si>
    <t>FICZ3010</t>
    <phoneticPr fontId="14" type="noConversion"/>
  </si>
  <si>
    <t>PICZ3004</t>
    <phoneticPr fontId="14" type="noConversion"/>
  </si>
  <si>
    <t>T_TIZ5062</t>
  </si>
  <si>
    <t>T_TIZ1089</t>
  </si>
  <si>
    <t>T_TIZ5060</t>
  </si>
  <si>
    <t>T_FITZ1068</t>
  </si>
  <si>
    <t>T_TIZ1060</t>
  </si>
  <si>
    <t>T_PIZ10166</t>
  </si>
  <si>
    <t>T_TIZ2081</t>
  </si>
  <si>
    <t>T_PIZ1165</t>
  </si>
  <si>
    <t>T_LICAZ4001</t>
  </si>
  <si>
    <t>T_FTZ1094</t>
  </si>
  <si>
    <t>T_PICZ3001</t>
  </si>
  <si>
    <t>T_TIZ10124</t>
  </si>
  <si>
    <t>T_TIZ1155</t>
  </si>
  <si>
    <t>T_TIZ1159</t>
  </si>
  <si>
    <t>T_FITZ1003B</t>
  </si>
  <si>
    <t>T_PIZ1074</t>
  </si>
  <si>
    <t>T_TIZ1051</t>
  </si>
  <si>
    <t>T_FTZ4005</t>
  </si>
  <si>
    <t>T_TIZ1154</t>
  </si>
  <si>
    <t>T_TIZ4002</t>
  </si>
  <si>
    <t>T_PIZ1077</t>
  </si>
  <si>
    <t>T_LIAZ1002</t>
  </si>
  <si>
    <t>T_TIZ1062</t>
  </si>
  <si>
    <t>T_LIZ5055</t>
  </si>
  <si>
    <t>T_TIZ1160</t>
  </si>
  <si>
    <t>T_TIZ1008</t>
  </si>
  <si>
    <t>T_TIZ5063</t>
  </si>
  <si>
    <t>T_LGZ3005</t>
  </si>
  <si>
    <t>T_TICZ1001</t>
  </si>
  <si>
    <t>T_TIZ2085</t>
  </si>
  <si>
    <t>T_PIZ5015</t>
  </si>
  <si>
    <t>T_LICZ1033</t>
  </si>
  <si>
    <t>T_XIAZ3009</t>
  </si>
  <si>
    <t>T_TIZ1061</t>
  </si>
  <si>
    <t>T_TIZ1135</t>
  </si>
  <si>
    <t>T_PIZ5019</t>
  </si>
  <si>
    <t>T_TIZ1136</t>
  </si>
  <si>
    <t>T_TIZ1002</t>
  </si>
  <si>
    <t>T_TIZ10153</t>
  </si>
  <si>
    <t>T_LIZ3006A</t>
  </si>
  <si>
    <t>T_TIZ3012</t>
  </si>
  <si>
    <t>T_FITZ1003</t>
  </si>
  <si>
    <t>T_LICAZ1032</t>
  </si>
  <si>
    <t>T_TIZ1064</t>
  </si>
  <si>
    <t>T_PIZ5017</t>
  </si>
  <si>
    <t>T_FITZ3005</t>
  </si>
  <si>
    <t>T_TIZ1156</t>
  </si>
  <si>
    <t>T_PIZ1075</t>
  </si>
  <si>
    <t>T_LICZ1034</t>
  </si>
  <si>
    <t>T_TIZ1079</t>
  </si>
  <si>
    <t>T_FIZ1010</t>
  </si>
  <si>
    <t>T_PIZ5018</t>
  </si>
  <si>
    <t>T_TIZ10161</t>
  </si>
  <si>
    <t>T_TICZ1010</t>
  </si>
  <si>
    <t>T_TIZ10154</t>
  </si>
  <si>
    <t>T_PIZ1011</t>
  </si>
  <si>
    <t>T_PIZ1078</t>
  </si>
  <si>
    <t>T_LIZ5055B</t>
  </si>
  <si>
    <t>T_TIZ10152</t>
  </si>
  <si>
    <t>T_LIZ3006B</t>
  </si>
  <si>
    <t>T_LICAZ3006</t>
  </si>
  <si>
    <t>T_TIZ1161</t>
  </si>
  <si>
    <t>T_TIZ2079</t>
  </si>
  <si>
    <t>T_PIZ1076</t>
  </si>
  <si>
    <t>T_TIZ2087</t>
  </si>
  <si>
    <t>T_PIZ1167</t>
  </si>
  <si>
    <t>T_FITZ1003A</t>
  </si>
  <si>
    <t>T_TIZ1058</t>
  </si>
  <si>
    <t>T_PIZ5021</t>
  </si>
  <si>
    <t>T_LICZ3003</t>
  </si>
  <si>
    <t>T_TIZ10125</t>
  </si>
  <si>
    <t>T_LIAZ4003A</t>
  </si>
  <si>
    <t>T_TIZ1011</t>
  </si>
  <si>
    <t>T_TICZ1011B</t>
  </si>
  <si>
    <t>T_TDAZ4003</t>
  </si>
  <si>
    <t>T_TIZ1063</t>
  </si>
  <si>
    <t>T_TIZ1158</t>
  </si>
  <si>
    <t>T_TIZ2083</t>
  </si>
  <si>
    <t>T_TIZ1080</t>
  </si>
  <si>
    <t>T_FIZ1009</t>
  </si>
  <si>
    <t>T_LICAZ1031</t>
  </si>
  <si>
    <t>T_TICZ1003</t>
  </si>
  <si>
    <t>T_TIZ1013</t>
  </si>
  <si>
    <t>T_TIZ10155</t>
  </si>
  <si>
    <t>T_TIZ1157</t>
  </si>
  <si>
    <t>T_FICZ4002</t>
  </si>
  <si>
    <t>T_LIAZ1003</t>
  </si>
  <si>
    <t>T_FTZ4006</t>
  </si>
  <si>
    <t>T_AIZ1030</t>
  </si>
  <si>
    <t>T_PIZ1109</t>
  </si>
  <si>
    <t>T_LIZ5055A</t>
  </si>
  <si>
    <t>T_LGZ1002</t>
  </si>
  <si>
    <t>T_PIZ1079</t>
  </si>
  <si>
    <t>M_EZ2113B</t>
  </si>
  <si>
    <t>M_EZ2120B</t>
  </si>
  <si>
    <t>M_EZ2120A</t>
  </si>
  <si>
    <t>M_EZ2120C</t>
  </si>
  <si>
    <t>M_PZ2108</t>
  </si>
  <si>
    <t>M_PZ2109B</t>
  </si>
  <si>
    <t>M_EZ2117A</t>
  </si>
  <si>
    <t>M_EZ2116C</t>
  </si>
  <si>
    <t>M_PZ2109A</t>
  </si>
  <si>
    <t>M_EZ2120E</t>
  </si>
  <si>
    <t>M_PZ2855A</t>
  </si>
  <si>
    <t>M_EZ2116B</t>
  </si>
  <si>
    <t>M_PZ2107A</t>
  </si>
  <si>
    <t>M_PZ2110B</t>
  </si>
  <si>
    <t>M_PZ2107B</t>
  </si>
  <si>
    <t>M_EZ2117B</t>
  </si>
  <si>
    <t>M_PZ2855B</t>
  </si>
  <si>
    <t>M_EZ2120F</t>
  </si>
  <si>
    <t>M_EZ2117C</t>
  </si>
  <si>
    <t>M_EZ2120D</t>
  </si>
  <si>
    <t>M_EZ2116A</t>
  </si>
  <si>
    <t>M_PZ2110A</t>
  </si>
  <si>
    <t>Value</t>
    <phoneticPr fontId="14" type="noConversion"/>
  </si>
  <si>
    <t>PDIZ2001</t>
    <phoneticPr fontId="14" type="noConversion"/>
  </si>
  <si>
    <t>BypassValveEnable</t>
    <phoneticPr fontId="14" type="noConversion"/>
  </si>
  <si>
    <t>Shell sideflow (Design)</t>
    <phoneticPr fontId="16" type="noConversion"/>
  </si>
  <si>
    <t>EZ2205</t>
    <phoneticPr fontId="14" type="noConversion"/>
  </si>
  <si>
    <t>Design duty</t>
    <phoneticPr fontId="16" type="noConversion"/>
  </si>
  <si>
    <t>FITZ2014</t>
    <phoneticPr fontId="14" type="noConversion"/>
  </si>
  <si>
    <t>AIZ2001</t>
    <phoneticPr fontId="14" type="noConversion"/>
  </si>
  <si>
    <t>FIZ1059</t>
    <phoneticPr fontId="14" type="noConversion"/>
  </si>
  <si>
    <t>AIZ3007</t>
    <phoneticPr fontId="14" type="noConversion"/>
  </si>
  <si>
    <t>BlockValvesEnable</t>
    <phoneticPr fontId="14" type="noConversion"/>
  </si>
  <si>
    <t>ShellInlet Temp(model)</t>
    <phoneticPr fontId="16" type="noConversion"/>
  </si>
  <si>
    <t>Desalter</t>
    <phoneticPr fontId="14" type="noConversion"/>
  </si>
  <si>
    <t>Temperature</t>
    <phoneticPr fontId="14" type="noConversion"/>
  </si>
  <si>
    <t>TopPressure</t>
    <phoneticPr fontId="14" type="noConversion"/>
  </si>
  <si>
    <t>Pressure</t>
    <phoneticPr fontId="14" type="noConversion"/>
  </si>
  <si>
    <t>FICZ1060.pdf</t>
    <phoneticPr fontId="16" type="noConversion"/>
  </si>
  <si>
    <t>PCVZ10119</t>
    <phoneticPr fontId="16" type="noConversion"/>
  </si>
  <si>
    <t>TCVZ1035</t>
    <phoneticPr fontId="16" type="noConversion"/>
  </si>
  <si>
    <t>A_PCVZ10119</t>
    <phoneticPr fontId="14" type="noConversion"/>
  </si>
  <si>
    <t>RVZ1041</t>
    <phoneticPr fontId="14" type="noConversion"/>
  </si>
  <si>
    <t>EZ2108A_C</t>
    <phoneticPr fontId="14" type="noConversion"/>
  </si>
  <si>
    <t>EZ2121A_B</t>
    <phoneticPr fontId="14" type="noConversion"/>
  </si>
  <si>
    <t>EZ2107A_B</t>
    <phoneticPr fontId="14" type="noConversion"/>
  </si>
  <si>
    <t>EZ2125A_B</t>
    <phoneticPr fontId="14" type="noConversion"/>
  </si>
  <si>
    <t>EZ2121A_B</t>
    <phoneticPr fontId="14" type="noConversion"/>
  </si>
  <si>
    <t>EZ2121A_B</t>
    <phoneticPr fontId="14" type="noConversion"/>
  </si>
  <si>
    <t>Comment</t>
    <phoneticPr fontId="14" type="noConversion"/>
  </si>
  <si>
    <t>LCV1052</t>
    <phoneticPr fontId="16" type="noConversion"/>
  </si>
  <si>
    <t>FCV5065</t>
    <phoneticPr fontId="14" type="noConversion"/>
  </si>
  <si>
    <t>LCV1031</t>
    <phoneticPr fontId="14" type="noConversion"/>
  </si>
  <si>
    <t>LCV1032</t>
    <phoneticPr fontId="16" type="noConversion"/>
  </si>
  <si>
    <t>A_LCV1032</t>
    <phoneticPr fontId="14" type="noConversion"/>
  </si>
  <si>
    <t>LCV1033</t>
    <phoneticPr fontId="16" type="noConversion"/>
  </si>
  <si>
    <t>LCV1034</t>
    <phoneticPr fontId="14" type="noConversion"/>
  </si>
  <si>
    <t>LCV1052</t>
    <phoneticPr fontId="16" type="noConversion"/>
  </si>
  <si>
    <t>TCV2327</t>
    <phoneticPr fontId="16" type="noConversion"/>
  </si>
  <si>
    <t>TICVZ1010A</t>
    <phoneticPr fontId="14" type="noConversion"/>
  </si>
  <si>
    <t>PCVZ10119</t>
    <phoneticPr fontId="14" type="noConversion"/>
  </si>
  <si>
    <t>PVZ4001A</t>
    <phoneticPr fontId="16" type="noConversion"/>
  </si>
  <si>
    <t>M_EZ2113A</t>
    <phoneticPr fontId="14" type="noConversion"/>
  </si>
  <si>
    <t>T_FEED</t>
    <phoneticPr fontId="14" type="noConversion"/>
  </si>
  <si>
    <t>bar</t>
    <phoneticPr fontId="14" type="noConversion"/>
  </si>
  <si>
    <t>Current Flow</t>
    <phoneticPr fontId="14" type="noConversion"/>
  </si>
  <si>
    <t>bar</t>
    <phoneticPr fontId="14" type="noConversion"/>
  </si>
  <si>
    <t>TZ2103.Diameter[1]</t>
  </si>
  <si>
    <t>TZ2103.Diameter[2]</t>
  </si>
  <si>
    <t>TZ2103.Diameter[0]</t>
    <phoneticPr fontId="14" type="noConversion"/>
  </si>
  <si>
    <t>No Data</t>
    <phoneticPr fontId="14" type="noConversion"/>
  </si>
  <si>
    <t>RVZ1043</t>
    <phoneticPr fontId="14" type="noConversion"/>
  </si>
  <si>
    <t>2*3</t>
    <phoneticPr fontId="14" type="noConversion"/>
  </si>
  <si>
    <t>TZ2203.WeirHeights[0]</t>
    <phoneticPr fontId="14" type="noConversion"/>
  </si>
  <si>
    <t>TZ2203.WeirHeights[1]</t>
  </si>
  <si>
    <t>TZ2203.WeirHeights[2]</t>
  </si>
  <si>
    <t>TZ2203.WeirHeights[3]</t>
  </si>
  <si>
    <t>TZ2203.WeirHeights[4]</t>
  </si>
  <si>
    <t>TZ2203.WeirHeights[5]</t>
  </si>
  <si>
    <t>TZ2203.WeirHeights[6]</t>
  </si>
  <si>
    <t>TZ2203.WeirHeights[7]</t>
  </si>
  <si>
    <t>TZ2203.WeirHeights[8]</t>
  </si>
  <si>
    <t>TZ2203.WeirHeights[9]</t>
  </si>
  <si>
    <t>TZ2203.Diameter[0]</t>
    <phoneticPr fontId="14" type="noConversion"/>
  </si>
  <si>
    <t>TZ2203.Diameter[1]</t>
  </si>
  <si>
    <t>TZ2203.Diameter[2]</t>
  </si>
  <si>
    <t>TZ2203.Diameter[3]</t>
  </si>
  <si>
    <t>TZ2203.Diameter[4]</t>
  </si>
  <si>
    <t>TZ2203.Diameter[5]</t>
  </si>
  <si>
    <t>TZ2203.Diameter[6]</t>
  </si>
  <si>
    <t>TZ2203.Diameter[7]</t>
  </si>
  <si>
    <t>TZ2203.Diameter[8]</t>
  </si>
  <si>
    <t>TZ2203.Diameter[9]</t>
  </si>
  <si>
    <t>TZ2103</t>
    <phoneticPr fontId="14" type="noConversion"/>
  </si>
  <si>
    <t>HZ2101</t>
    <phoneticPr fontId="16" type="noConversion"/>
  </si>
  <si>
    <t>AIZ1008A</t>
    <phoneticPr fontId="14" type="noConversion"/>
  </si>
  <si>
    <t>FITZ3012</t>
    <phoneticPr fontId="14" type="noConversion"/>
  </si>
  <si>
    <t>Off Gas from DZ2102</t>
    <phoneticPr fontId="14" type="noConversion"/>
  </si>
  <si>
    <t>DZ3004</t>
    <phoneticPr fontId="16" type="noConversion"/>
  </si>
  <si>
    <t>TZ2105</t>
    <phoneticPr fontId="16" type="noConversion"/>
  </si>
  <si>
    <t>DZ2158</t>
    <phoneticPr fontId="16" type="noConversion"/>
  </si>
  <si>
    <t>m3/h</t>
    <phoneticPr fontId="14" type="noConversion"/>
  </si>
  <si>
    <t>m3/h</t>
    <phoneticPr fontId="14" type="noConversion"/>
  </si>
  <si>
    <t>Nm3/h</t>
    <phoneticPr fontId="14" type="noConversion"/>
  </si>
  <si>
    <t>deg C</t>
    <phoneticPr fontId="14" type="noConversion"/>
  </si>
  <si>
    <t>deg C</t>
    <phoneticPr fontId="16" type="noConversion"/>
  </si>
  <si>
    <t>deg C</t>
    <phoneticPr fontId="14" type="noConversion"/>
  </si>
  <si>
    <t>deg C</t>
    <phoneticPr fontId="16" type="noConversion"/>
  </si>
  <si>
    <t>Kcal/h</t>
    <phoneticPr fontId="16" type="noConversion"/>
  </si>
  <si>
    <t>Kcal/h</t>
    <phoneticPr fontId="14" type="noConversion"/>
  </si>
  <si>
    <t>Tag NO.</t>
    <phoneticPr fontId="16" type="noConversion"/>
  </si>
  <si>
    <t>Actuator NO.</t>
    <phoneticPr fontId="16" type="noConversion"/>
  </si>
  <si>
    <t xml:space="preserve">data reference file </t>
    <phoneticPr fontId="16" type="noConversion"/>
  </si>
  <si>
    <t>Failure mode</t>
    <phoneticPr fontId="16" type="noConversion"/>
  </si>
  <si>
    <t>Open time</t>
    <phoneticPr fontId="16" type="noConversion"/>
  </si>
  <si>
    <t>Close time</t>
    <phoneticPr fontId="16" type="noConversion"/>
  </si>
  <si>
    <t>Delta P</t>
    <phoneticPr fontId="14" type="noConversion"/>
  </si>
  <si>
    <t>Type</t>
    <phoneticPr fontId="16" type="noConversion"/>
  </si>
  <si>
    <t>Orifice Area (Model)</t>
    <phoneticPr fontId="14" type="noConversion"/>
  </si>
  <si>
    <t>Orifice Area (Design)</t>
    <phoneticPr fontId="16" type="noConversion"/>
  </si>
  <si>
    <t>Set Pressure (Design)</t>
    <phoneticPr fontId="14" type="noConversion"/>
  </si>
  <si>
    <t>Set Pressure (Model)</t>
    <phoneticPr fontId="14" type="noConversion"/>
  </si>
  <si>
    <t>Back Pressure (Model)</t>
    <phoneticPr fontId="14" type="noConversion"/>
  </si>
  <si>
    <t>CV (Design data)</t>
    <phoneticPr fontId="16" type="noConversion"/>
  </si>
  <si>
    <t>CV (Model data)</t>
    <phoneticPr fontId="16" type="noConversion"/>
  </si>
  <si>
    <t>Current opening position (Model data)</t>
    <phoneticPr fontId="16" type="noConversion"/>
  </si>
  <si>
    <t>Current flow (Model data)</t>
    <phoneticPr fontId="16" type="noConversion"/>
  </si>
  <si>
    <t>Delta P (Model data)</t>
    <phoneticPr fontId="16" type="noConversion"/>
  </si>
  <si>
    <t>Tag Motor</t>
    <phoneticPr fontId="14" type="noConversion"/>
  </si>
  <si>
    <t>Suction Pressure</t>
    <phoneticPr fontId="14" type="noConversion"/>
  </si>
  <si>
    <t>Discharge Pressure</t>
    <phoneticPr fontId="14" type="noConversion"/>
  </si>
  <si>
    <t>P&amp;ID Number</t>
    <phoneticPr fontId="16" type="noConversion"/>
  </si>
  <si>
    <t>Tag. NO</t>
    <phoneticPr fontId="14" type="noConversion"/>
  </si>
  <si>
    <t>Type</t>
    <phoneticPr fontId="16" type="noConversion"/>
  </si>
  <si>
    <t>Diameter (Model)</t>
    <phoneticPr fontId="16" type="noConversion"/>
  </si>
  <si>
    <t>barg</t>
    <phoneticPr fontId="16" type="noConversion"/>
  </si>
  <si>
    <t>Boot Height</t>
    <phoneticPr fontId="16" type="noConversion"/>
  </si>
  <si>
    <t>Current Pressure</t>
    <phoneticPr fontId="16" type="noConversion"/>
  </si>
  <si>
    <t>Tubeside flow (Model)</t>
    <phoneticPr fontId="14" type="noConversion"/>
  </si>
  <si>
    <t>TubeInlet Temp (Model)</t>
    <phoneticPr fontId="16" type="noConversion"/>
  </si>
  <si>
    <t>TubeOutlet Temp (Model)</t>
    <phoneticPr fontId="14" type="noConversion"/>
  </si>
  <si>
    <t>Tubeside Delta P (Design)</t>
    <phoneticPr fontId="16" type="noConversion"/>
  </si>
  <si>
    <t>Tubeside Delta P (Model)</t>
    <phoneticPr fontId="14" type="noConversion"/>
  </si>
  <si>
    <t>Duty (Model)</t>
    <phoneticPr fontId="16" type="noConversion"/>
  </si>
  <si>
    <t>Surface (Design)</t>
    <phoneticPr fontId="16" type="noConversion"/>
  </si>
  <si>
    <t>Surface (Model)</t>
    <phoneticPr fontId="14" type="noConversion"/>
  </si>
  <si>
    <t>Length (Design)</t>
    <phoneticPr fontId="16" type="noConversion"/>
  </si>
  <si>
    <t>Length (Model)</t>
    <phoneticPr fontId="14" type="noConversion"/>
  </si>
  <si>
    <t>Diameter (Design)</t>
    <phoneticPr fontId="16" type="noConversion"/>
  </si>
  <si>
    <t>Diameter (Model)</t>
    <phoneticPr fontId="14" type="noConversion"/>
  </si>
  <si>
    <t>Tubeside Delta P(Design)</t>
    <phoneticPr fontId="16" type="noConversion"/>
  </si>
  <si>
    <t>Shellside Delta P (Model)</t>
    <phoneticPr fontId="14" type="noConversion"/>
  </si>
  <si>
    <t xml:space="preserve">Shellside Delta P (Design) </t>
    <phoneticPr fontId="16" type="noConversion"/>
  </si>
  <si>
    <t>Shellside flow (Model)</t>
    <phoneticPr fontId="16" type="noConversion"/>
  </si>
  <si>
    <t>TZ2201.WeirHeights[19]</t>
    <phoneticPr fontId="14" type="noConversion"/>
  </si>
  <si>
    <t>Length/Height (Model)</t>
    <phoneticPr fontId="16" type="noConversion"/>
  </si>
  <si>
    <t>EZ2102AB</t>
    <phoneticPr fontId="14" type="noConversion"/>
  </si>
  <si>
    <t>EZ2101ABC</t>
    <phoneticPr fontId="14" type="noConversion"/>
  </si>
  <si>
    <t>EZ2101DEF</t>
    <phoneticPr fontId="14" type="noConversion"/>
  </si>
  <si>
    <t>EZ2119AB</t>
    <phoneticPr fontId="14" type="noConversion"/>
  </si>
  <si>
    <t>EZ2119CD</t>
    <phoneticPr fontId="14" type="noConversion"/>
  </si>
  <si>
    <t>EZ2112A_N</t>
    <phoneticPr fontId="14" type="noConversion"/>
  </si>
  <si>
    <t>EZ2209A_D</t>
    <phoneticPr fontId="14" type="noConversion"/>
  </si>
  <si>
    <t>EZ2204A_F</t>
    <phoneticPr fontId="14" type="noConversion"/>
  </si>
  <si>
    <t>EZ2120A_F</t>
    <phoneticPr fontId="14" type="noConversion"/>
  </si>
  <si>
    <t>ShellOutlet Temp (Model)</t>
    <phoneticPr fontId="16" type="noConversion"/>
  </si>
  <si>
    <t>deg C</t>
    <phoneticPr fontId="16" type="noConversion"/>
  </si>
  <si>
    <t>EZ2127</t>
    <phoneticPr fontId="14" type="noConversion"/>
  </si>
  <si>
    <t>EZ2151A_E</t>
  </si>
  <si>
    <t>EZ2151A_E</t>
    <phoneticPr fontId="16" type="noConversion"/>
  </si>
  <si>
    <t>EZ2151A_E</t>
    <phoneticPr fontId="14" type="noConversion"/>
  </si>
  <si>
    <t>EZ2153A_B</t>
    <phoneticPr fontId="14" type="noConversion"/>
  </si>
  <si>
    <t>EZ2153AB</t>
    <phoneticPr fontId="14" type="noConversion"/>
  </si>
  <si>
    <t>EZ2201AB</t>
    <phoneticPr fontId="14" type="noConversion"/>
  </si>
  <si>
    <t>EZ2112AG</t>
    <phoneticPr fontId="14" type="noConversion"/>
  </si>
  <si>
    <t>EZ2112HN</t>
    <phoneticPr fontId="14" type="noConversion"/>
  </si>
  <si>
    <t>EZ2209AD</t>
    <phoneticPr fontId="14" type="noConversion"/>
  </si>
  <si>
    <t>EZ2204AF</t>
    <phoneticPr fontId="14" type="noConversion"/>
  </si>
  <si>
    <t>EZ2120AF</t>
    <phoneticPr fontId="14" type="noConversion"/>
  </si>
  <si>
    <t>EZ2113AB</t>
    <phoneticPr fontId="14" type="noConversion"/>
  </si>
  <si>
    <t>EZ2116AC</t>
    <phoneticPr fontId="14" type="noConversion"/>
  </si>
  <si>
    <t>EZ2117AC</t>
    <phoneticPr fontId="14" type="noConversion"/>
  </si>
  <si>
    <t>EZ2152A_F</t>
    <phoneticPr fontId="14" type="noConversion"/>
  </si>
  <si>
    <t>EZ2152AF</t>
    <phoneticPr fontId="14" type="noConversion"/>
  </si>
  <si>
    <t>EZ2152A_F</t>
    <phoneticPr fontId="16" type="noConversion"/>
  </si>
  <si>
    <t>T_FICZ1017</t>
    <phoneticPr fontId="14" type="noConversion"/>
  </si>
  <si>
    <t>T_FICZ1018A</t>
    <phoneticPr fontId="14" type="noConversion"/>
  </si>
  <si>
    <t>T_FICZ1019A</t>
    <phoneticPr fontId="14" type="noConversion"/>
  </si>
  <si>
    <t>0002-05-11-0001.tif</t>
    <phoneticPr fontId="14" type="noConversion"/>
  </si>
  <si>
    <t>EZ2109A_B</t>
    <phoneticPr fontId="16" type="noConversion"/>
  </si>
  <si>
    <t>Ez-2109AB.pdf</t>
    <phoneticPr fontId="16" type="noConversion"/>
  </si>
  <si>
    <t>EZ2107A_B</t>
    <phoneticPr fontId="16" type="noConversion"/>
  </si>
  <si>
    <t>E  z -2127.pdf</t>
    <phoneticPr fontId="14" type="noConversion"/>
  </si>
  <si>
    <t>EZ2122</t>
    <phoneticPr fontId="16" type="noConversion"/>
  </si>
  <si>
    <t>Manufacturing Data Report - EZ2122 tube.pdf</t>
    <phoneticPr fontId="16" type="noConversion"/>
  </si>
  <si>
    <t>Manufacturing Data Report - EZ2123 tube.pdf</t>
    <phoneticPr fontId="16" type="noConversion"/>
  </si>
  <si>
    <t>OEM-Manual CDU4 rev. 2.pdf, 12/18</t>
    <phoneticPr fontId="16" type="noConversion"/>
  </si>
  <si>
    <t>EZ2125A_B</t>
    <phoneticPr fontId="16" type="noConversion"/>
  </si>
  <si>
    <t>Ez-2131 AB Pages from MM-10000.pdf</t>
    <phoneticPr fontId="16" type="noConversion"/>
  </si>
  <si>
    <t>EZ2112A_N</t>
    <phoneticPr fontId="16" type="noConversion"/>
  </si>
  <si>
    <t>A_LVZ5008</t>
    <phoneticPr fontId="14" type="noConversion"/>
  </si>
  <si>
    <t>A_1102MV10</t>
    <phoneticPr fontId="14" type="noConversion"/>
  </si>
  <si>
    <t>RVZ3005A</t>
    <phoneticPr fontId="14" type="noConversion"/>
  </si>
  <si>
    <t>PZ2202 modification TAR2011.pdf,sheet 26</t>
    <phoneticPr fontId="14" type="noConversion"/>
  </si>
  <si>
    <t>PZ2158(2).pdf,sheet 4/PZ2158.pdf, sheet 2</t>
    <phoneticPr fontId="14" type="noConversion"/>
  </si>
  <si>
    <t>PZ2153A-B(2)-Win.pdf</t>
    <phoneticPr fontId="14" type="noConversion"/>
  </si>
  <si>
    <t>PZ2855A-B-Win.pdf,sheet 6/PZ2855A-B(2)-Win.pdf,sheet 5</t>
    <phoneticPr fontId="14" type="noConversion"/>
  </si>
  <si>
    <t>DZ2113A</t>
    <phoneticPr fontId="14" type="noConversion"/>
  </si>
  <si>
    <t>DZ2113B</t>
    <phoneticPr fontId="14" type="noConversion"/>
  </si>
  <si>
    <t>HZ2101B(check)-Win.pdf</t>
    <phoneticPr fontId="14" type="noConversion"/>
  </si>
  <si>
    <t>HZ2151(check).pdf</t>
    <phoneticPr fontId="14" type="noConversion"/>
  </si>
  <si>
    <t>HZ2201-Win.pdf</t>
    <phoneticPr fontId="14" type="noConversion"/>
  </si>
  <si>
    <t>FICZ2015</t>
    <phoneticPr fontId="14" type="noConversion"/>
  </si>
  <si>
    <t>FIZ1001</t>
    <phoneticPr fontId="14" type="noConversion"/>
  </si>
  <si>
    <t>T_LICAZ5008</t>
    <phoneticPr fontId="14" type="noConversion"/>
  </si>
  <si>
    <t>FICZ2015</t>
    <phoneticPr fontId="14" type="noConversion"/>
  </si>
  <si>
    <t>T_FICZ2015</t>
    <phoneticPr fontId="14" type="noConversion"/>
  </si>
  <si>
    <t>Pdisch_PZ2107A</t>
    <phoneticPr fontId="14" type="noConversion"/>
  </si>
  <si>
    <t>Pdisch_PZ2107B</t>
    <phoneticPr fontId="14" type="noConversion"/>
  </si>
  <si>
    <t>Pdisch_PZ2108</t>
    <phoneticPr fontId="14" type="noConversion"/>
  </si>
  <si>
    <t>Pdisch_PZ2110A</t>
    <phoneticPr fontId="14" type="noConversion"/>
  </si>
  <si>
    <t>Pdisch_PZ2110B</t>
    <phoneticPr fontId="14" type="noConversion"/>
  </si>
  <si>
    <t>Pdisch_PZ2109B</t>
    <phoneticPr fontId="14" type="noConversion"/>
  </si>
  <si>
    <t>Pdisch_PZ2109A</t>
    <phoneticPr fontId="14" type="noConversion"/>
  </si>
  <si>
    <t>DISC. PRESS. FOR PZ2110A</t>
  </si>
  <si>
    <t>DISC. PRESS. FOR PZ2110B</t>
  </si>
  <si>
    <t>DISC. PRESS. FOR PZ2109A</t>
  </si>
  <si>
    <t>DISC. PRESS. FOR PZ2109B</t>
  </si>
  <si>
    <t>DISC. PRESS. FOR PZ2107B</t>
  </si>
  <si>
    <t>DISC. PRESS. FOR PZ2108</t>
  </si>
  <si>
    <t>Psuct_PZ2110A</t>
    <phoneticPr fontId="14" type="noConversion"/>
  </si>
  <si>
    <t>Psuct_PZ2110B</t>
    <phoneticPr fontId="14" type="noConversion"/>
  </si>
  <si>
    <t>Psuct_PZ2109A</t>
    <phoneticPr fontId="14" type="noConversion"/>
  </si>
  <si>
    <t>Psuct_PZ2109B</t>
    <phoneticPr fontId="14" type="noConversion"/>
  </si>
  <si>
    <t>Psuct_PZ2107B</t>
    <phoneticPr fontId="14" type="noConversion"/>
  </si>
  <si>
    <t>Psuct_PZ2108</t>
    <phoneticPr fontId="14" type="noConversion"/>
  </si>
  <si>
    <t>SUC. PRESS. FOR PZ2110A</t>
  </si>
  <si>
    <t>SUC. PRESS. FOR PZ2110B</t>
  </si>
  <si>
    <t>SUC. PRESS. FOR PZ2109A</t>
  </si>
  <si>
    <t>SUC. PRESS. FOR PZ2109B</t>
  </si>
  <si>
    <t>SUC. PRESS. FOR PZ2108</t>
  </si>
  <si>
    <t>Psuct_PZ2107A</t>
    <phoneticPr fontId="14" type="noConversion"/>
  </si>
  <si>
    <t>T_TICZ1014</t>
    <phoneticPr fontId="14" type="noConversion"/>
  </si>
  <si>
    <t>T_TIC2327</t>
    <phoneticPr fontId="14" type="noConversion"/>
  </si>
  <si>
    <t>M_PZ2117A</t>
    <phoneticPr fontId="14" type="noConversion"/>
  </si>
  <si>
    <t>EZ2113A_B</t>
    <phoneticPr fontId="14" type="noConversion"/>
  </si>
  <si>
    <t>EZ2116A_C</t>
    <phoneticPr fontId="14" type="noConversion"/>
  </si>
  <si>
    <t>EZ2117A_C</t>
    <phoneticPr fontId="14" type="noConversion"/>
  </si>
  <si>
    <t>EZ2120A_F</t>
  </si>
  <si>
    <t>EZ2120A_F</t>
    <phoneticPr fontId="14" type="noConversion"/>
  </si>
  <si>
    <t>PZ2855A</t>
    <phoneticPr fontId="14" type="noConversion"/>
  </si>
  <si>
    <t>PZ2855B</t>
    <phoneticPr fontId="14" type="noConversion"/>
  </si>
  <si>
    <t>CZ2152</t>
  </si>
  <si>
    <t>PZ2102A-ECliq Data.pdf</t>
    <phoneticPr fontId="16" type="noConversion"/>
  </si>
  <si>
    <t>PZ2102B-Win.pdf</t>
    <phoneticPr fontId="14" type="noConversion"/>
  </si>
  <si>
    <t>PZ2102C-Win.pdf</t>
    <phoneticPr fontId="14" type="noConversion"/>
  </si>
  <si>
    <t>CZ2152-Win.pdf</t>
    <phoneticPr fontId="14" type="noConversion"/>
  </si>
  <si>
    <t>Recycle Compressor</t>
    <phoneticPr fontId="14" type="noConversion"/>
  </si>
  <si>
    <t>Lube Oil Pump</t>
    <phoneticPr fontId="14" type="noConversion"/>
  </si>
  <si>
    <t>TZ2101</t>
    <phoneticPr fontId="14" type="noConversion"/>
  </si>
  <si>
    <t>TZ2201</t>
    <phoneticPr fontId="14" type="noConversion"/>
  </si>
  <si>
    <t>TZ2202</t>
    <phoneticPr fontId="14" type="noConversion"/>
  </si>
  <si>
    <t>TZ2203</t>
    <phoneticPr fontId="14" type="noConversion"/>
  </si>
  <si>
    <t>0002-05-21-0040.tif</t>
    <phoneticPr fontId="14" type="noConversion"/>
  </si>
  <si>
    <t>0107-05-21-10005.tif</t>
    <phoneticPr fontId="14" type="noConversion"/>
  </si>
  <si>
    <t>Tz2102 2104  0535-05-21-0033.tif</t>
    <phoneticPr fontId="14" type="noConversion"/>
  </si>
  <si>
    <t>FICZ1024</t>
    <phoneticPr fontId="14" type="noConversion"/>
  </si>
  <si>
    <t>T_FICZ1024</t>
    <phoneticPr fontId="14" type="noConversion"/>
  </si>
  <si>
    <t>T_FICZ1084</t>
    <phoneticPr fontId="14" type="noConversion"/>
  </si>
  <si>
    <t>T_FICZ1085</t>
    <phoneticPr fontId="14" type="noConversion"/>
  </si>
  <si>
    <t>FICZ1085</t>
    <phoneticPr fontId="14" type="noConversion"/>
  </si>
  <si>
    <t>FICZ1024</t>
    <phoneticPr fontId="14" type="noConversion"/>
  </si>
  <si>
    <t>FICZ1085</t>
    <phoneticPr fontId="14" type="noConversion"/>
  </si>
  <si>
    <t>DZ2113A</t>
    <phoneticPr fontId="16" type="noConversion"/>
  </si>
  <si>
    <t>DZ2113B</t>
    <phoneticPr fontId="16" type="noConversion"/>
  </si>
  <si>
    <t>FVZ1032</t>
    <phoneticPr fontId="14" type="noConversion"/>
  </si>
  <si>
    <t>FVZ1033</t>
  </si>
  <si>
    <t>HICZ1018-19-22-23.pdf, 5/12</t>
    <phoneticPr fontId="16" type="noConversion"/>
  </si>
  <si>
    <t>HICZ1018-19-22-23.pdf,3/12                 TVZ1001-09-12.pdf,3/7&amp;5/7</t>
    <phoneticPr fontId="16" type="noConversion"/>
  </si>
  <si>
    <t>FVZ3002-3-6-7 and 3013till20.pdf, 2/15      LICZ3009 (new FITZ3008).pdf, 1/2</t>
    <phoneticPr fontId="16" type="noConversion"/>
  </si>
  <si>
    <t>FVZ3002-3-6-7 and 3013till20.pdf, 2/15</t>
  </si>
  <si>
    <t>PVZ3010A</t>
    <phoneticPr fontId="14" type="noConversion"/>
  </si>
  <si>
    <t>PVZ3010B</t>
    <phoneticPr fontId="14" type="noConversion"/>
  </si>
  <si>
    <t>TVZ3049</t>
    <phoneticPr fontId="14" type="noConversion"/>
  </si>
  <si>
    <t>HCV3004</t>
    <phoneticPr fontId="14" type="noConversion"/>
  </si>
  <si>
    <t>PVZ3004</t>
    <phoneticPr fontId="14" type="noConversion"/>
  </si>
  <si>
    <t>PICZ2010 and PICZ3001AB and 3010AB.pdf,5/13 &amp; 10/13                             TVZ3002-03.pdf,2/4</t>
    <phoneticPr fontId="16" type="noConversion"/>
  </si>
  <si>
    <t>PICZ2010 and PICZ3001AB and 3010AB.pdf, 8/13</t>
    <phoneticPr fontId="16" type="noConversion"/>
  </si>
  <si>
    <t>FV1001-17-18-19-24.pdf, 3/17</t>
  </si>
  <si>
    <t>FV1001-17-18-19-24.pdf, 3/17</t>
    <phoneticPr fontId="16" type="noConversion"/>
  </si>
  <si>
    <t>LVZ1010-15-17-27.pdf, 3/10, 5/10</t>
    <phoneticPr fontId="16" type="noConversion"/>
  </si>
  <si>
    <t>FVZ1085A</t>
    <phoneticPr fontId="14" type="noConversion"/>
  </si>
  <si>
    <t>FVZ1085B</t>
    <phoneticPr fontId="14" type="noConversion"/>
  </si>
  <si>
    <t>FVZ5065</t>
    <phoneticPr fontId="14" type="noConversion"/>
  </si>
  <si>
    <t>FVZ2002.pdf, 3/4</t>
    <phoneticPr fontId="16" type="noConversion"/>
  </si>
  <si>
    <t>HVZ1018</t>
    <phoneticPr fontId="14" type="noConversion"/>
  </si>
  <si>
    <t>HVZ1019</t>
    <phoneticPr fontId="14" type="noConversion"/>
  </si>
  <si>
    <t>LVZ5008</t>
    <phoneticPr fontId="14" type="noConversion"/>
  </si>
  <si>
    <t>LHVZ5008</t>
    <phoneticPr fontId="14" type="noConversion"/>
  </si>
  <si>
    <t>A_HVZ1018</t>
    <phoneticPr fontId="14" type="noConversion"/>
  </si>
  <si>
    <t>A_HVZ1019</t>
    <phoneticPr fontId="14" type="noConversion"/>
  </si>
  <si>
    <t>A_LVZ1010</t>
    <phoneticPr fontId="14" type="noConversion"/>
  </si>
  <si>
    <t>3</t>
    <phoneticPr fontId="14" type="noConversion"/>
  </si>
  <si>
    <t>A_FVZ2151</t>
    <phoneticPr fontId="14" type="noConversion"/>
  </si>
  <si>
    <t>FVZ2151</t>
    <phoneticPr fontId="14" type="noConversion"/>
  </si>
  <si>
    <t>A_PCVZ2084</t>
    <phoneticPr fontId="14" type="noConversion"/>
  </si>
  <si>
    <t>A_MVD_PZ2103C</t>
    <phoneticPr fontId="14" type="noConversion"/>
  </si>
  <si>
    <t>A_XCVZ5031</t>
    <phoneticPr fontId="14" type="noConversion"/>
  </si>
  <si>
    <t>XCVZ5031</t>
    <phoneticPr fontId="14" type="noConversion"/>
  </si>
  <si>
    <t>XCVZ1026</t>
    <phoneticPr fontId="14" type="noConversion"/>
  </si>
  <si>
    <t>A_XCVZ1026</t>
    <phoneticPr fontId="14" type="noConversion"/>
  </si>
  <si>
    <t>A_XCVZ10127</t>
    <phoneticPr fontId="14" type="noConversion"/>
  </si>
  <si>
    <t>XCVZ10127</t>
    <phoneticPr fontId="14" type="noConversion"/>
  </si>
  <si>
    <t>J-1601 pump Pages from 0662-14869.pdf</t>
    <phoneticPr fontId="14" type="noConversion"/>
  </si>
  <si>
    <t>J-1602 pump Pages from 0662-14869.pdf</t>
    <phoneticPr fontId="14" type="noConversion"/>
  </si>
  <si>
    <t>J-3702 pump Pages from 0662-14869.pdf</t>
    <phoneticPr fontId="14" type="noConversion"/>
  </si>
  <si>
    <t>JZ1601</t>
  </si>
  <si>
    <t>JZ1601</t>
    <phoneticPr fontId="14" type="noConversion"/>
  </si>
  <si>
    <t>JZ3702</t>
  </si>
  <si>
    <t>JZ3702</t>
    <phoneticPr fontId="14" type="noConversion"/>
  </si>
  <si>
    <t>JZ1602</t>
  </si>
  <si>
    <t>M_JZ1601</t>
    <phoneticPr fontId="14" type="noConversion"/>
  </si>
  <si>
    <t>M_JZ1602</t>
    <phoneticPr fontId="14" type="noConversion"/>
  </si>
  <si>
    <t>M_JZ3702</t>
    <phoneticPr fontId="14" type="noConversion"/>
  </si>
  <si>
    <t>FVZ2306</t>
    <phoneticPr fontId="14" type="noConversion"/>
  </si>
  <si>
    <t>FVZ2307</t>
  </si>
  <si>
    <t>FVZ2308</t>
  </si>
  <si>
    <t>FV2306</t>
    <phoneticPr fontId="14" type="noConversion"/>
  </si>
  <si>
    <t>FV2307</t>
  </si>
  <si>
    <t>JZ1601</t>
    <phoneticPr fontId="14" type="noConversion"/>
  </si>
  <si>
    <t>JZ1602</t>
    <phoneticPr fontId="14" type="noConversion"/>
  </si>
  <si>
    <t>JZ3702</t>
    <phoneticPr fontId="14" type="noConversion"/>
  </si>
  <si>
    <t>CDU BLENDER</t>
    <phoneticPr fontId="16" type="noConversion"/>
  </si>
  <si>
    <t>CDU BLENDER</t>
    <phoneticPr fontId="16" type="noConversion"/>
  </si>
  <si>
    <t>A_FVZ2306</t>
    <phoneticPr fontId="14" type="noConversion"/>
  </si>
  <si>
    <t>FVZ2306</t>
    <phoneticPr fontId="16" type="noConversion"/>
  </si>
  <si>
    <t>A_FVZ2306</t>
    <phoneticPr fontId="14" type="noConversion"/>
  </si>
  <si>
    <t>A_FVZ2307</t>
  </si>
  <si>
    <t>A_FVZ2308</t>
  </si>
  <si>
    <t>LVZ5008</t>
    <phoneticPr fontId="14" type="noConversion"/>
  </si>
  <si>
    <t>A_LVZ5008</t>
    <phoneticPr fontId="14" type="noConversion"/>
  </si>
  <si>
    <t>XCVZ5031</t>
    <phoneticPr fontId="16" type="noConversion"/>
  </si>
  <si>
    <t>A_XCVZ5031</t>
    <phoneticPr fontId="14" type="noConversion"/>
  </si>
  <si>
    <t>XCVZ1026</t>
    <phoneticPr fontId="16" type="noConversion"/>
  </si>
  <si>
    <t>A_XCVZ1026</t>
    <phoneticPr fontId="14" type="noConversion"/>
  </si>
  <si>
    <t>CDU4 BLENDER</t>
    <phoneticPr fontId="16" type="noConversion"/>
  </si>
  <si>
    <t>FVZ1095</t>
    <phoneticPr fontId="14" type="noConversion"/>
  </si>
  <si>
    <t>A_FVZ1095</t>
    <phoneticPr fontId="14" type="noConversion"/>
  </si>
  <si>
    <t>FVZ1095</t>
    <phoneticPr fontId="14" type="noConversion"/>
  </si>
  <si>
    <t>FCVZ1095</t>
    <phoneticPr fontId="14" type="noConversion"/>
  </si>
  <si>
    <t>A_FVZ1095</t>
    <phoneticPr fontId="14" type="noConversion"/>
  </si>
  <si>
    <t>A_XCVZ3025</t>
    <phoneticPr fontId="14" type="noConversion"/>
  </si>
  <si>
    <t>XCVZ3025</t>
    <phoneticPr fontId="14" type="noConversion"/>
  </si>
  <si>
    <t>A_PVZ3004A</t>
    <phoneticPr fontId="14" type="noConversion"/>
  </si>
  <si>
    <t>PVZ3004A</t>
    <phoneticPr fontId="14" type="noConversion"/>
  </si>
  <si>
    <t>A_XCVZ2018</t>
    <phoneticPr fontId="14" type="noConversion"/>
  </si>
  <si>
    <t>XCVZ2018</t>
    <phoneticPr fontId="14" type="noConversion"/>
  </si>
  <si>
    <t>LVZ1044</t>
    <phoneticPr fontId="14" type="noConversion"/>
  </si>
  <si>
    <t>A_LVZ1044</t>
    <phoneticPr fontId="14" type="noConversion"/>
  </si>
  <si>
    <t>FVZ1084</t>
    <phoneticPr fontId="14" type="noConversion"/>
  </si>
  <si>
    <t>A_FVZ1084</t>
    <phoneticPr fontId="14" type="noConversion"/>
  </si>
  <si>
    <t>A_TVZ2327</t>
    <phoneticPr fontId="14" type="noConversion"/>
  </si>
  <si>
    <t>TVZ2327</t>
    <phoneticPr fontId="14" type="noConversion"/>
  </si>
  <si>
    <t>A_TVZ1010A</t>
    <phoneticPr fontId="14" type="noConversion"/>
  </si>
  <si>
    <t>A_TVZ1010B</t>
    <phoneticPr fontId="14" type="noConversion"/>
  </si>
  <si>
    <t>TVZ1010B</t>
    <phoneticPr fontId="14" type="noConversion"/>
  </si>
  <si>
    <t>TCV2327</t>
    <phoneticPr fontId="14" type="noConversion"/>
  </si>
  <si>
    <t>LVZ1044</t>
    <phoneticPr fontId="16" type="noConversion"/>
  </si>
  <si>
    <t>A_LVZ1044</t>
    <phoneticPr fontId="14" type="noConversion"/>
  </si>
  <si>
    <t>FVZ1084</t>
    <phoneticPr fontId="16" type="noConversion"/>
  </si>
  <si>
    <t>A_FVZ1084</t>
    <phoneticPr fontId="14" type="noConversion"/>
  </si>
  <si>
    <t>TVZ1010B</t>
    <phoneticPr fontId="16" type="noConversion"/>
  </si>
  <si>
    <t>A_TVZ1010B</t>
    <phoneticPr fontId="14" type="noConversion"/>
  </si>
  <si>
    <t>PVZ3004A</t>
    <phoneticPr fontId="14" type="noConversion"/>
  </si>
  <si>
    <t>A_PVZ3004A</t>
    <phoneticPr fontId="14" type="noConversion"/>
  </si>
  <si>
    <t>TVZ2327</t>
    <phoneticPr fontId="16" type="noConversion"/>
  </si>
  <si>
    <t>A_TVZ2327</t>
    <phoneticPr fontId="14" type="noConversion"/>
  </si>
  <si>
    <t>T_TCZ2029</t>
    <phoneticPr fontId="14" type="noConversion"/>
  </si>
  <si>
    <t>T_TIZ1093</t>
    <phoneticPr fontId="14" type="noConversion"/>
  </si>
  <si>
    <t>TCZ2029</t>
    <phoneticPr fontId="14" type="noConversion"/>
  </si>
  <si>
    <t>TCZ2029</t>
    <phoneticPr fontId="14" type="noConversion"/>
  </si>
  <si>
    <t>T_FIZ2001A</t>
    <phoneticPr fontId="14" type="noConversion"/>
  </si>
  <si>
    <t>FIZ2001A</t>
    <phoneticPr fontId="14" type="noConversion"/>
  </si>
  <si>
    <t>T_FICZ2065</t>
    <phoneticPr fontId="14" type="noConversion"/>
  </si>
  <si>
    <t>FICZ2065</t>
    <phoneticPr fontId="14" type="noConversion"/>
  </si>
  <si>
    <t>T_PIAZ2085</t>
    <phoneticPr fontId="14" type="noConversion"/>
  </si>
  <si>
    <t>PIAZ2085</t>
    <phoneticPr fontId="14" type="noConversion"/>
  </si>
  <si>
    <t>T_SYCZ2002</t>
    <phoneticPr fontId="14" type="noConversion"/>
  </si>
  <si>
    <t>T_SIAZ2002</t>
    <phoneticPr fontId="14" type="noConversion"/>
  </si>
  <si>
    <t>T_TTZ3045</t>
    <phoneticPr fontId="14" type="noConversion"/>
  </si>
  <si>
    <t>T_TTZ3044</t>
    <phoneticPr fontId="14" type="noConversion"/>
  </si>
  <si>
    <t>T_PIAZ1007</t>
    <phoneticPr fontId="14" type="noConversion"/>
  </si>
  <si>
    <t>T_LIZ1024</t>
    <phoneticPr fontId="14" type="noConversion"/>
  </si>
  <si>
    <t>T_LICZ1024</t>
    <phoneticPr fontId="14" type="noConversion"/>
  </si>
  <si>
    <t>T_FIZ1086</t>
    <phoneticPr fontId="14" type="noConversion"/>
  </si>
  <si>
    <t>FIZ1086</t>
    <phoneticPr fontId="14" type="noConversion"/>
  </si>
  <si>
    <t>T_PDIZ2001</t>
    <phoneticPr fontId="14" type="noConversion"/>
  </si>
  <si>
    <t>T_FICZ5065</t>
    <phoneticPr fontId="14" type="noConversion"/>
  </si>
  <si>
    <t>FICZ5065</t>
    <phoneticPr fontId="14" type="noConversion"/>
  </si>
  <si>
    <t>T_FICZ4001</t>
    <phoneticPr fontId="14" type="noConversion"/>
  </si>
  <si>
    <t>FICZ4001</t>
    <phoneticPr fontId="14" type="noConversion"/>
  </si>
  <si>
    <t>FICZ4001</t>
    <phoneticPr fontId="14" type="noConversion"/>
  </si>
  <si>
    <t>T_FIZ4010</t>
    <phoneticPr fontId="14" type="noConversion"/>
  </si>
  <si>
    <t>T_LICZ1052</t>
    <phoneticPr fontId="14" type="noConversion"/>
  </si>
  <si>
    <t>T_LICZ1043</t>
    <phoneticPr fontId="14" type="noConversion"/>
  </si>
  <si>
    <t>T_LICZ1043A</t>
    <phoneticPr fontId="14" type="noConversion"/>
  </si>
  <si>
    <t>T_PICAZ10119</t>
    <phoneticPr fontId="14" type="noConversion"/>
  </si>
  <si>
    <t>PICAZ10119</t>
    <phoneticPr fontId="14" type="noConversion"/>
  </si>
  <si>
    <t>PICAZ10119</t>
    <phoneticPr fontId="14" type="noConversion"/>
  </si>
  <si>
    <t>T_TICZ1011</t>
    <phoneticPr fontId="14" type="noConversion"/>
  </si>
  <si>
    <t>TICZ1011</t>
    <phoneticPr fontId="14" type="noConversion"/>
  </si>
  <si>
    <t>TICZ1011</t>
    <phoneticPr fontId="14" type="noConversion"/>
  </si>
  <si>
    <t>LVZ2603</t>
  </si>
  <si>
    <t>PV2691A</t>
  </si>
  <si>
    <t>FYVZ2066</t>
  </si>
  <si>
    <t>PV2305A</t>
  </si>
  <si>
    <t>FYVZ2067</t>
  </si>
  <si>
    <t>PV4001B</t>
  </si>
  <si>
    <t>PV2305B</t>
  </si>
  <si>
    <t>PV4001A</t>
  </si>
  <si>
    <t>XCV_2624</t>
  </si>
  <si>
    <t>T_QPSSZ3010</t>
  </si>
  <si>
    <t>T_FICZ2308</t>
  </si>
  <si>
    <t>T_AIZ3004B</t>
  </si>
  <si>
    <t>T_XIZ2007</t>
  </si>
  <si>
    <t>T_FIZ1046</t>
  </si>
  <si>
    <t>Pdisch_PZ2112B</t>
  </si>
  <si>
    <t>T_TTZ5056</t>
  </si>
  <si>
    <t>T_FTZ2012</t>
  </si>
  <si>
    <t>T_FIZ1074</t>
  </si>
  <si>
    <t>T_NOX_HZ2201</t>
  </si>
  <si>
    <t>T_HICZ3001</t>
  </si>
  <si>
    <t>T_TIZ1083</t>
  </si>
  <si>
    <t>Pdisch_PZ2158</t>
  </si>
  <si>
    <t>T_PIZ10140B</t>
  </si>
  <si>
    <t>T_FI_2315</t>
  </si>
  <si>
    <t>T_TIZ2095</t>
  </si>
  <si>
    <t>T_FRDUTYHZ2201</t>
  </si>
  <si>
    <t>T_TIZ2097</t>
  </si>
  <si>
    <t>T_PIZ1085</t>
  </si>
  <si>
    <t>Pdisch_PZ2118B</t>
  </si>
  <si>
    <t>T_PDI4004</t>
  </si>
  <si>
    <t>T_TIZ1077</t>
  </si>
  <si>
    <t>Psuct_PZ2855A</t>
  </si>
  <si>
    <t>T_TIZ1068</t>
  </si>
  <si>
    <t>T_TIZ3010C</t>
  </si>
  <si>
    <t>T_PDIZ5022</t>
  </si>
  <si>
    <t>T_PIZ5020</t>
  </si>
  <si>
    <t>T_FYZ2003</t>
  </si>
  <si>
    <t>T_FRDUTY_DHT4</t>
  </si>
  <si>
    <t>T_AIZ3004C</t>
  </si>
  <si>
    <t>T_FYIZ3002</t>
  </si>
  <si>
    <t>T_PIZ1063</t>
  </si>
  <si>
    <t>T_FICZ2307</t>
  </si>
  <si>
    <t>T_FITZ2019</t>
  </si>
  <si>
    <t>Psuct_PZ2112A</t>
  </si>
  <si>
    <t>T_FI_2627</t>
  </si>
  <si>
    <t>T_TIZ2091</t>
  </si>
  <si>
    <t>T_TIZ2093</t>
  </si>
  <si>
    <t>T_FIZ1009_10</t>
  </si>
  <si>
    <t>T_TIZ1078</t>
  </si>
  <si>
    <t>T_XIZ1015</t>
  </si>
  <si>
    <t>T_AIZ3004D</t>
  </si>
  <si>
    <t>Pdisch_PZ2118A</t>
  </si>
  <si>
    <t>T_PIZ10192</t>
  </si>
  <si>
    <t>T_PIC_4001</t>
  </si>
  <si>
    <t>T_FRDUTY_CDU4</t>
  </si>
  <si>
    <t>T_XEFZ2151</t>
  </si>
  <si>
    <t>T_XFDZ1_2201</t>
  </si>
  <si>
    <t>T_PICZ1006</t>
  </si>
  <si>
    <t>T_XFDZ1_2151</t>
  </si>
  <si>
    <t>T_NOX_HZ2151</t>
  </si>
  <si>
    <t>T_LIZ1048</t>
  </si>
  <si>
    <t>T_FITZ3005_F</t>
  </si>
  <si>
    <t>T_TIZ10139</t>
  </si>
  <si>
    <t>T_PIZ2013</t>
  </si>
  <si>
    <t>Psuct_PZ2122</t>
  </si>
  <si>
    <t>T_TIIZ1013</t>
  </si>
  <si>
    <t>T_FIZ1604</t>
  </si>
  <si>
    <t>Pdisch_PZ2855A</t>
  </si>
  <si>
    <t>T_TIZ1035</t>
  </si>
  <si>
    <t>T_TIZ2089</t>
  </si>
  <si>
    <t>T_AIZ1015</t>
  </si>
  <si>
    <t>T_TIIZ1014</t>
  </si>
  <si>
    <t>T_FYZ1002</t>
  </si>
  <si>
    <t>T_PIC_2666</t>
  </si>
  <si>
    <t>T_FICZ2066</t>
  </si>
  <si>
    <t>T_TIZ1074</t>
  </si>
  <si>
    <t>T_PICZ1003</t>
  </si>
  <si>
    <t>Pdisch_PZ2855B</t>
  </si>
  <si>
    <t>T_FIC_2339</t>
  </si>
  <si>
    <t>T_XIZ2008</t>
  </si>
  <si>
    <t>T_PDZ1009</t>
  </si>
  <si>
    <t>T_FI_2600C</t>
  </si>
  <si>
    <t>T_XEFZ2201</t>
  </si>
  <si>
    <t>T_FIZ1605</t>
  </si>
  <si>
    <t>T_TIZ1164</t>
  </si>
  <si>
    <t>T_FI_2626</t>
  </si>
  <si>
    <t>T_TIZ1001</t>
  </si>
  <si>
    <t>Pdisch_PZ2112A</t>
  </si>
  <si>
    <t>T_FYZ1074</t>
  </si>
  <si>
    <t>T_AICZ5053</t>
  </si>
  <si>
    <t>T_TDZ1172</t>
  </si>
  <si>
    <t>T_TIZ3050</t>
  </si>
  <si>
    <t>T_AIZ3010</t>
  </si>
  <si>
    <t>T_TIZ1092</t>
  </si>
  <si>
    <t>T_TIZ1003</t>
  </si>
  <si>
    <t>T_XFDZ1_2101</t>
  </si>
  <si>
    <t>T_PDIZ2021_77</t>
  </si>
  <si>
    <t>T_TIZ1007</t>
  </si>
  <si>
    <t>T_FICZ2306</t>
  </si>
  <si>
    <t>T_FT_4006</t>
  </si>
  <si>
    <t>T_TIZ1056</t>
  </si>
  <si>
    <t>T_XEFZ2101</t>
  </si>
  <si>
    <t>T_FIC_4001</t>
  </si>
  <si>
    <t>T_PICAZ1004</t>
  </si>
  <si>
    <t>T_AIZ3004A</t>
  </si>
  <si>
    <t>T_TYZ1135_DEW</t>
  </si>
  <si>
    <t>Psuct_PZ2855B</t>
  </si>
  <si>
    <t>T_LISA_2616</t>
  </si>
  <si>
    <t>T_PIZ1087</t>
  </si>
  <si>
    <t>T_FICZ2067</t>
  </si>
  <si>
    <t>T_PIZ10140C</t>
  </si>
  <si>
    <t>T_AIZ1004</t>
  </si>
  <si>
    <t>T_ATZ5054</t>
  </si>
  <si>
    <t>T_TTZ3017</t>
  </si>
  <si>
    <t>Psuct_PZ2112B</t>
  </si>
  <si>
    <t>T_XIZ1014</t>
  </si>
  <si>
    <t>T_PIC_2691</t>
  </si>
  <si>
    <t>T_FIZ10115</t>
  </si>
  <si>
    <t>T_AIZ1016</t>
  </si>
  <si>
    <t>T_PIC_2305</t>
  </si>
  <si>
    <t>T_NOX_HZ2101</t>
  </si>
  <si>
    <t>Psuct_PZ2158</t>
  </si>
  <si>
    <t>T_PIZ10140A</t>
  </si>
  <si>
    <t>FICZ1061</t>
  </si>
  <si>
    <t>FICAZ1062</t>
  </si>
  <si>
    <t>PICZ1001</t>
  </si>
  <si>
    <t>FICZ1001</t>
  </si>
  <si>
    <t>TIC2327</t>
  </si>
  <si>
    <t>FCVZ2067</t>
    <phoneticPr fontId="14" type="noConversion"/>
  </si>
  <si>
    <t>A_FYVZ2066</t>
  </si>
  <si>
    <t>A_FYVZ2066</t>
    <phoneticPr fontId="14" type="noConversion"/>
  </si>
  <si>
    <t>A_FYVZ2067</t>
  </si>
  <si>
    <t>A_FYVZ2067</t>
    <phoneticPr fontId="14" type="noConversion"/>
  </si>
  <si>
    <t>A_PV2691A</t>
  </si>
  <si>
    <t>A_PV2691A</t>
    <phoneticPr fontId="14" type="noConversion"/>
  </si>
  <si>
    <t>A_PV2305A</t>
  </si>
  <si>
    <t>A_PV2305A</t>
    <phoneticPr fontId="14" type="noConversion"/>
  </si>
  <si>
    <t>A_PV2305B</t>
  </si>
  <si>
    <t>A_PV2305B</t>
    <phoneticPr fontId="14" type="noConversion"/>
  </si>
  <si>
    <t>A_PV4001A</t>
  </si>
  <si>
    <t>A_PV4001A</t>
    <phoneticPr fontId="14" type="noConversion"/>
  </si>
  <si>
    <t>A_PV4001B</t>
  </si>
  <si>
    <t>A_PV4001B</t>
    <phoneticPr fontId="14" type="noConversion"/>
  </si>
  <si>
    <t>A_LVZ2603</t>
  </si>
  <si>
    <t>A_LVZ2603</t>
    <phoneticPr fontId="14" type="noConversion"/>
  </si>
  <si>
    <t>A_XCV_2624</t>
  </si>
  <si>
    <t>A_XCV_2624</t>
    <phoneticPr fontId="14" type="noConversion"/>
  </si>
  <si>
    <t>HRU_FEED</t>
    <phoneticPr fontId="14" type="noConversion"/>
  </si>
  <si>
    <t>FV2306.pdf, 1/4</t>
  </si>
  <si>
    <t>FV2307-ECliq.pdf</t>
  </si>
  <si>
    <t>Datasheets FCVz3004-3010-2066-2067.pdf,4/7 NL5618-00_J_02_0002.pdf, 38/56</t>
  </si>
  <si>
    <t>Datasheets FCVz3004-3010-2066-2067.pdf,5/7 NL5618-00_J_02_0002.pdf, 42/56</t>
  </si>
  <si>
    <t>Pdisch_PZ2122</t>
    <phoneticPr fontId="14" type="noConversion"/>
  </si>
  <si>
    <t>FI_2315</t>
  </si>
  <si>
    <t>FI_2627</t>
  </si>
  <si>
    <t>FIZ1046</t>
  </si>
  <si>
    <t>PIZ1085</t>
  </si>
  <si>
    <t>DISC. PRESS. FOR PZ2107A</t>
    <phoneticPr fontId="14" type="noConversion"/>
  </si>
  <si>
    <t>DISC. PRESS. FOR PZ2107A</t>
    <phoneticPr fontId="14" type="noConversion"/>
  </si>
  <si>
    <t>DISC. PRESS. FOR PZ2102A</t>
    <phoneticPr fontId="14" type="noConversion"/>
  </si>
  <si>
    <t>DISC. PRESS. FOR PZ2102B</t>
    <phoneticPr fontId="14" type="noConversion"/>
  </si>
  <si>
    <t>DISC. PRESS. FOR PZ2102C</t>
    <phoneticPr fontId="14" type="noConversion"/>
  </si>
  <si>
    <t>DISC. PRESS. FOR PZ2103A</t>
    <phoneticPr fontId="14" type="noConversion"/>
  </si>
  <si>
    <t>DISC. PRESS. FOR PZ2103B</t>
    <phoneticPr fontId="14" type="noConversion"/>
  </si>
  <si>
    <t>DISC. PRESS. FOR PZ2103C</t>
    <phoneticPr fontId="14" type="noConversion"/>
  </si>
  <si>
    <t>DISC. PRESS. FOR PZ2106A</t>
    <phoneticPr fontId="14" type="noConversion"/>
  </si>
  <si>
    <t>DISC. PRESS. FOR PZ2106B</t>
    <phoneticPr fontId="14" type="noConversion"/>
  </si>
  <si>
    <t>DISC. PRESS. FOR PZ2106C</t>
    <phoneticPr fontId="14" type="noConversion"/>
  </si>
  <si>
    <t>DISC. PRESS. FOR PZ2112A</t>
    <phoneticPr fontId="14" type="noConversion"/>
  </si>
  <si>
    <t>DISC. PRESS. FOR PZ2112B</t>
    <phoneticPr fontId="14" type="noConversion"/>
  </si>
  <si>
    <t>DISC. PRESS. FOR PZ2118A</t>
    <phoneticPr fontId="14" type="noConversion"/>
  </si>
  <si>
    <t>DISC. PRESS. FOR PZ2118B</t>
    <phoneticPr fontId="14" type="noConversion"/>
  </si>
  <si>
    <t>DISC. PRESS. FOR PZ2122</t>
    <phoneticPr fontId="14" type="noConversion"/>
  </si>
  <si>
    <t>DISC. PRESS. FOR PZ2151A</t>
    <phoneticPr fontId="14" type="noConversion"/>
  </si>
  <si>
    <t>DISC. PRESS. FOR PZ2151B</t>
    <phoneticPr fontId="14" type="noConversion"/>
  </si>
  <si>
    <t>DISC. PRESS. FOR PZ2153A</t>
    <phoneticPr fontId="14" type="noConversion"/>
  </si>
  <si>
    <t>DISC. PRESS. FOR PZ2153B</t>
    <phoneticPr fontId="14" type="noConversion"/>
  </si>
  <si>
    <t>DISC. PRESS. FOR PZ2156</t>
    <phoneticPr fontId="14" type="noConversion"/>
  </si>
  <si>
    <t>DISC. PRESS. FOR PZ2158</t>
    <phoneticPr fontId="14" type="noConversion"/>
  </si>
  <si>
    <t>DISC. PRESS. FOR PZ2161A</t>
    <phoneticPr fontId="14" type="noConversion"/>
  </si>
  <si>
    <t>DISC. PRESS. FOR PZ2161B</t>
    <phoneticPr fontId="14" type="noConversion"/>
  </si>
  <si>
    <t>DISC. PRESS. FOR PZ2201A</t>
    <phoneticPr fontId="14" type="noConversion"/>
  </si>
  <si>
    <t>DISC. PRESS. FOR PZ2201B</t>
    <phoneticPr fontId="14" type="noConversion"/>
  </si>
  <si>
    <t>DISC. PRESS. FOR PZ2202A</t>
    <phoneticPr fontId="14" type="noConversion"/>
  </si>
  <si>
    <t>DISC. PRESS. FOR PZ2202B</t>
    <phoneticPr fontId="14" type="noConversion"/>
  </si>
  <si>
    <t>DISC. PRESS. FOR PZ2855A</t>
    <phoneticPr fontId="14" type="noConversion"/>
  </si>
  <si>
    <t>DISC. PRESS. FOR PZ2855B</t>
    <phoneticPr fontId="14" type="noConversion"/>
  </si>
  <si>
    <t>SUC. PRESS. FOR PZ2103A</t>
    <phoneticPr fontId="14" type="noConversion"/>
  </si>
  <si>
    <t>SUC. PRESS. FOR PZ2103B</t>
    <phoneticPr fontId="14" type="noConversion"/>
  </si>
  <si>
    <t>SUC. PRESS. FOR PZ2103C</t>
    <phoneticPr fontId="14" type="noConversion"/>
  </si>
  <si>
    <t>SUC. PRESS. FOR PZ2105A</t>
    <phoneticPr fontId="14" type="noConversion"/>
  </si>
  <si>
    <t>SUC. PRESS. FOR PZ2105B</t>
    <phoneticPr fontId="14" type="noConversion"/>
  </si>
  <si>
    <t>SUC. PRESS. FOR PZ2106C</t>
    <phoneticPr fontId="14" type="noConversion"/>
  </si>
  <si>
    <t>SUC. PRESS. FOR PZ2102A</t>
    <phoneticPr fontId="14" type="noConversion"/>
  </si>
  <si>
    <t>SUC. PRESS. FOR PZ2102B</t>
    <phoneticPr fontId="14" type="noConversion"/>
  </si>
  <si>
    <t>SUC. PRESS. FOR PZ2102C</t>
    <phoneticPr fontId="14" type="noConversion"/>
  </si>
  <si>
    <t>SUC. PRESS. FOR PZ2112A</t>
    <phoneticPr fontId="14" type="noConversion"/>
  </si>
  <si>
    <t>SUC. PRESS. FOR PZ2112B</t>
    <phoneticPr fontId="14" type="noConversion"/>
  </si>
  <si>
    <t>SUC. PRESS. FOR PZ2122</t>
    <phoneticPr fontId="14" type="noConversion"/>
  </si>
  <si>
    <t>SUC. PRESS. FOR PZ2151A</t>
    <phoneticPr fontId="14" type="noConversion"/>
  </si>
  <si>
    <t>SUC. PRESS. FOR PZ2151B</t>
    <phoneticPr fontId="14" type="noConversion"/>
  </si>
  <si>
    <t>SUC. PRESS. FOR PZ2153A</t>
    <phoneticPr fontId="14" type="noConversion"/>
  </si>
  <si>
    <t>SUC. PRESS. FOR PZ2153B</t>
    <phoneticPr fontId="14" type="noConversion"/>
  </si>
  <si>
    <t>SUC. PRESS. FOR PZ2156</t>
    <phoneticPr fontId="14" type="noConversion"/>
  </si>
  <si>
    <t>SUC. PRESS. FOR PZ2158</t>
    <phoneticPr fontId="14" type="noConversion"/>
  </si>
  <si>
    <t>SUC. PRESS. FOR PZ2161A</t>
    <phoneticPr fontId="14" type="noConversion"/>
  </si>
  <si>
    <t>SUC. PRESS. FOR PZ2161B</t>
    <phoneticPr fontId="14" type="noConversion"/>
  </si>
  <si>
    <t>SUC. PRESS. FOR PZ2201A</t>
    <phoneticPr fontId="14" type="noConversion"/>
  </si>
  <si>
    <t>SUC. PRESS. FOR PZ2201B</t>
    <phoneticPr fontId="14" type="noConversion"/>
  </si>
  <si>
    <t>SUC. PRESS. FOR PZ2855A</t>
    <phoneticPr fontId="14" type="noConversion"/>
  </si>
  <si>
    <t>SUC. PRESS. FOR PZ2855B</t>
    <phoneticPr fontId="14" type="noConversion"/>
  </si>
  <si>
    <t>Pdisch_PZ2111</t>
    <phoneticPr fontId="14" type="noConversion"/>
  </si>
  <si>
    <t>Psuct_PZ2111</t>
    <phoneticPr fontId="14" type="noConversion"/>
  </si>
  <si>
    <t>DISC. PRESS. FOR PZ2111</t>
    <phoneticPr fontId="14" type="noConversion"/>
  </si>
  <si>
    <t>SUC. PRESS. FOR PZ2111</t>
    <phoneticPr fontId="14" type="noConversion"/>
  </si>
  <si>
    <t>EZ2114</t>
    <phoneticPr fontId="14" type="noConversion"/>
  </si>
  <si>
    <t>NORMAL DUTY HZ2101</t>
  </si>
  <si>
    <t>NORMAL DUTY HZ2151</t>
  </si>
  <si>
    <t>NORMAL DUTY HZ2201</t>
  </si>
  <si>
    <t>D2603 LEVEL</t>
    <phoneticPr fontId="14" type="noConversion"/>
  </si>
  <si>
    <t>CDU4 HEATER HZ2151 NOX EMISSIE</t>
    <phoneticPr fontId="14" type="noConversion"/>
  </si>
  <si>
    <t>BFW PRESS</t>
    <phoneticPr fontId="14" type="noConversion"/>
  </si>
  <si>
    <t>HZ2151 PILOTE</t>
    <phoneticPr fontId="14" type="noConversion"/>
  </si>
  <si>
    <t>HZ2151 INSTRUMENT AIR</t>
    <phoneticPr fontId="14" type="noConversion"/>
  </si>
  <si>
    <t>HZ2151 MAIN FG</t>
    <phoneticPr fontId="14" type="noConversion"/>
  </si>
  <si>
    <t>HZ2151 PILOTE FILTER</t>
    <phoneticPr fontId="14" type="noConversion"/>
  </si>
  <si>
    <t>HZ2151 INSTRUMENT AIR FILTER</t>
    <phoneticPr fontId="14" type="noConversion"/>
  </si>
  <si>
    <t>HRU GAS FEED DRUM</t>
    <phoneticPr fontId="14" type="noConversion"/>
  </si>
  <si>
    <t>CDU3 FG</t>
  </si>
  <si>
    <t>CDU3 FG</t>
    <phoneticPr fontId="14" type="noConversion"/>
  </si>
  <si>
    <t>GOH3 FG</t>
  </si>
  <si>
    <t>GOH3 FG</t>
    <phoneticPr fontId="14" type="noConversion"/>
  </si>
  <si>
    <t>LUBE OIL TEMP</t>
    <phoneticPr fontId="14" type="noConversion"/>
  </si>
  <si>
    <t>LUBE OIL PRESS</t>
    <phoneticPr fontId="14" type="noConversion"/>
  </si>
  <si>
    <t>DZ2101A PRESSURE</t>
    <phoneticPr fontId="14" type="noConversion"/>
  </si>
  <si>
    <t>DZ2101B PRESSURE</t>
    <phoneticPr fontId="14" type="noConversion"/>
  </si>
  <si>
    <t>FYZ2003</t>
    <phoneticPr fontId="14" type="noConversion"/>
  </si>
  <si>
    <t>STRIPPER REBOILER OUTLET</t>
    <phoneticPr fontId="14" type="noConversion"/>
  </si>
  <si>
    <t>EZ2208 OUTLET PRESS</t>
    <phoneticPr fontId="14" type="noConversion"/>
  </si>
  <si>
    <t>DZ3002 LEVEL</t>
    <phoneticPr fontId="14" type="noConversion"/>
  </si>
  <si>
    <t>LUBE OIL PRESSURE</t>
    <phoneticPr fontId="14" type="noConversion"/>
  </si>
  <si>
    <t>HOT LGO</t>
    <phoneticPr fontId="14" type="noConversion"/>
  </si>
  <si>
    <t>HOT LGO TO BLENDER</t>
    <phoneticPr fontId="14" type="noConversion"/>
  </si>
  <si>
    <t>PZ2117A FLOW</t>
  </si>
  <si>
    <t>FIZ1062</t>
    <phoneticPr fontId="14" type="noConversion"/>
  </si>
  <si>
    <t>T_PCCZ10110</t>
    <phoneticPr fontId="14" type="noConversion"/>
  </si>
  <si>
    <t>SUC. PRESS. FOR PZ2104A</t>
    <phoneticPr fontId="14" type="noConversion"/>
  </si>
  <si>
    <t>SUC. PRESS. FOR PZ2104B</t>
    <phoneticPr fontId="14" type="noConversion"/>
  </si>
  <si>
    <t>SUC. PRESS. FOR PZ2104C</t>
    <phoneticPr fontId="14" type="noConversion"/>
  </si>
  <si>
    <t>SUC. PRESS. FOR PZ2106A</t>
    <phoneticPr fontId="14" type="noConversion"/>
  </si>
  <si>
    <t>SUC. PRESS. FOR PZ2106B</t>
    <phoneticPr fontId="14" type="noConversion"/>
  </si>
  <si>
    <t>SUC. PRESS. FOR PZ2107A</t>
    <phoneticPr fontId="14" type="noConversion"/>
  </si>
  <si>
    <t>SUC. PRESS. FOR PZ2107B</t>
    <phoneticPr fontId="14" type="noConversion"/>
  </si>
  <si>
    <t>SUC. PRESS. FOR PZ2202A</t>
    <phoneticPr fontId="14" type="noConversion"/>
  </si>
  <si>
    <t>SUC. PRESS. FOR PZ2202B</t>
    <phoneticPr fontId="14" type="noConversion"/>
  </si>
  <si>
    <t>BARG</t>
    <phoneticPr fontId="14" type="noConversion"/>
  </si>
  <si>
    <t>FIZ1062</t>
    <phoneticPr fontId="14" type="noConversion"/>
  </si>
  <si>
    <t>FICAZ2003</t>
    <phoneticPr fontId="14" type="noConversion"/>
  </si>
  <si>
    <t>FICAZ3013</t>
    <phoneticPr fontId="14" type="noConversion"/>
  </si>
  <si>
    <t>ficz1017</t>
    <phoneticPr fontId="14" type="noConversion"/>
  </si>
  <si>
    <t>FIZ1017</t>
    <phoneticPr fontId="14" type="noConversion"/>
  </si>
  <si>
    <t>FIZ1060</t>
    <phoneticPr fontId="14" type="noConversion"/>
  </si>
  <si>
    <t>FIZ1061</t>
    <phoneticPr fontId="14" type="noConversion"/>
  </si>
  <si>
    <t>FICZ1072</t>
    <phoneticPr fontId="14" type="noConversion"/>
  </si>
  <si>
    <t>FICZ2010</t>
    <phoneticPr fontId="14" type="noConversion"/>
  </si>
  <si>
    <t>FICZ3004</t>
    <phoneticPr fontId="14" type="noConversion"/>
  </si>
  <si>
    <t>FICZ3006</t>
    <phoneticPr fontId="14" type="noConversion"/>
  </si>
  <si>
    <t>FICZ3007</t>
    <phoneticPr fontId="14" type="noConversion"/>
  </si>
  <si>
    <t>FITZ1003A</t>
    <phoneticPr fontId="14" type="noConversion"/>
  </si>
  <si>
    <t>FITZ1003B</t>
    <phoneticPr fontId="14" type="noConversion"/>
  </si>
  <si>
    <t>FITZ1068</t>
    <phoneticPr fontId="14" type="noConversion"/>
  </si>
  <si>
    <t>FITZ2001B</t>
    <phoneticPr fontId="14" type="noConversion"/>
  </si>
  <si>
    <t>FITZ2007</t>
    <phoneticPr fontId="14" type="noConversion"/>
  </si>
  <si>
    <t>FITZ2014</t>
    <phoneticPr fontId="14" type="noConversion"/>
  </si>
  <si>
    <t>FITZ2019</t>
    <phoneticPr fontId="14" type="noConversion"/>
  </si>
  <si>
    <t>FITZ3005</t>
    <phoneticPr fontId="14" type="noConversion"/>
  </si>
  <si>
    <t>FITZ3005_F</t>
    <phoneticPr fontId="14" type="noConversion"/>
  </si>
  <si>
    <t>FITZ3021</t>
    <phoneticPr fontId="14" type="noConversion"/>
  </si>
  <si>
    <t>FITZ5017</t>
    <phoneticPr fontId="14" type="noConversion"/>
  </si>
  <si>
    <t>FIZ1009</t>
    <phoneticPr fontId="14" type="noConversion"/>
  </si>
  <si>
    <t>FIZ1009_10</t>
    <phoneticPr fontId="14" type="noConversion"/>
  </si>
  <si>
    <t>FIZ1010</t>
    <phoneticPr fontId="14" type="noConversion"/>
  </si>
  <si>
    <t>FIZ10115</t>
    <phoneticPr fontId="14" type="noConversion"/>
  </si>
  <si>
    <t>FIZ1013</t>
    <phoneticPr fontId="14" type="noConversion"/>
  </si>
  <si>
    <t>FIZ1033</t>
    <phoneticPr fontId="14" type="noConversion"/>
  </si>
  <si>
    <t>FIZ1034</t>
    <phoneticPr fontId="14" type="noConversion"/>
  </si>
  <si>
    <t>FIZ1050B</t>
    <phoneticPr fontId="14" type="noConversion"/>
  </si>
  <si>
    <t>FIZ1059</t>
    <phoneticPr fontId="14" type="noConversion"/>
  </si>
  <si>
    <t>FIZ1071</t>
    <phoneticPr fontId="14" type="noConversion"/>
  </si>
  <si>
    <t>FIZ1074</t>
    <phoneticPr fontId="14" type="noConversion"/>
  </si>
  <si>
    <t>FIZ1604</t>
    <phoneticPr fontId="14" type="noConversion"/>
  </si>
  <si>
    <t>FIZ4010</t>
    <phoneticPr fontId="14" type="noConversion"/>
  </si>
  <si>
    <t>FTZ2012</t>
    <phoneticPr fontId="14" type="noConversion"/>
  </si>
  <si>
    <t>FTZ4005</t>
    <phoneticPr fontId="14" type="noConversion"/>
  </si>
  <si>
    <t>FTZ4006</t>
    <phoneticPr fontId="14" type="noConversion"/>
  </si>
  <si>
    <t>FYIZ3002</t>
    <phoneticPr fontId="14" type="noConversion"/>
  </si>
  <si>
    <t>FYZ1002</t>
    <phoneticPr fontId="14" type="noConversion"/>
  </si>
  <si>
    <t>LIAZ1002</t>
    <phoneticPr fontId="14" type="noConversion"/>
  </si>
  <si>
    <t>LIAZ4003A</t>
    <phoneticPr fontId="14" type="noConversion"/>
  </si>
  <si>
    <t>LICAZ4003</t>
    <phoneticPr fontId="14" type="noConversion"/>
  </si>
  <si>
    <t>LICAZ1032</t>
    <phoneticPr fontId="14" type="noConversion"/>
  </si>
  <si>
    <t>LICAZ1044</t>
    <phoneticPr fontId="14" type="noConversion"/>
  </si>
  <si>
    <t>LICAZ2002</t>
    <phoneticPr fontId="14" type="noConversion"/>
  </si>
  <si>
    <t>LICZ1015</t>
    <phoneticPr fontId="14" type="noConversion"/>
  </si>
  <si>
    <t>LICZ1017</t>
    <phoneticPr fontId="14" type="noConversion"/>
  </si>
  <si>
    <t>LICZ1024</t>
    <phoneticPr fontId="14" type="noConversion"/>
  </si>
  <si>
    <t>LICZ1033</t>
    <phoneticPr fontId="14" type="noConversion"/>
  </si>
  <si>
    <t>LICZ1034</t>
    <phoneticPr fontId="14" type="noConversion"/>
  </si>
  <si>
    <t>LIZ1043</t>
    <phoneticPr fontId="14" type="noConversion"/>
  </si>
  <si>
    <t>LICZ1043</t>
    <phoneticPr fontId="14" type="noConversion"/>
  </si>
  <si>
    <t>LICZ1052</t>
    <phoneticPr fontId="14" type="noConversion"/>
  </si>
  <si>
    <t>LICZ2003</t>
    <phoneticPr fontId="14" type="noConversion"/>
  </si>
  <si>
    <t>LICZ2007</t>
    <phoneticPr fontId="14" type="noConversion"/>
  </si>
  <si>
    <t>LIZ2010B</t>
    <phoneticPr fontId="14" type="noConversion"/>
  </si>
  <si>
    <t>LICZ3002</t>
    <phoneticPr fontId="14" type="noConversion"/>
  </si>
  <si>
    <t>LIZ1018</t>
    <phoneticPr fontId="14" type="noConversion"/>
  </si>
  <si>
    <t>LIZ1019</t>
    <phoneticPr fontId="14" type="noConversion"/>
  </si>
  <si>
    <t>LIZ1019A</t>
    <phoneticPr fontId="14" type="noConversion"/>
  </si>
  <si>
    <t>LIZ1024A</t>
    <phoneticPr fontId="14" type="noConversion"/>
  </si>
  <si>
    <t>LIZ1024B</t>
    <phoneticPr fontId="14" type="noConversion"/>
  </si>
  <si>
    <t>LIZ1027</t>
    <phoneticPr fontId="14" type="noConversion"/>
  </si>
  <si>
    <t>LIZ1027A</t>
    <phoneticPr fontId="14" type="noConversion"/>
  </si>
  <si>
    <t>LIZ1028</t>
    <phoneticPr fontId="14" type="noConversion"/>
  </si>
  <si>
    <t>LIZ1028A</t>
    <phoneticPr fontId="14" type="noConversion"/>
  </si>
  <si>
    <t>LIZ1028B</t>
    <phoneticPr fontId="14" type="noConversion"/>
  </si>
  <si>
    <t>LIZ1048</t>
    <phoneticPr fontId="14" type="noConversion"/>
  </si>
  <si>
    <t>LIZ2007B</t>
    <phoneticPr fontId="14" type="noConversion"/>
  </si>
  <si>
    <t>LIZ2050</t>
    <phoneticPr fontId="14" type="noConversion"/>
  </si>
  <si>
    <t>LIZ3006A</t>
    <phoneticPr fontId="14" type="noConversion"/>
  </si>
  <si>
    <t>LIZ3006B</t>
    <phoneticPr fontId="14" type="noConversion"/>
  </si>
  <si>
    <t>LIZ5055A</t>
    <phoneticPr fontId="14" type="noConversion"/>
  </si>
  <si>
    <t>LIZ5055B</t>
    <phoneticPr fontId="14" type="noConversion"/>
  </si>
  <si>
    <t>NOX_HZ2101</t>
    <phoneticPr fontId="14" type="noConversion"/>
  </si>
  <si>
    <t>NOX_HZ2201</t>
    <phoneticPr fontId="14" type="noConversion"/>
  </si>
  <si>
    <t>PDAZ1028</t>
    <phoneticPr fontId="14" type="noConversion"/>
  </si>
  <si>
    <t>PDAZ1027</t>
    <phoneticPr fontId="14" type="noConversion"/>
  </si>
  <si>
    <t>PDIZ2001</t>
    <phoneticPr fontId="14" type="noConversion"/>
  </si>
  <si>
    <t>PDIZ2021_77</t>
    <phoneticPr fontId="14" type="noConversion"/>
  </si>
  <si>
    <t>PDIZ5022</t>
    <phoneticPr fontId="14" type="noConversion"/>
  </si>
  <si>
    <t>PDTZ3017</t>
    <phoneticPr fontId="14" type="noConversion"/>
  </si>
  <si>
    <t>PDZ1009</t>
    <phoneticPr fontId="14" type="noConversion"/>
  </si>
  <si>
    <t>PIAZ1006</t>
    <phoneticPr fontId="14" type="noConversion"/>
  </si>
  <si>
    <t>PIAZ1007</t>
    <phoneticPr fontId="14" type="noConversion"/>
  </si>
  <si>
    <t>PIAZ1007A</t>
    <phoneticPr fontId="14" type="noConversion"/>
  </si>
  <si>
    <t>PIAZ10121</t>
    <phoneticPr fontId="14" type="noConversion"/>
  </si>
  <si>
    <t>PIAZ10125</t>
    <phoneticPr fontId="14" type="noConversion"/>
  </si>
  <si>
    <t>PIAZ10139</t>
    <phoneticPr fontId="14" type="noConversion"/>
  </si>
  <si>
    <t>PIAZ10141</t>
    <phoneticPr fontId="14" type="noConversion"/>
  </si>
  <si>
    <t>PIAZ2078</t>
    <phoneticPr fontId="14" type="noConversion"/>
  </si>
  <si>
    <t>PIAZ2081</t>
    <phoneticPr fontId="14" type="noConversion"/>
  </si>
  <si>
    <t>PICAZ1004</t>
    <phoneticPr fontId="14" type="noConversion"/>
  </si>
  <si>
    <t>PICZ1003</t>
    <phoneticPr fontId="14" type="noConversion"/>
  </si>
  <si>
    <t>PICZ1006</t>
    <phoneticPr fontId="14" type="noConversion"/>
  </si>
  <si>
    <t>PICZ1017</t>
    <phoneticPr fontId="14" type="noConversion"/>
  </si>
  <si>
    <t>PICZ2003</t>
    <phoneticPr fontId="14" type="noConversion"/>
  </si>
  <si>
    <t>PICZ2005</t>
    <phoneticPr fontId="14" type="noConversion"/>
  </si>
  <si>
    <t>PICZ2010</t>
    <phoneticPr fontId="14" type="noConversion"/>
  </si>
  <si>
    <t>PICZ2023</t>
    <phoneticPr fontId="14" type="noConversion"/>
  </si>
  <si>
    <t>PICZ3001</t>
    <phoneticPr fontId="14" type="noConversion"/>
  </si>
  <si>
    <t>PICZ3002</t>
    <phoneticPr fontId="14" type="noConversion"/>
  </si>
  <si>
    <t>PICZ3004</t>
    <phoneticPr fontId="14" type="noConversion"/>
  </si>
  <si>
    <t>PICZ3025</t>
    <phoneticPr fontId="14" type="noConversion"/>
  </si>
  <si>
    <t>PICZ4001</t>
    <phoneticPr fontId="14" type="noConversion"/>
  </si>
  <si>
    <t>PIZ5007</t>
    <phoneticPr fontId="14" type="noConversion"/>
  </si>
  <si>
    <t>PIZ1009</t>
    <phoneticPr fontId="14" type="noConversion"/>
  </si>
  <si>
    <t>PIZ1010</t>
    <phoneticPr fontId="14" type="noConversion"/>
  </si>
  <si>
    <t>PIZ10101</t>
    <phoneticPr fontId="14" type="noConversion"/>
  </si>
  <si>
    <t>PIZ10103</t>
    <phoneticPr fontId="14" type="noConversion"/>
  </si>
  <si>
    <t>PIZ10104</t>
    <phoneticPr fontId="14" type="noConversion"/>
  </si>
  <si>
    <t>PIZ10105</t>
    <phoneticPr fontId="14" type="noConversion"/>
  </si>
  <si>
    <t>PIZ10106</t>
    <phoneticPr fontId="14" type="noConversion"/>
  </si>
  <si>
    <t>PIZ10107</t>
    <phoneticPr fontId="14" type="noConversion"/>
  </si>
  <si>
    <t>PIZ10179</t>
    <phoneticPr fontId="14" type="noConversion"/>
  </si>
  <si>
    <t>PIZ10181</t>
    <phoneticPr fontId="14" type="noConversion"/>
  </si>
  <si>
    <t>PIZ10182</t>
    <phoneticPr fontId="14" type="noConversion"/>
  </si>
  <si>
    <t>PIZ10183</t>
    <phoneticPr fontId="14" type="noConversion"/>
  </si>
  <si>
    <t>PIZ10185</t>
    <phoneticPr fontId="14" type="noConversion"/>
  </si>
  <si>
    <t>PIZ10186</t>
    <phoneticPr fontId="14" type="noConversion"/>
  </si>
  <si>
    <t>PIZ10192</t>
    <phoneticPr fontId="14" type="noConversion"/>
  </si>
  <si>
    <t>PIZ1025</t>
    <phoneticPr fontId="14" type="noConversion"/>
  </si>
  <si>
    <t>PIZ1025A</t>
    <phoneticPr fontId="14" type="noConversion"/>
  </si>
  <si>
    <t>PIZ1025B</t>
    <phoneticPr fontId="14" type="noConversion"/>
  </si>
  <si>
    <t>PIZ1051</t>
    <phoneticPr fontId="14" type="noConversion"/>
  </si>
  <si>
    <t>PIZ1063</t>
    <phoneticPr fontId="14" type="noConversion"/>
  </si>
  <si>
    <t>PIZ2005</t>
    <phoneticPr fontId="14" type="noConversion"/>
  </si>
  <si>
    <t>PIZ2067B</t>
    <phoneticPr fontId="14" type="noConversion"/>
  </si>
  <si>
    <t>PIZ2077</t>
    <phoneticPr fontId="14" type="noConversion"/>
  </si>
  <si>
    <t>PIZ3013</t>
    <phoneticPr fontId="14" type="noConversion"/>
  </si>
  <si>
    <t>PIZ4003</t>
    <phoneticPr fontId="14" type="noConversion"/>
  </si>
  <si>
    <t>PIZ4004</t>
    <phoneticPr fontId="14" type="noConversion"/>
  </si>
  <si>
    <t>PIZ5015</t>
    <phoneticPr fontId="14" type="noConversion"/>
  </si>
  <si>
    <t>PIZ5017</t>
    <phoneticPr fontId="14" type="noConversion"/>
  </si>
  <si>
    <t>PIZ5018</t>
    <phoneticPr fontId="14" type="noConversion"/>
  </si>
  <si>
    <t>PIZ5019</t>
    <phoneticPr fontId="14" type="noConversion"/>
  </si>
  <si>
    <t>PIZ5020</t>
    <phoneticPr fontId="14" type="noConversion"/>
  </si>
  <si>
    <t>PIZ5021</t>
    <phoneticPr fontId="14" type="noConversion"/>
  </si>
  <si>
    <t>PTZ2021</t>
    <phoneticPr fontId="14" type="noConversion"/>
  </si>
  <si>
    <t>PTZ2098</t>
    <phoneticPr fontId="14" type="noConversion"/>
  </si>
  <si>
    <t>PTZ3083</t>
    <phoneticPr fontId="14" type="noConversion"/>
  </si>
  <si>
    <t>PTZ5014</t>
    <phoneticPr fontId="14" type="noConversion"/>
  </si>
  <si>
    <t>QPSSZ3010</t>
    <phoneticPr fontId="14" type="noConversion"/>
  </si>
  <si>
    <t>SIAZ2002</t>
    <phoneticPr fontId="14" type="noConversion"/>
  </si>
  <si>
    <t>SYCZ2002</t>
    <phoneticPr fontId="14" type="noConversion"/>
  </si>
  <si>
    <t>TAHZ1080</t>
    <phoneticPr fontId="14" type="noConversion"/>
  </si>
  <si>
    <t>TAZ3016</t>
    <phoneticPr fontId="14" type="noConversion"/>
  </si>
  <si>
    <t>TCZ2029</t>
    <phoneticPr fontId="14" type="noConversion"/>
  </si>
  <si>
    <t>TDAZ4003</t>
    <phoneticPr fontId="14" type="noConversion"/>
  </si>
  <si>
    <t>TDZ1172</t>
    <phoneticPr fontId="14" type="noConversion"/>
  </si>
  <si>
    <t>TEZ_2052AB</t>
    <phoneticPr fontId="14" type="noConversion"/>
  </si>
  <si>
    <t>TEZ_2053AB</t>
    <phoneticPr fontId="14" type="noConversion"/>
  </si>
  <si>
    <t>TIAZ1015</t>
    <phoneticPr fontId="14" type="noConversion"/>
  </si>
  <si>
    <t>TIAZ1017</t>
    <phoneticPr fontId="14" type="noConversion"/>
  </si>
  <si>
    <t>TIAZ1019</t>
    <phoneticPr fontId="14" type="noConversion"/>
  </si>
  <si>
    <t>TIAZ1020</t>
    <phoneticPr fontId="14" type="noConversion"/>
  </si>
  <si>
    <t>TIAZ2014</t>
    <phoneticPr fontId="14" type="noConversion"/>
  </si>
  <si>
    <t>TIAZ2015</t>
    <phoneticPr fontId="14" type="noConversion"/>
  </si>
  <si>
    <t>TIAZ2016</t>
    <phoneticPr fontId="14" type="noConversion"/>
  </si>
  <si>
    <t>TIAZ2017</t>
    <phoneticPr fontId="14" type="noConversion"/>
  </si>
  <si>
    <t>TIAZ2018</t>
    <phoneticPr fontId="14" type="noConversion"/>
  </si>
  <si>
    <t>TIAZ2020</t>
    <phoneticPr fontId="14" type="noConversion"/>
  </si>
  <si>
    <t>TIAZ3036</t>
    <phoneticPr fontId="14" type="noConversion"/>
  </si>
  <si>
    <t>TIAZ3037</t>
    <phoneticPr fontId="14" type="noConversion"/>
  </si>
  <si>
    <t>TIAZ3038</t>
    <phoneticPr fontId="14" type="noConversion"/>
  </si>
  <si>
    <t>TIAZ3039</t>
    <phoneticPr fontId="14" type="noConversion"/>
  </si>
  <si>
    <t>TIAZ3040</t>
    <phoneticPr fontId="14" type="noConversion"/>
  </si>
  <si>
    <t>TIAZ3041</t>
    <phoneticPr fontId="14" type="noConversion"/>
  </si>
  <si>
    <t>TIAZ3042</t>
    <phoneticPr fontId="14" type="noConversion"/>
  </si>
  <si>
    <t>TIAZ3043</t>
    <phoneticPr fontId="14" type="noConversion"/>
  </si>
  <si>
    <t>TICZ1001</t>
    <phoneticPr fontId="14" type="noConversion"/>
  </si>
  <si>
    <t>TICZ1002</t>
    <phoneticPr fontId="14" type="noConversion"/>
  </si>
  <si>
    <t>TICZ1003</t>
    <phoneticPr fontId="14" type="noConversion"/>
  </si>
  <si>
    <t>TICZ1008</t>
    <phoneticPr fontId="14" type="noConversion"/>
  </si>
  <si>
    <t>TICZ1010</t>
    <phoneticPr fontId="14" type="noConversion"/>
  </si>
  <si>
    <t>TICZ1011</t>
    <phoneticPr fontId="14" type="noConversion"/>
  </si>
  <si>
    <t>TIZ1011B</t>
    <phoneticPr fontId="14" type="noConversion"/>
  </si>
  <si>
    <t>TIZ1165</t>
    <phoneticPr fontId="14" type="noConversion"/>
  </si>
  <si>
    <t>TICZ1013</t>
    <phoneticPr fontId="14" type="noConversion"/>
  </si>
  <si>
    <t>TICZ1014</t>
    <phoneticPr fontId="14" type="noConversion"/>
  </si>
  <si>
    <t>TICZ10164</t>
    <phoneticPr fontId="14" type="noConversion"/>
  </si>
  <si>
    <t>TICZ1035</t>
    <phoneticPr fontId="14" type="noConversion"/>
  </si>
  <si>
    <t>TICZ2001</t>
    <phoneticPr fontId="14" type="noConversion"/>
  </si>
  <si>
    <t>TICZ3002</t>
    <phoneticPr fontId="14" type="noConversion"/>
  </si>
  <si>
    <t>TICZ3003</t>
    <phoneticPr fontId="14" type="noConversion"/>
  </si>
  <si>
    <t>TICZ3010</t>
    <phoneticPr fontId="14" type="noConversion"/>
  </si>
  <si>
    <t>TICZ3049</t>
    <phoneticPr fontId="14" type="noConversion"/>
  </si>
  <si>
    <t>TIZ1002</t>
    <phoneticPr fontId="14" type="noConversion"/>
  </si>
  <si>
    <t>TIZ1003</t>
    <phoneticPr fontId="14" type="noConversion"/>
  </si>
  <si>
    <t>TIZ1006</t>
    <phoneticPr fontId="14" type="noConversion"/>
  </si>
  <si>
    <t>TIZ1007</t>
    <phoneticPr fontId="14" type="noConversion"/>
  </si>
  <si>
    <t>TIZ1008</t>
    <phoneticPr fontId="14" type="noConversion"/>
  </si>
  <si>
    <t>TIZ1009</t>
    <phoneticPr fontId="14" type="noConversion"/>
  </si>
  <si>
    <t>TIZ1010</t>
    <phoneticPr fontId="14" type="noConversion"/>
  </si>
  <si>
    <t>TIZ10101</t>
    <phoneticPr fontId="14" type="noConversion"/>
  </si>
  <si>
    <t>TIZ10102</t>
    <phoneticPr fontId="14" type="noConversion"/>
  </si>
  <si>
    <t>TIZ10103</t>
    <phoneticPr fontId="14" type="noConversion"/>
  </si>
  <si>
    <t>TIZ10104</t>
    <phoneticPr fontId="14" type="noConversion"/>
  </si>
  <si>
    <t>TIZ10105</t>
    <phoneticPr fontId="14" type="noConversion"/>
  </si>
  <si>
    <t>TIZ10106</t>
    <phoneticPr fontId="14" type="noConversion"/>
  </si>
  <si>
    <t>TIZ10107</t>
    <phoneticPr fontId="14" type="noConversion"/>
  </si>
  <si>
    <t>TIZ10108</t>
    <phoneticPr fontId="14" type="noConversion"/>
  </si>
  <si>
    <t>TIZ10109</t>
    <phoneticPr fontId="14" type="noConversion"/>
  </si>
  <si>
    <t>TIZ1011</t>
    <phoneticPr fontId="14" type="noConversion"/>
  </si>
  <si>
    <t>TIZ10110</t>
    <phoneticPr fontId="14" type="noConversion"/>
  </si>
  <si>
    <t>TIZ10111</t>
    <phoneticPr fontId="14" type="noConversion"/>
  </si>
  <si>
    <t>TIZ10112</t>
    <phoneticPr fontId="14" type="noConversion"/>
  </si>
  <si>
    <t>TIZ10113</t>
    <phoneticPr fontId="14" type="noConversion"/>
  </si>
  <si>
    <t>TIZ10114</t>
    <phoneticPr fontId="14" type="noConversion"/>
  </si>
  <si>
    <t>TIZ10115</t>
    <phoneticPr fontId="14" type="noConversion"/>
  </si>
  <si>
    <t>TIZ10116</t>
    <phoneticPr fontId="14" type="noConversion"/>
  </si>
  <si>
    <t>TIZ10118</t>
    <phoneticPr fontId="14" type="noConversion"/>
  </si>
  <si>
    <t>TIZ10119</t>
    <phoneticPr fontId="14" type="noConversion"/>
  </si>
  <si>
    <t>TIZ1012</t>
    <phoneticPr fontId="14" type="noConversion"/>
  </si>
  <si>
    <t>TIZ10120</t>
    <phoneticPr fontId="14" type="noConversion"/>
  </si>
  <si>
    <t>TIZ10123</t>
    <phoneticPr fontId="14" type="noConversion"/>
  </si>
  <si>
    <t>TIZ10125</t>
    <phoneticPr fontId="14" type="noConversion"/>
  </si>
  <si>
    <t>TIZ1013</t>
    <phoneticPr fontId="14" type="noConversion"/>
  </si>
  <si>
    <t>TIZ10139</t>
    <phoneticPr fontId="14" type="noConversion"/>
  </si>
  <si>
    <t>TIZ10145</t>
    <phoneticPr fontId="14" type="noConversion"/>
  </si>
  <si>
    <t>TIZ10152</t>
    <phoneticPr fontId="14" type="noConversion"/>
  </si>
  <si>
    <t>TIZ10153</t>
    <phoneticPr fontId="14" type="noConversion"/>
  </si>
  <si>
    <t>TIZ10154</t>
    <phoneticPr fontId="14" type="noConversion"/>
  </si>
  <si>
    <t>TIZ10155</t>
    <phoneticPr fontId="14" type="noConversion"/>
  </si>
  <si>
    <t>TIZ1016</t>
    <phoneticPr fontId="14" type="noConversion"/>
  </si>
  <si>
    <t>TIZ10161</t>
    <phoneticPr fontId="14" type="noConversion"/>
  </si>
  <si>
    <t>TIZ10165</t>
    <phoneticPr fontId="14" type="noConversion"/>
  </si>
  <si>
    <t>TIZ10166</t>
    <phoneticPr fontId="14" type="noConversion"/>
  </si>
  <si>
    <t>TIZ10167</t>
    <phoneticPr fontId="14" type="noConversion"/>
  </si>
  <si>
    <t>TIZ10169</t>
    <phoneticPr fontId="14" type="noConversion"/>
  </si>
  <si>
    <t>TIZ1017</t>
    <phoneticPr fontId="14" type="noConversion"/>
  </si>
  <si>
    <t>TIZ10170</t>
    <phoneticPr fontId="14" type="noConversion"/>
  </si>
  <si>
    <t>TIZ10171</t>
    <phoneticPr fontId="14" type="noConversion"/>
  </si>
  <si>
    <t>TIZ10178</t>
    <phoneticPr fontId="14" type="noConversion"/>
  </si>
  <si>
    <t>TIZ10179</t>
    <phoneticPr fontId="14" type="noConversion"/>
  </si>
  <si>
    <t>TIZ1018</t>
    <phoneticPr fontId="14" type="noConversion"/>
  </si>
  <si>
    <t>TIZ10180</t>
    <phoneticPr fontId="14" type="noConversion"/>
  </si>
  <si>
    <t>TIZ10181</t>
    <phoneticPr fontId="14" type="noConversion"/>
  </si>
  <si>
    <t>TIZ10182</t>
    <phoneticPr fontId="14" type="noConversion"/>
  </si>
  <si>
    <t>TIZ10183</t>
    <phoneticPr fontId="14" type="noConversion"/>
  </si>
  <si>
    <t>TIZ10184</t>
    <phoneticPr fontId="14" type="noConversion"/>
  </si>
  <si>
    <t>TIZ10185</t>
    <phoneticPr fontId="14" type="noConversion"/>
  </si>
  <si>
    <t>TIZ10186</t>
    <phoneticPr fontId="14" type="noConversion"/>
  </si>
  <si>
    <t>TIZ10187</t>
    <phoneticPr fontId="14" type="noConversion"/>
  </si>
  <si>
    <t>TIZ10188</t>
    <phoneticPr fontId="14" type="noConversion"/>
  </si>
  <si>
    <t>TIZ10189</t>
    <phoneticPr fontId="14" type="noConversion"/>
  </si>
  <si>
    <t>TIZ10190</t>
    <phoneticPr fontId="14" type="noConversion"/>
  </si>
  <si>
    <t>TIZ10191</t>
    <phoneticPr fontId="14" type="noConversion"/>
  </si>
  <si>
    <t>TIZ10192</t>
    <phoneticPr fontId="14" type="noConversion"/>
  </si>
  <si>
    <t>TIZ10193</t>
    <phoneticPr fontId="14" type="noConversion"/>
  </si>
  <si>
    <t>TIZ10194</t>
    <phoneticPr fontId="14" type="noConversion"/>
  </si>
  <si>
    <t>TIZ10197</t>
    <phoneticPr fontId="14" type="noConversion"/>
  </si>
  <si>
    <t>TIZ10198</t>
    <phoneticPr fontId="14" type="noConversion"/>
  </si>
  <si>
    <t>TIZ10199</t>
    <phoneticPr fontId="14" type="noConversion"/>
  </si>
  <si>
    <t>TIZ10200</t>
    <phoneticPr fontId="14" type="noConversion"/>
  </si>
  <si>
    <t>TIZ1021</t>
    <phoneticPr fontId="14" type="noConversion"/>
  </si>
  <si>
    <t>TIZ1022</t>
    <phoneticPr fontId="14" type="noConversion"/>
  </si>
  <si>
    <t>TIZ1023</t>
    <phoneticPr fontId="14" type="noConversion"/>
  </si>
  <si>
    <t>TIZ1024</t>
    <phoneticPr fontId="14" type="noConversion"/>
  </si>
  <si>
    <t>TIZ1025</t>
    <phoneticPr fontId="14" type="noConversion"/>
  </si>
  <si>
    <t>TIZ1026</t>
    <phoneticPr fontId="14" type="noConversion"/>
  </si>
  <si>
    <t>TIZ1027</t>
    <phoneticPr fontId="14" type="noConversion"/>
  </si>
  <si>
    <t>TIZ1028</t>
    <phoneticPr fontId="14" type="noConversion"/>
  </si>
  <si>
    <t>TIZ1029</t>
    <phoneticPr fontId="14" type="noConversion"/>
  </si>
  <si>
    <t>TIZ1030</t>
    <phoneticPr fontId="14" type="noConversion"/>
  </si>
  <si>
    <t>TIZ1035</t>
    <phoneticPr fontId="14" type="noConversion"/>
  </si>
  <si>
    <t>TIZ1040</t>
    <phoneticPr fontId="14" type="noConversion"/>
  </si>
  <si>
    <t>TIZ1041</t>
    <phoneticPr fontId="14" type="noConversion"/>
  </si>
  <si>
    <t>TIZ1042</t>
    <phoneticPr fontId="14" type="noConversion"/>
  </si>
  <si>
    <t>TIZ1043</t>
    <phoneticPr fontId="14" type="noConversion"/>
  </si>
  <si>
    <t>TIZ1044</t>
    <phoneticPr fontId="14" type="noConversion"/>
  </si>
  <si>
    <t>TIZ1045</t>
    <phoneticPr fontId="14" type="noConversion"/>
  </si>
  <si>
    <t>TIZ1046</t>
    <phoneticPr fontId="14" type="noConversion"/>
  </si>
  <si>
    <t>TIZ1047</t>
    <phoneticPr fontId="14" type="noConversion"/>
  </si>
  <si>
    <t>TIZ1048</t>
    <phoneticPr fontId="14" type="noConversion"/>
  </si>
  <si>
    <t>TIZ1049</t>
    <phoneticPr fontId="14" type="noConversion"/>
  </si>
  <si>
    <t>TIZ1050</t>
    <phoneticPr fontId="14" type="noConversion"/>
  </si>
  <si>
    <t>TIZ1052</t>
    <phoneticPr fontId="14" type="noConversion"/>
  </si>
  <si>
    <t>TIZ1053</t>
    <phoneticPr fontId="14" type="noConversion"/>
  </si>
  <si>
    <t>TIZ1055</t>
    <phoneticPr fontId="14" type="noConversion"/>
  </si>
  <si>
    <t>TIZ1057</t>
    <phoneticPr fontId="14" type="noConversion"/>
  </si>
  <si>
    <t>TIZ1058</t>
    <phoneticPr fontId="14" type="noConversion"/>
  </si>
  <si>
    <t>TIZ1059</t>
    <phoneticPr fontId="14" type="noConversion"/>
  </si>
  <si>
    <t>TIZ1060</t>
    <phoneticPr fontId="14" type="noConversion"/>
  </si>
  <si>
    <t>TIZ1061</t>
    <phoneticPr fontId="14" type="noConversion"/>
  </si>
  <si>
    <t>TIZ1062</t>
    <phoneticPr fontId="14" type="noConversion"/>
  </si>
  <si>
    <t>TIZ1063</t>
    <phoneticPr fontId="14" type="noConversion"/>
  </si>
  <si>
    <t>TIZ1064</t>
    <phoneticPr fontId="14" type="noConversion"/>
  </si>
  <si>
    <t>TIZ1068</t>
    <phoneticPr fontId="14" type="noConversion"/>
  </si>
  <si>
    <t>TIZ1074</t>
    <phoneticPr fontId="14" type="noConversion"/>
  </si>
  <si>
    <t>TIZ1077</t>
    <phoneticPr fontId="14" type="noConversion"/>
  </si>
  <si>
    <t>TIZ1078</t>
    <phoneticPr fontId="14" type="noConversion"/>
  </si>
  <si>
    <t>TIZ1080</t>
    <phoneticPr fontId="14" type="noConversion"/>
  </si>
  <si>
    <t>TIZ1083</t>
    <phoneticPr fontId="14" type="noConversion"/>
  </si>
  <si>
    <t>TIZ1088</t>
    <phoneticPr fontId="14" type="noConversion"/>
  </si>
  <si>
    <t>TIZ1089</t>
    <phoneticPr fontId="14" type="noConversion"/>
  </si>
  <si>
    <t>TIZ1091</t>
    <phoneticPr fontId="14" type="noConversion"/>
  </si>
  <si>
    <t>TIZ1092</t>
    <phoneticPr fontId="14" type="noConversion"/>
  </si>
  <si>
    <t>TIZ1093</t>
    <phoneticPr fontId="14" type="noConversion"/>
  </si>
  <si>
    <t>TIZ1094</t>
    <phoneticPr fontId="14" type="noConversion"/>
  </si>
  <si>
    <t>TIZ1109</t>
    <phoneticPr fontId="14" type="noConversion"/>
  </si>
  <si>
    <t>TIZ1110</t>
    <phoneticPr fontId="14" type="noConversion"/>
  </si>
  <si>
    <t>TIZ1113</t>
    <phoneticPr fontId="14" type="noConversion"/>
  </si>
  <si>
    <t>TIZ1114</t>
    <phoneticPr fontId="14" type="noConversion"/>
  </si>
  <si>
    <t>TIZ1115</t>
    <phoneticPr fontId="14" type="noConversion"/>
  </si>
  <si>
    <t>TIZ1135</t>
    <phoneticPr fontId="14" type="noConversion"/>
  </si>
  <si>
    <t>TIZ1136</t>
    <phoneticPr fontId="14" type="noConversion"/>
  </si>
  <si>
    <t>TIZ1153</t>
    <phoneticPr fontId="14" type="noConversion"/>
  </si>
  <si>
    <t>TIZ1159</t>
    <phoneticPr fontId="14" type="noConversion"/>
  </si>
  <si>
    <t>TIZ1160</t>
    <phoneticPr fontId="14" type="noConversion"/>
  </si>
  <si>
    <t>TIZ1161</t>
    <phoneticPr fontId="14" type="noConversion"/>
  </si>
  <si>
    <t>TIZ1163</t>
    <phoneticPr fontId="14" type="noConversion"/>
  </si>
  <si>
    <t>TIZ1164</t>
    <phoneticPr fontId="14" type="noConversion"/>
  </si>
  <si>
    <t>TIZ1171</t>
    <phoneticPr fontId="14" type="noConversion"/>
  </si>
  <si>
    <t>TIZ1172</t>
    <phoneticPr fontId="14" type="noConversion"/>
  </si>
  <si>
    <t>TIZ2001</t>
    <phoneticPr fontId="14" type="noConversion"/>
  </si>
  <si>
    <t>TIZ2002</t>
    <phoneticPr fontId="14" type="noConversion"/>
  </si>
  <si>
    <t>TIZ2003</t>
    <phoneticPr fontId="14" type="noConversion"/>
  </si>
  <si>
    <t>TIZ2004</t>
    <phoneticPr fontId="14" type="noConversion"/>
  </si>
  <si>
    <t>TIZ2005</t>
    <phoneticPr fontId="14" type="noConversion"/>
  </si>
  <si>
    <t>TIZ2006</t>
    <phoneticPr fontId="14" type="noConversion"/>
  </si>
  <si>
    <t>TIZ2007</t>
    <phoneticPr fontId="14" type="noConversion"/>
  </si>
  <si>
    <t>TIZ2008</t>
    <phoneticPr fontId="14" type="noConversion"/>
  </si>
  <si>
    <t>TIZ20099</t>
    <phoneticPr fontId="14" type="noConversion"/>
  </si>
  <si>
    <t>TIZ20100</t>
    <phoneticPr fontId="14" type="noConversion"/>
  </si>
  <si>
    <t>TIZ20101</t>
    <phoneticPr fontId="14" type="noConversion"/>
  </si>
  <si>
    <t>TIZ20102</t>
    <phoneticPr fontId="14" type="noConversion"/>
  </si>
  <si>
    <t>TIZ20103</t>
    <phoneticPr fontId="14" type="noConversion"/>
  </si>
  <si>
    <t>TIZ20104</t>
    <phoneticPr fontId="14" type="noConversion"/>
  </si>
  <si>
    <t>TIZ20105</t>
    <phoneticPr fontId="14" type="noConversion"/>
  </si>
  <si>
    <t>TIZ20106</t>
    <phoneticPr fontId="14" type="noConversion"/>
  </si>
  <si>
    <t>TIZ20107</t>
    <phoneticPr fontId="14" type="noConversion"/>
  </si>
  <si>
    <t>TIZ20108</t>
    <phoneticPr fontId="14" type="noConversion"/>
  </si>
  <si>
    <t>TIZ20109</t>
    <phoneticPr fontId="14" type="noConversion"/>
  </si>
  <si>
    <t>TIZ20110</t>
    <phoneticPr fontId="14" type="noConversion"/>
  </si>
  <si>
    <t>TIZ2015</t>
    <phoneticPr fontId="14" type="noConversion"/>
  </si>
  <si>
    <t>TIZ2022</t>
    <phoneticPr fontId="14" type="noConversion"/>
  </si>
  <si>
    <t>TIZ2023</t>
    <phoneticPr fontId="14" type="noConversion"/>
  </si>
  <si>
    <t>TIZ2024</t>
    <phoneticPr fontId="14" type="noConversion"/>
  </si>
  <si>
    <t>TIZ2025</t>
    <phoneticPr fontId="14" type="noConversion"/>
  </si>
  <si>
    <t>TIZ2026</t>
    <phoneticPr fontId="14" type="noConversion"/>
  </si>
  <si>
    <t>TIZ2027</t>
    <phoneticPr fontId="14" type="noConversion"/>
  </si>
  <si>
    <t>TIZ2028</t>
    <phoneticPr fontId="14" type="noConversion"/>
  </si>
  <si>
    <t>TIZ2029</t>
    <phoneticPr fontId="14" type="noConversion"/>
  </si>
  <si>
    <t>TIZ2031</t>
    <phoneticPr fontId="14" type="noConversion"/>
  </si>
  <si>
    <t>TIZ2032</t>
    <phoneticPr fontId="14" type="noConversion"/>
  </si>
  <si>
    <t>TIZ2034</t>
    <phoneticPr fontId="14" type="noConversion"/>
  </si>
  <si>
    <t>TIZ2035</t>
    <phoneticPr fontId="14" type="noConversion"/>
  </si>
  <si>
    <t>TIZ2079</t>
    <phoneticPr fontId="14" type="noConversion"/>
  </si>
  <si>
    <t>TIZ2083</t>
    <phoneticPr fontId="14" type="noConversion"/>
  </si>
  <si>
    <t>TIZ2085</t>
    <phoneticPr fontId="14" type="noConversion"/>
  </si>
  <si>
    <t>TIZ2087</t>
    <phoneticPr fontId="14" type="noConversion"/>
  </si>
  <si>
    <t>TIZ2089</t>
    <phoneticPr fontId="14" type="noConversion"/>
  </si>
  <si>
    <t>TIZ2091</t>
    <phoneticPr fontId="14" type="noConversion"/>
  </si>
  <si>
    <t>TIZ2093</t>
    <phoneticPr fontId="14" type="noConversion"/>
  </si>
  <si>
    <t>TIZ2095</t>
    <phoneticPr fontId="14" type="noConversion"/>
  </si>
  <si>
    <t>TIZ2097</t>
    <phoneticPr fontId="14" type="noConversion"/>
  </si>
  <si>
    <t>TIZ3001</t>
    <phoneticPr fontId="14" type="noConversion"/>
  </si>
  <si>
    <t>TIZ3002</t>
    <phoneticPr fontId="14" type="noConversion"/>
  </si>
  <si>
    <t>TIZ3003</t>
    <phoneticPr fontId="14" type="noConversion"/>
  </si>
  <si>
    <t>TIZ3004</t>
    <phoneticPr fontId="14" type="noConversion"/>
  </si>
  <si>
    <t>TIZ3005</t>
    <phoneticPr fontId="14" type="noConversion"/>
  </si>
  <si>
    <t>TIZ3006</t>
    <phoneticPr fontId="14" type="noConversion"/>
  </si>
  <si>
    <t>TIZ3006A</t>
    <phoneticPr fontId="14" type="noConversion"/>
  </si>
  <si>
    <t>TIZ3006B</t>
    <phoneticPr fontId="14" type="noConversion"/>
  </si>
  <si>
    <t>TIZ3007</t>
    <phoneticPr fontId="14" type="noConversion"/>
  </si>
  <si>
    <t>TIZ3008</t>
    <phoneticPr fontId="14" type="noConversion"/>
  </si>
  <si>
    <t>TIZ3009</t>
    <phoneticPr fontId="14" type="noConversion"/>
  </si>
  <si>
    <t>TIZ3010C</t>
    <phoneticPr fontId="14" type="noConversion"/>
  </si>
  <si>
    <t>TIZ3011</t>
    <phoneticPr fontId="14" type="noConversion"/>
  </si>
  <si>
    <t>TIZ3012</t>
    <phoneticPr fontId="14" type="noConversion"/>
  </si>
  <si>
    <t>TIZ3013</t>
    <phoneticPr fontId="14" type="noConversion"/>
  </si>
  <si>
    <t>TIZ3013</t>
    <phoneticPr fontId="14" type="noConversion"/>
  </si>
  <si>
    <t>TIZ3015</t>
    <phoneticPr fontId="14" type="noConversion"/>
  </si>
  <si>
    <t>TIZ3016</t>
    <phoneticPr fontId="14" type="noConversion"/>
  </si>
  <si>
    <t>TIZ3017</t>
    <phoneticPr fontId="14" type="noConversion"/>
  </si>
  <si>
    <t>TIZ3018</t>
    <phoneticPr fontId="14" type="noConversion"/>
  </si>
  <si>
    <t>TIZ3019</t>
    <phoneticPr fontId="14" type="noConversion"/>
  </si>
  <si>
    <t>TIZ3020</t>
    <phoneticPr fontId="14" type="noConversion"/>
  </si>
  <si>
    <t>TIZ3021</t>
    <phoneticPr fontId="14" type="noConversion"/>
  </si>
  <si>
    <t>TIZ3022</t>
    <phoneticPr fontId="14" type="noConversion"/>
  </si>
  <si>
    <t>TIZ3023</t>
    <phoneticPr fontId="14" type="noConversion"/>
  </si>
  <si>
    <t>TIZ3024</t>
    <phoneticPr fontId="14" type="noConversion"/>
  </si>
  <si>
    <t>TIZ3025</t>
    <phoneticPr fontId="14" type="noConversion"/>
  </si>
  <si>
    <t>TIZ3026</t>
    <phoneticPr fontId="14" type="noConversion"/>
  </si>
  <si>
    <t>TIZ3027</t>
    <phoneticPr fontId="14" type="noConversion"/>
  </si>
  <si>
    <t>TIZ3029</t>
    <phoneticPr fontId="14" type="noConversion"/>
  </si>
  <si>
    <t>TIZ3032</t>
    <phoneticPr fontId="14" type="noConversion"/>
  </si>
  <si>
    <t>TIZ3033</t>
    <phoneticPr fontId="14" type="noConversion"/>
  </si>
  <si>
    <t>TIZ3034</t>
    <phoneticPr fontId="14" type="noConversion"/>
  </si>
  <si>
    <t>TIZ3035</t>
    <phoneticPr fontId="14" type="noConversion"/>
  </si>
  <si>
    <t>TIZ3047</t>
    <phoneticPr fontId="14" type="noConversion"/>
  </si>
  <si>
    <t>TIZ3048</t>
    <phoneticPr fontId="14" type="noConversion"/>
  </si>
  <si>
    <t>TIZ3050</t>
    <phoneticPr fontId="14" type="noConversion"/>
  </si>
  <si>
    <t>TIZ3051</t>
    <phoneticPr fontId="14" type="noConversion"/>
  </si>
  <si>
    <t>TIZ4001</t>
    <phoneticPr fontId="14" type="noConversion"/>
  </si>
  <si>
    <t>TIZ4002</t>
    <phoneticPr fontId="14" type="noConversion"/>
  </si>
  <si>
    <t>TIZ4003</t>
    <phoneticPr fontId="14" type="noConversion"/>
  </si>
  <si>
    <t>TIZ4004</t>
    <phoneticPr fontId="14" type="noConversion"/>
  </si>
  <si>
    <t>TIZ5062</t>
    <phoneticPr fontId="14" type="noConversion"/>
  </si>
  <si>
    <t>TIZ5063</t>
    <phoneticPr fontId="14" type="noConversion"/>
  </si>
  <si>
    <t>TTZ3014</t>
    <phoneticPr fontId="14" type="noConversion"/>
  </si>
  <si>
    <t>TTZ3014C</t>
    <phoneticPr fontId="14" type="noConversion"/>
  </si>
  <si>
    <t>TTZ3017</t>
    <phoneticPr fontId="14" type="noConversion"/>
  </si>
  <si>
    <t>TTZ3044</t>
    <phoneticPr fontId="14" type="noConversion"/>
  </si>
  <si>
    <t>TTZ3045</t>
    <phoneticPr fontId="14" type="noConversion"/>
  </si>
  <si>
    <t>TTZ5056</t>
    <phoneticPr fontId="14" type="noConversion"/>
  </si>
  <si>
    <t>TYZ1135_DEW</t>
    <phoneticPr fontId="14" type="noConversion"/>
  </si>
  <si>
    <t>VIZ3001A</t>
    <phoneticPr fontId="14" type="noConversion"/>
  </si>
  <si>
    <t>VIZ3001B</t>
    <phoneticPr fontId="14" type="noConversion"/>
  </si>
  <si>
    <t>XEFZ2101</t>
    <phoneticPr fontId="14" type="noConversion"/>
  </si>
  <si>
    <t>XEFZ2151</t>
    <phoneticPr fontId="14" type="noConversion"/>
  </si>
  <si>
    <t>XEFZ2201</t>
    <phoneticPr fontId="14" type="noConversion"/>
  </si>
  <si>
    <t>XFDZ1_2101</t>
    <phoneticPr fontId="14" type="noConversion"/>
  </si>
  <si>
    <t>XFDZ1_2151</t>
    <phoneticPr fontId="14" type="noConversion"/>
  </si>
  <si>
    <t>XFDZ1_2201</t>
    <phoneticPr fontId="14" type="noConversion"/>
  </si>
  <si>
    <t>XIAZ3009</t>
    <phoneticPr fontId="14" type="noConversion"/>
  </si>
  <si>
    <t>XIZ1008</t>
    <phoneticPr fontId="14" type="noConversion"/>
  </si>
  <si>
    <t>XIZ1009</t>
    <phoneticPr fontId="14" type="noConversion"/>
  </si>
  <si>
    <t>XIZ1010</t>
    <phoneticPr fontId="14" type="noConversion"/>
  </si>
  <si>
    <t>XIZ10102</t>
    <phoneticPr fontId="14" type="noConversion"/>
  </si>
  <si>
    <t>XIZ10103</t>
    <phoneticPr fontId="14" type="noConversion"/>
  </si>
  <si>
    <t>XIZ10104</t>
    <phoneticPr fontId="14" type="noConversion"/>
  </si>
  <si>
    <t>XIZ1012</t>
    <phoneticPr fontId="14" type="noConversion"/>
  </si>
  <si>
    <t>XIZ1013</t>
    <phoneticPr fontId="14" type="noConversion"/>
  </si>
  <si>
    <t>XIZ2102A</t>
    <phoneticPr fontId="14" type="noConversion"/>
  </si>
  <si>
    <t>XIZ2102B</t>
    <phoneticPr fontId="14" type="noConversion"/>
  </si>
  <si>
    <t>XIZ2102C</t>
    <phoneticPr fontId="14" type="noConversion"/>
  </si>
  <si>
    <t>XIZ2161A</t>
    <phoneticPr fontId="14" type="noConversion"/>
  </si>
  <si>
    <t>XIZ2161B</t>
    <phoneticPr fontId="14" type="noConversion"/>
  </si>
  <si>
    <t>XIZ1014</t>
    <phoneticPr fontId="14" type="noConversion"/>
  </si>
  <si>
    <t>XIZ1015</t>
    <phoneticPr fontId="14" type="noConversion"/>
  </si>
  <si>
    <t>XIZ2007</t>
    <phoneticPr fontId="14" type="noConversion"/>
  </si>
  <si>
    <t>XIZ2008</t>
    <phoneticPr fontId="14" type="noConversion"/>
  </si>
  <si>
    <t>Reseated Pressure (Design)</t>
    <phoneticPr fontId="14" type="noConversion"/>
  </si>
  <si>
    <t>handwheel</t>
    <phoneticPr fontId="16" type="noConversion"/>
  </si>
  <si>
    <t>HandwheelEnable</t>
    <phoneticPr fontId="14" type="noConversion"/>
  </si>
  <si>
    <t>Handwheel</t>
    <phoneticPr fontId="16" type="noConversion"/>
  </si>
  <si>
    <t>2110MV01</t>
  </si>
  <si>
    <t>2110MV02</t>
  </si>
  <si>
    <t>2110MV03</t>
  </si>
  <si>
    <t>2110MV04</t>
  </si>
  <si>
    <t>2110MV05</t>
  </si>
  <si>
    <t>PCVZ1053</t>
  </si>
  <si>
    <t>HCVZ1055A</t>
  </si>
  <si>
    <t>HCVZ1055B</t>
  </si>
  <si>
    <t>XCVZ1067</t>
  </si>
  <si>
    <t>XCVZ1079</t>
  </si>
  <si>
    <t>2111MV01</t>
  </si>
  <si>
    <t>2111MV02</t>
  </si>
  <si>
    <t>2111MV03</t>
  </si>
  <si>
    <t>2111MV04</t>
  </si>
  <si>
    <t>2111MV05</t>
  </si>
  <si>
    <t>2111MV06</t>
  </si>
  <si>
    <t>2111MV07</t>
  </si>
  <si>
    <t>2111MV08</t>
  </si>
  <si>
    <t>2111MV09</t>
  </si>
  <si>
    <t>2111MV10</t>
  </si>
  <si>
    <t>XCVZ1069</t>
  </si>
  <si>
    <t>XCVZ1070</t>
  </si>
  <si>
    <t>XCVZ1071</t>
  </si>
  <si>
    <t>XCVZ1072</t>
  </si>
  <si>
    <t>XCVZ1073</t>
  </si>
  <si>
    <t>XCVZ1074</t>
  </si>
  <si>
    <t>XCVZ1075</t>
  </si>
  <si>
    <t>XCVZ1076</t>
  </si>
  <si>
    <t>XCVZ1077</t>
  </si>
  <si>
    <t>XCVZ1078</t>
  </si>
  <si>
    <t>XCVZ1081</t>
  </si>
  <si>
    <t>XCVZ1082</t>
  </si>
  <si>
    <t>XCVZ1083</t>
  </si>
  <si>
    <t>XCVZ1084</t>
  </si>
  <si>
    <t>XCVZ1085</t>
  </si>
  <si>
    <t>XCVZ1086</t>
  </si>
  <si>
    <t>XCVZ1087</t>
  </si>
  <si>
    <t>XCVZ1088</t>
  </si>
  <si>
    <t>XCVZ1089</t>
  </si>
  <si>
    <t>XCVZ1090</t>
  </si>
  <si>
    <t>HZ2101APGAB1</t>
  </si>
  <si>
    <t>HZ2101APGAB2</t>
  </si>
  <si>
    <t>HZ2101APGAB3</t>
  </si>
  <si>
    <t>HZ2101APGAB4</t>
  </si>
  <si>
    <t>HZ2101APGAB5</t>
  </si>
  <si>
    <t>HZ2101APGAB6</t>
  </si>
  <si>
    <t>HZ2101APGAB7</t>
  </si>
  <si>
    <t>HZ2101APGAB8</t>
  </si>
  <si>
    <t>HZ2101APGAB9</t>
  </si>
  <si>
    <t>HZ2101APGAB10</t>
  </si>
  <si>
    <t>PCVZ3068</t>
  </si>
  <si>
    <t>XCVZ3046</t>
  </si>
  <si>
    <t>XCVZ3025</t>
  </si>
  <si>
    <t>2208MV01</t>
  </si>
  <si>
    <t>2208MV02</t>
  </si>
  <si>
    <t>2208MV03</t>
  </si>
  <si>
    <t>2208MV04</t>
  </si>
  <si>
    <t>2208MV05</t>
  </si>
  <si>
    <t>2208MV06</t>
  </si>
  <si>
    <t>2208MV07</t>
  </si>
  <si>
    <t>2208MV08</t>
  </si>
  <si>
    <t>2208MV09</t>
  </si>
  <si>
    <t>HZ2201FGB1</t>
  </si>
  <si>
    <t>HZ2201FGB2</t>
  </si>
  <si>
    <t>HZ2201FGB3</t>
  </si>
  <si>
    <t>HZ2201FGB4</t>
  </si>
  <si>
    <t>HZ2201FGB5</t>
  </si>
  <si>
    <t>HZ2201FGB6</t>
  </si>
  <si>
    <t>HZ2201FGB7</t>
  </si>
  <si>
    <t>HZ2201FGB8</t>
  </si>
  <si>
    <t>HZ2201FGB9</t>
  </si>
  <si>
    <t>HZ2201FGB10</t>
  </si>
  <si>
    <t>HZ2201FGB11</t>
  </si>
  <si>
    <t>HZ2201FGB12</t>
  </si>
  <si>
    <t>HZ2201FGB13</t>
  </si>
  <si>
    <t>HZ2201FGB14</t>
  </si>
  <si>
    <t>HZ2201FGB15</t>
  </si>
  <si>
    <t>HZ2201FGB16</t>
  </si>
  <si>
    <t>HZ2201FGB17</t>
  </si>
  <si>
    <t>XCVZ3029</t>
  </si>
  <si>
    <t>XCVZ3030</t>
  </si>
  <si>
    <t>XCVZ3031</t>
  </si>
  <si>
    <t>XCVZ3032</t>
  </si>
  <si>
    <t>XCVZ3033</t>
  </si>
  <si>
    <t>XCVZ3034</t>
  </si>
  <si>
    <t>XCVZ3035</t>
  </si>
  <si>
    <t>XCVZ3036</t>
  </si>
  <si>
    <t>XCVZ3037</t>
  </si>
  <si>
    <t>XCVZ3038</t>
  </si>
  <si>
    <t>XCVZ3039</t>
  </si>
  <si>
    <t>XCVZ3040</t>
  </si>
  <si>
    <t>XCVZ3041</t>
  </si>
  <si>
    <t>XCVZ3042</t>
  </si>
  <si>
    <t>XCVZ3043</t>
  </si>
  <si>
    <t>XCVZ3044</t>
  </si>
  <si>
    <t>XCVZ3045</t>
  </si>
  <si>
    <t>HZ2201PGAB1</t>
  </si>
  <si>
    <t>HZ2201PGAB2</t>
  </si>
  <si>
    <t>HZ2201PGAB3</t>
  </si>
  <si>
    <t>HZ2201PGAB4</t>
  </si>
  <si>
    <t>HZ2201PGAB5</t>
  </si>
  <si>
    <t>HZ2201PGAB6</t>
  </si>
  <si>
    <t>HZ2201PGAB7</t>
  </si>
  <si>
    <t>HZ2201PGAB8</t>
  </si>
  <si>
    <t>HZ2201PGAB9</t>
  </si>
  <si>
    <t>HZ2201PGAB10</t>
  </si>
  <si>
    <t>HZ2201PGAB11</t>
  </si>
  <si>
    <t>HZ2201PGAB12</t>
  </si>
  <si>
    <t>HZ2201PGAB13</t>
  </si>
  <si>
    <t>HZ2201PGAB14</t>
  </si>
  <si>
    <t>HZ2201PGAB15</t>
  </si>
  <si>
    <t>HZ2201PGAB16</t>
  </si>
  <si>
    <t>HZ2201PGAB17</t>
  </si>
  <si>
    <t>2202BMV05</t>
  </si>
  <si>
    <t>2202BMV06</t>
  </si>
  <si>
    <t>2202BMV07</t>
  </si>
  <si>
    <t>2202BMV08</t>
  </si>
  <si>
    <t>2202BMV09</t>
  </si>
  <si>
    <t>2202BMV10</t>
  </si>
  <si>
    <t>2202BMV11</t>
  </si>
  <si>
    <t>2202BMV12</t>
  </si>
  <si>
    <t>2202BMV13</t>
  </si>
  <si>
    <t>2202BMV14</t>
  </si>
  <si>
    <t>2202BMV15</t>
  </si>
  <si>
    <t>2202BMV16</t>
  </si>
  <si>
    <t>1004MV04</t>
  </si>
  <si>
    <t>1004MV05</t>
  </si>
  <si>
    <t>1004MV18</t>
  </si>
  <si>
    <t>MVD_PZ2204A</t>
  </si>
  <si>
    <t>MVD_PZ2204B</t>
  </si>
  <si>
    <t>MVD_PZ2204C</t>
  </si>
  <si>
    <t>MVD_PZ2206A</t>
  </si>
  <si>
    <t>MVD_PZ2206B</t>
  </si>
  <si>
    <t>MVD_PZ2207</t>
  </si>
  <si>
    <t>PVZ3004A</t>
  </si>
  <si>
    <t>SCZ2206</t>
  </si>
  <si>
    <t>SCZ2207</t>
  </si>
  <si>
    <t>2203MV01</t>
  </si>
  <si>
    <t>2203MV02</t>
  </si>
  <si>
    <t>2203MV03</t>
  </si>
  <si>
    <t>2203MV04</t>
  </si>
  <si>
    <t>1004MV10</t>
  </si>
  <si>
    <t>1004MV11</t>
  </si>
  <si>
    <t>MVD_PZ2203A</t>
  </si>
  <si>
    <t>MVD_PZ2203B</t>
  </si>
  <si>
    <t>MVD_PZ2205A</t>
  </si>
  <si>
    <t>MVD_PZ2205B</t>
  </si>
  <si>
    <t>1006MV01</t>
  </si>
  <si>
    <t>1006MV02</t>
  </si>
  <si>
    <t>1008MV01</t>
  </si>
  <si>
    <t>1008MV02</t>
  </si>
  <si>
    <t>1004MV14</t>
  </si>
  <si>
    <t>1004MV15</t>
  </si>
  <si>
    <t>1004MV16</t>
  </si>
  <si>
    <t>1004MV17</t>
  </si>
  <si>
    <t>1101MV01</t>
  </si>
  <si>
    <t>1101MV03</t>
  </si>
  <si>
    <t>MVD_PZ2151A</t>
  </si>
  <si>
    <t>MVD_PZ2151B</t>
  </si>
  <si>
    <t>MVU_PZ2151A</t>
  </si>
  <si>
    <t>MVU_PZ2151B</t>
  </si>
  <si>
    <t>XCVZ2020</t>
  </si>
  <si>
    <t>1101MV04</t>
  </si>
  <si>
    <t>1101MV05</t>
  </si>
  <si>
    <t>XCVZ2019</t>
  </si>
  <si>
    <t>1102MV01</t>
  </si>
  <si>
    <t>1102MV02</t>
  </si>
  <si>
    <t>1102MV03</t>
  </si>
  <si>
    <t>1102MV04</t>
  </si>
  <si>
    <t>1102MV05</t>
  </si>
  <si>
    <t>1102MV06</t>
  </si>
  <si>
    <t>1102MV07</t>
  </si>
  <si>
    <t>1102MV08</t>
  </si>
  <si>
    <t>MVD_PZ2153A</t>
  </si>
  <si>
    <t>MVD_PZ2153B</t>
  </si>
  <si>
    <t>1102MV10</t>
  </si>
  <si>
    <t>LVZ2007</t>
  </si>
  <si>
    <t>XVZ2017</t>
  </si>
  <si>
    <t>1101MV06</t>
  </si>
  <si>
    <t>1109MV01</t>
  </si>
  <si>
    <t>XCVZ2018</t>
  </si>
  <si>
    <t>HZ2151FGB1</t>
  </si>
  <si>
    <t>HZ2151FGB2</t>
  </si>
  <si>
    <t>HZ2151FGB3</t>
  </si>
  <si>
    <t>HZ2151FGB4</t>
  </si>
  <si>
    <t>HZ2151FGB5</t>
  </si>
  <si>
    <t>HZ2151FGB6</t>
  </si>
  <si>
    <t>MVD_PZ2156</t>
  </si>
  <si>
    <t>HZ2151PGAB1</t>
  </si>
  <si>
    <t>HZ2151PGAB2</t>
  </si>
  <si>
    <t>HZ2151PGAB3</t>
  </si>
  <si>
    <t>HZ2151PGAB4</t>
  </si>
  <si>
    <t>HZ2151PGAB5</t>
  </si>
  <si>
    <t>HZ2151PGAB6</t>
  </si>
  <si>
    <t>PVZ2010</t>
  </si>
  <si>
    <t>XCVZ2021</t>
  </si>
  <si>
    <t>2105MV01</t>
  </si>
  <si>
    <t>2105MV02</t>
  </si>
  <si>
    <t>2105MV03</t>
  </si>
  <si>
    <t>2105MV04</t>
  </si>
  <si>
    <t>2105MV05</t>
  </si>
  <si>
    <t>2105MV06</t>
  </si>
  <si>
    <t>2105MV07</t>
  </si>
  <si>
    <t>2105MV08</t>
  </si>
  <si>
    <t>2105MV09</t>
  </si>
  <si>
    <t>2105MV17</t>
  </si>
  <si>
    <t>2105MV18</t>
  </si>
  <si>
    <t>2105MV10</t>
  </si>
  <si>
    <t>2105MV11</t>
  </si>
  <si>
    <t>2105MV12</t>
  </si>
  <si>
    <t>2105MV13</t>
  </si>
  <si>
    <t>2105MV14</t>
  </si>
  <si>
    <t>MVD_PZ2102A</t>
  </si>
  <si>
    <t>MVD_PZ2102B</t>
  </si>
  <si>
    <t>MVD_PZ2102C</t>
  </si>
  <si>
    <t>2119MV01</t>
  </si>
  <si>
    <t>2119MV02</t>
  </si>
  <si>
    <t>2119MV03</t>
  </si>
  <si>
    <t>2119MV04</t>
  </si>
  <si>
    <t>2119MV05</t>
  </si>
  <si>
    <t>2119MV06</t>
  </si>
  <si>
    <t>MVD_PZ2161A</t>
  </si>
  <si>
    <t>MVD_PZ2161B</t>
  </si>
  <si>
    <t>FVZ2151</t>
  </si>
  <si>
    <t>TV2076B</t>
  </si>
  <si>
    <t>GZ2155B</t>
  </si>
  <si>
    <t>FZ2105</t>
  </si>
  <si>
    <t>GZ2155A</t>
  </si>
  <si>
    <t>2201MV01</t>
  </si>
  <si>
    <t>2201MV02</t>
  </si>
  <si>
    <t>2201MV03</t>
  </si>
  <si>
    <t>2201MV04</t>
  </si>
  <si>
    <t>2201MV05</t>
  </si>
  <si>
    <t>2201MV06</t>
  </si>
  <si>
    <t>MVD_PZ2201A</t>
  </si>
  <si>
    <t>MVD_PZ2201B</t>
  </si>
  <si>
    <t>MVD_PZ2202A</t>
  </si>
  <si>
    <t>MVD_PZ2202B</t>
  </si>
  <si>
    <t>2108MV01</t>
  </si>
  <si>
    <t>2108MV03</t>
  </si>
  <si>
    <t>2108MV04</t>
  </si>
  <si>
    <t>2108MV15</t>
  </si>
  <si>
    <t>2108MV21</t>
  </si>
  <si>
    <t>2108MV22</t>
  </si>
  <si>
    <t>FVZ1069</t>
  </si>
  <si>
    <t>MVD_PZ2106A</t>
  </si>
  <si>
    <t>MVD_PZ2106B</t>
  </si>
  <si>
    <t>MVD_PZ2106C</t>
  </si>
  <si>
    <t>XCVZ2101B</t>
  </si>
  <si>
    <t>2108MV02</t>
  </si>
  <si>
    <t>2108MV05</t>
  </si>
  <si>
    <t>2108MV06</t>
  </si>
  <si>
    <t>2108MV07</t>
  </si>
  <si>
    <t>2108MV08</t>
  </si>
  <si>
    <t>2108MV09</t>
  </si>
  <si>
    <t>2108MV10</t>
  </si>
  <si>
    <t>2108MV11</t>
  </si>
  <si>
    <t>2108MV12</t>
  </si>
  <si>
    <t>2108MV13</t>
  </si>
  <si>
    <t>2108MV16</t>
  </si>
  <si>
    <t>2108MV17</t>
  </si>
  <si>
    <t>2108MV18</t>
  </si>
  <si>
    <t>2108MV19</t>
  </si>
  <si>
    <t>MVD_PZ2103C</t>
  </si>
  <si>
    <t>2107MV01</t>
  </si>
  <si>
    <t>2107MV02</t>
  </si>
  <si>
    <t>2107MV03</t>
  </si>
  <si>
    <t>2107MV04</t>
  </si>
  <si>
    <t>2107MV05</t>
  </si>
  <si>
    <t>2107MV06</t>
  </si>
  <si>
    <t>2107MV07</t>
  </si>
  <si>
    <t>2107MV08</t>
  </si>
  <si>
    <t>2107MV09</t>
  </si>
  <si>
    <t>2107MV10</t>
  </si>
  <si>
    <t>2107MV11</t>
  </si>
  <si>
    <t>2107MV12</t>
  </si>
  <si>
    <t>2107MV13</t>
  </si>
  <si>
    <t>2107MV14</t>
  </si>
  <si>
    <t>2107MV15</t>
  </si>
  <si>
    <t>2107MV16</t>
  </si>
  <si>
    <t>2107MV17</t>
  </si>
  <si>
    <t>2107MV18</t>
  </si>
  <si>
    <t>2102MV01</t>
  </si>
  <si>
    <t>2102MV02</t>
  </si>
  <si>
    <t>2102MV03</t>
  </si>
  <si>
    <t>2102MV04</t>
  </si>
  <si>
    <t>2102MV05</t>
  </si>
  <si>
    <t>2102MV06</t>
  </si>
  <si>
    <t>2102MV07</t>
  </si>
  <si>
    <t>2102MV08</t>
  </si>
  <si>
    <t>2102MV11</t>
  </si>
  <si>
    <t>2102MV12</t>
  </si>
  <si>
    <t>2102MV13</t>
  </si>
  <si>
    <t>2102MV14</t>
  </si>
  <si>
    <t>2102MV15</t>
  </si>
  <si>
    <t>2102MV16</t>
  </si>
  <si>
    <t>FVZ1002</t>
  </si>
  <si>
    <t>MVD_PZ2112A</t>
  </si>
  <si>
    <t>MVD_PZ2112B</t>
  </si>
  <si>
    <t>MVD_PZ2117A</t>
  </si>
  <si>
    <t>TVZ1001</t>
  </si>
  <si>
    <t>2103MV01</t>
  </si>
  <si>
    <t>2103MV02</t>
  </si>
  <si>
    <t>2103MV03</t>
  </si>
  <si>
    <t>2103MV04</t>
  </si>
  <si>
    <t>2103MV05</t>
  </si>
  <si>
    <t>2103MV06</t>
  </si>
  <si>
    <t>2103MV07</t>
  </si>
  <si>
    <t>2103MV08</t>
  </si>
  <si>
    <t>2103MV09</t>
  </si>
  <si>
    <t>LVZ1010</t>
  </si>
  <si>
    <t>MVD_PZ2111</t>
  </si>
  <si>
    <t>MVD_PZ2122</t>
  </si>
  <si>
    <t>MVD_PZ2158</t>
  </si>
  <si>
    <t>XCVZ10129</t>
  </si>
  <si>
    <t>XCVZ1021</t>
  </si>
  <si>
    <t>XCVZ1091A</t>
  </si>
  <si>
    <t>XCVZ1091B</t>
  </si>
  <si>
    <t>1801MV01</t>
  </si>
  <si>
    <t>1801MV02</t>
  </si>
  <si>
    <t>1801MV03</t>
  </si>
  <si>
    <t>1801MV04</t>
  </si>
  <si>
    <t>1801MV05</t>
  </si>
  <si>
    <t>MVD_PZ2855A</t>
  </si>
  <si>
    <t>MVD_PZ2855B</t>
  </si>
  <si>
    <t>2101MV01</t>
  </si>
  <si>
    <t>2101MV02</t>
  </si>
  <si>
    <t>2101MV03</t>
  </si>
  <si>
    <t>2101MV04</t>
  </si>
  <si>
    <t>2101MV05</t>
  </si>
  <si>
    <t>2101MV06</t>
  </si>
  <si>
    <t>2101MV07</t>
  </si>
  <si>
    <t>2101MV08</t>
  </si>
  <si>
    <t>2102MV09</t>
  </si>
  <si>
    <t>2104MV01</t>
  </si>
  <si>
    <t>2104MV02</t>
  </si>
  <si>
    <t>2104MV03</t>
  </si>
  <si>
    <t>2104MV04</t>
  </si>
  <si>
    <t>2104MV05</t>
  </si>
  <si>
    <t>2104MV06</t>
  </si>
  <si>
    <t>2104MV07</t>
  </si>
  <si>
    <t>2104MV08</t>
  </si>
  <si>
    <t>2104MV09</t>
  </si>
  <si>
    <t>2104MV10</t>
  </si>
  <si>
    <t>2104MV11</t>
  </si>
  <si>
    <t>2104MV12</t>
  </si>
  <si>
    <t>2104MV13</t>
  </si>
  <si>
    <t>2104MV14</t>
  </si>
  <si>
    <t>2104MV15</t>
  </si>
  <si>
    <t>2104MV16</t>
  </si>
  <si>
    <t>2106MV01</t>
  </si>
  <si>
    <t>2106MV02</t>
  </si>
  <si>
    <t>2106MV03</t>
  </si>
  <si>
    <t>2106MV04</t>
  </si>
  <si>
    <t>2106MV05</t>
  </si>
  <si>
    <t>2106MV06</t>
  </si>
  <si>
    <t>2106MV07</t>
  </si>
  <si>
    <t>2106MV08</t>
  </si>
  <si>
    <t>2106MV09</t>
  </si>
  <si>
    <t>2106MV10</t>
  </si>
  <si>
    <t>2106MV12</t>
  </si>
  <si>
    <t>2106MV13</t>
  </si>
  <si>
    <t>2106MV14</t>
  </si>
  <si>
    <t>2106MV15</t>
  </si>
  <si>
    <t>2106MV16</t>
  </si>
  <si>
    <t>2106MV17</t>
  </si>
  <si>
    <t>2106MV18</t>
  </si>
  <si>
    <t>2106MV19</t>
  </si>
  <si>
    <t>2106MV27</t>
  </si>
  <si>
    <t>2108MV23</t>
  </si>
  <si>
    <t>2109MV01</t>
  </si>
  <si>
    <t>2109MV03</t>
  </si>
  <si>
    <t>2109MV04</t>
  </si>
  <si>
    <t>2109MV05</t>
  </si>
  <si>
    <t>2109MV06</t>
  </si>
  <si>
    <t>2109MV07</t>
  </si>
  <si>
    <t>2109MV09</t>
  </si>
  <si>
    <t>2109MV10</t>
  </si>
  <si>
    <t>2109MV11</t>
  </si>
  <si>
    <t>2109MV12</t>
  </si>
  <si>
    <t>2123MV01</t>
  </si>
  <si>
    <t>2123MV02</t>
  </si>
  <si>
    <t>2123MV03</t>
  </si>
  <si>
    <t>2123MV04</t>
  </si>
  <si>
    <t>2123MV06</t>
  </si>
  <si>
    <t>2123MV07</t>
  </si>
  <si>
    <t>2123MV08</t>
  </si>
  <si>
    <t>2123MV09</t>
  </si>
  <si>
    <t>2123MV10</t>
  </si>
  <si>
    <t>2123MV11</t>
  </si>
  <si>
    <t>2123MV12</t>
  </si>
  <si>
    <t>2123MV13</t>
  </si>
  <si>
    <t>2123MV14</t>
  </si>
  <si>
    <t>PCVZ10119</t>
  </si>
  <si>
    <t>2202AMV01</t>
  </si>
  <si>
    <t>2202AMV02</t>
  </si>
  <si>
    <t>2202AMV03</t>
  </si>
  <si>
    <t>2202AMV04</t>
  </si>
  <si>
    <t>2203MV05</t>
  </si>
  <si>
    <t>DP_HZ2201</t>
  </si>
  <si>
    <t>FVZ1084</t>
  </si>
  <si>
    <t>FVZ1001</t>
  </si>
  <si>
    <t>HVZ1018</t>
  </si>
  <si>
    <t>MVD_PZ2104A</t>
  </si>
  <si>
    <t>MVD_PZ2104B</t>
  </si>
  <si>
    <t>MVD_PZ2104C</t>
  </si>
  <si>
    <t>MVD_PZ2105A</t>
  </si>
  <si>
    <t>MVD_PZ2105B</t>
  </si>
  <si>
    <t>MVD_PZ2107A</t>
  </si>
  <si>
    <t>MVD_PZ2107B</t>
  </si>
  <si>
    <t>MVD_PZ2108</t>
  </si>
  <si>
    <t>MVD_PZ2118A</t>
  </si>
  <si>
    <t>MVD_PZ2118B</t>
  </si>
  <si>
    <t>TVZ1010B</t>
  </si>
  <si>
    <t>TVZ1011A</t>
  </si>
  <si>
    <t>XCVZ1026</t>
  </si>
  <si>
    <t>XCVZ5031</t>
  </si>
  <si>
    <t>XCVZ3022</t>
  </si>
  <si>
    <t>XCVZ4009</t>
  </si>
  <si>
    <t>XCVZ10127</t>
  </si>
  <si>
    <t>TVZ1008</t>
    <phoneticPr fontId="14" type="noConversion"/>
  </si>
  <si>
    <t>TCV2327</t>
    <phoneticPr fontId="14" type="noConversion"/>
  </si>
  <si>
    <t>TICVZ1010A</t>
    <phoneticPr fontId="14" type="noConversion"/>
  </si>
  <si>
    <t>TVZ3049</t>
    <phoneticPr fontId="14" type="noConversion"/>
  </si>
  <si>
    <t>TVZ3006A</t>
    <phoneticPr fontId="14" type="noConversion"/>
  </si>
  <si>
    <t>TVZ3006B</t>
    <phoneticPr fontId="14" type="noConversion"/>
  </si>
  <si>
    <t>TVZ3006A</t>
    <phoneticPr fontId="14" type="noConversion"/>
  </si>
  <si>
    <t>TVZ3006B</t>
    <phoneticPr fontId="14" type="noConversion"/>
  </si>
  <si>
    <t>PVZ4001B</t>
    <phoneticPr fontId="14" type="noConversion"/>
  </si>
  <si>
    <t>PVZ4001A</t>
    <phoneticPr fontId="14" type="noConversion"/>
  </si>
  <si>
    <t>PVZ3014</t>
    <phoneticPr fontId="14" type="noConversion"/>
  </si>
  <si>
    <t>PVZ3010B</t>
    <phoneticPr fontId="14" type="noConversion"/>
  </si>
  <si>
    <t>PVZ3010A</t>
    <phoneticPr fontId="14" type="noConversion"/>
  </si>
  <si>
    <t>LHVZ5008</t>
    <phoneticPr fontId="14" type="noConversion"/>
  </si>
  <si>
    <t>LCVZ1044</t>
    <phoneticPr fontId="14" type="noConversion"/>
  </si>
  <si>
    <t>HCV3004</t>
    <phoneticPr fontId="14" type="noConversion"/>
  </si>
  <si>
    <t>FCVZ1095</t>
    <phoneticPr fontId="14" type="noConversion"/>
  </si>
  <si>
    <t>FCVZ2067</t>
    <phoneticPr fontId="14" type="noConversion"/>
  </si>
  <si>
    <t>FCVZ2066</t>
    <phoneticPr fontId="14" type="noConversion"/>
  </si>
  <si>
    <t>FV2308</t>
    <phoneticPr fontId="14" type="noConversion"/>
  </si>
  <si>
    <t>FV2307</t>
    <phoneticPr fontId="14" type="noConversion"/>
  </si>
  <si>
    <t>FV2306</t>
    <phoneticPr fontId="14" type="noConversion"/>
  </si>
  <si>
    <t>FVZ1069</t>
    <phoneticPr fontId="14" type="noConversion"/>
  </si>
  <si>
    <t>FVZ1060</t>
    <phoneticPr fontId="14" type="noConversion"/>
  </si>
  <si>
    <t>FVZ1001</t>
    <phoneticPr fontId="14" type="noConversion"/>
  </si>
  <si>
    <t>FCVZ3010</t>
    <phoneticPr fontId="14" type="noConversion"/>
  </si>
  <si>
    <t>FCVZ3008</t>
    <phoneticPr fontId="14" type="noConversion"/>
  </si>
  <si>
    <t>FCVZ3001B</t>
    <phoneticPr fontId="14" type="noConversion"/>
  </si>
  <si>
    <t>FCVZ3001A</t>
    <phoneticPr fontId="14" type="noConversion"/>
  </si>
  <si>
    <t>FCVZ3004</t>
    <phoneticPr fontId="14" type="noConversion"/>
  </si>
  <si>
    <t>FCVZ2065</t>
    <phoneticPr fontId="14" type="noConversion"/>
  </si>
  <si>
    <t>FCVZ2003</t>
    <phoneticPr fontId="14" type="noConversion"/>
  </si>
  <si>
    <t>FCVZ1094</t>
    <phoneticPr fontId="14" type="noConversion"/>
  </si>
  <si>
    <t>FCVZ1045</t>
    <phoneticPr fontId="14" type="noConversion"/>
  </si>
  <si>
    <t>FCVZ1011</t>
    <phoneticPr fontId="14" type="noConversion"/>
  </si>
  <si>
    <t>FCVZ10101</t>
    <phoneticPr fontId="14" type="noConversion"/>
  </si>
  <si>
    <t>FCVZ1008</t>
    <phoneticPr fontId="14" type="noConversion"/>
  </si>
  <si>
    <t>A_FCV5065</t>
    <phoneticPr fontId="14" type="noConversion"/>
  </si>
  <si>
    <t>FVZ5065</t>
    <phoneticPr fontId="14" type="noConversion"/>
  </si>
  <si>
    <t>FVZ1085B</t>
    <phoneticPr fontId="14" type="noConversion"/>
  </si>
  <si>
    <t>FVZ1085A</t>
    <phoneticPr fontId="14" type="noConversion"/>
  </si>
  <si>
    <t>FVZ1024</t>
    <phoneticPr fontId="14" type="noConversion"/>
  </si>
  <si>
    <t>yes</t>
  </si>
  <si>
    <t>Not Clear Data</t>
    <phoneticPr fontId="14" type="noConversion"/>
  </si>
  <si>
    <t>No Data</t>
    <phoneticPr fontId="14" type="noConversion"/>
  </si>
  <si>
    <t>eq%</t>
    <phoneticPr fontId="14" type="noConversion"/>
  </si>
  <si>
    <t>eq%</t>
    <phoneticPr fontId="16" type="noConversion"/>
  </si>
  <si>
    <t>System.Double[]</t>
    <phoneticPr fontId="14" type="noConversion"/>
  </si>
  <si>
    <t>BUTYLENE</t>
    <phoneticPr fontId="14" type="noConversion"/>
  </si>
  <si>
    <t>IMPORTH2</t>
    <phoneticPr fontId="14" type="noConversion"/>
  </si>
  <si>
    <t>Kerord</t>
    <phoneticPr fontId="14" type="noConversion"/>
  </si>
  <si>
    <t>BLO1004_SRBN_to_tk</t>
    <phoneticPr fontId="14" type="noConversion"/>
  </si>
  <si>
    <t>Hgord</t>
    <phoneticPr fontId="14" type="noConversion"/>
  </si>
  <si>
    <t>Lgord</t>
    <phoneticPr fontId="14" type="noConversion"/>
  </si>
  <si>
    <t>Residue</t>
  </si>
  <si>
    <t>LGO rundown to tank</t>
    <phoneticPr fontId="14" type="noConversion"/>
  </si>
  <si>
    <t>Residu rundown to tank</t>
    <phoneticPr fontId="14" type="noConversion"/>
  </si>
  <si>
    <t>HGO rundown to tank</t>
    <phoneticPr fontId="14" type="noConversion"/>
  </si>
  <si>
    <t>Kero rundown to tank</t>
    <phoneticPr fontId="14" type="noConversion"/>
  </si>
  <si>
    <t>SRBN rd tank</t>
    <phoneticPr fontId="14" type="noConversion"/>
  </si>
  <si>
    <t>SRBN rd 500</t>
    <phoneticPr fontId="14" type="noConversion"/>
  </si>
  <si>
    <t>SRG RD</t>
    <phoneticPr fontId="14" type="noConversion"/>
  </si>
  <si>
    <t>SLOP</t>
    <phoneticPr fontId="14" type="noConversion"/>
  </si>
  <si>
    <t>Coolingwater return</t>
    <phoneticPr fontId="14" type="noConversion"/>
  </si>
  <si>
    <t>Coolingwater supply</t>
    <phoneticPr fontId="14" type="noConversion"/>
  </si>
  <si>
    <t>Fuelgas supply</t>
    <phoneticPr fontId="14" type="noConversion"/>
  </si>
  <si>
    <t>Gasoline from FCCU to DHT</t>
    <phoneticPr fontId="14" type="noConversion"/>
  </si>
  <si>
    <t>HCCS ex FCCU to DHT feed</t>
    <phoneticPr fontId="14" type="noConversion"/>
  </si>
  <si>
    <t>Butyleen from FCCU to DHT</t>
    <phoneticPr fontId="14" type="noConversion"/>
  </si>
  <si>
    <t>Wild naptha to DHT</t>
    <phoneticPr fontId="14" type="noConversion"/>
  </si>
  <si>
    <t>Condensate ex P2305A/B</t>
    <phoneticPr fontId="14" type="noConversion"/>
  </si>
  <si>
    <t>H2 supply import</t>
    <phoneticPr fontId="14" type="noConversion"/>
  </si>
  <si>
    <t>Sour water to 2300</t>
    <phoneticPr fontId="14" type="noConversion"/>
  </si>
  <si>
    <t>HGO rundown to slops</t>
    <phoneticPr fontId="14" type="noConversion"/>
  </si>
  <si>
    <t>18</t>
    <phoneticPr fontId="14" type="noConversion"/>
  </si>
  <si>
    <t>DFU SPLITTER REBOIL.OUTLET</t>
    <phoneticPr fontId="14" type="noConversion"/>
  </si>
  <si>
    <t>SMOKE HZ2101</t>
    <phoneticPr fontId="14" type="noConversion"/>
  </si>
  <si>
    <t>t/H</t>
  </si>
  <si>
    <t>field instrument</t>
    <phoneticPr fontId="14" type="noConversion"/>
  </si>
  <si>
    <t>BARG</t>
    <phoneticPr fontId="14" type="noConversion"/>
  </si>
  <si>
    <t>CDU4_AIN (Transmitters).xlsx</t>
    <phoneticPr fontId="14" type="noConversion"/>
  </si>
  <si>
    <t>FI_2600C</t>
  </si>
  <si>
    <t>FI_2626</t>
  </si>
  <si>
    <t>FIZ5003</t>
  </si>
  <si>
    <t>FRTZ5005</t>
  </si>
  <si>
    <t>FRZ5017</t>
  </si>
  <si>
    <t>FT_4006</t>
  </si>
  <si>
    <t>PAZ5009</t>
  </si>
  <si>
    <t>PIZ10159</t>
  </si>
  <si>
    <t>PIZ10166</t>
  </si>
  <si>
    <t>PIZ1022</t>
  </si>
  <si>
    <t>PIZ1023</t>
  </si>
  <si>
    <t>PIZ1074</t>
  </si>
  <si>
    <t>PIZ1075</t>
  </si>
  <si>
    <t>PIZ1076</t>
  </si>
  <si>
    <t>PIZ1077</t>
  </si>
  <si>
    <t>PIZ1078</t>
  </si>
  <si>
    <t>PIZ1079</t>
  </si>
  <si>
    <t>PIZ1087</t>
  </si>
  <si>
    <t>PIZ1109</t>
  </si>
  <si>
    <t>PIZ1161</t>
  </si>
  <si>
    <t>PIZ1165</t>
  </si>
  <si>
    <t>PIZ1167</t>
  </si>
  <si>
    <t>TIZ1005</t>
  </si>
  <si>
    <t>TIZ1079</t>
  </si>
  <si>
    <t>TIZ1154</t>
  </si>
  <si>
    <t>TIZ1155</t>
  </si>
  <si>
    <t>TIZ1156</t>
  </si>
  <si>
    <t>TIZ1157</t>
  </si>
  <si>
    <t>TIZ1158</t>
  </si>
  <si>
    <t>TIZ5005</t>
  </si>
  <si>
    <t>TIZ5060</t>
  </si>
  <si>
    <t>TWZ5006</t>
  </si>
  <si>
    <t>no data</t>
    <phoneticPr fontId="14" type="noConversion"/>
  </si>
  <si>
    <t>LIZ5055</t>
    <phoneticPr fontId="14" type="noConversion"/>
  </si>
  <si>
    <t>FICZ2066</t>
    <phoneticPr fontId="14" type="noConversion"/>
  </si>
  <si>
    <t>FICZ2067</t>
    <phoneticPr fontId="14" type="noConversion"/>
  </si>
  <si>
    <t>FICZ1003</t>
    <phoneticPr fontId="14" type="noConversion"/>
  </si>
  <si>
    <t>FICZ1094</t>
    <phoneticPr fontId="14" type="noConversion"/>
  </si>
  <si>
    <t>LICZ1018</t>
    <phoneticPr fontId="14" type="noConversion"/>
  </si>
  <si>
    <t>LICZ1027</t>
    <phoneticPr fontId="14" type="noConversion"/>
  </si>
  <si>
    <t>FICZ2306</t>
    <phoneticPr fontId="14" type="noConversion"/>
  </si>
  <si>
    <t>FICZ2307</t>
    <phoneticPr fontId="14" type="noConversion"/>
  </si>
  <si>
    <t>FICZ2308</t>
    <phoneticPr fontId="14" type="noConversion"/>
  </si>
  <si>
    <t>PV</t>
    <phoneticPr fontId="14" type="noConversion"/>
  </si>
  <si>
    <t>No Data</t>
    <phoneticPr fontId="14" type="noConversion"/>
  </si>
  <si>
    <t>1</t>
    <phoneticPr fontId="14" type="noConversion"/>
  </si>
  <si>
    <t>LCVZ1044</t>
  </si>
  <si>
    <t>LCVZ1044</t>
    <phoneticPr fontId="16" type="noConversion"/>
  </si>
  <si>
    <t>FCVZ2066</t>
    <phoneticPr fontId="14" type="noConversion"/>
  </si>
  <si>
    <t>LCVZ1044</t>
    <phoneticPr fontId="14" type="noConversion"/>
  </si>
  <si>
    <t>no data</t>
    <phoneticPr fontId="14" type="noConversion"/>
  </si>
  <si>
    <t>FCVZ3001A</t>
    <phoneticPr fontId="14" type="noConversion"/>
  </si>
  <si>
    <t>FCVZ3001B</t>
    <phoneticPr fontId="14" type="noConversion"/>
  </si>
  <si>
    <t>FVZ1060</t>
    <phoneticPr fontId="14" type="noConversion"/>
  </si>
  <si>
    <t>FVZ1061</t>
    <phoneticPr fontId="14" type="noConversion"/>
  </si>
  <si>
    <t>FVZ2151</t>
    <phoneticPr fontId="14" type="noConversion"/>
  </si>
  <si>
    <t>LCV1052</t>
    <phoneticPr fontId="14" type="noConversion"/>
  </si>
  <si>
    <t>LVZ2603</t>
    <phoneticPr fontId="14" type="noConversion"/>
  </si>
  <si>
    <t>PCVZ10110</t>
    <phoneticPr fontId="14" type="noConversion"/>
  </si>
  <si>
    <t>PCVZ10119</t>
    <phoneticPr fontId="14" type="noConversion"/>
  </si>
  <si>
    <t>PCVZ10122</t>
    <phoneticPr fontId="14" type="noConversion"/>
  </si>
  <si>
    <t>PCVZ10123</t>
    <phoneticPr fontId="14" type="noConversion"/>
  </si>
  <si>
    <t>PCVZ2026</t>
    <phoneticPr fontId="14" type="noConversion"/>
  </si>
  <si>
    <t>PCVZ2031</t>
    <phoneticPr fontId="14" type="noConversion"/>
  </si>
  <si>
    <t>PCVZ2079</t>
    <phoneticPr fontId="14" type="noConversion"/>
  </si>
  <si>
    <t>PCVZ2084</t>
    <phoneticPr fontId="14" type="noConversion"/>
  </si>
  <si>
    <t>PCVZ3014</t>
    <phoneticPr fontId="14" type="noConversion"/>
  </si>
  <si>
    <t>PCVZ3065</t>
    <phoneticPr fontId="14" type="noConversion"/>
  </si>
  <si>
    <t>PCVZ3068</t>
    <phoneticPr fontId="14" type="noConversion"/>
  </si>
  <si>
    <t>PV2305A</t>
    <phoneticPr fontId="14" type="noConversion"/>
  </si>
  <si>
    <t>PV2305B</t>
    <phoneticPr fontId="14" type="noConversion"/>
  </si>
  <si>
    <t>PV2691A</t>
    <phoneticPr fontId="14" type="noConversion"/>
  </si>
  <si>
    <t>PV4001A</t>
    <phoneticPr fontId="14" type="noConversion"/>
  </si>
  <si>
    <t>PV4001B</t>
    <phoneticPr fontId="14" type="noConversion"/>
  </si>
  <si>
    <t>PVZ1001</t>
    <phoneticPr fontId="14" type="noConversion"/>
  </si>
  <si>
    <t>TCVZ1035</t>
    <phoneticPr fontId="14" type="noConversion"/>
  </si>
  <si>
    <t>TV2076</t>
    <phoneticPr fontId="14" type="noConversion"/>
  </si>
  <si>
    <t>TVZ1010B</t>
    <phoneticPr fontId="14" type="noConversion"/>
  </si>
  <si>
    <t>TVZ10168</t>
    <phoneticPr fontId="14" type="noConversion"/>
  </si>
  <si>
    <t>XCV_2624</t>
    <phoneticPr fontId="14" type="noConversion"/>
  </si>
  <si>
    <t>XCVZ1007</t>
    <phoneticPr fontId="14" type="noConversion"/>
  </si>
  <si>
    <t>XCVZ10127</t>
    <phoneticPr fontId="14" type="noConversion"/>
  </si>
  <si>
    <t>XCVZ1021</t>
    <phoneticPr fontId="14" type="noConversion"/>
  </si>
  <si>
    <t>XCVZ1025</t>
    <phoneticPr fontId="14" type="noConversion"/>
  </si>
  <si>
    <t>XCVZ1026</t>
    <phoneticPr fontId="14" type="noConversion"/>
  </si>
  <si>
    <t>XCVZ1080</t>
    <phoneticPr fontId="14" type="noConversion"/>
  </si>
  <si>
    <t>XCVZ2002</t>
    <phoneticPr fontId="14" type="noConversion"/>
  </si>
  <si>
    <t>XCVZ2016</t>
    <phoneticPr fontId="14" type="noConversion"/>
  </si>
  <si>
    <t>XCVZ2018</t>
    <phoneticPr fontId="14" type="noConversion"/>
  </si>
  <si>
    <t>XCVZ2027</t>
    <phoneticPr fontId="14" type="noConversion"/>
  </si>
  <si>
    <t>XCVZ3001</t>
    <phoneticPr fontId="14" type="noConversion"/>
  </si>
  <si>
    <t>XCVZ3002</t>
    <phoneticPr fontId="14" type="noConversion"/>
  </si>
  <si>
    <t>XCVZ3008A</t>
    <phoneticPr fontId="14" type="noConversion"/>
  </si>
  <si>
    <t>XCVZ3008B</t>
    <phoneticPr fontId="14" type="noConversion"/>
  </si>
  <si>
    <t>XCVZ3023</t>
    <phoneticPr fontId="14" type="noConversion"/>
  </si>
  <si>
    <t>XCVZ3025</t>
    <phoneticPr fontId="14" type="noConversion"/>
  </si>
  <si>
    <t>XCVZ3028</t>
    <phoneticPr fontId="14" type="noConversion"/>
  </si>
  <si>
    <t>XCVZ5031</t>
    <phoneticPr fontId="14" type="noConversion"/>
  </si>
  <si>
    <t>XZCVZ10133</t>
    <phoneticPr fontId="14" type="noConversion"/>
  </si>
  <si>
    <t>XZCVZ10134</t>
    <phoneticPr fontId="14" type="noConversion"/>
  </si>
  <si>
    <t>FCVZ2066</t>
    <phoneticPr fontId="16" type="noConversion"/>
  </si>
  <si>
    <t>volume pump</t>
    <phoneticPr fontId="14" type="noConversion"/>
  </si>
  <si>
    <t>no data</t>
    <phoneticPr fontId="14" type="noConversion"/>
  </si>
  <si>
    <t>Volume (m3)</t>
    <phoneticPr fontId="14" type="noConversion"/>
  </si>
  <si>
    <t>Diameter (m)</t>
    <phoneticPr fontId="14" type="noConversion"/>
  </si>
  <si>
    <t>Length (m)</t>
    <phoneticPr fontId="14" type="noConversion"/>
  </si>
  <si>
    <t>Back calculation</t>
    <phoneticPr fontId="14" type="noConversion"/>
  </si>
  <si>
    <t>BedVolume</t>
    <phoneticPr fontId="14" type="noConversion"/>
  </si>
  <si>
    <t>Volume</t>
    <phoneticPr fontId="14" type="noConversion"/>
  </si>
  <si>
    <t>HVZ1018</t>
    <phoneticPr fontId="16" type="noConversion"/>
  </si>
  <si>
    <t>HVZ1019</t>
    <phoneticPr fontId="14" type="noConversion"/>
  </si>
  <si>
    <t>A_HVZ1018</t>
    <phoneticPr fontId="14" type="noConversion"/>
  </si>
  <si>
    <t>A_HVZ1019</t>
    <phoneticPr fontId="14" type="noConversion"/>
  </si>
  <si>
    <t>No Data for FO/FC</t>
    <phoneticPr fontId="14" type="noConversion"/>
  </si>
  <si>
    <t>Volume (Model)</t>
    <phoneticPr fontId="16" type="noConversion"/>
  </si>
  <si>
    <t>Volume (Design)</t>
    <phoneticPr fontId="16" type="noConversion"/>
  </si>
  <si>
    <t>m3</t>
    <phoneticPr fontId="16" type="noConversion"/>
  </si>
  <si>
    <t>m3</t>
    <phoneticPr fontId="14" type="noConversion"/>
  </si>
  <si>
    <t>Volume (Model)</t>
    <phoneticPr fontId="16" type="noConversion"/>
  </si>
  <si>
    <t>Volume (Design)</t>
    <phoneticPr fontId="16" type="noConversion"/>
  </si>
  <si>
    <t>TVZ10164</t>
    <phoneticPr fontId="14" type="noConversion"/>
  </si>
  <si>
    <t>A_TVZ10164</t>
    <phoneticPr fontId="14" type="noConversion"/>
  </si>
  <si>
    <t>FVZ1061</t>
    <phoneticPr fontId="14" type="noConversion"/>
  </si>
  <si>
    <t>FVZ2151</t>
    <phoneticPr fontId="14" type="noConversion"/>
  </si>
  <si>
    <t>A_FVZ2151</t>
    <phoneticPr fontId="14" type="noConversion"/>
  </si>
  <si>
    <t>PCVZ10110</t>
    <phoneticPr fontId="14" type="noConversion"/>
  </si>
  <si>
    <t>A_PCVZ10110</t>
    <phoneticPr fontId="14" type="noConversion"/>
  </si>
  <si>
    <t>PCVZ10122</t>
    <phoneticPr fontId="14" type="noConversion"/>
  </si>
  <si>
    <t>PCVZ10123</t>
    <phoneticPr fontId="14" type="noConversion"/>
  </si>
  <si>
    <t>A_PCVZ10122</t>
    <phoneticPr fontId="14" type="noConversion"/>
  </si>
  <si>
    <t>A_PCVZ10123</t>
    <phoneticPr fontId="14" type="noConversion"/>
  </si>
  <si>
    <t>PCVZ2026</t>
    <phoneticPr fontId="14" type="noConversion"/>
  </si>
  <si>
    <t>A_PCVZ2026</t>
    <phoneticPr fontId="14" type="noConversion"/>
  </si>
  <si>
    <t>PCVZ2031</t>
    <phoneticPr fontId="14" type="noConversion"/>
  </si>
  <si>
    <t>PCVZ2079</t>
    <phoneticPr fontId="14" type="noConversion"/>
  </si>
  <si>
    <t>PCVZ2084</t>
    <phoneticPr fontId="14" type="noConversion"/>
  </si>
  <si>
    <t>A_PCVZ2031</t>
    <phoneticPr fontId="14" type="noConversion"/>
  </si>
  <si>
    <t>A_PCVZ2079</t>
    <phoneticPr fontId="14" type="noConversion"/>
  </si>
  <si>
    <t>A_PCVZ2084</t>
    <phoneticPr fontId="14" type="noConversion"/>
  </si>
  <si>
    <t>PCVZ3065</t>
    <phoneticPr fontId="14" type="noConversion"/>
  </si>
  <si>
    <t>A_PCVZ3065</t>
    <phoneticPr fontId="14" type="noConversion"/>
  </si>
  <si>
    <t>TV2076</t>
    <phoneticPr fontId="14" type="noConversion"/>
  </si>
  <si>
    <t>A_TV2076</t>
    <phoneticPr fontId="14" type="noConversion"/>
  </si>
  <si>
    <t>XCVZ10127</t>
    <phoneticPr fontId="14" type="noConversion"/>
  </si>
  <si>
    <t>A_XCVZ10127</t>
    <phoneticPr fontId="14" type="noConversion"/>
  </si>
  <si>
    <t>XCVZ1021</t>
    <phoneticPr fontId="14" type="noConversion"/>
  </si>
  <si>
    <t>A_XCVZ1021</t>
    <phoneticPr fontId="14" type="noConversion"/>
  </si>
  <si>
    <t>XCVZ2016</t>
    <phoneticPr fontId="14" type="noConversion"/>
  </si>
  <si>
    <t>A_XCVZ2016</t>
    <phoneticPr fontId="14" type="noConversion"/>
  </si>
  <si>
    <t>XCVZ2018</t>
    <phoneticPr fontId="14" type="noConversion"/>
  </si>
  <si>
    <t>A_XCVZ2018</t>
    <phoneticPr fontId="14" type="noConversion"/>
  </si>
  <si>
    <t>XCVZ3025</t>
    <phoneticPr fontId="14" type="noConversion"/>
  </si>
  <si>
    <t>A_XCVZ3025</t>
    <phoneticPr fontId="14" type="noConversion"/>
  </si>
  <si>
    <t>XZCVZ10133</t>
    <phoneticPr fontId="14" type="noConversion"/>
  </si>
  <si>
    <t>A_XZCVZ10133</t>
    <phoneticPr fontId="14" type="noConversion"/>
  </si>
  <si>
    <t>A_XZCVZ10134</t>
    <phoneticPr fontId="14" type="noConversion"/>
  </si>
  <si>
    <t>XZCVZ10134</t>
    <phoneticPr fontId="14" type="noConversion"/>
  </si>
  <si>
    <t>A_FVZ1061</t>
    <phoneticPr fontId="14" type="noConversion"/>
  </si>
  <si>
    <t>No Data</t>
  </si>
  <si>
    <t>05-21-0003</t>
    <phoneticPr fontId="14" type="noConversion"/>
  </si>
  <si>
    <t>05-11-0009</t>
    <phoneticPr fontId="14" type="noConversion"/>
  </si>
  <si>
    <t>05-21-0006</t>
    <phoneticPr fontId="14" type="noConversion"/>
  </si>
  <si>
    <t>05-21-0012</t>
    <phoneticPr fontId="14" type="noConversion"/>
  </si>
  <si>
    <t>05-11-0013</t>
    <phoneticPr fontId="14" type="noConversion"/>
  </si>
  <si>
    <t>05-22-0008</t>
    <phoneticPr fontId="14" type="noConversion"/>
  </si>
  <si>
    <t>05-21-0001</t>
    <phoneticPr fontId="14" type="noConversion"/>
  </si>
  <si>
    <t>05-11-0002</t>
    <phoneticPr fontId="14" type="noConversion"/>
  </si>
  <si>
    <t>PCVZ3068</t>
    <phoneticPr fontId="14" type="noConversion"/>
  </si>
  <si>
    <t>A_PCVZ3068</t>
    <phoneticPr fontId="14" type="noConversion"/>
  </si>
  <si>
    <t>Tag</t>
    <phoneticPr fontId="16" type="noConversion"/>
  </si>
  <si>
    <t>Height</t>
    <phoneticPr fontId="14" type="noConversion"/>
  </si>
  <si>
    <t>CDU BLENDER</t>
    <phoneticPr fontId="14" type="noConversion"/>
  </si>
  <si>
    <t>PZ2101A</t>
    <phoneticPr fontId="14" type="noConversion"/>
  </si>
  <si>
    <t>PZ2101B</t>
    <phoneticPr fontId="14" type="noConversion"/>
  </si>
  <si>
    <t>PZ2101C</t>
    <phoneticPr fontId="14" type="noConversion"/>
  </si>
  <si>
    <t>M_CZ2124AA</t>
    <phoneticPr fontId="14" type="noConversion"/>
  </si>
  <si>
    <t>M_CZ2124BB</t>
    <phoneticPr fontId="14" type="noConversion"/>
  </si>
  <si>
    <t>M_CZ2125AA</t>
    <phoneticPr fontId="14" type="noConversion"/>
  </si>
  <si>
    <t>M_CZ2125BB</t>
    <phoneticPr fontId="14" type="noConversion"/>
  </si>
  <si>
    <t>M_CZ2152A</t>
    <phoneticPr fontId="14" type="noConversion"/>
  </si>
  <si>
    <t>PZ2101A</t>
    <phoneticPr fontId="14" type="noConversion"/>
  </si>
  <si>
    <t>PZ2101B</t>
    <phoneticPr fontId="14" type="noConversion"/>
  </si>
  <si>
    <t>PZ2101C</t>
    <phoneticPr fontId="14" type="noConversion"/>
  </si>
  <si>
    <t>Crude Charge Pump</t>
    <phoneticPr fontId="16" type="noConversion"/>
  </si>
  <si>
    <t>CDU BLENDER</t>
    <phoneticPr fontId="14" type="noConversion"/>
  </si>
  <si>
    <t>CDU BLENDER</t>
    <phoneticPr fontId="14" type="noConversion"/>
  </si>
  <si>
    <t>PZ2101A-Win.pdf</t>
    <phoneticPr fontId="16" type="noConversion"/>
  </si>
  <si>
    <t>PZ2101B-Win.pdf</t>
    <phoneticPr fontId="14" type="noConversion"/>
  </si>
  <si>
    <t>PZ2101C-Win.pdf</t>
    <phoneticPr fontId="14" type="noConversion"/>
  </si>
  <si>
    <t>M_PZ2101ASS</t>
    <phoneticPr fontId="14" type="noConversion"/>
  </si>
  <si>
    <t>M_PZ2101BSS</t>
    <phoneticPr fontId="14" type="noConversion"/>
  </si>
  <si>
    <t>M_PZ2101CSS</t>
    <phoneticPr fontId="14" type="noConversion"/>
  </si>
  <si>
    <t>PZ2101ASS</t>
    <phoneticPr fontId="14" type="noConversion"/>
  </si>
  <si>
    <t>PZ2101BSS</t>
    <phoneticPr fontId="14" type="noConversion"/>
  </si>
  <si>
    <t>PZ2101CSS</t>
    <phoneticPr fontId="14" type="noConversion"/>
  </si>
  <si>
    <t>PZ2101A</t>
    <phoneticPr fontId="14" type="noConversion"/>
  </si>
  <si>
    <t>PZ2101B</t>
    <phoneticPr fontId="14" type="noConversion"/>
  </si>
  <si>
    <t>PZ2101C</t>
    <phoneticPr fontId="14" type="noConversion"/>
  </si>
  <si>
    <t>PROPORTIONAL</t>
    <phoneticPr fontId="14" type="noConversion"/>
  </si>
  <si>
    <t>INTEGRAL</t>
    <phoneticPr fontId="14" type="noConversion"/>
  </si>
  <si>
    <t>Object Type</t>
  </si>
  <si>
    <t>Object Name</t>
  </si>
  <si>
    <t>TAGNAME</t>
  </si>
  <si>
    <t>DESCRP</t>
  </si>
  <si>
    <t>HSCI1</t>
  </si>
  <si>
    <t>LSCI1</t>
  </si>
  <si>
    <t>EI1</t>
  </si>
  <si>
    <t>HSCO1</t>
  </si>
  <si>
    <t>LSCO1</t>
  </si>
  <si>
    <t>EO1</t>
  </si>
  <si>
    <t>PBAND</t>
  </si>
  <si>
    <t>INT</t>
  </si>
  <si>
    <t>DERIV</t>
  </si>
  <si>
    <t>KD</t>
  </si>
  <si>
    <t>SPLLAG</t>
  </si>
  <si>
    <t>NONLOP</t>
  </si>
  <si>
    <t>HZONE</t>
  </si>
  <si>
    <t>LZONE</t>
  </si>
  <si>
    <t>KZONE</t>
  </si>
  <si>
    <t>[%]</t>
  </si>
  <si>
    <t>[MIN]</t>
  </si>
  <si>
    <t>[0/1]</t>
  </si>
  <si>
    <t>Block</t>
  </si>
  <si>
    <t>DEGC</t>
    <phoneticPr fontId="14" type="noConversion"/>
  </si>
  <si>
    <t>M3/H</t>
    <phoneticPr fontId="14" type="noConversion"/>
  </si>
  <si>
    <t>PCT</t>
    <phoneticPr fontId="14" type="noConversion"/>
  </si>
  <si>
    <t>NM3/H</t>
    <phoneticPr fontId="14" type="noConversion"/>
  </si>
  <si>
    <t>BARG</t>
    <phoneticPr fontId="14" type="noConversion"/>
  </si>
  <si>
    <t>%</t>
    <phoneticPr fontId="14" type="noConversion"/>
  </si>
  <si>
    <t>PTU</t>
    <phoneticPr fontId="14" type="noConversion"/>
  </si>
  <si>
    <t>ITU</t>
    <phoneticPr fontId="14" type="noConversion"/>
  </si>
  <si>
    <t>HZ2101 TOTAL CRUDEFEED</t>
    <phoneticPr fontId="14" type="noConversion"/>
  </si>
  <si>
    <t>CDU TOWER MIDDLE PUMP AROUND</t>
    <phoneticPr fontId="14" type="noConversion"/>
  </si>
  <si>
    <t>CDU TOWER BOTTOM PUMP AROUND</t>
    <phoneticPr fontId="14" type="noConversion"/>
  </si>
  <si>
    <t>STRIP STEAM TO T2102 LGO STRP</t>
    <phoneticPr fontId="14" type="noConversion"/>
  </si>
  <si>
    <t>DHT HP SEPARATOR OFFGAS</t>
    <phoneticPr fontId="14" type="noConversion"/>
  </si>
  <si>
    <t>IMPORT H2 TO DZ2153</t>
    <phoneticPr fontId="14" type="noConversion"/>
  </si>
  <si>
    <t>CRU GAS TO DZ2153</t>
    <phoneticPr fontId="14" type="noConversion"/>
  </si>
  <si>
    <t>DZ3004 TO SLOPS</t>
    <phoneticPr fontId="14" type="noConversion"/>
  </si>
  <si>
    <t>DHT LP SEPARATOR</t>
    <phoneticPr fontId="14" type="noConversion"/>
  </si>
  <si>
    <t>FUEL GAS MIXING DRUM</t>
    <phoneticPr fontId="14" type="noConversion"/>
  </si>
  <si>
    <t>COLD AIR INLET EZ2125A</t>
    <phoneticPr fontId="14" type="noConversion"/>
  </si>
  <si>
    <t>COLD AIR INLET EZ2125B</t>
    <phoneticPr fontId="14" type="noConversion"/>
  </si>
  <si>
    <t>COMB. AIR TEMP TO HZ2101</t>
    <phoneticPr fontId="14" type="noConversion"/>
  </si>
  <si>
    <t>GOH3 FG</t>
    <phoneticPr fontId="14" type="noConversion"/>
  </si>
  <si>
    <t>CDU3 FG</t>
    <phoneticPr fontId="14" type="noConversion"/>
  </si>
  <si>
    <t>PZ2117A FLOW</t>
    <phoneticPr fontId="14" type="noConversion"/>
  </si>
  <si>
    <t>HOT LGO</t>
    <phoneticPr fontId="14" type="noConversion"/>
  </si>
  <si>
    <t>STABILISER WATER BOOT (LT)</t>
    <phoneticPr fontId="14" type="noConversion"/>
  </si>
  <si>
    <t>DZ3002 LEVEL</t>
    <phoneticPr fontId="14" type="noConversion"/>
  </si>
  <si>
    <t>HZ2101 PILOTE</t>
    <phoneticPr fontId="14" type="noConversion"/>
  </si>
  <si>
    <t>HZ2151 MAIN FG</t>
    <phoneticPr fontId="14" type="noConversion"/>
  </si>
  <si>
    <t>HZ2151 PILOTE</t>
    <phoneticPr fontId="14" type="noConversion"/>
  </si>
  <si>
    <t>HZ2201 MAIN FG</t>
    <phoneticPr fontId="14" type="noConversion"/>
  </si>
  <si>
    <t>HZ2201 PILOTE</t>
    <phoneticPr fontId="14" type="noConversion"/>
  </si>
  <si>
    <t>HZ2201 INSTRUMENT AIR</t>
    <phoneticPr fontId="14" type="noConversion"/>
  </si>
  <si>
    <t>HRU GAS FEED DRUM</t>
    <phoneticPr fontId="14" type="noConversion"/>
  </si>
  <si>
    <t>LUBE OIL PRESSURE</t>
    <phoneticPr fontId="14" type="noConversion"/>
  </si>
  <si>
    <t>EZ2208 OUTLET PRESS</t>
    <phoneticPr fontId="14" type="noConversion"/>
  </si>
  <si>
    <t>STRIPPER REBOILER OUTLET</t>
    <phoneticPr fontId="14" type="noConversion"/>
  </si>
  <si>
    <t>BFW PRESS</t>
    <phoneticPr fontId="14" type="noConversion"/>
  </si>
  <si>
    <t>HZ2101 INSTRUMENT AIR</t>
    <phoneticPr fontId="14" type="noConversion"/>
  </si>
  <si>
    <t>HZ2151 INSTRUMENT AIR</t>
    <phoneticPr fontId="14" type="noConversion"/>
  </si>
  <si>
    <t>LUBE OIL TEMP</t>
    <phoneticPr fontId="14" type="noConversion"/>
  </si>
  <si>
    <t>T/H</t>
    <phoneticPr fontId="14" type="noConversion"/>
  </si>
  <si>
    <t>BAR</t>
    <phoneticPr fontId="14" type="noConversion"/>
  </si>
  <si>
    <t>KG/H</t>
    <phoneticPr fontId="14" type="noConversion"/>
  </si>
  <si>
    <t>32, 4</t>
  </si>
  <si>
    <t>16, 8</t>
  </si>
  <si>
    <t>TZ2104</t>
    <phoneticPr fontId="14" type="noConversion"/>
  </si>
  <si>
    <t>TZ2105</t>
    <phoneticPr fontId="14" type="noConversion"/>
  </si>
  <si>
    <t>TZ2851</t>
    <phoneticPr fontId="14" type="noConversion"/>
  </si>
  <si>
    <t>47, 6</t>
  </si>
  <si>
    <t>19, 7</t>
  </si>
  <si>
    <t>2.8/3.98</t>
    <phoneticPr fontId="16" type="noConversion"/>
  </si>
  <si>
    <t xml:space="preserve">A desalter (344m3) </t>
  </si>
  <si>
    <t>B desalter (344m3)</t>
  </si>
  <si>
    <t xml:space="preserve">C 2ND stage desalter </t>
  </si>
  <si>
    <t xml:space="preserve">Crude o/h drum                                           </t>
  </si>
  <si>
    <t>3, 3</t>
  </si>
  <si>
    <t xml:space="preserve">Waterboot from Dz-2102 </t>
  </si>
  <si>
    <t xml:space="preserve">Water injectiondrum                                       </t>
  </si>
  <si>
    <t>Vacuumoil separator</t>
  </si>
  <si>
    <t>2, 1</t>
  </si>
  <si>
    <t xml:space="preserve">Crude o/h offgas k.o. drum                               </t>
  </si>
  <si>
    <t xml:space="preserve">Tempered water drum                                   </t>
  </si>
  <si>
    <t xml:space="preserve">Vacuum condensate k.o. drum </t>
  </si>
  <si>
    <t>79, 9</t>
  </si>
  <si>
    <t xml:space="preserve">High pressure separator                                  </t>
  </si>
  <si>
    <t>86, 8</t>
  </si>
  <si>
    <t xml:space="preserve">Low pressure separator                                   </t>
  </si>
  <si>
    <t xml:space="preserve">Compressor dry drum </t>
  </si>
  <si>
    <t xml:space="preserve">Stabilizer o/h drum                                        </t>
  </si>
  <si>
    <t>Splitter o/h drum</t>
  </si>
  <si>
    <t xml:space="preserve">Gas k.o. drum </t>
  </si>
  <si>
    <t xml:space="preserve">Mdea k.o. drum </t>
  </si>
  <si>
    <t xml:space="preserve">Fuelgas mixingdrum </t>
  </si>
  <si>
    <t xml:space="preserve">Flare blowdowndrum                                    </t>
  </si>
  <si>
    <t xml:space="preserve">Caustic injectiondrum                                     </t>
  </si>
  <si>
    <t>not in scope</t>
  </si>
  <si>
    <t>Lub. Oil drum Cz-2152</t>
  </si>
  <si>
    <t>Max Cap.</t>
  </si>
  <si>
    <t>m3/h</t>
    <phoneticPr fontId="14" type="noConversion"/>
  </si>
  <si>
    <t>Always 2 and on max three pumps running</t>
  </si>
  <si>
    <t>Always 2 running</t>
  </si>
  <si>
    <t>Alway 2 running</t>
  </si>
  <si>
    <t>If needed 2 are running</t>
  </si>
  <si>
    <t>Mostly both are running for LGO rundown</t>
  </si>
  <si>
    <t>1,6/2</t>
  </si>
  <si>
    <t>Should be around 600 plus</t>
  </si>
  <si>
    <t>Not in scope</t>
  </si>
  <si>
    <t>Mostly running for kero rundown.</t>
  </si>
  <si>
    <t>Psuct_PZ2103A</t>
    <phoneticPr fontId="14" type="noConversion"/>
  </si>
  <si>
    <t>Psuct_PZ2103B</t>
    <phoneticPr fontId="14" type="noConversion"/>
  </si>
  <si>
    <t>Psuct_PZ2103C</t>
    <phoneticPr fontId="14" type="noConversion"/>
  </si>
  <si>
    <t>Psuct_PZ2104A</t>
    <phoneticPr fontId="14" type="noConversion"/>
  </si>
  <si>
    <t>Psuct_PZ2104B</t>
    <phoneticPr fontId="14" type="noConversion"/>
  </si>
  <si>
    <t>Psuct_PZ2104C</t>
    <phoneticPr fontId="14" type="noConversion"/>
  </si>
  <si>
    <t>Psuct_PZ2105A</t>
    <phoneticPr fontId="14" type="noConversion"/>
  </si>
  <si>
    <t>Psuct_PZ2105B</t>
    <phoneticPr fontId="14" type="noConversion"/>
  </si>
  <si>
    <t>Psuct_PZ2106A</t>
    <phoneticPr fontId="14" type="noConversion"/>
  </si>
  <si>
    <t>Psuct_PZ2106B</t>
    <phoneticPr fontId="14" type="noConversion"/>
  </si>
  <si>
    <t>Psuct_PZ2106C</t>
    <phoneticPr fontId="14" type="noConversion"/>
  </si>
  <si>
    <t>Volume (Model)</t>
  </si>
  <si>
    <t>Volume (Design)</t>
  </si>
  <si>
    <t>m3</t>
  </si>
  <si>
    <t>steampig</t>
  </si>
  <si>
    <t>TZ2851</t>
  </si>
  <si>
    <t>Volume (m3)</t>
  </si>
  <si>
    <t>Diameter (m)</t>
  </si>
  <si>
    <t>Length (m)</t>
  </si>
  <si>
    <t>Back calculation</t>
  </si>
  <si>
    <t>Length</t>
    <phoneticPr fontId="14" type="noConversion"/>
  </si>
  <si>
    <t>Ez2128</t>
    <phoneticPr fontId="14" type="noConversion"/>
  </si>
  <si>
    <t>Pz2101A</t>
    <phoneticPr fontId="14" type="noConversion"/>
  </si>
  <si>
    <t>Pz2101B</t>
    <phoneticPr fontId="14" type="noConversion"/>
  </si>
  <si>
    <t>Pz2101C</t>
    <phoneticPr fontId="14" type="noConversion"/>
  </si>
  <si>
    <t>Ez-2852</t>
  </si>
  <si>
    <t>see dwg 0500-05-10-0018</t>
  </si>
  <si>
    <t>interaction between the airfans Ez2114;Ez2115;Ez2852 they share the same airfan so all change temperature on stopping or starting a fan.</t>
  </si>
  <si>
    <t xml:space="preserve">Modified already </t>
    <phoneticPr fontId="14" type="noConversion"/>
  </si>
  <si>
    <t>Moved to column page</t>
    <phoneticPr fontId="14" type="noConversion"/>
  </si>
  <si>
    <t>M_EZ21145</t>
    <phoneticPr fontId="14" type="noConversion"/>
  </si>
  <si>
    <t>FD FAN for HZ2101</t>
    <phoneticPr fontId="14" type="noConversion"/>
  </si>
  <si>
    <t>ID FAN for HZ2101</t>
    <phoneticPr fontId="14" type="noConversion"/>
  </si>
  <si>
    <t>Recycle Compressor</t>
    <phoneticPr fontId="14" type="noConversion"/>
  </si>
  <si>
    <t>Warm Crude Charge Pump</t>
    <phoneticPr fontId="14" type="noConversion"/>
  </si>
  <si>
    <t>Top Pump Around</t>
    <phoneticPr fontId="14" type="noConversion"/>
  </si>
  <si>
    <t>Middle Pump Product</t>
    <phoneticPr fontId="14" type="noConversion"/>
  </si>
  <si>
    <t>Middle Pump Product</t>
    <phoneticPr fontId="14" type="noConversion"/>
  </si>
  <si>
    <t>Bottom Pump Around</t>
    <phoneticPr fontId="14" type="noConversion"/>
  </si>
  <si>
    <t>Atmospheric Residue</t>
    <phoneticPr fontId="14" type="noConversion"/>
  </si>
  <si>
    <t>Light Gas Oil</t>
    <phoneticPr fontId="14" type="noConversion"/>
  </si>
  <si>
    <t>Heavy Gas Oil</t>
    <phoneticPr fontId="14" type="noConversion"/>
  </si>
  <si>
    <t>LGO/HGO To Crude</t>
    <phoneticPr fontId="14" type="noConversion"/>
  </si>
  <si>
    <t xml:space="preserve">Vacuum Condensate </t>
    <phoneticPr fontId="14" type="noConversion"/>
  </si>
  <si>
    <t>Pump Watwe To Crude</t>
    <phoneticPr fontId="14" type="noConversion"/>
  </si>
  <si>
    <t>Tempered Water Circ.</t>
    <phoneticPr fontId="14" type="noConversion"/>
  </si>
  <si>
    <t>Tempered Water Circ.</t>
    <phoneticPr fontId="14" type="noConversion"/>
  </si>
  <si>
    <t>Process Water To Crude</t>
    <phoneticPr fontId="14" type="noConversion"/>
  </si>
  <si>
    <t>5% Cause INJ.</t>
    <phoneticPr fontId="14" type="noConversion"/>
  </si>
  <si>
    <t>DHT Charge</t>
    <phoneticPr fontId="14" type="noConversion"/>
  </si>
  <si>
    <t>Stabalizer Charge</t>
    <phoneticPr fontId="14" type="noConversion"/>
  </si>
  <si>
    <t>Lube Oil Pump</t>
    <phoneticPr fontId="14" type="noConversion"/>
  </si>
  <si>
    <t>Wash Water</t>
    <phoneticPr fontId="14" type="noConversion"/>
  </si>
  <si>
    <t>Brine</t>
    <phoneticPr fontId="14" type="noConversion"/>
  </si>
  <si>
    <t>Stabalizer OVHD Reflux</t>
    <phoneticPr fontId="14" type="noConversion"/>
  </si>
  <si>
    <t>Stabilizer Overhead Pump Modification</t>
    <phoneticPr fontId="14" type="noConversion"/>
  </si>
  <si>
    <t>Splitter OVHD Reflux</t>
    <phoneticPr fontId="14" type="noConversion"/>
  </si>
  <si>
    <t>Splitter Reboiler Circulation</t>
    <phoneticPr fontId="14" type="noConversion"/>
  </si>
  <si>
    <t>Splitter Reboiler Circulation</t>
    <phoneticPr fontId="14" type="noConversion"/>
  </si>
  <si>
    <t>Splitter OVHD Product</t>
    <phoneticPr fontId="14" type="noConversion"/>
  </si>
  <si>
    <t>Splitter OVHD Product</t>
    <phoneticPr fontId="14" type="noConversion"/>
  </si>
  <si>
    <t>ARB/Naphtha Prod.</t>
    <phoneticPr fontId="14" type="noConversion"/>
  </si>
  <si>
    <t>Kerosine Product</t>
    <phoneticPr fontId="14" type="noConversion"/>
  </si>
  <si>
    <t>Rich Amine Pump</t>
    <phoneticPr fontId="14" type="noConversion"/>
  </si>
  <si>
    <t>Crude Tower Overhead Condenser</t>
    <phoneticPr fontId="14" type="noConversion"/>
  </si>
  <si>
    <t>Top Pump Around Cooler</t>
    <phoneticPr fontId="14" type="noConversion"/>
  </si>
  <si>
    <t>Dry LGO Air Cooler</t>
    <phoneticPr fontId="14" type="noConversion"/>
  </si>
  <si>
    <t>Dry Heavy Gas Oil Air Cooler</t>
    <phoneticPr fontId="14" type="noConversion"/>
  </si>
  <si>
    <t>Residue Tempered Water Cooler</t>
    <phoneticPr fontId="14" type="noConversion"/>
  </si>
  <si>
    <t>Reactor Effluent Cooler</t>
    <phoneticPr fontId="14" type="noConversion"/>
  </si>
  <si>
    <t>Stabilizer Overhead Condenser</t>
    <phoneticPr fontId="14" type="noConversion"/>
  </si>
  <si>
    <t>Splitter Overhead Condenser</t>
    <phoneticPr fontId="14" type="noConversion"/>
  </si>
  <si>
    <t>Gasoline Cooler</t>
    <phoneticPr fontId="14" type="noConversion"/>
  </si>
  <si>
    <t>Benzine Cooler</t>
    <phoneticPr fontId="14" type="noConversion"/>
  </si>
  <si>
    <t>Kerosene Cooler</t>
    <phoneticPr fontId="14" type="noConversion"/>
  </si>
  <si>
    <t>JZ1601</t>
    <phoneticPr fontId="14" type="noConversion"/>
  </si>
  <si>
    <t>JZ1602</t>
    <phoneticPr fontId="14" type="noConversion"/>
  </si>
  <si>
    <t>JZ3702</t>
    <phoneticPr fontId="14" type="noConversion"/>
  </si>
  <si>
    <t>Crude Charge Pump</t>
    <phoneticPr fontId="14" type="noConversion"/>
  </si>
  <si>
    <t>Middle Pump Around Cooler</t>
    <phoneticPr fontId="14" type="noConversion"/>
  </si>
  <si>
    <t>suction cz2152</t>
  </si>
  <si>
    <t>temp water temp</t>
  </si>
  <si>
    <t>mpa</t>
  </si>
  <si>
    <t>double valve</t>
  </si>
  <si>
    <t>hot hic's</t>
  </si>
  <si>
    <t>vac water ex Dz2105</t>
  </si>
  <si>
    <t>vacuum hgo/lgo</t>
  </si>
  <si>
    <t>lgo strip</t>
  </si>
  <si>
    <t>offgas flow D2310</t>
  </si>
  <si>
    <t>offgas flow Dz2852</t>
  </si>
  <si>
    <t>fg splitt o/h</t>
  </si>
  <si>
    <t>05-21-0005</t>
  </si>
  <si>
    <t>05-21-0003</t>
  </si>
  <si>
    <t>05-21-0006</t>
  </si>
  <si>
    <t>05-21-0002</t>
  </si>
  <si>
    <t>05-21-0008</t>
  </si>
  <si>
    <t>05-11-0002</t>
  </si>
  <si>
    <t>FCV1024</t>
    <phoneticPr fontId="16" type="noConversion"/>
  </si>
  <si>
    <t>05-10-0008</t>
  </si>
  <si>
    <t>05-22-0003</t>
  </si>
  <si>
    <t>05-11-0013</t>
  </si>
  <si>
    <t>TVZ10168</t>
    <phoneticPr fontId="16" type="noConversion"/>
  </si>
  <si>
    <t>Fi-2315</t>
  </si>
  <si>
    <t>PID 0505-05-23-0012</t>
  </si>
  <si>
    <t>Fail Close</t>
  </si>
  <si>
    <t>PID 0505-05-18-0001</t>
  </si>
  <si>
    <t>01-22-0003</t>
  </si>
  <si>
    <t>HRU_FEED</t>
    <phoneticPr fontId="14" type="noConversion"/>
  </si>
  <si>
    <t xml:space="preserve"> Not in scope</t>
  </si>
  <si>
    <t>05-18-0001</t>
  </si>
  <si>
    <t>05-21-0010</t>
  </si>
  <si>
    <t>2*3</t>
  </si>
  <si>
    <t>superheated lp steam</t>
  </si>
  <si>
    <t>0505-05-21-0010</t>
  </si>
  <si>
    <t>RVZ2002B</t>
    <phoneticPr fontId="14" type="noConversion"/>
  </si>
  <si>
    <t>RVZ2007S</t>
    <phoneticPr fontId="14" type="noConversion"/>
  </si>
  <si>
    <t>RVZ2104S</t>
    <phoneticPr fontId="14" type="noConversion"/>
  </si>
  <si>
    <t>FIC_2339</t>
  </si>
  <si>
    <t>FIC_4001</t>
  </si>
  <si>
    <t>FICZ10100</t>
  </si>
  <si>
    <t>FICZ1084</t>
    <phoneticPr fontId="14" type="noConversion"/>
  </si>
  <si>
    <t>LICAZ5008</t>
    <phoneticPr fontId="14" type="noConversion"/>
  </si>
  <si>
    <t>PCCZ10110</t>
    <phoneticPr fontId="14" type="noConversion"/>
  </si>
  <si>
    <t>PCCZ10122</t>
    <phoneticPr fontId="14" type="noConversion"/>
  </si>
  <si>
    <t>PCCZ10123</t>
    <phoneticPr fontId="14" type="noConversion"/>
  </si>
  <si>
    <t>PCCZ2031</t>
  </si>
  <si>
    <t>PCCZ2079</t>
  </si>
  <si>
    <t>PCCZ2084</t>
  </si>
  <si>
    <t>PCCZ3027</t>
    <phoneticPr fontId="14" type="noConversion"/>
  </si>
  <si>
    <t>PCCZ3065</t>
    <phoneticPr fontId="14" type="noConversion"/>
  </si>
  <si>
    <t>PCCZ3068</t>
    <phoneticPr fontId="14" type="noConversion"/>
  </si>
  <si>
    <t>PIC_2305</t>
  </si>
  <si>
    <t>PIC_2666</t>
  </si>
  <si>
    <t>PIC_2691</t>
  </si>
  <si>
    <t>PIC_2691B</t>
  </si>
  <si>
    <t>PIC_2691C</t>
  </si>
  <si>
    <t>PIC_4001</t>
  </si>
  <si>
    <t>PICZ2056</t>
  </si>
  <si>
    <t>PICZ3014</t>
  </si>
  <si>
    <t>PICZ5004</t>
    <phoneticPr fontId="14" type="noConversion"/>
  </si>
  <si>
    <t>TICZ2076</t>
  </si>
  <si>
    <t>FUEL GAS HEADER SG</t>
    <phoneticPr fontId="14" type="noConversion"/>
  </si>
  <si>
    <t>CRUDE OVERHEADS PH</t>
    <phoneticPr fontId="14" type="noConversion"/>
  </si>
  <si>
    <t>STRIPPED WATER FROM FCCU</t>
    <phoneticPr fontId="14" type="noConversion"/>
  </si>
  <si>
    <t>TEMPERED WATER RECIRCULATION</t>
    <phoneticPr fontId="14" type="noConversion"/>
  </si>
  <si>
    <t>RESIDUE RUNDOWN</t>
    <phoneticPr fontId="14" type="noConversion"/>
  </si>
  <si>
    <t>CDU TOWER TOP PUMP AROUND</t>
    <phoneticPr fontId="14" type="noConversion"/>
  </si>
  <si>
    <t>DHT REACTOR FEED</t>
    <phoneticPr fontId="14" type="noConversion"/>
  </si>
  <si>
    <t>CDU HEATER HZ2101 PASS 1</t>
    <phoneticPr fontId="14" type="noConversion"/>
  </si>
  <si>
    <t>CDU HEATER HZ2101 PASS 2</t>
    <phoneticPr fontId="14" type="noConversion"/>
  </si>
  <si>
    <t>CDU HEATER HZ2101 PASS 3</t>
    <phoneticPr fontId="14" type="noConversion"/>
  </si>
  <si>
    <t>CDU HEATER HZ2101 PASS 4</t>
    <phoneticPr fontId="14" type="noConversion"/>
  </si>
  <si>
    <t>CDU HEATER HZ2101 PASS 5</t>
    <phoneticPr fontId="14" type="noConversion"/>
  </si>
  <si>
    <t>CDU HEATER HZ2101 PASS 6</t>
    <phoneticPr fontId="14" type="noConversion"/>
  </si>
  <si>
    <t>CDU HEATER HZ2101 PASS 7</t>
    <phoneticPr fontId="14" type="noConversion"/>
  </si>
  <si>
    <t>CDU HEATER HZ2101 PASS 8</t>
    <phoneticPr fontId="14" type="noConversion"/>
  </si>
  <si>
    <t>STRIPPED WATER FROM 1700</t>
    <phoneticPr fontId="14" type="noConversion"/>
  </si>
  <si>
    <t>STRIP STM - TZ2101 CRUDE TWR</t>
    <phoneticPr fontId="14" type="noConversion"/>
  </si>
  <si>
    <t>STEAM TO BOTTOM RINGHEADER</t>
    <phoneticPr fontId="14" type="noConversion"/>
  </si>
  <si>
    <t>STRIP STEAM TO T2103 HGO STRP</t>
    <phoneticPr fontId="14" type="noConversion"/>
  </si>
  <si>
    <t>CDU4 CRUDE O/H OFFGAS TO HZ2201</t>
    <phoneticPr fontId="14" type="noConversion"/>
  </si>
  <si>
    <t>OFF GAS FLOW CDU4 TO HRU</t>
    <phoneticPr fontId="14" type="noConversion"/>
  </si>
  <si>
    <t>SPLITTER HEATER FUEL GAS</t>
    <phoneticPr fontId="14" type="noConversion"/>
  </si>
  <si>
    <t>CDU HEATER HZ2101 FUEL GAS</t>
    <phoneticPr fontId="14" type="noConversion"/>
  </si>
  <si>
    <t>AMINE GAS ABSORBER</t>
    <phoneticPr fontId="14" type="noConversion"/>
  </si>
  <si>
    <t>CDU OVHD WTR BOOT DZ2103</t>
    <phoneticPr fontId="14" type="noConversion"/>
  </si>
  <si>
    <t>WATERINJECTIE DRUM DZ2104</t>
    <phoneticPr fontId="14" type="noConversion"/>
  </si>
  <si>
    <t>CDU OVERHEAD DRUM</t>
    <phoneticPr fontId="14" type="noConversion"/>
  </si>
  <si>
    <t>CDU TOWER BOTTOM</t>
    <phoneticPr fontId="14" type="noConversion"/>
  </si>
  <si>
    <t>HGO DRIER TZ2105</t>
    <phoneticPr fontId="14" type="noConversion"/>
  </si>
  <si>
    <t>HGO STRIPPER TZ2103</t>
    <phoneticPr fontId="14" type="noConversion"/>
  </si>
  <si>
    <t>DHT HP SEPARATOR</t>
    <phoneticPr fontId="14" type="noConversion"/>
  </si>
  <si>
    <t>K.O. DRUM DZ3004</t>
    <phoneticPr fontId="14" type="noConversion"/>
  </si>
  <si>
    <t>HZ2101 INLET PRESSURE</t>
    <phoneticPr fontId="14" type="noConversion"/>
  </si>
  <si>
    <t>CDU TOWER TOP</t>
    <phoneticPr fontId="14" type="noConversion"/>
  </si>
  <si>
    <t>CDU TOWER OVERH. DRUM</t>
    <phoneticPr fontId="14" type="noConversion"/>
  </si>
  <si>
    <t>FUEL GAS MIXING DRUM</t>
    <phoneticPr fontId="14" type="noConversion"/>
  </si>
  <si>
    <t>LGO DRIER</t>
    <phoneticPr fontId="14" type="noConversion"/>
  </si>
  <si>
    <t>DHT LP SEPARATOR</t>
    <phoneticPr fontId="14" type="noConversion"/>
  </si>
  <si>
    <t>DFU SPLITTER TOP</t>
    <phoneticPr fontId="14" type="noConversion"/>
  </si>
  <si>
    <t>CDU M.P.A. EZ2114 LOUVRES</t>
    <phoneticPr fontId="14" type="noConversion"/>
  </si>
  <si>
    <t>DFU SPLITTER REBOIL.OUTLET</t>
    <phoneticPr fontId="14" type="noConversion"/>
  </si>
  <si>
    <t>HZ2101 COMBINED OUTLET</t>
    <phoneticPr fontId="14" type="noConversion"/>
  </si>
  <si>
    <t>HGO RUNDOWN</t>
    <phoneticPr fontId="14" type="noConversion"/>
  </si>
  <si>
    <t>QUENCH TO BOTTOM RINGHEADER</t>
    <phoneticPr fontId="14" type="noConversion"/>
  </si>
  <si>
    <t>DHT REACTOR INLET</t>
    <phoneticPr fontId="14" type="noConversion"/>
  </si>
  <si>
    <t>DFU STABILISER BOTTOM</t>
    <phoneticPr fontId="14" type="noConversion"/>
  </si>
  <si>
    <t>DFU STABILISER OVERHEAD DRUM</t>
    <phoneticPr fontId="14" type="noConversion"/>
  </si>
  <si>
    <t>DFU SPLITTER FEED</t>
    <phoneticPr fontId="14" type="noConversion"/>
  </si>
  <si>
    <t>DFU SPLITTER BOTTOM</t>
    <phoneticPr fontId="14" type="noConversion"/>
  </si>
  <si>
    <t>LEAN AMINE TO TZ2851</t>
    <phoneticPr fontId="14" type="noConversion"/>
  </si>
  <si>
    <t>STABILISER FEED</t>
    <phoneticPr fontId="14" type="noConversion"/>
  </si>
  <si>
    <t>CDU HEATER O2 FLUE GAS</t>
    <phoneticPr fontId="14" type="noConversion"/>
  </si>
  <si>
    <t>WATER TO B DESALTER</t>
    <phoneticPr fontId="14" type="noConversion"/>
  </si>
  <si>
    <t>WATER TO C DESALTER</t>
    <phoneticPr fontId="14" type="noConversion"/>
  </si>
  <si>
    <t>WATER TO A DESALTER</t>
    <phoneticPr fontId="14" type="noConversion"/>
  </si>
  <si>
    <t>WATER TO CRUDE EZ2101</t>
    <phoneticPr fontId="14" type="noConversion"/>
  </si>
  <si>
    <t>SPLITTER HEATER PASS 1</t>
    <phoneticPr fontId="14" type="noConversion"/>
  </si>
  <si>
    <t>SPLITTER HEATER PASS 2</t>
    <phoneticPr fontId="14" type="noConversion"/>
  </si>
  <si>
    <t>SPLITTER HEATER PASS 3</t>
    <phoneticPr fontId="14" type="noConversion"/>
  </si>
  <si>
    <t>SPLITTER HEATER PASS 4</t>
    <phoneticPr fontId="14" type="noConversion"/>
  </si>
  <si>
    <t>SPLITTER HEATER PASS 5</t>
    <phoneticPr fontId="14" type="noConversion"/>
  </si>
  <si>
    <t>SPLITTER HEATER PASS 6</t>
    <phoneticPr fontId="14" type="noConversion"/>
  </si>
  <si>
    <t>SPLITTER HEATER PASS 7</t>
    <phoneticPr fontId="14" type="noConversion"/>
  </si>
  <si>
    <t>SPLITTER HEATER PASS 8</t>
    <phoneticPr fontId="14" type="noConversion"/>
  </si>
  <si>
    <t>TOTAL AIR TO HZ2101</t>
    <phoneticPr fontId="14" type="noConversion"/>
  </si>
  <si>
    <t>HCCS EX. FCCU TO PZ2151 A/S</t>
    <phoneticPr fontId="14" type="noConversion"/>
  </si>
  <si>
    <t>WASHWATER TO EZ2151/2</t>
    <phoneticPr fontId="14" type="noConversion"/>
  </si>
  <si>
    <t>NS CRUDE BLENDER TK106</t>
    <phoneticPr fontId="14" type="noConversion"/>
  </si>
  <si>
    <t>NS CRUDE BLENDER TK105</t>
    <phoneticPr fontId="14" type="noConversion"/>
  </si>
  <si>
    <t>NS CRUDE BLENDER TK04 TO CDU4</t>
    <phoneticPr fontId="14" type="noConversion"/>
  </si>
  <si>
    <t>STABILISER REFLUX</t>
    <phoneticPr fontId="14" type="noConversion"/>
  </si>
  <si>
    <t>LPG R/D TO 600 UNIT</t>
    <phoneticPr fontId="14" type="noConversion"/>
  </si>
  <si>
    <t>DFU SPLITTER REFLUX</t>
    <phoneticPr fontId="14" type="noConversion"/>
  </si>
  <si>
    <t>SRB STRIPPER FEED</t>
    <phoneticPr fontId="14" type="noConversion"/>
  </si>
  <si>
    <t>SRB STRIPPER R/D</t>
    <phoneticPr fontId="14" type="noConversion"/>
  </si>
  <si>
    <t>SRG R/D</t>
    <phoneticPr fontId="14" type="noConversion"/>
  </si>
  <si>
    <t>KERO R/D</t>
    <phoneticPr fontId="14" type="noConversion"/>
  </si>
  <si>
    <t>RECYCLE GAS</t>
    <phoneticPr fontId="14" type="noConversion"/>
  </si>
  <si>
    <t>HGO/LGO COND DRUM DZ2105 VAC WAT</t>
    <phoneticPr fontId="14" type="noConversion"/>
  </si>
  <si>
    <t>HGO/LGO COND DRUM DZ2105 VAC OIL</t>
    <phoneticPr fontId="14" type="noConversion"/>
  </si>
  <si>
    <t>INTERFACE LEVEL DZ2101C</t>
    <phoneticPr fontId="14" type="noConversion"/>
  </si>
  <si>
    <t>DHT COMPR SUCT DRUM DZ2153</t>
    <phoneticPr fontId="14" type="noConversion"/>
  </si>
  <si>
    <t>DHT HP WATER BOOT</t>
    <phoneticPr fontId="14" type="noConversion"/>
  </si>
  <si>
    <t>DFU STRIPPER BOTTOM</t>
    <phoneticPr fontId="14" type="noConversion"/>
  </si>
  <si>
    <t>DFU SPLITTER OVERHEAD DRUM</t>
    <phoneticPr fontId="14" type="noConversion"/>
  </si>
  <si>
    <t>DZ2851 K.O. POT</t>
    <phoneticPr fontId="14" type="noConversion"/>
  </si>
  <si>
    <t>A DESALTER INTERFACE</t>
    <phoneticPr fontId="14" type="noConversion"/>
  </si>
  <si>
    <t>B DESALTER INTERFACE</t>
    <phoneticPr fontId="14" type="noConversion"/>
  </si>
  <si>
    <t>LGO STRIPR. TZ2102(LVZ1019)</t>
    <phoneticPr fontId="14" type="noConversion"/>
  </si>
  <si>
    <t>VACUUM COND KO POT A</t>
    <phoneticPr fontId="14" type="noConversion"/>
  </si>
  <si>
    <t>VACUUM COND KO POT B</t>
    <phoneticPr fontId="14" type="noConversion"/>
  </si>
  <si>
    <t>WASTE HEAT BOILER EZ2128</t>
    <phoneticPr fontId="14" type="noConversion"/>
  </si>
  <si>
    <t>TAILGAS KO</t>
    <phoneticPr fontId="14" type="noConversion"/>
  </si>
  <si>
    <t>DESALTER</t>
    <phoneticPr fontId="14" type="noConversion"/>
  </si>
  <si>
    <t>DESALTER EFFLUENCE BACK PRESSURE</t>
    <phoneticPr fontId="14" type="noConversion"/>
  </si>
  <si>
    <t>CDU HEATER RADIANT TOP</t>
    <phoneticPr fontId="14" type="noConversion"/>
  </si>
  <si>
    <t>DHT HEATER FUELGAS</t>
    <phoneticPr fontId="14" type="noConversion"/>
  </si>
  <si>
    <t>DRAUGHT RADIANT HZ2151</t>
    <phoneticPr fontId="14" type="noConversion"/>
  </si>
  <si>
    <t>DFU STABILISER TOWER</t>
    <phoneticPr fontId="14" type="noConversion"/>
  </si>
  <si>
    <t>DRAUGHT RADIANT HZ2201</t>
    <phoneticPr fontId="14" type="noConversion"/>
  </si>
  <si>
    <t>DHT REACTOR OUTLET</t>
    <phoneticPr fontId="14" type="noConversion"/>
  </si>
  <si>
    <t>TEMP.WATER EZ2120</t>
    <phoneticPr fontId="14" type="noConversion"/>
  </si>
  <si>
    <t>TPA COOLER PITCH EZ2113</t>
    <phoneticPr fontId="14" type="noConversion"/>
  </si>
  <si>
    <t>SUPER HEATED STM. HZ2101</t>
    <phoneticPr fontId="14" type="noConversion"/>
  </si>
  <si>
    <t>LGO TO DRIER</t>
    <phoneticPr fontId="14" type="noConversion"/>
  </si>
  <si>
    <t>DFU STABILISER FEED</t>
    <phoneticPr fontId="14" type="noConversion"/>
  </si>
  <si>
    <t>DFU STABILISER TRAY3 (REBOIL)</t>
    <phoneticPr fontId="14" type="noConversion"/>
  </si>
  <si>
    <t>OUTLET GASOLINE</t>
    <phoneticPr fontId="14" type="noConversion"/>
  </si>
  <si>
    <t>DFU STABILISER TOP</t>
    <phoneticPr fontId="14" type="noConversion"/>
  </si>
  <si>
    <t>SRB NAPHTA TO FW UNIT 500</t>
    <phoneticPr fontId="14" type="noConversion"/>
  </si>
  <si>
    <t>HOT LGO TO BLENDER</t>
    <phoneticPr fontId="14" type="noConversion"/>
  </si>
  <si>
    <t>%</t>
    <phoneticPr fontId="14" type="noConversion"/>
  </si>
  <si>
    <t>DEGC</t>
    <phoneticPr fontId="14" type="noConversion"/>
  </si>
  <si>
    <t>PCT</t>
    <phoneticPr fontId="14" type="noConversion"/>
  </si>
  <si>
    <t>BAR</t>
    <phoneticPr fontId="14" type="noConversion"/>
  </si>
  <si>
    <t>M3/H</t>
    <phoneticPr fontId="14" type="noConversion"/>
  </si>
  <si>
    <t>T/H</t>
    <phoneticPr fontId="14" type="noConversion"/>
  </si>
  <si>
    <t>NM3/H</t>
    <phoneticPr fontId="14" type="noConversion"/>
  </si>
  <si>
    <t>KNM3/H</t>
    <phoneticPr fontId="14" type="noConversion"/>
  </si>
  <si>
    <t>NM3/HR</t>
    <phoneticPr fontId="14" type="noConversion"/>
  </si>
  <si>
    <t>BARG</t>
    <phoneticPr fontId="14" type="noConversion"/>
  </si>
  <si>
    <t>MBAR</t>
    <phoneticPr fontId="14" type="noConversion"/>
  </si>
  <si>
    <t>MMWG</t>
    <phoneticPr fontId="14" type="noConversion"/>
  </si>
  <si>
    <t>LGO DRIER TZ2104 (FICZ1085)</t>
    <phoneticPr fontId="14" type="noConversion"/>
  </si>
  <si>
    <t>HGO TO DRIER</t>
    <phoneticPr fontId="14" type="noConversion"/>
  </si>
  <si>
    <t>CDU B.P.A. EZ2110 BYPASS</t>
    <phoneticPr fontId="14" type="noConversion"/>
  </si>
  <si>
    <t>DFU STABILISER OVHD</t>
    <phoneticPr fontId="14" type="noConversion"/>
  </si>
  <si>
    <t>RECYCLED RESIDUE</t>
    <phoneticPr fontId="14" type="noConversion"/>
  </si>
  <si>
    <t>CRUDE OVH PRODUCT</t>
    <phoneticPr fontId="14" type="noConversion"/>
  </si>
  <si>
    <t>CDU HEATER O2 FLUE GAS A</t>
    <phoneticPr fontId="14" type="noConversion"/>
  </si>
  <si>
    <t>CDU HEATER O2 FLUE GAS B</t>
    <phoneticPr fontId="14" type="noConversion"/>
  </si>
  <si>
    <t>CO IN FLUE GAS</t>
    <phoneticPr fontId="14" type="noConversion"/>
  </si>
  <si>
    <t>COLOUR ANALYSER</t>
    <phoneticPr fontId="14" type="noConversion"/>
  </si>
  <si>
    <t>LGO BP95%</t>
    <phoneticPr fontId="14" type="noConversion"/>
  </si>
  <si>
    <t>O2 FLUE GAS BURNERCELL 3</t>
    <phoneticPr fontId="14" type="noConversion"/>
  </si>
  <si>
    <t>COMBUSTIBLE FLUE GAS CELL 3</t>
    <phoneticPr fontId="14" type="noConversion"/>
  </si>
  <si>
    <t>O2 FLUE GAS BURNERCELL 5</t>
    <phoneticPr fontId="14" type="noConversion"/>
  </si>
  <si>
    <t>COMBUSTIBLE FLUE GAS CELL 5</t>
    <phoneticPr fontId="14" type="noConversion"/>
  </si>
  <si>
    <t>O2 FLUE GAS BURNERCELL 6</t>
    <phoneticPr fontId="14" type="noConversion"/>
  </si>
  <si>
    <t>COMBUSTIBLE FLUE GAS CELL 6</t>
    <phoneticPr fontId="14" type="noConversion"/>
  </si>
  <si>
    <t>O2 FLUE GAS BURNERCELL 7</t>
    <phoneticPr fontId="14" type="noConversion"/>
  </si>
  <si>
    <t>COMBUSTIBLE FLUE GAS CELL 7</t>
    <phoneticPr fontId="14" type="noConversion"/>
  </si>
  <si>
    <t>O2 FLUE GAS BURNERCELL 9</t>
    <phoneticPr fontId="14" type="noConversion"/>
  </si>
  <si>
    <t>COMBUSTIBLE FLUE GAS CELL 9</t>
    <phoneticPr fontId="14" type="noConversion"/>
  </si>
  <si>
    <t>O2 FLUE GAS DUCT HZ2101</t>
    <phoneticPr fontId="14" type="noConversion"/>
  </si>
  <si>
    <t>NOX FLUE GAS DUCT HZ2101</t>
    <phoneticPr fontId="14" type="noConversion"/>
  </si>
  <si>
    <t>H2S IN OFFGAS DZ2852</t>
    <phoneticPr fontId="14" type="noConversion"/>
  </si>
  <si>
    <t>DHT HEATER O2 FLUE GAS</t>
    <phoneticPr fontId="14" type="noConversion"/>
  </si>
  <si>
    <t>90% DESTILLATION POINT SRG</t>
    <phoneticPr fontId="14" type="noConversion"/>
  </si>
  <si>
    <t>RVP SRG</t>
    <phoneticPr fontId="14" type="noConversion"/>
  </si>
  <si>
    <t>TOTAL C4 SRG</t>
    <phoneticPr fontId="14" type="noConversion"/>
  </si>
  <si>
    <t>90% DESTIL. POINT SRB/N</t>
    <phoneticPr fontId="14" type="noConversion"/>
  </si>
  <si>
    <t>5% DESTIL. POINT SRB/N</t>
    <phoneticPr fontId="14" type="noConversion"/>
  </si>
  <si>
    <t>FLASHPOINT KERO</t>
    <phoneticPr fontId="14" type="noConversion"/>
  </si>
  <si>
    <t>90% DESTIL. POINT KERO</t>
    <phoneticPr fontId="14" type="noConversion"/>
  </si>
  <si>
    <t>DENSITY KERO</t>
    <phoneticPr fontId="14" type="noConversion"/>
  </si>
  <si>
    <t>FREEZING POINT KERO</t>
    <phoneticPr fontId="14" type="noConversion"/>
  </si>
  <si>
    <t>SPLITTER HEATER O2 FLUE GAS</t>
    <phoneticPr fontId="14" type="noConversion"/>
  </si>
  <si>
    <t>TOTAL PENTAAN OVHDDZ2201</t>
    <phoneticPr fontId="14" type="noConversion"/>
  </si>
  <si>
    <t>H2S IN FUELGAS CDU-4</t>
    <phoneticPr fontId="14" type="noConversion"/>
  </si>
  <si>
    <t>STRIPPED WATER FROM FCCU</t>
    <phoneticPr fontId="14" type="noConversion"/>
  </si>
  <si>
    <t>TEMPERED WATER RECIRCULATION</t>
    <phoneticPr fontId="14" type="noConversion"/>
  </si>
  <si>
    <t>RESIDUE RUNDOWN</t>
    <phoneticPr fontId="14" type="noConversion"/>
  </si>
  <si>
    <t>CDU TOWER TOP PUMP AROUND</t>
    <phoneticPr fontId="14" type="noConversion"/>
  </si>
  <si>
    <t>CDU TOWER MIDDLE PUMP AROUND</t>
    <phoneticPr fontId="14" type="noConversion"/>
  </si>
  <si>
    <t>CDU TOWER BOTTOM PUMP AROUND</t>
    <phoneticPr fontId="14" type="noConversion"/>
  </si>
  <si>
    <t>RECYCLD RESIDUE</t>
    <phoneticPr fontId="14" type="noConversion"/>
  </si>
  <si>
    <t>DHT REACTOR FEED</t>
    <phoneticPr fontId="14" type="noConversion"/>
  </si>
  <si>
    <t>TZ2202 LIQ. LOAD TRAY 10-20</t>
    <phoneticPr fontId="14" type="noConversion"/>
  </si>
  <si>
    <t>CRUDE FEED</t>
    <phoneticPr fontId="14" type="noConversion"/>
  </si>
  <si>
    <t>CDU OVHD PRODUCT / DHT BYPASS</t>
    <phoneticPr fontId="14" type="noConversion"/>
  </si>
  <si>
    <t>WILD NAPHTA INJ. PZ2151 A/S</t>
    <phoneticPr fontId="14" type="noConversion"/>
  </si>
  <si>
    <t>CRUDE TO A DESALTER</t>
    <phoneticPr fontId="14" type="noConversion"/>
  </si>
  <si>
    <t>TOTAL CRUDE FEED</t>
    <phoneticPr fontId="14" type="noConversion"/>
  </si>
  <si>
    <t>CRUDE TO B DESALTER</t>
    <phoneticPr fontId="14" type="noConversion"/>
  </si>
  <si>
    <t>CRUDE FEED A TRAIN</t>
    <phoneticPr fontId="14" type="noConversion"/>
  </si>
  <si>
    <t>CRUDE FEED B TRAIN</t>
    <phoneticPr fontId="14" type="noConversion"/>
  </si>
  <si>
    <t>CDU HEATER HZ2101 PASS 1</t>
    <phoneticPr fontId="14" type="noConversion"/>
  </si>
  <si>
    <t>CDU HEATER HZ2101 PASS 2</t>
    <phoneticPr fontId="14" type="noConversion"/>
  </si>
  <si>
    <t>CDU HEATER HZ2101 PASS 3</t>
    <phoneticPr fontId="14" type="noConversion"/>
  </si>
  <si>
    <t>CDU HEATER HZ2101 PASS 4</t>
    <phoneticPr fontId="14" type="noConversion"/>
  </si>
  <si>
    <t>CDU HEATER HZ2101 PASS 5</t>
    <phoneticPr fontId="14" type="noConversion"/>
  </si>
  <si>
    <t>CDU HEATER HZ2101 PASS 6</t>
    <phoneticPr fontId="14" type="noConversion"/>
  </si>
  <si>
    <t>CDU HEATER HZ2101 PASS 7</t>
    <phoneticPr fontId="14" type="noConversion"/>
  </si>
  <si>
    <t>CDU HEATER HZ2101 PASS 8</t>
    <phoneticPr fontId="14" type="noConversion"/>
  </si>
  <si>
    <t>STRIPPED WATER FROM 1700</t>
    <phoneticPr fontId="14" type="noConversion"/>
  </si>
  <si>
    <t>BUT.INJ. P2151A/S TO CDU4(CALC)</t>
    <phoneticPr fontId="14" type="noConversion"/>
  </si>
  <si>
    <t>VISBR.GAS. INJ. (CALC)</t>
    <phoneticPr fontId="14" type="noConversion"/>
  </si>
  <si>
    <t>OVHD PROD -REACTORFEED (CALC)</t>
    <phoneticPr fontId="14" type="noConversion"/>
  </si>
  <si>
    <t>RICH AMINE FROM TZ2851</t>
    <phoneticPr fontId="14" type="noConversion"/>
  </si>
  <si>
    <t>STAB. INTERNAL REFLUX</t>
    <phoneticPr fontId="14" type="noConversion"/>
  </si>
  <si>
    <t>TOTAL RESIDUE FLOW STAB-REBOILER</t>
    <phoneticPr fontId="14" type="noConversion"/>
  </si>
  <si>
    <t>STRIPPING STEAM LOW TRIP</t>
    <phoneticPr fontId="14" type="noConversion"/>
  </si>
  <si>
    <t>STRIP STM - TZ2101 CRUDE TWR</t>
    <phoneticPr fontId="14" type="noConversion"/>
  </si>
  <si>
    <t>STEAM TO BOTTOM RINGHEADER</t>
    <phoneticPr fontId="14" type="noConversion"/>
  </si>
  <si>
    <t>STEAM EX WASTE HEAT BOILER</t>
    <phoneticPr fontId="14" type="noConversion"/>
  </si>
  <si>
    <t>WASHWATER TO DESALTERS</t>
    <phoneticPr fontId="14" type="noConversion"/>
  </si>
  <si>
    <t>COLD AIR INLET EZ2125A</t>
    <phoneticPr fontId="14" type="noConversion"/>
  </si>
  <si>
    <t>COLD AIR INLET EZ2125B</t>
    <phoneticPr fontId="14" type="noConversion"/>
  </si>
  <si>
    <t>STRIP STEAM TO T2102 LGO STRP</t>
    <phoneticPr fontId="14" type="noConversion"/>
  </si>
  <si>
    <t>STRIP STEAM TO T2103 HGO STRP</t>
    <phoneticPr fontId="14" type="noConversion"/>
  </si>
  <si>
    <t>GAS TO FLARE</t>
    <phoneticPr fontId="14" type="noConversion"/>
  </si>
  <si>
    <t>DHT RECYCLE GAS (RAW)</t>
    <phoneticPr fontId="14" type="noConversion"/>
  </si>
  <si>
    <t>CDU4 CRUDE O/H OFFGAS TO HZ2201</t>
    <phoneticPr fontId="14" type="noConversion"/>
  </si>
  <si>
    <t>OFF GAS FLOW CDU4 TO HRU</t>
    <phoneticPr fontId="14" type="noConversion"/>
  </si>
  <si>
    <t>MAKE-UP GAS EX 500</t>
    <phoneticPr fontId="14" type="noConversion"/>
  </si>
  <si>
    <t>DHT HEATER FUEL GAS</t>
    <phoneticPr fontId="14" type="noConversion"/>
  </si>
  <si>
    <t>DFU STAB. O/H DRUM OFFGAS</t>
    <phoneticPr fontId="14" type="noConversion"/>
  </si>
  <si>
    <t>STABILISER OVHD OFFGAS</t>
    <phoneticPr fontId="14" type="noConversion"/>
  </si>
  <si>
    <t>SPLITTER HEATER FUEL GAS</t>
    <phoneticPr fontId="14" type="noConversion"/>
  </si>
  <si>
    <t>SRB R/D TO 500 UNIT</t>
    <phoneticPr fontId="14" type="noConversion"/>
  </si>
  <si>
    <t>FG SUPPLY</t>
    <phoneticPr fontId="14" type="noConversion"/>
  </si>
  <si>
    <t>CDU HEATER HZ2101 FUEL GAS</t>
    <phoneticPr fontId="14" type="noConversion"/>
  </si>
  <si>
    <t>DHT GAS TO AMINE</t>
    <phoneticPr fontId="14" type="noConversion"/>
  </si>
  <si>
    <t>OFF GAS FROM TZ2851</t>
    <phoneticPr fontId="14" type="noConversion"/>
  </si>
  <si>
    <t>TEMPERED WATER</t>
    <phoneticPr fontId="14" type="noConversion"/>
  </si>
  <si>
    <t>CAUSTIC DRUM DZ2113A</t>
    <phoneticPr fontId="14" type="noConversion"/>
  </si>
  <si>
    <t>CAUSTIC DRUM DZ2113B</t>
    <phoneticPr fontId="14" type="noConversion"/>
  </si>
  <si>
    <t>AMINE GAS ABSORBER</t>
    <phoneticPr fontId="14" type="noConversion"/>
  </si>
  <si>
    <t>CDU OVHD WTR BOOT DZ2103</t>
    <phoneticPr fontId="14" type="noConversion"/>
  </si>
  <si>
    <t>WATERINJECTIE DRUM DZ2104</t>
    <phoneticPr fontId="14" type="noConversion"/>
  </si>
  <si>
    <t>CDU OVERHEAD DRUM</t>
    <phoneticPr fontId="14" type="noConversion"/>
  </si>
  <si>
    <t>WAST HEAT BOILER EZ2128</t>
    <phoneticPr fontId="14" type="noConversion"/>
  </si>
  <si>
    <t>DHT HP WATER BOOT DZ2154</t>
    <phoneticPr fontId="14" type="noConversion"/>
  </si>
  <si>
    <t>DHT HP WATER BOOT (LT)</t>
    <phoneticPr fontId="14" type="noConversion"/>
  </si>
  <si>
    <t>CDU TOWER BOTTOM TZ2101</t>
    <phoneticPr fontId="14" type="noConversion"/>
  </si>
  <si>
    <t>CDU TOWER BOTTOM</t>
    <phoneticPr fontId="14" type="noConversion"/>
  </si>
  <si>
    <t>LGO DRIER TZ2104</t>
    <phoneticPr fontId="14" type="noConversion"/>
  </si>
  <si>
    <t>LGO STRIPPER TZ2102</t>
    <phoneticPr fontId="14" type="noConversion"/>
  </si>
  <si>
    <t>HGO DRIER TZ2105</t>
    <phoneticPr fontId="14" type="noConversion"/>
  </si>
  <si>
    <t>HGO STRIPPER TZ2103</t>
    <phoneticPr fontId="14" type="noConversion"/>
  </si>
  <si>
    <t>CDU OVHD DZ2102 HIGH</t>
    <phoneticPr fontId="14" type="noConversion"/>
  </si>
  <si>
    <t>DHT HP SEPARATOR</t>
    <phoneticPr fontId="14" type="noConversion"/>
  </si>
  <si>
    <t>LUBE OIL</t>
    <phoneticPr fontId="14" type="noConversion"/>
  </si>
  <si>
    <t>DFU STABLR OVERHEAD WATER</t>
    <phoneticPr fontId="14" type="noConversion"/>
  </si>
  <si>
    <t>STABILISER WATER BOOT (LT)</t>
    <phoneticPr fontId="14" type="noConversion"/>
  </si>
  <si>
    <t>K.O. DRUM DZ3004</t>
    <phoneticPr fontId="14" type="noConversion"/>
  </si>
  <si>
    <t>CDU4 HEATER HZ2101 NOX EMISSIE</t>
    <phoneticPr fontId="14" type="noConversion"/>
  </si>
  <si>
    <t>CDU4 HEATER HZ2201 NOX EMISSIE</t>
    <phoneticPr fontId="14" type="noConversion"/>
  </si>
  <si>
    <t>DELTA P MIXVALVE DESALTER B</t>
    <phoneticPr fontId="14" type="noConversion"/>
  </si>
  <si>
    <t>DELTA P MIXVALVE DESALTER A</t>
    <phoneticPr fontId="14" type="noConversion"/>
  </si>
  <si>
    <t>DELTA P TZ2851</t>
    <phoneticPr fontId="14" type="noConversion"/>
  </si>
  <si>
    <t>DIFF PRES REACTOR RZ2156</t>
    <phoneticPr fontId="14" type="noConversion"/>
  </si>
  <si>
    <t>DIFFPRESSURE CZ2152</t>
    <phoneticPr fontId="14" type="noConversion"/>
  </si>
  <si>
    <t>BACKFLOW PROTECT. DZ3004</t>
    <phoneticPr fontId="14" type="noConversion"/>
  </si>
  <si>
    <t>DFU STABL. D.P. UPPER SECTION</t>
    <phoneticPr fontId="14" type="noConversion"/>
  </si>
  <si>
    <t>DFU STABL. D.P. LOWER SECTION</t>
    <phoneticPr fontId="14" type="noConversion"/>
  </si>
  <si>
    <t>CDU4 CRUDE TOWER DP</t>
    <phoneticPr fontId="14" type="noConversion"/>
  </si>
  <si>
    <t>HZ2101 INLET PRESSURE</t>
    <phoneticPr fontId="14" type="noConversion"/>
  </si>
  <si>
    <t>CDU TOWER TOP</t>
    <phoneticPr fontId="14" type="noConversion"/>
  </si>
  <si>
    <t>HZ2101 PILOT GAS AFTER FILTER</t>
    <phoneticPr fontId="14" type="noConversion"/>
  </si>
  <si>
    <t>HZ2101 PILOTGAS HEADER PRESS</t>
    <phoneticPr fontId="14" type="noConversion"/>
  </si>
  <si>
    <t>INSTRUMENT AIR TO PILOTS HZ2101</t>
    <phoneticPr fontId="14" type="noConversion"/>
  </si>
  <si>
    <t>DESALTER DZ2101C PRESSURE</t>
    <phoneticPr fontId="14" type="noConversion"/>
  </si>
  <si>
    <t>HZ2101 FUELGAS HEADER PRESS</t>
    <phoneticPr fontId="14" type="noConversion"/>
  </si>
  <si>
    <t>SUCTION PRESSURE PZ-2102A/B/C</t>
    <phoneticPr fontId="14" type="noConversion"/>
  </si>
  <si>
    <t>PZ2153 OUTLET PRESSURE</t>
    <phoneticPr fontId="14" type="noConversion"/>
  </si>
  <si>
    <t>HZ2151 INSTRUM AIRTO PILOTS</t>
    <phoneticPr fontId="14" type="noConversion"/>
  </si>
  <si>
    <t>HZ2151 PILOTGAS HEADER PRESS</t>
    <phoneticPr fontId="14" type="noConversion"/>
  </si>
  <si>
    <t>HZ2151 PILOT GAS AFTER FILTER</t>
    <phoneticPr fontId="14" type="noConversion"/>
  </si>
  <si>
    <t>HZ2151 FUELGAS HEADER PRESS</t>
    <phoneticPr fontId="14" type="noConversion"/>
  </si>
  <si>
    <t>HZ2201 PILOTGAS HEADER PRESS</t>
    <phoneticPr fontId="14" type="noConversion"/>
  </si>
  <si>
    <t>HZ2201 INSTRUMENT AIR PILOTS</t>
    <phoneticPr fontId="14" type="noConversion"/>
  </si>
  <si>
    <t>HZ2201 PILOT GAS AFTER FILTER</t>
    <phoneticPr fontId="14" type="noConversion"/>
  </si>
  <si>
    <t>CDU TOWER OVERH. DRUM</t>
    <phoneticPr fontId="14" type="noConversion"/>
  </si>
  <si>
    <t>FUEL GAS MIXING DRUM</t>
    <phoneticPr fontId="14" type="noConversion"/>
  </si>
  <si>
    <t>CDU TOWER FLASHZONE PRESSURE</t>
    <phoneticPr fontId="14" type="noConversion"/>
  </si>
  <si>
    <t>LGO DRIER</t>
    <phoneticPr fontId="14" type="noConversion"/>
  </si>
  <si>
    <t>CDU HEATER PASS 1 INLET</t>
    <phoneticPr fontId="14" type="noConversion"/>
  </si>
  <si>
    <t>CDU HEATER PASS 2 INLET</t>
    <phoneticPr fontId="14" type="noConversion"/>
  </si>
  <si>
    <t>CDU HEATER PASS 3 INLET</t>
    <phoneticPr fontId="14" type="noConversion"/>
  </si>
  <si>
    <t>CDU HEATER PASS 4 INLET</t>
    <phoneticPr fontId="14" type="noConversion"/>
  </si>
  <si>
    <t>CDU HEATER PASS 5 INLET</t>
    <phoneticPr fontId="14" type="noConversion"/>
  </si>
  <si>
    <t>CDU HEATER PASS 6 INLET</t>
    <phoneticPr fontId="14" type="noConversion"/>
  </si>
  <si>
    <t>CDU HEATER PASS 7 INLET</t>
    <phoneticPr fontId="14" type="noConversion"/>
  </si>
  <si>
    <t>CDU HEATER PASS 8 INLET</t>
    <phoneticPr fontId="14" type="noConversion"/>
  </si>
  <si>
    <t>FUELGAS TO HZ2101</t>
    <phoneticPr fontId="14" type="noConversion"/>
  </si>
  <si>
    <t>VACUUM HGO/LGO COOLER EZ2118</t>
    <phoneticPr fontId="14" type="noConversion"/>
  </si>
  <si>
    <t>HZ2101 PILOTGAS HEADER PRES A</t>
    <phoneticPr fontId="14" type="noConversion"/>
  </si>
  <si>
    <t>HZ2101 PILOTGAS HEADER PRES B</t>
    <phoneticPr fontId="14" type="noConversion"/>
  </si>
  <si>
    <t>DESALTER C PRESSURE A</t>
    <phoneticPr fontId="14" type="noConversion"/>
  </si>
  <si>
    <t>DESALTER C PRESSURE B</t>
    <phoneticPr fontId="14" type="noConversion"/>
  </si>
  <si>
    <t>DESALTER C PRESSURE C</t>
    <phoneticPr fontId="14" type="noConversion"/>
  </si>
  <si>
    <t>HOT AIR OUTLET EZ2125A</t>
    <phoneticPr fontId="14" type="noConversion"/>
  </si>
  <si>
    <t>FLUEGAS INLET EZ2125A</t>
    <phoneticPr fontId="14" type="noConversion"/>
  </si>
  <si>
    <t>FLUEGAS OUTLET EZ2125A</t>
    <phoneticPr fontId="14" type="noConversion"/>
  </si>
  <si>
    <t>HOT AIR OUTLET EZ2125B</t>
    <phoneticPr fontId="14" type="noConversion"/>
  </si>
  <si>
    <t>FLUEGAS INLET EZ2125B</t>
    <phoneticPr fontId="14" type="noConversion"/>
  </si>
  <si>
    <t>FLUEGAS OUTLET EZ2125B</t>
    <phoneticPr fontId="14" type="noConversion"/>
  </si>
  <si>
    <t>SEAL GAS PZ2118B</t>
    <phoneticPr fontId="14" type="noConversion"/>
  </si>
  <si>
    <t>CDU HTR RADNT SECTN - DAMPR</t>
    <phoneticPr fontId="14" type="noConversion"/>
  </si>
  <si>
    <t>CDU4 KERO TO STORAGE</t>
    <phoneticPr fontId="14" type="noConversion"/>
  </si>
  <si>
    <t>HP STEAM TO VACUUM JETS</t>
    <phoneticPr fontId="14" type="noConversion"/>
  </si>
  <si>
    <t>INLET PRESSURE DZ2153</t>
    <phoneticPr fontId="14" type="noConversion"/>
  </si>
  <si>
    <t>DHT LP SEPARATOR</t>
    <phoneticPr fontId="14" type="noConversion"/>
  </si>
  <si>
    <t>DHT REACTOR</t>
    <phoneticPr fontId="14" type="noConversion"/>
  </si>
  <si>
    <t>SUCTION CZ2152 COMPRESSOR</t>
    <phoneticPr fontId="14" type="noConversion"/>
  </si>
  <si>
    <t>DFU SPLITTER TOP</t>
    <phoneticPr fontId="14" type="noConversion"/>
  </si>
  <si>
    <t>GAS FROM GAS/DEASEP DZ2851</t>
    <phoneticPr fontId="14" type="noConversion"/>
  </si>
  <si>
    <t>GAS TO GAS/DEASEP DZ2852</t>
    <phoneticPr fontId="14" type="noConversion"/>
  </si>
  <si>
    <t>WASHWATER DZ2104 TO DZ3004</t>
    <phoneticPr fontId="14" type="noConversion"/>
  </si>
  <si>
    <t>DHT4 TO DZ3004</t>
    <phoneticPr fontId="14" type="noConversion"/>
  </si>
  <si>
    <t>LIQ.RELIEF HEADER TO DZ3004</t>
    <phoneticPr fontId="14" type="noConversion"/>
  </si>
  <si>
    <t>GAS RELIEF HEADER TO DZ3004</t>
    <phoneticPr fontId="14" type="noConversion"/>
  </si>
  <si>
    <t>RELIEF HEADER GOH3 TO DZ3004</t>
    <phoneticPr fontId="14" type="noConversion"/>
  </si>
  <si>
    <t>DHT COMPRESSOR DISCHARGE</t>
    <phoneticPr fontId="14" type="noConversion"/>
  </si>
  <si>
    <t>PRESSURE HZ2151</t>
    <phoneticPr fontId="14" type="noConversion"/>
  </si>
  <si>
    <t>PRESSURE HZ2201</t>
    <phoneticPr fontId="14" type="noConversion"/>
  </si>
  <si>
    <t>FUEL GAS HEADER</t>
    <phoneticPr fontId="14" type="noConversion"/>
  </si>
  <si>
    <t>LPG C5 PREDICTION</t>
    <phoneticPr fontId="14" type="noConversion"/>
  </si>
  <si>
    <t>DHT COMPRESSOR SPEED</t>
    <phoneticPr fontId="14" type="noConversion"/>
  </si>
  <si>
    <t>OUTPUT SICZ2002 FEEDBACK</t>
    <phoneticPr fontId="14" type="noConversion"/>
  </si>
  <si>
    <t>HZ2101 HOT AIR DUCT</t>
    <phoneticPr fontId="14" type="noConversion"/>
  </si>
  <si>
    <t>TDIFF FLASH/REBOIL OUTLET</t>
    <phoneticPr fontId="14" type="noConversion"/>
  </si>
  <si>
    <t>DIFF TEMP LEAN AMIVS VAPOUR</t>
    <phoneticPr fontId="14" type="noConversion"/>
  </si>
  <si>
    <t>FLSHZONE DIFF TEMPERATURE</t>
    <phoneticPr fontId="14" type="noConversion"/>
  </si>
  <si>
    <t>DFU STRIPPER DIFF. TEMP.</t>
    <phoneticPr fontId="14" type="noConversion"/>
  </si>
  <si>
    <t>TEMP. LUBE OIL VOITH</t>
    <phoneticPr fontId="14" type="noConversion"/>
  </si>
  <si>
    <t>TEMP. WORKING OIL VOITH</t>
    <phoneticPr fontId="14" type="noConversion"/>
  </si>
  <si>
    <t>CDU HEATER PASS 1 SKIN</t>
    <phoneticPr fontId="14" type="noConversion"/>
  </si>
  <si>
    <t>CDU HEATER PASS 2 SKIN</t>
    <phoneticPr fontId="14" type="noConversion"/>
  </si>
  <si>
    <t>CDU HEATER PASS 3 SKIN</t>
    <phoneticPr fontId="14" type="noConversion"/>
  </si>
  <si>
    <t>CDU HEATER PASS 4 SKIN</t>
    <phoneticPr fontId="14" type="noConversion"/>
  </si>
  <si>
    <t>CDU HEATER PASS 5 SKIN</t>
    <phoneticPr fontId="14" type="noConversion"/>
  </si>
  <si>
    <t>CDU HEATER PASS 6 SKIN</t>
    <phoneticPr fontId="14" type="noConversion"/>
  </si>
  <si>
    <t>CDU HEATER PASS 7 SKIN</t>
    <phoneticPr fontId="14" type="noConversion"/>
  </si>
  <si>
    <t>CDU HEATER PASS 8 SKIN</t>
    <phoneticPr fontId="14" type="noConversion"/>
  </si>
  <si>
    <t>DHT HEATER PASS 1 SKIN</t>
    <phoneticPr fontId="14" type="noConversion"/>
  </si>
  <si>
    <t>DHT HEATER PASS 2 SKIN</t>
    <phoneticPr fontId="14" type="noConversion"/>
  </si>
  <si>
    <t>DHT HEATER PASS 3 SKIN</t>
    <phoneticPr fontId="14" type="noConversion"/>
  </si>
  <si>
    <t>DHT HEATER PASS 4 SKIN</t>
    <phoneticPr fontId="14" type="noConversion"/>
  </si>
  <si>
    <t>DHT HEATER PASS 5 SKIN</t>
    <phoneticPr fontId="14" type="noConversion"/>
  </si>
  <si>
    <t>DHT HEATER PASS 6 SKIN</t>
    <phoneticPr fontId="14" type="noConversion"/>
  </si>
  <si>
    <t>DHT COMP D2152 DISCHARGE</t>
    <phoneticPr fontId="14" type="noConversion"/>
  </si>
  <si>
    <t>SPLITTER HEATER PASS 8 SKIN</t>
    <phoneticPr fontId="14" type="noConversion"/>
  </si>
  <si>
    <t>SPLITTER HEATER PASS 7 SKIN</t>
    <phoneticPr fontId="14" type="noConversion"/>
  </si>
  <si>
    <t>SPLITTER HEATER PASS 6 SKIN</t>
    <phoneticPr fontId="14" type="noConversion"/>
  </si>
  <si>
    <t>SPLITTER HEATER PASS 5 SKIN</t>
    <phoneticPr fontId="14" type="noConversion"/>
  </si>
  <si>
    <t>SPLITTER HEATER PASS 1 SKIN</t>
    <phoneticPr fontId="14" type="noConversion"/>
  </si>
  <si>
    <t>SPLITTER HEATER PASS 2 SKIN</t>
    <phoneticPr fontId="14" type="noConversion"/>
  </si>
  <si>
    <t>SPLITTER HEATER PASS 3 SKIN</t>
    <phoneticPr fontId="14" type="noConversion"/>
  </si>
  <si>
    <t>SPLITTER HEATER PASS 4 SKIN</t>
    <phoneticPr fontId="14" type="noConversion"/>
  </si>
  <si>
    <t>CDU M.P.A. EZ2114 LOUVRES</t>
    <phoneticPr fontId="14" type="noConversion"/>
  </si>
  <si>
    <t>EZ2110A OUTLT FROM BPA</t>
    <phoneticPr fontId="14" type="noConversion"/>
  </si>
  <si>
    <t>DFU SPLITTER REBOIL.OUTLET</t>
    <phoneticPr fontId="14" type="noConversion"/>
  </si>
  <si>
    <t>HZ2101 COMBINED OUTLET</t>
    <phoneticPr fontId="14" type="noConversion"/>
  </si>
  <si>
    <t>RESIDUE TO EZ2101</t>
    <phoneticPr fontId="14" type="noConversion"/>
  </si>
  <si>
    <t>COLD CRUDE FEED</t>
    <phoneticPr fontId="14" type="noConversion"/>
  </si>
  <si>
    <t>TEMPERED WATER CIRCULATION</t>
    <phoneticPr fontId="14" type="noConversion"/>
  </si>
  <si>
    <t>OVERHEADS DZ2102 OUTLET TO DHT</t>
    <phoneticPr fontId="14" type="noConversion"/>
  </si>
  <si>
    <t>CDU OVERHEADS DZ2102</t>
    <phoneticPr fontId="14" type="noConversion"/>
  </si>
  <si>
    <t>TPA RETURN</t>
    <phoneticPr fontId="14" type="noConversion"/>
  </si>
  <si>
    <t>CDU HEATER PASS 1 INTERMEDIATE</t>
    <phoneticPr fontId="14" type="noConversion"/>
  </si>
  <si>
    <t>CDU HEATER PASS 2 INTERMEDIATE</t>
    <phoneticPr fontId="14" type="noConversion"/>
  </si>
  <si>
    <t>CDU HEATER PASS 3 INTERMEDIATE</t>
    <phoneticPr fontId="14" type="noConversion"/>
  </si>
  <si>
    <t>CDU HEATER PASS 4 INTERMEDIATE</t>
    <phoneticPr fontId="14" type="noConversion"/>
  </si>
  <si>
    <t>CDU HEATER PASS 5 INTERMEDIATE</t>
    <phoneticPr fontId="14" type="noConversion"/>
  </si>
  <si>
    <t>CDU HEATER PASS 6 INTERMEDIATE</t>
    <phoneticPr fontId="14" type="noConversion"/>
  </si>
  <si>
    <t>CDU HEATER PASS 7 INTERMEDIATE</t>
    <phoneticPr fontId="14" type="noConversion"/>
  </si>
  <si>
    <t>CDU HEATER PASS 8 INTERMEDIATE</t>
    <phoneticPr fontId="14" type="noConversion"/>
  </si>
  <si>
    <t>CDU HEATER PASS 3 RADIATION SKIN</t>
    <phoneticPr fontId="14" type="noConversion"/>
  </si>
  <si>
    <t>WET HGO TO DRIER</t>
    <phoneticPr fontId="14" type="noConversion"/>
  </si>
  <si>
    <t>CDU HEATER PASS 8 RADIATION SKIN</t>
    <phoneticPr fontId="14" type="noConversion"/>
  </si>
  <si>
    <t>CDU HEATER FLUEGASCELL 3</t>
    <phoneticPr fontId="14" type="noConversion"/>
  </si>
  <si>
    <t>CDU HEATER FLUEGASCELL 5</t>
    <phoneticPr fontId="14" type="noConversion"/>
  </si>
  <si>
    <t>CDU HEATER FLUEGASCELL 6</t>
    <phoneticPr fontId="14" type="noConversion"/>
  </si>
  <si>
    <t>CDU HEATER FLUEGASCELL 7</t>
    <phoneticPr fontId="14" type="noConversion"/>
  </si>
  <si>
    <t>CDU HEATER FLUEGASCELL 9</t>
    <phoneticPr fontId="14" type="noConversion"/>
  </si>
  <si>
    <t>CDU HEATER PASS 3 OUTLET SKIN</t>
    <phoneticPr fontId="14" type="noConversion"/>
  </si>
  <si>
    <t>CDU HEATER PASS 8 OUTLET SKIN</t>
    <phoneticPr fontId="14" type="noConversion"/>
  </si>
  <si>
    <t>WET LGO TO COOLER</t>
    <phoneticPr fontId="14" type="noConversion"/>
  </si>
  <si>
    <t>EZ2104A/B OUTLET FROM TPA</t>
    <phoneticPr fontId="14" type="noConversion"/>
  </si>
  <si>
    <t>DESALTER EFFLUENT TEMPERATUUR</t>
    <phoneticPr fontId="14" type="noConversion"/>
  </si>
  <si>
    <t>CRUDE INLET EZ2102A</t>
    <phoneticPr fontId="14" type="noConversion"/>
  </si>
  <si>
    <t>CRUDE INLET EZ2102C</t>
    <phoneticPr fontId="14" type="noConversion"/>
  </si>
  <si>
    <t>WET LGO TO DRIER</t>
    <phoneticPr fontId="14" type="noConversion"/>
  </si>
  <si>
    <t>CRUDE TO DESALTER DZ2121C</t>
    <phoneticPr fontId="14" type="noConversion"/>
  </si>
  <si>
    <t>BRINE INLET EZ-2121A/B</t>
    <phoneticPr fontId="14" type="noConversion"/>
  </si>
  <si>
    <t>WASH WATER TO DZ-2101A/B</t>
    <phoneticPr fontId="14" type="noConversion"/>
  </si>
  <si>
    <t>CRUDE TO PZ-2102A/B/C</t>
    <phoneticPr fontId="14" type="noConversion"/>
  </si>
  <si>
    <t>BPA RETURN</t>
    <phoneticPr fontId="14" type="noConversion"/>
  </si>
  <si>
    <t>CRUDE OVHD INLET EZ2102B</t>
    <phoneticPr fontId="14" type="noConversion"/>
  </si>
  <si>
    <t>CRUDE OUTLET EZ2102B</t>
    <phoneticPr fontId="14" type="noConversion"/>
  </si>
  <si>
    <t>CRUDE OVHD INLET EZ2102D</t>
    <phoneticPr fontId="14" type="noConversion"/>
  </si>
  <si>
    <t>CRUDE OUTLET EZ2102D</t>
    <phoneticPr fontId="14" type="noConversion"/>
  </si>
  <si>
    <t>RESIDUE EX EZ2111 A/B</t>
    <phoneticPr fontId="14" type="noConversion"/>
  </si>
  <si>
    <t>TEMP DZ2179</t>
    <phoneticPr fontId="14" type="noConversion"/>
  </si>
  <si>
    <t>CRUDE EX EZ2111 A</t>
    <phoneticPr fontId="14" type="noConversion"/>
  </si>
  <si>
    <t>SKIN TEMP. PASS1 HZ2101</t>
    <phoneticPr fontId="14" type="noConversion"/>
  </si>
  <si>
    <t>CRUDE EX EZ2111 B</t>
    <phoneticPr fontId="14" type="noConversion"/>
  </si>
  <si>
    <t>SKIN TEMP. PASS2 HZ2101</t>
    <phoneticPr fontId="14" type="noConversion"/>
  </si>
  <si>
    <t>SKIN TEMP. PASS4 HZ2101</t>
    <phoneticPr fontId="14" type="noConversion"/>
  </si>
  <si>
    <t>SKIN TEMP. PASS5 HZ2101</t>
    <phoneticPr fontId="14" type="noConversion"/>
  </si>
  <si>
    <t>SKIN TEMP. PASS6 HZ2101</t>
    <phoneticPr fontId="14" type="noConversion"/>
  </si>
  <si>
    <t>SKIN TEMP. PASS7 HZ2101</t>
    <phoneticPr fontId="14" type="noConversion"/>
  </si>
  <si>
    <t>HZ2101 PREHEAT TEMPERATUR</t>
    <phoneticPr fontId="14" type="noConversion"/>
  </si>
  <si>
    <t>SKIN TEMP. PASS3 HZ2101</t>
    <phoneticPr fontId="14" type="noConversion"/>
  </si>
  <si>
    <t>SKIN TEMP. PASS8 HZ2101</t>
    <phoneticPr fontId="14" type="noConversion"/>
  </si>
  <si>
    <t>SUPERHEATED STEAM EX HZ2101</t>
    <phoneticPr fontId="14" type="noConversion"/>
  </si>
  <si>
    <t>CDU HEATER PASS 1 SKIN LOWER</t>
    <phoneticPr fontId="14" type="noConversion"/>
  </si>
  <si>
    <t>CDU HEATER PASS 2 SKIN LOWER</t>
    <phoneticPr fontId="14" type="noConversion"/>
  </si>
  <si>
    <t>CDU HEATER PASS 3 SKIN LOWER</t>
    <phoneticPr fontId="14" type="noConversion"/>
  </si>
  <si>
    <t>CDU HEATER PASS 4 SKIN LOWER</t>
    <phoneticPr fontId="14" type="noConversion"/>
  </si>
  <si>
    <t>CDU HEATER PASS 5 SKIN LOWER</t>
    <phoneticPr fontId="14" type="noConversion"/>
  </si>
  <si>
    <t>CDU HEATER PASS 6 SKIN LOWER</t>
    <phoneticPr fontId="14" type="noConversion"/>
  </si>
  <si>
    <t>CDU HEATER PASS 7 SKIN LOWER</t>
    <phoneticPr fontId="14" type="noConversion"/>
  </si>
  <si>
    <t>CDU HEATER PASS 8 SKIN LOWER</t>
    <phoneticPr fontId="14" type="noConversion"/>
  </si>
  <si>
    <t>FLUE GAS EX CONV HZ2101</t>
    <phoneticPr fontId="14" type="noConversion"/>
  </si>
  <si>
    <t>LGO FROM EZ2105</t>
    <phoneticPr fontId="14" type="noConversion"/>
  </si>
  <si>
    <t>CDU HEATER PASS 1 OUTLET</t>
    <phoneticPr fontId="14" type="noConversion"/>
  </si>
  <si>
    <t>CDU HEATER PASS 2 OUTLET</t>
    <phoneticPr fontId="14" type="noConversion"/>
  </si>
  <si>
    <t>CDU HEATER PASS 3 OUTLET</t>
    <phoneticPr fontId="14" type="noConversion"/>
  </si>
  <si>
    <t>CDU HEATER PASS 4 OUTLET</t>
    <phoneticPr fontId="14" type="noConversion"/>
  </si>
  <si>
    <t>CDU HEATER PASS 5 OUTLET</t>
    <phoneticPr fontId="14" type="noConversion"/>
  </si>
  <si>
    <t>CDU HEATER PASS 6 OUTLET</t>
    <phoneticPr fontId="14" type="noConversion"/>
  </si>
  <si>
    <t>CDU HEATER PASS 7 OUTLET</t>
    <phoneticPr fontId="14" type="noConversion"/>
  </si>
  <si>
    <t>CDU HEATER PASS 8 OUTLET</t>
    <phoneticPr fontId="14" type="noConversion"/>
  </si>
  <si>
    <t>HZ2101 LP STEAM TO STEAM COIL</t>
    <phoneticPr fontId="14" type="noConversion"/>
  </si>
  <si>
    <t>HZ2101 COIL OUTLET</t>
    <phoneticPr fontId="14" type="noConversion"/>
  </si>
  <si>
    <t>TPA EX CDU TOWER</t>
    <phoneticPr fontId="14" type="noConversion"/>
  </si>
  <si>
    <t>MPA/LGO EX CDU TOWER</t>
    <phoneticPr fontId="14" type="noConversion"/>
  </si>
  <si>
    <t>BPA/HGO EX CDU TOWER</t>
    <phoneticPr fontId="14" type="noConversion"/>
  </si>
  <si>
    <t>RESIDU EX TOWER</t>
    <phoneticPr fontId="14" type="noConversion"/>
  </si>
  <si>
    <t>LGO EX DRIER</t>
    <phoneticPr fontId="14" type="noConversion"/>
  </si>
  <si>
    <t>LGO EX STRIPPER</t>
    <phoneticPr fontId="14" type="noConversion"/>
  </si>
  <si>
    <t>HGO EX DRIER</t>
    <phoneticPr fontId="14" type="noConversion"/>
  </si>
  <si>
    <t>HGO EX STRIPPER</t>
    <phoneticPr fontId="14" type="noConversion"/>
  </si>
  <si>
    <t>MIXED GAS OIL EX L/HGO COND DR</t>
    <phoneticPr fontId="14" type="noConversion"/>
  </si>
  <si>
    <t>LGO RUNDOWN</t>
    <phoneticPr fontId="14" type="noConversion"/>
  </si>
  <si>
    <t>CDU VAC COND KO POT A</t>
    <phoneticPr fontId="14" type="noConversion"/>
  </si>
  <si>
    <t>CDU VAC COND KO POT B</t>
    <phoneticPr fontId="14" type="noConversion"/>
  </si>
  <si>
    <t>HGO RUNDOWN</t>
    <phoneticPr fontId="14" type="noConversion"/>
  </si>
  <si>
    <t>CRUDE OUTLET EZ2105</t>
    <phoneticPr fontId="14" type="noConversion"/>
  </si>
  <si>
    <t>EZ2110B OUTLT FROM CRUDE</t>
    <phoneticPr fontId="14" type="noConversion"/>
  </si>
  <si>
    <t>CRUDE OUTLET EZ2106</t>
    <phoneticPr fontId="14" type="noConversion"/>
  </si>
  <si>
    <t>CRUDE OUTLET EZ2107B</t>
    <phoneticPr fontId="14" type="noConversion"/>
  </si>
  <si>
    <t>CRUDE OUTLET EZ2108C</t>
    <phoneticPr fontId="14" type="noConversion"/>
  </si>
  <si>
    <t>EZ2110D OUTLT FROM CRUDE</t>
    <phoneticPr fontId="14" type="noConversion"/>
  </si>
  <si>
    <t>BOTTOM TEMP TZ2101</t>
    <phoneticPr fontId="14" type="noConversion"/>
  </si>
  <si>
    <t>QUENCH TO BOTTOM RINGHEADER</t>
    <phoneticPr fontId="14" type="noConversion"/>
  </si>
  <si>
    <t>CRUDE OUTLET EZ2104A</t>
    <phoneticPr fontId="14" type="noConversion"/>
  </si>
  <si>
    <t>CRUDE OUTLET EZ2107A</t>
    <phoneticPr fontId="14" type="noConversion"/>
  </si>
  <si>
    <t>CRUDE OUTLET EZ2104B</t>
    <phoneticPr fontId="14" type="noConversion"/>
  </si>
  <si>
    <t>CDU HEATER AMBIANT TEMP</t>
    <phoneticPr fontId="14" type="noConversion"/>
  </si>
  <si>
    <t>CDU HEATER FLUE GAS TEMP</t>
    <phoneticPr fontId="14" type="noConversion"/>
  </si>
  <si>
    <t>HZ2101 FLUEGAS INL.CONV.BOX</t>
    <phoneticPr fontId="14" type="noConversion"/>
  </si>
  <si>
    <t>RESIDUE BEFORE TEMP. WATER</t>
    <phoneticPr fontId="14" type="noConversion"/>
  </si>
  <si>
    <t>OVERH. FROM EZ2102A</t>
    <phoneticPr fontId="14" type="noConversion"/>
  </si>
  <si>
    <t>OVERH. FROM EZ2102C</t>
    <phoneticPr fontId="14" type="noConversion"/>
  </si>
  <si>
    <t>RES. FROM EZ2111B</t>
    <phoneticPr fontId="14" type="noConversion"/>
  </si>
  <si>
    <t>EZ2107B OUTLET FROM MPA</t>
    <phoneticPr fontId="14" type="noConversion"/>
  </si>
  <si>
    <t>EZ2108A INLET FROM CRUDE</t>
    <phoneticPr fontId="14" type="noConversion"/>
  </si>
  <si>
    <t>EZ2108C INLET FROM CRUDE</t>
    <phoneticPr fontId="14" type="noConversion"/>
  </si>
  <si>
    <t>MPA INLET EZ2109A</t>
    <phoneticPr fontId="14" type="noConversion"/>
  </si>
  <si>
    <t>MPA INLET EZ2109B</t>
    <phoneticPr fontId="14" type="noConversion"/>
  </si>
  <si>
    <t>EZ2109B OUTLT FROM MPA</t>
    <phoneticPr fontId="14" type="noConversion"/>
  </si>
  <si>
    <t>LIQUID TEMP. FROM TRAY 8</t>
    <phoneticPr fontId="14" type="noConversion"/>
  </si>
  <si>
    <t>CDU TOWER FLASH ZONE</t>
    <phoneticPr fontId="14" type="noConversion"/>
  </si>
  <si>
    <t>DHT FEED TO EZ2151 A</t>
    <phoneticPr fontId="14" type="noConversion"/>
  </si>
  <si>
    <t>DHT FEED TO EZ2151 C</t>
    <phoneticPr fontId="14" type="noConversion"/>
  </si>
  <si>
    <t>DHT FEED TO EZ2151 E</t>
    <phoneticPr fontId="14" type="noConversion"/>
  </si>
  <si>
    <t>DHT FEED TO HEATER</t>
    <phoneticPr fontId="14" type="noConversion"/>
  </si>
  <si>
    <t>DHT REACT PRODUCT TO EZ2151 D</t>
    <phoneticPr fontId="14" type="noConversion"/>
  </si>
  <si>
    <t>DHT REACT PRODUCT TO EZ2151 B</t>
    <phoneticPr fontId="14" type="noConversion"/>
  </si>
  <si>
    <t>DHT INLET TO EZ2152 A</t>
    <phoneticPr fontId="14" type="noConversion"/>
  </si>
  <si>
    <t>DHT HEATER CONV INLET FLUE</t>
    <phoneticPr fontId="14" type="noConversion"/>
  </si>
  <si>
    <t>SKIN TEMPERATURE HZ2151</t>
    <phoneticPr fontId="14" type="noConversion"/>
  </si>
  <si>
    <t>DHT HEATER STACK</t>
    <phoneticPr fontId="14" type="noConversion"/>
  </si>
  <si>
    <t>DHT FURNACE OUTLET PASS 1</t>
    <phoneticPr fontId="14" type="noConversion"/>
  </si>
  <si>
    <t>DHT FURNACE OUTLET PASS 2</t>
    <phoneticPr fontId="14" type="noConversion"/>
  </si>
  <si>
    <t>DHT FURNACE OUTLET PASS 3</t>
    <phoneticPr fontId="14" type="noConversion"/>
  </si>
  <si>
    <t>DHT FURNACE OUTLET PASS 4</t>
    <phoneticPr fontId="14" type="noConversion"/>
  </si>
  <si>
    <t>DHT FURNACE OUTLET PASS 5</t>
    <phoneticPr fontId="14" type="noConversion"/>
  </si>
  <si>
    <t>DHT FURNACE OUTLET PASS 6</t>
    <phoneticPr fontId="14" type="noConversion"/>
  </si>
  <si>
    <t>DHT REACTOR INLET</t>
    <phoneticPr fontId="14" type="noConversion"/>
  </si>
  <si>
    <t>DHT4 REACTOR OUTLT</t>
    <phoneticPr fontId="14" type="noConversion"/>
  </si>
  <si>
    <t>COMPRESSOR CZ2152 SUCTION</t>
    <phoneticPr fontId="14" type="noConversion"/>
  </si>
  <si>
    <t>DHT RECYCLE MAKE UP GAS</t>
    <phoneticPr fontId="14" type="noConversion"/>
  </si>
  <si>
    <t>DHT EZ2152 OUTLET</t>
    <phoneticPr fontId="14" type="noConversion"/>
  </si>
  <si>
    <t>DHT HP SEPERATOR</t>
    <phoneticPr fontId="14" type="noConversion"/>
  </si>
  <si>
    <t>DHT REACTOR BED TEMPERATURE</t>
    <phoneticPr fontId="14" type="noConversion"/>
  </si>
  <si>
    <t>DFU STABLR FD EX EZ2202 B</t>
    <phoneticPr fontId="14" type="noConversion"/>
  </si>
  <si>
    <t>DFU STABLR FD EX E2Z202 D</t>
    <phoneticPr fontId="14" type="noConversion"/>
  </si>
  <si>
    <t>RESIDUE EX STABLR REBOILR A</t>
    <phoneticPr fontId="14" type="noConversion"/>
  </si>
  <si>
    <t>RESIDUE EX STABLR REBOILR B</t>
    <phoneticPr fontId="14" type="noConversion"/>
  </si>
  <si>
    <t>DFU STABLR OUTL REBOIL A</t>
    <phoneticPr fontId="14" type="noConversion"/>
  </si>
  <si>
    <t>DFU STABLR OUTL REBOIL B</t>
    <phoneticPr fontId="14" type="noConversion"/>
  </si>
  <si>
    <t>DFU STRIPPER FEED</t>
    <phoneticPr fontId="14" type="noConversion"/>
  </si>
  <si>
    <t>DFU STRIPPER BOTTOMS</t>
    <phoneticPr fontId="14" type="noConversion"/>
  </si>
  <si>
    <t>DFU STABILISER TRAY 9</t>
    <phoneticPr fontId="14" type="noConversion"/>
  </si>
  <si>
    <t>DFU STABILISER TRAY 3</t>
    <phoneticPr fontId="14" type="noConversion"/>
  </si>
  <si>
    <t>DFU STABILISER BOTTOM</t>
    <phoneticPr fontId="14" type="noConversion"/>
  </si>
  <si>
    <t>DFU STABILISER TOP(CORR. 8BAR)</t>
    <phoneticPr fontId="14" type="noConversion"/>
  </si>
  <si>
    <t>DFU STABILISER OVERHEAD DRUM</t>
    <phoneticPr fontId="14" type="noConversion"/>
  </si>
  <si>
    <t>DFU STABILISER OVERHEAD LIQ.</t>
    <phoneticPr fontId="14" type="noConversion"/>
  </si>
  <si>
    <t>DFU SPLITTER FEED</t>
    <phoneticPr fontId="14" type="noConversion"/>
  </si>
  <si>
    <t>DFU SPLITTER BOTTOM</t>
    <phoneticPr fontId="14" type="noConversion"/>
  </si>
  <si>
    <t>DFU SPLITTER REBOIL. OUTLET</t>
    <phoneticPr fontId="14" type="noConversion"/>
  </si>
  <si>
    <t>DFU SPLITTER REBOIL. FEED</t>
    <phoneticPr fontId="14" type="noConversion"/>
  </si>
  <si>
    <t>SPLITTER HEATER PASS 1 OUTLET</t>
    <phoneticPr fontId="14" type="noConversion"/>
  </si>
  <si>
    <t>SPLITTER HEATER PASS 2 OUTLET</t>
    <phoneticPr fontId="14" type="noConversion"/>
  </si>
  <si>
    <t>SPLITTER HEATER PASS 3 OUTLET</t>
    <phoneticPr fontId="14" type="noConversion"/>
  </si>
  <si>
    <t>SPLITTER HEATER PASS 4 OUTLET</t>
    <phoneticPr fontId="14" type="noConversion"/>
  </si>
  <si>
    <t>SPLITTER HEATER PASS 5 OUTLET</t>
    <phoneticPr fontId="14" type="noConversion"/>
  </si>
  <si>
    <t>SPLITTER HEATER PASS 6 OUTLET</t>
    <phoneticPr fontId="14" type="noConversion"/>
  </si>
  <si>
    <t>SPLITTER HEATER PASS 7 OUTLET</t>
    <phoneticPr fontId="14" type="noConversion"/>
  </si>
  <si>
    <t>SPLITTER HEATER PASS 8 OUTLET</t>
    <phoneticPr fontId="14" type="noConversion"/>
  </si>
  <si>
    <t>DFU SPLITTER REBOILER STACK</t>
    <phoneticPr fontId="14" type="noConversion"/>
  </si>
  <si>
    <t>DFU SPIT REBOILER</t>
    <phoneticPr fontId="14" type="noConversion"/>
  </si>
  <si>
    <t>DFU STRIP. REBOIL RETURN</t>
    <phoneticPr fontId="14" type="noConversion"/>
  </si>
  <si>
    <t>DFU SRB/NAPHTHA RUNDOWN</t>
    <phoneticPr fontId="14" type="noConversion"/>
  </si>
  <si>
    <t>DFU SPLITTER OVHD EX CONDENSER</t>
    <phoneticPr fontId="14" type="noConversion"/>
  </si>
  <si>
    <t>DFU SPLITTER OVHD LIQUID</t>
    <phoneticPr fontId="14" type="noConversion"/>
  </si>
  <si>
    <t>DFU SRG RUNDOWN</t>
    <phoneticPr fontId="14" type="noConversion"/>
  </si>
  <si>
    <t>DFU KERO RUNDOWN</t>
    <phoneticPr fontId="14" type="noConversion"/>
  </si>
  <si>
    <t>DFU STRIPPER REBOIL. RETURN</t>
    <phoneticPr fontId="14" type="noConversion"/>
  </si>
  <si>
    <t>DFU STABILISER TRAY 28</t>
    <phoneticPr fontId="14" type="noConversion"/>
  </si>
  <si>
    <t>KERO (BEFORE AIRFIN)</t>
    <phoneticPr fontId="14" type="noConversion"/>
  </si>
  <si>
    <t>NAFTA (STRIPPER BOTTOM)</t>
    <phoneticPr fontId="14" type="noConversion"/>
  </si>
  <si>
    <t>GAS TO TZ2851</t>
    <phoneticPr fontId="14" type="noConversion"/>
  </si>
  <si>
    <t>LEAN AMINE TO TZ2851</t>
    <phoneticPr fontId="14" type="noConversion"/>
  </si>
  <si>
    <t>FLARE LINE TO DZ3004</t>
    <phoneticPr fontId="14" type="noConversion"/>
  </si>
  <si>
    <t>DFU SPLITTER TOP (PRESS CORR.)</t>
    <phoneticPr fontId="14" type="noConversion"/>
  </si>
  <si>
    <t>STABILISER FEED</t>
    <phoneticPr fontId="14" type="noConversion"/>
  </si>
  <si>
    <t>RESIDUE TO STABL. REBOILER</t>
    <phoneticPr fontId="14" type="noConversion"/>
  </si>
  <si>
    <t>RESIDUE EX STABL. REBOILER</t>
    <phoneticPr fontId="14" type="noConversion"/>
  </si>
  <si>
    <t>EZ2112 WASHWATER TEMPERATURE</t>
    <phoneticPr fontId="14" type="noConversion"/>
  </si>
  <si>
    <t>VIBRATION EZ2207A</t>
    <phoneticPr fontId="14" type="noConversion"/>
  </si>
  <si>
    <t>VIBRATION EZ2207B</t>
    <phoneticPr fontId="14" type="noConversion"/>
  </si>
  <si>
    <t>EFFICIENCY HZ2101</t>
    <phoneticPr fontId="14" type="noConversion"/>
  </si>
  <si>
    <t>EFFICIENCY HZ2151</t>
    <phoneticPr fontId="14" type="noConversion"/>
  </si>
  <si>
    <t>EFFICIENCY HZ2201</t>
    <phoneticPr fontId="14" type="noConversion"/>
  </si>
  <si>
    <t>FIRED DUTY HZ2101</t>
    <phoneticPr fontId="14" type="noConversion"/>
  </si>
  <si>
    <t>FIRED DUTY HZ2151</t>
    <phoneticPr fontId="14" type="noConversion"/>
  </si>
  <si>
    <t>FIRED DUTY HZ2201</t>
    <phoneticPr fontId="14" type="noConversion"/>
  </si>
  <si>
    <t>DFU SPLITTER TAIL GAS</t>
    <phoneticPr fontId="14" type="noConversion"/>
  </si>
  <si>
    <t>A DESALTER TRAFO 1 CURRT</t>
    <phoneticPr fontId="14" type="noConversion"/>
  </si>
  <si>
    <t>A DESALTER TRAFO 2 CURRT</t>
    <phoneticPr fontId="14" type="noConversion"/>
  </si>
  <si>
    <t>A DESALTER TRAFO 3 CURRT</t>
    <phoneticPr fontId="14" type="noConversion"/>
  </si>
  <si>
    <t>DESALTER C TRAFO 1AMPS TRZ2101C1</t>
    <phoneticPr fontId="14" type="noConversion"/>
  </si>
  <si>
    <t>DESALTER C TRAFO 2AMPS TRZ2101C2</t>
    <phoneticPr fontId="14" type="noConversion"/>
  </si>
  <si>
    <t>DESALTER C TRAF0 3AMPS TRZ2101C3</t>
    <phoneticPr fontId="14" type="noConversion"/>
  </si>
  <si>
    <t>B DESALTER TRAFO 1 CURRT</t>
    <phoneticPr fontId="14" type="noConversion"/>
  </si>
  <si>
    <t>B DESALTER TRAFO 2 CURRT</t>
    <phoneticPr fontId="14" type="noConversion"/>
  </si>
  <si>
    <t>B DESALTER TRAFO 3 CURRT</t>
    <phoneticPr fontId="14" type="noConversion"/>
  </si>
  <si>
    <t>MPZ2103A MOTOR AMPT.P.A.</t>
    <phoneticPr fontId="14" type="noConversion"/>
  </si>
  <si>
    <t>MPZ2103B MOTOR AMPT.P.A.</t>
    <phoneticPr fontId="14" type="noConversion"/>
  </si>
  <si>
    <t>DHT PZ2151A CURRENT</t>
    <phoneticPr fontId="14" type="noConversion"/>
  </si>
  <si>
    <t>DHT PZ2151S CURRENT</t>
    <phoneticPr fontId="14" type="noConversion"/>
  </si>
  <si>
    <t>MOTOR CURRENT PZ2102A</t>
    <phoneticPr fontId="14" type="noConversion"/>
  </si>
  <si>
    <t>MOTOR CURRENT PZ2102B</t>
    <phoneticPr fontId="14" type="noConversion"/>
  </si>
  <si>
    <t>MOTOR CURRENT PZ2102C</t>
    <phoneticPr fontId="14" type="noConversion"/>
  </si>
  <si>
    <t>PZ2161A RADIAL DISPLACEMENT</t>
    <phoneticPr fontId="14" type="noConversion"/>
  </si>
  <si>
    <t>PZ2161B RADIAL DISPLACEMENT</t>
    <phoneticPr fontId="14" type="noConversion"/>
  </si>
  <si>
    <t>CDU HEATER O2 FLUE GAS</t>
    <phoneticPr fontId="14" type="noConversion"/>
  </si>
  <si>
    <t>WATER TO B DESALTER</t>
    <phoneticPr fontId="14" type="noConversion"/>
  </si>
  <si>
    <t>WATER TO C DESALTER</t>
    <phoneticPr fontId="14" type="noConversion"/>
  </si>
  <si>
    <t>WATER TO A DESALTER</t>
    <phoneticPr fontId="14" type="noConversion"/>
  </si>
  <si>
    <t>WATER TO CRUDE EZ2101</t>
    <phoneticPr fontId="14" type="noConversion"/>
  </si>
  <si>
    <t>SPLITTER HEATER PASS 1</t>
    <phoneticPr fontId="14" type="noConversion"/>
  </si>
  <si>
    <t>SPLITTER HEATER PASS 2</t>
    <phoneticPr fontId="14" type="noConversion"/>
  </si>
  <si>
    <t>SPLITTER HEATER PASS 3</t>
    <phoneticPr fontId="14" type="noConversion"/>
  </si>
  <si>
    <t>SPLITTER HEATER PASS 4</t>
    <phoneticPr fontId="14" type="noConversion"/>
  </si>
  <si>
    <t>SPLITTER HEATER PASS 5</t>
    <phoneticPr fontId="14" type="noConversion"/>
  </si>
  <si>
    <t>SPLITTER HEATER PASS 6</t>
    <phoneticPr fontId="14" type="noConversion"/>
  </si>
  <si>
    <t>SPLITTER HEATER PASS 7</t>
    <phoneticPr fontId="14" type="noConversion"/>
  </si>
  <si>
    <t>SPLITTER HEATER PASS 8</t>
    <phoneticPr fontId="14" type="noConversion"/>
  </si>
  <si>
    <t>TOTAL AIR TO HZ2101</t>
    <phoneticPr fontId="14" type="noConversion"/>
  </si>
  <si>
    <t>DHT HP SEPARATOR OFFGAS</t>
    <phoneticPr fontId="14" type="noConversion"/>
  </si>
  <si>
    <t>HCCS EX. FCCU TO PZ2151 A/S</t>
    <phoneticPr fontId="14" type="noConversion"/>
  </si>
  <si>
    <t>WASHWATER TO EZ2151/2</t>
    <phoneticPr fontId="14" type="noConversion"/>
  </si>
  <si>
    <t>IMPORT H2 TO DZ2153</t>
    <phoneticPr fontId="14" type="noConversion"/>
  </si>
  <si>
    <t>CRU GAS TO DZ2153</t>
    <phoneticPr fontId="14" type="noConversion"/>
  </si>
  <si>
    <t>NS CRUDE BLENDER TK106</t>
    <phoneticPr fontId="14" type="noConversion"/>
  </si>
  <si>
    <t>NS CRUDE BLENDER TK105</t>
    <phoneticPr fontId="14" type="noConversion"/>
  </si>
  <si>
    <t>NS CRUDE BLENDER TK04 TO CDU4</t>
    <phoneticPr fontId="14" type="noConversion"/>
  </si>
  <si>
    <t>STABILISER REFLUX</t>
    <phoneticPr fontId="14" type="noConversion"/>
  </si>
  <si>
    <t>LPG R/D TO 600 UNIT</t>
    <phoneticPr fontId="14" type="noConversion"/>
  </si>
  <si>
    <t>DFU SPLITTER REFLUX</t>
    <phoneticPr fontId="14" type="noConversion"/>
  </si>
  <si>
    <t>SRB STRIPPER FEED</t>
    <phoneticPr fontId="14" type="noConversion"/>
  </si>
  <si>
    <t>SRB STRIPPER R/D</t>
    <phoneticPr fontId="14" type="noConversion"/>
  </si>
  <si>
    <t>SRG R/D</t>
    <phoneticPr fontId="14" type="noConversion"/>
  </si>
  <si>
    <t>DZ3004 TO SLOPS</t>
    <phoneticPr fontId="14" type="noConversion"/>
  </si>
  <si>
    <t>KERO R/D</t>
    <phoneticPr fontId="14" type="noConversion"/>
  </si>
  <si>
    <t>RECYCLE GAS</t>
    <phoneticPr fontId="14" type="noConversion"/>
  </si>
  <si>
    <t>HGO/LGO COND DRUM DZ2105 VAC WAT</t>
    <phoneticPr fontId="14" type="noConversion"/>
  </si>
  <si>
    <t>HGO/LGO COND DRUM DZ2105 VAC OIL</t>
    <phoneticPr fontId="14" type="noConversion"/>
  </si>
  <si>
    <t>INTERFACE LEVEL DZ2101C</t>
    <phoneticPr fontId="14" type="noConversion"/>
  </si>
  <si>
    <t>DHT COMPR SUCT DRUM DZ2153</t>
    <phoneticPr fontId="14" type="noConversion"/>
  </si>
  <si>
    <t>DHT HP WATER BOOT</t>
    <phoneticPr fontId="14" type="noConversion"/>
  </si>
  <si>
    <t>DFU STRIPPER BOTTOM</t>
    <phoneticPr fontId="14" type="noConversion"/>
  </si>
  <si>
    <t>DFU SPLITTER OVERHEAD DRUM</t>
    <phoneticPr fontId="14" type="noConversion"/>
  </si>
  <si>
    <t>DZ2851 K.O. POT</t>
    <phoneticPr fontId="14" type="noConversion"/>
  </si>
  <si>
    <t>A DESALTER INTERFACE</t>
    <phoneticPr fontId="14" type="noConversion"/>
  </si>
  <si>
    <t>B DESALTER INTERFACE</t>
    <phoneticPr fontId="14" type="noConversion"/>
  </si>
  <si>
    <t>LGO STRIPR. TZ2102(LVZ1019)</t>
    <phoneticPr fontId="14" type="noConversion"/>
  </si>
  <si>
    <t>VACUUM COND KO POT A</t>
    <phoneticPr fontId="14" type="noConversion"/>
  </si>
  <si>
    <t>VACUUM COND KO POT B</t>
    <phoneticPr fontId="14" type="noConversion"/>
  </si>
  <si>
    <t>WASTE HEAT BOILER EZ2128</t>
    <phoneticPr fontId="14" type="noConversion"/>
  </si>
  <si>
    <t>TAILGAS KO</t>
    <phoneticPr fontId="14" type="noConversion"/>
  </si>
  <si>
    <t>DESALTER</t>
    <phoneticPr fontId="14" type="noConversion"/>
  </si>
  <si>
    <t>DESALTER EFFLUENCE BACK PRESSURE</t>
    <phoneticPr fontId="14" type="noConversion"/>
  </si>
  <si>
    <t>CDU HEATER RADIANT TOP</t>
    <phoneticPr fontId="14" type="noConversion"/>
  </si>
  <si>
    <t>DHT HEATER FUELGAS</t>
    <phoneticPr fontId="14" type="noConversion"/>
  </si>
  <si>
    <t>DRAUGHT RADIANT HZ2151</t>
    <phoneticPr fontId="14" type="noConversion"/>
  </si>
  <si>
    <t>DFU STABILISER TOWER</t>
    <phoneticPr fontId="14" type="noConversion"/>
  </si>
  <si>
    <t>DRAUGHT RADIANT HZ2201</t>
    <phoneticPr fontId="14" type="noConversion"/>
  </si>
  <si>
    <t>DHT REACTOR OUTLET</t>
    <phoneticPr fontId="14" type="noConversion"/>
  </si>
  <si>
    <t>TEMP.WATER EZ2120</t>
    <phoneticPr fontId="14" type="noConversion"/>
  </si>
  <si>
    <t>TPA COOLER PITCH EZ2113</t>
    <phoneticPr fontId="14" type="noConversion"/>
  </si>
  <si>
    <t>SUPER HEATED STM. HZ2101</t>
    <phoneticPr fontId="14" type="noConversion"/>
  </si>
  <si>
    <t>LGO TO DRIER</t>
    <phoneticPr fontId="14" type="noConversion"/>
  </si>
  <si>
    <t>COMB. AIR TEMP TO HZ2101</t>
    <phoneticPr fontId="14" type="noConversion"/>
  </si>
  <si>
    <t>DFU STABILISER FEED</t>
    <phoneticPr fontId="14" type="noConversion"/>
  </si>
  <si>
    <t>DFU STABILISER TRAY3 (REBOIL)</t>
    <phoneticPr fontId="14" type="noConversion"/>
  </si>
  <si>
    <t>OUTLET GASOLINE</t>
    <phoneticPr fontId="14" type="noConversion"/>
  </si>
  <si>
    <t>DFU STABILISER TOP</t>
    <phoneticPr fontId="14" type="noConversion"/>
  </si>
  <si>
    <t>SRB NAPHTA TO FW UNIT 500</t>
    <phoneticPr fontId="14" type="noConversion"/>
  </si>
  <si>
    <t>CRUDE OUTLET EZ2108A</t>
    <phoneticPr fontId="14" type="noConversion"/>
  </si>
  <si>
    <t>DISC. PRESS. FOR PZ2102A</t>
    <phoneticPr fontId="14" type="noConversion"/>
  </si>
  <si>
    <t>DISC. PRESS. FOR PZ2102B</t>
    <phoneticPr fontId="14" type="noConversion"/>
  </si>
  <si>
    <t>DISC. PRESS. FOR PZ2102C</t>
    <phoneticPr fontId="14" type="noConversion"/>
  </si>
  <si>
    <t>DISC. PRESS. FOR PZ2103A</t>
    <phoneticPr fontId="14" type="noConversion"/>
  </si>
  <si>
    <t>DISC. PRESS. FOR PZ2103B</t>
    <phoneticPr fontId="14" type="noConversion"/>
  </si>
  <si>
    <t>DISC. PRESS. FOR PZ2103C</t>
    <phoneticPr fontId="14" type="noConversion"/>
  </si>
  <si>
    <t>DISC. PRESS. FOR PZ2106A</t>
    <phoneticPr fontId="14" type="noConversion"/>
  </si>
  <si>
    <t>DISC. PRESS. FOR PZ2106B</t>
    <phoneticPr fontId="14" type="noConversion"/>
  </si>
  <si>
    <t>DISC. PRESS. FOR PZ2106C</t>
    <phoneticPr fontId="14" type="noConversion"/>
  </si>
  <si>
    <t>DISC. PRESS. FOR PZ2107A</t>
    <phoneticPr fontId="14" type="noConversion"/>
  </si>
  <si>
    <t>DISC. PRESS. FOR PZ2107B</t>
    <phoneticPr fontId="14" type="noConversion"/>
  </si>
  <si>
    <t>DISC. PRESS. FOR PZ2108</t>
    <phoneticPr fontId="14" type="noConversion"/>
  </si>
  <si>
    <t>DISC. PRESS. FOR PZ2109A</t>
    <phoneticPr fontId="14" type="noConversion"/>
  </si>
  <si>
    <t>DISC. PRESS. FOR PZ2109B</t>
    <phoneticPr fontId="14" type="noConversion"/>
  </si>
  <si>
    <t>DISC. PRESS. FOR PZ2110A</t>
    <phoneticPr fontId="14" type="noConversion"/>
  </si>
  <si>
    <t>DISC. PRESS. FOR PZ2110B</t>
    <phoneticPr fontId="14" type="noConversion"/>
  </si>
  <si>
    <t>DISC. PRESS. FOR PZ2112A</t>
    <phoneticPr fontId="14" type="noConversion"/>
  </si>
  <si>
    <t>DISC. PRESS. FOR PZ2112B</t>
    <phoneticPr fontId="14" type="noConversion"/>
  </si>
  <si>
    <t>DISC. PRESS. FOR PZ2118A</t>
    <phoneticPr fontId="14" type="noConversion"/>
  </si>
  <si>
    <t>DISC. PRESS. FOR PZ2118B</t>
    <phoneticPr fontId="14" type="noConversion"/>
  </si>
  <si>
    <t>DISC. PRESS. FOR PZ2111</t>
    <phoneticPr fontId="14" type="noConversion"/>
  </si>
  <si>
    <t>DISC. PRESS. FOR PZ2122</t>
    <phoneticPr fontId="14" type="noConversion"/>
  </si>
  <si>
    <t>DISC. PRESS. FOR PZ2151A</t>
    <phoneticPr fontId="14" type="noConversion"/>
  </si>
  <si>
    <t>DISC. PRESS. FOR PZ2151B</t>
    <phoneticPr fontId="14" type="noConversion"/>
  </si>
  <si>
    <t>DISC. PRESS. FOR PZ2153A</t>
    <phoneticPr fontId="14" type="noConversion"/>
  </si>
  <si>
    <t>DISC. PRESS. FOR PZ2153B</t>
    <phoneticPr fontId="14" type="noConversion"/>
  </si>
  <si>
    <t>DISC. PRESS. FOR PZ2156</t>
    <phoneticPr fontId="14" type="noConversion"/>
  </si>
  <si>
    <t>DISC. PRESS. FOR PZ2158</t>
    <phoneticPr fontId="14" type="noConversion"/>
  </si>
  <si>
    <t>DISC. PRESS. FOR PZ2161A</t>
    <phoneticPr fontId="14" type="noConversion"/>
  </si>
  <si>
    <t>DISC. PRESS. FOR PZ2161B</t>
    <phoneticPr fontId="14" type="noConversion"/>
  </si>
  <si>
    <t>DISC. PRESS. FOR PZ2201A</t>
    <phoneticPr fontId="14" type="noConversion"/>
  </si>
  <si>
    <t>DISC. PRESS. FOR PZ2201B</t>
    <phoneticPr fontId="14" type="noConversion"/>
  </si>
  <si>
    <t>DISC. PRESS. FOR PZ2202A</t>
    <phoneticPr fontId="14" type="noConversion"/>
  </si>
  <si>
    <t>DISC. PRESS. FOR PZ2202B</t>
    <phoneticPr fontId="14" type="noConversion"/>
  </si>
  <si>
    <t>DISC. PRESS. FOR PZ2203A</t>
    <phoneticPr fontId="14" type="noConversion"/>
  </si>
  <si>
    <t>DISC. PRESS. FOR PZ2203B</t>
    <phoneticPr fontId="14" type="noConversion"/>
  </si>
  <si>
    <t>DISC. PRESS. FOR PZ2204A</t>
    <phoneticPr fontId="14" type="noConversion"/>
  </si>
  <si>
    <t>DISC. PRESS. FOR PZ2204B</t>
    <phoneticPr fontId="14" type="noConversion"/>
  </si>
  <si>
    <t>DISC. PRESS. FOR PZ2204C</t>
    <phoneticPr fontId="14" type="noConversion"/>
  </si>
  <si>
    <t>DISC. PRESS. FOR PZ2205A</t>
    <phoneticPr fontId="14" type="noConversion"/>
  </si>
  <si>
    <t>DISC. PRESS. FOR PZ2205B</t>
    <phoneticPr fontId="14" type="noConversion"/>
  </si>
  <si>
    <t>DISC. PRESS. FOR PZ2206A</t>
    <phoneticPr fontId="14" type="noConversion"/>
  </si>
  <si>
    <t>DISC. PRESS. FOR PZ2206B</t>
    <phoneticPr fontId="14" type="noConversion"/>
  </si>
  <si>
    <t>DISC. PRESS. FOR PZ2207</t>
    <phoneticPr fontId="14" type="noConversion"/>
  </si>
  <si>
    <t>DISC. PRESS. FOR PZ2855A</t>
    <phoneticPr fontId="14" type="noConversion"/>
  </si>
  <si>
    <t>DISC. PRESS. FOR PZ2855B</t>
    <phoneticPr fontId="14" type="noConversion"/>
  </si>
  <si>
    <t>SUC. PRESS. FOR PZ2103A</t>
    <phoneticPr fontId="14" type="noConversion"/>
  </si>
  <si>
    <t>SUC. PRESS. FOR PZ2103B</t>
    <phoneticPr fontId="14" type="noConversion"/>
  </si>
  <si>
    <t>SUC. PRESS. FOR PZ2103C</t>
    <phoneticPr fontId="14" type="noConversion"/>
  </si>
  <si>
    <t>SUC. PRESS. FOR PZ2104A</t>
    <phoneticPr fontId="14" type="noConversion"/>
  </si>
  <si>
    <t>SUC. PRESS. FOR PZ2104B</t>
    <phoneticPr fontId="14" type="noConversion"/>
  </si>
  <si>
    <t>SUC. PRESS. FOR PZ2104C</t>
    <phoneticPr fontId="14" type="noConversion"/>
  </si>
  <si>
    <t>SUC. PRESS. FOR PZ2105A</t>
    <phoneticPr fontId="14" type="noConversion"/>
  </si>
  <si>
    <t>SUC. PRESS. FOR PZ2105B</t>
    <phoneticPr fontId="14" type="noConversion"/>
  </si>
  <si>
    <t>SUC. PRESS. FOR PZ2106A</t>
    <phoneticPr fontId="14" type="noConversion"/>
  </si>
  <si>
    <t>SUC. PRESS. FOR PZ2106B</t>
    <phoneticPr fontId="14" type="noConversion"/>
  </si>
  <si>
    <t>SUC. PRESS. FOR PZ2106C</t>
    <phoneticPr fontId="14" type="noConversion"/>
  </si>
  <si>
    <t>SUC. PRESS. FOR PZ2102A</t>
    <phoneticPr fontId="14" type="noConversion"/>
  </si>
  <si>
    <t>SUC. PRESS. FOR PZ2102B</t>
    <phoneticPr fontId="14" type="noConversion"/>
  </si>
  <si>
    <t>SUC. PRESS. FOR PZ2102C</t>
    <phoneticPr fontId="14" type="noConversion"/>
  </si>
  <si>
    <t>SUC. PRESS. FOR PZ2107A</t>
    <phoneticPr fontId="14" type="noConversion"/>
  </si>
  <si>
    <t>SUC. PRESS. FOR PZ2107B</t>
    <phoneticPr fontId="14" type="noConversion"/>
  </si>
  <si>
    <t>SUC. PRESS. FOR PZ2108</t>
    <phoneticPr fontId="14" type="noConversion"/>
  </si>
  <si>
    <t>SUC. PRESS. FOR PZ2109A</t>
    <phoneticPr fontId="14" type="noConversion"/>
  </si>
  <si>
    <t>SUC. PRESS. FOR PZ2109B</t>
    <phoneticPr fontId="14" type="noConversion"/>
  </si>
  <si>
    <t>SUC. PRESS. FOR PZ2110A</t>
    <phoneticPr fontId="14" type="noConversion"/>
  </si>
  <si>
    <t>SUC. PRESS. FOR PZ2110B</t>
    <phoneticPr fontId="14" type="noConversion"/>
  </si>
  <si>
    <t>SUC. PRESS. FOR PZ2112A</t>
    <phoneticPr fontId="14" type="noConversion"/>
  </si>
  <si>
    <t>SUC. PRESS. FOR PZ2112B</t>
    <phoneticPr fontId="14" type="noConversion"/>
  </si>
  <si>
    <t>SUC. PRESS. FOR PZ2111</t>
    <phoneticPr fontId="14" type="noConversion"/>
  </si>
  <si>
    <t>SUC. PRESS. FOR PZ2122</t>
    <phoneticPr fontId="14" type="noConversion"/>
  </si>
  <si>
    <t>SUC. PRESS. FOR PZ2151A</t>
    <phoneticPr fontId="14" type="noConversion"/>
  </si>
  <si>
    <t>SUC. PRESS. FOR PZ2151B</t>
    <phoneticPr fontId="14" type="noConversion"/>
  </si>
  <si>
    <t>SUC. PRESS. FOR PZ2153A</t>
    <phoneticPr fontId="14" type="noConversion"/>
  </si>
  <si>
    <t>SUC. PRESS. FOR PZ2153B</t>
    <phoneticPr fontId="14" type="noConversion"/>
  </si>
  <si>
    <t>SUC. PRESS. FOR PZ2156</t>
    <phoneticPr fontId="14" type="noConversion"/>
  </si>
  <si>
    <t>SUC. PRESS. FOR PZ2158</t>
    <phoneticPr fontId="14" type="noConversion"/>
  </si>
  <si>
    <t>SUC. PRESS. FOR PZ2161A</t>
    <phoneticPr fontId="14" type="noConversion"/>
  </si>
  <si>
    <t>SUC. PRESS. FOR PZ2161B</t>
    <phoneticPr fontId="14" type="noConversion"/>
  </si>
  <si>
    <t>SUC. PRESS. FOR PZ2201A</t>
    <phoneticPr fontId="14" type="noConversion"/>
  </si>
  <si>
    <t>SUC. PRESS. FOR PZ2201B</t>
    <phoneticPr fontId="14" type="noConversion"/>
  </si>
  <si>
    <t>SUC. PRESS. FOR PZ2202A</t>
    <phoneticPr fontId="14" type="noConversion"/>
  </si>
  <si>
    <t>SUC. PRESS. FOR PZ2202B</t>
    <phoneticPr fontId="14" type="noConversion"/>
  </si>
  <si>
    <t>SUC. PRESS. FOR PZ2203A</t>
    <phoneticPr fontId="14" type="noConversion"/>
  </si>
  <si>
    <t>SUC. PRESS. FOR PZ2203B</t>
    <phoneticPr fontId="14" type="noConversion"/>
  </si>
  <si>
    <t>SUC. PRESS. FOR PZ2204A</t>
    <phoneticPr fontId="14" type="noConversion"/>
  </si>
  <si>
    <t>SUC. PRESS. FOR PZ2204B</t>
    <phoneticPr fontId="14" type="noConversion"/>
  </si>
  <si>
    <t>SUC. PRESS. FOR PZ2204C</t>
    <phoneticPr fontId="14" type="noConversion"/>
  </si>
  <si>
    <t>SUC. PRESS. FOR PZ2205A</t>
    <phoneticPr fontId="14" type="noConversion"/>
  </si>
  <si>
    <t>SUC. PRESS. FOR PZ2205B</t>
    <phoneticPr fontId="14" type="noConversion"/>
  </si>
  <si>
    <t>SUC. PRESS. FOR PZ2206A</t>
    <phoneticPr fontId="14" type="noConversion"/>
  </si>
  <si>
    <t>SUC. PRESS. FOR PZ2206B</t>
    <phoneticPr fontId="14" type="noConversion"/>
  </si>
  <si>
    <t>SUC. PRESS. FOR PZ2207</t>
    <phoneticPr fontId="14" type="noConversion"/>
  </si>
  <si>
    <t>SUC. PRESS. FOR PZ2855A</t>
    <phoneticPr fontId="14" type="noConversion"/>
  </si>
  <si>
    <t>SUC. PRESS. FOR PZ2855B</t>
    <phoneticPr fontId="14" type="noConversion"/>
  </si>
  <si>
    <t>EZ2112A_N OUT</t>
    <phoneticPr fontId="14" type="noConversion"/>
  </si>
  <si>
    <t>EZ2203 TUBE IN TEMP</t>
    <phoneticPr fontId="14" type="noConversion"/>
  </si>
  <si>
    <t>FI_2315</t>
    <phoneticPr fontId="14" type="noConversion"/>
  </si>
  <si>
    <t>FI_2600C</t>
    <phoneticPr fontId="14" type="noConversion"/>
  </si>
  <si>
    <t>FI_2626</t>
    <phoneticPr fontId="14" type="noConversion"/>
  </si>
  <si>
    <t>FI_2627</t>
    <phoneticPr fontId="14" type="noConversion"/>
  </si>
  <si>
    <t>GOH3 FG</t>
    <phoneticPr fontId="14" type="noConversion"/>
  </si>
  <si>
    <t>CDU3 FG</t>
    <phoneticPr fontId="14" type="noConversion"/>
  </si>
  <si>
    <t>PZ2117A FLOW</t>
    <phoneticPr fontId="14" type="noConversion"/>
  </si>
  <si>
    <t>HOT LGO TO BLENDER</t>
    <phoneticPr fontId="14" type="noConversion"/>
  </si>
  <si>
    <t>FIZ1046</t>
    <phoneticPr fontId="14" type="noConversion"/>
  </si>
  <si>
    <t>FIZ5003</t>
    <phoneticPr fontId="14" type="noConversion"/>
  </si>
  <si>
    <t>NORMAL DUTY HZ2101</t>
    <phoneticPr fontId="14" type="noConversion"/>
  </si>
  <si>
    <t>NORMAL DUTY HZ2151</t>
    <phoneticPr fontId="14" type="noConversion"/>
  </si>
  <si>
    <t>NORMAL DUTY HZ2201</t>
    <phoneticPr fontId="14" type="noConversion"/>
  </si>
  <si>
    <t>FRTZ5005</t>
    <phoneticPr fontId="14" type="noConversion"/>
  </si>
  <si>
    <t>FRZ5017</t>
    <phoneticPr fontId="14" type="noConversion"/>
  </si>
  <si>
    <t>FT_4006</t>
    <phoneticPr fontId="14" type="noConversion"/>
  </si>
  <si>
    <t>DZ2852 LEVEL</t>
    <phoneticPr fontId="14" type="noConversion"/>
  </si>
  <si>
    <t>DZ3002 LEVEL</t>
    <phoneticPr fontId="14" type="noConversion"/>
  </si>
  <si>
    <t>D2603 LEVEL</t>
    <phoneticPr fontId="14" type="noConversion"/>
  </si>
  <si>
    <t>CDU4 HEATER HZ2151 NOX EMISSIE</t>
    <phoneticPr fontId="14" type="noConversion"/>
  </si>
  <si>
    <t>PAZ5009</t>
    <phoneticPr fontId="14" type="noConversion"/>
  </si>
  <si>
    <t>HZ2101 INSTRUMENT AIR FILTER</t>
    <phoneticPr fontId="14" type="noConversion"/>
  </si>
  <si>
    <t>HZ2101 PILOTE FILTER</t>
    <phoneticPr fontId="14" type="noConversion"/>
  </si>
  <si>
    <t>HZ2101 MAIN FG FILTER</t>
    <phoneticPr fontId="14" type="noConversion"/>
  </si>
  <si>
    <t>HZ2201 MAIN FG FILTER</t>
    <phoneticPr fontId="14" type="noConversion"/>
  </si>
  <si>
    <t>HZ2151 PILOTE FILTER</t>
    <phoneticPr fontId="14" type="noConversion"/>
  </si>
  <si>
    <t>HZ2151 INSTRUMENT AIR FILTER</t>
    <phoneticPr fontId="14" type="noConversion"/>
  </si>
  <si>
    <t>HZ2201 PILOTE FILTER</t>
    <phoneticPr fontId="14" type="noConversion"/>
  </si>
  <si>
    <t>HZ2201 INSTRUMENT AIR FILTER</t>
    <phoneticPr fontId="14" type="noConversion"/>
  </si>
  <si>
    <t>PDSZ2063</t>
    <phoneticPr fontId="14" type="noConversion"/>
  </si>
  <si>
    <t>HRU GAS FEED DRUM</t>
    <phoneticPr fontId="14" type="noConversion"/>
  </si>
  <si>
    <t>LUBE OIL PRESS</t>
    <phoneticPr fontId="14" type="noConversion"/>
  </si>
  <si>
    <t>PIZ10159</t>
    <phoneticPr fontId="14" type="noConversion"/>
  </si>
  <si>
    <t>PIZ10166</t>
    <phoneticPr fontId="14" type="noConversion"/>
  </si>
  <si>
    <t>PIZ1022</t>
    <phoneticPr fontId="14" type="noConversion"/>
  </si>
  <si>
    <t>PIZ1023</t>
    <phoneticPr fontId="14" type="noConversion"/>
  </si>
  <si>
    <t>DZ2101A PRESSURE</t>
    <phoneticPr fontId="14" type="noConversion"/>
  </si>
  <si>
    <t>DZ2101B PRESSURE</t>
    <phoneticPr fontId="14" type="noConversion"/>
  </si>
  <si>
    <t>PIZ1074</t>
    <phoneticPr fontId="14" type="noConversion"/>
  </si>
  <si>
    <t>PIZ1075</t>
    <phoneticPr fontId="14" type="noConversion"/>
  </si>
  <si>
    <t>PIZ1076</t>
    <phoneticPr fontId="14" type="noConversion"/>
  </si>
  <si>
    <t>PIZ1077</t>
    <phoneticPr fontId="14" type="noConversion"/>
  </si>
  <si>
    <t>PIZ1078</t>
    <phoneticPr fontId="14" type="noConversion"/>
  </si>
  <si>
    <t>PIZ1079</t>
    <phoneticPr fontId="14" type="noConversion"/>
  </si>
  <si>
    <t>PIZ1085</t>
    <phoneticPr fontId="14" type="noConversion"/>
  </si>
  <si>
    <t>PIZ1087</t>
    <phoneticPr fontId="14" type="noConversion"/>
  </si>
  <si>
    <t>PIZ1109</t>
    <phoneticPr fontId="14" type="noConversion"/>
  </si>
  <si>
    <t>PIZ1161</t>
    <phoneticPr fontId="14" type="noConversion"/>
  </si>
  <si>
    <t>PIZ1165</t>
    <phoneticPr fontId="14" type="noConversion"/>
  </si>
  <si>
    <t>PIZ1167</t>
    <phoneticPr fontId="14" type="noConversion"/>
  </si>
  <si>
    <t>EZ2151C INLET</t>
    <phoneticPr fontId="14" type="noConversion"/>
  </si>
  <si>
    <t>EZ2151D OUTLET</t>
    <phoneticPr fontId="14" type="noConversion"/>
  </si>
  <si>
    <t>EZ2151E OUTLET</t>
    <phoneticPr fontId="14" type="noConversion"/>
  </si>
  <si>
    <t>EZ2151A OUTLET</t>
    <phoneticPr fontId="14" type="noConversion"/>
  </si>
  <si>
    <t>TIC2327</t>
    <phoneticPr fontId="14" type="noConversion"/>
  </si>
  <si>
    <t>LUBE OIL TEMP</t>
    <phoneticPr fontId="14" type="noConversion"/>
  </si>
  <si>
    <t>TICZ3006</t>
    <phoneticPr fontId="14" type="noConversion"/>
  </si>
  <si>
    <t>TIZ1005</t>
    <phoneticPr fontId="14" type="noConversion"/>
  </si>
  <si>
    <t>CRUDE INLET EZ2104A</t>
    <phoneticPr fontId="14" type="noConversion"/>
  </si>
  <si>
    <t>CRUDE INLET EZ2104B</t>
    <phoneticPr fontId="14" type="noConversion"/>
  </si>
  <si>
    <t>TIZ1079</t>
    <phoneticPr fontId="14" type="noConversion"/>
  </si>
  <si>
    <t>TIZ1154</t>
    <phoneticPr fontId="14" type="noConversion"/>
  </si>
  <si>
    <t>TIZ1155</t>
    <phoneticPr fontId="14" type="noConversion"/>
  </si>
  <si>
    <t>TIZ1156</t>
    <phoneticPr fontId="14" type="noConversion"/>
  </si>
  <si>
    <t>TIZ1157</t>
    <phoneticPr fontId="14" type="noConversion"/>
  </si>
  <si>
    <t>TIZ1158</t>
    <phoneticPr fontId="14" type="noConversion"/>
  </si>
  <si>
    <t>TIZ5005</t>
    <phoneticPr fontId="14" type="noConversion"/>
  </si>
  <si>
    <t>TIZ5060</t>
    <phoneticPr fontId="14" type="noConversion"/>
  </si>
  <si>
    <t>TWZ5006</t>
    <phoneticPr fontId="14" type="noConversion"/>
  </si>
  <si>
    <t>BFW PRESS</t>
    <phoneticPr fontId="14" type="noConversion"/>
  </si>
  <si>
    <t>HZ2101 PILOTE</t>
    <phoneticPr fontId="14" type="noConversion"/>
  </si>
  <si>
    <t>HZ2101 INSTRUMENT AIR</t>
    <phoneticPr fontId="14" type="noConversion"/>
  </si>
  <si>
    <t>HZ2151 MAIN FG</t>
    <phoneticPr fontId="14" type="noConversion"/>
  </si>
  <si>
    <t>HZ2151 INSTRUMENT AIR</t>
    <phoneticPr fontId="14" type="noConversion"/>
  </si>
  <si>
    <t>HZ2151 PILOTE</t>
    <phoneticPr fontId="14" type="noConversion"/>
  </si>
  <si>
    <t>HZ2201 MAIN FG</t>
    <phoneticPr fontId="14" type="noConversion"/>
  </si>
  <si>
    <t>HZ2201 PILOTE</t>
    <phoneticPr fontId="14" type="noConversion"/>
  </si>
  <si>
    <t>HZ2201 INSTRUMENT AIR</t>
    <phoneticPr fontId="14" type="noConversion"/>
  </si>
  <si>
    <t>SMOKE HZ2101</t>
    <phoneticPr fontId="14" type="noConversion"/>
  </si>
  <si>
    <t>FUEL GAS HEADER SG</t>
    <phoneticPr fontId="14" type="noConversion"/>
  </si>
  <si>
    <t>CRUDE OVERHEADS PH</t>
    <phoneticPr fontId="14" type="noConversion"/>
  </si>
  <si>
    <t>CDU HEATER O2 FLUE GAS A</t>
    <phoneticPr fontId="14" type="noConversion"/>
  </si>
  <si>
    <t>CDU HEATER O2 FLUE GAS B</t>
    <phoneticPr fontId="14" type="noConversion"/>
  </si>
  <si>
    <t>CO IN FLUE GAS</t>
    <phoneticPr fontId="14" type="noConversion"/>
  </si>
  <si>
    <t>COLOUR ANALYSER</t>
    <phoneticPr fontId="14" type="noConversion"/>
  </si>
  <si>
    <t>LGO BP95%</t>
    <phoneticPr fontId="14" type="noConversion"/>
  </si>
  <si>
    <t>RING</t>
    <phoneticPr fontId="14" type="noConversion"/>
  </si>
  <si>
    <t>KG/NM3</t>
    <phoneticPr fontId="14" type="noConversion"/>
  </si>
  <si>
    <t>PH</t>
    <phoneticPr fontId="14" type="noConversion"/>
  </si>
  <si>
    <t>%</t>
    <phoneticPr fontId="14" type="noConversion"/>
  </si>
  <si>
    <t>PPM</t>
    <phoneticPr fontId="14" type="noConversion"/>
  </si>
  <si>
    <t>-</t>
    <phoneticPr fontId="14" type="noConversion"/>
  </si>
  <si>
    <t>DEGC</t>
    <phoneticPr fontId="14" type="noConversion"/>
  </si>
  <si>
    <t>VOL%</t>
    <phoneticPr fontId="14" type="noConversion"/>
  </si>
  <si>
    <t>PCT</t>
    <phoneticPr fontId="14" type="noConversion"/>
  </si>
  <si>
    <t>MG/NM3</t>
    <phoneticPr fontId="14" type="noConversion"/>
  </si>
  <si>
    <t>BAR</t>
    <phoneticPr fontId="14" type="noConversion"/>
  </si>
  <si>
    <t>VOLPCT</t>
    <phoneticPr fontId="14" type="noConversion"/>
  </si>
  <si>
    <t>KG/M3</t>
    <phoneticPr fontId="14" type="noConversion"/>
  </si>
  <si>
    <t>MOL%</t>
    <phoneticPr fontId="14" type="noConversion"/>
  </si>
  <si>
    <t>M3/H</t>
    <phoneticPr fontId="14" type="noConversion"/>
  </si>
  <si>
    <t>T/H</t>
    <phoneticPr fontId="14" type="noConversion"/>
  </si>
  <si>
    <t>NM3/H</t>
    <phoneticPr fontId="14" type="noConversion"/>
  </si>
  <si>
    <t>KNM3/H</t>
    <phoneticPr fontId="14" type="noConversion"/>
  </si>
  <si>
    <t>NM3/HR</t>
    <phoneticPr fontId="14" type="noConversion"/>
  </si>
  <si>
    <t>BARG</t>
    <phoneticPr fontId="14" type="noConversion"/>
  </si>
  <si>
    <t>MBAR</t>
    <phoneticPr fontId="14" type="noConversion"/>
  </si>
  <si>
    <t>MBARA</t>
    <phoneticPr fontId="14" type="noConversion"/>
  </si>
  <si>
    <t>MBARG</t>
    <phoneticPr fontId="14" type="noConversion"/>
  </si>
  <si>
    <t>MMWG</t>
    <phoneticPr fontId="14" type="noConversion"/>
  </si>
  <si>
    <t>RPM</t>
    <phoneticPr fontId="14" type="noConversion"/>
  </si>
  <si>
    <t>MM/S</t>
    <phoneticPr fontId="14" type="noConversion"/>
  </si>
  <si>
    <t>MW</t>
    <phoneticPr fontId="14" type="noConversion"/>
  </si>
  <si>
    <t>A</t>
    <phoneticPr fontId="14" type="noConversion"/>
  </si>
  <si>
    <t>AMP</t>
    <phoneticPr fontId="14" type="noConversion"/>
  </si>
  <si>
    <t>KG/H</t>
    <phoneticPr fontId="14" type="noConversion"/>
  </si>
  <si>
    <t>t/H</t>
    <phoneticPr fontId="14" type="noConversion"/>
  </si>
  <si>
    <t>1.48219693752374E-323</t>
    <phoneticPr fontId="14" type="noConversion"/>
  </si>
  <si>
    <t>6</t>
    <phoneticPr fontId="14" type="noConversion"/>
  </si>
</sst>
</file>

<file path=xl/styles.xml><?xml version="1.0" encoding="utf-8"?>
<styleSheet xmlns="http://schemas.openxmlformats.org/spreadsheetml/2006/main">
  <numFmts count="9">
    <numFmt numFmtId="176" formatCode="0.0"/>
    <numFmt numFmtId="177" formatCode="0.00_ "/>
    <numFmt numFmtId="178" formatCode="0_ "/>
    <numFmt numFmtId="179" formatCode="0.000"/>
    <numFmt numFmtId="180" formatCode="0.00_);[Red]\(0.00\)"/>
    <numFmt numFmtId="181" formatCode="0.000_);[Red]\(0.000\)"/>
    <numFmt numFmtId="182" formatCode="0_);[Red]\(0\)"/>
    <numFmt numFmtId="183" formatCode="0.0_);[Red]\(0.0\)"/>
    <numFmt numFmtId="184" formatCode="0.0_ "/>
  </numFmts>
  <fonts count="83">
    <font>
      <sz val="11"/>
      <color theme="1"/>
      <name val="宋体"/>
      <family val="2"/>
      <scheme val="minor"/>
    </font>
    <font>
      <b/>
      <sz val="10"/>
      <color indexed="14"/>
      <name val="Arial"/>
      <family val="2"/>
    </font>
    <font>
      <sz val="10"/>
      <name val="Arial"/>
      <family val="2"/>
    </font>
    <font>
      <b/>
      <sz val="10"/>
      <color indexed="10"/>
      <name val="Arial"/>
      <family val="2"/>
    </font>
    <font>
      <b/>
      <sz val="10"/>
      <name val="Arial"/>
      <family val="2"/>
    </font>
    <font>
      <b/>
      <i/>
      <sz val="10"/>
      <color indexed="57"/>
      <name val="Arial"/>
      <family val="2"/>
    </font>
    <font>
      <b/>
      <i/>
      <sz val="10"/>
      <name val="Arial"/>
      <family val="2"/>
    </font>
    <font>
      <b/>
      <i/>
      <sz val="10"/>
      <color indexed="12"/>
      <name val="Arial"/>
      <family val="2"/>
    </font>
    <font>
      <b/>
      <sz val="10"/>
      <color indexed="42"/>
      <name val="Arial"/>
      <family val="2"/>
    </font>
    <font>
      <i/>
      <sz val="10"/>
      <name val="Arial"/>
      <family val="2"/>
    </font>
    <font>
      <sz val="10"/>
      <color indexed="14"/>
      <name val="Arial"/>
      <family val="2"/>
    </font>
    <font>
      <sz val="10"/>
      <color indexed="12"/>
      <name val="Arial"/>
      <family val="2"/>
    </font>
    <font>
      <sz val="10"/>
      <color indexed="10"/>
      <name val="Arial"/>
      <family val="2"/>
    </font>
    <font>
      <b/>
      <sz val="10"/>
      <color theme="3" tint="0.39997558519241921"/>
      <name val="Arial"/>
      <family val="2"/>
    </font>
    <font>
      <sz val="9"/>
      <name val="宋体"/>
      <family val="3"/>
      <charset val="134"/>
      <scheme val="minor"/>
    </font>
    <font>
      <sz val="48"/>
      <color theme="1"/>
      <name val="宋体"/>
      <family val="2"/>
      <scheme val="minor"/>
    </font>
    <font>
      <sz val="9"/>
      <name val="宋体"/>
      <family val="3"/>
      <charset val="134"/>
    </font>
    <font>
      <sz val="10"/>
      <name val="宋体"/>
      <family val="3"/>
      <charset val="134"/>
    </font>
    <font>
      <b/>
      <sz val="9"/>
      <color indexed="81"/>
      <name val="Tahoma"/>
      <family val="2"/>
    </font>
    <font>
      <sz val="9"/>
      <color indexed="81"/>
      <name val="Tahoma"/>
      <family val="2"/>
    </font>
    <font>
      <b/>
      <sz val="10"/>
      <color rgb="FFFF0000"/>
      <name val="Arial"/>
      <family val="2"/>
    </font>
    <font>
      <sz val="10"/>
      <color rgb="FFFF0000"/>
      <name val="Arial"/>
      <family val="2"/>
    </font>
    <font>
      <b/>
      <sz val="10"/>
      <color theme="1"/>
      <name val="Arial"/>
      <family val="2"/>
    </font>
    <font>
      <sz val="10"/>
      <color theme="2" tint="-0.499984740745262"/>
      <name val="Arial"/>
      <family val="2"/>
    </font>
    <font>
      <u/>
      <sz val="10"/>
      <color indexed="12"/>
      <name val="Arial"/>
      <family val="2"/>
    </font>
    <font>
      <sz val="10"/>
      <color indexed="8"/>
      <name val="Arial"/>
      <family val="2"/>
    </font>
    <font>
      <sz val="8"/>
      <color indexed="8"/>
      <name val="Arial"/>
      <family val="2"/>
    </font>
    <font>
      <sz val="8"/>
      <name val="Arial"/>
      <family val="2"/>
    </font>
    <font>
      <b/>
      <sz val="8"/>
      <color indexed="81"/>
      <name val="Tahoma"/>
      <family val="2"/>
    </font>
    <font>
      <sz val="8"/>
      <color indexed="81"/>
      <name val="Tahoma"/>
      <family val="2"/>
    </font>
    <font>
      <sz val="11"/>
      <color theme="1"/>
      <name val="宋体"/>
      <family val="3"/>
      <charset val="134"/>
      <scheme val="minor"/>
    </font>
    <font>
      <sz val="11"/>
      <color theme="0"/>
      <name val="宋体"/>
      <family val="3"/>
      <charset val="134"/>
      <scheme val="minor"/>
    </font>
    <font>
      <b/>
      <sz val="15"/>
      <color indexed="62"/>
      <name val="宋体"/>
      <family val="3"/>
      <charset val="134"/>
      <scheme val="minor"/>
    </font>
    <font>
      <b/>
      <sz val="15"/>
      <color theme="3"/>
      <name val="宋体"/>
      <family val="3"/>
      <charset val="134"/>
      <scheme val="minor"/>
    </font>
    <font>
      <b/>
      <sz val="13"/>
      <color indexed="62"/>
      <name val="宋体"/>
      <family val="3"/>
      <charset val="134"/>
      <scheme val="minor"/>
    </font>
    <font>
      <b/>
      <sz val="13"/>
      <color theme="3"/>
      <name val="宋体"/>
      <family val="3"/>
      <charset val="134"/>
      <scheme val="minor"/>
    </font>
    <font>
      <b/>
      <sz val="11"/>
      <color indexed="62"/>
      <name val="宋体"/>
      <family val="3"/>
      <charset val="134"/>
      <scheme val="minor"/>
    </font>
    <font>
      <b/>
      <sz val="11"/>
      <color theme="3"/>
      <name val="宋体"/>
      <family val="3"/>
      <charset val="134"/>
      <scheme val="minor"/>
    </font>
    <font>
      <b/>
      <sz val="18"/>
      <color indexed="62"/>
      <name val="宋体"/>
      <family val="3"/>
      <charset val="134"/>
      <scheme val="major"/>
    </font>
    <font>
      <b/>
      <sz val="18"/>
      <color theme="3"/>
      <name val="宋体"/>
      <family val="3"/>
      <charset val="134"/>
      <scheme val="major"/>
    </font>
    <font>
      <sz val="11"/>
      <color rgb="FF9C0006"/>
      <name val="宋体"/>
      <family val="3"/>
      <charset val="134"/>
      <scheme val="minor"/>
    </font>
    <font>
      <sz val="11"/>
      <color rgb="FF006100"/>
      <name val="宋体"/>
      <family val="3"/>
      <charset val="134"/>
      <scheme val="minor"/>
    </font>
    <font>
      <b/>
      <sz val="11"/>
      <color theme="1"/>
      <name val="宋体"/>
      <family val="3"/>
      <charset val="134"/>
      <scheme val="minor"/>
    </font>
    <font>
      <b/>
      <sz val="11"/>
      <color indexed="10"/>
      <name val="宋体"/>
      <family val="3"/>
      <charset val="134"/>
      <scheme val="minor"/>
    </font>
    <font>
      <b/>
      <sz val="11"/>
      <color rgb="FFFA7D00"/>
      <name val="宋体"/>
      <family val="3"/>
      <charset val="134"/>
      <scheme val="minor"/>
    </font>
    <font>
      <b/>
      <sz val="11"/>
      <color theme="0"/>
      <name val="宋体"/>
      <family val="3"/>
      <charset val="134"/>
      <scheme val="minor"/>
    </font>
    <font>
      <i/>
      <sz val="11"/>
      <color rgb="FF7F7F7F"/>
      <name val="宋体"/>
      <family val="3"/>
      <charset val="134"/>
      <scheme val="minor"/>
    </font>
    <font>
      <sz val="11"/>
      <color rgb="FFFF0000"/>
      <name val="宋体"/>
      <family val="3"/>
      <charset val="134"/>
      <scheme val="minor"/>
    </font>
    <font>
      <sz val="11"/>
      <color indexed="10"/>
      <name val="宋体"/>
      <family val="3"/>
      <charset val="134"/>
      <scheme val="minor"/>
    </font>
    <font>
      <sz val="11"/>
      <color rgb="FFFA7D00"/>
      <name val="宋体"/>
      <family val="3"/>
      <charset val="134"/>
      <scheme val="minor"/>
    </font>
    <font>
      <sz val="11"/>
      <color indexed="19"/>
      <name val="宋体"/>
      <family val="3"/>
      <charset val="134"/>
      <scheme val="minor"/>
    </font>
    <font>
      <sz val="11"/>
      <color rgb="FF9C6500"/>
      <name val="宋体"/>
      <family val="3"/>
      <charset val="134"/>
      <scheme val="minor"/>
    </font>
    <font>
      <b/>
      <sz val="11"/>
      <color rgb="FF3F3F3F"/>
      <name val="宋体"/>
      <family val="3"/>
      <charset val="134"/>
      <scheme val="minor"/>
    </font>
    <font>
      <sz val="11"/>
      <color rgb="FF3F3F76"/>
      <name val="宋体"/>
      <family val="3"/>
      <charset val="134"/>
      <scheme val="minor"/>
    </font>
    <font>
      <sz val="11"/>
      <color indexed="8"/>
      <name val="宋体"/>
      <family val="3"/>
      <charset val="134"/>
    </font>
    <font>
      <b/>
      <sz val="11"/>
      <color theme="1"/>
      <name val="宋体"/>
      <family val="2"/>
      <scheme val="minor"/>
    </font>
    <font>
      <i/>
      <sz val="10"/>
      <color indexed="12"/>
      <name val="Arial"/>
      <family val="2"/>
    </font>
    <font>
      <sz val="10"/>
      <color theme="1"/>
      <name val="Arial"/>
      <family val="2"/>
    </font>
    <font>
      <sz val="10"/>
      <color theme="3" tint="0.39997558519241921"/>
      <name val="Arial"/>
      <family val="2"/>
    </font>
    <font>
      <sz val="10"/>
      <color theme="1" tint="0.499984740745262"/>
      <name val="Arial"/>
      <family val="2"/>
    </font>
    <font>
      <sz val="11"/>
      <color theme="1"/>
      <name val="宋体"/>
      <family val="2"/>
      <scheme val="minor"/>
    </font>
    <font>
      <b/>
      <sz val="18"/>
      <color theme="3"/>
      <name val="宋体"/>
      <family val="2"/>
      <scheme val="major"/>
    </font>
    <font>
      <b/>
      <sz val="15"/>
      <color theme="3"/>
      <name val="宋体"/>
      <family val="2"/>
      <scheme val="minor"/>
    </font>
    <font>
      <b/>
      <sz val="13"/>
      <color theme="3"/>
      <name val="宋体"/>
      <family val="2"/>
      <scheme val="minor"/>
    </font>
    <font>
      <b/>
      <sz val="11"/>
      <color theme="3"/>
      <name val="宋体"/>
      <family val="2"/>
      <scheme val="minor"/>
    </font>
    <font>
      <sz val="11"/>
      <color rgb="FF006100"/>
      <name val="宋体"/>
      <family val="2"/>
      <scheme val="minor"/>
    </font>
    <font>
      <sz val="11"/>
      <color rgb="FF9C0006"/>
      <name val="宋体"/>
      <family val="2"/>
      <scheme val="minor"/>
    </font>
    <font>
      <sz val="11"/>
      <color rgb="FF9C6500"/>
      <name val="宋体"/>
      <family val="2"/>
      <scheme val="minor"/>
    </font>
    <font>
      <sz val="11"/>
      <color rgb="FF3F3F76"/>
      <name val="宋体"/>
      <family val="2"/>
      <scheme val="minor"/>
    </font>
    <font>
      <b/>
      <sz val="11"/>
      <color rgb="FF3F3F3F"/>
      <name val="宋体"/>
      <family val="2"/>
      <scheme val="minor"/>
    </font>
    <font>
      <b/>
      <sz val="11"/>
      <color rgb="FFFA7D00"/>
      <name val="宋体"/>
      <family val="2"/>
      <scheme val="minor"/>
    </font>
    <font>
      <sz val="11"/>
      <color rgb="FFFA7D00"/>
      <name val="宋体"/>
      <family val="2"/>
      <scheme val="minor"/>
    </font>
    <font>
      <b/>
      <sz val="11"/>
      <color theme="0"/>
      <name val="宋体"/>
      <family val="2"/>
      <scheme val="minor"/>
    </font>
    <font>
      <sz val="11"/>
      <color rgb="FFFF0000"/>
      <name val="宋体"/>
      <family val="2"/>
      <scheme val="minor"/>
    </font>
    <font>
      <i/>
      <sz val="11"/>
      <color rgb="FF7F7F7F"/>
      <name val="宋体"/>
      <family val="2"/>
      <scheme val="minor"/>
    </font>
    <font>
      <sz val="11"/>
      <color theme="0"/>
      <name val="宋体"/>
      <family val="2"/>
      <scheme val="minor"/>
    </font>
    <font>
      <sz val="11"/>
      <color theme="1"/>
      <name val="Arial"/>
      <family val="2"/>
    </font>
    <font>
      <sz val="10"/>
      <color indexed="8"/>
      <name val="Bookman Old Style"/>
      <family val="1"/>
    </font>
    <font>
      <sz val="10"/>
      <name val="Bookman Old Style"/>
      <family val="1"/>
    </font>
    <font>
      <u/>
      <sz val="11"/>
      <color theme="10"/>
      <name val="Arial"/>
      <family val="2"/>
    </font>
    <font>
      <strike/>
      <sz val="10"/>
      <color indexed="8"/>
      <name val="Bookman Old Style"/>
      <family val="1"/>
    </font>
    <font>
      <sz val="10"/>
      <color rgb="FFFF0000"/>
      <name val="Bookman Old Style"/>
      <family val="1"/>
    </font>
    <font>
      <sz val="10"/>
      <name val="Arial"/>
    </font>
  </fonts>
  <fills count="84">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rgb="FFCCFFCC"/>
        <bgColor indexed="64"/>
      </patternFill>
    </fill>
    <fill>
      <patternFill patternType="solid">
        <fgColor theme="3" tint="0.59999389629810485"/>
        <bgColor indexed="64"/>
      </patternFill>
    </fill>
    <fill>
      <patternFill patternType="solid">
        <fgColor rgb="FFFFFFCC"/>
        <bgColor indexed="64"/>
      </patternFill>
    </fill>
    <fill>
      <patternFill patternType="solid">
        <fgColor indexed="26"/>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
      <patternFill patternType="solid">
        <fgColor indexed="44"/>
        <bgColor indexed="64"/>
      </patternFill>
    </fill>
    <fill>
      <patternFill patternType="solid">
        <fgColor theme="5" tint="0.79998168889431442"/>
        <bgColor indexed="64"/>
      </patternFill>
    </fill>
    <fill>
      <patternFill patternType="solid">
        <fgColor rgb="FF92D050"/>
        <bgColor indexed="64"/>
      </patternFill>
    </fill>
    <fill>
      <patternFill patternType="solid">
        <fgColor indexed="9"/>
        <bgColor indexed="64"/>
      </patternFill>
    </fill>
    <fill>
      <patternFill patternType="solid">
        <fgColor indexed="13"/>
        <bgColor indexed="64"/>
      </patternFill>
    </fill>
    <fill>
      <patternFill patternType="solid">
        <fgColor indexed="45"/>
        <bgColor indexed="64"/>
      </patternFill>
    </fill>
    <fill>
      <patternFill patternType="solid">
        <fgColor theme="9" tint="-0.249977111117893"/>
        <bgColor indexed="64"/>
      </patternFill>
    </fill>
    <fill>
      <patternFill patternType="solid">
        <fgColor theme="1" tint="0.249977111117893"/>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indexed="10"/>
        <bgColor indexed="64"/>
      </patternFill>
    </fill>
    <fill>
      <patternFill patternType="solid">
        <fgColor indexed="10"/>
        <bgColor indexed="8"/>
      </patternFill>
    </fill>
    <fill>
      <patternFill patternType="solid">
        <fgColor indexed="9"/>
        <bgColor indexed="8"/>
      </patternFill>
    </fill>
    <fill>
      <patternFill patternType="solid">
        <fgColor theme="6" tint="0.59999389629810485"/>
        <bgColor indexed="64"/>
      </patternFill>
    </fill>
    <fill>
      <patternFill patternType="solid">
        <fgColor rgb="FF00B050"/>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46"/>
      </patternFill>
    </fill>
    <fill>
      <patternFill patternType="solid">
        <fgColor indexed="9"/>
      </patternFill>
    </fill>
    <fill>
      <patternFill patternType="solid">
        <fgColor indexed="56"/>
      </patternFill>
    </fill>
    <fill>
      <patternFill patternType="solid">
        <fgColor indexed="54"/>
      </patternFill>
    </fill>
    <fill>
      <patternFill patternType="solid">
        <fgColor indexed="10"/>
      </patternFill>
    </fill>
    <fill>
      <patternFill patternType="solid">
        <fgColor rgb="FF00B0F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9"/>
        <bgColor indexed="64"/>
      </patternFill>
    </fill>
    <fill>
      <patternFill patternType="solid">
        <fgColor theme="6"/>
        <bgColor indexed="64"/>
      </patternFill>
    </fill>
    <fill>
      <patternFill patternType="solid">
        <fgColor theme="4" tint="0.79998168889431442"/>
        <bgColor indexed="64"/>
      </patternFill>
    </fill>
    <fill>
      <patternFill patternType="solid">
        <fgColor indexed="29"/>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theme="2" tint="-0.499984740745262"/>
        <bgColor indexed="64"/>
      </patternFill>
    </fill>
    <fill>
      <patternFill patternType="solid">
        <fgColor rgb="FFFFC000"/>
        <bgColor indexed="64"/>
      </patternFill>
    </fill>
    <fill>
      <patternFill patternType="solid">
        <fgColor rgb="FFFF00FF"/>
        <bgColor indexed="64"/>
      </patternFill>
    </fill>
  </fills>
  <borders count="11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auto="1"/>
      </left>
      <right style="medium">
        <color auto="1"/>
      </right>
      <top style="medium">
        <color auto="1"/>
      </top>
      <bottom style="thin">
        <color auto="1"/>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medium">
        <color indexed="64"/>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thick">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ck">
        <color indexed="64"/>
      </right>
      <top style="thin">
        <color indexed="64"/>
      </top>
      <bottom/>
      <diagonal/>
    </border>
    <border>
      <left style="medium">
        <color indexed="64"/>
      </left>
      <right style="medium">
        <color indexed="64"/>
      </right>
      <top style="thin">
        <color indexed="64"/>
      </top>
      <bottom style="thick">
        <color indexed="64"/>
      </bottom>
      <diagonal/>
    </border>
    <border>
      <left style="medium">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right style="thick">
        <color indexed="64"/>
      </right>
      <top style="thin">
        <color indexed="64"/>
      </top>
      <bottom style="thick">
        <color indexed="64"/>
      </bottom>
      <diagonal/>
    </border>
    <border>
      <left style="medium">
        <color indexed="64"/>
      </left>
      <right style="thin">
        <color indexed="64"/>
      </right>
      <top style="thick">
        <color indexed="64"/>
      </top>
      <bottom/>
      <diagonal/>
    </border>
    <border>
      <left style="thin">
        <color indexed="64"/>
      </left>
      <right style="medium">
        <color indexed="64"/>
      </right>
      <top style="thick">
        <color indexed="64"/>
      </top>
      <bottom/>
      <diagonal/>
    </border>
    <border>
      <left style="medium">
        <color indexed="64"/>
      </left>
      <right style="thick">
        <color indexed="64"/>
      </right>
      <top style="thick">
        <color indexed="64"/>
      </top>
      <bottom/>
      <diagonal/>
    </border>
    <border>
      <left style="medium">
        <color indexed="64"/>
      </left>
      <right style="thick">
        <color indexed="64"/>
      </right>
      <top/>
      <bottom style="medium">
        <color indexed="64"/>
      </bottom>
      <diagonal/>
    </border>
    <border>
      <left style="thick">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top/>
      <bottom style="thin">
        <color indexed="64"/>
      </bottom>
      <diagonal/>
    </border>
    <border>
      <left style="medium">
        <color indexed="64"/>
      </left>
      <right/>
      <top style="thick">
        <color indexed="64"/>
      </top>
      <bottom/>
      <diagonal/>
    </border>
    <border>
      <left/>
      <right/>
      <top style="thick">
        <color indexed="64"/>
      </top>
      <bottom/>
      <diagonal/>
    </border>
    <border>
      <left style="medium">
        <color indexed="64"/>
      </left>
      <right/>
      <top/>
      <bottom style="medium">
        <color indexed="64"/>
      </bottom>
      <diagonal/>
    </border>
    <border>
      <left/>
      <right/>
      <top/>
      <bottom style="medium">
        <color indexed="64"/>
      </bottom>
      <diagonal/>
    </border>
    <border>
      <left style="thick">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ck">
        <color indexed="64"/>
      </left>
      <right/>
      <top style="thin">
        <color indexed="64"/>
      </top>
      <bottom style="thin">
        <color indexed="64"/>
      </bottom>
      <diagonal/>
    </border>
    <border>
      <left style="medium">
        <color indexed="64"/>
      </left>
      <right style="medium">
        <color indexed="64"/>
      </right>
      <top style="medium">
        <color indexed="64"/>
      </top>
      <bottom/>
      <diagonal/>
    </border>
    <border>
      <left/>
      <right style="thick">
        <color indexed="64"/>
      </right>
      <top/>
      <bottom style="medium">
        <color indexed="64"/>
      </bottom>
      <diagonal/>
    </border>
    <border>
      <left style="medium">
        <color indexed="64"/>
      </left>
      <right style="medium">
        <color indexed="64"/>
      </right>
      <top/>
      <bottom style="thin">
        <color indexed="64"/>
      </bottom>
      <diagonal/>
    </border>
    <border>
      <left/>
      <right style="thick">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right/>
      <top/>
      <bottom style="double">
        <color indexed="10"/>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diagonal/>
    </border>
    <border>
      <left/>
      <right style="thick">
        <color indexed="64"/>
      </right>
      <top style="medium">
        <color indexed="64"/>
      </top>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thick">
        <color indexed="64"/>
      </bottom>
      <diagonal/>
    </border>
    <border>
      <left style="thin">
        <color auto="1"/>
      </left>
      <right style="medium">
        <color auto="1"/>
      </right>
      <top style="thin">
        <color auto="1"/>
      </top>
      <bottom style="thin">
        <color auto="1"/>
      </bottom>
      <diagonal/>
    </border>
    <border>
      <left style="thick">
        <color indexed="64"/>
      </left>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medium">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s>
  <cellStyleXfs count="2514">
    <xf numFmtId="0" fontId="0" fillId="0" borderId="0"/>
    <xf numFmtId="0" fontId="2" fillId="0" borderId="0"/>
    <xf numFmtId="0" fontId="2" fillId="0" borderId="0"/>
    <xf numFmtId="0" fontId="24" fillId="0" borderId="0" applyNumberFormat="0" applyFill="0" applyBorder="0" applyAlignment="0" applyProtection="0">
      <alignment vertical="top"/>
      <protection locked="0"/>
    </xf>
    <xf numFmtId="0" fontId="25" fillId="0" borderId="0"/>
    <xf numFmtId="0" fontId="25" fillId="0" borderId="0"/>
    <xf numFmtId="0" fontId="2" fillId="0" borderId="0"/>
    <xf numFmtId="0" fontId="25" fillId="0" borderId="0"/>
    <xf numFmtId="0" fontId="30" fillId="56"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6" borderId="0" applyNumberFormat="0" applyBorder="0" applyAlignment="0" applyProtection="0"/>
    <xf numFmtId="0" fontId="30" fillId="57"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7" borderId="0" applyNumberFormat="0" applyBorder="0" applyAlignment="0" applyProtection="0"/>
    <xf numFmtId="0" fontId="30" fillId="58"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59"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33" borderId="0" applyNumberFormat="0" applyBorder="0" applyAlignment="0" applyProtection="0"/>
    <xf numFmtId="0" fontId="30" fillId="58" borderId="0" applyNumberFormat="0" applyBorder="0" applyAlignment="0" applyProtection="0"/>
    <xf numFmtId="0" fontId="30" fillId="37" borderId="0" applyNumberFormat="0" applyBorder="0" applyAlignment="0" applyProtection="0"/>
    <xf numFmtId="0" fontId="30" fillId="37" borderId="0" applyNumberFormat="0" applyBorder="0" applyAlignment="0" applyProtection="0"/>
    <xf numFmtId="0" fontId="30" fillId="37"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37" borderId="0" applyNumberFormat="0" applyBorder="0" applyAlignment="0" applyProtection="0"/>
    <xf numFmtId="0" fontId="30" fillId="37" borderId="0" applyNumberFormat="0" applyBorder="0" applyAlignment="0" applyProtection="0"/>
    <xf numFmtId="0" fontId="30" fillId="37"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37" borderId="0" applyNumberFormat="0" applyBorder="0" applyAlignment="0" applyProtection="0"/>
    <xf numFmtId="0" fontId="30" fillId="37" borderId="0" applyNumberFormat="0" applyBorder="0" applyAlignment="0" applyProtection="0"/>
    <xf numFmtId="0" fontId="30" fillId="37"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37" borderId="0" applyNumberFormat="0" applyBorder="0" applyAlignment="0" applyProtection="0"/>
    <xf numFmtId="0" fontId="30" fillId="37" borderId="0" applyNumberFormat="0" applyBorder="0" applyAlignment="0" applyProtection="0"/>
    <xf numFmtId="0" fontId="30" fillId="37"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37" borderId="0" applyNumberFormat="0" applyBorder="0" applyAlignment="0" applyProtection="0"/>
    <xf numFmtId="0" fontId="30" fillId="37" borderId="0" applyNumberFormat="0" applyBorder="0" applyAlignment="0" applyProtection="0"/>
    <xf numFmtId="0" fontId="30" fillId="37"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60" borderId="0" applyNumberFormat="0" applyBorder="0" applyAlignment="0" applyProtection="0"/>
    <xf numFmtId="0" fontId="30" fillId="18" borderId="0" applyNumberFormat="0" applyBorder="0" applyAlignment="0" applyProtection="0"/>
    <xf numFmtId="0" fontId="30" fillId="18" borderId="0" applyNumberFormat="0" applyBorder="0" applyAlignment="0" applyProtection="0"/>
    <xf numFmtId="0" fontId="30" fillId="18"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18" borderId="0" applyNumberFormat="0" applyBorder="0" applyAlignment="0" applyProtection="0"/>
    <xf numFmtId="0" fontId="30" fillId="18" borderId="0" applyNumberFormat="0" applyBorder="0" applyAlignment="0" applyProtection="0"/>
    <xf numFmtId="0" fontId="30" fillId="18"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18" borderId="0" applyNumberFormat="0" applyBorder="0" applyAlignment="0" applyProtection="0"/>
    <xf numFmtId="0" fontId="30" fillId="18" borderId="0" applyNumberFormat="0" applyBorder="0" applyAlignment="0" applyProtection="0"/>
    <xf numFmtId="0" fontId="30" fillId="18"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18" borderId="0" applyNumberFormat="0" applyBorder="0" applyAlignment="0" applyProtection="0"/>
    <xf numFmtId="0" fontId="30" fillId="18" borderId="0" applyNumberFormat="0" applyBorder="0" applyAlignment="0" applyProtection="0"/>
    <xf numFmtId="0" fontId="30" fillId="18"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18" borderId="0" applyNumberFormat="0" applyBorder="0" applyAlignment="0" applyProtection="0"/>
    <xf numFmtId="0" fontId="30" fillId="18" borderId="0" applyNumberFormat="0" applyBorder="0" applyAlignment="0" applyProtection="0"/>
    <xf numFmtId="0" fontId="30" fillId="18"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22" borderId="0" applyNumberFormat="0" applyBorder="0" applyAlignment="0" applyProtection="0"/>
    <xf numFmtId="0" fontId="30" fillId="61" borderId="0" applyNumberFormat="0" applyBorder="0" applyAlignment="0" applyProtection="0"/>
    <xf numFmtId="0" fontId="30" fillId="26" borderId="0" applyNumberFormat="0" applyBorder="0" applyAlignment="0" applyProtection="0"/>
    <xf numFmtId="0" fontId="30" fillId="26" borderId="0" applyNumberFormat="0" applyBorder="0" applyAlignment="0" applyProtection="0"/>
    <xf numFmtId="0" fontId="30" fillId="26"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26" borderId="0" applyNumberFormat="0" applyBorder="0" applyAlignment="0" applyProtection="0"/>
    <xf numFmtId="0" fontId="30" fillId="26" borderId="0" applyNumberFormat="0" applyBorder="0" applyAlignment="0" applyProtection="0"/>
    <xf numFmtId="0" fontId="30" fillId="26"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26" borderId="0" applyNumberFormat="0" applyBorder="0" applyAlignment="0" applyProtection="0"/>
    <xf numFmtId="0" fontId="30" fillId="26" borderId="0" applyNumberFormat="0" applyBorder="0" applyAlignment="0" applyProtection="0"/>
    <xf numFmtId="0" fontId="30" fillId="26"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26" borderId="0" applyNumberFormat="0" applyBorder="0" applyAlignment="0" applyProtection="0"/>
    <xf numFmtId="0" fontId="30" fillId="26" borderId="0" applyNumberFormat="0" applyBorder="0" applyAlignment="0" applyProtection="0"/>
    <xf numFmtId="0" fontId="30" fillId="26"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26" borderId="0" applyNumberFormat="0" applyBorder="0" applyAlignment="0" applyProtection="0"/>
    <xf numFmtId="0" fontId="30" fillId="26" borderId="0" applyNumberFormat="0" applyBorder="0" applyAlignment="0" applyProtection="0"/>
    <xf numFmtId="0" fontId="30" fillId="26"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2" borderId="0" applyNumberFormat="0" applyBorder="0" applyAlignment="0" applyProtection="0"/>
    <xf numFmtId="0" fontId="30" fillId="30" borderId="0" applyNumberFormat="0" applyBorder="0" applyAlignment="0" applyProtection="0"/>
    <xf numFmtId="0" fontId="30" fillId="30" borderId="0" applyNumberFormat="0" applyBorder="0" applyAlignment="0" applyProtection="0"/>
    <xf numFmtId="0" fontId="30" fillId="30"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30" borderId="0" applyNumberFormat="0" applyBorder="0" applyAlignment="0" applyProtection="0"/>
    <xf numFmtId="0" fontId="30" fillId="30" borderId="0" applyNumberFormat="0" applyBorder="0" applyAlignment="0" applyProtection="0"/>
    <xf numFmtId="0" fontId="30" fillId="30"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30" borderId="0" applyNumberFormat="0" applyBorder="0" applyAlignment="0" applyProtection="0"/>
    <xf numFmtId="0" fontId="30" fillId="30" borderId="0" applyNumberFormat="0" applyBorder="0" applyAlignment="0" applyProtection="0"/>
    <xf numFmtId="0" fontId="30" fillId="30"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30" borderId="0" applyNumberFormat="0" applyBorder="0" applyAlignment="0" applyProtection="0"/>
    <xf numFmtId="0" fontId="30" fillId="30" borderId="0" applyNumberFormat="0" applyBorder="0" applyAlignment="0" applyProtection="0"/>
    <xf numFmtId="0" fontId="30" fillId="30"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30" borderId="0" applyNumberFormat="0" applyBorder="0" applyAlignment="0" applyProtection="0"/>
    <xf numFmtId="0" fontId="30" fillId="30" borderId="0" applyNumberFormat="0" applyBorder="0" applyAlignment="0" applyProtection="0"/>
    <xf numFmtId="0" fontId="30" fillId="30"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2" borderId="0" applyNumberFormat="0" applyBorder="0" applyAlignment="0" applyProtection="0"/>
    <xf numFmtId="0" fontId="30" fillId="60" borderId="0" applyNumberFormat="0" applyBorder="0" applyAlignment="0" applyProtection="0"/>
    <xf numFmtId="0" fontId="30" fillId="34" borderId="0" applyNumberFormat="0" applyBorder="0" applyAlignment="0" applyProtection="0"/>
    <xf numFmtId="0" fontId="30" fillId="34" borderId="0" applyNumberFormat="0" applyBorder="0" applyAlignment="0" applyProtection="0"/>
    <xf numFmtId="0" fontId="30" fillId="34"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34" borderId="0" applyNumberFormat="0" applyBorder="0" applyAlignment="0" applyProtection="0"/>
    <xf numFmtId="0" fontId="30" fillId="34" borderId="0" applyNumberFormat="0" applyBorder="0" applyAlignment="0" applyProtection="0"/>
    <xf numFmtId="0" fontId="30" fillId="34"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34" borderId="0" applyNumberFormat="0" applyBorder="0" applyAlignment="0" applyProtection="0"/>
    <xf numFmtId="0" fontId="30" fillId="34" borderId="0" applyNumberFormat="0" applyBorder="0" applyAlignment="0" applyProtection="0"/>
    <xf numFmtId="0" fontId="30" fillId="34"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34" borderId="0" applyNumberFormat="0" applyBorder="0" applyAlignment="0" applyProtection="0"/>
    <xf numFmtId="0" fontId="30" fillId="34" borderId="0" applyNumberFormat="0" applyBorder="0" applyAlignment="0" applyProtection="0"/>
    <xf numFmtId="0" fontId="30" fillId="34"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34" borderId="0" applyNumberFormat="0" applyBorder="0" applyAlignment="0" applyProtection="0"/>
    <xf numFmtId="0" fontId="30" fillId="34" borderId="0" applyNumberFormat="0" applyBorder="0" applyAlignment="0" applyProtection="0"/>
    <xf numFmtId="0" fontId="30" fillId="34"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60" borderId="0" applyNumberFormat="0" applyBorder="0" applyAlignment="0" applyProtection="0"/>
    <xf numFmtId="0" fontId="30" fillId="58" borderId="0" applyNumberFormat="0" applyBorder="0" applyAlignment="0" applyProtection="0"/>
    <xf numFmtId="0" fontId="30" fillId="38" borderId="0" applyNumberFormat="0" applyBorder="0" applyAlignment="0" applyProtection="0"/>
    <xf numFmtId="0" fontId="30" fillId="38" borderId="0" applyNumberFormat="0" applyBorder="0" applyAlignment="0" applyProtection="0"/>
    <xf numFmtId="0" fontId="30" fillId="3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38" borderId="0" applyNumberFormat="0" applyBorder="0" applyAlignment="0" applyProtection="0"/>
    <xf numFmtId="0" fontId="30" fillId="38" borderId="0" applyNumberFormat="0" applyBorder="0" applyAlignment="0" applyProtection="0"/>
    <xf numFmtId="0" fontId="30" fillId="3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38" borderId="0" applyNumberFormat="0" applyBorder="0" applyAlignment="0" applyProtection="0"/>
    <xf numFmtId="0" fontId="30" fillId="38" borderId="0" applyNumberFormat="0" applyBorder="0" applyAlignment="0" applyProtection="0"/>
    <xf numFmtId="0" fontId="30" fillId="3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38" borderId="0" applyNumberFormat="0" applyBorder="0" applyAlignment="0" applyProtection="0"/>
    <xf numFmtId="0" fontId="30" fillId="38" borderId="0" applyNumberFormat="0" applyBorder="0" applyAlignment="0" applyProtection="0"/>
    <xf numFmtId="0" fontId="30" fillId="3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38" borderId="0" applyNumberFormat="0" applyBorder="0" applyAlignment="0" applyProtection="0"/>
    <xf numFmtId="0" fontId="30" fillId="38" borderId="0" applyNumberFormat="0" applyBorder="0" applyAlignment="0" applyProtection="0"/>
    <xf numFmtId="0" fontId="30" fillId="3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1" fillId="60" borderId="0" applyNumberFormat="0" applyBorder="0" applyAlignment="0" applyProtection="0"/>
    <xf numFmtId="0" fontId="31" fillId="19" borderId="0" applyNumberFormat="0" applyBorder="0" applyAlignment="0" applyProtection="0"/>
    <xf numFmtId="0" fontId="31" fillId="19" borderId="0" applyNumberFormat="0" applyBorder="0" applyAlignment="0" applyProtection="0"/>
    <xf numFmtId="0" fontId="31" fillId="19"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19" borderId="0" applyNumberFormat="0" applyBorder="0" applyAlignment="0" applyProtection="0"/>
    <xf numFmtId="0" fontId="31" fillId="19" borderId="0" applyNumberFormat="0" applyBorder="0" applyAlignment="0" applyProtection="0"/>
    <xf numFmtId="0" fontId="31" fillId="19"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19" borderId="0" applyNumberFormat="0" applyBorder="0" applyAlignment="0" applyProtection="0"/>
    <xf numFmtId="0" fontId="31" fillId="19" borderId="0" applyNumberFormat="0" applyBorder="0" applyAlignment="0" applyProtection="0"/>
    <xf numFmtId="0" fontId="31" fillId="19"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19" borderId="0" applyNumberFormat="0" applyBorder="0" applyAlignment="0" applyProtection="0"/>
    <xf numFmtId="0" fontId="31" fillId="19" borderId="0" applyNumberFormat="0" applyBorder="0" applyAlignment="0" applyProtection="0"/>
    <xf numFmtId="0" fontId="31" fillId="19"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19" borderId="0" applyNumberFormat="0" applyBorder="0" applyAlignment="0" applyProtection="0"/>
    <xf numFmtId="0" fontId="31" fillId="19" borderId="0" applyNumberFormat="0" applyBorder="0" applyAlignment="0" applyProtection="0"/>
    <xf numFmtId="0" fontId="31" fillId="19"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3" borderId="0" applyNumberFormat="0" applyBorder="0" applyAlignment="0" applyProtection="0"/>
    <xf numFmtId="0" fontId="31" fillId="23" borderId="0" applyNumberFormat="0" applyBorder="0" applyAlignment="0" applyProtection="0"/>
    <xf numFmtId="0" fontId="31" fillId="23" borderId="0" applyNumberFormat="0" applyBorder="0" applyAlignment="0" applyProtection="0"/>
    <xf numFmtId="0" fontId="31" fillId="2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23" borderId="0" applyNumberFormat="0" applyBorder="0" applyAlignment="0" applyProtection="0"/>
    <xf numFmtId="0" fontId="31" fillId="23" borderId="0" applyNumberFormat="0" applyBorder="0" applyAlignment="0" applyProtection="0"/>
    <xf numFmtId="0" fontId="31" fillId="2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23" borderId="0" applyNumberFormat="0" applyBorder="0" applyAlignment="0" applyProtection="0"/>
    <xf numFmtId="0" fontId="31" fillId="23" borderId="0" applyNumberFormat="0" applyBorder="0" applyAlignment="0" applyProtection="0"/>
    <xf numFmtId="0" fontId="31" fillId="2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23" borderId="0" applyNumberFormat="0" applyBorder="0" applyAlignment="0" applyProtection="0"/>
    <xf numFmtId="0" fontId="31" fillId="23" borderId="0" applyNumberFormat="0" applyBorder="0" applyAlignment="0" applyProtection="0"/>
    <xf numFmtId="0" fontId="31" fillId="2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23" borderId="0" applyNumberFormat="0" applyBorder="0" applyAlignment="0" applyProtection="0"/>
    <xf numFmtId="0" fontId="31" fillId="23" borderId="0" applyNumberFormat="0" applyBorder="0" applyAlignment="0" applyProtection="0"/>
    <xf numFmtId="0" fontId="31" fillId="2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4" borderId="0" applyNumberFormat="0" applyBorder="0" applyAlignment="0" applyProtection="0"/>
    <xf numFmtId="0" fontId="31" fillId="27" borderId="0" applyNumberFormat="0" applyBorder="0" applyAlignment="0" applyProtection="0"/>
    <xf numFmtId="0" fontId="31" fillId="27" borderId="0" applyNumberFormat="0" applyBorder="0" applyAlignment="0" applyProtection="0"/>
    <xf numFmtId="0" fontId="31" fillId="27"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27" borderId="0" applyNumberFormat="0" applyBorder="0" applyAlignment="0" applyProtection="0"/>
    <xf numFmtId="0" fontId="31" fillId="27" borderId="0" applyNumberFormat="0" applyBorder="0" applyAlignment="0" applyProtection="0"/>
    <xf numFmtId="0" fontId="31" fillId="27"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27" borderId="0" applyNumberFormat="0" applyBorder="0" applyAlignment="0" applyProtection="0"/>
    <xf numFmtId="0" fontId="31" fillId="27" borderId="0" applyNumberFormat="0" applyBorder="0" applyAlignment="0" applyProtection="0"/>
    <xf numFmtId="0" fontId="31" fillId="27"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27" borderId="0" applyNumberFormat="0" applyBorder="0" applyAlignment="0" applyProtection="0"/>
    <xf numFmtId="0" fontId="31" fillId="27" borderId="0" applyNumberFormat="0" applyBorder="0" applyAlignment="0" applyProtection="0"/>
    <xf numFmtId="0" fontId="31" fillId="27"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27" borderId="0" applyNumberFormat="0" applyBorder="0" applyAlignment="0" applyProtection="0"/>
    <xf numFmtId="0" fontId="31" fillId="27" borderId="0" applyNumberFormat="0" applyBorder="0" applyAlignment="0" applyProtection="0"/>
    <xf numFmtId="0" fontId="31" fillId="27"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2"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2" borderId="0" applyNumberFormat="0" applyBorder="0" applyAlignment="0" applyProtection="0"/>
    <xf numFmtId="0" fontId="31" fillId="60" borderId="0" applyNumberFormat="0" applyBorder="0" applyAlignment="0" applyProtection="0"/>
    <xf numFmtId="0" fontId="31" fillId="35" borderId="0" applyNumberFormat="0" applyBorder="0" applyAlignment="0" applyProtection="0"/>
    <xf numFmtId="0" fontId="31" fillId="35" borderId="0" applyNumberFormat="0" applyBorder="0" applyAlignment="0" applyProtection="0"/>
    <xf numFmtId="0" fontId="31" fillId="35"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35" borderId="0" applyNumberFormat="0" applyBorder="0" applyAlignment="0" applyProtection="0"/>
    <xf numFmtId="0" fontId="31" fillId="35" borderId="0" applyNumberFormat="0" applyBorder="0" applyAlignment="0" applyProtection="0"/>
    <xf numFmtId="0" fontId="31" fillId="35"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35" borderId="0" applyNumberFormat="0" applyBorder="0" applyAlignment="0" applyProtection="0"/>
    <xf numFmtId="0" fontId="31" fillId="35" borderId="0" applyNumberFormat="0" applyBorder="0" applyAlignment="0" applyProtection="0"/>
    <xf numFmtId="0" fontId="31" fillId="35"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35" borderId="0" applyNumberFormat="0" applyBorder="0" applyAlignment="0" applyProtection="0"/>
    <xf numFmtId="0" fontId="31" fillId="35" borderId="0" applyNumberFormat="0" applyBorder="0" applyAlignment="0" applyProtection="0"/>
    <xf numFmtId="0" fontId="31" fillId="35"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35" borderId="0" applyNumberFormat="0" applyBorder="0" applyAlignment="0" applyProtection="0"/>
    <xf numFmtId="0" fontId="31" fillId="35" borderId="0" applyNumberFormat="0" applyBorder="0" applyAlignment="0" applyProtection="0"/>
    <xf numFmtId="0" fontId="31" fillId="35"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60" borderId="0" applyNumberFormat="0" applyBorder="0" applyAlignment="0" applyProtection="0"/>
    <xf numFmtId="0" fontId="31" fillId="57" borderId="0" applyNumberFormat="0" applyBorder="0" applyAlignment="0" applyProtection="0"/>
    <xf numFmtId="0" fontId="31" fillId="39" borderId="0" applyNumberFormat="0" applyBorder="0" applyAlignment="0" applyProtection="0"/>
    <xf numFmtId="0" fontId="31" fillId="39" borderId="0" applyNumberFormat="0" applyBorder="0" applyAlignment="0" applyProtection="0"/>
    <xf numFmtId="0" fontId="31" fillId="39"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39" borderId="0" applyNumberFormat="0" applyBorder="0" applyAlignment="0" applyProtection="0"/>
    <xf numFmtId="0" fontId="31" fillId="39" borderId="0" applyNumberFormat="0" applyBorder="0" applyAlignment="0" applyProtection="0"/>
    <xf numFmtId="0" fontId="31" fillId="39"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39" borderId="0" applyNumberFormat="0" applyBorder="0" applyAlignment="0" applyProtection="0"/>
    <xf numFmtId="0" fontId="31" fillId="39" borderId="0" applyNumberFormat="0" applyBorder="0" applyAlignment="0" applyProtection="0"/>
    <xf numFmtId="0" fontId="31" fillId="39"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39" borderId="0" applyNumberFormat="0" applyBorder="0" applyAlignment="0" applyProtection="0"/>
    <xf numFmtId="0" fontId="31" fillId="39" borderId="0" applyNumberFormat="0" applyBorder="0" applyAlignment="0" applyProtection="0"/>
    <xf numFmtId="0" fontId="31" fillId="39"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39" borderId="0" applyNumberFormat="0" applyBorder="0" applyAlignment="0" applyProtection="0"/>
    <xf numFmtId="0" fontId="31" fillId="39" borderId="0" applyNumberFormat="0" applyBorder="0" applyAlignment="0" applyProtection="0"/>
    <xf numFmtId="0" fontId="31" fillId="39"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1" fillId="57" borderId="0" applyNumberFormat="0" applyBorder="0" applyAlignment="0" applyProtection="0"/>
    <xf numFmtId="0" fontId="32" fillId="0" borderId="85" applyNumberFormat="0" applyFill="0" applyAlignment="0" applyProtection="0"/>
    <xf numFmtId="0" fontId="33" fillId="0" borderId="25" applyNumberFormat="0" applyFill="0" applyAlignment="0" applyProtection="0"/>
    <xf numFmtId="0" fontId="33" fillId="0" borderId="25" applyNumberFormat="0" applyFill="0" applyAlignment="0" applyProtection="0"/>
    <xf numFmtId="0" fontId="33" fillId="0" borderId="2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3" fillId="0" borderId="25" applyNumberFormat="0" applyFill="0" applyAlignment="0" applyProtection="0"/>
    <xf numFmtId="0" fontId="33" fillId="0" borderId="25" applyNumberFormat="0" applyFill="0" applyAlignment="0" applyProtection="0"/>
    <xf numFmtId="0" fontId="33" fillId="0" borderId="2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3" fillId="0" borderId="25" applyNumberFormat="0" applyFill="0" applyAlignment="0" applyProtection="0"/>
    <xf numFmtId="0" fontId="33" fillId="0" borderId="25" applyNumberFormat="0" applyFill="0" applyAlignment="0" applyProtection="0"/>
    <xf numFmtId="0" fontId="33" fillId="0" borderId="2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3" fillId="0" borderId="25" applyNumberFormat="0" applyFill="0" applyAlignment="0" applyProtection="0"/>
    <xf numFmtId="0" fontId="33" fillId="0" borderId="25" applyNumberFormat="0" applyFill="0" applyAlignment="0" applyProtection="0"/>
    <xf numFmtId="0" fontId="33" fillId="0" borderId="2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3" fillId="0" borderId="25" applyNumberFormat="0" applyFill="0" applyAlignment="0" applyProtection="0"/>
    <xf numFmtId="0" fontId="33" fillId="0" borderId="25" applyNumberFormat="0" applyFill="0" applyAlignment="0" applyProtection="0"/>
    <xf numFmtId="0" fontId="33" fillId="0" borderId="2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2" fillId="0" borderId="85" applyNumberFormat="0" applyFill="0" applyAlignment="0" applyProtection="0"/>
    <xf numFmtId="0" fontId="34" fillId="0" borderId="86" applyNumberFormat="0" applyFill="0" applyAlignment="0" applyProtection="0"/>
    <xf numFmtId="0" fontId="35" fillId="0" borderId="26" applyNumberFormat="0" applyFill="0" applyAlignment="0" applyProtection="0"/>
    <xf numFmtId="0" fontId="35" fillId="0" borderId="26" applyNumberFormat="0" applyFill="0" applyAlignment="0" applyProtection="0"/>
    <xf numFmtId="0" fontId="35" fillId="0" borderId="2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5" fillId="0" borderId="26" applyNumberFormat="0" applyFill="0" applyAlignment="0" applyProtection="0"/>
    <xf numFmtId="0" fontId="35" fillId="0" borderId="26" applyNumberFormat="0" applyFill="0" applyAlignment="0" applyProtection="0"/>
    <xf numFmtId="0" fontId="35" fillId="0" borderId="2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5" fillId="0" borderId="26" applyNumberFormat="0" applyFill="0" applyAlignment="0" applyProtection="0"/>
    <xf numFmtId="0" fontId="35" fillId="0" borderId="26" applyNumberFormat="0" applyFill="0" applyAlignment="0" applyProtection="0"/>
    <xf numFmtId="0" fontId="35" fillId="0" borderId="2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5" fillId="0" borderId="26" applyNumberFormat="0" applyFill="0" applyAlignment="0" applyProtection="0"/>
    <xf numFmtId="0" fontId="35" fillId="0" borderId="26" applyNumberFormat="0" applyFill="0" applyAlignment="0" applyProtection="0"/>
    <xf numFmtId="0" fontId="35" fillId="0" borderId="2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5" fillId="0" borderId="26" applyNumberFormat="0" applyFill="0" applyAlignment="0" applyProtection="0"/>
    <xf numFmtId="0" fontId="35" fillId="0" borderId="26" applyNumberFormat="0" applyFill="0" applyAlignment="0" applyProtection="0"/>
    <xf numFmtId="0" fontId="35" fillId="0" borderId="2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4" fillId="0" borderId="86" applyNumberFormat="0" applyFill="0" applyAlignment="0" applyProtection="0"/>
    <xf numFmtId="0" fontId="36" fillId="0" borderId="87" applyNumberFormat="0" applyFill="0" applyAlignment="0" applyProtection="0"/>
    <xf numFmtId="0" fontId="37" fillId="0" borderId="27" applyNumberFormat="0" applyFill="0" applyAlignment="0" applyProtection="0"/>
    <xf numFmtId="0" fontId="37" fillId="0" borderId="27" applyNumberFormat="0" applyFill="0" applyAlignment="0" applyProtection="0"/>
    <xf numFmtId="0" fontId="37" fillId="0" borderId="2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7" fillId="0" borderId="27" applyNumberFormat="0" applyFill="0" applyAlignment="0" applyProtection="0"/>
    <xf numFmtId="0" fontId="37" fillId="0" borderId="27" applyNumberFormat="0" applyFill="0" applyAlignment="0" applyProtection="0"/>
    <xf numFmtId="0" fontId="37" fillId="0" borderId="2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7" fillId="0" borderId="27" applyNumberFormat="0" applyFill="0" applyAlignment="0" applyProtection="0"/>
    <xf numFmtId="0" fontId="37" fillId="0" borderId="27" applyNumberFormat="0" applyFill="0" applyAlignment="0" applyProtection="0"/>
    <xf numFmtId="0" fontId="37" fillId="0" borderId="2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7" fillId="0" borderId="27" applyNumberFormat="0" applyFill="0" applyAlignment="0" applyProtection="0"/>
    <xf numFmtId="0" fontId="37" fillId="0" borderId="27" applyNumberFormat="0" applyFill="0" applyAlignment="0" applyProtection="0"/>
    <xf numFmtId="0" fontId="37" fillId="0" borderId="2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7" fillId="0" borderId="27" applyNumberFormat="0" applyFill="0" applyAlignment="0" applyProtection="0"/>
    <xf numFmtId="0" fontId="37" fillId="0" borderId="27" applyNumberFormat="0" applyFill="0" applyAlignment="0" applyProtection="0"/>
    <xf numFmtId="0" fontId="37" fillId="0" borderId="2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87" applyNumberFormat="0" applyFill="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40" fillId="65"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0" fillId="65" borderId="0" applyNumberFormat="0" applyBorder="0" applyAlignment="0" applyProtection="0"/>
    <xf numFmtId="0" fontId="41" fillId="60" borderId="0" applyNumberFormat="0" applyBorder="0" applyAlignment="0" applyProtection="0"/>
    <xf numFmtId="0" fontId="41" fillId="9" borderId="0" applyNumberFormat="0" applyBorder="0" applyAlignment="0" applyProtection="0"/>
    <xf numFmtId="0" fontId="41" fillId="9" borderId="0" applyNumberFormat="0" applyBorder="0" applyAlignment="0" applyProtection="0"/>
    <xf numFmtId="0" fontId="41" fillId="9"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9" borderId="0" applyNumberFormat="0" applyBorder="0" applyAlignment="0" applyProtection="0"/>
    <xf numFmtId="0" fontId="41" fillId="9" borderId="0" applyNumberFormat="0" applyBorder="0" applyAlignment="0" applyProtection="0"/>
    <xf numFmtId="0" fontId="41" fillId="9"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9" borderId="0" applyNumberFormat="0" applyBorder="0" applyAlignment="0" applyProtection="0"/>
    <xf numFmtId="0" fontId="41" fillId="9" borderId="0" applyNumberFormat="0" applyBorder="0" applyAlignment="0" applyProtection="0"/>
    <xf numFmtId="0" fontId="41" fillId="9"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9" borderId="0" applyNumberFormat="0" applyBorder="0" applyAlignment="0" applyProtection="0"/>
    <xf numFmtId="0" fontId="41" fillId="9" borderId="0" applyNumberFormat="0" applyBorder="0" applyAlignment="0" applyProtection="0"/>
    <xf numFmtId="0" fontId="41" fillId="9"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9" borderId="0" applyNumberFormat="0" applyBorder="0" applyAlignment="0" applyProtection="0"/>
    <xf numFmtId="0" fontId="41" fillId="9" borderId="0" applyNumberFormat="0" applyBorder="0" applyAlignment="0" applyProtection="0"/>
    <xf numFmtId="0" fontId="41" fillId="9"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1" fillId="60" borderId="0" applyNumberFormat="0" applyBorder="0" applyAlignment="0" applyProtection="0"/>
    <xf numFmtId="0" fontId="42" fillId="0" borderId="88" applyNumberFormat="0" applyFill="0" applyAlignment="0" applyProtection="0"/>
    <xf numFmtId="0" fontId="42" fillId="0" borderId="33" applyNumberFormat="0" applyFill="0" applyAlignment="0" applyProtection="0"/>
    <xf numFmtId="0" fontId="42" fillId="0" borderId="33" applyNumberFormat="0" applyFill="0" applyAlignment="0" applyProtection="0"/>
    <xf numFmtId="0" fontId="42" fillId="0" borderId="33"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33" applyNumberFormat="0" applyFill="0" applyAlignment="0" applyProtection="0"/>
    <xf numFmtId="0" fontId="42" fillId="0" borderId="33" applyNumberFormat="0" applyFill="0" applyAlignment="0" applyProtection="0"/>
    <xf numFmtId="0" fontId="42" fillId="0" borderId="33"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33" applyNumberFormat="0" applyFill="0" applyAlignment="0" applyProtection="0"/>
    <xf numFmtId="0" fontId="42" fillId="0" borderId="33" applyNumberFormat="0" applyFill="0" applyAlignment="0" applyProtection="0"/>
    <xf numFmtId="0" fontId="42" fillId="0" borderId="33"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33" applyNumberFormat="0" applyFill="0" applyAlignment="0" applyProtection="0"/>
    <xf numFmtId="0" fontId="42" fillId="0" borderId="33" applyNumberFormat="0" applyFill="0" applyAlignment="0" applyProtection="0"/>
    <xf numFmtId="0" fontId="42" fillId="0" borderId="33"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33" applyNumberFormat="0" applyFill="0" applyAlignment="0" applyProtection="0"/>
    <xf numFmtId="0" fontId="42" fillId="0" borderId="33" applyNumberFormat="0" applyFill="0" applyAlignment="0" applyProtection="0"/>
    <xf numFmtId="0" fontId="42" fillId="0" borderId="33"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2" fillId="0" borderId="88" applyNumberFormat="0" applyFill="0" applyAlignment="0" applyProtection="0"/>
    <xf numFmtId="0" fontId="43" fillId="66" borderId="28" applyNumberFormat="0" applyAlignment="0" applyProtection="0"/>
    <xf numFmtId="0" fontId="44" fillId="13" borderId="28" applyNumberFormat="0" applyAlignment="0" applyProtection="0"/>
    <xf numFmtId="0" fontId="44" fillId="13" borderId="28" applyNumberFormat="0" applyAlignment="0" applyProtection="0"/>
    <xf numFmtId="0" fontId="44" fillId="13"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4" fillId="13" borderId="28" applyNumberFormat="0" applyAlignment="0" applyProtection="0"/>
    <xf numFmtId="0" fontId="44" fillId="13" borderId="28" applyNumberFormat="0" applyAlignment="0" applyProtection="0"/>
    <xf numFmtId="0" fontId="44" fillId="13"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4" fillId="13" borderId="28" applyNumberFormat="0" applyAlignment="0" applyProtection="0"/>
    <xf numFmtId="0" fontId="44" fillId="13" borderId="28" applyNumberFormat="0" applyAlignment="0" applyProtection="0"/>
    <xf numFmtId="0" fontId="44" fillId="13"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4" fillId="13" borderId="28" applyNumberFormat="0" applyAlignment="0" applyProtection="0"/>
    <xf numFmtId="0" fontId="44" fillId="13" borderId="28" applyNumberFormat="0" applyAlignment="0" applyProtection="0"/>
    <xf numFmtId="0" fontId="44" fillId="13"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4" fillId="13" borderId="28" applyNumberFormat="0" applyAlignment="0" applyProtection="0"/>
    <xf numFmtId="0" fontId="44" fillId="13" borderId="28" applyNumberFormat="0" applyAlignment="0" applyProtection="0"/>
    <xf numFmtId="0" fontId="44" fillId="13"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3" fillId="66" borderId="28"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5" fillId="14" borderId="31" applyNumberFormat="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8" fillId="0" borderId="89" applyNumberFormat="0" applyFill="0" applyAlignment="0" applyProtection="0"/>
    <xf numFmtId="0" fontId="49" fillId="0" borderId="30" applyNumberFormat="0" applyFill="0" applyAlignment="0" applyProtection="0"/>
    <xf numFmtId="0" fontId="49" fillId="0" borderId="30" applyNumberFormat="0" applyFill="0" applyAlignment="0" applyProtection="0"/>
    <xf numFmtId="0" fontId="49" fillId="0" borderId="30"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9" fillId="0" borderId="30" applyNumberFormat="0" applyFill="0" applyAlignment="0" applyProtection="0"/>
    <xf numFmtId="0" fontId="49" fillId="0" borderId="30" applyNumberFormat="0" applyFill="0" applyAlignment="0" applyProtection="0"/>
    <xf numFmtId="0" fontId="49" fillId="0" borderId="30"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9" fillId="0" borderId="30" applyNumberFormat="0" applyFill="0" applyAlignment="0" applyProtection="0"/>
    <xf numFmtId="0" fontId="49" fillId="0" borderId="30" applyNumberFormat="0" applyFill="0" applyAlignment="0" applyProtection="0"/>
    <xf numFmtId="0" fontId="49" fillId="0" borderId="30"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9" fillId="0" borderId="30" applyNumberFormat="0" applyFill="0" applyAlignment="0" applyProtection="0"/>
    <xf numFmtId="0" fontId="49" fillId="0" borderId="30" applyNumberFormat="0" applyFill="0" applyAlignment="0" applyProtection="0"/>
    <xf numFmtId="0" fontId="49" fillId="0" borderId="30"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9" fillId="0" borderId="30" applyNumberFormat="0" applyFill="0" applyAlignment="0" applyProtection="0"/>
    <xf numFmtId="0" fontId="49" fillId="0" borderId="30" applyNumberFormat="0" applyFill="0" applyAlignment="0" applyProtection="0"/>
    <xf numFmtId="0" fontId="49" fillId="0" borderId="30"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48" fillId="0" borderId="89" applyNumberFormat="0" applyFill="0" applyAlignment="0" applyProtection="0"/>
    <xf numFmtId="0" fontId="31" fillId="67" borderId="0" applyNumberFormat="0" applyBorder="0" applyAlignment="0" applyProtection="0"/>
    <xf numFmtId="0" fontId="31" fillId="16" borderId="0" applyNumberFormat="0" applyBorder="0" applyAlignment="0" applyProtection="0"/>
    <xf numFmtId="0" fontId="31" fillId="16" borderId="0" applyNumberFormat="0" applyBorder="0" applyAlignment="0" applyProtection="0"/>
    <xf numFmtId="0" fontId="31" fillId="16"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16" borderId="0" applyNumberFormat="0" applyBorder="0" applyAlignment="0" applyProtection="0"/>
    <xf numFmtId="0" fontId="31" fillId="16" borderId="0" applyNumberFormat="0" applyBorder="0" applyAlignment="0" applyProtection="0"/>
    <xf numFmtId="0" fontId="31" fillId="16"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16" borderId="0" applyNumberFormat="0" applyBorder="0" applyAlignment="0" applyProtection="0"/>
    <xf numFmtId="0" fontId="31" fillId="16" borderId="0" applyNumberFormat="0" applyBorder="0" applyAlignment="0" applyProtection="0"/>
    <xf numFmtId="0" fontId="31" fillId="16"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16" borderId="0" applyNumberFormat="0" applyBorder="0" applyAlignment="0" applyProtection="0"/>
    <xf numFmtId="0" fontId="31" fillId="16" borderId="0" applyNumberFormat="0" applyBorder="0" applyAlignment="0" applyProtection="0"/>
    <xf numFmtId="0" fontId="31" fillId="16"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16" borderId="0" applyNumberFormat="0" applyBorder="0" applyAlignment="0" applyProtection="0"/>
    <xf numFmtId="0" fontId="31" fillId="16" borderId="0" applyNumberFormat="0" applyBorder="0" applyAlignment="0" applyProtection="0"/>
    <xf numFmtId="0" fontId="31" fillId="16"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3" borderId="0" applyNumberFormat="0" applyBorder="0" applyAlignment="0" applyProtection="0"/>
    <xf numFmtId="0" fontId="31" fillId="20" borderId="0" applyNumberFormat="0" applyBorder="0" applyAlignment="0" applyProtection="0"/>
    <xf numFmtId="0" fontId="31" fillId="20" borderId="0" applyNumberFormat="0" applyBorder="0" applyAlignment="0" applyProtection="0"/>
    <xf numFmtId="0" fontId="31" fillId="20"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20" borderId="0" applyNumberFormat="0" applyBorder="0" applyAlignment="0" applyProtection="0"/>
    <xf numFmtId="0" fontId="31" fillId="20" borderId="0" applyNumberFormat="0" applyBorder="0" applyAlignment="0" applyProtection="0"/>
    <xf numFmtId="0" fontId="31" fillId="20"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20" borderId="0" applyNumberFormat="0" applyBorder="0" applyAlignment="0" applyProtection="0"/>
    <xf numFmtId="0" fontId="31" fillId="20" borderId="0" applyNumberFormat="0" applyBorder="0" applyAlignment="0" applyProtection="0"/>
    <xf numFmtId="0" fontId="31" fillId="20"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20" borderId="0" applyNumberFormat="0" applyBorder="0" applyAlignment="0" applyProtection="0"/>
    <xf numFmtId="0" fontId="31" fillId="20" borderId="0" applyNumberFormat="0" applyBorder="0" applyAlignment="0" applyProtection="0"/>
    <xf numFmtId="0" fontId="31" fillId="20"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20" borderId="0" applyNumberFormat="0" applyBorder="0" applyAlignment="0" applyProtection="0"/>
    <xf numFmtId="0" fontId="31" fillId="20" borderId="0" applyNumberFormat="0" applyBorder="0" applyAlignment="0" applyProtection="0"/>
    <xf numFmtId="0" fontId="31" fillId="20"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8" borderId="0" applyNumberFormat="0" applyBorder="0" applyAlignment="0" applyProtection="0"/>
    <xf numFmtId="0" fontId="31" fillId="28" borderId="0" applyNumberFormat="0" applyBorder="0" applyAlignment="0" applyProtection="0"/>
    <xf numFmtId="0" fontId="31" fillId="28" borderId="0" applyNumberFormat="0" applyBorder="0" applyAlignment="0" applyProtection="0"/>
    <xf numFmtId="0" fontId="31" fillId="2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28" borderId="0" applyNumberFormat="0" applyBorder="0" applyAlignment="0" applyProtection="0"/>
    <xf numFmtId="0" fontId="31" fillId="28" borderId="0" applyNumberFormat="0" applyBorder="0" applyAlignment="0" applyProtection="0"/>
    <xf numFmtId="0" fontId="31" fillId="2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28" borderId="0" applyNumberFormat="0" applyBorder="0" applyAlignment="0" applyProtection="0"/>
    <xf numFmtId="0" fontId="31" fillId="28" borderId="0" applyNumberFormat="0" applyBorder="0" applyAlignment="0" applyProtection="0"/>
    <xf numFmtId="0" fontId="31" fillId="2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28" borderId="0" applyNumberFormat="0" applyBorder="0" applyAlignment="0" applyProtection="0"/>
    <xf numFmtId="0" fontId="31" fillId="28" borderId="0" applyNumberFormat="0" applyBorder="0" applyAlignment="0" applyProtection="0"/>
    <xf numFmtId="0" fontId="31" fillId="2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28" borderId="0" applyNumberFormat="0" applyBorder="0" applyAlignment="0" applyProtection="0"/>
    <xf numFmtId="0" fontId="31" fillId="28" borderId="0" applyNumberFormat="0" applyBorder="0" applyAlignment="0" applyProtection="0"/>
    <xf numFmtId="0" fontId="31" fillId="2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68"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32" borderId="0" applyNumberFormat="0" applyBorder="0" applyAlignment="0" applyProtection="0"/>
    <xf numFmtId="0" fontId="31" fillId="69" borderId="0" applyNumberFormat="0" applyBorder="0" applyAlignment="0" applyProtection="0"/>
    <xf numFmtId="0" fontId="31" fillId="36" borderId="0" applyNumberFormat="0" applyBorder="0" applyAlignment="0" applyProtection="0"/>
    <xf numFmtId="0" fontId="31" fillId="36" borderId="0" applyNumberFormat="0" applyBorder="0" applyAlignment="0" applyProtection="0"/>
    <xf numFmtId="0" fontId="31" fillId="36"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36" borderId="0" applyNumberFormat="0" applyBorder="0" applyAlignment="0" applyProtection="0"/>
    <xf numFmtId="0" fontId="31" fillId="36" borderId="0" applyNumberFormat="0" applyBorder="0" applyAlignment="0" applyProtection="0"/>
    <xf numFmtId="0" fontId="31" fillId="36"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36" borderId="0" applyNumberFormat="0" applyBorder="0" applyAlignment="0" applyProtection="0"/>
    <xf numFmtId="0" fontId="31" fillId="36" borderId="0" applyNumberFormat="0" applyBorder="0" applyAlignment="0" applyProtection="0"/>
    <xf numFmtId="0" fontId="31" fillId="36"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36" borderId="0" applyNumberFormat="0" applyBorder="0" applyAlignment="0" applyProtection="0"/>
    <xf numFmtId="0" fontId="31" fillId="36" borderId="0" applyNumberFormat="0" applyBorder="0" applyAlignment="0" applyProtection="0"/>
    <xf numFmtId="0" fontId="31" fillId="36"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36" borderId="0" applyNumberFormat="0" applyBorder="0" applyAlignment="0" applyProtection="0"/>
    <xf numFmtId="0" fontId="31" fillId="36" borderId="0" applyNumberFormat="0" applyBorder="0" applyAlignment="0" applyProtection="0"/>
    <xf numFmtId="0" fontId="31" fillId="36"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31" fillId="69" borderId="0" applyNumberFormat="0" applyBorder="0" applyAlignment="0" applyProtection="0"/>
    <xf numFmtId="0" fontId="50" fillId="11" borderId="0" applyNumberFormat="0" applyBorder="0" applyAlignment="0" applyProtection="0"/>
    <xf numFmtId="0" fontId="51" fillId="11" borderId="0" applyNumberFormat="0" applyBorder="0" applyAlignment="0" applyProtection="0"/>
    <xf numFmtId="0" fontId="51" fillId="11" borderId="0" applyNumberFormat="0" applyBorder="0" applyAlignment="0" applyProtection="0"/>
    <xf numFmtId="0" fontId="51"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1" fillId="11" borderId="0" applyNumberFormat="0" applyBorder="0" applyAlignment="0" applyProtection="0"/>
    <xf numFmtId="0" fontId="51" fillId="11" borderId="0" applyNumberFormat="0" applyBorder="0" applyAlignment="0" applyProtection="0"/>
    <xf numFmtId="0" fontId="51"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1" fillId="11" borderId="0" applyNumberFormat="0" applyBorder="0" applyAlignment="0" applyProtection="0"/>
    <xf numFmtId="0" fontId="51" fillId="11" borderId="0" applyNumberFormat="0" applyBorder="0" applyAlignment="0" applyProtection="0"/>
    <xf numFmtId="0" fontId="51"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1" fillId="11" borderId="0" applyNumberFormat="0" applyBorder="0" applyAlignment="0" applyProtection="0"/>
    <xf numFmtId="0" fontId="51" fillId="11" borderId="0" applyNumberFormat="0" applyBorder="0" applyAlignment="0" applyProtection="0"/>
    <xf numFmtId="0" fontId="51"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1" fillId="11" borderId="0" applyNumberFormat="0" applyBorder="0" applyAlignment="0" applyProtection="0"/>
    <xf numFmtId="0" fontId="51" fillId="11" borderId="0" applyNumberFormat="0" applyBorder="0" applyAlignment="0" applyProtection="0"/>
    <xf numFmtId="0" fontId="51"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0" fillId="11" borderId="0" applyNumberFormat="0" applyBorder="0" applyAlignment="0" applyProtection="0"/>
    <xf numFmtId="0" fontId="52" fillId="66" borderId="29" applyNumberFormat="0" applyAlignment="0" applyProtection="0"/>
    <xf numFmtId="0" fontId="52" fillId="13" borderId="29" applyNumberFormat="0" applyAlignment="0" applyProtection="0"/>
    <xf numFmtId="0" fontId="52" fillId="13" borderId="29" applyNumberFormat="0" applyAlignment="0" applyProtection="0"/>
    <xf numFmtId="0" fontId="52" fillId="13"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13" borderId="29" applyNumberFormat="0" applyAlignment="0" applyProtection="0"/>
    <xf numFmtId="0" fontId="52" fillId="13" borderId="29" applyNumberFormat="0" applyAlignment="0" applyProtection="0"/>
    <xf numFmtId="0" fontId="52" fillId="13"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13" borderId="29" applyNumberFormat="0" applyAlignment="0" applyProtection="0"/>
    <xf numFmtId="0" fontId="52" fillId="13" borderId="29" applyNumberFormat="0" applyAlignment="0" applyProtection="0"/>
    <xf numFmtId="0" fontId="52" fillId="13"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13" borderId="29" applyNumberFormat="0" applyAlignment="0" applyProtection="0"/>
    <xf numFmtId="0" fontId="52" fillId="13" borderId="29" applyNumberFormat="0" applyAlignment="0" applyProtection="0"/>
    <xf numFmtId="0" fontId="52" fillId="13"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13" borderId="29" applyNumberFormat="0" applyAlignment="0" applyProtection="0"/>
    <xf numFmtId="0" fontId="52" fillId="13" borderId="29" applyNumberFormat="0" applyAlignment="0" applyProtection="0"/>
    <xf numFmtId="0" fontId="52" fillId="13"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2" fillId="66" borderId="29" applyNumberFormat="0" applyAlignment="0" applyProtection="0"/>
    <xf numFmtId="0" fontId="53" fillId="61" borderId="28" applyNumberFormat="0" applyAlignment="0" applyProtection="0"/>
    <xf numFmtId="0" fontId="53" fillId="12" borderId="28" applyNumberFormat="0" applyAlignment="0" applyProtection="0"/>
    <xf numFmtId="0" fontId="53" fillId="12" borderId="28" applyNumberFormat="0" applyAlignment="0" applyProtection="0"/>
    <xf numFmtId="0" fontId="53" fillId="12"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12" borderId="28" applyNumberFormat="0" applyAlignment="0" applyProtection="0"/>
    <xf numFmtId="0" fontId="53" fillId="12" borderId="28" applyNumberFormat="0" applyAlignment="0" applyProtection="0"/>
    <xf numFmtId="0" fontId="53" fillId="12"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12" borderId="28" applyNumberFormat="0" applyAlignment="0" applyProtection="0"/>
    <xf numFmtId="0" fontId="53" fillId="12" borderId="28" applyNumberFormat="0" applyAlignment="0" applyProtection="0"/>
    <xf numFmtId="0" fontId="53" fillId="12"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12" borderId="28" applyNumberFormat="0" applyAlignment="0" applyProtection="0"/>
    <xf numFmtId="0" fontId="53" fillId="12" borderId="28" applyNumberFormat="0" applyAlignment="0" applyProtection="0"/>
    <xf numFmtId="0" fontId="53" fillId="12"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12" borderId="28" applyNumberFormat="0" applyAlignment="0" applyProtection="0"/>
    <xf numFmtId="0" fontId="53" fillId="12" borderId="28" applyNumberFormat="0" applyAlignment="0" applyProtection="0"/>
    <xf numFmtId="0" fontId="53" fillId="12"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3" fillId="61" borderId="28" applyNumberFormat="0" applyAlignment="0" applyProtection="0"/>
    <xf numFmtId="0" fontId="54" fillId="15" borderId="32" applyNumberFormat="0" applyFont="0" applyAlignment="0" applyProtection="0"/>
    <xf numFmtId="0" fontId="30" fillId="15" borderId="32" applyNumberFormat="0" applyFont="0" applyAlignment="0" applyProtection="0"/>
    <xf numFmtId="0" fontId="30" fillId="15" borderId="32" applyNumberFormat="0" applyFont="0" applyAlignment="0" applyProtection="0"/>
    <xf numFmtId="0" fontId="30"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30" fillId="15" borderId="32" applyNumberFormat="0" applyFont="0" applyAlignment="0" applyProtection="0"/>
    <xf numFmtId="0" fontId="30" fillId="15" borderId="32" applyNumberFormat="0" applyFont="0" applyAlignment="0" applyProtection="0"/>
    <xf numFmtId="0" fontId="30"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30" fillId="15" borderId="32" applyNumberFormat="0" applyFont="0" applyAlignment="0" applyProtection="0"/>
    <xf numFmtId="0" fontId="30" fillId="15" borderId="32" applyNumberFormat="0" applyFont="0" applyAlignment="0" applyProtection="0"/>
    <xf numFmtId="0" fontId="30"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30" fillId="15" borderId="32" applyNumberFormat="0" applyFont="0" applyAlignment="0" applyProtection="0"/>
    <xf numFmtId="0" fontId="30" fillId="15" borderId="32" applyNumberFormat="0" applyFont="0" applyAlignment="0" applyProtection="0"/>
    <xf numFmtId="0" fontId="30"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30" fillId="15" borderId="32" applyNumberFormat="0" applyFont="0" applyAlignment="0" applyProtection="0"/>
    <xf numFmtId="0" fontId="30" fillId="15" borderId="32" applyNumberFormat="0" applyFont="0" applyAlignment="0" applyProtection="0"/>
    <xf numFmtId="0" fontId="30"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54" fillId="15" borderId="32" applyNumberFormat="0" applyFont="0" applyAlignment="0" applyProtection="0"/>
    <xf numFmtId="0" fontId="61" fillId="0" borderId="0" applyNumberFormat="0" applyFill="0" applyBorder="0" applyAlignment="0" applyProtection="0"/>
    <xf numFmtId="0" fontId="62" fillId="0" borderId="25" applyNumberFormat="0" applyFill="0" applyAlignment="0" applyProtection="0"/>
    <xf numFmtId="0" fontId="63" fillId="0" borderId="26" applyNumberFormat="0" applyFill="0" applyAlignment="0" applyProtection="0"/>
    <xf numFmtId="0" fontId="64" fillId="0" borderId="27" applyNumberFormat="0" applyFill="0" applyAlignment="0" applyProtection="0"/>
    <xf numFmtId="0" fontId="64" fillId="0" borderId="0" applyNumberFormat="0" applyFill="0" applyBorder="0" applyAlignment="0" applyProtection="0"/>
    <xf numFmtId="0" fontId="65" fillId="9" borderId="0" applyNumberFormat="0" applyBorder="0" applyAlignment="0" applyProtection="0"/>
    <xf numFmtId="0" fontId="66" fillId="10" borderId="0" applyNumberFormat="0" applyBorder="0" applyAlignment="0" applyProtection="0"/>
    <xf numFmtId="0" fontId="67" fillId="11" borderId="0" applyNumberFormat="0" applyBorder="0" applyAlignment="0" applyProtection="0"/>
    <xf numFmtId="0" fontId="68" fillId="12" borderId="28" applyNumberFormat="0" applyAlignment="0" applyProtection="0"/>
    <xf numFmtId="0" fontId="69" fillId="13" borderId="29" applyNumberFormat="0" applyAlignment="0" applyProtection="0"/>
    <xf numFmtId="0" fontId="70" fillId="13" borderId="28" applyNumberFormat="0" applyAlignment="0" applyProtection="0"/>
    <xf numFmtId="0" fontId="71" fillId="0" borderId="30" applyNumberFormat="0" applyFill="0" applyAlignment="0" applyProtection="0"/>
    <xf numFmtId="0" fontId="72" fillId="14" borderId="31" applyNumberFormat="0" applyAlignment="0" applyProtection="0"/>
    <xf numFmtId="0" fontId="73" fillId="0" borderId="0" applyNumberFormat="0" applyFill="0" applyBorder="0" applyAlignment="0" applyProtection="0"/>
    <xf numFmtId="0" fontId="60" fillId="15" borderId="32" applyNumberFormat="0" applyFont="0" applyAlignment="0" applyProtection="0"/>
    <xf numFmtId="0" fontId="74" fillId="0" borderId="0" applyNumberFormat="0" applyFill="0" applyBorder="0" applyAlignment="0" applyProtection="0"/>
    <xf numFmtId="0" fontId="55" fillId="0" borderId="33" applyNumberFormat="0" applyFill="0" applyAlignment="0" applyProtection="0"/>
    <xf numFmtId="0" fontId="75" fillId="16" borderId="0" applyNumberFormat="0" applyBorder="0" applyAlignment="0" applyProtection="0"/>
    <xf numFmtId="0" fontId="60" fillId="17" borderId="0" applyNumberFormat="0" applyBorder="0" applyAlignment="0" applyProtection="0"/>
    <xf numFmtId="0" fontId="60" fillId="18" borderId="0" applyNumberFormat="0" applyBorder="0" applyAlignment="0" applyProtection="0"/>
    <xf numFmtId="0" fontId="75" fillId="19" borderId="0" applyNumberFormat="0" applyBorder="0" applyAlignment="0" applyProtection="0"/>
    <xf numFmtId="0" fontId="75" fillId="20" borderId="0" applyNumberFormat="0" applyBorder="0" applyAlignment="0" applyProtection="0"/>
    <xf numFmtId="0" fontId="60" fillId="21" borderId="0" applyNumberFormat="0" applyBorder="0" applyAlignment="0" applyProtection="0"/>
    <xf numFmtId="0" fontId="60" fillId="22" borderId="0" applyNumberFormat="0" applyBorder="0" applyAlignment="0" applyProtection="0"/>
    <xf numFmtId="0" fontId="75" fillId="23" borderId="0" applyNumberFormat="0" applyBorder="0" applyAlignment="0" applyProtection="0"/>
    <xf numFmtId="0" fontId="75" fillId="24" borderId="0" applyNumberFormat="0" applyBorder="0" applyAlignment="0" applyProtection="0"/>
    <xf numFmtId="0" fontId="60" fillId="25" borderId="0" applyNumberFormat="0" applyBorder="0" applyAlignment="0" applyProtection="0"/>
    <xf numFmtId="0" fontId="60" fillId="26" borderId="0" applyNumberFormat="0" applyBorder="0" applyAlignment="0" applyProtection="0"/>
    <xf numFmtId="0" fontId="75" fillId="27" borderId="0" applyNumberFormat="0" applyBorder="0" applyAlignment="0" applyProtection="0"/>
    <xf numFmtId="0" fontId="75" fillId="28" borderId="0" applyNumberFormat="0" applyBorder="0" applyAlignment="0" applyProtection="0"/>
    <xf numFmtId="0" fontId="60" fillId="29" borderId="0" applyNumberFormat="0" applyBorder="0" applyAlignment="0" applyProtection="0"/>
    <xf numFmtId="0" fontId="60" fillId="30" borderId="0" applyNumberFormat="0" applyBorder="0" applyAlignment="0" applyProtection="0"/>
    <xf numFmtId="0" fontId="75" fillId="31" borderId="0" applyNumberFormat="0" applyBorder="0" applyAlignment="0" applyProtection="0"/>
    <xf numFmtId="0" fontId="75" fillId="32" borderId="0" applyNumberFormat="0" applyBorder="0" applyAlignment="0" applyProtection="0"/>
    <xf numFmtId="0" fontId="60" fillId="33" borderId="0" applyNumberFormat="0" applyBorder="0" applyAlignment="0" applyProtection="0"/>
    <xf numFmtId="0" fontId="60" fillId="34" borderId="0" applyNumberFormat="0" applyBorder="0" applyAlignment="0" applyProtection="0"/>
    <xf numFmtId="0" fontId="75" fillId="35" borderId="0" applyNumberFormat="0" applyBorder="0" applyAlignment="0" applyProtection="0"/>
    <xf numFmtId="0" fontId="75" fillId="36" borderId="0" applyNumberFormat="0" applyBorder="0" applyAlignment="0" applyProtection="0"/>
    <xf numFmtId="0" fontId="60" fillId="37" borderId="0" applyNumberFormat="0" applyBorder="0" applyAlignment="0" applyProtection="0"/>
    <xf numFmtId="0" fontId="60" fillId="38" borderId="0" applyNumberFormat="0" applyBorder="0" applyAlignment="0" applyProtection="0"/>
    <xf numFmtId="0" fontId="75" fillId="39" borderId="0" applyNumberFormat="0" applyBorder="0" applyAlignment="0" applyProtection="0"/>
    <xf numFmtId="0" fontId="76" fillId="0" borderId="0"/>
    <xf numFmtId="0" fontId="76" fillId="0" borderId="0"/>
    <xf numFmtId="0" fontId="2" fillId="0" borderId="0"/>
    <xf numFmtId="0" fontId="79" fillId="0" borderId="0" applyNumberFormat="0" applyFill="0" applyBorder="0" applyAlignment="0" applyProtection="0"/>
    <xf numFmtId="0" fontId="82" fillId="0" borderId="0"/>
  </cellStyleXfs>
  <cellXfs count="1096">
    <xf numFmtId="0" fontId="0" fillId="0" borderId="0" xfId="0"/>
    <xf numFmtId="0" fontId="3" fillId="2" borderId="1" xfId="1" applyFont="1" applyFill="1" applyBorder="1" applyAlignment="1" applyProtection="1">
      <alignment horizontal="center"/>
      <protection locked="0"/>
    </xf>
    <xf numFmtId="0" fontId="4" fillId="0" borderId="0" xfId="1" applyFont="1" applyFill="1" applyBorder="1" applyProtection="1">
      <protection locked="0"/>
    </xf>
    <xf numFmtId="0" fontId="2" fillId="0" borderId="0" xfId="1" applyFont="1" applyFill="1" applyBorder="1" applyProtection="1">
      <protection locked="0"/>
    </xf>
    <xf numFmtId="0" fontId="5" fillId="0" borderId="4" xfId="1" applyFont="1" applyFill="1" applyBorder="1" applyAlignment="1" applyProtection="1">
      <alignment horizontal="right"/>
      <protection locked="0"/>
    </xf>
    <xf numFmtId="0" fontId="5" fillId="2" borderId="5" xfId="1" applyFont="1" applyFill="1" applyBorder="1" applyAlignment="1" applyProtection="1">
      <alignment horizontal="right"/>
      <protection locked="0"/>
    </xf>
    <xf numFmtId="0" fontId="2" fillId="0" borderId="0" xfId="1" applyFill="1" applyBorder="1" applyProtection="1">
      <protection locked="0"/>
    </xf>
    <xf numFmtId="0" fontId="7" fillId="3" borderId="8" xfId="1" applyFont="1" applyFill="1" applyBorder="1" applyAlignment="1" applyProtection="1">
      <alignment horizontal="center" wrapText="1"/>
      <protection locked="0"/>
    </xf>
    <xf numFmtId="0" fontId="1" fillId="3" borderId="9" xfId="1" applyFont="1" applyFill="1" applyBorder="1" applyAlignment="1" applyProtection="1">
      <alignment horizontal="center" wrapText="1"/>
      <protection locked="0"/>
    </xf>
    <xf numFmtId="49" fontId="9" fillId="0" borderId="4" xfId="1" applyNumberFormat="1" applyFont="1" applyFill="1" applyBorder="1" applyProtection="1">
      <protection locked="0"/>
    </xf>
    <xf numFmtId="49" fontId="9" fillId="0" borderId="14" xfId="1" applyNumberFormat="1" applyFont="1" applyFill="1" applyBorder="1" applyProtection="1">
      <protection locked="0"/>
    </xf>
    <xf numFmtId="14" fontId="9" fillId="0" borderId="14" xfId="1" applyNumberFormat="1" applyFont="1" applyFill="1" applyBorder="1" applyProtection="1">
      <protection locked="0"/>
    </xf>
    <xf numFmtId="49" fontId="9" fillId="0" borderId="15" xfId="1" applyNumberFormat="1" applyFont="1" applyFill="1" applyBorder="1" applyProtection="1">
      <protection locked="0"/>
    </xf>
    <xf numFmtId="2" fontId="10" fillId="0" borderId="5" xfId="1" applyNumberFormat="1" applyFont="1" applyFill="1" applyBorder="1" applyAlignment="1" applyProtection="1">
      <alignment horizontal="right"/>
      <protection locked="0"/>
    </xf>
    <xf numFmtId="49" fontId="2" fillId="0" borderId="4" xfId="1" applyNumberFormat="1" applyFont="1" applyFill="1" applyBorder="1" applyProtection="1">
      <protection locked="0"/>
    </xf>
    <xf numFmtId="49" fontId="2" fillId="0" borderId="14" xfId="1" applyNumberFormat="1" applyFont="1" applyFill="1" applyBorder="1" applyProtection="1">
      <protection locked="0"/>
    </xf>
    <xf numFmtId="14" fontId="2" fillId="0" borderId="14" xfId="1" applyNumberFormat="1" applyFont="1" applyFill="1" applyBorder="1" applyProtection="1">
      <protection locked="0"/>
    </xf>
    <xf numFmtId="49" fontId="11" fillId="0" borderId="15" xfId="1" applyNumberFormat="1" applyFont="1" applyFill="1" applyBorder="1" applyAlignment="1" applyProtection="1">
      <alignment horizontal="center"/>
      <protection locked="0"/>
    </xf>
    <xf numFmtId="49" fontId="4" fillId="0" borderId="5"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49" fontId="2" fillId="0" borderId="15" xfId="1" applyNumberFormat="1" applyFont="1" applyFill="1" applyBorder="1" applyProtection="1">
      <protection locked="0"/>
    </xf>
    <xf numFmtId="49" fontId="2" fillId="0" borderId="17" xfId="1" applyNumberFormat="1" applyFont="1" applyFill="1" applyBorder="1" applyProtection="1">
      <protection locked="0"/>
    </xf>
    <xf numFmtId="49" fontId="2" fillId="0" borderId="18" xfId="1" applyNumberFormat="1" applyFont="1" applyFill="1" applyBorder="1" applyProtection="1">
      <protection locked="0"/>
    </xf>
    <xf numFmtId="14" fontId="2" fillId="0" borderId="18" xfId="1" applyNumberFormat="1" applyFont="1" applyFill="1" applyBorder="1" applyProtection="1">
      <protection locked="0"/>
    </xf>
    <xf numFmtId="49" fontId="2" fillId="0" borderId="19" xfId="1" applyNumberFormat="1" applyFont="1" applyFill="1" applyBorder="1" applyProtection="1">
      <protection locked="0"/>
    </xf>
    <xf numFmtId="49" fontId="4" fillId="0" borderId="20" xfId="1" applyNumberFormat="1" applyFont="1" applyFill="1" applyBorder="1" applyProtection="1">
      <protection locked="0"/>
    </xf>
    <xf numFmtId="2" fontId="7" fillId="0" borderId="21" xfId="1" applyNumberFormat="1" applyFont="1" applyFill="1" applyBorder="1" applyAlignment="1" applyProtection="1">
      <alignment horizontal="right"/>
      <protection locked="0"/>
    </xf>
    <xf numFmtId="2" fontId="10" fillId="0" borderId="20" xfId="1" applyNumberFormat="1" applyFont="1" applyFill="1" applyBorder="1" applyAlignment="1" applyProtection="1">
      <alignment horizontal="right"/>
      <protection locked="0"/>
    </xf>
    <xf numFmtId="49" fontId="2" fillId="0" borderId="0" xfId="1" applyNumberFormat="1" applyFont="1" applyFill="1" applyBorder="1" applyProtection="1">
      <protection locked="0"/>
    </xf>
    <xf numFmtId="14" fontId="2" fillId="0" borderId="0" xfId="1" applyNumberFormat="1" applyFont="1" applyFill="1" applyBorder="1" applyProtection="1">
      <protection locked="0"/>
    </xf>
    <xf numFmtId="49" fontId="4" fillId="0" borderId="0" xfId="1" applyNumberFormat="1" applyFont="1" applyFill="1" applyBorder="1" applyProtection="1">
      <protection locked="0"/>
    </xf>
    <xf numFmtId="0" fontId="11" fillId="0" borderId="0" xfId="1" applyFont="1" applyFill="1" applyBorder="1" applyProtection="1">
      <protection locked="0"/>
    </xf>
    <xf numFmtId="0" fontId="12" fillId="0" borderId="0" xfId="1" applyFont="1" applyFill="1" applyBorder="1" applyProtection="1">
      <protection locked="0"/>
    </xf>
    <xf numFmtId="0" fontId="6" fillId="3" borderId="11" xfId="1" applyFont="1" applyFill="1" applyBorder="1" applyAlignment="1" applyProtection="1">
      <alignment vertical="center"/>
      <protection locked="0"/>
    </xf>
    <xf numFmtId="0" fontId="6" fillId="3" borderId="10" xfId="1" applyFont="1" applyFill="1" applyBorder="1" applyAlignment="1" applyProtection="1">
      <alignment vertical="center"/>
      <protection locked="0"/>
    </xf>
    <xf numFmtId="0" fontId="6" fillId="3" borderId="6" xfId="1" applyFont="1" applyFill="1" applyBorder="1" applyAlignment="1" applyProtection="1">
      <alignment horizontal="center" vertical="center"/>
      <protection locked="0"/>
    </xf>
    <xf numFmtId="0" fontId="6" fillId="3" borderId="7" xfId="1" applyFont="1" applyFill="1" applyBorder="1" applyAlignment="1" applyProtection="1">
      <alignment horizontal="center" vertical="center"/>
      <protection locked="0"/>
    </xf>
    <xf numFmtId="49" fontId="9" fillId="0" borderId="18" xfId="1" applyNumberFormat="1" applyFont="1" applyFill="1" applyBorder="1" applyProtection="1">
      <protection locked="0"/>
    </xf>
    <xf numFmtId="0" fontId="8" fillId="2" borderId="13" xfId="1" applyFont="1" applyFill="1" applyBorder="1" applyAlignment="1" applyProtection="1">
      <alignment wrapText="1"/>
      <protection locked="0"/>
    </xf>
    <xf numFmtId="0" fontId="8" fillId="2" borderId="12" xfId="1" applyFont="1" applyFill="1" applyBorder="1" applyAlignment="1" applyProtection="1">
      <alignment wrapText="1"/>
      <protection locked="0"/>
    </xf>
    <xf numFmtId="0" fontId="13" fillId="6" borderId="23" xfId="1" applyFont="1" applyFill="1" applyBorder="1" applyProtection="1"/>
    <xf numFmtId="0" fontId="6" fillId="3" borderId="11" xfId="1" applyFont="1" applyFill="1" applyBorder="1" applyAlignment="1" applyProtection="1">
      <alignment horizontal="center" vertical="center"/>
    </xf>
    <xf numFmtId="0" fontId="6" fillId="3" borderId="20" xfId="1" applyFont="1" applyFill="1" applyBorder="1" applyAlignment="1" applyProtection="1">
      <alignment horizontal="center" vertical="center"/>
    </xf>
    <xf numFmtId="0" fontId="4" fillId="4" borderId="0" xfId="1" applyFont="1" applyFill="1" applyBorder="1" applyAlignment="1" applyProtection="1">
      <alignment horizontal="center"/>
    </xf>
    <xf numFmtId="0" fontId="4" fillId="0" borderId="0" xfId="1" applyFont="1" applyFill="1" applyBorder="1" applyProtection="1"/>
    <xf numFmtId="0" fontId="0" fillId="0" borderId="0" xfId="0" applyBorder="1"/>
    <xf numFmtId="0" fontId="15" fillId="0" borderId="0" xfId="0" applyFont="1"/>
    <xf numFmtId="0" fontId="0" fillId="7" borderId="14" xfId="0" applyFill="1" applyBorder="1"/>
    <xf numFmtId="0" fontId="13" fillId="7" borderId="14" xfId="1" applyFont="1" applyFill="1" applyBorder="1" applyProtection="1"/>
    <xf numFmtId="0" fontId="4" fillId="0" borderId="34" xfId="2" applyFont="1" applyFill="1" applyBorder="1"/>
    <xf numFmtId="0" fontId="4" fillId="0" borderId="35" xfId="2" applyFont="1" applyFill="1" applyBorder="1"/>
    <xf numFmtId="0" fontId="4" fillId="0" borderId="36" xfId="2" applyFont="1" applyFill="1" applyBorder="1"/>
    <xf numFmtId="0" fontId="2" fillId="0" borderId="0" xfId="2"/>
    <xf numFmtId="0" fontId="2" fillId="0" borderId="37" xfId="2" applyFont="1" applyFill="1" applyBorder="1"/>
    <xf numFmtId="0" fontId="2" fillId="0" borderId="38" xfId="2" applyFont="1" applyFill="1" applyBorder="1"/>
    <xf numFmtId="0" fontId="2" fillId="0" borderId="38" xfId="2" applyFill="1" applyBorder="1"/>
    <xf numFmtId="0" fontId="2" fillId="0" borderId="39" xfId="2" applyFill="1" applyBorder="1"/>
    <xf numFmtId="0" fontId="2" fillId="0" borderId="41" xfId="2" applyFill="1" applyBorder="1"/>
    <xf numFmtId="0" fontId="2" fillId="0" borderId="40" xfId="2" applyFill="1" applyBorder="1"/>
    <xf numFmtId="176" fontId="2" fillId="42" borderId="42" xfId="2" applyNumberFormat="1" applyFont="1" applyFill="1" applyBorder="1"/>
    <xf numFmtId="176" fontId="2" fillId="42" borderId="46" xfId="2" applyNumberFormat="1" applyFont="1" applyFill="1" applyBorder="1"/>
    <xf numFmtId="176" fontId="2" fillId="42" borderId="49" xfId="2" applyNumberFormat="1" applyFont="1" applyFill="1" applyBorder="1"/>
    <xf numFmtId="0" fontId="2" fillId="43" borderId="0" xfId="2" applyFill="1"/>
    <xf numFmtId="0" fontId="4" fillId="0" borderId="59" xfId="2" applyFont="1" applyFill="1" applyBorder="1"/>
    <xf numFmtId="0" fontId="4" fillId="0" borderId="60" xfId="2" applyFont="1" applyFill="1" applyBorder="1"/>
    <xf numFmtId="0" fontId="4" fillId="0" borderId="61" xfId="2" applyFont="1" applyFill="1" applyBorder="1"/>
    <xf numFmtId="0" fontId="2" fillId="44" borderId="39" xfId="2" applyFill="1" applyBorder="1"/>
    <xf numFmtId="0" fontId="2" fillId="44" borderId="38" xfId="2" applyFill="1" applyBorder="1"/>
    <xf numFmtId="0" fontId="2" fillId="44" borderId="10" xfId="2" applyFill="1" applyBorder="1"/>
    <xf numFmtId="0" fontId="2" fillId="44" borderId="39" xfId="2" applyFill="1" applyBorder="1" applyAlignment="1">
      <alignment wrapText="1"/>
    </xf>
    <xf numFmtId="0" fontId="2" fillId="44" borderId="62" xfId="2" applyFill="1" applyBorder="1"/>
    <xf numFmtId="0" fontId="2" fillId="0" borderId="62" xfId="2" applyFont="1" applyFill="1" applyBorder="1"/>
    <xf numFmtId="49" fontId="4" fillId="2" borderId="63" xfId="2" applyNumberFormat="1" applyFont="1" applyFill="1" applyBorder="1"/>
    <xf numFmtId="177" fontId="2" fillId="40" borderId="43" xfId="2" applyNumberFormat="1" applyFont="1" applyFill="1" applyBorder="1"/>
    <xf numFmtId="2" fontId="2" fillId="40" borderId="45" xfId="2" applyNumberFormat="1" applyFill="1" applyBorder="1"/>
    <xf numFmtId="2" fontId="2" fillId="40" borderId="23" xfId="2" applyNumberFormat="1" applyFill="1" applyBorder="1"/>
    <xf numFmtId="177" fontId="2" fillId="41" borderId="43" xfId="2" applyNumberFormat="1" applyFont="1" applyFill="1" applyBorder="1"/>
    <xf numFmtId="177" fontId="2" fillId="41" borderId="23" xfId="2" applyNumberFormat="1" applyFont="1" applyFill="1" applyBorder="1"/>
    <xf numFmtId="2" fontId="2" fillId="45" borderId="64" xfId="2" applyNumberFormat="1" applyFont="1" applyFill="1" applyBorder="1"/>
    <xf numFmtId="2" fontId="2" fillId="45" borderId="24" xfId="2" applyNumberFormat="1" applyFont="1" applyFill="1" applyBorder="1"/>
    <xf numFmtId="2" fontId="2" fillId="40" borderId="43" xfId="2" applyNumberFormat="1" applyFont="1" applyFill="1" applyBorder="1"/>
    <xf numFmtId="2" fontId="2" fillId="40" borderId="23" xfId="2" applyNumberFormat="1" applyFont="1" applyFill="1" applyBorder="1"/>
    <xf numFmtId="2" fontId="2" fillId="42" borderId="43" xfId="2" applyNumberFormat="1" applyFill="1" applyBorder="1"/>
    <xf numFmtId="2" fontId="2" fillId="42" borderId="23" xfId="2" applyNumberFormat="1" applyFill="1" applyBorder="1"/>
    <xf numFmtId="177" fontId="2" fillId="46" borderId="44" xfId="2" applyNumberFormat="1" applyFill="1" applyBorder="1"/>
    <xf numFmtId="177" fontId="2" fillId="46" borderId="16" xfId="2" applyNumberFormat="1" applyFill="1" applyBorder="1"/>
    <xf numFmtId="177" fontId="2" fillId="40" borderId="4" xfId="2" applyNumberFormat="1" applyFont="1" applyFill="1" applyBorder="1"/>
    <xf numFmtId="2" fontId="2" fillId="40" borderId="14" xfId="2" applyNumberFormat="1" applyFill="1" applyBorder="1"/>
    <xf numFmtId="2" fontId="2" fillId="40" borderId="5" xfId="2" applyNumberFormat="1" applyFill="1" applyBorder="1"/>
    <xf numFmtId="177" fontId="2" fillId="41" borderId="4" xfId="2" applyNumberFormat="1" applyFont="1" applyFill="1" applyBorder="1"/>
    <xf numFmtId="177" fontId="2" fillId="41" borderId="5" xfId="2" applyNumberFormat="1" applyFont="1" applyFill="1" applyBorder="1"/>
    <xf numFmtId="2" fontId="2" fillId="40" borderId="4" xfId="2" applyNumberFormat="1" applyFont="1" applyFill="1" applyBorder="1"/>
    <xf numFmtId="2" fontId="2" fillId="40" borderId="5" xfId="2" applyNumberFormat="1" applyFont="1" applyFill="1" applyBorder="1"/>
    <xf numFmtId="2" fontId="2" fillId="42" borderId="4" xfId="2" applyNumberFormat="1" applyFill="1" applyBorder="1"/>
    <xf numFmtId="2" fontId="2" fillId="42" borderId="5" xfId="2" applyNumberFormat="1" applyFill="1" applyBorder="1"/>
    <xf numFmtId="0" fontId="4" fillId="0" borderId="66" xfId="2" applyFont="1" applyFill="1" applyBorder="1"/>
    <xf numFmtId="0" fontId="4" fillId="0" borderId="67" xfId="2" applyFont="1" applyFill="1" applyBorder="1"/>
    <xf numFmtId="0" fontId="4" fillId="0" borderId="0" xfId="2" applyFont="1" applyFill="1" applyBorder="1"/>
    <xf numFmtId="0" fontId="2" fillId="0" borderId="39" xfId="2" applyFont="1" applyFill="1" applyBorder="1"/>
    <xf numFmtId="0" fontId="2" fillId="0" borderId="68" xfId="2" applyFill="1" applyBorder="1"/>
    <xf numFmtId="0" fontId="2" fillId="0" borderId="69" xfId="2" applyFill="1" applyBorder="1"/>
    <xf numFmtId="0" fontId="2" fillId="0" borderId="39" xfId="2" applyFill="1" applyBorder="1" applyAlignment="1">
      <alignment horizontal="center"/>
    </xf>
    <xf numFmtId="49" fontId="2" fillId="2" borderId="70" xfId="2" applyNumberFormat="1" applyFill="1" applyBorder="1"/>
    <xf numFmtId="0" fontId="2" fillId="0" borderId="71" xfId="2" applyBorder="1"/>
    <xf numFmtId="2" fontId="2" fillId="41" borderId="42" xfId="2" applyNumberFormat="1" applyFill="1" applyBorder="1"/>
    <xf numFmtId="176" fontId="2" fillId="7" borderId="71" xfId="2" applyNumberFormat="1" applyFont="1" applyFill="1" applyBorder="1"/>
    <xf numFmtId="176" fontId="2" fillId="40" borderId="43" xfId="2" applyNumberFormat="1" applyFont="1" applyFill="1" applyBorder="1"/>
    <xf numFmtId="176" fontId="2" fillId="40" borderId="23" xfId="2" applyNumberFormat="1" applyFont="1" applyFill="1" applyBorder="1"/>
    <xf numFmtId="2" fontId="2" fillId="42" borderId="42" xfId="2" applyNumberFormat="1" applyFill="1" applyBorder="1"/>
    <xf numFmtId="2" fontId="2" fillId="46" borderId="43" xfId="2" applyNumberFormat="1" applyFill="1" applyBorder="1"/>
    <xf numFmtId="2" fontId="2" fillId="46" borderId="23" xfId="2" applyNumberFormat="1" applyFill="1" applyBorder="1"/>
    <xf numFmtId="2" fontId="2" fillId="41" borderId="44" xfId="2" applyNumberFormat="1" applyFill="1" applyBorder="1"/>
    <xf numFmtId="2" fontId="2" fillId="41" borderId="45" xfId="2" applyNumberFormat="1" applyFill="1" applyBorder="1"/>
    <xf numFmtId="177" fontId="2" fillId="41" borderId="72" xfId="2" applyNumberFormat="1" applyFill="1" applyBorder="1"/>
    <xf numFmtId="49" fontId="2" fillId="2" borderId="73" xfId="2" applyNumberFormat="1" applyFill="1" applyBorder="1"/>
    <xf numFmtId="0" fontId="2" fillId="0" borderId="74" xfId="2" applyBorder="1"/>
    <xf numFmtId="2" fontId="2" fillId="41" borderId="46" xfId="2" applyNumberFormat="1" applyFill="1" applyBorder="1"/>
    <xf numFmtId="2" fontId="2" fillId="42" borderId="46" xfId="2" applyNumberFormat="1" applyFill="1" applyBorder="1"/>
    <xf numFmtId="2" fontId="2" fillId="46" borderId="4" xfId="2" applyNumberFormat="1" applyFill="1" applyBorder="1"/>
    <xf numFmtId="2" fontId="2" fillId="46" borderId="5" xfId="2" applyNumberFormat="1" applyFill="1" applyBorder="1"/>
    <xf numFmtId="2" fontId="2" fillId="41" borderId="16" xfId="2" applyNumberFormat="1" applyFill="1" applyBorder="1"/>
    <xf numFmtId="2" fontId="2" fillId="41" borderId="14" xfId="2" applyNumberFormat="1" applyFill="1" applyBorder="1"/>
    <xf numFmtId="177" fontId="2" fillId="41" borderId="48" xfId="2" applyNumberFormat="1" applyFill="1" applyBorder="1"/>
    <xf numFmtId="49" fontId="2" fillId="2" borderId="73" xfId="2" applyNumberFormat="1" applyFont="1" applyFill="1" applyBorder="1"/>
    <xf numFmtId="0" fontId="2" fillId="0" borderId="74" xfId="2" applyFont="1" applyBorder="1"/>
    <xf numFmtId="2" fontId="2" fillId="41" borderId="46" xfId="2" applyNumberFormat="1" applyFont="1" applyFill="1" applyBorder="1"/>
    <xf numFmtId="2" fontId="2" fillId="42" borderId="46" xfId="2" applyNumberFormat="1" applyFont="1" applyFill="1" applyBorder="1"/>
    <xf numFmtId="2" fontId="2" fillId="46" borderId="4" xfId="2" applyNumberFormat="1" applyFont="1" applyFill="1" applyBorder="1"/>
    <xf numFmtId="2" fontId="2" fillId="46" borderId="5" xfId="2" applyNumberFormat="1" applyFont="1" applyFill="1" applyBorder="1"/>
    <xf numFmtId="2" fontId="2" fillId="41" borderId="16" xfId="2" applyNumberFormat="1" applyFont="1" applyFill="1" applyBorder="1"/>
    <xf numFmtId="2" fontId="2" fillId="41" borderId="14" xfId="2" applyNumberFormat="1" applyFont="1" applyFill="1" applyBorder="1"/>
    <xf numFmtId="177" fontId="2" fillId="41" borderId="48" xfId="2" applyNumberFormat="1" applyFont="1" applyFill="1" applyBorder="1"/>
    <xf numFmtId="0" fontId="2" fillId="0" borderId="0" xfId="2" applyFont="1"/>
    <xf numFmtId="49" fontId="2" fillId="2" borderId="16" xfId="2" applyNumberFormat="1" applyFill="1" applyBorder="1"/>
    <xf numFmtId="0" fontId="2" fillId="0" borderId="0" xfId="2" applyBorder="1"/>
    <xf numFmtId="179" fontId="2" fillId="41" borderId="46" xfId="2" applyNumberFormat="1" applyFill="1" applyBorder="1"/>
    <xf numFmtId="0" fontId="2" fillId="0" borderId="2" xfId="2" applyBorder="1"/>
    <xf numFmtId="0" fontId="2" fillId="0" borderId="3" xfId="2" applyBorder="1"/>
    <xf numFmtId="0" fontId="2" fillId="0" borderId="4" xfId="2" applyBorder="1"/>
    <xf numFmtId="0" fontId="2" fillId="0" borderId="15" xfId="2" applyBorder="1"/>
    <xf numFmtId="0" fontId="2" fillId="0" borderId="76" xfId="2" applyBorder="1"/>
    <xf numFmtId="0" fontId="2" fillId="0" borderId="17" xfId="2" applyBorder="1"/>
    <xf numFmtId="0" fontId="2" fillId="0" borderId="19" xfId="2" applyBorder="1"/>
    <xf numFmtId="0" fontId="2" fillId="0" borderId="77" xfId="2" applyBorder="1"/>
    <xf numFmtId="2" fontId="2" fillId="40" borderId="42" xfId="2" applyNumberFormat="1" applyFill="1" applyBorder="1"/>
    <xf numFmtId="2" fontId="2" fillId="40" borderId="46" xfId="2" applyNumberFormat="1" applyFill="1" applyBorder="1"/>
    <xf numFmtId="0" fontId="4" fillId="0" borderId="79" xfId="2" applyFont="1" applyBorder="1"/>
    <xf numFmtId="0" fontId="4" fillId="0" borderId="79" xfId="2" applyFont="1" applyFill="1" applyBorder="1" applyAlignment="1">
      <alignment wrapText="1"/>
    </xf>
    <xf numFmtId="0" fontId="2" fillId="0" borderId="39" xfId="2" applyBorder="1"/>
    <xf numFmtId="0" fontId="2" fillId="0" borderId="80" xfId="2" applyFill="1" applyBorder="1"/>
    <xf numFmtId="2" fontId="2" fillId="41" borderId="76" xfId="2" applyNumberFormat="1" applyFill="1" applyBorder="1"/>
    <xf numFmtId="2" fontId="2" fillId="45" borderId="43" xfId="2" applyNumberFormat="1" applyFill="1" applyBorder="1"/>
    <xf numFmtId="2" fontId="2" fillId="45" borderId="23" xfId="2" applyNumberFormat="1" applyFill="1" applyBorder="1"/>
    <xf numFmtId="2" fontId="2" fillId="46" borderId="42" xfId="2" applyNumberFormat="1" applyFill="1" applyBorder="1"/>
    <xf numFmtId="2" fontId="2" fillId="41" borderId="81" xfId="2" applyNumberFormat="1" applyFill="1" applyBorder="1"/>
    <xf numFmtId="2" fontId="2" fillId="41" borderId="82" xfId="2" applyNumberFormat="1" applyFill="1" applyBorder="1"/>
    <xf numFmtId="0" fontId="2" fillId="42" borderId="42" xfId="2" applyFill="1" applyBorder="1"/>
    <xf numFmtId="0" fontId="2" fillId="54" borderId="42" xfId="2" applyFill="1" applyBorder="1"/>
    <xf numFmtId="0" fontId="2" fillId="54" borderId="46" xfId="2" applyFill="1" applyBorder="1"/>
    <xf numFmtId="0" fontId="2" fillId="8" borderId="42" xfId="2" applyFill="1" applyBorder="1"/>
    <xf numFmtId="0" fontId="2" fillId="8" borderId="3" xfId="2" applyFill="1" applyBorder="1"/>
    <xf numFmtId="0" fontId="2" fillId="42" borderId="46" xfId="2" applyFill="1" applyBorder="1"/>
    <xf numFmtId="0" fontId="2" fillId="8" borderId="46" xfId="2" applyFill="1" applyBorder="1"/>
    <xf numFmtId="0" fontId="2" fillId="8" borderId="76" xfId="2" applyFill="1" applyBorder="1"/>
    <xf numFmtId="0" fontId="2" fillId="54" borderId="39" xfId="2" applyFill="1" applyBorder="1"/>
    <xf numFmtId="0" fontId="2" fillId="8" borderId="38" xfId="2" applyFill="1" applyBorder="1"/>
    <xf numFmtId="2" fontId="2" fillId="0" borderId="46" xfId="2" applyNumberFormat="1" applyFill="1" applyBorder="1"/>
    <xf numFmtId="0" fontId="55" fillId="0" borderId="0" xfId="2" applyFont="1" applyAlignment="1">
      <alignment vertical="center" wrapText="1"/>
    </xf>
    <xf numFmtId="0" fontId="55" fillId="0" borderId="0" xfId="2" applyFont="1" applyAlignment="1">
      <alignment horizontal="center" vertical="center" wrapText="1"/>
    </xf>
    <xf numFmtId="0" fontId="2" fillId="0" borderId="0" xfId="2" applyAlignment="1">
      <alignment wrapText="1"/>
    </xf>
    <xf numFmtId="0" fontId="2" fillId="0" borderId="0" xfId="2" applyAlignment="1">
      <alignment horizontal="center" wrapText="1"/>
    </xf>
    <xf numFmtId="0" fontId="2" fillId="0" borderId="0" xfId="2" applyAlignment="1"/>
    <xf numFmtId="0" fontId="2" fillId="0" borderId="0" xfId="2" applyAlignment="1">
      <alignment horizontal="center"/>
    </xf>
    <xf numFmtId="0" fontId="0" fillId="0" borderId="0" xfId="0" applyFill="1"/>
    <xf numFmtId="0" fontId="55" fillId="0" borderId="0" xfId="0" applyFont="1" applyAlignment="1">
      <alignment horizontal="center" vertical="center" wrapText="1"/>
    </xf>
    <xf numFmtId="0" fontId="0" fillId="0" borderId="0" xfId="0" applyAlignment="1">
      <alignment wrapText="1"/>
    </xf>
    <xf numFmtId="2" fontId="10" fillId="0" borderId="5" xfId="1" applyNumberFormat="1" applyFont="1" applyFill="1" applyBorder="1" applyAlignment="1" applyProtection="1">
      <alignment horizontal="right"/>
      <protection locked="0"/>
    </xf>
    <xf numFmtId="2" fontId="10" fillId="0" borderId="5" xfId="1" applyNumberFormat="1" applyFont="1" applyFill="1" applyBorder="1" applyAlignment="1" applyProtection="1">
      <alignment horizontal="right"/>
      <protection locked="0"/>
    </xf>
    <xf numFmtId="49" fontId="2" fillId="0" borderId="75" xfId="1" applyNumberFormat="1" applyFont="1" applyFill="1" applyBorder="1" applyProtection="1">
      <protection locked="0"/>
    </xf>
    <xf numFmtId="14" fontId="2" fillId="0" borderId="75" xfId="1" applyNumberFormat="1" applyFont="1" applyFill="1" applyBorder="1" applyProtection="1">
      <protection locked="0"/>
    </xf>
    <xf numFmtId="49" fontId="11" fillId="0" borderId="90" xfId="1" applyNumberFormat="1" applyFont="1" applyFill="1" applyBorder="1" applyAlignment="1" applyProtection="1">
      <alignment horizontal="center"/>
      <protection locked="0"/>
    </xf>
    <xf numFmtId="49" fontId="11" fillId="0" borderId="14" xfId="1" applyNumberFormat="1" applyFont="1" applyFill="1" applyBorder="1" applyAlignment="1" applyProtection="1">
      <alignment horizontal="center"/>
      <protection locked="0"/>
    </xf>
    <xf numFmtId="0" fontId="5" fillId="0" borderId="4" xfId="1" applyFont="1" applyFill="1" applyBorder="1" applyAlignment="1" applyProtection="1">
      <alignment horizontal="right"/>
      <protection locked="0"/>
    </xf>
    <xf numFmtId="0" fontId="5" fillId="2" borderId="5" xfId="1" applyFont="1" applyFill="1" applyBorder="1" applyAlignment="1" applyProtection="1">
      <alignment horizontal="right"/>
      <protection locked="0"/>
    </xf>
    <xf numFmtId="0" fontId="2" fillId="0" borderId="0" xfId="1" applyFill="1" applyBorder="1" applyProtection="1">
      <protection locked="0"/>
    </xf>
    <xf numFmtId="0" fontId="7" fillId="3" borderId="8" xfId="1" applyFont="1" applyFill="1" applyBorder="1" applyAlignment="1" applyProtection="1">
      <alignment horizontal="center" wrapText="1"/>
      <protection locked="0"/>
    </xf>
    <xf numFmtId="0" fontId="1" fillId="3" borderId="9" xfId="1" applyFont="1" applyFill="1" applyBorder="1" applyAlignment="1" applyProtection="1">
      <alignment horizontal="center" wrapText="1"/>
      <protection locked="0"/>
    </xf>
    <xf numFmtId="2" fontId="7" fillId="0" borderId="21" xfId="1" applyNumberFormat="1" applyFont="1" applyFill="1" applyBorder="1" applyAlignment="1" applyProtection="1">
      <alignment horizontal="right"/>
      <protection locked="0"/>
    </xf>
    <xf numFmtId="2" fontId="10" fillId="0" borderId="20" xfId="1" applyNumberFormat="1" applyFont="1" applyFill="1" applyBorder="1" applyAlignment="1" applyProtection="1">
      <alignment horizontal="right"/>
      <protection locked="0"/>
    </xf>
    <xf numFmtId="0" fontId="11" fillId="0" borderId="0" xfId="1" applyFont="1" applyFill="1" applyBorder="1" applyProtection="1">
      <protection locked="0"/>
    </xf>
    <xf numFmtId="0" fontId="12" fillId="0" borderId="0" xfId="1" applyFont="1" applyFill="1" applyBorder="1" applyProtection="1">
      <protection locked="0"/>
    </xf>
    <xf numFmtId="0" fontId="8" fillId="2" borderId="13" xfId="1" applyFont="1" applyFill="1" applyBorder="1" applyAlignment="1" applyProtection="1">
      <alignment wrapText="1"/>
      <protection locked="0"/>
    </xf>
    <xf numFmtId="0" fontId="8" fillId="2" borderId="12" xfId="1" applyFont="1" applyFill="1" applyBorder="1" applyAlignment="1" applyProtection="1">
      <alignment wrapText="1"/>
      <protection locked="0"/>
    </xf>
    <xf numFmtId="2" fontId="10" fillId="0" borderId="5" xfId="1" applyNumberFormat="1" applyFont="1" applyFill="1" applyBorder="1" applyAlignment="1" applyProtection="1">
      <alignment horizontal="right"/>
      <protection locked="0"/>
    </xf>
    <xf numFmtId="2" fontId="7" fillId="0" borderId="16" xfId="1" applyNumberFormat="1" applyFont="1" applyFill="1" applyBorder="1" applyAlignment="1" applyProtection="1">
      <alignment horizontal="right"/>
      <protection locked="0"/>
    </xf>
    <xf numFmtId="49" fontId="2" fillId="0" borderId="4" xfId="1" applyNumberFormat="1" applyFont="1" applyFill="1" applyBorder="1" applyProtection="1">
      <protection locked="0"/>
    </xf>
    <xf numFmtId="49" fontId="2" fillId="0" borderId="14" xfId="1" applyNumberFormat="1" applyFont="1" applyFill="1" applyBorder="1" applyProtection="1">
      <protection locked="0"/>
    </xf>
    <xf numFmtId="14" fontId="2" fillId="0" borderId="14" xfId="1" applyNumberFormat="1" applyFont="1" applyFill="1" applyBorder="1" applyProtection="1">
      <protection locked="0"/>
    </xf>
    <xf numFmtId="49" fontId="11" fillId="0" borderId="15" xfId="1" applyNumberFormat="1" applyFont="1" applyFill="1" applyBorder="1" applyAlignment="1" applyProtection="1">
      <alignment horizontal="center"/>
      <protection locked="0"/>
    </xf>
    <xf numFmtId="49" fontId="9" fillId="0" borderId="16" xfId="1" applyNumberFormat="1" applyFont="1" applyFill="1" applyBorder="1" applyProtection="1">
      <protection locked="0"/>
    </xf>
    <xf numFmtId="49" fontId="2" fillId="0" borderId="16" xfId="1" applyNumberFormat="1" applyFont="1" applyFill="1" applyBorder="1" applyProtection="1">
      <protection locked="0"/>
    </xf>
    <xf numFmtId="2" fontId="10" fillId="0" borderId="14" xfId="1" applyNumberFormat="1" applyFont="1" applyFill="1" applyBorder="1" applyAlignment="1" applyProtection="1">
      <alignment horizontal="right"/>
      <protection locked="0"/>
    </xf>
    <xf numFmtId="49" fontId="4" fillId="70" borderId="42" xfId="2" applyNumberFormat="1" applyFont="1" applyFill="1" applyBorder="1"/>
    <xf numFmtId="49" fontId="4" fillId="70" borderId="46" xfId="2" applyNumberFormat="1" applyFont="1" applyFill="1" applyBorder="1"/>
    <xf numFmtId="49" fontId="4" fillId="42" borderId="46" xfId="2" applyNumberFormat="1" applyFont="1" applyFill="1" applyBorder="1"/>
    <xf numFmtId="0" fontId="2" fillId="42" borderId="46" xfId="2" applyNumberFormat="1" applyFill="1" applyBorder="1"/>
    <xf numFmtId="0" fontId="2" fillId="54" borderId="49" xfId="2" applyFill="1" applyBorder="1"/>
    <xf numFmtId="0" fontId="2" fillId="8" borderId="49" xfId="2" applyFill="1" applyBorder="1"/>
    <xf numFmtId="0" fontId="2" fillId="8" borderId="93" xfId="2" applyFill="1" applyBorder="1"/>
    <xf numFmtId="0" fontId="2" fillId="8" borderId="79" xfId="2" applyFill="1" applyBorder="1"/>
    <xf numFmtId="0" fontId="2" fillId="8" borderId="39" xfId="2" applyFill="1" applyBorder="1"/>
    <xf numFmtId="0" fontId="2" fillId="54" borderId="46" xfId="2" applyFill="1" applyBorder="1" applyAlignment="1">
      <alignment horizontal="right"/>
    </xf>
    <xf numFmtId="176" fontId="2" fillId="42" borderId="46" xfId="2" applyNumberFormat="1" applyFill="1" applyBorder="1"/>
    <xf numFmtId="176" fontId="2" fillId="42" borderId="84" xfId="2" applyNumberFormat="1" applyFont="1" applyFill="1" applyBorder="1"/>
    <xf numFmtId="49" fontId="4" fillId="42" borderId="42" xfId="2" applyNumberFormat="1" applyFont="1" applyFill="1" applyBorder="1"/>
    <xf numFmtId="49" fontId="4" fillId="8" borderId="46" xfId="2" applyNumberFormat="1" applyFont="1" applyFill="1" applyBorder="1"/>
    <xf numFmtId="49" fontId="4" fillId="42" borderId="84" xfId="2" applyNumberFormat="1" applyFont="1" applyFill="1" applyBorder="1"/>
    <xf numFmtId="0" fontId="2" fillId="54" borderId="84" xfId="2" applyFill="1" applyBorder="1"/>
    <xf numFmtId="2" fontId="2" fillId="40" borderId="84" xfId="2" applyNumberFormat="1" applyFill="1" applyBorder="1"/>
    <xf numFmtId="0" fontId="4" fillId="0" borderId="79" xfId="2" applyFont="1" applyFill="1" applyBorder="1"/>
    <xf numFmtId="0" fontId="4" fillId="0" borderId="94" xfId="2" applyFont="1" applyFill="1" applyBorder="1"/>
    <xf numFmtId="0" fontId="4" fillId="0" borderId="95" xfId="2" applyFont="1" applyFill="1" applyBorder="1"/>
    <xf numFmtId="0" fontId="2" fillId="0" borderId="96" xfId="2" applyBorder="1"/>
    <xf numFmtId="2" fontId="2" fillId="40" borderId="74" xfId="2" applyNumberFormat="1" applyFill="1" applyBorder="1"/>
    <xf numFmtId="2" fontId="2" fillId="41" borderId="65" xfId="2" applyNumberFormat="1" applyFill="1" applyBorder="1"/>
    <xf numFmtId="2" fontId="2" fillId="41" borderId="74" xfId="2" applyNumberFormat="1" applyFill="1" applyBorder="1"/>
    <xf numFmtId="2" fontId="2" fillId="45" borderId="74" xfId="2" applyNumberFormat="1" applyFill="1" applyBorder="1"/>
    <xf numFmtId="2" fontId="2" fillId="46" borderId="74" xfId="2" applyNumberFormat="1" applyFill="1" applyBorder="1"/>
    <xf numFmtId="0" fontId="2" fillId="0" borderId="65" xfId="2" applyBorder="1"/>
    <xf numFmtId="0" fontId="2" fillId="2" borderId="92" xfId="2" applyFill="1" applyBorder="1"/>
    <xf numFmtId="0" fontId="2" fillId="2" borderId="97" xfId="2" applyFill="1" applyBorder="1"/>
    <xf numFmtId="2" fontId="2" fillId="40" borderId="98" xfId="2" applyNumberFormat="1" applyFill="1" applyBorder="1"/>
    <xf numFmtId="2" fontId="2" fillId="41" borderId="98" xfId="2" applyNumberFormat="1" applyFill="1" applyBorder="1"/>
    <xf numFmtId="2" fontId="2" fillId="45" borderId="98" xfId="2" applyNumberFormat="1" applyFill="1" applyBorder="1"/>
    <xf numFmtId="2" fontId="2" fillId="46" borderId="98" xfId="2" applyNumberFormat="1" applyFill="1" applyBorder="1"/>
    <xf numFmtId="0" fontId="2" fillId="0" borderId="98" xfId="2" applyBorder="1"/>
    <xf numFmtId="0" fontId="2" fillId="42" borderId="79" xfId="2" applyFill="1" applyBorder="1"/>
    <xf numFmtId="0" fontId="2" fillId="42" borderId="81" xfId="2" applyFill="1" applyBorder="1"/>
    <xf numFmtId="0" fontId="2" fillId="42" borderId="84" xfId="2" applyFill="1" applyBorder="1"/>
    <xf numFmtId="0" fontId="2" fillId="2" borderId="79" xfId="2" applyFill="1" applyBorder="1"/>
    <xf numFmtId="0" fontId="2" fillId="0" borderId="40" xfId="2" applyFont="1" applyFill="1" applyBorder="1"/>
    <xf numFmtId="176" fontId="2" fillId="42" borderId="42" xfId="2" applyNumberFormat="1" applyFill="1" applyBorder="1"/>
    <xf numFmtId="0" fontId="2" fillId="42" borderId="42" xfId="2" applyNumberFormat="1" applyFont="1" applyFill="1" applyBorder="1"/>
    <xf numFmtId="0" fontId="2" fillId="42" borderId="46" xfId="2" applyNumberFormat="1" applyFont="1" applyFill="1" applyBorder="1"/>
    <xf numFmtId="0" fontId="2" fillId="42" borderId="49" xfId="2" applyNumberFormat="1" applyFont="1" applyFill="1" applyBorder="1"/>
    <xf numFmtId="176" fontId="2" fillId="8" borderId="49" xfId="2" applyNumberFormat="1" applyFont="1" applyFill="1" applyBorder="1"/>
    <xf numFmtId="176" fontId="2" fillId="42" borderId="84" xfId="2" applyNumberFormat="1" applyFill="1" applyBorder="1"/>
    <xf numFmtId="0" fontId="2" fillId="42" borderId="84" xfId="2" applyNumberFormat="1" applyFont="1" applyFill="1" applyBorder="1"/>
    <xf numFmtId="0" fontId="2" fillId="0" borderId="79" xfId="2" applyBorder="1"/>
    <xf numFmtId="49" fontId="2" fillId="2" borderId="42" xfId="2" applyNumberFormat="1" applyFill="1" applyBorder="1"/>
    <xf numFmtId="49" fontId="2" fillId="0" borderId="42" xfId="2" applyNumberFormat="1" applyBorder="1"/>
    <xf numFmtId="49" fontId="2" fillId="42" borderId="42" xfId="2" applyNumberFormat="1" applyFill="1" applyBorder="1"/>
    <xf numFmtId="0" fontId="2" fillId="42" borderId="42" xfId="2" applyFill="1" applyBorder="1" applyAlignment="1">
      <alignment horizontal="center"/>
    </xf>
    <xf numFmtId="178" fontId="2" fillId="40" borderId="42" xfId="2" applyNumberFormat="1" applyFill="1" applyBorder="1"/>
    <xf numFmtId="49" fontId="2" fillId="8" borderId="46" xfId="2" applyNumberFormat="1" applyFill="1" applyBorder="1"/>
    <xf numFmtId="49" fontId="2" fillId="0" borderId="46" xfId="2" applyNumberFormat="1" applyBorder="1"/>
    <xf numFmtId="0" fontId="2" fillId="42" borderId="46" xfId="2" applyFill="1" applyBorder="1" applyAlignment="1">
      <alignment horizontal="center"/>
    </xf>
    <xf numFmtId="178" fontId="2" fillId="40" borderId="46" xfId="2" applyNumberFormat="1" applyFill="1" applyBorder="1"/>
    <xf numFmtId="49" fontId="2" fillId="2" borderId="46" xfId="2" applyNumberFormat="1" applyFill="1" applyBorder="1"/>
    <xf numFmtId="49" fontId="2" fillId="2" borderId="84" xfId="2" applyNumberFormat="1" applyFill="1" applyBorder="1"/>
    <xf numFmtId="49" fontId="2" fillId="0" borderId="84" xfId="2" applyNumberFormat="1" applyBorder="1"/>
    <xf numFmtId="0" fontId="2" fillId="42" borderId="84" xfId="2" applyFill="1" applyBorder="1" applyAlignment="1">
      <alignment horizontal="center"/>
    </xf>
    <xf numFmtId="2" fontId="2" fillId="41" borderId="84" xfId="2" applyNumberFormat="1" applyFill="1" applyBorder="1"/>
    <xf numFmtId="178" fontId="2" fillId="40" borderId="84" xfId="2" applyNumberFormat="1" applyFill="1" applyBorder="1"/>
    <xf numFmtId="49" fontId="2" fillId="42" borderId="46" xfId="2" applyNumberFormat="1" applyFill="1" applyBorder="1"/>
    <xf numFmtId="49" fontId="2" fillId="42" borderId="84" xfId="2" applyNumberFormat="1" applyFill="1" applyBorder="1"/>
    <xf numFmtId="0" fontId="2" fillId="0" borderId="0" xfId="2" applyFill="1"/>
    <xf numFmtId="176" fontId="2" fillId="0" borderId="8" xfId="2" applyNumberFormat="1" applyFont="1" applyFill="1" applyBorder="1"/>
    <xf numFmtId="176" fontId="2" fillId="0" borderId="9" xfId="2" applyNumberFormat="1" applyFont="1" applyFill="1" applyBorder="1"/>
    <xf numFmtId="176" fontId="2" fillId="0" borderId="50" xfId="2" applyNumberFormat="1" applyFont="1" applyFill="1" applyBorder="1"/>
    <xf numFmtId="176" fontId="2" fillId="0" borderId="51" xfId="2" applyNumberFormat="1" applyFont="1" applyFill="1" applyBorder="1"/>
    <xf numFmtId="176" fontId="2" fillId="0" borderId="49" xfId="2" applyNumberFormat="1" applyFont="1" applyFill="1" applyBorder="1"/>
    <xf numFmtId="176" fontId="2" fillId="0" borderId="52" xfId="2" applyNumberFormat="1" applyFont="1" applyFill="1" applyBorder="1"/>
    <xf numFmtId="49" fontId="4" fillId="42" borderId="76" xfId="2" applyNumberFormat="1" applyFont="1" applyFill="1" applyBorder="1"/>
    <xf numFmtId="49" fontId="4" fillId="8" borderId="76" xfId="2" applyNumberFormat="1" applyFont="1" applyFill="1" applyBorder="1"/>
    <xf numFmtId="0" fontId="2" fillId="0" borderId="0" xfId="2" applyFill="1" applyBorder="1"/>
    <xf numFmtId="49" fontId="2" fillId="0" borderId="0" xfId="2" applyNumberFormat="1" applyFill="1" applyBorder="1"/>
    <xf numFmtId="176" fontId="2" fillId="0" borderId="0" xfId="2" applyNumberFormat="1" applyFont="1" applyFill="1" applyBorder="1"/>
    <xf numFmtId="176" fontId="2" fillId="0" borderId="4" xfId="2" applyNumberFormat="1" applyFont="1" applyFill="1" applyBorder="1"/>
    <xf numFmtId="176" fontId="2" fillId="0" borderId="5" xfId="2" applyNumberFormat="1" applyFont="1" applyFill="1" applyBorder="1"/>
    <xf numFmtId="176" fontId="2" fillId="0" borderId="16" xfId="2" applyNumberFormat="1" applyFont="1" applyFill="1" applyBorder="1"/>
    <xf numFmtId="176" fontId="2" fillId="0" borderId="14" xfId="2" applyNumberFormat="1" applyFont="1" applyFill="1" applyBorder="1"/>
    <xf numFmtId="176" fontId="2" fillId="0" borderId="46" xfId="2" applyNumberFormat="1" applyFont="1" applyFill="1" applyBorder="1"/>
    <xf numFmtId="176" fontId="2" fillId="0" borderId="47" xfId="2" applyNumberFormat="1" applyFont="1" applyFill="1" applyBorder="1"/>
    <xf numFmtId="176" fontId="2" fillId="0" borderId="54" xfId="2" applyNumberFormat="1" applyFont="1" applyFill="1" applyBorder="1"/>
    <xf numFmtId="176" fontId="2" fillId="0" borderId="55" xfId="2" applyNumberFormat="1" applyFont="1" applyFill="1" applyBorder="1"/>
    <xf numFmtId="176" fontId="2" fillId="0" borderId="56" xfId="2" applyNumberFormat="1" applyFont="1" applyFill="1" applyBorder="1"/>
    <xf numFmtId="176" fontId="2" fillId="0" borderId="57" xfId="2" applyNumberFormat="1" applyFont="1" applyFill="1" applyBorder="1"/>
    <xf numFmtId="176" fontId="2" fillId="0" borderId="53" xfId="2" applyNumberFormat="1" applyFont="1" applyFill="1" applyBorder="1"/>
    <xf numFmtId="176" fontId="2" fillId="0" borderId="58" xfId="2" applyNumberFormat="1" applyFont="1" applyFill="1" applyBorder="1"/>
    <xf numFmtId="49" fontId="2" fillId="0" borderId="76" xfId="2" applyNumberFormat="1" applyFill="1" applyBorder="1"/>
    <xf numFmtId="49" fontId="2" fillId="0" borderId="93" xfId="2" applyNumberFormat="1" applyFill="1" applyBorder="1"/>
    <xf numFmtId="49" fontId="2" fillId="0" borderId="99" xfId="2" applyNumberFormat="1" applyFill="1" applyBorder="1"/>
    <xf numFmtId="49" fontId="2" fillId="0" borderId="83" xfId="2" applyNumberFormat="1" applyFill="1" applyBorder="1"/>
    <xf numFmtId="176" fontId="2" fillId="0" borderId="64" xfId="2" applyNumberFormat="1" applyFont="1" applyFill="1" applyBorder="1"/>
    <xf numFmtId="176" fontId="2" fillId="0" borderId="24" xfId="2" applyNumberFormat="1" applyFont="1" applyFill="1" applyBorder="1"/>
    <xf numFmtId="176" fontId="2" fillId="0" borderId="91" xfId="2" applyNumberFormat="1" applyFont="1" applyFill="1" applyBorder="1"/>
    <xf numFmtId="176" fontId="2" fillId="0" borderId="75" xfId="2" applyNumberFormat="1" applyFont="1" applyFill="1" applyBorder="1"/>
    <xf numFmtId="176" fontId="2" fillId="0" borderId="81" xfId="2" applyNumberFormat="1" applyFont="1" applyFill="1" applyBorder="1"/>
    <xf numFmtId="176" fontId="2" fillId="0" borderId="82" xfId="2" applyNumberFormat="1" applyFont="1" applyFill="1" applyBorder="1"/>
    <xf numFmtId="0" fontId="4" fillId="0" borderId="41" xfId="2" applyFont="1" applyFill="1" applyBorder="1"/>
    <xf numFmtId="0" fontId="2" fillId="0" borderId="0" xfId="2" applyFont="1" applyFill="1" applyBorder="1"/>
    <xf numFmtId="0" fontId="2" fillId="0" borderId="41" xfId="2" applyBorder="1"/>
    <xf numFmtId="0" fontId="4" fillId="44" borderId="79" xfId="2" applyFont="1" applyFill="1" applyBorder="1"/>
    <xf numFmtId="0" fontId="4" fillId="44" borderId="79" xfId="2" applyFont="1" applyFill="1" applyBorder="1" applyAlignment="1">
      <alignment wrapText="1"/>
    </xf>
    <xf numFmtId="0" fontId="20" fillId="8" borderId="79" xfId="2" applyFont="1" applyFill="1" applyBorder="1"/>
    <xf numFmtId="0" fontId="2" fillId="44" borderId="39" xfId="2" applyFont="1" applyFill="1" applyBorder="1"/>
    <xf numFmtId="49" fontId="4" fillId="42" borderId="81" xfId="2" applyNumberFormat="1" applyFont="1" applyFill="1" applyBorder="1"/>
    <xf numFmtId="0" fontId="2" fillId="42" borderId="42" xfId="2" applyNumberFormat="1" applyFill="1" applyBorder="1"/>
    <xf numFmtId="0" fontId="2" fillId="42" borderId="81" xfId="2" applyNumberFormat="1" applyFont="1" applyFill="1" applyBorder="1"/>
    <xf numFmtId="11" fontId="21" fillId="42" borderId="46" xfId="2" applyNumberFormat="1" applyFont="1" applyFill="1" applyBorder="1"/>
    <xf numFmtId="0" fontId="21" fillId="42" borderId="46" xfId="2" applyNumberFormat="1" applyFont="1" applyFill="1" applyBorder="1"/>
    <xf numFmtId="11" fontId="2" fillId="42" borderId="46" xfId="2" applyNumberFormat="1" applyFill="1" applyBorder="1"/>
    <xf numFmtId="49" fontId="20" fillId="8" borderId="81" xfId="2" applyNumberFormat="1" applyFont="1" applyFill="1" applyBorder="1"/>
    <xf numFmtId="0" fontId="2" fillId="47" borderId="46" xfId="2" applyNumberFormat="1" applyFill="1" applyBorder="1"/>
    <xf numFmtId="0" fontId="2" fillId="47" borderId="46" xfId="2" applyNumberFormat="1" applyFont="1" applyFill="1" applyBorder="1"/>
    <xf numFmtId="178" fontId="2" fillId="42" borderId="46" xfId="2" applyNumberFormat="1" applyFill="1" applyBorder="1"/>
    <xf numFmtId="178" fontId="2" fillId="42" borderId="46" xfId="2" applyNumberFormat="1" applyFont="1" applyFill="1" applyBorder="1"/>
    <xf numFmtId="0" fontId="12" fillId="42" borderId="46" xfId="2" applyNumberFormat="1" applyFont="1" applyFill="1" applyBorder="1"/>
    <xf numFmtId="49" fontId="22" fillId="48" borderId="81" xfId="2" applyNumberFormat="1" applyFont="1" applyFill="1" applyBorder="1"/>
    <xf numFmtId="49" fontId="4" fillId="42" borderId="39" xfId="2" applyNumberFormat="1" applyFont="1" applyFill="1" applyBorder="1"/>
    <xf numFmtId="0" fontId="2" fillId="42" borderId="84" xfId="2" applyNumberFormat="1" applyFill="1" applyBorder="1"/>
    <xf numFmtId="0" fontId="2" fillId="42" borderId="39" xfId="2" applyNumberFormat="1" applyFont="1" applyFill="1" applyBorder="1"/>
    <xf numFmtId="0" fontId="4" fillId="0" borderId="42" xfId="2" applyFont="1" applyFill="1" applyBorder="1"/>
    <xf numFmtId="2" fontId="2" fillId="8" borderId="46" xfId="2" applyNumberFormat="1" applyFill="1" applyBorder="1"/>
    <xf numFmtId="0" fontId="2" fillId="41" borderId="46" xfId="2" applyFill="1" applyBorder="1"/>
    <xf numFmtId="2" fontId="2" fillId="0" borderId="84" xfId="2" applyNumberFormat="1" applyFill="1" applyBorder="1"/>
    <xf numFmtId="49" fontId="2" fillId="2" borderId="81" xfId="2" applyNumberFormat="1" applyFill="1" applyBorder="1"/>
    <xf numFmtId="2" fontId="2" fillId="0" borderId="81" xfId="2" applyNumberFormat="1" applyFill="1" applyBorder="1"/>
    <xf numFmtId="49" fontId="2" fillId="55" borderId="84" xfId="2" applyNumberFormat="1" applyFill="1" applyBorder="1"/>
    <xf numFmtId="0" fontId="2" fillId="55" borderId="84" xfId="2" applyFill="1" applyBorder="1"/>
    <xf numFmtId="49" fontId="2" fillId="0" borderId="0" xfId="2" applyNumberFormat="1" applyFill="1"/>
    <xf numFmtId="179" fontId="2" fillId="0" borderId="0" xfId="2" applyNumberFormat="1" applyFill="1"/>
    <xf numFmtId="2" fontId="2" fillId="0" borderId="0" xfId="2" applyNumberFormat="1" applyFill="1"/>
    <xf numFmtId="179" fontId="2" fillId="41" borderId="84" xfId="2" applyNumberFormat="1" applyFill="1" applyBorder="1"/>
    <xf numFmtId="2" fontId="2" fillId="42" borderId="84" xfId="2" applyNumberFormat="1" applyFill="1" applyBorder="1"/>
    <xf numFmtId="179" fontId="2" fillId="41" borderId="81" xfId="2" applyNumberFormat="1" applyFill="1" applyBorder="1"/>
    <xf numFmtId="2" fontId="2" fillId="42" borderId="81" xfId="2" applyNumberFormat="1" applyFill="1" applyBorder="1"/>
    <xf numFmtId="0" fontId="2" fillId="0" borderId="84" xfId="2" applyFont="1" applyFill="1" applyBorder="1"/>
    <xf numFmtId="0" fontId="2" fillId="0" borderId="84" xfId="2" applyFill="1" applyBorder="1"/>
    <xf numFmtId="0" fontId="26" fillId="43" borderId="46" xfId="4" applyFont="1" applyFill="1" applyBorder="1" applyAlignment="1">
      <alignment horizontal="center" wrapText="1"/>
    </xf>
    <xf numFmtId="0" fontId="26" fillId="0" borderId="46" xfId="2" applyFont="1" applyFill="1" applyBorder="1" applyAlignment="1">
      <alignment horizontal="left" vertical="top" wrapText="1"/>
    </xf>
    <xf numFmtId="0" fontId="26" fillId="2" borderId="46" xfId="5" applyFont="1" applyFill="1" applyBorder="1" applyAlignment="1">
      <alignment horizontal="center"/>
    </xf>
    <xf numFmtId="0" fontId="26" fillId="46" borderId="46" xfId="5" applyFont="1" applyFill="1" applyBorder="1" applyAlignment="1">
      <alignment horizontal="center"/>
    </xf>
    <xf numFmtId="0" fontId="2" fillId="7" borderId="46" xfId="2" applyNumberFormat="1" applyFill="1" applyBorder="1" applyAlignment="1">
      <alignment horizontal="center"/>
    </xf>
    <xf numFmtId="0" fontId="27" fillId="0" borderId="46" xfId="2" applyFont="1" applyBorder="1" applyAlignment="1">
      <alignment horizontal="center"/>
    </xf>
    <xf numFmtId="0" fontId="26" fillId="0" borderId="46" xfId="6" applyFont="1" applyFill="1" applyBorder="1" applyAlignment="1">
      <alignment horizontal="left"/>
    </xf>
    <xf numFmtId="0" fontId="27" fillId="2" borderId="46" xfId="2" applyFont="1" applyFill="1" applyBorder="1" applyAlignment="1">
      <alignment horizontal="center"/>
    </xf>
    <xf numFmtId="0" fontId="27" fillId="46" borderId="46" xfId="2" applyFont="1" applyFill="1" applyBorder="1" applyAlignment="1">
      <alignment horizontal="center"/>
    </xf>
    <xf numFmtId="0" fontId="26" fillId="45" borderId="46" xfId="6" applyFont="1" applyFill="1" applyBorder="1" applyAlignment="1">
      <alignment horizontal="center"/>
    </xf>
    <xf numFmtId="0" fontId="26" fillId="2" borderId="46" xfId="6" applyFont="1" applyFill="1" applyBorder="1" applyAlignment="1">
      <alignment horizontal="center"/>
    </xf>
    <xf numFmtId="0" fontId="26" fillId="46" borderId="46" xfId="6" applyFont="1" applyFill="1" applyBorder="1" applyAlignment="1">
      <alignment horizontal="center"/>
    </xf>
    <xf numFmtId="0" fontId="26" fillId="51" borderId="46" xfId="4" applyFont="1" applyFill="1" applyBorder="1" applyAlignment="1">
      <alignment horizontal="center" wrapText="1"/>
    </xf>
    <xf numFmtId="0" fontId="26" fillId="52" borderId="46" xfId="6" applyFont="1" applyFill="1" applyBorder="1" applyAlignment="1">
      <alignment horizontal="left"/>
    </xf>
    <xf numFmtId="0" fontId="27" fillId="51" borderId="46" xfId="2" applyFont="1" applyFill="1" applyBorder="1" applyAlignment="1">
      <alignment horizontal="center"/>
    </xf>
    <xf numFmtId="0" fontId="26" fillId="0" borderId="46" xfId="7" applyFont="1" applyFill="1" applyBorder="1" applyAlignment="1">
      <alignment horizontal="left" vertical="top" wrapText="1"/>
    </xf>
    <xf numFmtId="0" fontId="26" fillId="51" borderId="46" xfId="7" applyFont="1" applyFill="1" applyBorder="1" applyAlignment="1">
      <alignment horizontal="left" vertical="top" wrapText="1"/>
    </xf>
    <xf numFmtId="180" fontId="26" fillId="51" borderId="46" xfId="5" applyNumberFormat="1" applyFont="1" applyFill="1" applyBorder="1" applyAlignment="1">
      <alignment horizontal="center"/>
    </xf>
    <xf numFmtId="176" fontId="27" fillId="51" borderId="46" xfId="2" applyNumberFormat="1" applyFont="1" applyFill="1" applyBorder="1" applyAlignment="1">
      <alignment horizontal="center"/>
    </xf>
    <xf numFmtId="0" fontId="26" fillId="51" borderId="46" xfId="6" applyFont="1" applyFill="1" applyBorder="1" applyAlignment="1">
      <alignment horizontal="left"/>
    </xf>
    <xf numFmtId="0" fontId="26" fillId="45" borderId="46" xfId="5" applyFont="1" applyFill="1" applyBorder="1" applyAlignment="1">
      <alignment horizontal="center"/>
    </xf>
    <xf numFmtId="0" fontId="27" fillId="0" borderId="46" xfId="2" applyFont="1" applyFill="1" applyBorder="1" applyAlignment="1">
      <alignment horizontal="center"/>
    </xf>
    <xf numFmtId="14" fontId="2" fillId="7" borderId="46" xfId="2" applyNumberFormat="1" applyFill="1" applyBorder="1" applyAlignment="1">
      <alignment horizontal="center"/>
    </xf>
    <xf numFmtId="0" fontId="26" fillId="43" borderId="46" xfId="7" applyFont="1" applyFill="1" applyBorder="1" applyAlignment="1">
      <alignment horizontal="center" vertical="top"/>
    </xf>
    <xf numFmtId="0" fontId="26" fillId="0" borderId="46" xfId="7" applyFont="1" applyFill="1" applyBorder="1" applyAlignment="1">
      <alignment horizontal="left" vertical="top"/>
    </xf>
    <xf numFmtId="0" fontId="27" fillId="45" borderId="46" xfId="2" applyFont="1" applyFill="1" applyBorder="1" applyAlignment="1">
      <alignment horizontal="center"/>
    </xf>
    <xf numFmtId="0" fontId="26" fillId="51" borderId="46" xfId="5" applyFont="1" applyFill="1" applyBorder="1" applyAlignment="1">
      <alignment horizontal="center"/>
    </xf>
    <xf numFmtId="0" fontId="26" fillId="43" borderId="46" xfId="2" applyFont="1" applyFill="1" applyBorder="1" applyAlignment="1">
      <alignment horizontal="center" vertical="top" wrapText="1"/>
    </xf>
    <xf numFmtId="0" fontId="26" fillId="53" borderId="46" xfId="2" applyFont="1" applyFill="1" applyBorder="1" applyAlignment="1">
      <alignment horizontal="left" vertical="top" wrapText="1"/>
    </xf>
    <xf numFmtId="0" fontId="26" fillId="0" borderId="46" xfId="5" applyFont="1" applyFill="1" applyBorder="1" applyAlignment="1">
      <alignment horizontal="left" vertical="top" wrapText="1"/>
    </xf>
    <xf numFmtId="0" fontId="26" fillId="8" borderId="46" xfId="4" applyFont="1" applyFill="1" applyBorder="1" applyAlignment="1">
      <alignment horizontal="center" wrapText="1"/>
    </xf>
    <xf numFmtId="0" fontId="26" fillId="51" borderId="46" xfId="2" applyFont="1" applyFill="1" applyBorder="1" applyAlignment="1">
      <alignment horizontal="left" vertical="top" wrapText="1"/>
    </xf>
    <xf numFmtId="0" fontId="26" fillId="51" borderId="46" xfId="6" applyFont="1" applyFill="1" applyBorder="1" applyAlignment="1">
      <alignment horizontal="center"/>
    </xf>
    <xf numFmtId="0" fontId="26" fillId="43" borderId="46" xfId="5" applyFont="1" applyFill="1" applyBorder="1" applyAlignment="1">
      <alignment horizontal="center" vertical="top"/>
    </xf>
    <xf numFmtId="0" fontId="26" fillId="0" borderId="46" xfId="5" applyFont="1" applyFill="1" applyBorder="1" applyAlignment="1">
      <alignment horizontal="left" vertical="top"/>
    </xf>
    <xf numFmtId="0" fontId="26" fillId="51" borderId="46" xfId="5" applyFont="1" applyFill="1" applyBorder="1" applyAlignment="1">
      <alignment horizontal="center" vertical="top"/>
    </xf>
    <xf numFmtId="176" fontId="27" fillId="0" borderId="46" xfId="2" applyNumberFormat="1" applyFont="1" applyFill="1" applyBorder="1" applyAlignment="1">
      <alignment horizontal="center"/>
    </xf>
    <xf numFmtId="0" fontId="26" fillId="8" borderId="84" xfId="2" applyFont="1" applyFill="1" applyBorder="1" applyAlignment="1">
      <alignment horizontal="center" vertical="top" wrapText="1"/>
    </xf>
    <xf numFmtId="0" fontId="26" fillId="0" borderId="84" xfId="2" applyFont="1" applyFill="1" applyBorder="1" applyAlignment="1">
      <alignment horizontal="left" vertical="top" wrapText="1"/>
    </xf>
    <xf numFmtId="0" fontId="26" fillId="2" borderId="84" xfId="6" applyFont="1" applyFill="1" applyBorder="1" applyAlignment="1">
      <alignment horizontal="center"/>
    </xf>
    <xf numFmtId="0" fontId="26" fillId="46" borderId="84" xfId="6" applyFont="1" applyFill="1" applyBorder="1" applyAlignment="1">
      <alignment horizontal="center"/>
    </xf>
    <xf numFmtId="0" fontId="2" fillId="7" borderId="84" xfId="2" applyNumberFormat="1" applyFill="1" applyBorder="1" applyAlignment="1">
      <alignment horizontal="center"/>
    </xf>
    <xf numFmtId="0" fontId="27" fillId="0" borderId="84" xfId="2" applyFont="1" applyBorder="1" applyAlignment="1">
      <alignment horizontal="center"/>
    </xf>
    <xf numFmtId="0" fontId="26" fillId="43" borderId="81" xfId="4" applyFont="1" applyFill="1" applyBorder="1" applyAlignment="1">
      <alignment horizontal="center" wrapText="1"/>
    </xf>
    <xf numFmtId="0" fontId="26" fillId="0" borderId="81" xfId="2" applyFont="1" applyFill="1" applyBorder="1" applyAlignment="1">
      <alignment horizontal="left" vertical="top" wrapText="1"/>
    </xf>
    <xf numFmtId="0" fontId="26" fillId="2" borderId="81" xfId="5" applyFont="1" applyFill="1" applyBorder="1" applyAlignment="1">
      <alignment horizontal="center"/>
    </xf>
    <xf numFmtId="0" fontId="26" fillId="46" borderId="81" xfId="5" applyFont="1" applyFill="1" applyBorder="1" applyAlignment="1">
      <alignment horizontal="center"/>
    </xf>
    <xf numFmtId="0" fontId="2" fillId="7" borderId="81" xfId="2" applyNumberFormat="1" applyFill="1" applyBorder="1" applyAlignment="1">
      <alignment horizontal="center"/>
    </xf>
    <xf numFmtId="0" fontId="27" fillId="0" borderId="81" xfId="2" applyFont="1" applyBorder="1" applyAlignment="1">
      <alignment horizontal="center"/>
    </xf>
    <xf numFmtId="0" fontId="2" fillId="0" borderId="84" xfId="2" applyFill="1" applyBorder="1" applyAlignment="1">
      <alignment horizontal="center"/>
    </xf>
    <xf numFmtId="0" fontId="24" fillId="0" borderId="84" xfId="3" applyFill="1" applyBorder="1" applyAlignment="1" applyProtection="1"/>
    <xf numFmtId="49" fontId="2" fillId="42" borderId="78" xfId="2" applyNumberFormat="1" applyFill="1" applyBorder="1"/>
    <xf numFmtId="49" fontId="21" fillId="8" borderId="78" xfId="2" applyNumberFormat="1" applyFont="1" applyFill="1" applyBorder="1"/>
    <xf numFmtId="0" fontId="2" fillId="42" borderId="46" xfId="2" applyNumberFormat="1" applyFill="1" applyBorder="1" applyAlignment="1">
      <alignment horizontal="center"/>
    </xf>
    <xf numFmtId="0" fontId="2" fillId="42" borderId="46" xfId="2" applyFill="1" applyBorder="1" applyAlignment="1">
      <alignment wrapText="1"/>
    </xf>
    <xf numFmtId="0" fontId="2" fillId="42" borderId="46" xfId="2" applyNumberFormat="1" applyFont="1" applyFill="1" applyBorder="1" applyAlignment="1">
      <alignment horizontal="center"/>
    </xf>
    <xf numFmtId="49" fontId="21" fillId="8" borderId="46" xfId="2" applyNumberFormat="1" applyFont="1" applyFill="1" applyBorder="1"/>
    <xf numFmtId="11" fontId="2" fillId="42" borderId="46" xfId="2" applyNumberFormat="1" applyFill="1" applyBorder="1" applyAlignment="1">
      <alignment horizontal="center"/>
    </xf>
    <xf numFmtId="49" fontId="2" fillId="49" borderId="46" xfId="2" applyNumberFormat="1" applyFill="1" applyBorder="1"/>
    <xf numFmtId="0" fontId="23" fillId="42" borderId="46" xfId="2" applyNumberFormat="1" applyFont="1" applyFill="1" applyBorder="1" applyAlignment="1">
      <alignment horizontal="center"/>
    </xf>
    <xf numFmtId="0" fontId="4" fillId="42" borderId="46" xfId="2" applyNumberFormat="1" applyFont="1" applyFill="1" applyBorder="1" applyAlignment="1">
      <alignment horizontal="center"/>
    </xf>
    <xf numFmtId="49" fontId="2" fillId="50" borderId="46" xfId="2" applyNumberFormat="1" applyFill="1" applyBorder="1"/>
    <xf numFmtId="0" fontId="2" fillId="50" borderId="46" xfId="2" applyFill="1" applyBorder="1"/>
    <xf numFmtId="0" fontId="21" fillId="42" borderId="46" xfId="2" applyFont="1" applyFill="1" applyBorder="1"/>
    <xf numFmtId="0" fontId="2" fillId="8" borderId="46" xfId="2" applyNumberFormat="1" applyFill="1" applyBorder="1" applyAlignment="1">
      <alignment horizontal="center"/>
    </xf>
    <xf numFmtId="0" fontId="2" fillId="42" borderId="84" xfId="2" applyNumberFormat="1" applyFill="1" applyBorder="1" applyAlignment="1">
      <alignment horizontal="center"/>
    </xf>
    <xf numFmtId="0" fontId="2" fillId="0" borderId="46" xfId="2" applyBorder="1"/>
    <xf numFmtId="0" fontId="2" fillId="42" borderId="46" xfId="2" applyFill="1" applyBorder="1" applyAlignment="1">
      <alignment vertical="center" wrapText="1"/>
    </xf>
    <xf numFmtId="49" fontId="2" fillId="42" borderId="81" xfId="2" applyNumberFormat="1" applyFill="1" applyBorder="1"/>
    <xf numFmtId="0" fontId="2" fillId="42" borderId="81" xfId="2" applyNumberFormat="1" applyFill="1" applyBorder="1" applyAlignment="1">
      <alignment horizontal="center"/>
    </xf>
    <xf numFmtId="0" fontId="2" fillId="0" borderId="84" xfId="2" applyBorder="1"/>
    <xf numFmtId="2" fontId="10" fillId="55" borderId="5" xfId="1" applyNumberFormat="1" applyFont="1" applyFill="1" applyBorder="1" applyAlignment="1" applyProtection="1">
      <alignment horizontal="right"/>
      <protection locked="0"/>
    </xf>
    <xf numFmtId="49" fontId="9" fillId="0" borderId="15" xfId="1" applyNumberFormat="1" applyFont="1" applyFill="1" applyBorder="1" applyProtection="1">
      <protection locked="0"/>
    </xf>
    <xf numFmtId="2" fontId="10" fillId="0" borderId="5" xfId="1" applyNumberFormat="1" applyFont="1" applyFill="1" applyBorder="1" applyAlignment="1" applyProtection="1">
      <alignment horizontal="right"/>
      <protection locked="0"/>
    </xf>
    <xf numFmtId="49" fontId="4" fillId="0" borderId="5" xfId="1" applyNumberFormat="1" applyFont="1" applyFill="1" applyBorder="1" applyProtection="1">
      <protection locked="0"/>
    </xf>
    <xf numFmtId="14" fontId="9" fillId="0" borderId="14" xfId="1" applyNumberFormat="1" applyFont="1" applyFill="1" applyBorder="1" applyProtection="1">
      <protection locked="0"/>
    </xf>
    <xf numFmtId="2" fontId="10" fillId="0" borderId="5" xfId="1" applyNumberFormat="1" applyFont="1" applyFill="1" applyBorder="1" applyAlignment="1" applyProtection="1">
      <alignment horizontal="right"/>
      <protection locked="0"/>
    </xf>
    <xf numFmtId="14" fontId="2" fillId="0" borderId="14" xfId="1" applyNumberFormat="1" applyFont="1" applyFill="1" applyBorder="1" applyProtection="1">
      <protection locked="0"/>
    </xf>
    <xf numFmtId="14" fontId="9" fillId="0" borderId="14" xfId="1" applyNumberFormat="1" applyFont="1" applyFill="1" applyBorder="1" applyProtection="1">
      <protection locked="0"/>
    </xf>
    <xf numFmtId="49" fontId="9" fillId="0" borderId="15" xfId="1" applyNumberFormat="1" applyFont="1" applyFill="1" applyBorder="1" applyProtection="1">
      <protection locked="0"/>
    </xf>
    <xf numFmtId="2" fontId="10" fillId="0" borderId="5" xfId="1" applyNumberFormat="1" applyFont="1" applyFill="1" applyBorder="1" applyAlignment="1" applyProtection="1">
      <alignment horizontal="right"/>
      <protection locked="0"/>
    </xf>
    <xf numFmtId="14" fontId="2" fillId="0" borderId="14" xfId="1" applyNumberFormat="1" applyFont="1" applyFill="1" applyBorder="1" applyProtection="1">
      <protection locked="0"/>
    </xf>
    <xf numFmtId="49" fontId="11" fillId="0" borderId="15" xfId="1" applyNumberFormat="1" applyFont="1" applyFill="1" applyBorder="1" applyAlignment="1" applyProtection="1">
      <alignment horizontal="center"/>
      <protection locked="0"/>
    </xf>
    <xf numFmtId="49" fontId="4" fillId="0" borderId="5"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0" fontId="2" fillId="0" borderId="0" xfId="1" applyFill="1" applyBorder="1" applyProtection="1">
      <protection locked="0"/>
    </xf>
    <xf numFmtId="2" fontId="10" fillId="0" borderId="5" xfId="1" applyNumberFormat="1" applyFont="1" applyFill="1" applyBorder="1" applyAlignment="1" applyProtection="1">
      <alignment horizontal="right"/>
      <protection locked="0"/>
    </xf>
    <xf numFmtId="0" fontId="0" fillId="0" borderId="0" xfId="0"/>
    <xf numFmtId="49" fontId="9" fillId="0" borderId="15" xfId="1" applyNumberFormat="1" applyFont="1" applyFill="1" applyBorder="1" applyProtection="1">
      <protection locked="0"/>
    </xf>
    <xf numFmtId="2" fontId="10" fillId="0" borderId="5" xfId="1" applyNumberFormat="1" applyFont="1" applyFill="1" applyBorder="1" applyAlignment="1" applyProtection="1">
      <alignment horizontal="right"/>
      <protection locked="0"/>
    </xf>
    <xf numFmtId="14" fontId="2" fillId="0" borderId="14" xfId="1" applyNumberFormat="1" applyFont="1" applyFill="1" applyBorder="1" applyProtection="1">
      <protection locked="0"/>
    </xf>
    <xf numFmtId="49" fontId="11" fillId="0" borderId="15" xfId="1" applyNumberFormat="1" applyFont="1" applyFill="1" applyBorder="1" applyAlignment="1" applyProtection="1">
      <alignment horizontal="center"/>
      <protection locked="0"/>
    </xf>
    <xf numFmtId="49" fontId="4" fillId="0" borderId="5"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2" fontId="10" fillId="0" borderId="5" xfId="1" applyNumberFormat="1" applyFont="1" applyFill="1" applyBorder="1" applyAlignment="1" applyProtection="1">
      <alignment horizontal="right"/>
      <protection locked="0"/>
    </xf>
    <xf numFmtId="2" fontId="10" fillId="0" borderId="5" xfId="1" applyNumberFormat="1" applyFont="1" applyFill="1" applyBorder="1" applyAlignment="1" applyProtection="1">
      <alignment horizontal="right"/>
      <protection locked="0"/>
    </xf>
    <xf numFmtId="0" fontId="2" fillId="0" borderId="0" xfId="1" applyFill="1" applyBorder="1" applyProtection="1">
      <protection locked="0"/>
    </xf>
    <xf numFmtId="14" fontId="9" fillId="0" borderId="14" xfId="1" applyNumberFormat="1" applyFont="1" applyFill="1" applyBorder="1" applyProtection="1">
      <protection locked="0"/>
    </xf>
    <xf numFmtId="49" fontId="9" fillId="0" borderId="15" xfId="1" applyNumberFormat="1" applyFont="1" applyFill="1" applyBorder="1" applyProtection="1">
      <protection locked="0"/>
    </xf>
    <xf numFmtId="2" fontId="10" fillId="0" borderId="5" xfId="1" applyNumberFormat="1" applyFont="1" applyFill="1" applyBorder="1" applyAlignment="1" applyProtection="1">
      <alignment horizontal="right"/>
      <protection locked="0"/>
    </xf>
    <xf numFmtId="14" fontId="2" fillId="0" borderId="14" xfId="1" applyNumberFormat="1" applyFont="1" applyFill="1" applyBorder="1" applyProtection="1">
      <protection locked="0"/>
    </xf>
    <xf numFmtId="49" fontId="11" fillId="0" borderId="15" xfId="1" applyNumberFormat="1" applyFont="1" applyFill="1" applyBorder="1" applyAlignment="1" applyProtection="1">
      <alignment horizontal="center"/>
      <protection locked="0"/>
    </xf>
    <xf numFmtId="49" fontId="4" fillId="0" borderId="5"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0" fontId="0" fillId="0" borderId="0" xfId="0"/>
    <xf numFmtId="49" fontId="9" fillId="0" borderId="4" xfId="1" applyNumberFormat="1" applyFont="1" applyFill="1" applyBorder="1" applyProtection="1">
      <protection locked="0"/>
    </xf>
    <xf numFmtId="49" fontId="9" fillId="0" borderId="14" xfId="1" applyNumberFormat="1" applyFont="1" applyFill="1" applyBorder="1" applyProtection="1">
      <protection locked="0"/>
    </xf>
    <xf numFmtId="14" fontId="9" fillId="0" borderId="14" xfId="1" applyNumberFormat="1" applyFont="1" applyFill="1" applyBorder="1" applyProtection="1">
      <protection locked="0"/>
    </xf>
    <xf numFmtId="49" fontId="9" fillId="0" borderId="15" xfId="1" applyNumberFormat="1" applyFont="1" applyFill="1" applyBorder="1" applyProtection="1">
      <protection locked="0"/>
    </xf>
    <xf numFmtId="2" fontId="10" fillId="0" borderId="5" xfId="1" applyNumberFormat="1" applyFont="1" applyFill="1" applyBorder="1" applyAlignment="1" applyProtection="1">
      <alignment horizontal="right"/>
      <protection locked="0"/>
    </xf>
    <xf numFmtId="49" fontId="2" fillId="0" borderId="14" xfId="1" applyNumberFormat="1" applyFont="1" applyFill="1" applyBorder="1" applyProtection="1">
      <protection locked="0"/>
    </xf>
    <xf numFmtId="14" fontId="2" fillId="0" borderId="14" xfId="1" applyNumberFormat="1" applyFont="1" applyFill="1" applyBorder="1" applyProtection="1">
      <protection locked="0"/>
    </xf>
    <xf numFmtId="49" fontId="11" fillId="0" borderId="15" xfId="1" applyNumberFormat="1" applyFont="1" applyFill="1" applyBorder="1" applyAlignment="1" applyProtection="1">
      <alignment horizontal="center"/>
      <protection locked="0"/>
    </xf>
    <xf numFmtId="49" fontId="4" fillId="0" borderId="5"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2" fontId="10" fillId="0" borderId="5" xfId="1" applyNumberFormat="1" applyFont="1" applyFill="1" applyBorder="1" applyAlignment="1" applyProtection="1">
      <alignment horizontal="right"/>
      <protection locked="0"/>
    </xf>
    <xf numFmtId="49" fontId="2" fillId="0" borderId="4" xfId="1" applyNumberFormat="1" applyFont="1" applyFill="1" applyBorder="1" applyProtection="1">
      <protection locked="0"/>
    </xf>
    <xf numFmtId="49" fontId="4" fillId="0" borderId="5"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49" fontId="9" fillId="0" borderId="15" xfId="1" applyNumberFormat="1" applyFont="1" applyFill="1" applyBorder="1" applyProtection="1">
      <protection locked="0"/>
    </xf>
    <xf numFmtId="2" fontId="10" fillId="0" borderId="5" xfId="1" applyNumberFormat="1" applyFont="1" applyFill="1" applyBorder="1" applyAlignment="1" applyProtection="1">
      <alignment horizontal="right"/>
      <protection locked="0"/>
    </xf>
    <xf numFmtId="49" fontId="2" fillId="0" borderId="4" xfId="1" applyNumberFormat="1" applyFont="1" applyFill="1" applyBorder="1" applyProtection="1">
      <protection locked="0"/>
    </xf>
    <xf numFmtId="49" fontId="2" fillId="0" borderId="14" xfId="1" applyNumberFormat="1" applyFont="1" applyFill="1" applyBorder="1" applyProtection="1">
      <protection locked="0"/>
    </xf>
    <xf numFmtId="14" fontId="2" fillId="0" borderId="14" xfId="1" applyNumberFormat="1" applyFont="1" applyFill="1" applyBorder="1" applyProtection="1">
      <protection locked="0"/>
    </xf>
    <xf numFmtId="49" fontId="11" fillId="0" borderId="15" xfId="1" applyNumberFormat="1" applyFont="1" applyFill="1" applyBorder="1" applyAlignment="1" applyProtection="1">
      <alignment horizontal="center"/>
      <protection locked="0"/>
    </xf>
    <xf numFmtId="49" fontId="4" fillId="0" borderId="5"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49" fontId="4" fillId="0" borderId="100" xfId="1" applyNumberFormat="1" applyFont="1" applyFill="1" applyBorder="1" applyProtection="1">
      <protection locked="0"/>
    </xf>
    <xf numFmtId="2" fontId="10" fillId="0" borderId="100" xfId="1" applyNumberFormat="1" applyFont="1" applyFill="1" applyBorder="1" applyAlignment="1" applyProtection="1">
      <alignment horizontal="right"/>
      <protection locked="0"/>
    </xf>
    <xf numFmtId="0" fontId="0" fillId="0" borderId="0" xfId="0" applyFill="1" applyBorder="1"/>
    <xf numFmtId="0" fontId="5" fillId="0" borderId="4" xfId="1" applyFont="1" applyFill="1" applyBorder="1" applyAlignment="1" applyProtection="1">
      <alignment horizontal="right"/>
      <protection locked="0"/>
    </xf>
    <xf numFmtId="0" fontId="2" fillId="0" borderId="0" xfId="1" applyFill="1" applyBorder="1" applyProtection="1">
      <protection locked="0"/>
    </xf>
    <xf numFmtId="0" fontId="7" fillId="3" borderId="8" xfId="1" applyFont="1" applyFill="1" applyBorder="1" applyAlignment="1" applyProtection="1">
      <alignment horizontal="center" wrapText="1"/>
      <protection locked="0"/>
    </xf>
    <xf numFmtId="0" fontId="1" fillId="3" borderId="9" xfId="1" applyFont="1" applyFill="1" applyBorder="1" applyAlignment="1" applyProtection="1">
      <alignment horizontal="center" wrapText="1"/>
      <protection locked="0"/>
    </xf>
    <xf numFmtId="14" fontId="9" fillId="0" borderId="14" xfId="1" applyNumberFormat="1" applyFont="1" applyFill="1" applyBorder="1" applyProtection="1">
      <protection locked="0"/>
    </xf>
    <xf numFmtId="49" fontId="9" fillId="0" borderId="15" xfId="1" applyNumberFormat="1" applyFont="1" applyFill="1" applyBorder="1" applyProtection="1">
      <protection locked="0"/>
    </xf>
    <xf numFmtId="2" fontId="10" fillId="0" borderId="100" xfId="1" applyNumberFormat="1" applyFont="1" applyFill="1" applyBorder="1" applyAlignment="1" applyProtection="1">
      <alignment horizontal="right"/>
      <protection locked="0"/>
    </xf>
    <xf numFmtId="49" fontId="2" fillId="0" borderId="4" xfId="1" applyNumberFormat="1" applyFont="1" applyFill="1" applyBorder="1" applyProtection="1">
      <protection locked="0"/>
    </xf>
    <xf numFmtId="49" fontId="2" fillId="0" borderId="14" xfId="1" applyNumberFormat="1" applyFont="1" applyFill="1" applyBorder="1" applyProtection="1">
      <protection locked="0"/>
    </xf>
    <xf numFmtId="14" fontId="2" fillId="0" borderId="14" xfId="1" applyNumberFormat="1" applyFont="1" applyFill="1" applyBorder="1" applyProtection="1">
      <protection locked="0"/>
    </xf>
    <xf numFmtId="49" fontId="11" fillId="0" borderId="15" xfId="1" applyNumberFormat="1" applyFont="1" applyFill="1" applyBorder="1" applyAlignment="1" applyProtection="1">
      <alignment horizontal="center"/>
      <protection locked="0"/>
    </xf>
    <xf numFmtId="49" fontId="4" fillId="0" borderId="100"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2" fontId="7" fillId="0" borderId="21" xfId="1" applyNumberFormat="1" applyFont="1" applyFill="1" applyBorder="1" applyAlignment="1" applyProtection="1">
      <alignment horizontal="right"/>
      <protection locked="0"/>
    </xf>
    <xf numFmtId="2" fontId="10" fillId="0" borderId="20" xfId="1" applyNumberFormat="1" applyFont="1" applyFill="1" applyBorder="1" applyAlignment="1" applyProtection="1">
      <alignment horizontal="right"/>
      <protection locked="0"/>
    </xf>
    <xf numFmtId="0" fontId="11" fillId="0" borderId="0" xfId="1" applyFont="1" applyFill="1" applyBorder="1" applyProtection="1">
      <protection locked="0"/>
    </xf>
    <xf numFmtId="0" fontId="12" fillId="0" borderId="0" xfId="1" applyFont="1" applyFill="1" applyBorder="1" applyProtection="1">
      <protection locked="0"/>
    </xf>
    <xf numFmtId="0" fontId="8" fillId="2" borderId="13" xfId="1" applyFont="1" applyFill="1" applyBorder="1" applyAlignment="1" applyProtection="1">
      <alignment wrapText="1"/>
      <protection locked="0"/>
    </xf>
    <xf numFmtId="0" fontId="8" fillId="2" borderId="12" xfId="1" applyFont="1" applyFill="1" applyBorder="1" applyAlignment="1" applyProtection="1">
      <alignment wrapText="1"/>
      <protection locked="0"/>
    </xf>
    <xf numFmtId="14" fontId="9" fillId="0" borderId="14" xfId="1" applyNumberFormat="1" applyFont="1" applyFill="1" applyBorder="1" applyProtection="1">
      <protection locked="0"/>
    </xf>
    <xf numFmtId="49" fontId="9" fillId="0" borderId="15" xfId="1" applyNumberFormat="1" applyFont="1" applyFill="1" applyBorder="1" applyProtection="1">
      <protection locked="0"/>
    </xf>
    <xf numFmtId="2" fontId="10" fillId="0" borderId="100" xfId="1" applyNumberFormat="1" applyFont="1" applyFill="1" applyBorder="1" applyAlignment="1" applyProtection="1">
      <alignment horizontal="right"/>
      <protection locked="0"/>
    </xf>
    <xf numFmtId="49" fontId="2" fillId="0" borderId="4" xfId="1" applyNumberFormat="1" applyFont="1" applyFill="1" applyBorder="1" applyProtection="1">
      <protection locked="0"/>
    </xf>
    <xf numFmtId="49" fontId="2" fillId="0" borderId="14" xfId="1" applyNumberFormat="1" applyFont="1" applyFill="1" applyBorder="1" applyProtection="1">
      <protection locked="0"/>
    </xf>
    <xf numFmtId="14" fontId="2" fillId="0" borderId="14" xfId="1" applyNumberFormat="1" applyFont="1" applyFill="1" applyBorder="1" applyProtection="1">
      <protection locked="0"/>
    </xf>
    <xf numFmtId="49" fontId="11" fillId="0" borderId="15" xfId="1" applyNumberFormat="1" applyFont="1" applyFill="1" applyBorder="1" applyAlignment="1" applyProtection="1">
      <alignment horizontal="center"/>
      <protection locked="0"/>
    </xf>
    <xf numFmtId="49" fontId="4" fillId="0" borderId="100"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49" fontId="2" fillId="0" borderId="78" xfId="2" applyNumberFormat="1" applyFill="1" applyBorder="1"/>
    <xf numFmtId="49" fontId="21" fillId="0" borderId="46" xfId="2" applyNumberFormat="1" applyFont="1" applyFill="1" applyBorder="1"/>
    <xf numFmtId="49" fontId="2" fillId="0" borderId="65" xfId="2" applyNumberFormat="1" applyFill="1" applyBorder="1"/>
    <xf numFmtId="0" fontId="2" fillId="0" borderId="0" xfId="2" applyFont="1" applyFill="1"/>
    <xf numFmtId="49" fontId="21" fillId="0" borderId="78" xfId="2" applyNumberFormat="1" applyFont="1" applyFill="1" applyBorder="1"/>
    <xf numFmtId="49" fontId="4" fillId="0" borderId="100" xfId="1" applyNumberFormat="1" applyFont="1" applyFill="1" applyBorder="1" applyProtection="1">
      <protection locked="0"/>
    </xf>
    <xf numFmtId="0" fontId="2" fillId="0" borderId="34" xfId="2" applyFont="1" applyFill="1" applyBorder="1"/>
    <xf numFmtId="0" fontId="2" fillId="0" borderId="35" xfId="2" applyFont="1" applyFill="1" applyBorder="1"/>
    <xf numFmtId="0" fontId="2" fillId="0" borderId="36" xfId="2" applyFont="1" applyFill="1" applyBorder="1"/>
    <xf numFmtId="0" fontId="2" fillId="0" borderId="66" xfId="2" applyFont="1" applyFill="1" applyBorder="1"/>
    <xf numFmtId="0" fontId="2" fillId="0" borderId="67" xfId="2" applyFont="1" applyFill="1" applyBorder="1"/>
    <xf numFmtId="0" fontId="2" fillId="0" borderId="68" xfId="2" applyFont="1" applyFill="1" applyBorder="1"/>
    <xf numFmtId="0" fontId="2" fillId="0" borderId="69" xfId="2" applyFont="1" applyFill="1" applyBorder="1"/>
    <xf numFmtId="0" fontId="2" fillId="8" borderId="0" xfId="2" applyFill="1"/>
    <xf numFmtId="179" fontId="2" fillId="8" borderId="46" xfId="2" applyNumberFormat="1" applyFill="1" applyBorder="1"/>
    <xf numFmtId="0" fontId="5" fillId="0" borderId="4" xfId="1" applyFont="1" applyFill="1" applyBorder="1" applyAlignment="1" applyProtection="1">
      <alignment horizontal="right"/>
      <protection locked="0"/>
    </xf>
    <xf numFmtId="0" fontId="2" fillId="0" borderId="0" xfId="1" applyFill="1" applyBorder="1" applyProtection="1">
      <protection locked="0"/>
    </xf>
    <xf numFmtId="0" fontId="7" fillId="3" borderId="8" xfId="1" applyFont="1" applyFill="1" applyBorder="1" applyAlignment="1" applyProtection="1">
      <alignment horizontal="center" wrapText="1"/>
      <protection locked="0"/>
    </xf>
    <xf numFmtId="0" fontId="1" fillId="3" borderId="9" xfId="1" applyFont="1" applyFill="1" applyBorder="1" applyAlignment="1" applyProtection="1">
      <alignment horizontal="center" wrapText="1"/>
      <protection locked="0"/>
    </xf>
    <xf numFmtId="49" fontId="9" fillId="0" borderId="15" xfId="1" applyNumberFormat="1" applyFont="1" applyFill="1" applyBorder="1" applyProtection="1">
      <protection locked="0"/>
    </xf>
    <xf numFmtId="2" fontId="10" fillId="0" borderId="100" xfId="1" applyNumberFormat="1" applyFont="1" applyFill="1" applyBorder="1" applyAlignment="1" applyProtection="1">
      <alignment horizontal="right"/>
      <protection locked="0"/>
    </xf>
    <xf numFmtId="49" fontId="2" fillId="0" borderId="4" xfId="1" applyNumberFormat="1" applyFont="1" applyFill="1" applyBorder="1" applyProtection="1">
      <protection locked="0"/>
    </xf>
    <xf numFmtId="49" fontId="2" fillId="0" borderId="14" xfId="1" applyNumberFormat="1" applyFont="1" applyFill="1" applyBorder="1" applyProtection="1">
      <protection locked="0"/>
    </xf>
    <xf numFmtId="14" fontId="2" fillId="0" borderId="14" xfId="1" applyNumberFormat="1" applyFont="1" applyFill="1" applyBorder="1" applyProtection="1">
      <protection locked="0"/>
    </xf>
    <xf numFmtId="49" fontId="11" fillId="0" borderId="15" xfId="1" applyNumberFormat="1" applyFont="1" applyFill="1" applyBorder="1" applyAlignment="1" applyProtection="1">
      <alignment horizontal="center"/>
      <protection locked="0"/>
    </xf>
    <xf numFmtId="49" fontId="4" fillId="0" borderId="100"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2" fontId="7" fillId="0" borderId="21" xfId="1" applyNumberFormat="1" applyFont="1" applyFill="1" applyBorder="1" applyAlignment="1" applyProtection="1">
      <alignment horizontal="right"/>
      <protection locked="0"/>
    </xf>
    <xf numFmtId="2" fontId="10" fillId="0" borderId="20" xfId="1" applyNumberFormat="1" applyFont="1" applyFill="1" applyBorder="1" applyAlignment="1" applyProtection="1">
      <alignment horizontal="right"/>
      <protection locked="0"/>
    </xf>
    <xf numFmtId="49" fontId="2" fillId="0" borderId="0" xfId="1" applyNumberFormat="1" applyFont="1" applyFill="1" applyBorder="1" applyProtection="1">
      <protection locked="0"/>
    </xf>
    <xf numFmtId="49" fontId="4" fillId="0" borderId="0" xfId="1" applyNumberFormat="1" applyFont="1" applyFill="1" applyBorder="1" applyProtection="1">
      <protection locked="0"/>
    </xf>
    <xf numFmtId="0" fontId="11" fillId="0" borderId="0" xfId="1" applyFont="1" applyFill="1" applyBorder="1" applyProtection="1">
      <protection locked="0"/>
    </xf>
    <xf numFmtId="0" fontId="12" fillId="0" borderId="0" xfId="1" applyFont="1" applyFill="1" applyBorder="1" applyProtection="1">
      <protection locked="0"/>
    </xf>
    <xf numFmtId="0" fontId="8" fillId="2" borderId="13" xfId="1" applyFont="1" applyFill="1" applyBorder="1" applyAlignment="1" applyProtection="1">
      <alignment wrapText="1"/>
      <protection locked="0"/>
    </xf>
    <xf numFmtId="0" fontId="8" fillId="2" borderId="12" xfId="1" applyFont="1" applyFill="1" applyBorder="1" applyAlignment="1" applyProtection="1">
      <alignment wrapText="1"/>
      <protection locked="0"/>
    </xf>
    <xf numFmtId="49" fontId="2" fillId="0" borderId="73" xfId="2" applyNumberFormat="1" applyFill="1" applyBorder="1"/>
    <xf numFmtId="0" fontId="2" fillId="0" borderId="74" xfId="2" applyFill="1" applyBorder="1"/>
    <xf numFmtId="176" fontId="2" fillId="0" borderId="71" xfId="2" applyNumberFormat="1" applyFont="1" applyFill="1" applyBorder="1"/>
    <xf numFmtId="176" fontId="2" fillId="0" borderId="43" xfId="2" applyNumberFormat="1" applyFont="1" applyFill="1" applyBorder="1"/>
    <xf numFmtId="176" fontId="2" fillId="0" borderId="23" xfId="2" applyNumberFormat="1" applyFont="1" applyFill="1" applyBorder="1"/>
    <xf numFmtId="2" fontId="2" fillId="0" borderId="4" xfId="2" applyNumberFormat="1" applyFill="1" applyBorder="1"/>
    <xf numFmtId="2" fontId="2" fillId="0" borderId="5" xfId="2" applyNumberFormat="1" applyFill="1" applyBorder="1"/>
    <xf numFmtId="2" fontId="2" fillId="0" borderId="16" xfId="2" applyNumberFormat="1" applyFill="1" applyBorder="1"/>
    <xf numFmtId="2" fontId="2" fillId="0" borderId="14" xfId="2" applyNumberFormat="1" applyFill="1" applyBorder="1"/>
    <xf numFmtId="177" fontId="2" fillId="0" borderId="48" xfId="2" applyNumberFormat="1" applyFill="1" applyBorder="1"/>
    <xf numFmtId="0" fontId="4" fillId="71" borderId="79" xfId="2" applyFont="1" applyFill="1" applyBorder="1" applyAlignment="1">
      <alignment wrapText="1"/>
    </xf>
    <xf numFmtId="0" fontId="2" fillId="71" borderId="39" xfId="2" applyFill="1" applyBorder="1"/>
    <xf numFmtId="0" fontId="4" fillId="74" borderId="79" xfId="2" applyFont="1" applyFill="1" applyBorder="1" applyAlignment="1">
      <alignment wrapText="1"/>
    </xf>
    <xf numFmtId="0" fontId="4" fillId="74" borderId="79" xfId="2" applyFont="1" applyFill="1" applyBorder="1"/>
    <xf numFmtId="0" fontId="2" fillId="74" borderId="39" xfId="2" applyFill="1" applyBorder="1"/>
    <xf numFmtId="0" fontId="4" fillId="76" borderId="79" xfId="2" applyFont="1" applyFill="1" applyBorder="1"/>
    <xf numFmtId="0" fontId="2" fillId="76" borderId="39" xfId="2" applyFill="1" applyBorder="1"/>
    <xf numFmtId="0" fontId="4" fillId="75" borderId="79" xfId="2" applyFont="1" applyFill="1" applyBorder="1"/>
    <xf numFmtId="0" fontId="2" fillId="75" borderId="39" xfId="2" applyFill="1" applyBorder="1"/>
    <xf numFmtId="0" fontId="5" fillId="0" borderId="4" xfId="1" applyFont="1" applyFill="1" applyBorder="1" applyAlignment="1" applyProtection="1">
      <alignment horizontal="right"/>
      <protection locked="0"/>
    </xf>
    <xf numFmtId="0" fontId="7" fillId="3" borderId="8" xfId="1" applyFont="1" applyFill="1" applyBorder="1" applyAlignment="1" applyProtection="1">
      <alignment horizontal="center" wrapText="1"/>
      <protection locked="0"/>
    </xf>
    <xf numFmtId="0" fontId="1" fillId="3" borderId="9" xfId="1" applyFont="1" applyFill="1" applyBorder="1" applyAlignment="1" applyProtection="1">
      <alignment horizontal="center" wrapText="1"/>
      <protection locked="0"/>
    </xf>
    <xf numFmtId="2" fontId="10" fillId="0" borderId="100" xfId="1" applyNumberFormat="1" applyFont="1" applyFill="1" applyBorder="1" applyAlignment="1" applyProtection="1">
      <alignment horizontal="right"/>
      <protection locked="0"/>
    </xf>
    <xf numFmtId="49" fontId="4" fillId="0" borderId="100"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2" fontId="7" fillId="0" borderId="21" xfId="1" applyNumberFormat="1" applyFont="1" applyFill="1" applyBorder="1" applyAlignment="1" applyProtection="1">
      <alignment horizontal="right"/>
      <protection locked="0"/>
    </xf>
    <xf numFmtId="2" fontId="10" fillId="0" borderId="20" xfId="1" applyNumberFormat="1" applyFont="1" applyFill="1" applyBorder="1" applyAlignment="1" applyProtection="1">
      <alignment horizontal="right"/>
      <protection locked="0"/>
    </xf>
    <xf numFmtId="0" fontId="11" fillId="0" borderId="0" xfId="1" applyFont="1" applyFill="1" applyBorder="1" applyProtection="1">
      <protection locked="0"/>
    </xf>
    <xf numFmtId="0" fontId="12" fillId="0" borderId="0" xfId="1" applyFont="1" applyFill="1" applyBorder="1" applyProtection="1">
      <protection locked="0"/>
    </xf>
    <xf numFmtId="0" fontId="8" fillId="2" borderId="13" xfId="1" applyFont="1" applyFill="1" applyBorder="1" applyAlignment="1" applyProtection="1">
      <alignment wrapText="1"/>
      <protection locked="0"/>
    </xf>
    <xf numFmtId="0" fontId="8" fillId="2" borderId="12" xfId="1" applyFont="1" applyFill="1" applyBorder="1" applyAlignment="1" applyProtection="1">
      <alignment wrapText="1"/>
      <protection locked="0"/>
    </xf>
    <xf numFmtId="0" fontId="4" fillId="42" borderId="46" xfId="2" applyNumberFormat="1" applyFont="1" applyFill="1" applyBorder="1" applyAlignment="1">
      <alignment horizontal="left"/>
    </xf>
    <xf numFmtId="176" fontId="2" fillId="42" borderId="46" xfId="2" applyNumberFormat="1" applyFill="1" applyBorder="1" applyAlignment="1">
      <alignment horizontal="center"/>
    </xf>
    <xf numFmtId="176" fontId="2" fillId="42" borderId="46" xfId="2" applyNumberFormat="1" applyFont="1" applyFill="1" applyBorder="1" applyAlignment="1">
      <alignment horizontal="center"/>
    </xf>
    <xf numFmtId="0" fontId="5" fillId="0" borderId="4" xfId="1" applyFont="1" applyFill="1" applyBorder="1" applyAlignment="1" applyProtection="1">
      <alignment horizontal="right"/>
      <protection locked="0"/>
    </xf>
    <xf numFmtId="0" fontId="7" fillId="3" borderId="8" xfId="1" applyFont="1" applyFill="1" applyBorder="1" applyAlignment="1" applyProtection="1">
      <alignment horizontal="center" wrapText="1"/>
      <protection locked="0"/>
    </xf>
    <xf numFmtId="0" fontId="1" fillId="3" borderId="9" xfId="1" applyFont="1" applyFill="1" applyBorder="1" applyAlignment="1" applyProtection="1">
      <alignment horizontal="center" wrapText="1"/>
      <protection locked="0"/>
    </xf>
    <xf numFmtId="2" fontId="7" fillId="0" borderId="16" xfId="1" applyNumberFormat="1" applyFont="1" applyFill="1" applyBorder="1" applyAlignment="1" applyProtection="1">
      <alignment horizontal="right"/>
      <protection locked="0"/>
    </xf>
    <xf numFmtId="2" fontId="7" fillId="0" borderId="21" xfId="1" applyNumberFormat="1" applyFont="1" applyFill="1" applyBorder="1" applyAlignment="1" applyProtection="1">
      <alignment horizontal="right"/>
      <protection locked="0"/>
    </xf>
    <xf numFmtId="2" fontId="10" fillId="0" borderId="20" xfId="1" applyNumberFormat="1" applyFont="1" applyFill="1" applyBorder="1" applyAlignment="1" applyProtection="1">
      <alignment horizontal="right"/>
      <protection locked="0"/>
    </xf>
    <xf numFmtId="0" fontId="11" fillId="0" borderId="0" xfId="1" applyFont="1" applyFill="1" applyBorder="1" applyProtection="1">
      <protection locked="0"/>
    </xf>
    <xf numFmtId="0" fontId="12" fillId="0" borderId="0" xfId="1" applyFont="1" applyFill="1" applyBorder="1" applyProtection="1">
      <protection locked="0"/>
    </xf>
    <xf numFmtId="0" fontId="8" fillId="2" borderId="13" xfId="1" applyFont="1" applyFill="1" applyBorder="1" applyAlignment="1" applyProtection="1">
      <alignment wrapText="1"/>
      <protection locked="0"/>
    </xf>
    <xf numFmtId="0" fontId="8" fillId="2" borderId="12" xfId="1" applyFont="1" applyFill="1" applyBorder="1" applyAlignment="1" applyProtection="1">
      <alignment wrapText="1"/>
      <protection locked="0"/>
    </xf>
    <xf numFmtId="0" fontId="4" fillId="0" borderId="34" xfId="0" applyFont="1" applyFill="1" applyBorder="1"/>
    <xf numFmtId="0" fontId="4" fillId="0" borderId="35" xfId="0" applyFont="1" applyFill="1" applyBorder="1"/>
    <xf numFmtId="0" fontId="0" fillId="0" borderId="37" xfId="0" applyFont="1" applyFill="1" applyBorder="1"/>
    <xf numFmtId="0" fontId="0" fillId="0" borderId="38" xfId="0" applyFont="1" applyFill="1" applyBorder="1"/>
    <xf numFmtId="0" fontId="0" fillId="0" borderId="38" xfId="0" applyFill="1" applyBorder="1"/>
    <xf numFmtId="0" fontId="0" fillId="0" borderId="39" xfId="0" applyFill="1" applyBorder="1"/>
    <xf numFmtId="2" fontId="0" fillId="41" borderId="43" xfId="0" applyNumberFormat="1" applyFill="1" applyBorder="1"/>
    <xf numFmtId="2" fontId="0" fillId="77" borderId="42" xfId="0" applyNumberFormat="1" applyFill="1" applyBorder="1"/>
    <xf numFmtId="0" fontId="4" fillId="0" borderId="36" xfId="0" applyFont="1" applyFill="1" applyBorder="1"/>
    <xf numFmtId="0" fontId="2" fillId="54" borderId="46" xfId="2" applyFill="1" applyBorder="1" applyAlignment="1">
      <alignment horizontal="center"/>
    </xf>
    <xf numFmtId="0" fontId="2" fillId="42" borderId="49" xfId="2" applyFill="1" applyBorder="1" applyAlignment="1">
      <alignment horizontal="center"/>
    </xf>
    <xf numFmtId="0" fontId="56" fillId="0" borderId="14" xfId="0" applyNumberFormat="1" applyFont="1" applyFill="1" applyBorder="1" applyAlignment="1">
      <alignment horizontal="right"/>
    </xf>
    <xf numFmtId="0" fontId="2" fillId="0" borderId="14" xfId="0" applyFont="1" applyFill="1" applyBorder="1" applyAlignment="1">
      <alignment wrapText="1"/>
    </xf>
    <xf numFmtId="0" fontId="2" fillId="0" borderId="14" xfId="0" applyFont="1" applyFill="1" applyBorder="1"/>
    <xf numFmtId="0" fontId="2" fillId="5" borderId="39" xfId="2" applyFill="1" applyBorder="1"/>
    <xf numFmtId="0" fontId="2" fillId="72" borderId="39" xfId="2" applyFill="1" applyBorder="1" applyAlignment="1">
      <alignment wrapText="1"/>
    </xf>
    <xf numFmtId="0" fontId="2" fillId="72" borderId="39" xfId="2" applyFill="1" applyBorder="1"/>
    <xf numFmtId="0" fontId="4" fillId="72" borderId="79" xfId="2" applyFont="1" applyFill="1" applyBorder="1" applyAlignment="1">
      <alignment wrapText="1"/>
    </xf>
    <xf numFmtId="2" fontId="2" fillId="72" borderId="81" xfId="2" applyNumberFormat="1" applyFill="1" applyBorder="1"/>
    <xf numFmtId="2" fontId="2" fillId="74" borderId="46" xfId="2" applyNumberFormat="1" applyFill="1" applyBorder="1"/>
    <xf numFmtId="2" fontId="2" fillId="74" borderId="81" xfId="2" applyNumberFormat="1" applyFill="1" applyBorder="1"/>
    <xf numFmtId="0" fontId="0" fillId="71" borderId="39" xfId="0" applyNumberFormat="1" applyFill="1" applyBorder="1" applyAlignment="1">
      <alignment horizontal="center"/>
    </xf>
    <xf numFmtId="49" fontId="11" fillId="0" borderId="15" xfId="1" applyNumberFormat="1" applyFont="1" applyFill="1" applyBorder="1" applyAlignment="1" applyProtection="1">
      <alignment horizontal="center"/>
      <protection locked="0"/>
    </xf>
    <xf numFmtId="0" fontId="2" fillId="72" borderId="81" xfId="2" applyNumberFormat="1" applyFill="1" applyBorder="1" applyAlignment="1">
      <alignment horizontal="center"/>
    </xf>
    <xf numFmtId="0" fontId="2" fillId="72" borderId="0" xfId="2" applyFill="1"/>
    <xf numFmtId="0" fontId="2" fillId="79" borderId="0" xfId="2" applyFill="1"/>
    <xf numFmtId="0" fontId="2" fillId="79" borderId="46" xfId="2" applyNumberFormat="1" applyFill="1" applyBorder="1" applyAlignment="1">
      <alignment horizontal="center"/>
    </xf>
    <xf numFmtId="0" fontId="2" fillId="79" borderId="81" xfId="2" applyNumberFormat="1" applyFill="1" applyBorder="1" applyAlignment="1">
      <alignment horizontal="center"/>
    </xf>
    <xf numFmtId="0" fontId="2" fillId="77" borderId="0" xfId="2" applyFill="1"/>
    <xf numFmtId="14" fontId="2" fillId="77" borderId="46" xfId="2" applyNumberFormat="1" applyFill="1" applyBorder="1" applyAlignment="1">
      <alignment horizontal="center"/>
    </xf>
    <xf numFmtId="0" fontId="2" fillId="77" borderId="46" xfId="2" applyNumberFormat="1" applyFill="1" applyBorder="1" applyAlignment="1">
      <alignment horizontal="center"/>
    </xf>
    <xf numFmtId="0" fontId="0" fillId="0" borderId="0" xfId="0"/>
    <xf numFmtId="49" fontId="9" fillId="0" borderId="15" xfId="1" applyNumberFormat="1" applyFont="1" applyFill="1" applyBorder="1" applyProtection="1">
      <protection locked="0"/>
    </xf>
    <xf numFmtId="2" fontId="10" fillId="0" borderId="100" xfId="1" applyNumberFormat="1" applyFont="1" applyFill="1" applyBorder="1" applyAlignment="1" applyProtection="1">
      <alignment horizontal="right"/>
      <protection locked="0"/>
    </xf>
    <xf numFmtId="49" fontId="2" fillId="0" borderId="4" xfId="1" applyNumberFormat="1" applyFont="1" applyFill="1" applyBorder="1" applyProtection="1">
      <protection locked="0"/>
    </xf>
    <xf numFmtId="49" fontId="2" fillId="0" borderId="14" xfId="1" applyNumberFormat="1" applyFont="1" applyFill="1" applyBorder="1" applyProtection="1">
      <protection locked="0"/>
    </xf>
    <xf numFmtId="14" fontId="2" fillId="0" borderId="14"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0" fontId="2" fillId="0" borderId="0" xfId="2"/>
    <xf numFmtId="0" fontId="2" fillId="0" borderId="39" xfId="2" applyFill="1" applyBorder="1" applyAlignment="1">
      <alignment horizontal="center"/>
    </xf>
    <xf numFmtId="2" fontId="2" fillId="40" borderId="46" xfId="2" applyNumberFormat="1" applyFill="1" applyBorder="1"/>
    <xf numFmtId="2" fontId="10" fillId="0" borderId="24" xfId="1" applyNumberFormat="1" applyFont="1" applyFill="1" applyBorder="1" applyAlignment="1" applyProtection="1">
      <alignment horizontal="right"/>
      <protection locked="0"/>
    </xf>
    <xf numFmtId="0" fontId="2" fillId="42" borderId="46" xfId="2" applyNumberFormat="1" applyFont="1" applyFill="1" applyBorder="1"/>
    <xf numFmtId="49" fontId="2" fillId="42" borderId="46" xfId="2" applyNumberFormat="1" applyFill="1" applyBorder="1"/>
    <xf numFmtId="0" fontId="2" fillId="0" borderId="0" xfId="2" applyFill="1"/>
    <xf numFmtId="49" fontId="2" fillId="2" borderId="81" xfId="2" applyNumberFormat="1" applyFill="1" applyBorder="1"/>
    <xf numFmtId="0" fontId="2" fillId="42" borderId="46" xfId="2" applyNumberFormat="1" applyFill="1" applyBorder="1" applyAlignment="1">
      <alignment horizontal="center"/>
    </xf>
    <xf numFmtId="0" fontId="4" fillId="80" borderId="79" xfId="2" applyFont="1" applyFill="1" applyBorder="1" applyAlignment="1">
      <alignment wrapText="1"/>
    </xf>
    <xf numFmtId="0" fontId="2" fillId="80" borderId="39" xfId="2" applyFill="1" applyBorder="1" applyAlignment="1">
      <alignment wrapText="1"/>
    </xf>
    <xf numFmtId="0" fontId="2" fillId="70" borderId="46" xfId="2" applyFill="1" applyBorder="1"/>
    <xf numFmtId="49" fontId="21" fillId="70" borderId="46" xfId="2" applyNumberFormat="1" applyFont="1" applyFill="1" applyBorder="1"/>
    <xf numFmtId="49" fontId="2" fillId="75" borderId="46" xfId="2" applyNumberFormat="1" applyFill="1" applyBorder="1"/>
    <xf numFmtId="2" fontId="2" fillId="75" borderId="81" xfId="2" applyNumberFormat="1" applyFill="1" applyBorder="1"/>
    <xf numFmtId="0" fontId="2" fillId="5" borderId="46" xfId="2" applyNumberFormat="1" applyFont="1" applyFill="1" applyBorder="1" applyAlignment="1">
      <alignment horizontal="center"/>
    </xf>
    <xf numFmtId="0" fontId="4" fillId="5" borderId="79" xfId="2" applyFont="1" applyFill="1" applyBorder="1"/>
    <xf numFmtId="49" fontId="0" fillId="4" borderId="101" xfId="0" applyNumberFormat="1" applyFill="1" applyBorder="1"/>
    <xf numFmtId="49" fontId="0" fillId="4" borderId="42" xfId="0" applyNumberFormat="1" applyFill="1" applyBorder="1"/>
    <xf numFmtId="2" fontId="0" fillId="78" borderId="42" xfId="0" applyNumberFormat="1" applyFill="1" applyBorder="1"/>
    <xf numFmtId="2" fontId="0" fillId="8" borderId="42" xfId="0" applyNumberFormat="1" applyFill="1" applyBorder="1"/>
    <xf numFmtId="2" fontId="0" fillId="81" borderId="42" xfId="0" applyNumberFormat="1" applyFill="1" applyBorder="1"/>
    <xf numFmtId="0" fontId="2" fillId="8" borderId="81" xfId="2" applyNumberFormat="1" applyFill="1" applyBorder="1" applyAlignment="1">
      <alignment horizontal="center"/>
    </xf>
    <xf numFmtId="0" fontId="4" fillId="71" borderId="79" xfId="2" applyFont="1" applyFill="1" applyBorder="1"/>
    <xf numFmtId="0" fontId="2" fillId="0" borderId="102" xfId="0" applyFont="1" applyFill="1" applyBorder="1"/>
    <xf numFmtId="0" fontId="56" fillId="0" borderId="103" xfId="0" applyNumberFormat="1" applyFont="1" applyFill="1" applyBorder="1" applyAlignment="1">
      <alignment horizontal="right"/>
    </xf>
    <xf numFmtId="0" fontId="2" fillId="42" borderId="81" xfId="2" applyNumberFormat="1" applyFont="1" applyFill="1" applyBorder="1" applyAlignment="1">
      <alignment horizontal="center"/>
    </xf>
    <xf numFmtId="176" fontId="2" fillId="42" borderId="81" xfId="2" applyNumberFormat="1" applyFont="1" applyFill="1" applyBorder="1" applyAlignment="1">
      <alignment horizontal="center"/>
    </xf>
    <xf numFmtId="176" fontId="2" fillId="42" borderId="81" xfId="2" applyNumberFormat="1" applyFill="1" applyBorder="1" applyAlignment="1">
      <alignment horizontal="center"/>
    </xf>
    <xf numFmtId="176" fontId="2" fillId="42" borderId="40" xfId="2" applyNumberFormat="1" applyFill="1" applyBorder="1" applyAlignment="1">
      <alignment horizontal="center"/>
    </xf>
    <xf numFmtId="0" fontId="2" fillId="42" borderId="40" xfId="2" applyNumberFormat="1" applyFont="1" applyFill="1" applyBorder="1" applyAlignment="1">
      <alignment horizontal="center"/>
    </xf>
    <xf numFmtId="176" fontId="2" fillId="42" borderId="40" xfId="2" applyNumberFormat="1" applyFont="1" applyFill="1" applyBorder="1" applyAlignment="1">
      <alignment horizontal="center"/>
    </xf>
    <xf numFmtId="49" fontId="2" fillId="2" borderId="49" xfId="2" applyNumberFormat="1" applyFill="1" applyBorder="1"/>
    <xf numFmtId="2" fontId="2" fillId="40" borderId="49" xfId="2" applyNumberFormat="1" applyFill="1" applyBorder="1"/>
    <xf numFmtId="49" fontId="2" fillId="4" borderId="49" xfId="2" applyNumberFormat="1" applyFill="1" applyBorder="1"/>
    <xf numFmtId="49" fontId="2" fillId="4" borderId="46" xfId="2" applyNumberFormat="1" applyFill="1" applyBorder="1"/>
    <xf numFmtId="2" fontId="2" fillId="82" borderId="49" xfId="2" applyNumberFormat="1" applyFill="1" applyBorder="1"/>
    <xf numFmtId="2" fontId="2" fillId="82" borderId="46" xfId="2" applyNumberFormat="1" applyFill="1" applyBorder="1"/>
    <xf numFmtId="180" fontId="2" fillId="42" borderId="81" xfId="2" applyNumberFormat="1" applyFont="1" applyFill="1" applyBorder="1" applyAlignment="1">
      <alignment horizontal="center"/>
    </xf>
    <xf numFmtId="180" fontId="2" fillId="42" borderId="46" xfId="2" applyNumberFormat="1" applyFont="1" applyFill="1" applyBorder="1" applyAlignment="1">
      <alignment horizontal="center"/>
    </xf>
    <xf numFmtId="180" fontId="2" fillId="42" borderId="81" xfId="2" applyNumberFormat="1" applyFill="1" applyBorder="1" applyAlignment="1">
      <alignment horizontal="center"/>
    </xf>
    <xf numFmtId="181" fontId="2" fillId="42" borderId="81" xfId="2" applyNumberFormat="1" applyFill="1" applyBorder="1" applyAlignment="1">
      <alignment horizontal="center"/>
    </xf>
    <xf numFmtId="181" fontId="2" fillId="0" borderId="0" xfId="2" applyNumberFormat="1"/>
    <xf numFmtId="177" fontId="2" fillId="72" borderId="81" xfId="2" applyNumberFormat="1" applyFill="1" applyBorder="1" applyAlignment="1">
      <alignment horizontal="center"/>
    </xf>
    <xf numFmtId="177" fontId="2" fillId="82" borderId="81" xfId="2" applyNumberFormat="1" applyFill="1" applyBorder="1" applyAlignment="1">
      <alignment horizontal="center"/>
    </xf>
    <xf numFmtId="177" fontId="2" fillId="0" borderId="0" xfId="2" applyNumberFormat="1" applyFill="1"/>
    <xf numFmtId="177" fontId="2" fillId="72" borderId="0" xfId="2" applyNumberFormat="1" applyFill="1"/>
    <xf numFmtId="182" fontId="2" fillId="41" borderId="49" xfId="2" applyNumberFormat="1" applyFill="1" applyBorder="1"/>
    <xf numFmtId="182" fontId="2" fillId="41" borderId="46" xfId="2" applyNumberFormat="1" applyFill="1" applyBorder="1"/>
    <xf numFmtId="177" fontId="2" fillId="54" borderId="46" xfId="2" applyNumberFormat="1" applyFill="1" applyBorder="1" applyAlignment="1">
      <alignment horizontal="center"/>
    </xf>
    <xf numFmtId="0" fontId="2" fillId="0" borderId="75" xfId="0" applyFont="1" applyFill="1" applyBorder="1"/>
    <xf numFmtId="0" fontId="56" fillId="0" borderId="75" xfId="0" applyNumberFormat="1" applyFont="1" applyFill="1" applyBorder="1" applyAlignment="1">
      <alignment horizontal="right"/>
    </xf>
    <xf numFmtId="0" fontId="4" fillId="76" borderId="1" xfId="0" applyFont="1" applyFill="1" applyBorder="1"/>
    <xf numFmtId="0" fontId="0" fillId="76" borderId="1" xfId="0" applyFill="1" applyBorder="1"/>
    <xf numFmtId="0" fontId="4" fillId="79" borderId="1" xfId="0" applyFont="1" applyFill="1" applyBorder="1"/>
    <xf numFmtId="0" fontId="0" fillId="79" borderId="1" xfId="0" applyFill="1" applyBorder="1"/>
    <xf numFmtId="0" fontId="4" fillId="71" borderId="1" xfId="0" applyFont="1" applyFill="1" applyBorder="1"/>
    <xf numFmtId="0" fontId="0" fillId="71" borderId="1" xfId="0" applyFill="1" applyBorder="1"/>
    <xf numFmtId="0" fontId="2" fillId="0" borderId="51" xfId="0" applyFont="1" applyFill="1" applyBorder="1"/>
    <xf numFmtId="0" fontId="56" fillId="0" borderId="51" xfId="0" applyNumberFormat="1" applyFont="1" applyFill="1" applyBorder="1" applyAlignment="1">
      <alignment horizontal="right"/>
    </xf>
    <xf numFmtId="0" fontId="0" fillId="71" borderId="42" xfId="0" applyNumberFormat="1" applyFill="1" applyBorder="1" applyAlignment="1">
      <alignment horizontal="center"/>
    </xf>
    <xf numFmtId="0" fontId="0" fillId="71" borderId="46" xfId="0" applyNumberFormat="1" applyFill="1" applyBorder="1" applyAlignment="1">
      <alignment horizontal="center"/>
    </xf>
    <xf numFmtId="181" fontId="4" fillId="0" borderId="79" xfId="2" applyNumberFormat="1" applyFont="1" applyFill="1" applyBorder="1"/>
    <xf numFmtId="0" fontId="2" fillId="0" borderId="39" xfId="2" applyFont="1" applyFill="1" applyBorder="1" applyAlignment="1">
      <alignment horizontal="center"/>
    </xf>
    <xf numFmtId="181" fontId="2" fillId="0" borderId="39" xfId="2" applyNumberFormat="1" applyFont="1" applyFill="1" applyBorder="1" applyAlignment="1">
      <alignment horizontal="center"/>
    </xf>
    <xf numFmtId="0" fontId="4" fillId="77" borderId="79" xfId="2" applyFont="1" applyFill="1" applyBorder="1"/>
    <xf numFmtId="0" fontId="4" fillId="79" borderId="79" xfId="2" applyFont="1" applyFill="1" applyBorder="1"/>
    <xf numFmtId="0" fontId="4" fillId="72" borderId="79" xfId="2" applyFont="1" applyFill="1" applyBorder="1"/>
    <xf numFmtId="177" fontId="4" fillId="72" borderId="79" xfId="2" applyNumberFormat="1" applyFont="1" applyFill="1" applyBorder="1"/>
    <xf numFmtId="0" fontId="2" fillId="77" borderId="39" xfId="2" applyFill="1" applyBorder="1"/>
    <xf numFmtId="0" fontId="2" fillId="79" borderId="39" xfId="2" applyFill="1" applyBorder="1" applyAlignment="1">
      <alignment horizontal="center"/>
    </xf>
    <xf numFmtId="0" fontId="2" fillId="72" borderId="39" xfId="2" applyFill="1" applyBorder="1" applyAlignment="1">
      <alignment horizontal="center"/>
    </xf>
    <xf numFmtId="177" fontId="2" fillId="72" borderId="39" xfId="2" applyNumberFormat="1" applyFill="1" applyBorder="1" applyAlignment="1">
      <alignment horizontal="center"/>
    </xf>
    <xf numFmtId="0" fontId="0" fillId="71" borderId="10" xfId="0" applyNumberFormat="1" applyFill="1" applyBorder="1" applyAlignment="1">
      <alignment wrapText="1"/>
    </xf>
    <xf numFmtId="0" fontId="0" fillId="71" borderId="39" xfId="0" applyNumberFormat="1" applyFill="1" applyBorder="1" applyAlignment="1">
      <alignment wrapText="1"/>
    </xf>
    <xf numFmtId="49" fontId="4" fillId="0" borderId="79" xfId="2" applyNumberFormat="1" applyFont="1" applyFill="1" applyBorder="1"/>
    <xf numFmtId="49" fontId="2" fillId="0" borderId="39" xfId="2" applyNumberFormat="1" applyFill="1" applyBorder="1"/>
    <xf numFmtId="177" fontId="2" fillId="54" borderId="42" xfId="2" applyNumberFormat="1" applyFill="1" applyBorder="1" applyAlignment="1">
      <alignment horizontal="center"/>
    </xf>
    <xf numFmtId="177" fontId="2" fillId="42" borderId="42" xfId="2" applyNumberFormat="1" applyFont="1" applyFill="1" applyBorder="1" applyAlignment="1">
      <alignment horizontal="center"/>
    </xf>
    <xf numFmtId="177" fontId="2" fillId="42" borderId="46" xfId="2" applyNumberFormat="1" applyFont="1" applyFill="1" applyBorder="1" applyAlignment="1">
      <alignment horizontal="center"/>
    </xf>
    <xf numFmtId="181" fontId="2" fillId="42" borderId="42" xfId="2" applyNumberFormat="1" applyFont="1" applyFill="1" applyBorder="1" applyAlignment="1">
      <alignment horizontal="center"/>
    </xf>
    <xf numFmtId="181" fontId="2" fillId="42" borderId="46" xfId="2" applyNumberFormat="1" applyFont="1" applyFill="1" applyBorder="1" applyAlignment="1">
      <alignment horizontal="center"/>
    </xf>
    <xf numFmtId="183" fontId="2" fillId="72" borderId="42" xfId="2" applyNumberFormat="1" applyFill="1" applyBorder="1" applyAlignment="1">
      <alignment horizontal="center"/>
    </xf>
    <xf numFmtId="183" fontId="2" fillId="72" borderId="46" xfId="2" applyNumberFormat="1" applyFill="1" applyBorder="1" applyAlignment="1">
      <alignment horizontal="center"/>
    </xf>
    <xf numFmtId="182" fontId="57" fillId="80" borderId="42" xfId="2" applyNumberFormat="1" applyFont="1" applyFill="1" applyBorder="1" applyAlignment="1">
      <alignment horizontal="center"/>
    </xf>
    <xf numFmtId="182" fontId="57" fillId="80" borderId="46" xfId="2" applyNumberFormat="1" applyFont="1" applyFill="1" applyBorder="1" applyAlignment="1">
      <alignment horizontal="center"/>
    </xf>
    <xf numFmtId="182" fontId="2" fillId="80" borderId="46" xfId="2" applyNumberFormat="1" applyFill="1" applyBorder="1" applyAlignment="1">
      <alignment horizontal="center"/>
    </xf>
    <xf numFmtId="180" fontId="2" fillId="74" borderId="46" xfId="2" applyNumberFormat="1" applyFont="1" applyFill="1" applyBorder="1" applyAlignment="1">
      <alignment horizontal="center"/>
    </xf>
    <xf numFmtId="177" fontId="2" fillId="71" borderId="46" xfId="2" applyNumberFormat="1" applyFont="1" applyFill="1" applyBorder="1" applyAlignment="1">
      <alignment horizontal="center"/>
    </xf>
    <xf numFmtId="183" fontId="4" fillId="72" borderId="79" xfId="2" applyNumberFormat="1" applyFont="1" applyFill="1" applyBorder="1" applyAlignment="1">
      <alignment wrapText="1"/>
    </xf>
    <xf numFmtId="183" fontId="2" fillId="72" borderId="39" xfId="2" applyNumberFormat="1" applyFill="1" applyBorder="1"/>
    <xf numFmtId="183" fontId="2" fillId="72" borderId="46" xfId="2" applyNumberFormat="1" applyFont="1" applyFill="1" applyBorder="1" applyAlignment="1">
      <alignment horizontal="center"/>
    </xf>
    <xf numFmtId="183" fontId="2" fillId="0" borderId="0" xfId="2" applyNumberFormat="1"/>
    <xf numFmtId="182" fontId="22" fillId="73" borderId="79" xfId="2" applyNumberFormat="1" applyFont="1" applyFill="1" applyBorder="1"/>
    <xf numFmtId="182" fontId="2" fillId="73" borderId="39" xfId="2" applyNumberFormat="1" applyFill="1" applyBorder="1"/>
    <xf numFmtId="182" fontId="2" fillId="73" borderId="46" xfId="2" applyNumberFormat="1" applyFill="1" applyBorder="1" applyAlignment="1">
      <alignment horizontal="center"/>
    </xf>
    <xf numFmtId="182" fontId="2" fillId="73" borderId="46" xfId="2" applyNumberFormat="1" applyFont="1" applyFill="1" applyBorder="1" applyAlignment="1">
      <alignment horizontal="center"/>
    </xf>
    <xf numFmtId="182" fontId="57" fillId="73" borderId="46" xfId="2" applyNumberFormat="1" applyFont="1" applyFill="1" applyBorder="1" applyAlignment="1">
      <alignment horizontal="center"/>
    </xf>
    <xf numFmtId="182" fontId="2" fillId="0" borderId="0" xfId="2" applyNumberFormat="1"/>
    <xf numFmtId="49" fontId="4" fillId="0" borderId="15" xfId="1" applyNumberFormat="1" applyFont="1" applyFill="1" applyBorder="1" applyProtection="1">
      <protection locked="0"/>
    </xf>
    <xf numFmtId="2" fontId="7" fillId="0" borderId="4" xfId="1" applyNumberFormat="1" applyFont="1" applyFill="1" applyBorder="1" applyAlignment="1" applyProtection="1">
      <alignment horizontal="right"/>
      <protection locked="0"/>
    </xf>
    <xf numFmtId="2" fontId="10" fillId="0" borderId="51" xfId="1" applyNumberFormat="1" applyFont="1" applyFill="1" applyBorder="1" applyAlignment="1" applyProtection="1">
      <alignment horizontal="right"/>
      <protection locked="0"/>
    </xf>
    <xf numFmtId="14" fontId="2" fillId="0" borderId="51" xfId="1" applyNumberFormat="1" applyFont="1" applyFill="1" applyBorder="1" applyProtection="1">
      <protection locked="0"/>
    </xf>
    <xf numFmtId="49" fontId="11" fillId="0" borderId="102" xfId="1" applyNumberFormat="1" applyFont="1" applyFill="1" applyBorder="1" applyAlignment="1" applyProtection="1">
      <alignment horizontal="center"/>
      <protection locked="0"/>
    </xf>
    <xf numFmtId="49" fontId="9" fillId="0" borderId="102" xfId="1" applyNumberFormat="1" applyFont="1" applyFill="1" applyBorder="1" applyProtection="1">
      <protection locked="0"/>
    </xf>
    <xf numFmtId="2" fontId="10" fillId="0" borderId="75" xfId="1" applyNumberFormat="1" applyFont="1" applyFill="1" applyBorder="1" applyAlignment="1" applyProtection="1">
      <alignment horizontal="right"/>
      <protection locked="0"/>
    </xf>
    <xf numFmtId="0" fontId="57" fillId="42" borderId="46" xfId="2" applyNumberFormat="1" applyFont="1" applyFill="1" applyBorder="1"/>
    <xf numFmtId="49" fontId="2" fillId="0" borderId="51" xfId="1" applyNumberFormat="1" applyFont="1" applyFill="1" applyBorder="1" applyProtection="1">
      <protection locked="0"/>
    </xf>
    <xf numFmtId="2" fontId="10" fillId="0" borderId="100" xfId="1" applyNumberFormat="1" applyFont="1" applyFill="1" applyBorder="1" applyAlignment="1" applyProtection="1">
      <alignment horizontal="right"/>
      <protection locked="0"/>
    </xf>
    <xf numFmtId="49" fontId="9" fillId="0" borderId="15" xfId="1" applyNumberFormat="1" applyFont="1" applyFill="1" applyBorder="1" applyProtection="1">
      <protection locked="0"/>
    </xf>
    <xf numFmtId="2" fontId="10" fillId="0" borderId="100" xfId="1" applyNumberFormat="1" applyFont="1" applyFill="1" applyBorder="1" applyAlignment="1" applyProtection="1">
      <alignment horizontal="right"/>
      <protection locked="0"/>
    </xf>
    <xf numFmtId="49" fontId="4" fillId="0" borderId="100"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2" fontId="10" fillId="0" borderId="100" xfId="1" applyNumberFormat="1" applyFont="1" applyFill="1" applyBorder="1" applyAlignment="1" applyProtection="1">
      <alignment horizontal="right"/>
      <protection locked="0"/>
    </xf>
    <xf numFmtId="49" fontId="2" fillId="0" borderId="4" xfId="1" applyNumberFormat="1" applyFont="1" applyFill="1" applyBorder="1" applyProtection="1">
      <protection locked="0"/>
    </xf>
    <xf numFmtId="49" fontId="11" fillId="0" borderId="15" xfId="1" applyNumberFormat="1" applyFont="1" applyFill="1" applyBorder="1" applyAlignment="1" applyProtection="1">
      <alignment horizontal="center"/>
      <protection locked="0"/>
    </xf>
    <xf numFmtId="49" fontId="4" fillId="0" borderId="100"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2" fontId="10" fillId="0" borderId="45" xfId="1" applyNumberFormat="1" applyFont="1" applyFill="1" applyBorder="1" applyAlignment="1" applyProtection="1">
      <alignment horizontal="right"/>
      <protection locked="0"/>
    </xf>
    <xf numFmtId="2" fontId="10" fillId="0" borderId="7" xfId="1" applyNumberFormat="1" applyFont="1" applyFill="1" applyBorder="1" applyAlignment="1" applyProtection="1">
      <alignment horizontal="right"/>
      <protection locked="0"/>
    </xf>
    <xf numFmtId="1" fontId="2" fillId="42" borderId="42" xfId="2" applyNumberFormat="1" applyFont="1" applyFill="1" applyBorder="1" applyAlignment="1">
      <alignment horizontal="right"/>
    </xf>
    <xf numFmtId="1" fontId="2" fillId="42" borderId="46" xfId="2" applyNumberFormat="1" applyFont="1" applyFill="1" applyBorder="1" applyAlignment="1">
      <alignment horizontal="right"/>
    </xf>
    <xf numFmtId="1" fontId="10" fillId="0" borderId="14" xfId="1" applyNumberFormat="1" applyFont="1" applyFill="1" applyBorder="1" applyAlignment="1" applyProtection="1">
      <alignment horizontal="right"/>
      <protection locked="0"/>
    </xf>
    <xf numFmtId="0" fontId="6" fillId="3" borderId="105" xfId="1" applyFont="1" applyFill="1" applyBorder="1" applyAlignment="1" applyProtection="1">
      <alignment vertical="center"/>
      <protection locked="0"/>
    </xf>
    <xf numFmtId="0" fontId="6" fillId="3" borderId="106" xfId="1" applyFont="1" applyFill="1" applyBorder="1" applyAlignment="1" applyProtection="1">
      <alignment vertical="center"/>
      <protection locked="0"/>
    </xf>
    <xf numFmtId="49" fontId="9" fillId="0" borderId="15" xfId="1" applyNumberFormat="1" applyFont="1" applyFill="1" applyBorder="1" applyProtection="1">
      <protection locked="0"/>
    </xf>
    <xf numFmtId="2" fontId="10" fillId="0" borderId="100" xfId="1" applyNumberFormat="1" applyFont="1" applyFill="1" applyBorder="1" applyAlignment="1" applyProtection="1">
      <alignment horizontal="right"/>
      <protection locked="0"/>
    </xf>
    <xf numFmtId="49" fontId="11" fillId="0" borderId="15" xfId="1" applyNumberFormat="1" applyFont="1" applyFill="1" applyBorder="1" applyAlignment="1" applyProtection="1">
      <alignment horizontal="center"/>
      <protection locked="0"/>
    </xf>
    <xf numFmtId="49" fontId="4" fillId="0" borderId="100"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2" fontId="10" fillId="0" borderId="14" xfId="1" applyNumberFormat="1" applyFont="1" applyFill="1" applyBorder="1" applyAlignment="1" applyProtection="1">
      <alignment horizontal="right"/>
      <protection locked="0"/>
    </xf>
    <xf numFmtId="0" fontId="56" fillId="0" borderId="0" xfId="0" applyNumberFormat="1" applyFont="1" applyFill="1" applyBorder="1" applyAlignment="1">
      <alignment horizontal="right"/>
    </xf>
    <xf numFmtId="2" fontId="7" fillId="0" borderId="0" xfId="1" applyNumberFormat="1" applyFont="1" applyFill="1" applyBorder="1" applyAlignment="1" applyProtection="1">
      <alignment horizontal="right"/>
      <protection locked="0"/>
    </xf>
    <xf numFmtId="2" fontId="10" fillId="0" borderId="0" xfId="1" applyNumberFormat="1" applyFont="1" applyFill="1" applyBorder="1" applyAlignment="1" applyProtection="1">
      <alignment horizontal="right"/>
      <protection locked="0"/>
    </xf>
    <xf numFmtId="2" fontId="2" fillId="74" borderId="49" xfId="2" applyNumberFormat="1" applyFill="1" applyBorder="1"/>
    <xf numFmtId="2" fontId="2" fillId="41" borderId="49" xfId="2" applyNumberFormat="1" applyFill="1" applyBorder="1"/>
    <xf numFmtId="2" fontId="2" fillId="0" borderId="49" xfId="2" applyNumberFormat="1" applyFill="1" applyBorder="1"/>
    <xf numFmtId="2" fontId="7" fillId="0" borderId="100" xfId="1" applyNumberFormat="1" applyFont="1" applyFill="1" applyBorder="1" applyAlignment="1" applyProtection="1">
      <alignment horizontal="right"/>
      <protection locked="0"/>
    </xf>
    <xf numFmtId="0" fontId="2" fillId="0" borderId="0" xfId="1" applyFill="1" applyBorder="1" applyProtection="1">
      <protection locked="0"/>
    </xf>
    <xf numFmtId="49" fontId="9" fillId="0" borderId="15" xfId="1" applyNumberFormat="1" applyFont="1" applyFill="1" applyBorder="1" applyProtection="1">
      <protection locked="0"/>
    </xf>
    <xf numFmtId="2" fontId="10" fillId="0" borderId="100" xfId="1" applyNumberFormat="1" applyFont="1" applyFill="1" applyBorder="1" applyAlignment="1" applyProtection="1">
      <alignment horizontal="right"/>
      <protection locked="0"/>
    </xf>
    <xf numFmtId="49" fontId="2" fillId="0" borderId="4" xfId="1" applyNumberFormat="1" applyFont="1" applyFill="1" applyBorder="1" applyProtection="1">
      <protection locked="0"/>
    </xf>
    <xf numFmtId="49" fontId="2" fillId="0" borderId="14" xfId="1" applyNumberFormat="1" applyFont="1" applyFill="1" applyBorder="1" applyProtection="1">
      <protection locked="0"/>
    </xf>
    <xf numFmtId="14" fontId="2" fillId="0" borderId="14" xfId="1" applyNumberFormat="1" applyFont="1" applyFill="1" applyBorder="1" applyProtection="1">
      <protection locked="0"/>
    </xf>
    <xf numFmtId="49" fontId="11" fillId="0" borderId="15" xfId="1" applyNumberFormat="1" applyFont="1" applyFill="1" applyBorder="1" applyAlignment="1" applyProtection="1">
      <alignment horizontal="center"/>
      <protection locked="0"/>
    </xf>
    <xf numFmtId="49" fontId="4" fillId="0" borderId="100"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49" fontId="2" fillId="0" borderId="16" xfId="1" applyNumberFormat="1" applyFont="1" applyFill="1" applyBorder="1" applyProtection="1">
      <protection locked="0"/>
    </xf>
    <xf numFmtId="0" fontId="0" fillId="8" borderId="0" xfId="0" applyFill="1"/>
    <xf numFmtId="49" fontId="4" fillId="0" borderId="24" xfId="1" applyNumberFormat="1" applyFont="1" applyFill="1" applyBorder="1" applyProtection="1">
      <protection locked="0"/>
    </xf>
    <xf numFmtId="2" fontId="10" fillId="0" borderId="100" xfId="1" applyNumberFormat="1" applyFont="1" applyFill="1" applyBorder="1" applyAlignment="1" applyProtection="1">
      <alignment horizontal="right"/>
      <protection locked="0"/>
    </xf>
    <xf numFmtId="2" fontId="11" fillId="0" borderId="74" xfId="1" applyNumberFormat="1" applyFont="1" applyFill="1" applyBorder="1" applyAlignment="1" applyProtection="1">
      <alignment horizontal="center"/>
      <protection locked="0"/>
    </xf>
    <xf numFmtId="0" fontId="21" fillId="42" borderId="46" xfId="2" applyNumberFormat="1" applyFont="1" applyFill="1" applyBorder="1" applyAlignment="1">
      <alignment horizontal="center"/>
    </xf>
    <xf numFmtId="49" fontId="4" fillId="0" borderId="14" xfId="1" applyNumberFormat="1" applyFont="1" applyFill="1" applyBorder="1" applyProtection="1">
      <protection locked="0"/>
    </xf>
    <xf numFmtId="49" fontId="4" fillId="0" borderId="45" xfId="1" applyNumberFormat="1" applyFont="1" applyFill="1" applyBorder="1" applyProtection="1">
      <protection locked="0"/>
    </xf>
    <xf numFmtId="49" fontId="11" fillId="0" borderId="74" xfId="1" applyNumberFormat="1" applyFont="1" applyFill="1" applyBorder="1" applyAlignment="1" applyProtection="1">
      <alignment horizontal="center"/>
      <protection locked="0"/>
    </xf>
    <xf numFmtId="49" fontId="9" fillId="0" borderId="15" xfId="1" applyNumberFormat="1" applyFont="1" applyFill="1" applyBorder="1" applyProtection="1">
      <protection locked="0"/>
    </xf>
    <xf numFmtId="2" fontId="10" fillId="0" borderId="100" xfId="1" applyNumberFormat="1" applyFont="1" applyFill="1" applyBorder="1" applyAlignment="1" applyProtection="1">
      <alignment horizontal="right"/>
      <protection locked="0"/>
    </xf>
    <xf numFmtId="49" fontId="11" fillId="0" borderId="15" xfId="1" applyNumberFormat="1" applyFont="1" applyFill="1" applyBorder="1" applyAlignment="1" applyProtection="1">
      <alignment horizontal="center"/>
      <protection locked="0"/>
    </xf>
    <xf numFmtId="49" fontId="4" fillId="0" borderId="100" xfId="1" applyNumberFormat="1" applyFont="1" applyFill="1" applyBorder="1" applyProtection="1">
      <protection locked="0"/>
    </xf>
    <xf numFmtId="0" fontId="2" fillId="42" borderId="46" xfId="2" applyFill="1" applyBorder="1"/>
    <xf numFmtId="2" fontId="10" fillId="0" borderId="14" xfId="1" applyNumberFormat="1" applyFont="1" applyFill="1" applyBorder="1" applyAlignment="1" applyProtection="1">
      <alignment horizontal="right"/>
      <protection locked="0"/>
    </xf>
    <xf numFmtId="49" fontId="2" fillId="42" borderId="46" xfId="2" applyNumberFormat="1" applyFill="1" applyBorder="1"/>
    <xf numFmtId="2" fontId="7" fillId="0" borderId="16" xfId="1" applyNumberFormat="1" applyFont="1" applyFill="1" applyBorder="1" applyAlignment="1" applyProtection="1">
      <alignment horizontal="right"/>
      <protection locked="0"/>
    </xf>
    <xf numFmtId="0" fontId="2" fillId="42" borderId="81" xfId="2" applyNumberFormat="1" applyFill="1" applyBorder="1" applyAlignment="1">
      <alignment horizontal="center"/>
    </xf>
    <xf numFmtId="0" fontId="21" fillId="42" borderId="46" xfId="2" applyNumberFormat="1" applyFont="1" applyFill="1" applyBorder="1" applyAlignment="1">
      <alignment horizontal="center"/>
    </xf>
    <xf numFmtId="49" fontId="9" fillId="0" borderId="14" xfId="1" applyNumberFormat="1" applyFont="1" applyFill="1" applyBorder="1" applyProtection="1">
      <protection locked="0"/>
    </xf>
    <xf numFmtId="49" fontId="9" fillId="0" borderId="15"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182" fontId="2" fillId="73" borderId="46" xfId="2" applyNumberFormat="1" applyFill="1" applyBorder="1" applyAlignment="1">
      <alignment horizontal="center"/>
    </xf>
    <xf numFmtId="49" fontId="9" fillId="0" borderId="102" xfId="1" applyNumberFormat="1" applyFont="1" applyFill="1" applyBorder="1" applyProtection="1">
      <protection locked="0"/>
    </xf>
    <xf numFmtId="49" fontId="4" fillId="82" borderId="5" xfId="1" applyNumberFormat="1" applyFont="1" applyFill="1" applyBorder="1" applyProtection="1">
      <protection locked="0"/>
    </xf>
    <xf numFmtId="2" fontId="7" fillId="82" borderId="16" xfId="1" applyNumberFormat="1" applyFont="1" applyFill="1" applyBorder="1" applyAlignment="1" applyProtection="1">
      <alignment horizontal="right"/>
      <protection locked="0"/>
    </xf>
    <xf numFmtId="2" fontId="10" fillId="82" borderId="5" xfId="1" applyNumberFormat="1" applyFont="1" applyFill="1" applyBorder="1" applyAlignment="1" applyProtection="1">
      <alignment horizontal="right"/>
      <protection locked="0"/>
    </xf>
    <xf numFmtId="49" fontId="2" fillId="82" borderId="4" xfId="1" applyNumberFormat="1" applyFont="1" applyFill="1" applyBorder="1" applyProtection="1">
      <protection locked="0"/>
    </xf>
    <xf numFmtId="49" fontId="2" fillId="82" borderId="14" xfId="1" applyNumberFormat="1" applyFont="1" applyFill="1" applyBorder="1" applyProtection="1">
      <protection locked="0"/>
    </xf>
    <xf numFmtId="14" fontId="2" fillId="82" borderId="14" xfId="1" applyNumberFormat="1" applyFont="1" applyFill="1" applyBorder="1" applyProtection="1">
      <protection locked="0"/>
    </xf>
    <xf numFmtId="49" fontId="11" fillId="82" borderId="15" xfId="1" applyNumberFormat="1" applyFont="1" applyFill="1" applyBorder="1" applyAlignment="1" applyProtection="1">
      <alignment horizontal="center"/>
      <protection locked="0"/>
    </xf>
    <xf numFmtId="49" fontId="2" fillId="82" borderId="15" xfId="1" applyNumberFormat="1" applyFont="1" applyFill="1" applyBorder="1" applyProtection="1">
      <protection locked="0"/>
    </xf>
    <xf numFmtId="49" fontId="4" fillId="82" borderId="100" xfId="1" applyNumberFormat="1" applyFont="1" applyFill="1" applyBorder="1" applyProtection="1">
      <protection locked="0"/>
    </xf>
    <xf numFmtId="2" fontId="10" fillId="82" borderId="100" xfId="1" applyNumberFormat="1" applyFont="1" applyFill="1" applyBorder="1" applyAlignment="1" applyProtection="1">
      <alignment horizontal="right"/>
      <protection locked="0"/>
    </xf>
    <xf numFmtId="0" fontId="2" fillId="82" borderId="0" xfId="1" applyFill="1" applyBorder="1" applyProtection="1">
      <protection locked="0"/>
    </xf>
    <xf numFmtId="49" fontId="21" fillId="82" borderId="15" xfId="1" applyNumberFormat="1" applyFont="1" applyFill="1" applyBorder="1" applyAlignment="1" applyProtection="1">
      <alignment horizontal="center"/>
      <protection locked="0"/>
    </xf>
    <xf numFmtId="49" fontId="9" fillId="82" borderId="15" xfId="1" applyNumberFormat="1" applyFont="1" applyFill="1" applyBorder="1" applyProtection="1">
      <protection locked="0"/>
    </xf>
    <xf numFmtId="2" fontId="21" fillId="82" borderId="14" xfId="1" applyNumberFormat="1" applyFont="1" applyFill="1" applyBorder="1" applyAlignment="1" applyProtection="1">
      <alignment horizontal="right"/>
      <protection locked="0"/>
    </xf>
    <xf numFmtId="2" fontId="21" fillId="82" borderId="74" xfId="1" applyNumberFormat="1" applyFont="1" applyFill="1" applyBorder="1" applyAlignment="1" applyProtection="1">
      <alignment horizontal="center"/>
      <protection locked="0"/>
    </xf>
    <xf numFmtId="177" fontId="10" fillId="0" borderId="5" xfId="1" applyNumberFormat="1" applyFont="1" applyFill="1" applyBorder="1" applyAlignment="1" applyProtection="1">
      <alignment horizontal="right"/>
      <protection locked="0"/>
    </xf>
    <xf numFmtId="0" fontId="2" fillId="82" borderId="46" xfId="2" applyNumberFormat="1" applyFill="1" applyBorder="1" applyAlignment="1">
      <alignment horizontal="center"/>
    </xf>
    <xf numFmtId="2" fontId="10" fillId="0" borderId="4" xfId="1" applyNumberFormat="1" applyFont="1" applyFill="1" applyBorder="1" applyAlignment="1" applyProtection="1">
      <alignment horizontal="right"/>
      <protection locked="0"/>
    </xf>
    <xf numFmtId="2" fontId="7" fillId="0" borderId="5" xfId="1" applyNumberFormat="1" applyFont="1" applyFill="1" applyBorder="1" applyAlignment="1" applyProtection="1">
      <alignment horizontal="right"/>
      <protection locked="0"/>
    </xf>
    <xf numFmtId="49" fontId="58" fillId="0" borderId="14" xfId="1" applyNumberFormat="1" applyFont="1" applyFill="1" applyBorder="1" applyAlignment="1" applyProtection="1">
      <alignment horizontal="center"/>
      <protection locked="0"/>
    </xf>
    <xf numFmtId="49" fontId="58" fillId="0" borderId="15" xfId="1" applyNumberFormat="1" applyFont="1" applyFill="1" applyBorder="1" applyAlignment="1" applyProtection="1">
      <alignment horizontal="center"/>
      <protection locked="0"/>
    </xf>
    <xf numFmtId="14" fontId="58" fillId="0" borderId="15" xfId="1" applyNumberFormat="1" applyFont="1" applyFill="1" applyBorder="1" applyAlignment="1" applyProtection="1">
      <alignment horizontal="center"/>
      <protection locked="0"/>
    </xf>
    <xf numFmtId="14" fontId="58" fillId="0" borderId="14" xfId="1" applyNumberFormat="1" applyFont="1" applyFill="1" applyBorder="1" applyAlignment="1" applyProtection="1">
      <alignment horizontal="center"/>
      <protection locked="0"/>
    </xf>
    <xf numFmtId="182" fontId="2" fillId="82" borderId="46" xfId="2" applyNumberFormat="1" applyFill="1" applyBorder="1" applyAlignment="1">
      <alignment horizontal="center"/>
    </xf>
    <xf numFmtId="182" fontId="59" fillId="80" borderId="46" xfId="2" applyNumberFormat="1" applyFont="1" applyFill="1" applyBorder="1" applyAlignment="1">
      <alignment horizontal="center"/>
    </xf>
    <xf numFmtId="0" fontId="2" fillId="0" borderId="0" xfId="1" applyFill="1" applyBorder="1" applyAlignment="1" applyProtection="1">
      <alignment horizontal="right" vertical="center"/>
      <protection locked="0"/>
    </xf>
    <xf numFmtId="0" fontId="2" fillId="0" borderId="0" xfId="1" applyFill="1" applyBorder="1" applyAlignment="1" applyProtection="1">
      <alignment horizontal="right"/>
      <protection locked="0"/>
    </xf>
    <xf numFmtId="179" fontId="2" fillId="8" borderId="0" xfId="1" applyNumberFormat="1" applyFill="1" applyBorder="1" applyAlignment="1" applyProtection="1">
      <alignment horizontal="right"/>
      <protection locked="0"/>
    </xf>
    <xf numFmtId="176" fontId="2" fillId="0" borderId="0" xfId="1" applyNumberFormat="1" applyFill="1" applyBorder="1" applyAlignment="1" applyProtection="1">
      <alignment horizontal="right" vertical="center"/>
      <protection locked="0"/>
    </xf>
    <xf numFmtId="179" fontId="2" fillId="0" borderId="0" xfId="1" applyNumberFormat="1" applyFill="1" applyBorder="1" applyAlignment="1" applyProtection="1">
      <alignment horizontal="right"/>
      <protection locked="0"/>
    </xf>
    <xf numFmtId="179" fontId="2" fillId="8" borderId="0" xfId="1" applyNumberFormat="1" applyFill="1" applyBorder="1" applyProtection="1">
      <protection locked="0"/>
    </xf>
    <xf numFmtId="0" fontId="2" fillId="42" borderId="14" xfId="2" applyFill="1" applyBorder="1" applyAlignment="1">
      <alignment horizontal="center"/>
    </xf>
    <xf numFmtId="49" fontId="2" fillId="0" borderId="74" xfId="1" applyNumberFormat="1" applyFont="1" applyFill="1" applyBorder="1" applyProtection="1">
      <protection locked="0"/>
    </xf>
    <xf numFmtId="49" fontId="11" fillId="0" borderId="75" xfId="1" applyNumberFormat="1" applyFont="1" applyFill="1" applyBorder="1" applyAlignment="1" applyProtection="1">
      <alignment horizontal="center"/>
      <protection locked="0"/>
    </xf>
    <xf numFmtId="49" fontId="2" fillId="0" borderId="91" xfId="1" applyNumberFormat="1" applyFont="1" applyFill="1" applyBorder="1" applyProtection="1">
      <protection locked="0"/>
    </xf>
    <xf numFmtId="49" fontId="11" fillId="0" borderId="90" xfId="1" applyNumberFormat="1" applyFont="1" applyFill="1" applyBorder="1" applyAlignment="1" applyProtection="1">
      <alignment horizontal="center"/>
      <protection locked="0"/>
    </xf>
    <xf numFmtId="49" fontId="11" fillId="0" borderId="14" xfId="1" applyNumberFormat="1" applyFont="1" applyFill="1" applyBorder="1" applyAlignment="1" applyProtection="1">
      <alignment horizontal="center"/>
      <protection locked="0"/>
    </xf>
    <xf numFmtId="49" fontId="2" fillId="0" borderId="16" xfId="1" applyNumberFormat="1" applyFont="1" applyFill="1" applyBorder="1" applyProtection="1">
      <protection locked="0"/>
    </xf>
    <xf numFmtId="2" fontId="10" fillId="0" borderId="14" xfId="1" applyNumberFormat="1" applyFont="1" applyFill="1" applyBorder="1" applyAlignment="1" applyProtection="1">
      <alignment horizontal="right"/>
      <protection locked="0"/>
    </xf>
    <xf numFmtId="2" fontId="10" fillId="0" borderId="75" xfId="1" applyNumberFormat="1" applyFont="1" applyFill="1" applyBorder="1" applyAlignment="1" applyProtection="1">
      <alignment horizontal="right"/>
      <protection locked="0"/>
    </xf>
    <xf numFmtId="49" fontId="4" fillId="0" borderId="14" xfId="1" applyNumberFormat="1" applyFont="1" applyFill="1" applyBorder="1" applyProtection="1">
      <protection locked="0"/>
    </xf>
    <xf numFmtId="49" fontId="11" fillId="0" borderId="74" xfId="1" applyNumberFormat="1" applyFont="1" applyFill="1" applyBorder="1" applyAlignment="1" applyProtection="1">
      <alignment horizontal="center"/>
      <protection locked="0"/>
    </xf>
    <xf numFmtId="0" fontId="2" fillId="0" borderId="0" xfId="1" applyFill="1" applyBorder="1" applyAlignment="1" applyProtection="1">
      <alignment horizontal="right" vertical="center"/>
      <protection locked="0"/>
    </xf>
    <xf numFmtId="0" fontId="2" fillId="0" borderId="0" xfId="1" applyFill="1" applyBorder="1" applyAlignment="1" applyProtection="1">
      <alignment horizontal="right"/>
      <protection locked="0"/>
    </xf>
    <xf numFmtId="179" fontId="2" fillId="0" borderId="0" xfId="1" applyNumberFormat="1" applyFill="1" applyBorder="1" applyProtection="1">
      <protection locked="0"/>
    </xf>
    <xf numFmtId="179" fontId="2" fillId="0" borderId="0" xfId="1" applyNumberFormat="1" applyFill="1" applyBorder="1" applyAlignment="1" applyProtection="1">
      <alignment horizontal="right"/>
      <protection locked="0"/>
    </xf>
    <xf numFmtId="176" fontId="2" fillId="0" borderId="0" xfId="1" applyNumberFormat="1" applyFill="1" applyBorder="1" applyAlignment="1" applyProtection="1">
      <alignment horizontal="right" vertical="center"/>
      <protection locked="0"/>
    </xf>
    <xf numFmtId="176" fontId="2" fillId="0" borderId="0" xfId="1" applyNumberFormat="1" applyFill="1" applyBorder="1" applyProtection="1">
      <protection locked="0"/>
    </xf>
    <xf numFmtId="176" fontId="2" fillId="0" borderId="0" xfId="1" applyNumberFormat="1" applyFill="1" applyBorder="1" applyAlignment="1" applyProtection="1">
      <alignment horizontal="right"/>
      <protection locked="0"/>
    </xf>
    <xf numFmtId="179" fontId="2" fillId="8" borderId="0" xfId="1" applyNumberFormat="1" applyFill="1" applyBorder="1" applyAlignment="1" applyProtection="1">
      <alignment horizontal="right"/>
      <protection locked="0"/>
    </xf>
    <xf numFmtId="179" fontId="2" fillId="8" borderId="0" xfId="1" applyNumberFormat="1" applyFill="1" applyBorder="1" applyProtection="1">
      <protection locked="0"/>
    </xf>
    <xf numFmtId="49" fontId="21" fillId="82" borderId="15" xfId="1" applyNumberFormat="1" applyFont="1" applyFill="1" applyBorder="1" applyAlignment="1" applyProtection="1">
      <alignment horizontal="right"/>
      <protection locked="0"/>
    </xf>
    <xf numFmtId="49" fontId="21" fillId="0" borderId="15" xfId="1" applyNumberFormat="1" applyFont="1" applyFill="1" applyBorder="1" applyAlignment="1" applyProtection="1">
      <alignment horizontal="center"/>
      <protection locked="0"/>
    </xf>
    <xf numFmtId="49" fontId="21" fillId="82" borderId="14" xfId="1" applyNumberFormat="1" applyFont="1" applyFill="1" applyBorder="1" applyAlignment="1" applyProtection="1">
      <alignment horizontal="right"/>
      <protection locked="0"/>
    </xf>
    <xf numFmtId="0" fontId="2" fillId="42" borderId="46" xfId="2" applyFill="1" applyBorder="1" applyAlignment="1">
      <alignment horizontal="center" vertical="center" wrapText="1"/>
    </xf>
    <xf numFmtId="179" fontId="2" fillId="42" borderId="81" xfId="2" applyNumberFormat="1" applyFont="1" applyFill="1" applyBorder="1" applyAlignment="1">
      <alignment horizontal="center"/>
    </xf>
    <xf numFmtId="179" fontId="2" fillId="42" borderId="46" xfId="2" applyNumberFormat="1" applyFont="1" applyFill="1" applyBorder="1" applyAlignment="1">
      <alignment horizontal="center"/>
    </xf>
    <xf numFmtId="2" fontId="10" fillId="0" borderId="14" xfId="1" applyNumberFormat="1" applyFont="1" applyFill="1" applyBorder="1" applyAlignment="1" applyProtection="1">
      <alignment horizontal="right"/>
      <protection locked="0"/>
    </xf>
    <xf numFmtId="0" fontId="2" fillId="42" borderId="46" xfId="2" applyNumberFormat="1" applyFill="1" applyBorder="1" applyAlignment="1">
      <alignment horizontal="center"/>
    </xf>
    <xf numFmtId="0" fontId="2" fillId="82" borderId="46" xfId="2" applyNumberFormat="1" applyFill="1" applyBorder="1" applyAlignment="1">
      <alignment horizontal="center"/>
    </xf>
    <xf numFmtId="49" fontId="4" fillId="0" borderId="100" xfId="1" applyNumberFormat="1" applyFont="1" applyFill="1" applyBorder="1" applyProtection="1">
      <protection locked="0"/>
    </xf>
    <xf numFmtId="0" fontId="2" fillId="0" borderId="0" xfId="2" applyFill="1"/>
    <xf numFmtId="0" fontId="2" fillId="42" borderId="46" xfId="2" applyNumberFormat="1" applyFill="1" applyBorder="1" applyAlignment="1">
      <alignment horizontal="center"/>
    </xf>
    <xf numFmtId="49" fontId="2" fillId="0" borderId="65" xfId="2" applyNumberFormat="1" applyFill="1" applyBorder="1"/>
    <xf numFmtId="0" fontId="5" fillId="0" borderId="4" xfId="1" applyFont="1" applyFill="1" applyBorder="1" applyAlignment="1" applyProtection="1">
      <alignment horizontal="right"/>
      <protection locked="0"/>
    </xf>
    <xf numFmtId="0" fontId="7" fillId="3" borderId="8" xfId="1" applyFont="1" applyFill="1" applyBorder="1" applyAlignment="1" applyProtection="1">
      <alignment horizontal="center" wrapText="1"/>
      <protection locked="0"/>
    </xf>
    <xf numFmtId="0" fontId="1" fillId="3" borderId="9" xfId="1" applyFont="1" applyFill="1" applyBorder="1" applyAlignment="1" applyProtection="1">
      <alignment horizontal="center" wrapText="1"/>
      <protection locked="0"/>
    </xf>
    <xf numFmtId="2" fontId="7" fillId="0" borderId="16" xfId="1" applyNumberFormat="1" applyFont="1" applyFill="1" applyBorder="1" applyAlignment="1" applyProtection="1">
      <alignment horizontal="right"/>
      <protection locked="0"/>
    </xf>
    <xf numFmtId="2" fontId="7" fillId="0" borderId="21" xfId="1" applyNumberFormat="1" applyFont="1" applyFill="1" applyBorder="1" applyAlignment="1" applyProtection="1">
      <alignment horizontal="right"/>
      <protection locked="0"/>
    </xf>
    <xf numFmtId="2" fontId="10" fillId="0" borderId="20" xfId="1" applyNumberFormat="1" applyFont="1" applyFill="1" applyBorder="1" applyAlignment="1" applyProtection="1">
      <alignment horizontal="right"/>
      <protection locked="0"/>
    </xf>
    <xf numFmtId="0" fontId="11" fillId="0" borderId="0" xfId="1" applyFont="1" applyFill="1" applyBorder="1" applyProtection="1">
      <protection locked="0"/>
    </xf>
    <xf numFmtId="0" fontId="12" fillId="0" borderId="0" xfId="1" applyFont="1" applyFill="1" applyBorder="1" applyProtection="1">
      <protection locked="0"/>
    </xf>
    <xf numFmtId="0" fontId="8" fillId="2" borderId="13" xfId="1" applyFont="1" applyFill="1" applyBorder="1" applyAlignment="1" applyProtection="1">
      <alignment wrapText="1"/>
      <protection locked="0"/>
    </xf>
    <xf numFmtId="0" fontId="8" fillId="2" borderId="12" xfId="1" applyFont="1" applyFill="1" applyBorder="1" applyAlignment="1" applyProtection="1">
      <alignment wrapText="1"/>
      <protection locked="0"/>
    </xf>
    <xf numFmtId="0" fontId="2" fillId="0" borderId="0" xfId="2"/>
    <xf numFmtId="0" fontId="4" fillId="0" borderId="79" xfId="2" applyFont="1" applyBorder="1"/>
    <xf numFmtId="2" fontId="2" fillId="42" borderId="79" xfId="2" applyNumberFormat="1" applyFill="1" applyBorder="1" applyAlignment="1">
      <alignment horizontal="center"/>
    </xf>
    <xf numFmtId="2" fontId="2" fillId="54" borderId="42" xfId="2" applyNumberFormat="1" applyFill="1" applyBorder="1" applyAlignment="1">
      <alignment horizontal="center"/>
    </xf>
    <xf numFmtId="2" fontId="2" fillId="42" borderId="46" xfId="2" applyNumberFormat="1" applyFill="1" applyBorder="1" applyAlignment="1">
      <alignment horizontal="center"/>
    </xf>
    <xf numFmtId="2" fontId="2" fillId="54" borderId="46" xfId="2" applyNumberFormat="1" applyFill="1" applyBorder="1" applyAlignment="1">
      <alignment horizontal="center"/>
    </xf>
    <xf numFmtId="0" fontId="2" fillId="82" borderId="46" xfId="2" applyNumberFormat="1" applyFont="1" applyFill="1" applyBorder="1" applyAlignment="1">
      <alignment horizontal="right"/>
    </xf>
    <xf numFmtId="0" fontId="0" fillId="0" borderId="0" xfId="0"/>
    <xf numFmtId="0" fontId="55" fillId="0" borderId="0" xfId="0" applyFont="1" applyAlignment="1">
      <alignment horizontal="center" vertical="center" wrapText="1"/>
    </xf>
    <xf numFmtId="0" fontId="0" fillId="0" borderId="0" xfId="0" applyAlignment="1">
      <alignment wrapText="1"/>
    </xf>
    <xf numFmtId="0" fontId="55" fillId="8" borderId="0" xfId="0" applyFont="1" applyFill="1" applyAlignment="1">
      <alignment horizontal="center" vertical="center" wrapText="1"/>
    </xf>
    <xf numFmtId="49" fontId="4" fillId="8" borderId="100" xfId="1" applyNumberFormat="1" applyFont="1" applyFill="1" applyBorder="1" applyProtection="1">
      <protection locked="0"/>
    </xf>
    <xf numFmtId="0" fontId="2" fillId="83" borderId="46" xfId="2" applyFill="1" applyBorder="1"/>
    <xf numFmtId="0" fontId="2" fillId="83" borderId="46" xfId="2" applyFill="1" applyBorder="1" applyAlignment="1">
      <alignment horizontal="center"/>
    </xf>
    <xf numFmtId="177" fontId="2" fillId="83" borderId="46" xfId="2" applyNumberFormat="1" applyFill="1" applyBorder="1" applyAlignment="1">
      <alignment horizontal="center"/>
    </xf>
    <xf numFmtId="177" fontId="2" fillId="83" borderId="92" xfId="2" applyNumberFormat="1" applyFill="1" applyBorder="1" applyAlignment="1">
      <alignment horizontal="center"/>
    </xf>
    <xf numFmtId="0" fontId="77" fillId="83" borderId="46" xfId="2509" applyFont="1" applyFill="1" applyBorder="1" applyAlignment="1">
      <alignment horizontal="center"/>
    </xf>
    <xf numFmtId="0" fontId="4" fillId="83" borderId="79" xfId="2" applyFont="1" applyFill="1" applyBorder="1" applyAlignment="1">
      <alignment horizontal="center"/>
    </xf>
    <xf numFmtId="0" fontId="4" fillId="83" borderId="40" xfId="2" applyFont="1" applyFill="1" applyBorder="1" applyAlignment="1">
      <alignment horizontal="center"/>
    </xf>
    <xf numFmtId="0" fontId="78" fillId="83" borderId="46" xfId="2509" applyFont="1" applyFill="1" applyBorder="1" applyAlignment="1">
      <alignment horizontal="center"/>
    </xf>
    <xf numFmtId="1" fontId="2" fillId="54" borderId="42" xfId="2" applyNumberFormat="1" applyFill="1" applyBorder="1" applyAlignment="1">
      <alignment horizontal="center"/>
    </xf>
    <xf numFmtId="176" fontId="2" fillId="54" borderId="46" xfId="2" applyNumberFormat="1" applyFill="1" applyBorder="1" applyAlignment="1">
      <alignment horizontal="center"/>
    </xf>
    <xf numFmtId="0" fontId="78" fillId="83" borderId="42" xfId="2509" applyFont="1" applyFill="1" applyBorder="1" applyAlignment="1">
      <alignment horizontal="center"/>
    </xf>
    <xf numFmtId="2" fontId="2" fillId="0" borderId="0" xfId="1" applyNumberFormat="1" applyFill="1" applyBorder="1" applyAlignment="1" applyProtection="1">
      <alignment horizontal="right" vertical="center"/>
      <protection locked="0"/>
    </xf>
    <xf numFmtId="2" fontId="2" fillId="0" borderId="0" xfId="1" applyNumberFormat="1" applyFill="1" applyBorder="1" applyProtection="1">
      <protection locked="0"/>
    </xf>
    <xf numFmtId="2" fontId="2" fillId="0" borderId="0" xfId="1" applyNumberFormat="1" applyFill="1" applyBorder="1" applyAlignment="1" applyProtection="1">
      <alignment horizontal="right"/>
      <protection locked="0"/>
    </xf>
    <xf numFmtId="0" fontId="4" fillId="83" borderId="79" xfId="2" applyFont="1" applyFill="1" applyBorder="1"/>
    <xf numFmtId="0" fontId="2" fillId="83" borderId="39" xfId="2" applyFill="1" applyBorder="1"/>
    <xf numFmtId="2" fontId="0" fillId="83" borderId="42" xfId="0" applyNumberFormat="1" applyFill="1" applyBorder="1"/>
    <xf numFmtId="2" fontId="0" fillId="82" borderId="42" xfId="0" applyNumberFormat="1" applyFill="1" applyBorder="1"/>
    <xf numFmtId="178" fontId="2" fillId="83" borderId="14" xfId="2" applyNumberFormat="1" applyFont="1" applyFill="1" applyBorder="1" applyAlignment="1">
      <alignment horizontal="center"/>
    </xf>
    <xf numFmtId="1" fontId="2" fillId="42" borderId="46" xfId="2" applyNumberFormat="1" applyFont="1" applyFill="1" applyBorder="1" applyAlignment="1">
      <alignment horizontal="center"/>
    </xf>
    <xf numFmtId="1" fontId="2" fillId="42" borderId="81" xfId="2" applyNumberFormat="1" applyFont="1" applyFill="1" applyBorder="1" applyAlignment="1">
      <alignment horizontal="center"/>
    </xf>
    <xf numFmtId="0" fontId="2" fillId="54" borderId="46" xfId="2" applyNumberFormat="1" applyFill="1" applyBorder="1" applyAlignment="1">
      <alignment horizontal="center"/>
    </xf>
    <xf numFmtId="184" fontId="2" fillId="83" borderId="92" xfId="2" applyNumberFormat="1" applyFill="1" applyBorder="1" applyAlignment="1">
      <alignment horizontal="center"/>
    </xf>
    <xf numFmtId="0" fontId="3" fillId="2" borderId="1" xfId="1" applyFont="1" applyFill="1" applyBorder="1" applyAlignment="1" applyProtection="1">
      <alignment horizontal="center"/>
      <protection locked="0"/>
    </xf>
    <xf numFmtId="0" fontId="4" fillId="0" borderId="0" xfId="1" applyFont="1" applyFill="1" applyBorder="1" applyProtection="1">
      <protection locked="0"/>
    </xf>
    <xf numFmtId="0" fontId="2" fillId="0" borderId="0" xfId="1" applyFont="1" applyFill="1" applyBorder="1" applyProtection="1">
      <protection locked="0"/>
    </xf>
    <xf numFmtId="0" fontId="5" fillId="0" borderId="4" xfId="1" applyFont="1" applyFill="1" applyBorder="1" applyAlignment="1" applyProtection="1">
      <alignment horizontal="right"/>
      <protection locked="0"/>
    </xf>
    <xf numFmtId="0" fontId="2" fillId="0" borderId="0" xfId="1" applyFill="1" applyBorder="1" applyProtection="1">
      <protection locked="0"/>
    </xf>
    <xf numFmtId="0" fontId="7" fillId="3" borderId="8" xfId="1" applyFont="1" applyFill="1" applyBorder="1" applyAlignment="1" applyProtection="1">
      <alignment horizontal="center" wrapText="1"/>
      <protection locked="0"/>
    </xf>
    <xf numFmtId="0" fontId="1" fillId="3" borderId="9" xfId="1" applyFont="1" applyFill="1" applyBorder="1" applyAlignment="1" applyProtection="1">
      <alignment horizontal="center" wrapText="1"/>
      <protection locked="0"/>
    </xf>
    <xf numFmtId="49" fontId="9" fillId="0" borderId="4" xfId="1" applyNumberFormat="1" applyFont="1" applyFill="1" applyBorder="1" applyProtection="1">
      <protection locked="0"/>
    </xf>
    <xf numFmtId="49" fontId="9" fillId="0" borderId="14" xfId="1" applyNumberFormat="1" applyFont="1" applyFill="1" applyBorder="1" applyProtection="1">
      <protection locked="0"/>
    </xf>
    <xf numFmtId="14" fontId="9" fillId="0" borderId="14" xfId="1" applyNumberFormat="1" applyFont="1" applyFill="1" applyBorder="1" applyProtection="1">
      <protection locked="0"/>
    </xf>
    <xf numFmtId="49" fontId="9" fillId="0" borderId="15" xfId="1" applyNumberFormat="1" applyFont="1" applyFill="1" applyBorder="1" applyProtection="1">
      <protection locked="0"/>
    </xf>
    <xf numFmtId="49" fontId="2" fillId="0" borderId="4" xfId="1" applyNumberFormat="1" applyFont="1" applyFill="1" applyBorder="1" applyProtection="1">
      <protection locked="0"/>
    </xf>
    <xf numFmtId="49" fontId="2" fillId="0" borderId="14" xfId="1" applyNumberFormat="1" applyFont="1" applyFill="1" applyBorder="1" applyProtection="1">
      <protection locked="0"/>
    </xf>
    <xf numFmtId="14" fontId="2" fillId="0" borderId="14" xfId="1" applyNumberFormat="1" applyFont="1" applyFill="1" applyBorder="1" applyProtection="1">
      <protection locked="0"/>
    </xf>
    <xf numFmtId="49" fontId="11" fillId="0" borderId="15" xfId="1" applyNumberFormat="1" applyFont="1" applyFill="1" applyBorder="1" applyAlignment="1" applyProtection="1">
      <alignment horizontal="center"/>
      <protection locked="0"/>
    </xf>
    <xf numFmtId="49" fontId="2" fillId="0" borderId="15" xfId="1" applyNumberFormat="1" applyFont="1" applyFill="1" applyBorder="1" applyProtection="1">
      <protection locked="0"/>
    </xf>
    <xf numFmtId="49" fontId="2" fillId="0" borderId="17" xfId="1" applyNumberFormat="1" applyFont="1" applyFill="1" applyBorder="1" applyProtection="1">
      <protection locked="0"/>
    </xf>
    <xf numFmtId="49" fontId="2" fillId="0" borderId="18" xfId="1" applyNumberFormat="1" applyFont="1" applyFill="1" applyBorder="1" applyProtection="1">
      <protection locked="0"/>
    </xf>
    <xf numFmtId="14" fontId="2" fillId="0" borderId="18" xfId="1" applyNumberFormat="1" applyFont="1" applyFill="1" applyBorder="1" applyProtection="1">
      <protection locked="0"/>
    </xf>
    <xf numFmtId="49" fontId="2" fillId="0" borderId="19" xfId="1" applyNumberFormat="1" applyFont="1" applyFill="1" applyBorder="1" applyProtection="1">
      <protection locked="0"/>
    </xf>
    <xf numFmtId="49" fontId="4" fillId="0" borderId="20" xfId="1" applyNumberFormat="1" applyFont="1" applyFill="1" applyBorder="1" applyProtection="1">
      <protection locked="0"/>
    </xf>
    <xf numFmtId="2" fontId="7" fillId="0" borderId="21" xfId="1" applyNumberFormat="1" applyFont="1" applyFill="1" applyBorder="1" applyAlignment="1" applyProtection="1">
      <alignment horizontal="right"/>
      <protection locked="0"/>
    </xf>
    <xf numFmtId="2" fontId="2" fillId="83" borderId="81" xfId="2" applyNumberFormat="1" applyFill="1" applyBorder="1"/>
    <xf numFmtId="2" fontId="2" fillId="83" borderId="46" xfId="2" applyNumberFormat="1" applyFill="1" applyBorder="1"/>
    <xf numFmtId="0" fontId="2" fillId="83" borderId="51" xfId="2" applyFill="1" applyBorder="1" applyAlignment="1">
      <alignment horizontal="center"/>
    </xf>
    <xf numFmtId="2" fontId="2" fillId="42" borderId="46" xfId="2" applyNumberFormat="1" applyFont="1" applyFill="1" applyBorder="1" applyAlignment="1">
      <alignment horizontal="center"/>
    </xf>
    <xf numFmtId="49" fontId="4" fillId="0" borderId="100" xfId="1" applyNumberFormat="1" applyFont="1" applyFill="1" applyBorder="1" applyProtection="1">
      <protection locked="0"/>
    </xf>
    <xf numFmtId="2" fontId="7" fillId="0" borderId="16" xfId="1" applyNumberFormat="1" applyFont="1" applyFill="1" applyBorder="1" applyAlignment="1" applyProtection="1">
      <alignment horizontal="right"/>
      <protection locked="0"/>
    </xf>
    <xf numFmtId="0" fontId="2" fillId="0" borderId="0" xfId="2"/>
    <xf numFmtId="0" fontId="2" fillId="0" borderId="0" xfId="2" applyAlignment="1">
      <alignment horizontal="center"/>
    </xf>
    <xf numFmtId="0" fontId="2" fillId="0" borderId="0" xfId="2" applyFill="1"/>
    <xf numFmtId="49" fontId="2" fillId="2" borderId="49" xfId="2" applyNumberFormat="1" applyFill="1" applyBorder="1"/>
    <xf numFmtId="2" fontId="2" fillId="74" borderId="49" xfId="2" applyNumberFormat="1" applyFill="1" applyBorder="1"/>
    <xf numFmtId="2" fontId="2" fillId="41" borderId="49" xfId="2" applyNumberFormat="1" applyFill="1" applyBorder="1"/>
    <xf numFmtId="2" fontId="2" fillId="72" borderId="49" xfId="2" applyNumberFormat="1" applyFill="1" applyBorder="1"/>
    <xf numFmtId="2" fontId="7" fillId="0" borderId="100" xfId="1" applyNumberFormat="1" applyFont="1" applyFill="1" applyBorder="1" applyAlignment="1" applyProtection="1">
      <alignment horizontal="right"/>
      <protection locked="0"/>
    </xf>
    <xf numFmtId="2" fontId="7" fillId="0" borderId="91" xfId="1" applyNumberFormat="1" applyFont="1" applyFill="1" applyBorder="1" applyAlignment="1" applyProtection="1">
      <alignment horizontal="right"/>
      <protection locked="0"/>
    </xf>
    <xf numFmtId="2" fontId="7" fillId="82" borderId="16" xfId="1" applyNumberFormat="1" applyFont="1" applyFill="1" applyBorder="1" applyAlignment="1" applyProtection="1">
      <alignment horizontal="right"/>
      <protection locked="0"/>
    </xf>
    <xf numFmtId="0" fontId="78" fillId="83" borderId="14" xfId="1" applyFont="1" applyFill="1" applyBorder="1" applyAlignment="1">
      <alignment horizontal="center"/>
    </xf>
    <xf numFmtId="0" fontId="2" fillId="83" borderId="14" xfId="2" applyFill="1" applyBorder="1" applyAlignment="1">
      <alignment horizontal="center"/>
    </xf>
    <xf numFmtId="0" fontId="78" fillId="83" borderId="75" xfId="1" applyFont="1" applyFill="1" applyBorder="1" applyAlignment="1">
      <alignment horizontal="center"/>
    </xf>
    <xf numFmtId="0" fontId="4" fillId="83" borderId="79" xfId="2" applyFont="1" applyFill="1" applyBorder="1" applyAlignment="1">
      <alignment horizontal="center"/>
    </xf>
    <xf numFmtId="0" fontId="4" fillId="83" borderId="39" xfId="2" applyFont="1" applyFill="1" applyBorder="1" applyAlignment="1">
      <alignment horizontal="center"/>
    </xf>
    <xf numFmtId="0" fontId="2" fillId="83" borderId="0" xfId="2" applyFill="1"/>
    <xf numFmtId="0" fontId="77" fillId="83" borderId="15" xfId="2509" applyFont="1" applyFill="1" applyBorder="1" applyAlignment="1">
      <alignment horizontal="center"/>
    </xf>
    <xf numFmtId="0" fontId="78" fillId="83" borderId="15" xfId="2509" applyFont="1" applyFill="1" applyBorder="1" applyAlignment="1">
      <alignment horizontal="center"/>
    </xf>
    <xf numFmtId="0" fontId="2" fillId="83" borderId="46" xfId="2" applyFill="1" applyBorder="1" applyAlignment="1">
      <alignment horizontal="center"/>
    </xf>
    <xf numFmtId="0" fontId="2" fillId="8" borderId="14" xfId="2" applyFill="1" applyBorder="1" applyAlignment="1">
      <alignment horizontal="center"/>
    </xf>
    <xf numFmtId="2" fontId="10" fillId="0" borderId="20" xfId="1" applyNumberFormat="1" applyFont="1" applyFill="1" applyBorder="1" applyAlignment="1" applyProtection="1">
      <alignment horizontal="right"/>
      <protection locked="0"/>
    </xf>
    <xf numFmtId="0" fontId="2" fillId="0" borderId="39" xfId="2" applyFill="1" applyBorder="1"/>
    <xf numFmtId="0" fontId="4" fillId="0" borderId="79" xfId="2" applyFont="1" applyFill="1" applyBorder="1"/>
    <xf numFmtId="49" fontId="2" fillId="0" borderId="0" xfId="1" applyNumberFormat="1" applyFont="1" applyFill="1" applyBorder="1" applyProtection="1">
      <protection locked="0"/>
    </xf>
    <xf numFmtId="14" fontId="2" fillId="0" borderId="0" xfId="1" applyNumberFormat="1" applyFont="1" applyFill="1" applyBorder="1" applyProtection="1">
      <protection locked="0"/>
    </xf>
    <xf numFmtId="49" fontId="4" fillId="0" borderId="0" xfId="1" applyNumberFormat="1" applyFont="1" applyFill="1" applyBorder="1" applyProtection="1">
      <protection locked="0"/>
    </xf>
    <xf numFmtId="0" fontId="11" fillId="0" borderId="0" xfId="1" applyFont="1" applyFill="1" applyBorder="1" applyProtection="1">
      <protection locked="0"/>
    </xf>
    <xf numFmtId="0" fontId="12" fillId="0" borderId="0" xfId="1" applyFont="1" applyFill="1" applyBorder="1" applyProtection="1">
      <protection locked="0"/>
    </xf>
    <xf numFmtId="0" fontId="6" fillId="3" borderId="11" xfId="1" applyFont="1" applyFill="1" applyBorder="1" applyAlignment="1" applyProtection="1">
      <alignment vertical="center"/>
      <protection locked="0"/>
    </xf>
    <xf numFmtId="0" fontId="6" fillId="3" borderId="10" xfId="1" applyFont="1" applyFill="1" applyBorder="1" applyAlignment="1" applyProtection="1">
      <alignment vertical="center"/>
      <protection locked="0"/>
    </xf>
    <xf numFmtId="0" fontId="6" fillId="3" borderId="6" xfId="1" applyFont="1" applyFill="1" applyBorder="1" applyAlignment="1" applyProtection="1">
      <alignment horizontal="center" vertical="center"/>
      <protection locked="0"/>
    </xf>
    <xf numFmtId="0" fontId="6" fillId="3" borderId="7" xfId="1" applyFont="1" applyFill="1" applyBorder="1" applyAlignment="1" applyProtection="1">
      <alignment horizontal="center" vertical="center"/>
      <protection locked="0"/>
    </xf>
    <xf numFmtId="49" fontId="9" fillId="0" borderId="18" xfId="1" applyNumberFormat="1" applyFont="1" applyFill="1" applyBorder="1" applyProtection="1">
      <protection locked="0"/>
    </xf>
    <xf numFmtId="0" fontId="8" fillId="2" borderId="13" xfId="1" applyFont="1" applyFill="1" applyBorder="1" applyAlignment="1" applyProtection="1">
      <alignment wrapText="1"/>
      <protection locked="0"/>
    </xf>
    <xf numFmtId="0" fontId="8" fillId="2" borderId="12" xfId="1" applyFont="1" applyFill="1" applyBorder="1" applyAlignment="1" applyProtection="1">
      <alignment wrapText="1"/>
      <protection locked="0"/>
    </xf>
    <xf numFmtId="0" fontId="6" fillId="3" borderId="11" xfId="1" applyFont="1" applyFill="1" applyBorder="1" applyAlignment="1" applyProtection="1">
      <alignment horizontal="center" vertical="center"/>
    </xf>
    <xf numFmtId="0" fontId="6" fillId="3" borderId="20" xfId="1" applyFont="1" applyFill="1" applyBorder="1" applyAlignment="1" applyProtection="1">
      <alignment horizontal="center" vertical="center"/>
    </xf>
    <xf numFmtId="0" fontId="4" fillId="4" borderId="0" xfId="1" applyFont="1" applyFill="1" applyBorder="1" applyAlignment="1" applyProtection="1">
      <alignment horizontal="center"/>
    </xf>
    <xf numFmtId="0" fontId="4" fillId="0" borderId="0" xfId="1" applyFont="1" applyFill="1" applyBorder="1" applyProtection="1"/>
    <xf numFmtId="0" fontId="13" fillId="7" borderId="14" xfId="1" applyFont="1" applyFill="1" applyBorder="1" applyProtection="1"/>
    <xf numFmtId="0" fontId="2" fillId="83" borderId="14" xfId="2" applyFont="1" applyFill="1" applyBorder="1" applyAlignment="1">
      <alignment horizontal="center"/>
    </xf>
    <xf numFmtId="0" fontId="2" fillId="0" borderId="40" xfId="2" applyBorder="1"/>
    <xf numFmtId="0" fontId="77" fillId="44" borderId="107" xfId="2509" applyFont="1" applyFill="1" applyBorder="1"/>
    <xf numFmtId="0" fontId="78" fillId="44" borderId="107" xfId="2509" applyFont="1" applyFill="1" applyBorder="1"/>
    <xf numFmtId="0" fontId="80" fillId="44" borderId="107" xfId="2509" applyFont="1" applyFill="1" applyBorder="1"/>
    <xf numFmtId="0" fontId="77" fillId="44" borderId="84" xfId="2509" applyFont="1" applyFill="1" applyBorder="1"/>
    <xf numFmtId="177" fontId="2" fillId="83" borderId="46" xfId="2" applyNumberFormat="1" applyFill="1" applyBorder="1" applyAlignment="1">
      <alignment horizontal="center"/>
    </xf>
    <xf numFmtId="177" fontId="2" fillId="83" borderId="92" xfId="2" applyNumberFormat="1" applyFill="1" applyBorder="1" applyAlignment="1">
      <alignment horizontal="center"/>
    </xf>
    <xf numFmtId="0" fontId="2" fillId="83" borderId="46" xfId="2" applyNumberFormat="1" applyFill="1" applyBorder="1" applyAlignment="1">
      <alignment horizontal="center"/>
    </xf>
    <xf numFmtId="179" fontId="2" fillId="83" borderId="46" xfId="2" applyNumberFormat="1" applyFill="1" applyBorder="1" applyAlignment="1">
      <alignment horizontal="center"/>
    </xf>
    <xf numFmtId="0" fontId="2" fillId="0" borderId="0" xfId="1" applyFill="1" applyBorder="1" applyAlignment="1" applyProtection="1">
      <alignment horizontal="right" vertical="center"/>
      <protection locked="0"/>
    </xf>
    <xf numFmtId="0" fontId="2" fillId="0" borderId="0" xfId="1" applyFill="1" applyBorder="1" applyAlignment="1" applyProtection="1">
      <alignment horizontal="right"/>
      <protection locked="0"/>
    </xf>
    <xf numFmtId="179" fontId="2" fillId="8" borderId="0" xfId="1" applyNumberFormat="1" applyFill="1" applyBorder="1" applyAlignment="1" applyProtection="1">
      <alignment horizontal="right"/>
      <protection locked="0"/>
    </xf>
    <xf numFmtId="176" fontId="2" fillId="0" borderId="0" xfId="1" applyNumberFormat="1" applyFill="1" applyBorder="1" applyAlignment="1" applyProtection="1">
      <alignment horizontal="right" vertical="center"/>
      <protection locked="0"/>
    </xf>
    <xf numFmtId="179" fontId="2" fillId="0" borderId="0" xfId="1" applyNumberFormat="1" applyFill="1" applyBorder="1" applyAlignment="1" applyProtection="1">
      <alignment horizontal="right"/>
      <protection locked="0"/>
    </xf>
    <xf numFmtId="0" fontId="5" fillId="0" borderId="4" xfId="1" applyFont="1" applyFill="1" applyBorder="1" applyAlignment="1" applyProtection="1">
      <alignment horizontal="right"/>
      <protection locked="0"/>
    </xf>
    <xf numFmtId="0" fontId="7" fillId="3" borderId="8" xfId="1" applyFont="1" applyFill="1" applyBorder="1" applyAlignment="1" applyProtection="1">
      <alignment horizontal="center" wrapText="1"/>
      <protection locked="0"/>
    </xf>
    <xf numFmtId="0" fontId="1" fillId="3" borderId="9" xfId="1" applyFont="1" applyFill="1" applyBorder="1" applyAlignment="1" applyProtection="1">
      <alignment horizontal="center" wrapText="1"/>
      <protection locked="0"/>
    </xf>
    <xf numFmtId="2" fontId="7" fillId="0" borderId="16" xfId="1" applyNumberFormat="1" applyFont="1" applyFill="1" applyBorder="1" applyAlignment="1" applyProtection="1">
      <alignment horizontal="right"/>
      <protection locked="0"/>
    </xf>
    <xf numFmtId="2" fontId="7" fillId="0" borderId="21" xfId="1" applyNumberFormat="1" applyFont="1" applyFill="1" applyBorder="1" applyAlignment="1" applyProtection="1">
      <alignment horizontal="right"/>
      <protection locked="0"/>
    </xf>
    <xf numFmtId="2" fontId="10" fillId="0" borderId="20" xfId="1" applyNumberFormat="1" applyFont="1" applyFill="1" applyBorder="1" applyAlignment="1" applyProtection="1">
      <alignment horizontal="right"/>
      <protection locked="0"/>
    </xf>
    <xf numFmtId="0" fontId="11" fillId="0" borderId="0" xfId="1" applyFont="1" applyFill="1" applyBorder="1" applyProtection="1">
      <protection locked="0"/>
    </xf>
    <xf numFmtId="0" fontId="12" fillId="0" borderId="0" xfId="1" applyFont="1" applyFill="1" applyBorder="1" applyProtection="1">
      <protection locked="0"/>
    </xf>
    <xf numFmtId="0" fontId="8" fillId="2" borderId="13" xfId="1" applyFont="1" applyFill="1" applyBorder="1" applyAlignment="1" applyProtection="1">
      <alignment wrapText="1"/>
      <protection locked="0"/>
    </xf>
    <xf numFmtId="0" fontId="8" fillId="2" borderId="12" xfId="1" applyFont="1" applyFill="1" applyBorder="1" applyAlignment="1" applyProtection="1">
      <alignment wrapText="1"/>
      <protection locked="0"/>
    </xf>
    <xf numFmtId="0" fontId="2" fillId="0" borderId="0" xfId="1" applyFill="1" applyBorder="1" applyAlignment="1" applyProtection="1">
      <alignment horizontal="right" vertical="center"/>
      <protection locked="0"/>
    </xf>
    <xf numFmtId="179" fontId="2" fillId="8" borderId="0" xfId="1" applyNumberFormat="1" applyFill="1" applyBorder="1" applyAlignment="1" applyProtection="1">
      <alignment horizontal="right"/>
      <protection locked="0"/>
    </xf>
    <xf numFmtId="176" fontId="2" fillId="0" borderId="0" xfId="1" applyNumberFormat="1" applyFill="1" applyBorder="1" applyAlignment="1" applyProtection="1">
      <alignment horizontal="right" vertical="center"/>
      <protection locked="0"/>
    </xf>
    <xf numFmtId="2" fontId="10" fillId="0" borderId="100" xfId="1" applyNumberFormat="1" applyFont="1" applyFill="1" applyBorder="1" applyAlignment="1" applyProtection="1">
      <alignment horizontal="right"/>
      <protection locked="0"/>
    </xf>
    <xf numFmtId="177" fontId="2" fillId="83" borderId="46" xfId="2" applyNumberFormat="1" applyFill="1" applyBorder="1" applyAlignment="1">
      <alignment horizontal="center"/>
    </xf>
    <xf numFmtId="177" fontId="2" fillId="83" borderId="92" xfId="2" applyNumberFormat="1" applyFill="1" applyBorder="1" applyAlignment="1">
      <alignment horizontal="center"/>
    </xf>
    <xf numFmtId="49" fontId="2" fillId="83" borderId="46" xfId="2" applyNumberFormat="1" applyFill="1" applyBorder="1"/>
    <xf numFmtId="0" fontId="4" fillId="83" borderId="14" xfId="2" applyFont="1" applyFill="1" applyBorder="1" applyAlignment="1">
      <alignment horizontal="center"/>
    </xf>
    <xf numFmtId="0" fontId="81" fillId="44" borderId="46" xfId="2509" applyFont="1" applyFill="1" applyBorder="1"/>
    <xf numFmtId="176" fontId="2" fillId="8" borderId="46" xfId="2" applyNumberFormat="1" applyFont="1" applyFill="1" applyBorder="1" applyAlignment="1">
      <alignment horizontal="center"/>
    </xf>
    <xf numFmtId="176" fontId="2" fillId="8" borderId="81" xfId="2" applyNumberFormat="1" applyFont="1" applyFill="1" applyBorder="1" applyAlignment="1">
      <alignment horizontal="center"/>
    </xf>
    <xf numFmtId="182" fontId="21" fillId="0" borderId="0" xfId="2" applyNumberFormat="1" applyFont="1"/>
    <xf numFmtId="182" fontId="2" fillId="83" borderId="0" xfId="2" applyNumberFormat="1" applyFill="1"/>
    <xf numFmtId="183" fontId="2" fillId="83" borderId="0" xfId="2" applyNumberFormat="1" applyFill="1"/>
    <xf numFmtId="0" fontId="77" fillId="83" borderId="108" xfId="2509" applyFont="1" applyFill="1" applyBorder="1"/>
    <xf numFmtId="0" fontId="2" fillId="0" borderId="0" xfId="2"/>
    <xf numFmtId="49" fontId="4" fillId="8" borderId="46" xfId="2" applyNumberFormat="1" applyFont="1" applyFill="1" applyBorder="1"/>
    <xf numFmtId="176" fontId="2" fillId="42" borderId="46" xfId="2" applyNumberFormat="1" applyFont="1" applyFill="1" applyBorder="1" applyAlignment="1">
      <alignment horizontal="center"/>
    </xf>
    <xf numFmtId="177" fontId="2" fillId="42" borderId="46" xfId="2" applyNumberFormat="1" applyFont="1" applyFill="1" applyBorder="1" applyAlignment="1">
      <alignment horizontal="center"/>
    </xf>
    <xf numFmtId="183" fontId="2" fillId="0" borderId="0" xfId="2" applyNumberFormat="1"/>
    <xf numFmtId="182" fontId="2" fillId="0" borderId="0" xfId="2" applyNumberFormat="1"/>
    <xf numFmtId="1" fontId="2" fillId="42" borderId="46" xfId="2" applyNumberFormat="1" applyFont="1" applyFill="1" applyBorder="1" applyAlignment="1">
      <alignment horizontal="center"/>
    </xf>
    <xf numFmtId="0" fontId="2" fillId="83" borderId="0" xfId="2" applyFill="1"/>
    <xf numFmtId="0" fontId="2" fillId="4" borderId="0" xfId="2" applyFill="1"/>
    <xf numFmtId="49" fontId="2" fillId="83" borderId="65" xfId="2" applyNumberFormat="1" applyFill="1" applyBorder="1"/>
    <xf numFmtId="0" fontId="2" fillId="83" borderId="76" xfId="2" applyNumberFormat="1" applyFill="1" applyBorder="1" applyAlignment="1">
      <alignment horizontal="center"/>
    </xf>
    <xf numFmtId="49" fontId="2" fillId="0" borderId="81" xfId="2" applyNumberFormat="1" applyFont="1" applyFill="1" applyBorder="1"/>
    <xf numFmtId="0" fontId="57" fillId="0" borderId="81" xfId="2" applyFont="1" applyFill="1" applyBorder="1"/>
    <xf numFmtId="0" fontId="2" fillId="0" borderId="81" xfId="2" applyFill="1" applyBorder="1"/>
    <xf numFmtId="49" fontId="2" fillId="0" borderId="81" xfId="2" applyNumberFormat="1" applyFill="1" applyBorder="1"/>
    <xf numFmtId="0" fontId="2" fillId="83" borderId="76" xfId="2" applyFill="1" applyBorder="1"/>
    <xf numFmtId="0" fontId="2" fillId="0" borderId="76" xfId="2" applyFill="1" applyBorder="1"/>
    <xf numFmtId="49" fontId="2" fillId="0" borderId="16" xfId="2" applyNumberFormat="1" applyFill="1" applyBorder="1"/>
    <xf numFmtId="0" fontId="57" fillId="4" borderId="92" xfId="2" applyFont="1" applyFill="1" applyBorder="1"/>
    <xf numFmtId="0" fontId="4" fillId="0" borderId="109" xfId="2" applyFont="1" applyFill="1" applyBorder="1"/>
    <xf numFmtId="49" fontId="2" fillId="0" borderId="65" xfId="2" applyNumberFormat="1" applyFill="1" applyBorder="1"/>
    <xf numFmtId="0" fontId="2" fillId="0" borderId="65" xfId="2" applyFill="1" applyBorder="1"/>
    <xf numFmtId="0" fontId="2" fillId="83" borderId="76" xfId="2" applyNumberFormat="1" applyFill="1" applyBorder="1" applyAlignment="1">
      <alignment horizontal="center"/>
    </xf>
    <xf numFmtId="0" fontId="2" fillId="0" borderId="0" xfId="2"/>
    <xf numFmtId="0" fontId="2" fillId="0" borderId="38" xfId="2" applyFont="1" applyFill="1" applyBorder="1"/>
    <xf numFmtId="0" fontId="2" fillId="0" borderId="39" xfId="2" applyFont="1" applyFill="1" applyBorder="1"/>
    <xf numFmtId="0" fontId="2" fillId="0" borderId="17" xfId="2" applyBorder="1"/>
    <xf numFmtId="0" fontId="2" fillId="0" borderId="19" xfId="2" applyBorder="1"/>
    <xf numFmtId="0" fontId="2" fillId="0" borderId="77" xfId="2" applyBorder="1"/>
    <xf numFmtId="0" fontId="2" fillId="42" borderId="46" xfId="2" applyFill="1" applyBorder="1"/>
    <xf numFmtId="0" fontId="4" fillId="0" borderId="79" xfId="2" applyFont="1" applyFill="1" applyBorder="1"/>
    <xf numFmtId="0" fontId="4" fillId="0" borderId="94" xfId="2" applyFont="1" applyFill="1" applyBorder="1"/>
    <xf numFmtId="0" fontId="2" fillId="0" borderId="0" xfId="2" applyFill="1"/>
    <xf numFmtId="0" fontId="2" fillId="42" borderId="46" xfId="2" applyNumberFormat="1" applyFill="1" applyBorder="1" applyAlignment="1">
      <alignment horizontal="center"/>
    </xf>
    <xf numFmtId="49" fontId="2" fillId="0" borderId="46" xfId="2" applyNumberFormat="1" applyFill="1" applyBorder="1"/>
    <xf numFmtId="0" fontId="2" fillId="0" borderId="46" xfId="2" applyFill="1" applyBorder="1"/>
    <xf numFmtId="49" fontId="2" fillId="0" borderId="65" xfId="2" applyNumberFormat="1" applyFill="1" applyBorder="1"/>
    <xf numFmtId="0" fontId="2" fillId="0" borderId="68" xfId="2" applyFont="1" applyFill="1" applyBorder="1"/>
    <xf numFmtId="0" fontId="26" fillId="83" borderId="46" xfId="5" applyFont="1" applyFill="1" applyBorder="1" applyAlignment="1">
      <alignment horizontal="center" vertical="top"/>
    </xf>
    <xf numFmtId="0" fontId="2" fillId="83" borderId="46" xfId="2" applyNumberFormat="1" applyFill="1" applyBorder="1" applyAlignment="1">
      <alignment horizontal="center"/>
    </xf>
    <xf numFmtId="0" fontId="2" fillId="83" borderId="81" xfId="2" applyNumberFormat="1" applyFill="1" applyBorder="1" applyAlignment="1">
      <alignment horizontal="center"/>
    </xf>
    <xf numFmtId="177" fontId="2" fillId="83" borderId="81" xfId="2" applyNumberFormat="1" applyFill="1" applyBorder="1" applyAlignment="1">
      <alignment horizontal="center"/>
    </xf>
    <xf numFmtId="0" fontId="0" fillId="83" borderId="46" xfId="0" applyNumberFormat="1" applyFill="1" applyBorder="1" applyAlignment="1">
      <alignment horizontal="center"/>
    </xf>
    <xf numFmtId="14" fontId="2" fillId="83" borderId="46" xfId="2" applyNumberFormat="1" applyFill="1" applyBorder="1" applyAlignment="1">
      <alignment horizontal="center"/>
    </xf>
    <xf numFmtId="0" fontId="26" fillId="83" borderId="46" xfId="4" applyFont="1" applyFill="1" applyBorder="1" applyAlignment="1">
      <alignment horizontal="center" wrapText="1"/>
    </xf>
    <xf numFmtId="0" fontId="2" fillId="83" borderId="0" xfId="2" applyFill="1"/>
    <xf numFmtId="0" fontId="2" fillId="83" borderId="46" xfId="2" applyFill="1" applyBorder="1"/>
    <xf numFmtId="0" fontId="2" fillId="0" borderId="65" xfId="2" applyFill="1" applyBorder="1"/>
    <xf numFmtId="49" fontId="2" fillId="0" borderId="65" xfId="2" applyNumberFormat="1" applyFont="1" applyFill="1" applyBorder="1"/>
    <xf numFmtId="180" fontId="2" fillId="83" borderId="81" xfId="2" applyNumberFormat="1" applyFill="1" applyBorder="1" applyAlignment="1">
      <alignment horizontal="center"/>
    </xf>
    <xf numFmtId="181" fontId="2" fillId="83" borderId="81" xfId="2" applyNumberFormat="1" applyFill="1" applyBorder="1" applyAlignment="1">
      <alignment horizontal="center"/>
    </xf>
    <xf numFmtId="0" fontId="2" fillId="0" borderId="14" xfId="2" applyFill="1" applyBorder="1"/>
    <xf numFmtId="49" fontId="2" fillId="4" borderId="92" xfId="2" applyNumberFormat="1" applyFill="1" applyBorder="1"/>
    <xf numFmtId="49" fontId="2" fillId="83" borderId="14" xfId="2" applyNumberFormat="1" applyFill="1" applyBorder="1"/>
    <xf numFmtId="0" fontId="2" fillId="83" borderId="76" xfId="2" applyNumberFormat="1" applyFill="1" applyBorder="1" applyAlignment="1">
      <alignment horizontal="center"/>
    </xf>
    <xf numFmtId="0" fontId="2" fillId="4" borderId="92" xfId="2" applyFill="1" applyBorder="1"/>
    <xf numFmtId="0" fontId="2" fillId="83" borderId="92" xfId="2" applyFill="1" applyBorder="1"/>
    <xf numFmtId="49" fontId="2" fillId="83" borderId="92" xfId="2" applyNumberFormat="1" applyFill="1" applyBorder="1"/>
    <xf numFmtId="49" fontId="21" fillId="82" borderId="14" xfId="1" applyNumberFormat="1" applyFont="1" applyFill="1" applyBorder="1" applyAlignment="1" applyProtection="1">
      <alignment horizontal="center"/>
      <protection locked="0"/>
    </xf>
    <xf numFmtId="49" fontId="2" fillId="0" borderId="4" xfId="1" applyNumberFormat="1" applyFont="1" applyFill="1" applyBorder="1" applyProtection="1">
      <protection locked="0"/>
    </xf>
    <xf numFmtId="2" fontId="10" fillId="0" borderId="100" xfId="1" applyNumberFormat="1" applyFont="1" applyFill="1" applyBorder="1" applyAlignment="1" applyProtection="1">
      <alignment horizontal="right"/>
      <protection locked="0"/>
    </xf>
    <xf numFmtId="2" fontId="10" fillId="0" borderId="100" xfId="1" applyNumberFormat="1" applyFont="1" applyFill="1" applyBorder="1" applyAlignment="1" applyProtection="1">
      <alignment horizontal="right"/>
      <protection locked="0"/>
    </xf>
    <xf numFmtId="0" fontId="2" fillId="42" borderId="46" xfId="2" applyFill="1" applyBorder="1" applyAlignment="1">
      <alignment horizontal="center" vertical="center" wrapText="1"/>
    </xf>
    <xf numFmtId="0" fontId="2" fillId="42" borderId="46" xfId="2" applyFill="1" applyBorder="1" applyAlignment="1">
      <alignment horizontal="center" vertical="center"/>
    </xf>
    <xf numFmtId="0" fontId="2" fillId="42" borderId="46" xfId="2" applyFill="1" applyBorder="1" applyAlignment="1">
      <alignment vertical="center"/>
    </xf>
    <xf numFmtId="182" fontId="2" fillId="82" borderId="104" xfId="2" applyNumberFormat="1" applyFill="1" applyBorder="1" applyAlignment="1">
      <alignment vertical="center"/>
    </xf>
    <xf numFmtId="0" fontId="0" fillId="0" borderId="104" xfId="0" applyBorder="1" applyAlignment="1">
      <alignment vertical="center"/>
    </xf>
    <xf numFmtId="181" fontId="2" fillId="42" borderId="49" xfId="2" applyNumberFormat="1" applyFont="1" applyFill="1" applyBorder="1" applyAlignment="1">
      <alignment horizontal="center" vertical="center"/>
    </xf>
    <xf numFmtId="181" fontId="2" fillId="42" borderId="40" xfId="2" applyNumberFormat="1" applyFont="1" applyFill="1" applyBorder="1" applyAlignment="1">
      <alignment horizontal="center" vertical="center"/>
    </xf>
    <xf numFmtId="181" fontId="2" fillId="42" borderId="81" xfId="2" applyNumberFormat="1" applyFont="1" applyFill="1" applyBorder="1" applyAlignment="1">
      <alignment horizontal="center" vertical="center"/>
    </xf>
    <xf numFmtId="49" fontId="2" fillId="2" borderId="46" xfId="2" applyNumberFormat="1" applyFill="1" applyBorder="1" applyAlignment="1">
      <alignment vertical="center"/>
    </xf>
    <xf numFmtId="0" fontId="0" fillId="0" borderId="46" xfId="0" applyBorder="1" applyAlignment="1">
      <alignment vertical="center"/>
    </xf>
    <xf numFmtId="49" fontId="2" fillId="4" borderId="46" xfId="2" applyNumberFormat="1" applyFill="1" applyBorder="1" applyAlignment="1">
      <alignment vertical="center"/>
    </xf>
    <xf numFmtId="0" fontId="0" fillId="4" borderId="46" xfId="0" applyFill="1" applyBorder="1" applyAlignment="1">
      <alignment vertical="center"/>
    </xf>
    <xf numFmtId="182" fontId="2" fillId="41" borderId="46" xfId="2" applyNumberFormat="1" applyFill="1" applyBorder="1" applyAlignment="1">
      <alignment vertical="center"/>
    </xf>
    <xf numFmtId="182" fontId="0" fillId="0" borderId="46" xfId="0" applyNumberFormat="1" applyBorder="1" applyAlignment="1">
      <alignment vertical="center"/>
    </xf>
    <xf numFmtId="2" fontId="2" fillId="40" borderId="46" xfId="2" applyNumberFormat="1" applyFill="1" applyBorder="1" applyAlignment="1">
      <alignment vertical="center"/>
    </xf>
    <xf numFmtId="0" fontId="4" fillId="0" borderId="79" xfId="2" applyFont="1" applyFill="1" applyBorder="1" applyAlignment="1">
      <alignment horizontal="center" vertical="center" wrapText="1"/>
    </xf>
    <xf numFmtId="0" fontId="4" fillId="0" borderId="39" xfId="2" applyFont="1" applyFill="1" applyBorder="1" applyAlignment="1">
      <alignment horizontal="center" vertical="center" wrapText="1"/>
    </xf>
    <xf numFmtId="2" fontId="2" fillId="41" borderId="2" xfId="2" applyNumberFormat="1" applyFill="1" applyBorder="1" applyAlignment="1">
      <alignment horizontal="center" wrapText="1"/>
    </xf>
    <xf numFmtId="2" fontId="2" fillId="41" borderId="71" xfId="2" applyNumberFormat="1" applyFill="1" applyBorder="1" applyAlignment="1">
      <alignment horizontal="center" wrapText="1"/>
    </xf>
    <xf numFmtId="2" fontId="2" fillId="41" borderId="3" xfId="2" applyNumberFormat="1" applyFill="1" applyBorder="1" applyAlignment="1">
      <alignment horizontal="center" wrapText="1"/>
    </xf>
    <xf numFmtId="49" fontId="4" fillId="5" borderId="2" xfId="1" applyNumberFormat="1" applyFont="1" applyFill="1" applyBorder="1" applyAlignment="1" applyProtection="1">
      <alignment horizontal="center"/>
      <protection locked="0"/>
    </xf>
    <xf numFmtId="49" fontId="4" fillId="5" borderId="3" xfId="1" applyNumberFormat="1" applyFont="1" applyFill="1" applyBorder="1" applyAlignment="1" applyProtection="1">
      <alignment horizontal="center"/>
      <protection locked="0"/>
    </xf>
    <xf numFmtId="0" fontId="4" fillId="3" borderId="22" xfId="1" applyFont="1" applyFill="1" applyBorder="1" applyAlignment="1" applyProtection="1">
      <alignment horizontal="center" vertical="center"/>
      <protection locked="0"/>
    </xf>
    <xf numFmtId="0" fontId="4" fillId="3" borderId="3" xfId="1" applyFont="1" applyFill="1" applyBorder="1" applyAlignment="1" applyProtection="1">
      <alignment horizontal="center" vertical="center"/>
      <protection locked="0"/>
    </xf>
    <xf numFmtId="0" fontId="4" fillId="44" borderId="42" xfId="2" applyFont="1" applyFill="1" applyBorder="1" applyAlignment="1">
      <alignment horizontal="center" vertical="center" wrapText="1"/>
    </xf>
    <xf numFmtId="0" fontId="4" fillId="44" borderId="84" xfId="2" applyFont="1" applyFill="1" applyBorder="1" applyAlignment="1">
      <alignment horizontal="center" vertical="center" wrapText="1"/>
    </xf>
    <xf numFmtId="0" fontId="4" fillId="0" borderId="42" xfId="2" applyFont="1" applyFill="1" applyBorder="1" applyAlignment="1">
      <alignment horizontal="center"/>
    </xf>
    <xf numFmtId="0" fontId="2" fillId="42" borderId="46" xfId="2" applyNumberFormat="1" applyFill="1" applyBorder="1" applyAlignment="1">
      <alignment horizontal="center" vertical="center"/>
    </xf>
    <xf numFmtId="0" fontId="4" fillId="44" borderId="79" xfId="2" applyFont="1" applyFill="1" applyBorder="1" applyAlignment="1">
      <alignment horizontal="center" vertical="center" wrapText="1"/>
    </xf>
    <xf numFmtId="0" fontId="4" fillId="44" borderId="39" xfId="2" applyFont="1" applyFill="1" applyBorder="1" applyAlignment="1">
      <alignment horizontal="center" vertical="center" wrapText="1"/>
    </xf>
    <xf numFmtId="0" fontId="4" fillId="0" borderId="40" xfId="2" applyFont="1" applyFill="1" applyBorder="1" applyAlignment="1">
      <alignment horizontal="center" vertical="center" wrapText="1"/>
    </xf>
  </cellXfs>
  <cellStyles count="2514">
    <cellStyle name="20% - 强调文字颜色 1 2" xfId="2486"/>
    <cellStyle name="20% - 强调文字颜色 1 2 10" xfId="8"/>
    <cellStyle name="20% - 强调文字颜色 1 2 11" xfId="9"/>
    <cellStyle name="20% - 强调文字颜色 1 2 12" xfId="10"/>
    <cellStyle name="20% - 强调文字颜色 1 2 13" xfId="11"/>
    <cellStyle name="20% - 强调文字颜色 1 2 2" xfId="12"/>
    <cellStyle name="20% - 强调文字颜色 1 2 3" xfId="13"/>
    <cellStyle name="20% - 强调文字颜色 1 2 4" xfId="14"/>
    <cellStyle name="20% - 强调文字颜色 1 2 5" xfId="15"/>
    <cellStyle name="20% - 强调文字颜色 1 2 6" xfId="16"/>
    <cellStyle name="20% - 强调文字颜色 1 2 7" xfId="17"/>
    <cellStyle name="20% - 强调文字颜色 1 2 8" xfId="18"/>
    <cellStyle name="20% - 强调文字颜色 1 2 9" xfId="19"/>
    <cellStyle name="20% - 强调文字颜色 1 3 10" xfId="20"/>
    <cellStyle name="20% - 强调文字颜色 1 3 11" xfId="21"/>
    <cellStyle name="20% - 强调文字颜色 1 3 12" xfId="22"/>
    <cellStyle name="20% - 强调文字颜色 1 3 13" xfId="23"/>
    <cellStyle name="20% - 强调文字颜色 1 3 2" xfId="24"/>
    <cellStyle name="20% - 强调文字颜色 1 3 3" xfId="25"/>
    <cellStyle name="20% - 强调文字颜色 1 3 4" xfId="26"/>
    <cellStyle name="20% - 强调文字颜色 1 3 5" xfId="27"/>
    <cellStyle name="20% - 强调文字颜色 1 3 6" xfId="28"/>
    <cellStyle name="20% - 强调文字颜色 1 3 7" xfId="29"/>
    <cellStyle name="20% - 强调文字颜色 1 3 8" xfId="30"/>
    <cellStyle name="20% - 强调文字颜色 1 3 9" xfId="31"/>
    <cellStyle name="20% - 强调文字颜色 1 4 10" xfId="32"/>
    <cellStyle name="20% - 强调文字颜色 1 4 11" xfId="33"/>
    <cellStyle name="20% - 强调文字颜色 1 4 12" xfId="34"/>
    <cellStyle name="20% - 强调文字颜色 1 4 13" xfId="35"/>
    <cellStyle name="20% - 强调文字颜色 1 4 2" xfId="36"/>
    <cellStyle name="20% - 强调文字颜色 1 4 3" xfId="37"/>
    <cellStyle name="20% - 强调文字颜色 1 4 4" xfId="38"/>
    <cellStyle name="20% - 强调文字颜色 1 4 5" xfId="39"/>
    <cellStyle name="20% - 强调文字颜色 1 4 6" xfId="40"/>
    <cellStyle name="20% - 强调文字颜色 1 4 7" xfId="41"/>
    <cellStyle name="20% - 强调文字颜色 1 4 8" xfId="42"/>
    <cellStyle name="20% - 强调文字颜色 1 4 9" xfId="43"/>
    <cellStyle name="20% - 强调文字颜色 1 5 10" xfId="44"/>
    <cellStyle name="20% - 强调文字颜色 1 5 11" xfId="45"/>
    <cellStyle name="20% - 强调文字颜色 1 5 12" xfId="46"/>
    <cellStyle name="20% - 强调文字颜色 1 5 13" xfId="47"/>
    <cellStyle name="20% - 强调文字颜色 1 5 2" xfId="48"/>
    <cellStyle name="20% - 强调文字颜色 1 5 3" xfId="49"/>
    <cellStyle name="20% - 强调文字颜色 1 5 4" xfId="50"/>
    <cellStyle name="20% - 强调文字颜色 1 5 5" xfId="51"/>
    <cellStyle name="20% - 强调文字颜色 1 5 6" xfId="52"/>
    <cellStyle name="20% - 强调文字颜色 1 5 7" xfId="53"/>
    <cellStyle name="20% - 强调文字颜色 1 5 8" xfId="54"/>
    <cellStyle name="20% - 强调文字颜色 1 5 9" xfId="55"/>
    <cellStyle name="20% - 强调文字颜色 1 6 10" xfId="56"/>
    <cellStyle name="20% - 强调文字颜色 1 6 11" xfId="57"/>
    <cellStyle name="20% - 强调文字颜色 1 6 12" xfId="58"/>
    <cellStyle name="20% - 强调文字颜色 1 6 13" xfId="59"/>
    <cellStyle name="20% - 强调文字颜色 1 6 2" xfId="60"/>
    <cellStyle name="20% - 强调文字颜色 1 6 3" xfId="61"/>
    <cellStyle name="20% - 强调文字颜色 1 6 4" xfId="62"/>
    <cellStyle name="20% - 强调文字颜色 1 6 5" xfId="63"/>
    <cellStyle name="20% - 强调文字颜色 1 6 6" xfId="64"/>
    <cellStyle name="20% - 强调文字颜色 1 6 7" xfId="65"/>
    <cellStyle name="20% - 强调文字颜色 1 6 8" xfId="66"/>
    <cellStyle name="20% - 强调文字颜色 1 6 9" xfId="67"/>
    <cellStyle name="20% - 强调文字颜色 2 2" xfId="2490"/>
    <cellStyle name="20% - 强调文字颜色 2 2 10" xfId="68"/>
    <cellStyle name="20% - 强调文字颜色 2 2 11" xfId="69"/>
    <cellStyle name="20% - 强调文字颜色 2 2 12" xfId="70"/>
    <cellStyle name="20% - 强调文字颜色 2 2 13" xfId="71"/>
    <cellStyle name="20% - 强调文字颜色 2 2 2" xfId="72"/>
    <cellStyle name="20% - 强调文字颜色 2 2 3" xfId="73"/>
    <cellStyle name="20% - 强调文字颜色 2 2 4" xfId="74"/>
    <cellStyle name="20% - 强调文字颜色 2 2 5" xfId="75"/>
    <cellStyle name="20% - 强调文字颜色 2 2 6" xfId="76"/>
    <cellStyle name="20% - 强调文字颜色 2 2 7" xfId="77"/>
    <cellStyle name="20% - 强调文字颜色 2 2 8" xfId="78"/>
    <cellStyle name="20% - 强调文字颜色 2 2 9" xfId="79"/>
    <cellStyle name="20% - 强调文字颜色 2 3 10" xfId="80"/>
    <cellStyle name="20% - 强调文字颜色 2 3 11" xfId="81"/>
    <cellStyle name="20% - 强调文字颜色 2 3 12" xfId="82"/>
    <cellStyle name="20% - 强调文字颜色 2 3 13" xfId="83"/>
    <cellStyle name="20% - 强调文字颜色 2 3 2" xfId="84"/>
    <cellStyle name="20% - 强调文字颜色 2 3 3" xfId="85"/>
    <cellStyle name="20% - 强调文字颜色 2 3 4" xfId="86"/>
    <cellStyle name="20% - 强调文字颜色 2 3 5" xfId="87"/>
    <cellStyle name="20% - 强调文字颜色 2 3 6" xfId="88"/>
    <cellStyle name="20% - 强调文字颜色 2 3 7" xfId="89"/>
    <cellStyle name="20% - 强调文字颜色 2 3 8" xfId="90"/>
    <cellStyle name="20% - 强调文字颜色 2 3 9" xfId="91"/>
    <cellStyle name="20% - 强调文字颜色 2 4 10" xfId="92"/>
    <cellStyle name="20% - 强调文字颜色 2 4 11" xfId="93"/>
    <cellStyle name="20% - 强调文字颜色 2 4 12" xfId="94"/>
    <cellStyle name="20% - 强调文字颜色 2 4 13" xfId="95"/>
    <cellStyle name="20% - 强调文字颜色 2 4 2" xfId="96"/>
    <cellStyle name="20% - 强调文字颜色 2 4 3" xfId="97"/>
    <cellStyle name="20% - 强调文字颜色 2 4 4" xfId="98"/>
    <cellStyle name="20% - 强调文字颜色 2 4 5" xfId="99"/>
    <cellStyle name="20% - 强调文字颜色 2 4 6" xfId="100"/>
    <cellStyle name="20% - 强调文字颜色 2 4 7" xfId="101"/>
    <cellStyle name="20% - 强调文字颜色 2 4 8" xfId="102"/>
    <cellStyle name="20% - 强调文字颜色 2 4 9" xfId="103"/>
    <cellStyle name="20% - 强调文字颜色 2 5 10" xfId="104"/>
    <cellStyle name="20% - 强调文字颜色 2 5 11" xfId="105"/>
    <cellStyle name="20% - 强调文字颜色 2 5 12" xfId="106"/>
    <cellStyle name="20% - 强调文字颜色 2 5 13" xfId="107"/>
    <cellStyle name="20% - 强调文字颜色 2 5 2" xfId="108"/>
    <cellStyle name="20% - 强调文字颜色 2 5 3" xfId="109"/>
    <cellStyle name="20% - 强调文字颜色 2 5 4" xfId="110"/>
    <cellStyle name="20% - 强调文字颜色 2 5 5" xfId="111"/>
    <cellStyle name="20% - 强调文字颜色 2 5 6" xfId="112"/>
    <cellStyle name="20% - 强调文字颜色 2 5 7" xfId="113"/>
    <cellStyle name="20% - 强调文字颜色 2 5 8" xfId="114"/>
    <cellStyle name="20% - 强调文字颜色 2 5 9" xfId="115"/>
    <cellStyle name="20% - 强调文字颜色 2 6 10" xfId="116"/>
    <cellStyle name="20% - 强调文字颜色 2 6 11" xfId="117"/>
    <cellStyle name="20% - 强调文字颜色 2 6 12" xfId="118"/>
    <cellStyle name="20% - 强调文字颜色 2 6 13" xfId="119"/>
    <cellStyle name="20% - 强调文字颜色 2 6 2" xfId="120"/>
    <cellStyle name="20% - 强调文字颜色 2 6 3" xfId="121"/>
    <cellStyle name="20% - 强调文字颜色 2 6 4" xfId="122"/>
    <cellStyle name="20% - 强调文字颜色 2 6 5" xfId="123"/>
    <cellStyle name="20% - 强调文字颜色 2 6 6" xfId="124"/>
    <cellStyle name="20% - 强调文字颜色 2 6 7" xfId="125"/>
    <cellStyle name="20% - 强调文字颜色 2 6 8" xfId="126"/>
    <cellStyle name="20% - 强调文字颜色 2 6 9" xfId="127"/>
    <cellStyle name="20% - 强调文字颜色 3 2" xfId="2494"/>
    <cellStyle name="20% - 强调文字颜色 3 2 10" xfId="128"/>
    <cellStyle name="20% - 强调文字颜色 3 2 11" xfId="129"/>
    <cellStyle name="20% - 强调文字颜色 3 2 12" xfId="130"/>
    <cellStyle name="20% - 强调文字颜色 3 2 13" xfId="131"/>
    <cellStyle name="20% - 强调文字颜色 3 2 2" xfId="132"/>
    <cellStyle name="20% - 强调文字颜色 3 2 3" xfId="133"/>
    <cellStyle name="20% - 强调文字颜色 3 2 4" xfId="134"/>
    <cellStyle name="20% - 强调文字颜色 3 2 5" xfId="135"/>
    <cellStyle name="20% - 强调文字颜色 3 2 6" xfId="136"/>
    <cellStyle name="20% - 强调文字颜色 3 2 7" xfId="137"/>
    <cellStyle name="20% - 强调文字颜色 3 2 8" xfId="138"/>
    <cellStyle name="20% - 强调文字颜色 3 2 9" xfId="139"/>
    <cellStyle name="20% - 强调文字颜色 3 3 10" xfId="140"/>
    <cellStyle name="20% - 强调文字颜色 3 3 11" xfId="141"/>
    <cellStyle name="20% - 强调文字颜色 3 3 12" xfId="142"/>
    <cellStyle name="20% - 强调文字颜色 3 3 13" xfId="143"/>
    <cellStyle name="20% - 强调文字颜色 3 3 2" xfId="144"/>
    <cellStyle name="20% - 强调文字颜色 3 3 3" xfId="145"/>
    <cellStyle name="20% - 强调文字颜色 3 3 4" xfId="146"/>
    <cellStyle name="20% - 强调文字颜色 3 3 5" xfId="147"/>
    <cellStyle name="20% - 强调文字颜色 3 3 6" xfId="148"/>
    <cellStyle name="20% - 强调文字颜色 3 3 7" xfId="149"/>
    <cellStyle name="20% - 强调文字颜色 3 3 8" xfId="150"/>
    <cellStyle name="20% - 强调文字颜色 3 3 9" xfId="151"/>
    <cellStyle name="20% - 强调文字颜色 3 4 10" xfId="152"/>
    <cellStyle name="20% - 强调文字颜色 3 4 11" xfId="153"/>
    <cellStyle name="20% - 强调文字颜色 3 4 12" xfId="154"/>
    <cellStyle name="20% - 强调文字颜色 3 4 13" xfId="155"/>
    <cellStyle name="20% - 强调文字颜色 3 4 2" xfId="156"/>
    <cellStyle name="20% - 强调文字颜色 3 4 3" xfId="157"/>
    <cellStyle name="20% - 强调文字颜色 3 4 4" xfId="158"/>
    <cellStyle name="20% - 强调文字颜色 3 4 5" xfId="159"/>
    <cellStyle name="20% - 强调文字颜色 3 4 6" xfId="160"/>
    <cellStyle name="20% - 强调文字颜色 3 4 7" xfId="161"/>
    <cellStyle name="20% - 强调文字颜色 3 4 8" xfId="162"/>
    <cellStyle name="20% - 强调文字颜色 3 4 9" xfId="163"/>
    <cellStyle name="20% - 强调文字颜色 3 5 10" xfId="164"/>
    <cellStyle name="20% - 强调文字颜色 3 5 11" xfId="165"/>
    <cellStyle name="20% - 强调文字颜色 3 5 12" xfId="166"/>
    <cellStyle name="20% - 强调文字颜色 3 5 13" xfId="167"/>
    <cellStyle name="20% - 强调文字颜色 3 5 2" xfId="168"/>
    <cellStyle name="20% - 强调文字颜色 3 5 3" xfId="169"/>
    <cellStyle name="20% - 强调文字颜色 3 5 4" xfId="170"/>
    <cellStyle name="20% - 强调文字颜色 3 5 5" xfId="171"/>
    <cellStyle name="20% - 强调文字颜色 3 5 6" xfId="172"/>
    <cellStyle name="20% - 强调文字颜色 3 5 7" xfId="173"/>
    <cellStyle name="20% - 强调文字颜色 3 5 8" xfId="174"/>
    <cellStyle name="20% - 强调文字颜色 3 5 9" xfId="175"/>
    <cellStyle name="20% - 强调文字颜色 3 6 10" xfId="176"/>
    <cellStyle name="20% - 强调文字颜色 3 6 11" xfId="177"/>
    <cellStyle name="20% - 强调文字颜色 3 6 12" xfId="178"/>
    <cellStyle name="20% - 强调文字颜色 3 6 13" xfId="179"/>
    <cellStyle name="20% - 强调文字颜色 3 6 2" xfId="180"/>
    <cellStyle name="20% - 强调文字颜色 3 6 3" xfId="181"/>
    <cellStyle name="20% - 强调文字颜色 3 6 4" xfId="182"/>
    <cellStyle name="20% - 强调文字颜色 3 6 5" xfId="183"/>
    <cellStyle name="20% - 强调文字颜色 3 6 6" xfId="184"/>
    <cellStyle name="20% - 强调文字颜色 3 6 7" xfId="185"/>
    <cellStyle name="20% - 强调文字颜色 3 6 8" xfId="186"/>
    <cellStyle name="20% - 强调文字颜色 3 6 9" xfId="187"/>
    <cellStyle name="20% - 强调文字颜色 4 2" xfId="2498"/>
    <cellStyle name="20% - 强调文字颜色 4 2 10" xfId="188"/>
    <cellStyle name="20% - 强调文字颜色 4 2 11" xfId="189"/>
    <cellStyle name="20% - 强调文字颜色 4 2 12" xfId="190"/>
    <cellStyle name="20% - 强调文字颜色 4 2 13" xfId="191"/>
    <cellStyle name="20% - 强调文字颜色 4 2 2" xfId="192"/>
    <cellStyle name="20% - 强调文字颜色 4 2 3" xfId="193"/>
    <cellStyle name="20% - 强调文字颜色 4 2 4" xfId="194"/>
    <cellStyle name="20% - 强调文字颜色 4 2 5" xfId="195"/>
    <cellStyle name="20% - 强调文字颜色 4 2 6" xfId="196"/>
    <cellStyle name="20% - 强调文字颜色 4 2 7" xfId="197"/>
    <cellStyle name="20% - 强调文字颜色 4 2 8" xfId="198"/>
    <cellStyle name="20% - 强调文字颜色 4 2 9" xfId="199"/>
    <cellStyle name="20% - 强调文字颜色 4 3 10" xfId="200"/>
    <cellStyle name="20% - 强调文字颜色 4 3 11" xfId="201"/>
    <cellStyle name="20% - 强调文字颜色 4 3 12" xfId="202"/>
    <cellStyle name="20% - 强调文字颜色 4 3 13" xfId="203"/>
    <cellStyle name="20% - 强调文字颜色 4 3 2" xfId="204"/>
    <cellStyle name="20% - 强调文字颜色 4 3 3" xfId="205"/>
    <cellStyle name="20% - 强调文字颜色 4 3 4" xfId="206"/>
    <cellStyle name="20% - 强调文字颜色 4 3 5" xfId="207"/>
    <cellStyle name="20% - 强调文字颜色 4 3 6" xfId="208"/>
    <cellStyle name="20% - 强调文字颜色 4 3 7" xfId="209"/>
    <cellStyle name="20% - 强调文字颜色 4 3 8" xfId="210"/>
    <cellStyle name="20% - 强调文字颜色 4 3 9" xfId="211"/>
    <cellStyle name="20% - 强调文字颜色 4 4 10" xfId="212"/>
    <cellStyle name="20% - 强调文字颜色 4 4 11" xfId="213"/>
    <cellStyle name="20% - 强调文字颜色 4 4 12" xfId="214"/>
    <cellStyle name="20% - 强调文字颜色 4 4 13" xfId="215"/>
    <cellStyle name="20% - 强调文字颜色 4 4 2" xfId="216"/>
    <cellStyle name="20% - 强调文字颜色 4 4 3" xfId="217"/>
    <cellStyle name="20% - 强调文字颜色 4 4 4" xfId="218"/>
    <cellStyle name="20% - 强调文字颜色 4 4 5" xfId="219"/>
    <cellStyle name="20% - 强调文字颜色 4 4 6" xfId="220"/>
    <cellStyle name="20% - 强调文字颜色 4 4 7" xfId="221"/>
    <cellStyle name="20% - 强调文字颜色 4 4 8" xfId="222"/>
    <cellStyle name="20% - 强调文字颜色 4 4 9" xfId="223"/>
    <cellStyle name="20% - 强调文字颜色 4 5 10" xfId="224"/>
    <cellStyle name="20% - 强调文字颜色 4 5 11" xfId="225"/>
    <cellStyle name="20% - 强调文字颜色 4 5 12" xfId="226"/>
    <cellStyle name="20% - 强调文字颜色 4 5 13" xfId="227"/>
    <cellStyle name="20% - 强调文字颜色 4 5 2" xfId="228"/>
    <cellStyle name="20% - 强调文字颜色 4 5 3" xfId="229"/>
    <cellStyle name="20% - 强调文字颜色 4 5 4" xfId="230"/>
    <cellStyle name="20% - 强调文字颜色 4 5 5" xfId="231"/>
    <cellStyle name="20% - 强调文字颜色 4 5 6" xfId="232"/>
    <cellStyle name="20% - 强调文字颜色 4 5 7" xfId="233"/>
    <cellStyle name="20% - 强调文字颜色 4 5 8" xfId="234"/>
    <cellStyle name="20% - 强调文字颜色 4 5 9" xfId="235"/>
    <cellStyle name="20% - 强调文字颜色 4 6 10" xfId="236"/>
    <cellStyle name="20% - 强调文字颜色 4 6 11" xfId="237"/>
    <cellStyle name="20% - 强调文字颜色 4 6 12" xfId="238"/>
    <cellStyle name="20% - 强调文字颜色 4 6 13" xfId="239"/>
    <cellStyle name="20% - 强调文字颜色 4 6 2" xfId="240"/>
    <cellStyle name="20% - 强调文字颜色 4 6 3" xfId="241"/>
    <cellStyle name="20% - 强调文字颜色 4 6 4" xfId="242"/>
    <cellStyle name="20% - 强调文字颜色 4 6 5" xfId="243"/>
    <cellStyle name="20% - 强调文字颜色 4 6 6" xfId="244"/>
    <cellStyle name="20% - 强调文字颜色 4 6 7" xfId="245"/>
    <cellStyle name="20% - 强调文字颜色 4 6 8" xfId="246"/>
    <cellStyle name="20% - 强调文字颜色 4 6 9" xfId="247"/>
    <cellStyle name="20% - 强调文字颜色 5 2" xfId="2502"/>
    <cellStyle name="20% - 强调文字颜色 5 2 10" xfId="248"/>
    <cellStyle name="20% - 强调文字颜色 5 2 11" xfId="249"/>
    <cellStyle name="20% - 强调文字颜色 5 2 12" xfId="250"/>
    <cellStyle name="20% - 强调文字颜色 5 2 13" xfId="251"/>
    <cellStyle name="20% - 强调文字颜色 5 2 2" xfId="252"/>
    <cellStyle name="20% - 强调文字颜色 5 2 3" xfId="253"/>
    <cellStyle name="20% - 强调文字颜色 5 2 4" xfId="254"/>
    <cellStyle name="20% - 强调文字颜色 5 2 5" xfId="255"/>
    <cellStyle name="20% - 强调文字颜色 5 2 6" xfId="256"/>
    <cellStyle name="20% - 强调文字颜色 5 2 7" xfId="257"/>
    <cellStyle name="20% - 强调文字颜色 5 2 8" xfId="258"/>
    <cellStyle name="20% - 强调文字颜色 5 2 9" xfId="259"/>
    <cellStyle name="20% - 强调文字颜色 5 3 10" xfId="260"/>
    <cellStyle name="20% - 强调文字颜色 5 3 11" xfId="261"/>
    <cellStyle name="20% - 强调文字颜色 5 3 12" xfId="262"/>
    <cellStyle name="20% - 强调文字颜色 5 3 13" xfId="263"/>
    <cellStyle name="20% - 强调文字颜色 5 3 2" xfId="264"/>
    <cellStyle name="20% - 强调文字颜色 5 3 3" xfId="265"/>
    <cellStyle name="20% - 强调文字颜色 5 3 4" xfId="266"/>
    <cellStyle name="20% - 强调文字颜色 5 3 5" xfId="267"/>
    <cellStyle name="20% - 强调文字颜色 5 3 6" xfId="268"/>
    <cellStyle name="20% - 强调文字颜色 5 3 7" xfId="269"/>
    <cellStyle name="20% - 强调文字颜色 5 3 8" xfId="270"/>
    <cellStyle name="20% - 强调文字颜色 5 3 9" xfId="271"/>
    <cellStyle name="20% - 强调文字颜色 5 4 10" xfId="272"/>
    <cellStyle name="20% - 强调文字颜色 5 4 11" xfId="273"/>
    <cellStyle name="20% - 强调文字颜色 5 4 12" xfId="274"/>
    <cellStyle name="20% - 强调文字颜色 5 4 13" xfId="275"/>
    <cellStyle name="20% - 强调文字颜色 5 4 2" xfId="276"/>
    <cellStyle name="20% - 强调文字颜色 5 4 3" xfId="277"/>
    <cellStyle name="20% - 强调文字颜色 5 4 4" xfId="278"/>
    <cellStyle name="20% - 强调文字颜色 5 4 5" xfId="279"/>
    <cellStyle name="20% - 强调文字颜色 5 4 6" xfId="280"/>
    <cellStyle name="20% - 强调文字颜色 5 4 7" xfId="281"/>
    <cellStyle name="20% - 强调文字颜色 5 4 8" xfId="282"/>
    <cellStyle name="20% - 强调文字颜色 5 4 9" xfId="283"/>
    <cellStyle name="20% - 强调文字颜色 5 5 10" xfId="284"/>
    <cellStyle name="20% - 强调文字颜色 5 5 11" xfId="285"/>
    <cellStyle name="20% - 强调文字颜色 5 5 12" xfId="286"/>
    <cellStyle name="20% - 强调文字颜色 5 5 13" xfId="287"/>
    <cellStyle name="20% - 强调文字颜色 5 5 2" xfId="288"/>
    <cellStyle name="20% - 强调文字颜色 5 5 3" xfId="289"/>
    <cellStyle name="20% - 强调文字颜色 5 5 4" xfId="290"/>
    <cellStyle name="20% - 强调文字颜色 5 5 5" xfId="291"/>
    <cellStyle name="20% - 强调文字颜色 5 5 6" xfId="292"/>
    <cellStyle name="20% - 强调文字颜色 5 5 7" xfId="293"/>
    <cellStyle name="20% - 强调文字颜色 5 5 8" xfId="294"/>
    <cellStyle name="20% - 强调文字颜色 5 5 9" xfId="295"/>
    <cellStyle name="20% - 强调文字颜色 5 6 10" xfId="296"/>
    <cellStyle name="20% - 强调文字颜色 5 6 11" xfId="297"/>
    <cellStyle name="20% - 强调文字颜色 5 6 12" xfId="298"/>
    <cellStyle name="20% - 强调文字颜色 5 6 13" xfId="299"/>
    <cellStyle name="20% - 强调文字颜色 5 6 2" xfId="300"/>
    <cellStyle name="20% - 强调文字颜色 5 6 3" xfId="301"/>
    <cellStyle name="20% - 强调文字颜色 5 6 4" xfId="302"/>
    <cellStyle name="20% - 强调文字颜色 5 6 5" xfId="303"/>
    <cellStyle name="20% - 强调文字颜色 5 6 6" xfId="304"/>
    <cellStyle name="20% - 强调文字颜色 5 6 7" xfId="305"/>
    <cellStyle name="20% - 强调文字颜色 5 6 8" xfId="306"/>
    <cellStyle name="20% - 强调文字颜色 5 6 9" xfId="307"/>
    <cellStyle name="20% - 强调文字颜色 6 2" xfId="2506"/>
    <cellStyle name="20% - 强调文字颜色 6 2 10" xfId="308"/>
    <cellStyle name="20% - 强调文字颜色 6 2 11" xfId="309"/>
    <cellStyle name="20% - 强调文字颜色 6 2 12" xfId="310"/>
    <cellStyle name="20% - 强调文字颜色 6 2 13" xfId="311"/>
    <cellStyle name="20% - 强调文字颜色 6 2 2" xfId="312"/>
    <cellStyle name="20% - 强调文字颜色 6 2 3" xfId="313"/>
    <cellStyle name="20% - 强调文字颜色 6 2 4" xfId="314"/>
    <cellStyle name="20% - 强调文字颜色 6 2 5" xfId="315"/>
    <cellStyle name="20% - 强调文字颜色 6 2 6" xfId="316"/>
    <cellStyle name="20% - 强调文字颜色 6 2 7" xfId="317"/>
    <cellStyle name="20% - 强调文字颜色 6 2 8" xfId="318"/>
    <cellStyle name="20% - 强调文字颜色 6 2 9" xfId="319"/>
    <cellStyle name="20% - 强调文字颜色 6 3 10" xfId="320"/>
    <cellStyle name="20% - 强调文字颜色 6 3 11" xfId="321"/>
    <cellStyle name="20% - 强调文字颜色 6 3 12" xfId="322"/>
    <cellStyle name="20% - 强调文字颜色 6 3 13" xfId="323"/>
    <cellStyle name="20% - 强调文字颜色 6 3 2" xfId="324"/>
    <cellStyle name="20% - 强调文字颜色 6 3 3" xfId="325"/>
    <cellStyle name="20% - 强调文字颜色 6 3 4" xfId="326"/>
    <cellStyle name="20% - 强调文字颜色 6 3 5" xfId="327"/>
    <cellStyle name="20% - 强调文字颜色 6 3 6" xfId="328"/>
    <cellStyle name="20% - 强调文字颜色 6 3 7" xfId="329"/>
    <cellStyle name="20% - 强调文字颜色 6 3 8" xfId="330"/>
    <cellStyle name="20% - 强调文字颜色 6 3 9" xfId="331"/>
    <cellStyle name="20% - 强调文字颜色 6 4 10" xfId="332"/>
    <cellStyle name="20% - 强调文字颜色 6 4 11" xfId="333"/>
    <cellStyle name="20% - 强调文字颜色 6 4 12" xfId="334"/>
    <cellStyle name="20% - 强调文字颜色 6 4 13" xfId="335"/>
    <cellStyle name="20% - 强调文字颜色 6 4 2" xfId="336"/>
    <cellStyle name="20% - 强调文字颜色 6 4 3" xfId="337"/>
    <cellStyle name="20% - 强调文字颜色 6 4 4" xfId="338"/>
    <cellStyle name="20% - 强调文字颜色 6 4 5" xfId="339"/>
    <cellStyle name="20% - 强调文字颜色 6 4 6" xfId="340"/>
    <cellStyle name="20% - 强调文字颜色 6 4 7" xfId="341"/>
    <cellStyle name="20% - 强调文字颜色 6 4 8" xfId="342"/>
    <cellStyle name="20% - 强调文字颜色 6 4 9" xfId="343"/>
    <cellStyle name="20% - 强调文字颜色 6 5 10" xfId="344"/>
    <cellStyle name="20% - 强调文字颜色 6 5 11" xfId="345"/>
    <cellStyle name="20% - 强调文字颜色 6 5 12" xfId="346"/>
    <cellStyle name="20% - 强调文字颜色 6 5 13" xfId="347"/>
    <cellStyle name="20% - 强调文字颜色 6 5 2" xfId="348"/>
    <cellStyle name="20% - 强调文字颜色 6 5 3" xfId="349"/>
    <cellStyle name="20% - 强调文字颜色 6 5 4" xfId="350"/>
    <cellStyle name="20% - 强调文字颜色 6 5 5" xfId="351"/>
    <cellStyle name="20% - 强调文字颜色 6 5 6" xfId="352"/>
    <cellStyle name="20% - 强调文字颜色 6 5 7" xfId="353"/>
    <cellStyle name="20% - 强调文字颜色 6 5 8" xfId="354"/>
    <cellStyle name="20% - 强调文字颜色 6 5 9" xfId="355"/>
    <cellStyle name="20% - 强调文字颜色 6 6 10" xfId="356"/>
    <cellStyle name="20% - 强调文字颜色 6 6 11" xfId="357"/>
    <cellStyle name="20% - 强调文字颜色 6 6 12" xfId="358"/>
    <cellStyle name="20% - 强调文字颜色 6 6 13" xfId="359"/>
    <cellStyle name="20% - 强调文字颜色 6 6 2" xfId="360"/>
    <cellStyle name="20% - 强调文字颜色 6 6 3" xfId="361"/>
    <cellStyle name="20% - 强调文字颜色 6 6 4" xfId="362"/>
    <cellStyle name="20% - 强调文字颜色 6 6 5" xfId="363"/>
    <cellStyle name="20% - 强调文字颜色 6 6 6" xfId="364"/>
    <cellStyle name="20% - 强调文字颜色 6 6 7" xfId="365"/>
    <cellStyle name="20% - 强调文字颜色 6 6 8" xfId="366"/>
    <cellStyle name="20% - 强调文字颜色 6 6 9" xfId="367"/>
    <cellStyle name="40% - 强调文字颜色 1 2" xfId="2487"/>
    <cellStyle name="40% - 强调文字颜色 1 2 10" xfId="368"/>
    <cellStyle name="40% - 强调文字颜色 1 2 11" xfId="369"/>
    <cellStyle name="40% - 强调文字颜色 1 2 12" xfId="370"/>
    <cellStyle name="40% - 强调文字颜色 1 2 13" xfId="371"/>
    <cellStyle name="40% - 强调文字颜色 1 2 2" xfId="372"/>
    <cellStyle name="40% - 强调文字颜色 1 2 3" xfId="373"/>
    <cellStyle name="40% - 强调文字颜色 1 2 4" xfId="374"/>
    <cellStyle name="40% - 强调文字颜色 1 2 5" xfId="375"/>
    <cellStyle name="40% - 强调文字颜色 1 2 6" xfId="376"/>
    <cellStyle name="40% - 强调文字颜色 1 2 7" xfId="377"/>
    <cellStyle name="40% - 强调文字颜色 1 2 8" xfId="378"/>
    <cellStyle name="40% - 强调文字颜色 1 2 9" xfId="379"/>
    <cellStyle name="40% - 强调文字颜色 1 3 10" xfId="380"/>
    <cellStyle name="40% - 强调文字颜色 1 3 11" xfId="381"/>
    <cellStyle name="40% - 强调文字颜色 1 3 12" xfId="382"/>
    <cellStyle name="40% - 强调文字颜色 1 3 13" xfId="383"/>
    <cellStyle name="40% - 强调文字颜色 1 3 2" xfId="384"/>
    <cellStyle name="40% - 强调文字颜色 1 3 3" xfId="385"/>
    <cellStyle name="40% - 强调文字颜色 1 3 4" xfId="386"/>
    <cellStyle name="40% - 强调文字颜色 1 3 5" xfId="387"/>
    <cellStyle name="40% - 强调文字颜色 1 3 6" xfId="388"/>
    <cellStyle name="40% - 强调文字颜色 1 3 7" xfId="389"/>
    <cellStyle name="40% - 强调文字颜色 1 3 8" xfId="390"/>
    <cellStyle name="40% - 强调文字颜色 1 3 9" xfId="391"/>
    <cellStyle name="40% - 强调文字颜色 1 4 10" xfId="392"/>
    <cellStyle name="40% - 强调文字颜色 1 4 11" xfId="393"/>
    <cellStyle name="40% - 强调文字颜色 1 4 12" xfId="394"/>
    <cellStyle name="40% - 强调文字颜色 1 4 13" xfId="395"/>
    <cellStyle name="40% - 强调文字颜色 1 4 2" xfId="396"/>
    <cellStyle name="40% - 强调文字颜色 1 4 3" xfId="397"/>
    <cellStyle name="40% - 强调文字颜色 1 4 4" xfId="398"/>
    <cellStyle name="40% - 强调文字颜色 1 4 5" xfId="399"/>
    <cellStyle name="40% - 强调文字颜色 1 4 6" xfId="400"/>
    <cellStyle name="40% - 强调文字颜色 1 4 7" xfId="401"/>
    <cellStyle name="40% - 强调文字颜色 1 4 8" xfId="402"/>
    <cellStyle name="40% - 强调文字颜色 1 4 9" xfId="403"/>
    <cellStyle name="40% - 强调文字颜色 1 5 10" xfId="404"/>
    <cellStyle name="40% - 强调文字颜色 1 5 11" xfId="405"/>
    <cellStyle name="40% - 强调文字颜色 1 5 12" xfId="406"/>
    <cellStyle name="40% - 强调文字颜色 1 5 13" xfId="407"/>
    <cellStyle name="40% - 强调文字颜色 1 5 2" xfId="408"/>
    <cellStyle name="40% - 强调文字颜色 1 5 3" xfId="409"/>
    <cellStyle name="40% - 强调文字颜色 1 5 4" xfId="410"/>
    <cellStyle name="40% - 强调文字颜色 1 5 5" xfId="411"/>
    <cellStyle name="40% - 强调文字颜色 1 5 6" xfId="412"/>
    <cellStyle name="40% - 强调文字颜色 1 5 7" xfId="413"/>
    <cellStyle name="40% - 强调文字颜色 1 5 8" xfId="414"/>
    <cellStyle name="40% - 强调文字颜色 1 5 9" xfId="415"/>
    <cellStyle name="40% - 强调文字颜色 1 6 10" xfId="416"/>
    <cellStyle name="40% - 强调文字颜色 1 6 11" xfId="417"/>
    <cellStyle name="40% - 强调文字颜色 1 6 12" xfId="418"/>
    <cellStyle name="40% - 强调文字颜色 1 6 13" xfId="419"/>
    <cellStyle name="40% - 强调文字颜色 1 6 2" xfId="420"/>
    <cellStyle name="40% - 强调文字颜色 1 6 3" xfId="421"/>
    <cellStyle name="40% - 强调文字颜色 1 6 4" xfId="422"/>
    <cellStyle name="40% - 强调文字颜色 1 6 5" xfId="423"/>
    <cellStyle name="40% - 强调文字颜色 1 6 6" xfId="424"/>
    <cellStyle name="40% - 强调文字颜色 1 6 7" xfId="425"/>
    <cellStyle name="40% - 强调文字颜色 1 6 8" xfId="426"/>
    <cellStyle name="40% - 强调文字颜色 1 6 9" xfId="427"/>
    <cellStyle name="40% - 强调文字颜色 2 2" xfId="2491"/>
    <cellStyle name="40% - 强调文字颜色 2 2 10" xfId="428"/>
    <cellStyle name="40% - 强调文字颜色 2 2 11" xfId="429"/>
    <cellStyle name="40% - 强调文字颜色 2 2 12" xfId="430"/>
    <cellStyle name="40% - 强调文字颜色 2 2 13" xfId="431"/>
    <cellStyle name="40% - 强调文字颜色 2 2 2" xfId="432"/>
    <cellStyle name="40% - 强调文字颜色 2 2 3" xfId="433"/>
    <cellStyle name="40% - 强调文字颜色 2 2 4" xfId="434"/>
    <cellStyle name="40% - 强调文字颜色 2 2 5" xfId="435"/>
    <cellStyle name="40% - 强调文字颜色 2 2 6" xfId="436"/>
    <cellStyle name="40% - 强调文字颜色 2 2 7" xfId="437"/>
    <cellStyle name="40% - 强调文字颜色 2 2 8" xfId="438"/>
    <cellStyle name="40% - 强调文字颜色 2 2 9" xfId="439"/>
    <cellStyle name="40% - 强调文字颜色 2 3 10" xfId="440"/>
    <cellStyle name="40% - 强调文字颜色 2 3 11" xfId="441"/>
    <cellStyle name="40% - 强调文字颜色 2 3 12" xfId="442"/>
    <cellStyle name="40% - 强调文字颜色 2 3 13" xfId="443"/>
    <cellStyle name="40% - 强调文字颜色 2 3 2" xfId="444"/>
    <cellStyle name="40% - 强调文字颜色 2 3 3" xfId="445"/>
    <cellStyle name="40% - 强调文字颜色 2 3 4" xfId="446"/>
    <cellStyle name="40% - 强调文字颜色 2 3 5" xfId="447"/>
    <cellStyle name="40% - 强调文字颜色 2 3 6" xfId="448"/>
    <cellStyle name="40% - 强调文字颜色 2 3 7" xfId="449"/>
    <cellStyle name="40% - 强调文字颜色 2 3 8" xfId="450"/>
    <cellStyle name="40% - 强调文字颜色 2 3 9" xfId="451"/>
    <cellStyle name="40% - 强调文字颜色 2 4 10" xfId="452"/>
    <cellStyle name="40% - 强调文字颜色 2 4 11" xfId="453"/>
    <cellStyle name="40% - 强调文字颜色 2 4 12" xfId="454"/>
    <cellStyle name="40% - 强调文字颜色 2 4 13" xfId="455"/>
    <cellStyle name="40% - 强调文字颜色 2 4 2" xfId="456"/>
    <cellStyle name="40% - 强调文字颜色 2 4 3" xfId="457"/>
    <cellStyle name="40% - 强调文字颜色 2 4 4" xfId="458"/>
    <cellStyle name="40% - 强调文字颜色 2 4 5" xfId="459"/>
    <cellStyle name="40% - 强调文字颜色 2 4 6" xfId="460"/>
    <cellStyle name="40% - 强调文字颜色 2 4 7" xfId="461"/>
    <cellStyle name="40% - 强调文字颜色 2 4 8" xfId="462"/>
    <cellStyle name="40% - 强调文字颜色 2 4 9" xfId="463"/>
    <cellStyle name="40% - 强调文字颜色 2 5 10" xfId="464"/>
    <cellStyle name="40% - 强调文字颜色 2 5 11" xfId="465"/>
    <cellStyle name="40% - 强调文字颜色 2 5 12" xfId="466"/>
    <cellStyle name="40% - 强调文字颜色 2 5 13" xfId="467"/>
    <cellStyle name="40% - 强调文字颜色 2 5 2" xfId="468"/>
    <cellStyle name="40% - 强调文字颜色 2 5 3" xfId="469"/>
    <cellStyle name="40% - 强调文字颜色 2 5 4" xfId="470"/>
    <cellStyle name="40% - 强调文字颜色 2 5 5" xfId="471"/>
    <cellStyle name="40% - 强调文字颜色 2 5 6" xfId="472"/>
    <cellStyle name="40% - 强调文字颜色 2 5 7" xfId="473"/>
    <cellStyle name="40% - 强调文字颜色 2 5 8" xfId="474"/>
    <cellStyle name="40% - 强调文字颜色 2 5 9" xfId="475"/>
    <cellStyle name="40% - 强调文字颜色 2 6 10" xfId="476"/>
    <cellStyle name="40% - 强调文字颜色 2 6 11" xfId="477"/>
    <cellStyle name="40% - 强调文字颜色 2 6 12" xfId="478"/>
    <cellStyle name="40% - 强调文字颜色 2 6 13" xfId="479"/>
    <cellStyle name="40% - 强调文字颜色 2 6 2" xfId="480"/>
    <cellStyle name="40% - 强调文字颜色 2 6 3" xfId="481"/>
    <cellStyle name="40% - 强调文字颜色 2 6 4" xfId="482"/>
    <cellStyle name="40% - 强调文字颜色 2 6 5" xfId="483"/>
    <cellStyle name="40% - 强调文字颜色 2 6 6" xfId="484"/>
    <cellStyle name="40% - 强调文字颜色 2 6 7" xfId="485"/>
    <cellStyle name="40% - 强调文字颜色 2 6 8" xfId="486"/>
    <cellStyle name="40% - 强调文字颜色 2 6 9" xfId="487"/>
    <cellStyle name="40% - 强调文字颜色 3 2" xfId="2495"/>
    <cellStyle name="40% - 强调文字颜色 3 2 10" xfId="488"/>
    <cellStyle name="40% - 强调文字颜色 3 2 11" xfId="489"/>
    <cellStyle name="40% - 强调文字颜色 3 2 12" xfId="490"/>
    <cellStyle name="40% - 强调文字颜色 3 2 13" xfId="491"/>
    <cellStyle name="40% - 强调文字颜色 3 2 2" xfId="492"/>
    <cellStyle name="40% - 强调文字颜色 3 2 3" xfId="493"/>
    <cellStyle name="40% - 强调文字颜色 3 2 4" xfId="494"/>
    <cellStyle name="40% - 强调文字颜色 3 2 5" xfId="495"/>
    <cellStyle name="40% - 强调文字颜色 3 2 6" xfId="496"/>
    <cellStyle name="40% - 强调文字颜色 3 2 7" xfId="497"/>
    <cellStyle name="40% - 强调文字颜色 3 2 8" xfId="498"/>
    <cellStyle name="40% - 强调文字颜色 3 2 9" xfId="499"/>
    <cellStyle name="40% - 强调文字颜色 3 3 10" xfId="500"/>
    <cellStyle name="40% - 强调文字颜色 3 3 11" xfId="501"/>
    <cellStyle name="40% - 强调文字颜色 3 3 12" xfId="502"/>
    <cellStyle name="40% - 强调文字颜色 3 3 13" xfId="503"/>
    <cellStyle name="40% - 强调文字颜色 3 3 2" xfId="504"/>
    <cellStyle name="40% - 强调文字颜色 3 3 3" xfId="505"/>
    <cellStyle name="40% - 强调文字颜色 3 3 4" xfId="506"/>
    <cellStyle name="40% - 强调文字颜色 3 3 5" xfId="507"/>
    <cellStyle name="40% - 强调文字颜色 3 3 6" xfId="508"/>
    <cellStyle name="40% - 强调文字颜色 3 3 7" xfId="509"/>
    <cellStyle name="40% - 强调文字颜色 3 3 8" xfId="510"/>
    <cellStyle name="40% - 强调文字颜色 3 3 9" xfId="511"/>
    <cellStyle name="40% - 强调文字颜色 3 4 10" xfId="512"/>
    <cellStyle name="40% - 强调文字颜色 3 4 11" xfId="513"/>
    <cellStyle name="40% - 强调文字颜色 3 4 12" xfId="514"/>
    <cellStyle name="40% - 强调文字颜色 3 4 13" xfId="515"/>
    <cellStyle name="40% - 强调文字颜色 3 4 2" xfId="516"/>
    <cellStyle name="40% - 强调文字颜色 3 4 3" xfId="517"/>
    <cellStyle name="40% - 强调文字颜色 3 4 4" xfId="518"/>
    <cellStyle name="40% - 强调文字颜色 3 4 5" xfId="519"/>
    <cellStyle name="40% - 强调文字颜色 3 4 6" xfId="520"/>
    <cellStyle name="40% - 强调文字颜色 3 4 7" xfId="521"/>
    <cellStyle name="40% - 强调文字颜色 3 4 8" xfId="522"/>
    <cellStyle name="40% - 强调文字颜色 3 4 9" xfId="523"/>
    <cellStyle name="40% - 强调文字颜色 3 5 10" xfId="524"/>
    <cellStyle name="40% - 强调文字颜色 3 5 11" xfId="525"/>
    <cellStyle name="40% - 强调文字颜色 3 5 12" xfId="526"/>
    <cellStyle name="40% - 强调文字颜色 3 5 13" xfId="527"/>
    <cellStyle name="40% - 强调文字颜色 3 5 2" xfId="528"/>
    <cellStyle name="40% - 强调文字颜色 3 5 3" xfId="529"/>
    <cellStyle name="40% - 强调文字颜色 3 5 4" xfId="530"/>
    <cellStyle name="40% - 强调文字颜色 3 5 5" xfId="531"/>
    <cellStyle name="40% - 强调文字颜色 3 5 6" xfId="532"/>
    <cellStyle name="40% - 强调文字颜色 3 5 7" xfId="533"/>
    <cellStyle name="40% - 强调文字颜色 3 5 8" xfId="534"/>
    <cellStyle name="40% - 强调文字颜色 3 5 9" xfId="535"/>
    <cellStyle name="40% - 强调文字颜色 3 6 10" xfId="536"/>
    <cellStyle name="40% - 强调文字颜色 3 6 11" xfId="537"/>
    <cellStyle name="40% - 强调文字颜色 3 6 12" xfId="538"/>
    <cellStyle name="40% - 强调文字颜色 3 6 13" xfId="539"/>
    <cellStyle name="40% - 强调文字颜色 3 6 2" xfId="540"/>
    <cellStyle name="40% - 强调文字颜色 3 6 3" xfId="541"/>
    <cellStyle name="40% - 强调文字颜色 3 6 4" xfId="542"/>
    <cellStyle name="40% - 强调文字颜色 3 6 5" xfId="543"/>
    <cellStyle name="40% - 强调文字颜色 3 6 6" xfId="544"/>
    <cellStyle name="40% - 强调文字颜色 3 6 7" xfId="545"/>
    <cellStyle name="40% - 强调文字颜色 3 6 8" xfId="546"/>
    <cellStyle name="40% - 强调文字颜色 3 6 9" xfId="547"/>
    <cellStyle name="40% - 强调文字颜色 4 2" xfId="2499"/>
    <cellStyle name="40% - 强调文字颜色 4 2 10" xfId="548"/>
    <cellStyle name="40% - 强调文字颜色 4 2 11" xfId="549"/>
    <cellStyle name="40% - 强调文字颜色 4 2 12" xfId="550"/>
    <cellStyle name="40% - 强调文字颜色 4 2 13" xfId="551"/>
    <cellStyle name="40% - 强调文字颜色 4 2 2" xfId="552"/>
    <cellStyle name="40% - 强调文字颜色 4 2 3" xfId="553"/>
    <cellStyle name="40% - 强调文字颜色 4 2 4" xfId="554"/>
    <cellStyle name="40% - 强调文字颜色 4 2 5" xfId="555"/>
    <cellStyle name="40% - 强调文字颜色 4 2 6" xfId="556"/>
    <cellStyle name="40% - 强调文字颜色 4 2 7" xfId="557"/>
    <cellStyle name="40% - 强调文字颜色 4 2 8" xfId="558"/>
    <cellStyle name="40% - 强调文字颜色 4 2 9" xfId="559"/>
    <cellStyle name="40% - 强调文字颜色 4 3 10" xfId="560"/>
    <cellStyle name="40% - 强调文字颜色 4 3 11" xfId="561"/>
    <cellStyle name="40% - 强调文字颜色 4 3 12" xfId="562"/>
    <cellStyle name="40% - 强调文字颜色 4 3 13" xfId="563"/>
    <cellStyle name="40% - 强调文字颜色 4 3 2" xfId="564"/>
    <cellStyle name="40% - 强调文字颜色 4 3 3" xfId="565"/>
    <cellStyle name="40% - 强调文字颜色 4 3 4" xfId="566"/>
    <cellStyle name="40% - 强调文字颜色 4 3 5" xfId="567"/>
    <cellStyle name="40% - 强调文字颜色 4 3 6" xfId="568"/>
    <cellStyle name="40% - 强调文字颜色 4 3 7" xfId="569"/>
    <cellStyle name="40% - 强调文字颜色 4 3 8" xfId="570"/>
    <cellStyle name="40% - 强调文字颜色 4 3 9" xfId="571"/>
    <cellStyle name="40% - 强调文字颜色 4 4 10" xfId="572"/>
    <cellStyle name="40% - 强调文字颜色 4 4 11" xfId="573"/>
    <cellStyle name="40% - 强调文字颜色 4 4 12" xfId="574"/>
    <cellStyle name="40% - 强调文字颜色 4 4 13" xfId="575"/>
    <cellStyle name="40% - 强调文字颜色 4 4 2" xfId="576"/>
    <cellStyle name="40% - 强调文字颜色 4 4 3" xfId="577"/>
    <cellStyle name="40% - 强调文字颜色 4 4 4" xfId="578"/>
    <cellStyle name="40% - 强调文字颜色 4 4 5" xfId="579"/>
    <cellStyle name="40% - 强调文字颜色 4 4 6" xfId="580"/>
    <cellStyle name="40% - 强调文字颜色 4 4 7" xfId="581"/>
    <cellStyle name="40% - 强调文字颜色 4 4 8" xfId="582"/>
    <cellStyle name="40% - 强调文字颜色 4 4 9" xfId="583"/>
    <cellStyle name="40% - 强调文字颜色 4 5 10" xfId="584"/>
    <cellStyle name="40% - 强调文字颜色 4 5 11" xfId="585"/>
    <cellStyle name="40% - 强调文字颜色 4 5 12" xfId="586"/>
    <cellStyle name="40% - 强调文字颜色 4 5 13" xfId="587"/>
    <cellStyle name="40% - 强调文字颜色 4 5 2" xfId="588"/>
    <cellStyle name="40% - 强调文字颜色 4 5 3" xfId="589"/>
    <cellStyle name="40% - 强调文字颜色 4 5 4" xfId="590"/>
    <cellStyle name="40% - 强调文字颜色 4 5 5" xfId="591"/>
    <cellStyle name="40% - 强调文字颜色 4 5 6" xfId="592"/>
    <cellStyle name="40% - 强调文字颜色 4 5 7" xfId="593"/>
    <cellStyle name="40% - 强调文字颜色 4 5 8" xfId="594"/>
    <cellStyle name="40% - 强调文字颜色 4 5 9" xfId="595"/>
    <cellStyle name="40% - 强调文字颜色 4 6 10" xfId="596"/>
    <cellStyle name="40% - 强调文字颜色 4 6 11" xfId="597"/>
    <cellStyle name="40% - 强调文字颜色 4 6 12" xfId="598"/>
    <cellStyle name="40% - 强调文字颜色 4 6 13" xfId="599"/>
    <cellStyle name="40% - 强调文字颜色 4 6 2" xfId="600"/>
    <cellStyle name="40% - 强调文字颜色 4 6 3" xfId="601"/>
    <cellStyle name="40% - 强调文字颜色 4 6 4" xfId="602"/>
    <cellStyle name="40% - 强调文字颜色 4 6 5" xfId="603"/>
    <cellStyle name="40% - 强调文字颜色 4 6 6" xfId="604"/>
    <cellStyle name="40% - 强调文字颜色 4 6 7" xfId="605"/>
    <cellStyle name="40% - 强调文字颜色 4 6 8" xfId="606"/>
    <cellStyle name="40% - 强调文字颜色 4 6 9" xfId="607"/>
    <cellStyle name="40% - 强调文字颜色 5 2" xfId="2503"/>
    <cellStyle name="40% - 强调文字颜色 5 2 10" xfId="608"/>
    <cellStyle name="40% - 强调文字颜色 5 2 11" xfId="609"/>
    <cellStyle name="40% - 强调文字颜色 5 2 12" xfId="610"/>
    <cellStyle name="40% - 强调文字颜色 5 2 13" xfId="611"/>
    <cellStyle name="40% - 强调文字颜色 5 2 2" xfId="612"/>
    <cellStyle name="40% - 强调文字颜色 5 2 3" xfId="613"/>
    <cellStyle name="40% - 强调文字颜色 5 2 4" xfId="614"/>
    <cellStyle name="40% - 强调文字颜色 5 2 5" xfId="615"/>
    <cellStyle name="40% - 强调文字颜色 5 2 6" xfId="616"/>
    <cellStyle name="40% - 强调文字颜色 5 2 7" xfId="617"/>
    <cellStyle name="40% - 强调文字颜色 5 2 8" xfId="618"/>
    <cellStyle name="40% - 强调文字颜色 5 2 9" xfId="619"/>
    <cellStyle name="40% - 强调文字颜色 5 3 10" xfId="620"/>
    <cellStyle name="40% - 强调文字颜色 5 3 11" xfId="621"/>
    <cellStyle name="40% - 强调文字颜色 5 3 12" xfId="622"/>
    <cellStyle name="40% - 强调文字颜色 5 3 13" xfId="623"/>
    <cellStyle name="40% - 强调文字颜色 5 3 2" xfId="624"/>
    <cellStyle name="40% - 强调文字颜色 5 3 3" xfId="625"/>
    <cellStyle name="40% - 强调文字颜色 5 3 4" xfId="626"/>
    <cellStyle name="40% - 强调文字颜色 5 3 5" xfId="627"/>
    <cellStyle name="40% - 强调文字颜色 5 3 6" xfId="628"/>
    <cellStyle name="40% - 强调文字颜色 5 3 7" xfId="629"/>
    <cellStyle name="40% - 强调文字颜色 5 3 8" xfId="630"/>
    <cellStyle name="40% - 强调文字颜色 5 3 9" xfId="631"/>
    <cellStyle name="40% - 强调文字颜色 5 4 10" xfId="632"/>
    <cellStyle name="40% - 强调文字颜色 5 4 11" xfId="633"/>
    <cellStyle name="40% - 强调文字颜色 5 4 12" xfId="634"/>
    <cellStyle name="40% - 强调文字颜色 5 4 13" xfId="635"/>
    <cellStyle name="40% - 强调文字颜色 5 4 2" xfId="636"/>
    <cellStyle name="40% - 强调文字颜色 5 4 3" xfId="637"/>
    <cellStyle name="40% - 强调文字颜色 5 4 4" xfId="638"/>
    <cellStyle name="40% - 强调文字颜色 5 4 5" xfId="639"/>
    <cellStyle name="40% - 强调文字颜色 5 4 6" xfId="640"/>
    <cellStyle name="40% - 强调文字颜色 5 4 7" xfId="641"/>
    <cellStyle name="40% - 强调文字颜色 5 4 8" xfId="642"/>
    <cellStyle name="40% - 强调文字颜色 5 4 9" xfId="643"/>
    <cellStyle name="40% - 强调文字颜色 5 5 10" xfId="644"/>
    <cellStyle name="40% - 强调文字颜色 5 5 11" xfId="645"/>
    <cellStyle name="40% - 强调文字颜色 5 5 12" xfId="646"/>
    <cellStyle name="40% - 强调文字颜色 5 5 13" xfId="647"/>
    <cellStyle name="40% - 强调文字颜色 5 5 2" xfId="648"/>
    <cellStyle name="40% - 强调文字颜色 5 5 3" xfId="649"/>
    <cellStyle name="40% - 强调文字颜色 5 5 4" xfId="650"/>
    <cellStyle name="40% - 强调文字颜色 5 5 5" xfId="651"/>
    <cellStyle name="40% - 强调文字颜色 5 5 6" xfId="652"/>
    <cellStyle name="40% - 强调文字颜色 5 5 7" xfId="653"/>
    <cellStyle name="40% - 强调文字颜色 5 5 8" xfId="654"/>
    <cellStyle name="40% - 强调文字颜色 5 5 9" xfId="655"/>
    <cellStyle name="40% - 强调文字颜色 5 6 10" xfId="656"/>
    <cellStyle name="40% - 强调文字颜色 5 6 11" xfId="657"/>
    <cellStyle name="40% - 强调文字颜色 5 6 12" xfId="658"/>
    <cellStyle name="40% - 强调文字颜色 5 6 13" xfId="659"/>
    <cellStyle name="40% - 强调文字颜色 5 6 2" xfId="660"/>
    <cellStyle name="40% - 强调文字颜色 5 6 3" xfId="661"/>
    <cellStyle name="40% - 强调文字颜色 5 6 4" xfId="662"/>
    <cellStyle name="40% - 强调文字颜色 5 6 5" xfId="663"/>
    <cellStyle name="40% - 强调文字颜色 5 6 6" xfId="664"/>
    <cellStyle name="40% - 强调文字颜色 5 6 7" xfId="665"/>
    <cellStyle name="40% - 强调文字颜色 5 6 8" xfId="666"/>
    <cellStyle name="40% - 强调文字颜色 5 6 9" xfId="667"/>
    <cellStyle name="40% - 强调文字颜色 6 2" xfId="2507"/>
    <cellStyle name="40% - 强调文字颜色 6 2 10" xfId="668"/>
    <cellStyle name="40% - 强调文字颜色 6 2 11" xfId="669"/>
    <cellStyle name="40% - 强调文字颜色 6 2 12" xfId="670"/>
    <cellStyle name="40% - 强调文字颜色 6 2 13" xfId="671"/>
    <cellStyle name="40% - 强调文字颜色 6 2 2" xfId="672"/>
    <cellStyle name="40% - 强调文字颜色 6 2 3" xfId="673"/>
    <cellStyle name="40% - 强调文字颜色 6 2 4" xfId="674"/>
    <cellStyle name="40% - 强调文字颜色 6 2 5" xfId="675"/>
    <cellStyle name="40% - 强调文字颜色 6 2 6" xfId="676"/>
    <cellStyle name="40% - 强调文字颜色 6 2 7" xfId="677"/>
    <cellStyle name="40% - 强调文字颜色 6 2 8" xfId="678"/>
    <cellStyle name="40% - 强调文字颜色 6 2 9" xfId="679"/>
    <cellStyle name="40% - 强调文字颜色 6 3 10" xfId="680"/>
    <cellStyle name="40% - 强调文字颜色 6 3 11" xfId="681"/>
    <cellStyle name="40% - 强调文字颜色 6 3 12" xfId="682"/>
    <cellStyle name="40% - 强调文字颜色 6 3 13" xfId="683"/>
    <cellStyle name="40% - 强调文字颜色 6 3 2" xfId="684"/>
    <cellStyle name="40% - 强调文字颜色 6 3 3" xfId="685"/>
    <cellStyle name="40% - 强调文字颜色 6 3 4" xfId="686"/>
    <cellStyle name="40% - 强调文字颜色 6 3 5" xfId="687"/>
    <cellStyle name="40% - 强调文字颜色 6 3 6" xfId="688"/>
    <cellStyle name="40% - 强调文字颜色 6 3 7" xfId="689"/>
    <cellStyle name="40% - 强调文字颜色 6 3 8" xfId="690"/>
    <cellStyle name="40% - 强调文字颜色 6 3 9" xfId="691"/>
    <cellStyle name="40% - 强调文字颜色 6 4 10" xfId="692"/>
    <cellStyle name="40% - 强调文字颜色 6 4 11" xfId="693"/>
    <cellStyle name="40% - 强调文字颜色 6 4 12" xfId="694"/>
    <cellStyle name="40% - 强调文字颜色 6 4 13" xfId="695"/>
    <cellStyle name="40% - 强调文字颜色 6 4 2" xfId="696"/>
    <cellStyle name="40% - 强调文字颜色 6 4 3" xfId="697"/>
    <cellStyle name="40% - 强调文字颜色 6 4 4" xfId="698"/>
    <cellStyle name="40% - 强调文字颜色 6 4 5" xfId="699"/>
    <cellStyle name="40% - 强调文字颜色 6 4 6" xfId="700"/>
    <cellStyle name="40% - 强调文字颜色 6 4 7" xfId="701"/>
    <cellStyle name="40% - 强调文字颜色 6 4 8" xfId="702"/>
    <cellStyle name="40% - 强调文字颜色 6 4 9" xfId="703"/>
    <cellStyle name="40% - 强调文字颜色 6 5 10" xfId="704"/>
    <cellStyle name="40% - 强调文字颜色 6 5 11" xfId="705"/>
    <cellStyle name="40% - 强调文字颜色 6 5 12" xfId="706"/>
    <cellStyle name="40% - 强调文字颜色 6 5 13" xfId="707"/>
    <cellStyle name="40% - 强调文字颜色 6 5 2" xfId="708"/>
    <cellStyle name="40% - 强调文字颜色 6 5 3" xfId="709"/>
    <cellStyle name="40% - 强调文字颜色 6 5 4" xfId="710"/>
    <cellStyle name="40% - 强调文字颜色 6 5 5" xfId="711"/>
    <cellStyle name="40% - 强调文字颜色 6 5 6" xfId="712"/>
    <cellStyle name="40% - 强调文字颜色 6 5 7" xfId="713"/>
    <cellStyle name="40% - 强调文字颜色 6 5 8" xfId="714"/>
    <cellStyle name="40% - 强调文字颜色 6 5 9" xfId="715"/>
    <cellStyle name="40% - 强调文字颜色 6 6 10" xfId="716"/>
    <cellStyle name="40% - 强调文字颜色 6 6 11" xfId="717"/>
    <cellStyle name="40% - 强调文字颜色 6 6 12" xfId="718"/>
    <cellStyle name="40% - 强调文字颜色 6 6 13" xfId="719"/>
    <cellStyle name="40% - 强调文字颜色 6 6 2" xfId="720"/>
    <cellStyle name="40% - 强调文字颜色 6 6 3" xfId="721"/>
    <cellStyle name="40% - 强调文字颜色 6 6 4" xfId="722"/>
    <cellStyle name="40% - 强调文字颜色 6 6 5" xfId="723"/>
    <cellStyle name="40% - 强调文字颜色 6 6 6" xfId="724"/>
    <cellStyle name="40% - 强调文字颜色 6 6 7" xfId="725"/>
    <cellStyle name="40% - 强调文字颜色 6 6 8" xfId="726"/>
    <cellStyle name="40% - 强调文字颜色 6 6 9" xfId="727"/>
    <cellStyle name="60% - 强调文字颜色 1 2" xfId="2488"/>
    <cellStyle name="60% - 强调文字颜色 1 2 10" xfId="728"/>
    <cellStyle name="60% - 强调文字颜色 1 2 11" xfId="729"/>
    <cellStyle name="60% - 强调文字颜色 1 2 12" xfId="730"/>
    <cellStyle name="60% - 强调文字颜色 1 2 13" xfId="731"/>
    <cellStyle name="60% - 强调文字颜色 1 2 2" xfId="732"/>
    <cellStyle name="60% - 强调文字颜色 1 2 3" xfId="733"/>
    <cellStyle name="60% - 强调文字颜色 1 2 4" xfId="734"/>
    <cellStyle name="60% - 强调文字颜色 1 2 5" xfId="735"/>
    <cellStyle name="60% - 强调文字颜色 1 2 6" xfId="736"/>
    <cellStyle name="60% - 强调文字颜色 1 2 7" xfId="737"/>
    <cellStyle name="60% - 强调文字颜色 1 2 8" xfId="738"/>
    <cellStyle name="60% - 强调文字颜色 1 2 9" xfId="739"/>
    <cellStyle name="60% - 强调文字颜色 1 3 10" xfId="740"/>
    <cellStyle name="60% - 强调文字颜色 1 3 11" xfId="741"/>
    <cellStyle name="60% - 强调文字颜色 1 3 12" xfId="742"/>
    <cellStyle name="60% - 强调文字颜色 1 3 13" xfId="743"/>
    <cellStyle name="60% - 强调文字颜色 1 3 2" xfId="744"/>
    <cellStyle name="60% - 强调文字颜色 1 3 3" xfId="745"/>
    <cellStyle name="60% - 强调文字颜色 1 3 4" xfId="746"/>
    <cellStyle name="60% - 强调文字颜色 1 3 5" xfId="747"/>
    <cellStyle name="60% - 强调文字颜色 1 3 6" xfId="748"/>
    <cellStyle name="60% - 强调文字颜色 1 3 7" xfId="749"/>
    <cellStyle name="60% - 强调文字颜色 1 3 8" xfId="750"/>
    <cellStyle name="60% - 强调文字颜色 1 3 9" xfId="751"/>
    <cellStyle name="60% - 强调文字颜色 1 4 10" xfId="752"/>
    <cellStyle name="60% - 强调文字颜色 1 4 11" xfId="753"/>
    <cellStyle name="60% - 强调文字颜色 1 4 12" xfId="754"/>
    <cellStyle name="60% - 强调文字颜色 1 4 13" xfId="755"/>
    <cellStyle name="60% - 强调文字颜色 1 4 2" xfId="756"/>
    <cellStyle name="60% - 强调文字颜色 1 4 3" xfId="757"/>
    <cellStyle name="60% - 强调文字颜色 1 4 4" xfId="758"/>
    <cellStyle name="60% - 强调文字颜色 1 4 5" xfId="759"/>
    <cellStyle name="60% - 强调文字颜色 1 4 6" xfId="760"/>
    <cellStyle name="60% - 强调文字颜色 1 4 7" xfId="761"/>
    <cellStyle name="60% - 强调文字颜色 1 4 8" xfId="762"/>
    <cellStyle name="60% - 强调文字颜色 1 4 9" xfId="763"/>
    <cellStyle name="60% - 强调文字颜色 1 5 10" xfId="764"/>
    <cellStyle name="60% - 强调文字颜色 1 5 11" xfId="765"/>
    <cellStyle name="60% - 强调文字颜色 1 5 12" xfId="766"/>
    <cellStyle name="60% - 强调文字颜色 1 5 13" xfId="767"/>
    <cellStyle name="60% - 强调文字颜色 1 5 2" xfId="768"/>
    <cellStyle name="60% - 强调文字颜色 1 5 3" xfId="769"/>
    <cellStyle name="60% - 强调文字颜色 1 5 4" xfId="770"/>
    <cellStyle name="60% - 强调文字颜色 1 5 5" xfId="771"/>
    <cellStyle name="60% - 强调文字颜色 1 5 6" xfId="772"/>
    <cellStyle name="60% - 强调文字颜色 1 5 7" xfId="773"/>
    <cellStyle name="60% - 强调文字颜色 1 5 8" xfId="774"/>
    <cellStyle name="60% - 强调文字颜色 1 5 9" xfId="775"/>
    <cellStyle name="60% - 强调文字颜色 1 6 10" xfId="776"/>
    <cellStyle name="60% - 强调文字颜色 1 6 11" xfId="777"/>
    <cellStyle name="60% - 强调文字颜色 1 6 12" xfId="778"/>
    <cellStyle name="60% - 强调文字颜色 1 6 13" xfId="779"/>
    <cellStyle name="60% - 强调文字颜色 1 6 2" xfId="780"/>
    <cellStyle name="60% - 强调文字颜色 1 6 3" xfId="781"/>
    <cellStyle name="60% - 强调文字颜色 1 6 4" xfId="782"/>
    <cellStyle name="60% - 强调文字颜色 1 6 5" xfId="783"/>
    <cellStyle name="60% - 强调文字颜色 1 6 6" xfId="784"/>
    <cellStyle name="60% - 强调文字颜色 1 6 7" xfId="785"/>
    <cellStyle name="60% - 强调文字颜色 1 6 8" xfId="786"/>
    <cellStyle name="60% - 强调文字颜色 1 6 9" xfId="787"/>
    <cellStyle name="60% - 强调文字颜色 2 2" xfId="2492"/>
    <cellStyle name="60% - 强调文字颜色 2 2 10" xfId="788"/>
    <cellStyle name="60% - 强调文字颜色 2 2 11" xfId="789"/>
    <cellStyle name="60% - 强调文字颜色 2 2 12" xfId="790"/>
    <cellStyle name="60% - 强调文字颜色 2 2 13" xfId="791"/>
    <cellStyle name="60% - 强调文字颜色 2 2 2" xfId="792"/>
    <cellStyle name="60% - 强调文字颜色 2 2 3" xfId="793"/>
    <cellStyle name="60% - 强调文字颜色 2 2 4" xfId="794"/>
    <cellStyle name="60% - 强调文字颜色 2 2 5" xfId="795"/>
    <cellStyle name="60% - 强调文字颜色 2 2 6" xfId="796"/>
    <cellStyle name="60% - 强调文字颜色 2 2 7" xfId="797"/>
    <cellStyle name="60% - 强调文字颜色 2 2 8" xfId="798"/>
    <cellStyle name="60% - 强调文字颜色 2 2 9" xfId="799"/>
    <cellStyle name="60% - 强调文字颜色 2 3 10" xfId="800"/>
    <cellStyle name="60% - 强调文字颜色 2 3 11" xfId="801"/>
    <cellStyle name="60% - 强调文字颜色 2 3 12" xfId="802"/>
    <cellStyle name="60% - 强调文字颜色 2 3 13" xfId="803"/>
    <cellStyle name="60% - 强调文字颜色 2 3 2" xfId="804"/>
    <cellStyle name="60% - 强调文字颜色 2 3 3" xfId="805"/>
    <cellStyle name="60% - 强调文字颜色 2 3 4" xfId="806"/>
    <cellStyle name="60% - 强调文字颜色 2 3 5" xfId="807"/>
    <cellStyle name="60% - 强调文字颜色 2 3 6" xfId="808"/>
    <cellStyle name="60% - 强调文字颜色 2 3 7" xfId="809"/>
    <cellStyle name="60% - 强调文字颜色 2 3 8" xfId="810"/>
    <cellStyle name="60% - 强调文字颜色 2 3 9" xfId="811"/>
    <cellStyle name="60% - 强调文字颜色 2 4 10" xfId="812"/>
    <cellStyle name="60% - 强调文字颜色 2 4 11" xfId="813"/>
    <cellStyle name="60% - 强调文字颜色 2 4 12" xfId="814"/>
    <cellStyle name="60% - 强调文字颜色 2 4 13" xfId="815"/>
    <cellStyle name="60% - 强调文字颜色 2 4 2" xfId="816"/>
    <cellStyle name="60% - 强调文字颜色 2 4 3" xfId="817"/>
    <cellStyle name="60% - 强调文字颜色 2 4 4" xfId="818"/>
    <cellStyle name="60% - 强调文字颜色 2 4 5" xfId="819"/>
    <cellStyle name="60% - 强调文字颜色 2 4 6" xfId="820"/>
    <cellStyle name="60% - 强调文字颜色 2 4 7" xfId="821"/>
    <cellStyle name="60% - 强调文字颜色 2 4 8" xfId="822"/>
    <cellStyle name="60% - 强调文字颜色 2 4 9" xfId="823"/>
    <cellStyle name="60% - 强调文字颜色 2 5 10" xfId="824"/>
    <cellStyle name="60% - 强调文字颜色 2 5 11" xfId="825"/>
    <cellStyle name="60% - 强调文字颜色 2 5 12" xfId="826"/>
    <cellStyle name="60% - 强调文字颜色 2 5 13" xfId="827"/>
    <cellStyle name="60% - 强调文字颜色 2 5 2" xfId="828"/>
    <cellStyle name="60% - 强调文字颜色 2 5 3" xfId="829"/>
    <cellStyle name="60% - 强调文字颜色 2 5 4" xfId="830"/>
    <cellStyle name="60% - 强调文字颜色 2 5 5" xfId="831"/>
    <cellStyle name="60% - 强调文字颜色 2 5 6" xfId="832"/>
    <cellStyle name="60% - 强调文字颜色 2 5 7" xfId="833"/>
    <cellStyle name="60% - 强调文字颜色 2 5 8" xfId="834"/>
    <cellStyle name="60% - 强调文字颜色 2 5 9" xfId="835"/>
    <cellStyle name="60% - 强调文字颜色 2 6 10" xfId="836"/>
    <cellStyle name="60% - 强调文字颜色 2 6 11" xfId="837"/>
    <cellStyle name="60% - 强调文字颜色 2 6 12" xfId="838"/>
    <cellStyle name="60% - 强调文字颜色 2 6 13" xfId="839"/>
    <cellStyle name="60% - 强调文字颜色 2 6 2" xfId="840"/>
    <cellStyle name="60% - 强调文字颜色 2 6 3" xfId="841"/>
    <cellStyle name="60% - 强调文字颜色 2 6 4" xfId="842"/>
    <cellStyle name="60% - 强调文字颜色 2 6 5" xfId="843"/>
    <cellStyle name="60% - 强调文字颜色 2 6 6" xfId="844"/>
    <cellStyle name="60% - 强调文字颜色 2 6 7" xfId="845"/>
    <cellStyle name="60% - 强调文字颜色 2 6 8" xfId="846"/>
    <cellStyle name="60% - 强调文字颜色 2 6 9" xfId="847"/>
    <cellStyle name="60% - 强调文字颜色 3 2" xfId="2496"/>
    <cellStyle name="60% - 强调文字颜色 3 2 10" xfId="848"/>
    <cellStyle name="60% - 强调文字颜色 3 2 11" xfId="849"/>
    <cellStyle name="60% - 强调文字颜色 3 2 12" xfId="850"/>
    <cellStyle name="60% - 强调文字颜色 3 2 13" xfId="851"/>
    <cellStyle name="60% - 强调文字颜色 3 2 2" xfId="852"/>
    <cellStyle name="60% - 强调文字颜色 3 2 3" xfId="853"/>
    <cellStyle name="60% - 强调文字颜色 3 2 4" xfId="854"/>
    <cellStyle name="60% - 强调文字颜色 3 2 5" xfId="855"/>
    <cellStyle name="60% - 强调文字颜色 3 2 6" xfId="856"/>
    <cellStyle name="60% - 强调文字颜色 3 2 7" xfId="857"/>
    <cellStyle name="60% - 强调文字颜色 3 2 8" xfId="858"/>
    <cellStyle name="60% - 强调文字颜色 3 2 9" xfId="859"/>
    <cellStyle name="60% - 强调文字颜色 3 3 10" xfId="860"/>
    <cellStyle name="60% - 强调文字颜色 3 3 11" xfId="861"/>
    <cellStyle name="60% - 强调文字颜色 3 3 12" xfId="862"/>
    <cellStyle name="60% - 强调文字颜色 3 3 13" xfId="863"/>
    <cellStyle name="60% - 强调文字颜色 3 3 2" xfId="864"/>
    <cellStyle name="60% - 强调文字颜色 3 3 3" xfId="865"/>
    <cellStyle name="60% - 强调文字颜色 3 3 4" xfId="866"/>
    <cellStyle name="60% - 强调文字颜色 3 3 5" xfId="867"/>
    <cellStyle name="60% - 强调文字颜色 3 3 6" xfId="868"/>
    <cellStyle name="60% - 强调文字颜色 3 3 7" xfId="869"/>
    <cellStyle name="60% - 强调文字颜色 3 3 8" xfId="870"/>
    <cellStyle name="60% - 强调文字颜色 3 3 9" xfId="871"/>
    <cellStyle name="60% - 强调文字颜色 3 4 10" xfId="872"/>
    <cellStyle name="60% - 强调文字颜色 3 4 11" xfId="873"/>
    <cellStyle name="60% - 强调文字颜色 3 4 12" xfId="874"/>
    <cellStyle name="60% - 强调文字颜色 3 4 13" xfId="875"/>
    <cellStyle name="60% - 强调文字颜色 3 4 2" xfId="876"/>
    <cellStyle name="60% - 强调文字颜色 3 4 3" xfId="877"/>
    <cellStyle name="60% - 强调文字颜色 3 4 4" xfId="878"/>
    <cellStyle name="60% - 强调文字颜色 3 4 5" xfId="879"/>
    <cellStyle name="60% - 强调文字颜色 3 4 6" xfId="880"/>
    <cellStyle name="60% - 强调文字颜色 3 4 7" xfId="881"/>
    <cellStyle name="60% - 强调文字颜色 3 4 8" xfId="882"/>
    <cellStyle name="60% - 强调文字颜色 3 4 9" xfId="883"/>
    <cellStyle name="60% - 强调文字颜色 3 5 10" xfId="884"/>
    <cellStyle name="60% - 强调文字颜色 3 5 11" xfId="885"/>
    <cellStyle name="60% - 强调文字颜色 3 5 12" xfId="886"/>
    <cellStyle name="60% - 强调文字颜色 3 5 13" xfId="887"/>
    <cellStyle name="60% - 强调文字颜色 3 5 2" xfId="888"/>
    <cellStyle name="60% - 强调文字颜色 3 5 3" xfId="889"/>
    <cellStyle name="60% - 强调文字颜色 3 5 4" xfId="890"/>
    <cellStyle name="60% - 强调文字颜色 3 5 5" xfId="891"/>
    <cellStyle name="60% - 强调文字颜色 3 5 6" xfId="892"/>
    <cellStyle name="60% - 强调文字颜色 3 5 7" xfId="893"/>
    <cellStyle name="60% - 强调文字颜色 3 5 8" xfId="894"/>
    <cellStyle name="60% - 强调文字颜色 3 5 9" xfId="895"/>
    <cellStyle name="60% - 强调文字颜色 3 6 10" xfId="896"/>
    <cellStyle name="60% - 强调文字颜色 3 6 11" xfId="897"/>
    <cellStyle name="60% - 强调文字颜色 3 6 12" xfId="898"/>
    <cellStyle name="60% - 强调文字颜色 3 6 13" xfId="899"/>
    <cellStyle name="60% - 强调文字颜色 3 6 2" xfId="900"/>
    <cellStyle name="60% - 强调文字颜色 3 6 3" xfId="901"/>
    <cellStyle name="60% - 强调文字颜色 3 6 4" xfId="902"/>
    <cellStyle name="60% - 强调文字颜色 3 6 5" xfId="903"/>
    <cellStyle name="60% - 强调文字颜色 3 6 6" xfId="904"/>
    <cellStyle name="60% - 强调文字颜色 3 6 7" xfId="905"/>
    <cellStyle name="60% - 强调文字颜色 3 6 8" xfId="906"/>
    <cellStyle name="60% - 强调文字颜色 3 6 9" xfId="907"/>
    <cellStyle name="60% - 强调文字颜色 4 2" xfId="2500"/>
    <cellStyle name="60% - 强调文字颜色 4 2 10" xfId="908"/>
    <cellStyle name="60% - 强调文字颜色 4 2 11" xfId="909"/>
    <cellStyle name="60% - 强调文字颜色 4 2 12" xfId="910"/>
    <cellStyle name="60% - 强调文字颜色 4 2 13" xfId="911"/>
    <cellStyle name="60% - 强调文字颜色 4 2 2" xfId="912"/>
    <cellStyle name="60% - 强调文字颜色 4 2 3" xfId="913"/>
    <cellStyle name="60% - 强调文字颜色 4 2 4" xfId="914"/>
    <cellStyle name="60% - 强调文字颜色 4 2 5" xfId="915"/>
    <cellStyle name="60% - 强调文字颜色 4 2 6" xfId="916"/>
    <cellStyle name="60% - 强调文字颜色 4 2 7" xfId="917"/>
    <cellStyle name="60% - 强调文字颜色 4 2 8" xfId="918"/>
    <cellStyle name="60% - 强调文字颜色 4 2 9" xfId="919"/>
    <cellStyle name="60% - 强调文字颜色 4 3 10" xfId="920"/>
    <cellStyle name="60% - 强调文字颜色 4 3 11" xfId="921"/>
    <cellStyle name="60% - 强调文字颜色 4 3 12" xfId="922"/>
    <cellStyle name="60% - 强调文字颜色 4 3 13" xfId="923"/>
    <cellStyle name="60% - 强调文字颜色 4 3 2" xfId="924"/>
    <cellStyle name="60% - 强调文字颜色 4 3 3" xfId="925"/>
    <cellStyle name="60% - 强调文字颜色 4 3 4" xfId="926"/>
    <cellStyle name="60% - 强调文字颜色 4 3 5" xfId="927"/>
    <cellStyle name="60% - 强调文字颜色 4 3 6" xfId="928"/>
    <cellStyle name="60% - 强调文字颜色 4 3 7" xfId="929"/>
    <cellStyle name="60% - 强调文字颜色 4 3 8" xfId="930"/>
    <cellStyle name="60% - 强调文字颜色 4 3 9" xfId="931"/>
    <cellStyle name="60% - 强调文字颜色 4 4 10" xfId="932"/>
    <cellStyle name="60% - 强调文字颜色 4 4 11" xfId="933"/>
    <cellStyle name="60% - 强调文字颜色 4 4 12" xfId="934"/>
    <cellStyle name="60% - 强调文字颜色 4 4 13" xfId="935"/>
    <cellStyle name="60% - 强调文字颜色 4 4 2" xfId="936"/>
    <cellStyle name="60% - 强调文字颜色 4 4 3" xfId="937"/>
    <cellStyle name="60% - 强调文字颜色 4 4 4" xfId="938"/>
    <cellStyle name="60% - 强调文字颜色 4 4 5" xfId="939"/>
    <cellStyle name="60% - 强调文字颜色 4 4 6" xfId="940"/>
    <cellStyle name="60% - 强调文字颜色 4 4 7" xfId="941"/>
    <cellStyle name="60% - 强调文字颜色 4 4 8" xfId="942"/>
    <cellStyle name="60% - 强调文字颜色 4 4 9" xfId="943"/>
    <cellStyle name="60% - 强调文字颜色 4 5 10" xfId="944"/>
    <cellStyle name="60% - 强调文字颜色 4 5 11" xfId="945"/>
    <cellStyle name="60% - 强调文字颜色 4 5 12" xfId="946"/>
    <cellStyle name="60% - 强调文字颜色 4 5 13" xfId="947"/>
    <cellStyle name="60% - 强调文字颜色 4 5 2" xfId="948"/>
    <cellStyle name="60% - 强调文字颜色 4 5 3" xfId="949"/>
    <cellStyle name="60% - 强调文字颜色 4 5 4" xfId="950"/>
    <cellStyle name="60% - 强调文字颜色 4 5 5" xfId="951"/>
    <cellStyle name="60% - 强调文字颜色 4 5 6" xfId="952"/>
    <cellStyle name="60% - 强调文字颜色 4 5 7" xfId="953"/>
    <cellStyle name="60% - 强调文字颜色 4 5 8" xfId="954"/>
    <cellStyle name="60% - 强调文字颜色 4 5 9" xfId="955"/>
    <cellStyle name="60% - 强调文字颜色 4 6 10" xfId="956"/>
    <cellStyle name="60% - 强调文字颜色 4 6 11" xfId="957"/>
    <cellStyle name="60% - 强调文字颜色 4 6 12" xfId="958"/>
    <cellStyle name="60% - 强调文字颜色 4 6 13" xfId="959"/>
    <cellStyle name="60% - 强调文字颜色 4 6 2" xfId="960"/>
    <cellStyle name="60% - 强调文字颜色 4 6 3" xfId="961"/>
    <cellStyle name="60% - 强调文字颜色 4 6 4" xfId="962"/>
    <cellStyle name="60% - 强调文字颜色 4 6 5" xfId="963"/>
    <cellStyle name="60% - 强调文字颜色 4 6 6" xfId="964"/>
    <cellStyle name="60% - 强调文字颜色 4 6 7" xfId="965"/>
    <cellStyle name="60% - 强调文字颜色 4 6 8" xfId="966"/>
    <cellStyle name="60% - 强调文字颜色 4 6 9" xfId="967"/>
    <cellStyle name="60% - 强调文字颜色 5 2" xfId="2504"/>
    <cellStyle name="60% - 强调文字颜色 5 2 10" xfId="968"/>
    <cellStyle name="60% - 强调文字颜色 5 2 11" xfId="969"/>
    <cellStyle name="60% - 强调文字颜色 5 2 12" xfId="970"/>
    <cellStyle name="60% - 强调文字颜色 5 2 13" xfId="971"/>
    <cellStyle name="60% - 强调文字颜色 5 2 2" xfId="972"/>
    <cellStyle name="60% - 强调文字颜色 5 2 3" xfId="973"/>
    <cellStyle name="60% - 强调文字颜色 5 2 4" xfId="974"/>
    <cellStyle name="60% - 强调文字颜色 5 2 5" xfId="975"/>
    <cellStyle name="60% - 强调文字颜色 5 2 6" xfId="976"/>
    <cellStyle name="60% - 强调文字颜色 5 2 7" xfId="977"/>
    <cellStyle name="60% - 强调文字颜色 5 2 8" xfId="978"/>
    <cellStyle name="60% - 强调文字颜色 5 2 9" xfId="979"/>
    <cellStyle name="60% - 强调文字颜色 5 3 10" xfId="980"/>
    <cellStyle name="60% - 强调文字颜色 5 3 11" xfId="981"/>
    <cellStyle name="60% - 强调文字颜色 5 3 12" xfId="982"/>
    <cellStyle name="60% - 强调文字颜色 5 3 13" xfId="983"/>
    <cellStyle name="60% - 强调文字颜色 5 3 2" xfId="984"/>
    <cellStyle name="60% - 强调文字颜色 5 3 3" xfId="985"/>
    <cellStyle name="60% - 强调文字颜色 5 3 4" xfId="986"/>
    <cellStyle name="60% - 强调文字颜色 5 3 5" xfId="987"/>
    <cellStyle name="60% - 强调文字颜色 5 3 6" xfId="988"/>
    <cellStyle name="60% - 强调文字颜色 5 3 7" xfId="989"/>
    <cellStyle name="60% - 强调文字颜色 5 3 8" xfId="990"/>
    <cellStyle name="60% - 强调文字颜色 5 3 9" xfId="991"/>
    <cellStyle name="60% - 强调文字颜色 5 4 10" xfId="992"/>
    <cellStyle name="60% - 强调文字颜色 5 4 11" xfId="993"/>
    <cellStyle name="60% - 强调文字颜色 5 4 12" xfId="994"/>
    <cellStyle name="60% - 强调文字颜色 5 4 13" xfId="995"/>
    <cellStyle name="60% - 强调文字颜色 5 4 2" xfId="996"/>
    <cellStyle name="60% - 强调文字颜色 5 4 3" xfId="997"/>
    <cellStyle name="60% - 强调文字颜色 5 4 4" xfId="998"/>
    <cellStyle name="60% - 强调文字颜色 5 4 5" xfId="999"/>
    <cellStyle name="60% - 强调文字颜色 5 4 6" xfId="1000"/>
    <cellStyle name="60% - 强调文字颜色 5 4 7" xfId="1001"/>
    <cellStyle name="60% - 强调文字颜色 5 4 8" xfId="1002"/>
    <cellStyle name="60% - 强调文字颜色 5 4 9" xfId="1003"/>
    <cellStyle name="60% - 强调文字颜色 5 5 10" xfId="1004"/>
    <cellStyle name="60% - 强调文字颜色 5 5 11" xfId="1005"/>
    <cellStyle name="60% - 强调文字颜色 5 5 12" xfId="1006"/>
    <cellStyle name="60% - 强调文字颜色 5 5 13" xfId="1007"/>
    <cellStyle name="60% - 强调文字颜色 5 5 2" xfId="1008"/>
    <cellStyle name="60% - 强调文字颜色 5 5 3" xfId="1009"/>
    <cellStyle name="60% - 强调文字颜色 5 5 4" xfId="1010"/>
    <cellStyle name="60% - 强调文字颜色 5 5 5" xfId="1011"/>
    <cellStyle name="60% - 强调文字颜色 5 5 6" xfId="1012"/>
    <cellStyle name="60% - 强调文字颜色 5 5 7" xfId="1013"/>
    <cellStyle name="60% - 强调文字颜色 5 5 8" xfId="1014"/>
    <cellStyle name="60% - 强调文字颜色 5 5 9" xfId="1015"/>
    <cellStyle name="60% - 强调文字颜色 5 6 10" xfId="1016"/>
    <cellStyle name="60% - 强调文字颜色 5 6 11" xfId="1017"/>
    <cellStyle name="60% - 强调文字颜色 5 6 12" xfId="1018"/>
    <cellStyle name="60% - 强调文字颜色 5 6 13" xfId="1019"/>
    <cellStyle name="60% - 强调文字颜色 5 6 2" xfId="1020"/>
    <cellStyle name="60% - 强调文字颜色 5 6 3" xfId="1021"/>
    <cellStyle name="60% - 强调文字颜色 5 6 4" xfId="1022"/>
    <cellStyle name="60% - 强调文字颜色 5 6 5" xfId="1023"/>
    <cellStyle name="60% - 强调文字颜色 5 6 6" xfId="1024"/>
    <cellStyle name="60% - 强调文字颜色 5 6 7" xfId="1025"/>
    <cellStyle name="60% - 强调文字颜色 5 6 8" xfId="1026"/>
    <cellStyle name="60% - 强调文字颜色 5 6 9" xfId="1027"/>
    <cellStyle name="60% - 强调文字颜色 6 2" xfId="2508"/>
    <cellStyle name="60% - 强调文字颜色 6 2 10" xfId="1028"/>
    <cellStyle name="60% - 强调文字颜色 6 2 11" xfId="1029"/>
    <cellStyle name="60% - 强调文字颜色 6 2 12" xfId="1030"/>
    <cellStyle name="60% - 强调文字颜色 6 2 13" xfId="1031"/>
    <cellStyle name="60% - 强调文字颜色 6 2 2" xfId="1032"/>
    <cellStyle name="60% - 强调文字颜色 6 2 3" xfId="1033"/>
    <cellStyle name="60% - 强调文字颜色 6 2 4" xfId="1034"/>
    <cellStyle name="60% - 强调文字颜色 6 2 5" xfId="1035"/>
    <cellStyle name="60% - 强调文字颜色 6 2 6" xfId="1036"/>
    <cellStyle name="60% - 强调文字颜色 6 2 7" xfId="1037"/>
    <cellStyle name="60% - 强调文字颜色 6 2 8" xfId="1038"/>
    <cellStyle name="60% - 强调文字颜色 6 2 9" xfId="1039"/>
    <cellStyle name="60% - 强调文字颜色 6 3 10" xfId="1040"/>
    <cellStyle name="60% - 强调文字颜色 6 3 11" xfId="1041"/>
    <cellStyle name="60% - 强调文字颜色 6 3 12" xfId="1042"/>
    <cellStyle name="60% - 强调文字颜色 6 3 13" xfId="1043"/>
    <cellStyle name="60% - 强调文字颜色 6 3 2" xfId="1044"/>
    <cellStyle name="60% - 强调文字颜色 6 3 3" xfId="1045"/>
    <cellStyle name="60% - 强调文字颜色 6 3 4" xfId="1046"/>
    <cellStyle name="60% - 强调文字颜色 6 3 5" xfId="1047"/>
    <cellStyle name="60% - 强调文字颜色 6 3 6" xfId="1048"/>
    <cellStyle name="60% - 强调文字颜色 6 3 7" xfId="1049"/>
    <cellStyle name="60% - 强调文字颜色 6 3 8" xfId="1050"/>
    <cellStyle name="60% - 强调文字颜色 6 3 9" xfId="1051"/>
    <cellStyle name="60% - 强调文字颜色 6 4 10" xfId="1052"/>
    <cellStyle name="60% - 强调文字颜色 6 4 11" xfId="1053"/>
    <cellStyle name="60% - 强调文字颜色 6 4 12" xfId="1054"/>
    <cellStyle name="60% - 强调文字颜色 6 4 13" xfId="1055"/>
    <cellStyle name="60% - 强调文字颜色 6 4 2" xfId="1056"/>
    <cellStyle name="60% - 强调文字颜色 6 4 3" xfId="1057"/>
    <cellStyle name="60% - 强调文字颜色 6 4 4" xfId="1058"/>
    <cellStyle name="60% - 强调文字颜色 6 4 5" xfId="1059"/>
    <cellStyle name="60% - 强调文字颜色 6 4 6" xfId="1060"/>
    <cellStyle name="60% - 强调文字颜色 6 4 7" xfId="1061"/>
    <cellStyle name="60% - 强调文字颜色 6 4 8" xfId="1062"/>
    <cellStyle name="60% - 强调文字颜色 6 4 9" xfId="1063"/>
    <cellStyle name="60% - 强调文字颜色 6 5 10" xfId="1064"/>
    <cellStyle name="60% - 强调文字颜色 6 5 11" xfId="1065"/>
    <cellStyle name="60% - 强调文字颜色 6 5 12" xfId="1066"/>
    <cellStyle name="60% - 强调文字颜色 6 5 13" xfId="1067"/>
    <cellStyle name="60% - 强调文字颜色 6 5 2" xfId="1068"/>
    <cellStyle name="60% - 强调文字颜色 6 5 3" xfId="1069"/>
    <cellStyle name="60% - 强调文字颜色 6 5 4" xfId="1070"/>
    <cellStyle name="60% - 强调文字颜色 6 5 5" xfId="1071"/>
    <cellStyle name="60% - 强调文字颜色 6 5 6" xfId="1072"/>
    <cellStyle name="60% - 强调文字颜色 6 5 7" xfId="1073"/>
    <cellStyle name="60% - 强调文字颜色 6 5 8" xfId="1074"/>
    <cellStyle name="60% - 强调文字颜色 6 5 9" xfId="1075"/>
    <cellStyle name="60% - 强调文字颜色 6 6 10" xfId="1076"/>
    <cellStyle name="60% - 强调文字颜色 6 6 11" xfId="1077"/>
    <cellStyle name="60% - 强调文字颜色 6 6 12" xfId="1078"/>
    <cellStyle name="60% - 强调文字颜色 6 6 13" xfId="1079"/>
    <cellStyle name="60% - 强调文字颜色 6 6 2" xfId="1080"/>
    <cellStyle name="60% - 强调文字颜色 6 6 3" xfId="1081"/>
    <cellStyle name="60% - 强调文字颜色 6 6 4" xfId="1082"/>
    <cellStyle name="60% - 强调文字颜色 6 6 5" xfId="1083"/>
    <cellStyle name="60% - 强调文字颜色 6 6 6" xfId="1084"/>
    <cellStyle name="60% - 强调文字颜色 6 6 7" xfId="1085"/>
    <cellStyle name="60% - 强调文字颜色 6 6 8" xfId="1086"/>
    <cellStyle name="60% - 强调文字颜色 6 6 9" xfId="1087"/>
    <cellStyle name="Hyperlink 2" xfId="2512"/>
    <cellStyle name="Normal 2" xfId="1"/>
    <cellStyle name="Normal 2 2" xfId="2511"/>
    <cellStyle name="Normal 2 2 2" xfId="2513"/>
    <cellStyle name="Normal 3" xfId="2510"/>
    <cellStyle name="Normal 4" xfId="2509"/>
    <cellStyle name="Normal_Sheet1" xfId="6"/>
    <cellStyle name="Normal_Sheet1_Sheet1" xfId="5"/>
    <cellStyle name="Normal_Sheet1_Sheet1_1" xfId="7"/>
    <cellStyle name="Normal_Sheet2" xfId="4"/>
    <cellStyle name="标题 1 2" xfId="2469"/>
    <cellStyle name="标题 1 2 10" xfId="1088"/>
    <cellStyle name="标题 1 2 11" xfId="1089"/>
    <cellStyle name="标题 1 2 12" xfId="1090"/>
    <cellStyle name="标题 1 2 13" xfId="1091"/>
    <cellStyle name="标题 1 2 2" xfId="1092"/>
    <cellStyle name="标题 1 2 3" xfId="1093"/>
    <cellStyle name="标题 1 2 4" xfId="1094"/>
    <cellStyle name="标题 1 2 5" xfId="1095"/>
    <cellStyle name="标题 1 2 6" xfId="1096"/>
    <cellStyle name="标题 1 2 7" xfId="1097"/>
    <cellStyle name="标题 1 2 8" xfId="1098"/>
    <cellStyle name="标题 1 2 9" xfId="1099"/>
    <cellStyle name="标题 1 3 10" xfId="1100"/>
    <cellStyle name="标题 1 3 11" xfId="1101"/>
    <cellStyle name="标题 1 3 12" xfId="1102"/>
    <cellStyle name="标题 1 3 13" xfId="1103"/>
    <cellStyle name="标题 1 3 2" xfId="1104"/>
    <cellStyle name="标题 1 3 3" xfId="1105"/>
    <cellStyle name="标题 1 3 4" xfId="1106"/>
    <cellStyle name="标题 1 3 5" xfId="1107"/>
    <cellStyle name="标题 1 3 6" xfId="1108"/>
    <cellStyle name="标题 1 3 7" xfId="1109"/>
    <cellStyle name="标题 1 3 8" xfId="1110"/>
    <cellStyle name="标题 1 3 9" xfId="1111"/>
    <cellStyle name="标题 1 4 10" xfId="1112"/>
    <cellStyle name="标题 1 4 11" xfId="1113"/>
    <cellStyle name="标题 1 4 12" xfId="1114"/>
    <cellStyle name="标题 1 4 13" xfId="1115"/>
    <cellStyle name="标题 1 4 2" xfId="1116"/>
    <cellStyle name="标题 1 4 3" xfId="1117"/>
    <cellStyle name="标题 1 4 4" xfId="1118"/>
    <cellStyle name="标题 1 4 5" xfId="1119"/>
    <cellStyle name="标题 1 4 6" xfId="1120"/>
    <cellStyle name="标题 1 4 7" xfId="1121"/>
    <cellStyle name="标题 1 4 8" xfId="1122"/>
    <cellStyle name="标题 1 4 9" xfId="1123"/>
    <cellStyle name="标题 1 5 10" xfId="1124"/>
    <cellStyle name="标题 1 5 11" xfId="1125"/>
    <cellStyle name="标题 1 5 12" xfId="1126"/>
    <cellStyle name="标题 1 5 13" xfId="1127"/>
    <cellStyle name="标题 1 5 2" xfId="1128"/>
    <cellStyle name="标题 1 5 3" xfId="1129"/>
    <cellStyle name="标题 1 5 4" xfId="1130"/>
    <cellStyle name="标题 1 5 5" xfId="1131"/>
    <cellStyle name="标题 1 5 6" xfId="1132"/>
    <cellStyle name="标题 1 5 7" xfId="1133"/>
    <cellStyle name="标题 1 5 8" xfId="1134"/>
    <cellStyle name="标题 1 5 9" xfId="1135"/>
    <cellStyle name="标题 1 6 10" xfId="1136"/>
    <cellStyle name="标题 1 6 11" xfId="1137"/>
    <cellStyle name="标题 1 6 12" xfId="1138"/>
    <cellStyle name="标题 1 6 13" xfId="1139"/>
    <cellStyle name="标题 1 6 2" xfId="1140"/>
    <cellStyle name="标题 1 6 3" xfId="1141"/>
    <cellStyle name="标题 1 6 4" xfId="1142"/>
    <cellStyle name="标题 1 6 5" xfId="1143"/>
    <cellStyle name="标题 1 6 6" xfId="1144"/>
    <cellStyle name="标题 1 6 7" xfId="1145"/>
    <cellStyle name="标题 1 6 8" xfId="1146"/>
    <cellStyle name="标题 1 6 9" xfId="1147"/>
    <cellStyle name="标题 2 2" xfId="2470"/>
    <cellStyle name="标题 2 2 10" xfId="1148"/>
    <cellStyle name="标题 2 2 11" xfId="1149"/>
    <cellStyle name="标题 2 2 12" xfId="1150"/>
    <cellStyle name="标题 2 2 13" xfId="1151"/>
    <cellStyle name="标题 2 2 2" xfId="1152"/>
    <cellStyle name="标题 2 2 3" xfId="1153"/>
    <cellStyle name="标题 2 2 4" xfId="1154"/>
    <cellStyle name="标题 2 2 5" xfId="1155"/>
    <cellStyle name="标题 2 2 6" xfId="1156"/>
    <cellStyle name="标题 2 2 7" xfId="1157"/>
    <cellStyle name="标题 2 2 8" xfId="1158"/>
    <cellStyle name="标题 2 2 9" xfId="1159"/>
    <cellStyle name="标题 2 3 10" xfId="1160"/>
    <cellStyle name="标题 2 3 11" xfId="1161"/>
    <cellStyle name="标题 2 3 12" xfId="1162"/>
    <cellStyle name="标题 2 3 13" xfId="1163"/>
    <cellStyle name="标题 2 3 2" xfId="1164"/>
    <cellStyle name="标题 2 3 3" xfId="1165"/>
    <cellStyle name="标题 2 3 4" xfId="1166"/>
    <cellStyle name="标题 2 3 5" xfId="1167"/>
    <cellStyle name="标题 2 3 6" xfId="1168"/>
    <cellStyle name="标题 2 3 7" xfId="1169"/>
    <cellStyle name="标题 2 3 8" xfId="1170"/>
    <cellStyle name="标题 2 3 9" xfId="1171"/>
    <cellStyle name="标题 2 4 10" xfId="1172"/>
    <cellStyle name="标题 2 4 11" xfId="1173"/>
    <cellStyle name="标题 2 4 12" xfId="1174"/>
    <cellStyle name="标题 2 4 13" xfId="1175"/>
    <cellStyle name="标题 2 4 2" xfId="1176"/>
    <cellStyle name="标题 2 4 3" xfId="1177"/>
    <cellStyle name="标题 2 4 4" xfId="1178"/>
    <cellStyle name="标题 2 4 5" xfId="1179"/>
    <cellStyle name="标题 2 4 6" xfId="1180"/>
    <cellStyle name="标题 2 4 7" xfId="1181"/>
    <cellStyle name="标题 2 4 8" xfId="1182"/>
    <cellStyle name="标题 2 4 9" xfId="1183"/>
    <cellStyle name="标题 2 5 10" xfId="1184"/>
    <cellStyle name="标题 2 5 11" xfId="1185"/>
    <cellStyle name="标题 2 5 12" xfId="1186"/>
    <cellStyle name="标题 2 5 13" xfId="1187"/>
    <cellStyle name="标题 2 5 2" xfId="1188"/>
    <cellStyle name="标题 2 5 3" xfId="1189"/>
    <cellStyle name="标题 2 5 4" xfId="1190"/>
    <cellStyle name="标题 2 5 5" xfId="1191"/>
    <cellStyle name="标题 2 5 6" xfId="1192"/>
    <cellStyle name="标题 2 5 7" xfId="1193"/>
    <cellStyle name="标题 2 5 8" xfId="1194"/>
    <cellStyle name="标题 2 5 9" xfId="1195"/>
    <cellStyle name="标题 2 6 10" xfId="1196"/>
    <cellStyle name="标题 2 6 11" xfId="1197"/>
    <cellStyle name="标题 2 6 12" xfId="1198"/>
    <cellStyle name="标题 2 6 13" xfId="1199"/>
    <cellStyle name="标题 2 6 2" xfId="1200"/>
    <cellStyle name="标题 2 6 3" xfId="1201"/>
    <cellStyle name="标题 2 6 4" xfId="1202"/>
    <cellStyle name="标题 2 6 5" xfId="1203"/>
    <cellStyle name="标题 2 6 6" xfId="1204"/>
    <cellStyle name="标题 2 6 7" xfId="1205"/>
    <cellStyle name="标题 2 6 8" xfId="1206"/>
    <cellStyle name="标题 2 6 9" xfId="1207"/>
    <cellStyle name="标题 3 2" xfId="2471"/>
    <cellStyle name="标题 3 2 10" xfId="1208"/>
    <cellStyle name="标题 3 2 11" xfId="1209"/>
    <cellStyle name="标题 3 2 12" xfId="1210"/>
    <cellStyle name="标题 3 2 13" xfId="1211"/>
    <cellStyle name="标题 3 2 2" xfId="1212"/>
    <cellStyle name="标题 3 2 3" xfId="1213"/>
    <cellStyle name="标题 3 2 4" xfId="1214"/>
    <cellStyle name="标题 3 2 5" xfId="1215"/>
    <cellStyle name="标题 3 2 6" xfId="1216"/>
    <cellStyle name="标题 3 2 7" xfId="1217"/>
    <cellStyle name="标题 3 2 8" xfId="1218"/>
    <cellStyle name="标题 3 2 9" xfId="1219"/>
    <cellStyle name="标题 3 3 10" xfId="1220"/>
    <cellStyle name="标题 3 3 11" xfId="1221"/>
    <cellStyle name="标题 3 3 12" xfId="1222"/>
    <cellStyle name="标题 3 3 13" xfId="1223"/>
    <cellStyle name="标题 3 3 2" xfId="1224"/>
    <cellStyle name="标题 3 3 3" xfId="1225"/>
    <cellStyle name="标题 3 3 4" xfId="1226"/>
    <cellStyle name="标题 3 3 5" xfId="1227"/>
    <cellStyle name="标题 3 3 6" xfId="1228"/>
    <cellStyle name="标题 3 3 7" xfId="1229"/>
    <cellStyle name="标题 3 3 8" xfId="1230"/>
    <cellStyle name="标题 3 3 9" xfId="1231"/>
    <cellStyle name="标题 3 4 10" xfId="1232"/>
    <cellStyle name="标题 3 4 11" xfId="1233"/>
    <cellStyle name="标题 3 4 12" xfId="1234"/>
    <cellStyle name="标题 3 4 13" xfId="1235"/>
    <cellStyle name="标题 3 4 2" xfId="1236"/>
    <cellStyle name="标题 3 4 3" xfId="1237"/>
    <cellStyle name="标题 3 4 4" xfId="1238"/>
    <cellStyle name="标题 3 4 5" xfId="1239"/>
    <cellStyle name="标题 3 4 6" xfId="1240"/>
    <cellStyle name="标题 3 4 7" xfId="1241"/>
    <cellStyle name="标题 3 4 8" xfId="1242"/>
    <cellStyle name="标题 3 4 9" xfId="1243"/>
    <cellStyle name="标题 3 5 10" xfId="1244"/>
    <cellStyle name="标题 3 5 11" xfId="1245"/>
    <cellStyle name="标题 3 5 12" xfId="1246"/>
    <cellStyle name="标题 3 5 13" xfId="1247"/>
    <cellStyle name="标题 3 5 2" xfId="1248"/>
    <cellStyle name="标题 3 5 3" xfId="1249"/>
    <cellStyle name="标题 3 5 4" xfId="1250"/>
    <cellStyle name="标题 3 5 5" xfId="1251"/>
    <cellStyle name="标题 3 5 6" xfId="1252"/>
    <cellStyle name="标题 3 5 7" xfId="1253"/>
    <cellStyle name="标题 3 5 8" xfId="1254"/>
    <cellStyle name="标题 3 5 9" xfId="1255"/>
    <cellStyle name="标题 3 6 10" xfId="1256"/>
    <cellStyle name="标题 3 6 11" xfId="1257"/>
    <cellStyle name="标题 3 6 12" xfId="1258"/>
    <cellStyle name="标题 3 6 13" xfId="1259"/>
    <cellStyle name="标题 3 6 2" xfId="1260"/>
    <cellStyle name="标题 3 6 3" xfId="1261"/>
    <cellStyle name="标题 3 6 4" xfId="1262"/>
    <cellStyle name="标题 3 6 5" xfId="1263"/>
    <cellStyle name="标题 3 6 6" xfId="1264"/>
    <cellStyle name="标题 3 6 7" xfId="1265"/>
    <cellStyle name="标题 3 6 8" xfId="1266"/>
    <cellStyle name="标题 3 6 9" xfId="1267"/>
    <cellStyle name="标题 4 2" xfId="2472"/>
    <cellStyle name="标题 4 2 10" xfId="1268"/>
    <cellStyle name="标题 4 2 11" xfId="1269"/>
    <cellStyle name="标题 4 2 12" xfId="1270"/>
    <cellStyle name="标题 4 2 13" xfId="1271"/>
    <cellStyle name="标题 4 2 2" xfId="1272"/>
    <cellStyle name="标题 4 2 3" xfId="1273"/>
    <cellStyle name="标题 4 2 4" xfId="1274"/>
    <cellStyle name="标题 4 2 5" xfId="1275"/>
    <cellStyle name="标题 4 2 6" xfId="1276"/>
    <cellStyle name="标题 4 2 7" xfId="1277"/>
    <cellStyle name="标题 4 2 8" xfId="1278"/>
    <cellStyle name="标题 4 2 9" xfId="1279"/>
    <cellStyle name="标题 4 3 10" xfId="1280"/>
    <cellStyle name="标题 4 3 11" xfId="1281"/>
    <cellStyle name="标题 4 3 12" xfId="1282"/>
    <cellStyle name="标题 4 3 13" xfId="1283"/>
    <cellStyle name="标题 4 3 2" xfId="1284"/>
    <cellStyle name="标题 4 3 3" xfId="1285"/>
    <cellStyle name="标题 4 3 4" xfId="1286"/>
    <cellStyle name="标题 4 3 5" xfId="1287"/>
    <cellStyle name="标题 4 3 6" xfId="1288"/>
    <cellStyle name="标题 4 3 7" xfId="1289"/>
    <cellStyle name="标题 4 3 8" xfId="1290"/>
    <cellStyle name="标题 4 3 9" xfId="1291"/>
    <cellStyle name="标题 4 4 10" xfId="1292"/>
    <cellStyle name="标题 4 4 11" xfId="1293"/>
    <cellStyle name="标题 4 4 12" xfId="1294"/>
    <cellStyle name="标题 4 4 13" xfId="1295"/>
    <cellStyle name="标题 4 4 2" xfId="1296"/>
    <cellStyle name="标题 4 4 3" xfId="1297"/>
    <cellStyle name="标题 4 4 4" xfId="1298"/>
    <cellStyle name="标题 4 4 5" xfId="1299"/>
    <cellStyle name="标题 4 4 6" xfId="1300"/>
    <cellStyle name="标题 4 4 7" xfId="1301"/>
    <cellStyle name="标题 4 4 8" xfId="1302"/>
    <cellStyle name="标题 4 4 9" xfId="1303"/>
    <cellStyle name="标题 4 5 10" xfId="1304"/>
    <cellStyle name="标题 4 5 11" xfId="1305"/>
    <cellStyle name="标题 4 5 12" xfId="1306"/>
    <cellStyle name="标题 4 5 13" xfId="1307"/>
    <cellStyle name="标题 4 5 2" xfId="1308"/>
    <cellStyle name="标题 4 5 3" xfId="1309"/>
    <cellStyle name="标题 4 5 4" xfId="1310"/>
    <cellStyle name="标题 4 5 5" xfId="1311"/>
    <cellStyle name="标题 4 5 6" xfId="1312"/>
    <cellStyle name="标题 4 5 7" xfId="1313"/>
    <cellStyle name="标题 4 5 8" xfId="1314"/>
    <cellStyle name="标题 4 5 9" xfId="1315"/>
    <cellStyle name="标题 4 6 10" xfId="1316"/>
    <cellStyle name="标题 4 6 11" xfId="1317"/>
    <cellStyle name="标题 4 6 12" xfId="1318"/>
    <cellStyle name="标题 4 6 13" xfId="1319"/>
    <cellStyle name="标题 4 6 2" xfId="1320"/>
    <cellStyle name="标题 4 6 3" xfId="1321"/>
    <cellStyle name="标题 4 6 4" xfId="1322"/>
    <cellStyle name="标题 4 6 5" xfId="1323"/>
    <cellStyle name="标题 4 6 6" xfId="1324"/>
    <cellStyle name="标题 4 6 7" xfId="1325"/>
    <cellStyle name="标题 4 6 8" xfId="1326"/>
    <cellStyle name="标题 4 6 9" xfId="1327"/>
    <cellStyle name="标题 5" xfId="2468"/>
    <cellStyle name="标题 5 10" xfId="1328"/>
    <cellStyle name="标题 5 11" xfId="1329"/>
    <cellStyle name="标题 5 12" xfId="1330"/>
    <cellStyle name="标题 5 13" xfId="1331"/>
    <cellStyle name="标题 5 2" xfId="1332"/>
    <cellStyle name="标题 5 3" xfId="1333"/>
    <cellStyle name="标题 5 4" xfId="1334"/>
    <cellStyle name="标题 5 5" xfId="1335"/>
    <cellStyle name="标题 5 6" xfId="1336"/>
    <cellStyle name="标题 5 7" xfId="1337"/>
    <cellStyle name="标题 5 8" xfId="1338"/>
    <cellStyle name="标题 5 9" xfId="1339"/>
    <cellStyle name="标题 6 10" xfId="1340"/>
    <cellStyle name="标题 6 11" xfId="1341"/>
    <cellStyle name="标题 6 12" xfId="1342"/>
    <cellStyle name="标题 6 13" xfId="1343"/>
    <cellStyle name="标题 6 2" xfId="1344"/>
    <cellStyle name="标题 6 3" xfId="1345"/>
    <cellStyle name="标题 6 4" xfId="1346"/>
    <cellStyle name="标题 6 5" xfId="1347"/>
    <cellStyle name="标题 6 6" xfId="1348"/>
    <cellStyle name="标题 6 7" xfId="1349"/>
    <cellStyle name="标题 6 8" xfId="1350"/>
    <cellStyle name="标题 6 9" xfId="1351"/>
    <cellStyle name="标题 7 10" xfId="1352"/>
    <cellStyle name="标题 7 11" xfId="1353"/>
    <cellStyle name="标题 7 12" xfId="1354"/>
    <cellStyle name="标题 7 13" xfId="1355"/>
    <cellStyle name="标题 7 2" xfId="1356"/>
    <cellStyle name="标题 7 3" xfId="1357"/>
    <cellStyle name="标题 7 4" xfId="1358"/>
    <cellStyle name="标题 7 5" xfId="1359"/>
    <cellStyle name="标题 7 6" xfId="1360"/>
    <cellStyle name="标题 7 7" xfId="1361"/>
    <cellStyle name="标题 7 8" xfId="1362"/>
    <cellStyle name="标题 7 9" xfId="1363"/>
    <cellStyle name="标题 8 10" xfId="1364"/>
    <cellStyle name="标题 8 11" xfId="1365"/>
    <cellStyle name="标题 8 12" xfId="1366"/>
    <cellStyle name="标题 8 13" xfId="1367"/>
    <cellStyle name="标题 8 2" xfId="1368"/>
    <cellStyle name="标题 8 3" xfId="1369"/>
    <cellStyle name="标题 8 4" xfId="1370"/>
    <cellStyle name="标题 8 5" xfId="1371"/>
    <cellStyle name="标题 8 6" xfId="1372"/>
    <cellStyle name="标题 8 7" xfId="1373"/>
    <cellStyle name="标题 8 8" xfId="1374"/>
    <cellStyle name="标题 8 9" xfId="1375"/>
    <cellStyle name="标题 9 10" xfId="1376"/>
    <cellStyle name="标题 9 11" xfId="1377"/>
    <cellStyle name="标题 9 12" xfId="1378"/>
    <cellStyle name="标题 9 13" xfId="1379"/>
    <cellStyle name="标题 9 2" xfId="1380"/>
    <cellStyle name="标题 9 3" xfId="1381"/>
    <cellStyle name="标题 9 4" xfId="1382"/>
    <cellStyle name="标题 9 5" xfId="1383"/>
    <cellStyle name="标题 9 6" xfId="1384"/>
    <cellStyle name="标题 9 7" xfId="1385"/>
    <cellStyle name="标题 9 8" xfId="1386"/>
    <cellStyle name="标题 9 9" xfId="1387"/>
    <cellStyle name="差 2" xfId="2474"/>
    <cellStyle name="差 2 10" xfId="1388"/>
    <cellStyle name="差 2 11" xfId="1389"/>
    <cellStyle name="差 2 12" xfId="1390"/>
    <cellStyle name="差 2 13" xfId="1391"/>
    <cellStyle name="差 2 2" xfId="1392"/>
    <cellStyle name="差 2 3" xfId="1393"/>
    <cellStyle name="差 2 4" xfId="1394"/>
    <cellStyle name="差 2 5" xfId="1395"/>
    <cellStyle name="差 2 6" xfId="1396"/>
    <cellStyle name="差 2 7" xfId="1397"/>
    <cellStyle name="差 2 8" xfId="1398"/>
    <cellStyle name="差 2 9" xfId="1399"/>
    <cellStyle name="差 3 10" xfId="1400"/>
    <cellStyle name="差 3 11" xfId="1401"/>
    <cellStyle name="差 3 12" xfId="1402"/>
    <cellStyle name="差 3 13" xfId="1403"/>
    <cellStyle name="差 3 2" xfId="1404"/>
    <cellStyle name="差 3 3" xfId="1405"/>
    <cellStyle name="差 3 4" xfId="1406"/>
    <cellStyle name="差 3 5" xfId="1407"/>
    <cellStyle name="差 3 6" xfId="1408"/>
    <cellStyle name="差 3 7" xfId="1409"/>
    <cellStyle name="差 3 8" xfId="1410"/>
    <cellStyle name="差 3 9" xfId="1411"/>
    <cellStyle name="差 4 10" xfId="1412"/>
    <cellStyle name="差 4 11" xfId="1413"/>
    <cellStyle name="差 4 12" xfId="1414"/>
    <cellStyle name="差 4 13" xfId="1415"/>
    <cellStyle name="差 4 2" xfId="1416"/>
    <cellStyle name="差 4 3" xfId="1417"/>
    <cellStyle name="差 4 4" xfId="1418"/>
    <cellStyle name="差 4 5" xfId="1419"/>
    <cellStyle name="差 4 6" xfId="1420"/>
    <cellStyle name="差 4 7" xfId="1421"/>
    <cellStyle name="差 4 8" xfId="1422"/>
    <cellStyle name="差 4 9" xfId="1423"/>
    <cellStyle name="差 5 10" xfId="1424"/>
    <cellStyle name="差 5 11" xfId="1425"/>
    <cellStyle name="差 5 12" xfId="1426"/>
    <cellStyle name="差 5 13" xfId="1427"/>
    <cellStyle name="差 5 2" xfId="1428"/>
    <cellStyle name="差 5 3" xfId="1429"/>
    <cellStyle name="差 5 4" xfId="1430"/>
    <cellStyle name="差 5 5" xfId="1431"/>
    <cellStyle name="差 5 6" xfId="1432"/>
    <cellStyle name="差 5 7" xfId="1433"/>
    <cellStyle name="差 5 8" xfId="1434"/>
    <cellStyle name="差 5 9" xfId="1435"/>
    <cellStyle name="差 6 10" xfId="1436"/>
    <cellStyle name="差 6 11" xfId="1437"/>
    <cellStyle name="差 6 12" xfId="1438"/>
    <cellStyle name="差 6 13" xfId="1439"/>
    <cellStyle name="差 6 2" xfId="1440"/>
    <cellStyle name="差 6 3" xfId="1441"/>
    <cellStyle name="差 6 4" xfId="1442"/>
    <cellStyle name="差 6 5" xfId="1443"/>
    <cellStyle name="差 6 6" xfId="1444"/>
    <cellStyle name="差 6 7" xfId="1445"/>
    <cellStyle name="差 6 8" xfId="1446"/>
    <cellStyle name="差 6 9" xfId="1447"/>
    <cellStyle name="常规" xfId="0" builtinId="0"/>
    <cellStyle name="常规 2" xfId="2"/>
    <cellStyle name="超链接" xfId="3" builtinId="8"/>
    <cellStyle name="好 2" xfId="2473"/>
    <cellStyle name="好 2 10" xfId="1448"/>
    <cellStyle name="好 2 11" xfId="1449"/>
    <cellStyle name="好 2 12" xfId="1450"/>
    <cellStyle name="好 2 13" xfId="1451"/>
    <cellStyle name="好 2 2" xfId="1452"/>
    <cellStyle name="好 2 3" xfId="1453"/>
    <cellStyle name="好 2 4" xfId="1454"/>
    <cellStyle name="好 2 5" xfId="1455"/>
    <cellStyle name="好 2 6" xfId="1456"/>
    <cellStyle name="好 2 7" xfId="1457"/>
    <cellStyle name="好 2 8" xfId="1458"/>
    <cellStyle name="好 2 9" xfId="1459"/>
    <cellStyle name="好 3 10" xfId="1460"/>
    <cellStyle name="好 3 11" xfId="1461"/>
    <cellStyle name="好 3 12" xfId="1462"/>
    <cellStyle name="好 3 13" xfId="1463"/>
    <cellStyle name="好 3 2" xfId="1464"/>
    <cellStyle name="好 3 3" xfId="1465"/>
    <cellStyle name="好 3 4" xfId="1466"/>
    <cellStyle name="好 3 5" xfId="1467"/>
    <cellStyle name="好 3 6" xfId="1468"/>
    <cellStyle name="好 3 7" xfId="1469"/>
    <cellStyle name="好 3 8" xfId="1470"/>
    <cellStyle name="好 3 9" xfId="1471"/>
    <cellStyle name="好 4 10" xfId="1472"/>
    <cellStyle name="好 4 11" xfId="1473"/>
    <cellStyle name="好 4 12" xfId="1474"/>
    <cellStyle name="好 4 13" xfId="1475"/>
    <cellStyle name="好 4 2" xfId="1476"/>
    <cellStyle name="好 4 3" xfId="1477"/>
    <cellStyle name="好 4 4" xfId="1478"/>
    <cellStyle name="好 4 5" xfId="1479"/>
    <cellStyle name="好 4 6" xfId="1480"/>
    <cellStyle name="好 4 7" xfId="1481"/>
    <cellStyle name="好 4 8" xfId="1482"/>
    <cellStyle name="好 4 9" xfId="1483"/>
    <cellStyle name="好 5 10" xfId="1484"/>
    <cellStyle name="好 5 11" xfId="1485"/>
    <cellStyle name="好 5 12" xfId="1486"/>
    <cellStyle name="好 5 13" xfId="1487"/>
    <cellStyle name="好 5 2" xfId="1488"/>
    <cellStyle name="好 5 3" xfId="1489"/>
    <cellStyle name="好 5 4" xfId="1490"/>
    <cellStyle name="好 5 5" xfId="1491"/>
    <cellStyle name="好 5 6" xfId="1492"/>
    <cellStyle name="好 5 7" xfId="1493"/>
    <cellStyle name="好 5 8" xfId="1494"/>
    <cellStyle name="好 5 9" xfId="1495"/>
    <cellStyle name="好 6 10" xfId="1496"/>
    <cellStyle name="好 6 11" xfId="1497"/>
    <cellStyle name="好 6 12" xfId="1498"/>
    <cellStyle name="好 6 13" xfId="1499"/>
    <cellStyle name="好 6 2" xfId="1500"/>
    <cellStyle name="好 6 3" xfId="1501"/>
    <cellStyle name="好 6 4" xfId="1502"/>
    <cellStyle name="好 6 5" xfId="1503"/>
    <cellStyle name="好 6 6" xfId="1504"/>
    <cellStyle name="好 6 7" xfId="1505"/>
    <cellStyle name="好 6 8" xfId="1506"/>
    <cellStyle name="好 6 9" xfId="1507"/>
    <cellStyle name="汇总 2" xfId="2484"/>
    <cellStyle name="汇总 2 10" xfId="1508"/>
    <cellStyle name="汇总 2 11" xfId="1509"/>
    <cellStyle name="汇总 2 12" xfId="1510"/>
    <cellStyle name="汇总 2 13" xfId="1511"/>
    <cellStyle name="汇总 2 2" xfId="1512"/>
    <cellStyle name="汇总 2 3" xfId="1513"/>
    <cellStyle name="汇总 2 4" xfId="1514"/>
    <cellStyle name="汇总 2 5" xfId="1515"/>
    <cellStyle name="汇总 2 6" xfId="1516"/>
    <cellStyle name="汇总 2 7" xfId="1517"/>
    <cellStyle name="汇总 2 8" xfId="1518"/>
    <cellStyle name="汇总 2 9" xfId="1519"/>
    <cellStyle name="汇总 3 10" xfId="1520"/>
    <cellStyle name="汇总 3 11" xfId="1521"/>
    <cellStyle name="汇总 3 12" xfId="1522"/>
    <cellStyle name="汇总 3 13" xfId="1523"/>
    <cellStyle name="汇总 3 2" xfId="1524"/>
    <cellStyle name="汇总 3 3" xfId="1525"/>
    <cellStyle name="汇总 3 4" xfId="1526"/>
    <cellStyle name="汇总 3 5" xfId="1527"/>
    <cellStyle name="汇总 3 6" xfId="1528"/>
    <cellStyle name="汇总 3 7" xfId="1529"/>
    <cellStyle name="汇总 3 8" xfId="1530"/>
    <cellStyle name="汇总 3 9" xfId="1531"/>
    <cellStyle name="汇总 4 10" xfId="1532"/>
    <cellStyle name="汇总 4 11" xfId="1533"/>
    <cellStyle name="汇总 4 12" xfId="1534"/>
    <cellStyle name="汇总 4 13" xfId="1535"/>
    <cellStyle name="汇总 4 2" xfId="1536"/>
    <cellStyle name="汇总 4 3" xfId="1537"/>
    <cellStyle name="汇总 4 4" xfId="1538"/>
    <cellStyle name="汇总 4 5" xfId="1539"/>
    <cellStyle name="汇总 4 6" xfId="1540"/>
    <cellStyle name="汇总 4 7" xfId="1541"/>
    <cellStyle name="汇总 4 8" xfId="1542"/>
    <cellStyle name="汇总 4 9" xfId="1543"/>
    <cellStyle name="汇总 5 10" xfId="1544"/>
    <cellStyle name="汇总 5 11" xfId="1545"/>
    <cellStyle name="汇总 5 12" xfId="1546"/>
    <cellStyle name="汇总 5 13" xfId="1547"/>
    <cellStyle name="汇总 5 2" xfId="1548"/>
    <cellStyle name="汇总 5 3" xfId="1549"/>
    <cellStyle name="汇总 5 4" xfId="1550"/>
    <cellStyle name="汇总 5 5" xfId="1551"/>
    <cellStyle name="汇总 5 6" xfId="1552"/>
    <cellStyle name="汇总 5 7" xfId="1553"/>
    <cellStyle name="汇总 5 8" xfId="1554"/>
    <cellStyle name="汇总 5 9" xfId="1555"/>
    <cellStyle name="汇总 6 10" xfId="1556"/>
    <cellStyle name="汇总 6 11" xfId="1557"/>
    <cellStyle name="汇总 6 12" xfId="1558"/>
    <cellStyle name="汇总 6 13" xfId="1559"/>
    <cellStyle name="汇总 6 2" xfId="1560"/>
    <cellStyle name="汇总 6 3" xfId="1561"/>
    <cellStyle name="汇总 6 4" xfId="1562"/>
    <cellStyle name="汇总 6 5" xfId="1563"/>
    <cellStyle name="汇总 6 6" xfId="1564"/>
    <cellStyle name="汇总 6 7" xfId="1565"/>
    <cellStyle name="汇总 6 8" xfId="1566"/>
    <cellStyle name="汇总 6 9" xfId="1567"/>
    <cellStyle name="计算 2" xfId="2478"/>
    <cellStyle name="计算 2 10" xfId="1568"/>
    <cellStyle name="计算 2 11" xfId="1569"/>
    <cellStyle name="计算 2 12" xfId="1570"/>
    <cellStyle name="计算 2 13" xfId="1571"/>
    <cellStyle name="计算 2 2" xfId="1572"/>
    <cellStyle name="计算 2 3" xfId="1573"/>
    <cellStyle name="计算 2 4" xfId="1574"/>
    <cellStyle name="计算 2 5" xfId="1575"/>
    <cellStyle name="计算 2 6" xfId="1576"/>
    <cellStyle name="计算 2 7" xfId="1577"/>
    <cellStyle name="计算 2 8" xfId="1578"/>
    <cellStyle name="计算 2 9" xfId="1579"/>
    <cellStyle name="计算 3 10" xfId="1580"/>
    <cellStyle name="计算 3 11" xfId="1581"/>
    <cellStyle name="计算 3 12" xfId="1582"/>
    <cellStyle name="计算 3 13" xfId="1583"/>
    <cellStyle name="计算 3 2" xfId="1584"/>
    <cellStyle name="计算 3 3" xfId="1585"/>
    <cellStyle name="计算 3 4" xfId="1586"/>
    <cellStyle name="计算 3 5" xfId="1587"/>
    <cellStyle name="计算 3 6" xfId="1588"/>
    <cellStyle name="计算 3 7" xfId="1589"/>
    <cellStyle name="计算 3 8" xfId="1590"/>
    <cellStyle name="计算 3 9" xfId="1591"/>
    <cellStyle name="计算 4 10" xfId="1592"/>
    <cellStyle name="计算 4 11" xfId="1593"/>
    <cellStyle name="计算 4 12" xfId="1594"/>
    <cellStyle name="计算 4 13" xfId="1595"/>
    <cellStyle name="计算 4 2" xfId="1596"/>
    <cellStyle name="计算 4 3" xfId="1597"/>
    <cellStyle name="计算 4 4" xfId="1598"/>
    <cellStyle name="计算 4 5" xfId="1599"/>
    <cellStyle name="计算 4 6" xfId="1600"/>
    <cellStyle name="计算 4 7" xfId="1601"/>
    <cellStyle name="计算 4 8" xfId="1602"/>
    <cellStyle name="计算 4 9" xfId="1603"/>
    <cellStyle name="计算 5 10" xfId="1604"/>
    <cellStyle name="计算 5 11" xfId="1605"/>
    <cellStyle name="计算 5 12" xfId="1606"/>
    <cellStyle name="计算 5 13" xfId="1607"/>
    <cellStyle name="计算 5 2" xfId="1608"/>
    <cellStyle name="计算 5 3" xfId="1609"/>
    <cellStyle name="计算 5 4" xfId="1610"/>
    <cellStyle name="计算 5 5" xfId="1611"/>
    <cellStyle name="计算 5 6" xfId="1612"/>
    <cellStyle name="计算 5 7" xfId="1613"/>
    <cellStyle name="计算 5 8" xfId="1614"/>
    <cellStyle name="计算 5 9" xfId="1615"/>
    <cellStyle name="计算 6 10" xfId="1616"/>
    <cellStyle name="计算 6 11" xfId="1617"/>
    <cellStyle name="计算 6 12" xfId="1618"/>
    <cellStyle name="计算 6 13" xfId="1619"/>
    <cellStyle name="计算 6 2" xfId="1620"/>
    <cellStyle name="计算 6 3" xfId="1621"/>
    <cellStyle name="计算 6 4" xfId="1622"/>
    <cellStyle name="计算 6 5" xfId="1623"/>
    <cellStyle name="计算 6 6" xfId="1624"/>
    <cellStyle name="计算 6 7" xfId="1625"/>
    <cellStyle name="计算 6 8" xfId="1626"/>
    <cellStyle name="计算 6 9" xfId="1627"/>
    <cellStyle name="检查单元格 2" xfId="2480"/>
    <cellStyle name="检查单元格 2 10" xfId="1628"/>
    <cellStyle name="检查单元格 2 11" xfId="1629"/>
    <cellStyle name="检查单元格 2 12" xfId="1630"/>
    <cellStyle name="检查单元格 2 13" xfId="1631"/>
    <cellStyle name="检查单元格 2 2" xfId="1632"/>
    <cellStyle name="检查单元格 2 3" xfId="1633"/>
    <cellStyle name="检查单元格 2 4" xfId="1634"/>
    <cellStyle name="检查单元格 2 5" xfId="1635"/>
    <cellStyle name="检查单元格 2 6" xfId="1636"/>
    <cellStyle name="检查单元格 2 7" xfId="1637"/>
    <cellStyle name="检查单元格 2 8" xfId="1638"/>
    <cellStyle name="检查单元格 2 9" xfId="1639"/>
    <cellStyle name="检查单元格 3 10" xfId="1640"/>
    <cellStyle name="检查单元格 3 11" xfId="1641"/>
    <cellStyle name="检查单元格 3 12" xfId="1642"/>
    <cellStyle name="检查单元格 3 13" xfId="1643"/>
    <cellStyle name="检查单元格 3 2" xfId="1644"/>
    <cellStyle name="检查单元格 3 3" xfId="1645"/>
    <cellStyle name="检查单元格 3 4" xfId="1646"/>
    <cellStyle name="检查单元格 3 5" xfId="1647"/>
    <cellStyle name="检查单元格 3 6" xfId="1648"/>
    <cellStyle name="检查单元格 3 7" xfId="1649"/>
    <cellStyle name="检查单元格 3 8" xfId="1650"/>
    <cellStyle name="检查单元格 3 9" xfId="1651"/>
    <cellStyle name="检查单元格 4 10" xfId="1652"/>
    <cellStyle name="检查单元格 4 11" xfId="1653"/>
    <cellStyle name="检查单元格 4 12" xfId="1654"/>
    <cellStyle name="检查单元格 4 13" xfId="1655"/>
    <cellStyle name="检查单元格 4 2" xfId="1656"/>
    <cellStyle name="检查单元格 4 3" xfId="1657"/>
    <cellStyle name="检查单元格 4 4" xfId="1658"/>
    <cellStyle name="检查单元格 4 5" xfId="1659"/>
    <cellStyle name="检查单元格 4 6" xfId="1660"/>
    <cellStyle name="检查单元格 4 7" xfId="1661"/>
    <cellStyle name="检查单元格 4 8" xfId="1662"/>
    <cellStyle name="检查单元格 4 9" xfId="1663"/>
    <cellStyle name="检查单元格 5 10" xfId="1664"/>
    <cellStyle name="检查单元格 5 11" xfId="1665"/>
    <cellStyle name="检查单元格 5 12" xfId="1666"/>
    <cellStyle name="检查单元格 5 13" xfId="1667"/>
    <cellStyle name="检查单元格 5 2" xfId="1668"/>
    <cellStyle name="检查单元格 5 3" xfId="1669"/>
    <cellStyle name="检查单元格 5 4" xfId="1670"/>
    <cellStyle name="检查单元格 5 5" xfId="1671"/>
    <cellStyle name="检查单元格 5 6" xfId="1672"/>
    <cellStyle name="检查单元格 5 7" xfId="1673"/>
    <cellStyle name="检查单元格 5 8" xfId="1674"/>
    <cellStyle name="检查单元格 5 9" xfId="1675"/>
    <cellStyle name="检查单元格 6 10" xfId="1676"/>
    <cellStyle name="检查单元格 6 11" xfId="1677"/>
    <cellStyle name="检查单元格 6 12" xfId="1678"/>
    <cellStyle name="检查单元格 6 13" xfId="1679"/>
    <cellStyle name="检查单元格 6 2" xfId="1680"/>
    <cellStyle name="检查单元格 6 3" xfId="1681"/>
    <cellStyle name="检查单元格 6 4" xfId="1682"/>
    <cellStyle name="检查单元格 6 5" xfId="1683"/>
    <cellStyle name="检查单元格 6 6" xfId="1684"/>
    <cellStyle name="检查单元格 6 7" xfId="1685"/>
    <cellStyle name="检查单元格 6 8" xfId="1686"/>
    <cellStyle name="检查单元格 6 9" xfId="1687"/>
    <cellStyle name="解释性文本 2" xfId="2483"/>
    <cellStyle name="解释性文本 2 10" xfId="1688"/>
    <cellStyle name="解释性文本 2 11" xfId="1689"/>
    <cellStyle name="解释性文本 2 12" xfId="1690"/>
    <cellStyle name="解释性文本 2 13" xfId="1691"/>
    <cellStyle name="解释性文本 2 2" xfId="1692"/>
    <cellStyle name="解释性文本 2 3" xfId="1693"/>
    <cellStyle name="解释性文本 2 4" xfId="1694"/>
    <cellStyle name="解释性文本 2 5" xfId="1695"/>
    <cellStyle name="解释性文本 2 6" xfId="1696"/>
    <cellStyle name="解释性文本 2 7" xfId="1697"/>
    <cellStyle name="解释性文本 2 8" xfId="1698"/>
    <cellStyle name="解释性文本 2 9" xfId="1699"/>
    <cellStyle name="解释性文本 3 10" xfId="1700"/>
    <cellStyle name="解释性文本 3 11" xfId="1701"/>
    <cellStyle name="解释性文本 3 12" xfId="1702"/>
    <cellStyle name="解释性文本 3 13" xfId="1703"/>
    <cellStyle name="解释性文本 3 2" xfId="1704"/>
    <cellStyle name="解释性文本 3 3" xfId="1705"/>
    <cellStyle name="解释性文本 3 4" xfId="1706"/>
    <cellStyle name="解释性文本 3 5" xfId="1707"/>
    <cellStyle name="解释性文本 3 6" xfId="1708"/>
    <cellStyle name="解释性文本 3 7" xfId="1709"/>
    <cellStyle name="解释性文本 3 8" xfId="1710"/>
    <cellStyle name="解释性文本 3 9" xfId="1711"/>
    <cellStyle name="解释性文本 4 10" xfId="1712"/>
    <cellStyle name="解释性文本 4 11" xfId="1713"/>
    <cellStyle name="解释性文本 4 12" xfId="1714"/>
    <cellStyle name="解释性文本 4 13" xfId="1715"/>
    <cellStyle name="解释性文本 4 2" xfId="1716"/>
    <cellStyle name="解释性文本 4 3" xfId="1717"/>
    <cellStyle name="解释性文本 4 4" xfId="1718"/>
    <cellStyle name="解释性文本 4 5" xfId="1719"/>
    <cellStyle name="解释性文本 4 6" xfId="1720"/>
    <cellStyle name="解释性文本 4 7" xfId="1721"/>
    <cellStyle name="解释性文本 4 8" xfId="1722"/>
    <cellStyle name="解释性文本 4 9" xfId="1723"/>
    <cellStyle name="解释性文本 5 10" xfId="1724"/>
    <cellStyle name="解释性文本 5 11" xfId="1725"/>
    <cellStyle name="解释性文本 5 12" xfId="1726"/>
    <cellStyle name="解释性文本 5 13" xfId="1727"/>
    <cellStyle name="解释性文本 5 2" xfId="1728"/>
    <cellStyle name="解释性文本 5 3" xfId="1729"/>
    <cellStyle name="解释性文本 5 4" xfId="1730"/>
    <cellStyle name="解释性文本 5 5" xfId="1731"/>
    <cellStyle name="解释性文本 5 6" xfId="1732"/>
    <cellStyle name="解释性文本 5 7" xfId="1733"/>
    <cellStyle name="解释性文本 5 8" xfId="1734"/>
    <cellStyle name="解释性文本 5 9" xfId="1735"/>
    <cellStyle name="解释性文本 6 10" xfId="1736"/>
    <cellStyle name="解释性文本 6 11" xfId="1737"/>
    <cellStyle name="解释性文本 6 12" xfId="1738"/>
    <cellStyle name="解释性文本 6 13" xfId="1739"/>
    <cellStyle name="解释性文本 6 2" xfId="1740"/>
    <cellStyle name="解释性文本 6 3" xfId="1741"/>
    <cellStyle name="解释性文本 6 4" xfId="1742"/>
    <cellStyle name="解释性文本 6 5" xfId="1743"/>
    <cellStyle name="解释性文本 6 6" xfId="1744"/>
    <cellStyle name="解释性文本 6 7" xfId="1745"/>
    <cellStyle name="解释性文本 6 8" xfId="1746"/>
    <cellStyle name="解释性文本 6 9" xfId="1747"/>
    <cellStyle name="警告文本 2" xfId="2481"/>
    <cellStyle name="警告文本 2 10" xfId="1748"/>
    <cellStyle name="警告文本 2 11" xfId="1749"/>
    <cellStyle name="警告文本 2 12" xfId="1750"/>
    <cellStyle name="警告文本 2 13" xfId="1751"/>
    <cellStyle name="警告文本 2 2" xfId="1752"/>
    <cellStyle name="警告文本 2 3" xfId="1753"/>
    <cellStyle name="警告文本 2 4" xfId="1754"/>
    <cellStyle name="警告文本 2 5" xfId="1755"/>
    <cellStyle name="警告文本 2 6" xfId="1756"/>
    <cellStyle name="警告文本 2 7" xfId="1757"/>
    <cellStyle name="警告文本 2 8" xfId="1758"/>
    <cellStyle name="警告文本 2 9" xfId="1759"/>
    <cellStyle name="警告文本 3 10" xfId="1760"/>
    <cellStyle name="警告文本 3 11" xfId="1761"/>
    <cellStyle name="警告文本 3 12" xfId="1762"/>
    <cellStyle name="警告文本 3 13" xfId="1763"/>
    <cellStyle name="警告文本 3 2" xfId="1764"/>
    <cellStyle name="警告文本 3 3" xfId="1765"/>
    <cellStyle name="警告文本 3 4" xfId="1766"/>
    <cellStyle name="警告文本 3 5" xfId="1767"/>
    <cellStyle name="警告文本 3 6" xfId="1768"/>
    <cellStyle name="警告文本 3 7" xfId="1769"/>
    <cellStyle name="警告文本 3 8" xfId="1770"/>
    <cellStyle name="警告文本 3 9" xfId="1771"/>
    <cellStyle name="警告文本 4 10" xfId="1772"/>
    <cellStyle name="警告文本 4 11" xfId="1773"/>
    <cellStyle name="警告文本 4 12" xfId="1774"/>
    <cellStyle name="警告文本 4 13" xfId="1775"/>
    <cellStyle name="警告文本 4 2" xfId="1776"/>
    <cellStyle name="警告文本 4 3" xfId="1777"/>
    <cellStyle name="警告文本 4 4" xfId="1778"/>
    <cellStyle name="警告文本 4 5" xfId="1779"/>
    <cellStyle name="警告文本 4 6" xfId="1780"/>
    <cellStyle name="警告文本 4 7" xfId="1781"/>
    <cellStyle name="警告文本 4 8" xfId="1782"/>
    <cellStyle name="警告文本 4 9" xfId="1783"/>
    <cellStyle name="警告文本 5 10" xfId="1784"/>
    <cellStyle name="警告文本 5 11" xfId="1785"/>
    <cellStyle name="警告文本 5 12" xfId="1786"/>
    <cellStyle name="警告文本 5 13" xfId="1787"/>
    <cellStyle name="警告文本 5 2" xfId="1788"/>
    <cellStyle name="警告文本 5 3" xfId="1789"/>
    <cellStyle name="警告文本 5 4" xfId="1790"/>
    <cellStyle name="警告文本 5 5" xfId="1791"/>
    <cellStyle name="警告文本 5 6" xfId="1792"/>
    <cellStyle name="警告文本 5 7" xfId="1793"/>
    <cellStyle name="警告文本 5 8" xfId="1794"/>
    <cellStyle name="警告文本 5 9" xfId="1795"/>
    <cellStyle name="警告文本 6 10" xfId="1796"/>
    <cellStyle name="警告文本 6 11" xfId="1797"/>
    <cellStyle name="警告文本 6 12" xfId="1798"/>
    <cellStyle name="警告文本 6 13" xfId="1799"/>
    <cellStyle name="警告文本 6 2" xfId="1800"/>
    <cellStyle name="警告文本 6 3" xfId="1801"/>
    <cellStyle name="警告文本 6 4" xfId="1802"/>
    <cellStyle name="警告文本 6 5" xfId="1803"/>
    <cellStyle name="警告文本 6 6" xfId="1804"/>
    <cellStyle name="警告文本 6 7" xfId="1805"/>
    <cellStyle name="警告文本 6 8" xfId="1806"/>
    <cellStyle name="警告文本 6 9" xfId="1807"/>
    <cellStyle name="链接单元格 2" xfId="2479"/>
    <cellStyle name="链接单元格 2 10" xfId="1808"/>
    <cellStyle name="链接单元格 2 11" xfId="1809"/>
    <cellStyle name="链接单元格 2 12" xfId="1810"/>
    <cellStyle name="链接单元格 2 13" xfId="1811"/>
    <cellStyle name="链接单元格 2 2" xfId="1812"/>
    <cellStyle name="链接单元格 2 3" xfId="1813"/>
    <cellStyle name="链接单元格 2 4" xfId="1814"/>
    <cellStyle name="链接单元格 2 5" xfId="1815"/>
    <cellStyle name="链接单元格 2 6" xfId="1816"/>
    <cellStyle name="链接单元格 2 7" xfId="1817"/>
    <cellStyle name="链接单元格 2 8" xfId="1818"/>
    <cellStyle name="链接单元格 2 9" xfId="1819"/>
    <cellStyle name="链接单元格 3 10" xfId="1820"/>
    <cellStyle name="链接单元格 3 11" xfId="1821"/>
    <cellStyle name="链接单元格 3 12" xfId="1822"/>
    <cellStyle name="链接单元格 3 13" xfId="1823"/>
    <cellStyle name="链接单元格 3 2" xfId="1824"/>
    <cellStyle name="链接单元格 3 3" xfId="1825"/>
    <cellStyle name="链接单元格 3 4" xfId="1826"/>
    <cellStyle name="链接单元格 3 5" xfId="1827"/>
    <cellStyle name="链接单元格 3 6" xfId="1828"/>
    <cellStyle name="链接单元格 3 7" xfId="1829"/>
    <cellStyle name="链接单元格 3 8" xfId="1830"/>
    <cellStyle name="链接单元格 3 9" xfId="1831"/>
    <cellStyle name="链接单元格 4 10" xfId="1832"/>
    <cellStyle name="链接单元格 4 11" xfId="1833"/>
    <cellStyle name="链接单元格 4 12" xfId="1834"/>
    <cellStyle name="链接单元格 4 13" xfId="1835"/>
    <cellStyle name="链接单元格 4 2" xfId="1836"/>
    <cellStyle name="链接单元格 4 3" xfId="1837"/>
    <cellStyle name="链接单元格 4 4" xfId="1838"/>
    <cellStyle name="链接单元格 4 5" xfId="1839"/>
    <cellStyle name="链接单元格 4 6" xfId="1840"/>
    <cellStyle name="链接单元格 4 7" xfId="1841"/>
    <cellStyle name="链接单元格 4 8" xfId="1842"/>
    <cellStyle name="链接单元格 4 9" xfId="1843"/>
    <cellStyle name="链接单元格 5 10" xfId="1844"/>
    <cellStyle name="链接单元格 5 11" xfId="1845"/>
    <cellStyle name="链接单元格 5 12" xfId="1846"/>
    <cellStyle name="链接单元格 5 13" xfId="1847"/>
    <cellStyle name="链接单元格 5 2" xfId="1848"/>
    <cellStyle name="链接单元格 5 3" xfId="1849"/>
    <cellStyle name="链接单元格 5 4" xfId="1850"/>
    <cellStyle name="链接单元格 5 5" xfId="1851"/>
    <cellStyle name="链接单元格 5 6" xfId="1852"/>
    <cellStyle name="链接单元格 5 7" xfId="1853"/>
    <cellStyle name="链接单元格 5 8" xfId="1854"/>
    <cellStyle name="链接单元格 5 9" xfId="1855"/>
    <cellStyle name="链接单元格 6 10" xfId="1856"/>
    <cellStyle name="链接单元格 6 11" xfId="1857"/>
    <cellStyle name="链接单元格 6 12" xfId="1858"/>
    <cellStyle name="链接单元格 6 13" xfId="1859"/>
    <cellStyle name="链接单元格 6 2" xfId="1860"/>
    <cellStyle name="链接单元格 6 3" xfId="1861"/>
    <cellStyle name="链接单元格 6 4" xfId="1862"/>
    <cellStyle name="链接单元格 6 5" xfId="1863"/>
    <cellStyle name="链接单元格 6 6" xfId="1864"/>
    <cellStyle name="链接单元格 6 7" xfId="1865"/>
    <cellStyle name="链接单元格 6 8" xfId="1866"/>
    <cellStyle name="链接单元格 6 9" xfId="1867"/>
    <cellStyle name="强调文字颜色 1 2" xfId="2485"/>
    <cellStyle name="强调文字颜色 1 2 10" xfId="1868"/>
    <cellStyle name="强调文字颜色 1 2 11" xfId="1869"/>
    <cellStyle name="强调文字颜色 1 2 12" xfId="1870"/>
    <cellStyle name="强调文字颜色 1 2 13" xfId="1871"/>
    <cellStyle name="强调文字颜色 1 2 2" xfId="1872"/>
    <cellStyle name="强调文字颜色 1 2 3" xfId="1873"/>
    <cellStyle name="强调文字颜色 1 2 4" xfId="1874"/>
    <cellStyle name="强调文字颜色 1 2 5" xfId="1875"/>
    <cellStyle name="强调文字颜色 1 2 6" xfId="1876"/>
    <cellStyle name="强调文字颜色 1 2 7" xfId="1877"/>
    <cellStyle name="强调文字颜色 1 2 8" xfId="1878"/>
    <cellStyle name="强调文字颜色 1 2 9" xfId="1879"/>
    <cellStyle name="强调文字颜色 1 3 10" xfId="1880"/>
    <cellStyle name="强调文字颜色 1 3 11" xfId="1881"/>
    <cellStyle name="强调文字颜色 1 3 12" xfId="1882"/>
    <cellStyle name="强调文字颜色 1 3 13" xfId="1883"/>
    <cellStyle name="强调文字颜色 1 3 2" xfId="1884"/>
    <cellStyle name="强调文字颜色 1 3 3" xfId="1885"/>
    <cellStyle name="强调文字颜色 1 3 4" xfId="1886"/>
    <cellStyle name="强调文字颜色 1 3 5" xfId="1887"/>
    <cellStyle name="强调文字颜色 1 3 6" xfId="1888"/>
    <cellStyle name="强调文字颜色 1 3 7" xfId="1889"/>
    <cellStyle name="强调文字颜色 1 3 8" xfId="1890"/>
    <cellStyle name="强调文字颜色 1 3 9" xfId="1891"/>
    <cellStyle name="强调文字颜色 1 4 10" xfId="1892"/>
    <cellStyle name="强调文字颜色 1 4 11" xfId="1893"/>
    <cellStyle name="强调文字颜色 1 4 12" xfId="1894"/>
    <cellStyle name="强调文字颜色 1 4 13" xfId="1895"/>
    <cellStyle name="强调文字颜色 1 4 2" xfId="1896"/>
    <cellStyle name="强调文字颜色 1 4 3" xfId="1897"/>
    <cellStyle name="强调文字颜色 1 4 4" xfId="1898"/>
    <cellStyle name="强调文字颜色 1 4 5" xfId="1899"/>
    <cellStyle name="强调文字颜色 1 4 6" xfId="1900"/>
    <cellStyle name="强调文字颜色 1 4 7" xfId="1901"/>
    <cellStyle name="强调文字颜色 1 4 8" xfId="1902"/>
    <cellStyle name="强调文字颜色 1 4 9" xfId="1903"/>
    <cellStyle name="强调文字颜色 1 5 10" xfId="1904"/>
    <cellStyle name="强调文字颜色 1 5 11" xfId="1905"/>
    <cellStyle name="强调文字颜色 1 5 12" xfId="1906"/>
    <cellStyle name="强调文字颜色 1 5 13" xfId="1907"/>
    <cellStyle name="强调文字颜色 1 5 2" xfId="1908"/>
    <cellStyle name="强调文字颜色 1 5 3" xfId="1909"/>
    <cellStyle name="强调文字颜色 1 5 4" xfId="1910"/>
    <cellStyle name="强调文字颜色 1 5 5" xfId="1911"/>
    <cellStyle name="强调文字颜色 1 5 6" xfId="1912"/>
    <cellStyle name="强调文字颜色 1 5 7" xfId="1913"/>
    <cellStyle name="强调文字颜色 1 5 8" xfId="1914"/>
    <cellStyle name="强调文字颜色 1 5 9" xfId="1915"/>
    <cellStyle name="强调文字颜色 1 6 10" xfId="1916"/>
    <cellStyle name="强调文字颜色 1 6 11" xfId="1917"/>
    <cellStyle name="强调文字颜色 1 6 12" xfId="1918"/>
    <cellStyle name="强调文字颜色 1 6 13" xfId="1919"/>
    <cellStyle name="强调文字颜色 1 6 2" xfId="1920"/>
    <cellStyle name="强调文字颜色 1 6 3" xfId="1921"/>
    <cellStyle name="强调文字颜色 1 6 4" xfId="1922"/>
    <cellStyle name="强调文字颜色 1 6 5" xfId="1923"/>
    <cellStyle name="强调文字颜色 1 6 6" xfId="1924"/>
    <cellStyle name="强调文字颜色 1 6 7" xfId="1925"/>
    <cellStyle name="强调文字颜色 1 6 8" xfId="1926"/>
    <cellStyle name="强调文字颜色 1 6 9" xfId="1927"/>
    <cellStyle name="强调文字颜色 2 2" xfId="2489"/>
    <cellStyle name="强调文字颜色 2 2 10" xfId="1928"/>
    <cellStyle name="强调文字颜色 2 2 11" xfId="1929"/>
    <cellStyle name="强调文字颜色 2 2 12" xfId="1930"/>
    <cellStyle name="强调文字颜色 2 2 13" xfId="1931"/>
    <cellStyle name="强调文字颜色 2 2 2" xfId="1932"/>
    <cellStyle name="强调文字颜色 2 2 3" xfId="1933"/>
    <cellStyle name="强调文字颜色 2 2 4" xfId="1934"/>
    <cellStyle name="强调文字颜色 2 2 5" xfId="1935"/>
    <cellStyle name="强调文字颜色 2 2 6" xfId="1936"/>
    <cellStyle name="强调文字颜色 2 2 7" xfId="1937"/>
    <cellStyle name="强调文字颜色 2 2 8" xfId="1938"/>
    <cellStyle name="强调文字颜色 2 2 9" xfId="1939"/>
    <cellStyle name="强调文字颜色 2 3 10" xfId="1940"/>
    <cellStyle name="强调文字颜色 2 3 11" xfId="1941"/>
    <cellStyle name="强调文字颜色 2 3 12" xfId="1942"/>
    <cellStyle name="强调文字颜色 2 3 13" xfId="1943"/>
    <cellStyle name="强调文字颜色 2 3 2" xfId="1944"/>
    <cellStyle name="强调文字颜色 2 3 3" xfId="1945"/>
    <cellStyle name="强调文字颜色 2 3 4" xfId="1946"/>
    <cellStyle name="强调文字颜色 2 3 5" xfId="1947"/>
    <cellStyle name="强调文字颜色 2 3 6" xfId="1948"/>
    <cellStyle name="强调文字颜色 2 3 7" xfId="1949"/>
    <cellStyle name="强调文字颜色 2 3 8" xfId="1950"/>
    <cellStyle name="强调文字颜色 2 3 9" xfId="1951"/>
    <cellStyle name="强调文字颜色 2 4 10" xfId="1952"/>
    <cellStyle name="强调文字颜色 2 4 11" xfId="1953"/>
    <cellStyle name="强调文字颜色 2 4 12" xfId="1954"/>
    <cellStyle name="强调文字颜色 2 4 13" xfId="1955"/>
    <cellStyle name="强调文字颜色 2 4 2" xfId="1956"/>
    <cellStyle name="强调文字颜色 2 4 3" xfId="1957"/>
    <cellStyle name="强调文字颜色 2 4 4" xfId="1958"/>
    <cellStyle name="强调文字颜色 2 4 5" xfId="1959"/>
    <cellStyle name="强调文字颜色 2 4 6" xfId="1960"/>
    <cellStyle name="强调文字颜色 2 4 7" xfId="1961"/>
    <cellStyle name="强调文字颜色 2 4 8" xfId="1962"/>
    <cellStyle name="强调文字颜色 2 4 9" xfId="1963"/>
    <cellStyle name="强调文字颜色 2 5 10" xfId="1964"/>
    <cellStyle name="强调文字颜色 2 5 11" xfId="1965"/>
    <cellStyle name="强调文字颜色 2 5 12" xfId="1966"/>
    <cellStyle name="强调文字颜色 2 5 13" xfId="1967"/>
    <cellStyle name="强调文字颜色 2 5 2" xfId="1968"/>
    <cellStyle name="强调文字颜色 2 5 3" xfId="1969"/>
    <cellStyle name="强调文字颜色 2 5 4" xfId="1970"/>
    <cellStyle name="强调文字颜色 2 5 5" xfId="1971"/>
    <cellStyle name="强调文字颜色 2 5 6" xfId="1972"/>
    <cellStyle name="强调文字颜色 2 5 7" xfId="1973"/>
    <cellStyle name="强调文字颜色 2 5 8" xfId="1974"/>
    <cellStyle name="强调文字颜色 2 5 9" xfId="1975"/>
    <cellStyle name="强调文字颜色 2 6 10" xfId="1976"/>
    <cellStyle name="强调文字颜色 2 6 11" xfId="1977"/>
    <cellStyle name="强调文字颜色 2 6 12" xfId="1978"/>
    <cellStyle name="强调文字颜色 2 6 13" xfId="1979"/>
    <cellStyle name="强调文字颜色 2 6 2" xfId="1980"/>
    <cellStyle name="强调文字颜色 2 6 3" xfId="1981"/>
    <cellStyle name="强调文字颜色 2 6 4" xfId="1982"/>
    <cellStyle name="强调文字颜色 2 6 5" xfId="1983"/>
    <cellStyle name="强调文字颜色 2 6 6" xfId="1984"/>
    <cellStyle name="强调文字颜色 2 6 7" xfId="1985"/>
    <cellStyle name="强调文字颜色 2 6 8" xfId="1986"/>
    <cellStyle name="强调文字颜色 2 6 9" xfId="1987"/>
    <cellStyle name="强调文字颜色 3 2" xfId="2493"/>
    <cellStyle name="强调文字颜色 3 2 10" xfId="1988"/>
    <cellStyle name="强调文字颜色 3 2 11" xfId="1989"/>
    <cellStyle name="强调文字颜色 3 2 12" xfId="1990"/>
    <cellStyle name="强调文字颜色 3 2 13" xfId="1991"/>
    <cellStyle name="强调文字颜色 3 2 2" xfId="1992"/>
    <cellStyle name="强调文字颜色 3 2 3" xfId="1993"/>
    <cellStyle name="强调文字颜色 3 2 4" xfId="1994"/>
    <cellStyle name="强调文字颜色 3 2 5" xfId="1995"/>
    <cellStyle name="强调文字颜色 3 2 6" xfId="1996"/>
    <cellStyle name="强调文字颜色 3 2 7" xfId="1997"/>
    <cellStyle name="强调文字颜色 3 2 8" xfId="1998"/>
    <cellStyle name="强调文字颜色 3 2 9" xfId="1999"/>
    <cellStyle name="强调文字颜色 3 3 10" xfId="2000"/>
    <cellStyle name="强调文字颜色 3 3 11" xfId="2001"/>
    <cellStyle name="强调文字颜色 3 3 12" xfId="2002"/>
    <cellStyle name="强调文字颜色 3 3 13" xfId="2003"/>
    <cellStyle name="强调文字颜色 3 3 2" xfId="2004"/>
    <cellStyle name="强调文字颜色 3 3 3" xfId="2005"/>
    <cellStyle name="强调文字颜色 3 3 4" xfId="2006"/>
    <cellStyle name="强调文字颜色 3 3 5" xfId="2007"/>
    <cellStyle name="强调文字颜色 3 3 6" xfId="2008"/>
    <cellStyle name="强调文字颜色 3 3 7" xfId="2009"/>
    <cellStyle name="强调文字颜色 3 3 8" xfId="2010"/>
    <cellStyle name="强调文字颜色 3 3 9" xfId="2011"/>
    <cellStyle name="强调文字颜色 3 4 10" xfId="2012"/>
    <cellStyle name="强调文字颜色 3 4 11" xfId="2013"/>
    <cellStyle name="强调文字颜色 3 4 12" xfId="2014"/>
    <cellStyle name="强调文字颜色 3 4 13" xfId="2015"/>
    <cellStyle name="强调文字颜色 3 4 2" xfId="2016"/>
    <cellStyle name="强调文字颜色 3 4 3" xfId="2017"/>
    <cellStyle name="强调文字颜色 3 4 4" xfId="2018"/>
    <cellStyle name="强调文字颜色 3 4 5" xfId="2019"/>
    <cellStyle name="强调文字颜色 3 4 6" xfId="2020"/>
    <cellStyle name="强调文字颜色 3 4 7" xfId="2021"/>
    <cellStyle name="强调文字颜色 3 4 8" xfId="2022"/>
    <cellStyle name="强调文字颜色 3 4 9" xfId="2023"/>
    <cellStyle name="强调文字颜色 3 5 10" xfId="2024"/>
    <cellStyle name="强调文字颜色 3 5 11" xfId="2025"/>
    <cellStyle name="强调文字颜色 3 5 12" xfId="2026"/>
    <cellStyle name="强调文字颜色 3 5 13" xfId="2027"/>
    <cellStyle name="强调文字颜色 3 5 2" xfId="2028"/>
    <cellStyle name="强调文字颜色 3 5 3" xfId="2029"/>
    <cellStyle name="强调文字颜色 3 5 4" xfId="2030"/>
    <cellStyle name="强调文字颜色 3 5 5" xfId="2031"/>
    <cellStyle name="强调文字颜色 3 5 6" xfId="2032"/>
    <cellStyle name="强调文字颜色 3 5 7" xfId="2033"/>
    <cellStyle name="强调文字颜色 3 5 8" xfId="2034"/>
    <cellStyle name="强调文字颜色 3 5 9" xfId="2035"/>
    <cellStyle name="强调文字颜色 3 6 10" xfId="2036"/>
    <cellStyle name="强调文字颜色 3 6 11" xfId="2037"/>
    <cellStyle name="强调文字颜色 3 6 12" xfId="2038"/>
    <cellStyle name="强调文字颜色 3 6 13" xfId="2039"/>
    <cellStyle name="强调文字颜色 3 6 2" xfId="2040"/>
    <cellStyle name="强调文字颜色 3 6 3" xfId="2041"/>
    <cellStyle name="强调文字颜色 3 6 4" xfId="2042"/>
    <cellStyle name="强调文字颜色 3 6 5" xfId="2043"/>
    <cellStyle name="强调文字颜色 3 6 6" xfId="2044"/>
    <cellStyle name="强调文字颜色 3 6 7" xfId="2045"/>
    <cellStyle name="强调文字颜色 3 6 8" xfId="2046"/>
    <cellStyle name="强调文字颜色 3 6 9" xfId="2047"/>
    <cellStyle name="强调文字颜色 4 2" xfId="2497"/>
    <cellStyle name="强调文字颜色 4 2 10" xfId="2048"/>
    <cellStyle name="强调文字颜色 4 2 11" xfId="2049"/>
    <cellStyle name="强调文字颜色 4 2 12" xfId="2050"/>
    <cellStyle name="强调文字颜色 4 2 13" xfId="2051"/>
    <cellStyle name="强调文字颜色 4 2 2" xfId="2052"/>
    <cellStyle name="强调文字颜色 4 2 3" xfId="2053"/>
    <cellStyle name="强调文字颜色 4 2 4" xfId="2054"/>
    <cellStyle name="强调文字颜色 4 2 5" xfId="2055"/>
    <cellStyle name="强调文字颜色 4 2 6" xfId="2056"/>
    <cellStyle name="强调文字颜色 4 2 7" xfId="2057"/>
    <cellStyle name="强调文字颜色 4 2 8" xfId="2058"/>
    <cellStyle name="强调文字颜色 4 2 9" xfId="2059"/>
    <cellStyle name="强调文字颜色 4 3 10" xfId="2060"/>
    <cellStyle name="强调文字颜色 4 3 11" xfId="2061"/>
    <cellStyle name="强调文字颜色 4 3 12" xfId="2062"/>
    <cellStyle name="强调文字颜色 4 3 13" xfId="2063"/>
    <cellStyle name="强调文字颜色 4 3 2" xfId="2064"/>
    <cellStyle name="强调文字颜色 4 3 3" xfId="2065"/>
    <cellStyle name="强调文字颜色 4 3 4" xfId="2066"/>
    <cellStyle name="强调文字颜色 4 3 5" xfId="2067"/>
    <cellStyle name="强调文字颜色 4 3 6" xfId="2068"/>
    <cellStyle name="强调文字颜色 4 3 7" xfId="2069"/>
    <cellStyle name="强调文字颜色 4 3 8" xfId="2070"/>
    <cellStyle name="强调文字颜色 4 3 9" xfId="2071"/>
    <cellStyle name="强调文字颜色 4 4 10" xfId="2072"/>
    <cellStyle name="强调文字颜色 4 4 11" xfId="2073"/>
    <cellStyle name="强调文字颜色 4 4 12" xfId="2074"/>
    <cellStyle name="强调文字颜色 4 4 13" xfId="2075"/>
    <cellStyle name="强调文字颜色 4 4 2" xfId="2076"/>
    <cellStyle name="强调文字颜色 4 4 3" xfId="2077"/>
    <cellStyle name="强调文字颜色 4 4 4" xfId="2078"/>
    <cellStyle name="强调文字颜色 4 4 5" xfId="2079"/>
    <cellStyle name="强调文字颜色 4 4 6" xfId="2080"/>
    <cellStyle name="强调文字颜色 4 4 7" xfId="2081"/>
    <cellStyle name="强调文字颜色 4 4 8" xfId="2082"/>
    <cellStyle name="强调文字颜色 4 4 9" xfId="2083"/>
    <cellStyle name="强调文字颜色 4 5 10" xfId="2084"/>
    <cellStyle name="强调文字颜色 4 5 11" xfId="2085"/>
    <cellStyle name="强调文字颜色 4 5 12" xfId="2086"/>
    <cellStyle name="强调文字颜色 4 5 13" xfId="2087"/>
    <cellStyle name="强调文字颜色 4 5 2" xfId="2088"/>
    <cellStyle name="强调文字颜色 4 5 3" xfId="2089"/>
    <cellStyle name="强调文字颜色 4 5 4" xfId="2090"/>
    <cellStyle name="强调文字颜色 4 5 5" xfId="2091"/>
    <cellStyle name="强调文字颜色 4 5 6" xfId="2092"/>
    <cellStyle name="强调文字颜色 4 5 7" xfId="2093"/>
    <cellStyle name="强调文字颜色 4 5 8" xfId="2094"/>
    <cellStyle name="强调文字颜色 4 5 9" xfId="2095"/>
    <cellStyle name="强调文字颜色 4 6 10" xfId="2096"/>
    <cellStyle name="强调文字颜色 4 6 11" xfId="2097"/>
    <cellStyle name="强调文字颜色 4 6 12" xfId="2098"/>
    <cellStyle name="强调文字颜色 4 6 13" xfId="2099"/>
    <cellStyle name="强调文字颜色 4 6 2" xfId="2100"/>
    <cellStyle name="强调文字颜色 4 6 3" xfId="2101"/>
    <cellStyle name="强调文字颜色 4 6 4" xfId="2102"/>
    <cellStyle name="强调文字颜色 4 6 5" xfId="2103"/>
    <cellStyle name="强调文字颜色 4 6 6" xfId="2104"/>
    <cellStyle name="强调文字颜色 4 6 7" xfId="2105"/>
    <cellStyle name="强调文字颜色 4 6 8" xfId="2106"/>
    <cellStyle name="强调文字颜色 4 6 9" xfId="2107"/>
    <cellStyle name="强调文字颜色 5 2" xfId="2501"/>
    <cellStyle name="强调文字颜色 5 2 10" xfId="2108"/>
    <cellStyle name="强调文字颜色 5 2 11" xfId="2109"/>
    <cellStyle name="强调文字颜色 5 2 12" xfId="2110"/>
    <cellStyle name="强调文字颜色 5 2 13" xfId="2111"/>
    <cellStyle name="强调文字颜色 5 2 2" xfId="2112"/>
    <cellStyle name="强调文字颜色 5 2 3" xfId="2113"/>
    <cellStyle name="强调文字颜色 5 2 4" xfId="2114"/>
    <cellStyle name="强调文字颜色 5 2 5" xfId="2115"/>
    <cellStyle name="强调文字颜色 5 2 6" xfId="2116"/>
    <cellStyle name="强调文字颜色 5 2 7" xfId="2117"/>
    <cellStyle name="强调文字颜色 5 2 8" xfId="2118"/>
    <cellStyle name="强调文字颜色 5 2 9" xfId="2119"/>
    <cellStyle name="强调文字颜色 5 3 10" xfId="2120"/>
    <cellStyle name="强调文字颜色 5 3 11" xfId="2121"/>
    <cellStyle name="强调文字颜色 5 3 12" xfId="2122"/>
    <cellStyle name="强调文字颜色 5 3 13" xfId="2123"/>
    <cellStyle name="强调文字颜色 5 3 2" xfId="2124"/>
    <cellStyle name="强调文字颜色 5 3 3" xfId="2125"/>
    <cellStyle name="强调文字颜色 5 3 4" xfId="2126"/>
    <cellStyle name="强调文字颜色 5 3 5" xfId="2127"/>
    <cellStyle name="强调文字颜色 5 3 6" xfId="2128"/>
    <cellStyle name="强调文字颜色 5 3 7" xfId="2129"/>
    <cellStyle name="强调文字颜色 5 3 8" xfId="2130"/>
    <cellStyle name="强调文字颜色 5 3 9" xfId="2131"/>
    <cellStyle name="强调文字颜色 5 4 10" xfId="2132"/>
    <cellStyle name="强调文字颜色 5 4 11" xfId="2133"/>
    <cellStyle name="强调文字颜色 5 4 12" xfId="2134"/>
    <cellStyle name="强调文字颜色 5 4 13" xfId="2135"/>
    <cellStyle name="强调文字颜色 5 4 2" xfId="2136"/>
    <cellStyle name="强调文字颜色 5 4 3" xfId="2137"/>
    <cellStyle name="强调文字颜色 5 4 4" xfId="2138"/>
    <cellStyle name="强调文字颜色 5 4 5" xfId="2139"/>
    <cellStyle name="强调文字颜色 5 4 6" xfId="2140"/>
    <cellStyle name="强调文字颜色 5 4 7" xfId="2141"/>
    <cellStyle name="强调文字颜色 5 4 8" xfId="2142"/>
    <cellStyle name="强调文字颜色 5 4 9" xfId="2143"/>
    <cellStyle name="强调文字颜色 5 5 10" xfId="2144"/>
    <cellStyle name="强调文字颜色 5 5 11" xfId="2145"/>
    <cellStyle name="强调文字颜色 5 5 12" xfId="2146"/>
    <cellStyle name="强调文字颜色 5 5 13" xfId="2147"/>
    <cellStyle name="强调文字颜色 5 5 2" xfId="2148"/>
    <cellStyle name="强调文字颜色 5 5 3" xfId="2149"/>
    <cellStyle name="强调文字颜色 5 5 4" xfId="2150"/>
    <cellStyle name="强调文字颜色 5 5 5" xfId="2151"/>
    <cellStyle name="强调文字颜色 5 5 6" xfId="2152"/>
    <cellStyle name="强调文字颜色 5 5 7" xfId="2153"/>
    <cellStyle name="强调文字颜色 5 5 8" xfId="2154"/>
    <cellStyle name="强调文字颜色 5 5 9" xfId="2155"/>
    <cellStyle name="强调文字颜色 5 6 10" xfId="2156"/>
    <cellStyle name="强调文字颜色 5 6 11" xfId="2157"/>
    <cellStyle name="强调文字颜色 5 6 12" xfId="2158"/>
    <cellStyle name="强调文字颜色 5 6 13" xfId="2159"/>
    <cellStyle name="强调文字颜色 5 6 2" xfId="2160"/>
    <cellStyle name="强调文字颜色 5 6 3" xfId="2161"/>
    <cellStyle name="强调文字颜色 5 6 4" xfId="2162"/>
    <cellStyle name="强调文字颜色 5 6 5" xfId="2163"/>
    <cellStyle name="强调文字颜色 5 6 6" xfId="2164"/>
    <cellStyle name="强调文字颜色 5 6 7" xfId="2165"/>
    <cellStyle name="强调文字颜色 5 6 8" xfId="2166"/>
    <cellStyle name="强调文字颜色 5 6 9" xfId="2167"/>
    <cellStyle name="强调文字颜色 6 2" xfId="2505"/>
    <cellStyle name="强调文字颜色 6 2 10" xfId="2168"/>
    <cellStyle name="强调文字颜色 6 2 11" xfId="2169"/>
    <cellStyle name="强调文字颜色 6 2 12" xfId="2170"/>
    <cellStyle name="强调文字颜色 6 2 13" xfId="2171"/>
    <cellStyle name="强调文字颜色 6 2 2" xfId="2172"/>
    <cellStyle name="强调文字颜色 6 2 3" xfId="2173"/>
    <cellStyle name="强调文字颜色 6 2 4" xfId="2174"/>
    <cellStyle name="强调文字颜色 6 2 5" xfId="2175"/>
    <cellStyle name="强调文字颜色 6 2 6" xfId="2176"/>
    <cellStyle name="强调文字颜色 6 2 7" xfId="2177"/>
    <cellStyle name="强调文字颜色 6 2 8" xfId="2178"/>
    <cellStyle name="强调文字颜色 6 2 9" xfId="2179"/>
    <cellStyle name="强调文字颜色 6 3 10" xfId="2180"/>
    <cellStyle name="强调文字颜色 6 3 11" xfId="2181"/>
    <cellStyle name="强调文字颜色 6 3 12" xfId="2182"/>
    <cellStyle name="强调文字颜色 6 3 13" xfId="2183"/>
    <cellStyle name="强调文字颜色 6 3 2" xfId="2184"/>
    <cellStyle name="强调文字颜色 6 3 3" xfId="2185"/>
    <cellStyle name="强调文字颜色 6 3 4" xfId="2186"/>
    <cellStyle name="强调文字颜色 6 3 5" xfId="2187"/>
    <cellStyle name="强调文字颜色 6 3 6" xfId="2188"/>
    <cellStyle name="强调文字颜色 6 3 7" xfId="2189"/>
    <cellStyle name="强调文字颜色 6 3 8" xfId="2190"/>
    <cellStyle name="强调文字颜色 6 3 9" xfId="2191"/>
    <cellStyle name="强调文字颜色 6 4 10" xfId="2192"/>
    <cellStyle name="强调文字颜色 6 4 11" xfId="2193"/>
    <cellStyle name="强调文字颜色 6 4 12" xfId="2194"/>
    <cellStyle name="强调文字颜色 6 4 13" xfId="2195"/>
    <cellStyle name="强调文字颜色 6 4 2" xfId="2196"/>
    <cellStyle name="强调文字颜色 6 4 3" xfId="2197"/>
    <cellStyle name="强调文字颜色 6 4 4" xfId="2198"/>
    <cellStyle name="强调文字颜色 6 4 5" xfId="2199"/>
    <cellStyle name="强调文字颜色 6 4 6" xfId="2200"/>
    <cellStyle name="强调文字颜色 6 4 7" xfId="2201"/>
    <cellStyle name="强调文字颜色 6 4 8" xfId="2202"/>
    <cellStyle name="强调文字颜色 6 4 9" xfId="2203"/>
    <cellStyle name="强调文字颜色 6 5 10" xfId="2204"/>
    <cellStyle name="强调文字颜色 6 5 11" xfId="2205"/>
    <cellStyle name="强调文字颜色 6 5 12" xfId="2206"/>
    <cellStyle name="强调文字颜色 6 5 13" xfId="2207"/>
    <cellStyle name="强调文字颜色 6 5 2" xfId="2208"/>
    <cellStyle name="强调文字颜色 6 5 3" xfId="2209"/>
    <cellStyle name="强调文字颜色 6 5 4" xfId="2210"/>
    <cellStyle name="强调文字颜色 6 5 5" xfId="2211"/>
    <cellStyle name="强调文字颜色 6 5 6" xfId="2212"/>
    <cellStyle name="强调文字颜色 6 5 7" xfId="2213"/>
    <cellStyle name="强调文字颜色 6 5 8" xfId="2214"/>
    <cellStyle name="强调文字颜色 6 5 9" xfId="2215"/>
    <cellStyle name="强调文字颜色 6 6 10" xfId="2216"/>
    <cellStyle name="强调文字颜色 6 6 11" xfId="2217"/>
    <cellStyle name="强调文字颜色 6 6 12" xfId="2218"/>
    <cellStyle name="强调文字颜色 6 6 13" xfId="2219"/>
    <cellStyle name="强调文字颜色 6 6 2" xfId="2220"/>
    <cellStyle name="强调文字颜色 6 6 3" xfId="2221"/>
    <cellStyle name="强调文字颜色 6 6 4" xfId="2222"/>
    <cellStyle name="强调文字颜色 6 6 5" xfId="2223"/>
    <cellStyle name="强调文字颜色 6 6 6" xfId="2224"/>
    <cellStyle name="强调文字颜色 6 6 7" xfId="2225"/>
    <cellStyle name="强调文字颜色 6 6 8" xfId="2226"/>
    <cellStyle name="强调文字颜色 6 6 9" xfId="2227"/>
    <cellStyle name="适中 2" xfId="2475"/>
    <cellStyle name="适中 2 10" xfId="2228"/>
    <cellStyle name="适中 2 11" xfId="2229"/>
    <cellStyle name="适中 2 12" xfId="2230"/>
    <cellStyle name="适中 2 13" xfId="2231"/>
    <cellStyle name="适中 2 2" xfId="2232"/>
    <cellStyle name="适中 2 3" xfId="2233"/>
    <cellStyle name="适中 2 4" xfId="2234"/>
    <cellStyle name="适中 2 5" xfId="2235"/>
    <cellStyle name="适中 2 6" xfId="2236"/>
    <cellStyle name="适中 2 7" xfId="2237"/>
    <cellStyle name="适中 2 8" xfId="2238"/>
    <cellStyle name="适中 2 9" xfId="2239"/>
    <cellStyle name="适中 3 10" xfId="2240"/>
    <cellStyle name="适中 3 11" xfId="2241"/>
    <cellStyle name="适中 3 12" xfId="2242"/>
    <cellStyle name="适中 3 13" xfId="2243"/>
    <cellStyle name="适中 3 2" xfId="2244"/>
    <cellStyle name="适中 3 3" xfId="2245"/>
    <cellStyle name="适中 3 4" xfId="2246"/>
    <cellStyle name="适中 3 5" xfId="2247"/>
    <cellStyle name="适中 3 6" xfId="2248"/>
    <cellStyle name="适中 3 7" xfId="2249"/>
    <cellStyle name="适中 3 8" xfId="2250"/>
    <cellStyle name="适中 3 9" xfId="2251"/>
    <cellStyle name="适中 4 10" xfId="2252"/>
    <cellStyle name="适中 4 11" xfId="2253"/>
    <cellStyle name="适中 4 12" xfId="2254"/>
    <cellStyle name="适中 4 13" xfId="2255"/>
    <cellStyle name="适中 4 2" xfId="2256"/>
    <cellStyle name="适中 4 3" xfId="2257"/>
    <cellStyle name="适中 4 4" xfId="2258"/>
    <cellStyle name="适中 4 5" xfId="2259"/>
    <cellStyle name="适中 4 6" xfId="2260"/>
    <cellStyle name="适中 4 7" xfId="2261"/>
    <cellStyle name="适中 4 8" xfId="2262"/>
    <cellStyle name="适中 4 9" xfId="2263"/>
    <cellStyle name="适中 5 10" xfId="2264"/>
    <cellStyle name="适中 5 11" xfId="2265"/>
    <cellStyle name="适中 5 12" xfId="2266"/>
    <cellStyle name="适中 5 13" xfId="2267"/>
    <cellStyle name="适中 5 2" xfId="2268"/>
    <cellStyle name="适中 5 3" xfId="2269"/>
    <cellStyle name="适中 5 4" xfId="2270"/>
    <cellStyle name="适中 5 5" xfId="2271"/>
    <cellStyle name="适中 5 6" xfId="2272"/>
    <cellStyle name="适中 5 7" xfId="2273"/>
    <cellStyle name="适中 5 8" xfId="2274"/>
    <cellStyle name="适中 5 9" xfId="2275"/>
    <cellStyle name="适中 6 10" xfId="2276"/>
    <cellStyle name="适中 6 11" xfId="2277"/>
    <cellStyle name="适中 6 12" xfId="2278"/>
    <cellStyle name="适中 6 13" xfId="2279"/>
    <cellStyle name="适中 6 2" xfId="2280"/>
    <cellStyle name="适中 6 3" xfId="2281"/>
    <cellStyle name="适中 6 4" xfId="2282"/>
    <cellStyle name="适中 6 5" xfId="2283"/>
    <cellStyle name="适中 6 6" xfId="2284"/>
    <cellStyle name="适中 6 7" xfId="2285"/>
    <cellStyle name="适中 6 8" xfId="2286"/>
    <cellStyle name="适中 6 9" xfId="2287"/>
    <cellStyle name="输出 2" xfId="2477"/>
    <cellStyle name="输出 2 10" xfId="2288"/>
    <cellStyle name="输出 2 11" xfId="2289"/>
    <cellStyle name="输出 2 12" xfId="2290"/>
    <cellStyle name="输出 2 13" xfId="2291"/>
    <cellStyle name="输出 2 2" xfId="2292"/>
    <cellStyle name="输出 2 3" xfId="2293"/>
    <cellStyle name="输出 2 4" xfId="2294"/>
    <cellStyle name="输出 2 5" xfId="2295"/>
    <cellStyle name="输出 2 6" xfId="2296"/>
    <cellStyle name="输出 2 7" xfId="2297"/>
    <cellStyle name="输出 2 8" xfId="2298"/>
    <cellStyle name="输出 2 9" xfId="2299"/>
    <cellStyle name="输出 3 10" xfId="2300"/>
    <cellStyle name="输出 3 11" xfId="2301"/>
    <cellStyle name="输出 3 12" xfId="2302"/>
    <cellStyle name="输出 3 13" xfId="2303"/>
    <cellStyle name="输出 3 2" xfId="2304"/>
    <cellStyle name="输出 3 3" xfId="2305"/>
    <cellStyle name="输出 3 4" xfId="2306"/>
    <cellStyle name="输出 3 5" xfId="2307"/>
    <cellStyle name="输出 3 6" xfId="2308"/>
    <cellStyle name="输出 3 7" xfId="2309"/>
    <cellStyle name="输出 3 8" xfId="2310"/>
    <cellStyle name="输出 3 9" xfId="2311"/>
    <cellStyle name="输出 4 10" xfId="2312"/>
    <cellStyle name="输出 4 11" xfId="2313"/>
    <cellStyle name="输出 4 12" xfId="2314"/>
    <cellStyle name="输出 4 13" xfId="2315"/>
    <cellStyle name="输出 4 2" xfId="2316"/>
    <cellStyle name="输出 4 3" xfId="2317"/>
    <cellStyle name="输出 4 4" xfId="2318"/>
    <cellStyle name="输出 4 5" xfId="2319"/>
    <cellStyle name="输出 4 6" xfId="2320"/>
    <cellStyle name="输出 4 7" xfId="2321"/>
    <cellStyle name="输出 4 8" xfId="2322"/>
    <cellStyle name="输出 4 9" xfId="2323"/>
    <cellStyle name="输出 5 10" xfId="2324"/>
    <cellStyle name="输出 5 11" xfId="2325"/>
    <cellStyle name="输出 5 12" xfId="2326"/>
    <cellStyle name="输出 5 13" xfId="2327"/>
    <cellStyle name="输出 5 2" xfId="2328"/>
    <cellStyle name="输出 5 3" xfId="2329"/>
    <cellStyle name="输出 5 4" xfId="2330"/>
    <cellStyle name="输出 5 5" xfId="2331"/>
    <cellStyle name="输出 5 6" xfId="2332"/>
    <cellStyle name="输出 5 7" xfId="2333"/>
    <cellStyle name="输出 5 8" xfId="2334"/>
    <cellStyle name="输出 5 9" xfId="2335"/>
    <cellStyle name="输出 6 10" xfId="2336"/>
    <cellStyle name="输出 6 11" xfId="2337"/>
    <cellStyle name="输出 6 12" xfId="2338"/>
    <cellStyle name="输出 6 13" xfId="2339"/>
    <cellStyle name="输出 6 2" xfId="2340"/>
    <cellStyle name="输出 6 3" xfId="2341"/>
    <cellStyle name="输出 6 4" xfId="2342"/>
    <cellStyle name="输出 6 5" xfId="2343"/>
    <cellStyle name="输出 6 6" xfId="2344"/>
    <cellStyle name="输出 6 7" xfId="2345"/>
    <cellStyle name="输出 6 8" xfId="2346"/>
    <cellStyle name="输出 6 9" xfId="2347"/>
    <cellStyle name="输入 2" xfId="2476"/>
    <cellStyle name="输入 2 10" xfId="2348"/>
    <cellStyle name="输入 2 11" xfId="2349"/>
    <cellStyle name="输入 2 12" xfId="2350"/>
    <cellStyle name="输入 2 13" xfId="2351"/>
    <cellStyle name="输入 2 2" xfId="2352"/>
    <cellStyle name="输入 2 3" xfId="2353"/>
    <cellStyle name="输入 2 4" xfId="2354"/>
    <cellStyle name="输入 2 5" xfId="2355"/>
    <cellStyle name="输入 2 6" xfId="2356"/>
    <cellStyle name="输入 2 7" xfId="2357"/>
    <cellStyle name="输入 2 8" xfId="2358"/>
    <cellStyle name="输入 2 9" xfId="2359"/>
    <cellStyle name="输入 3 10" xfId="2360"/>
    <cellStyle name="输入 3 11" xfId="2361"/>
    <cellStyle name="输入 3 12" xfId="2362"/>
    <cellStyle name="输入 3 13" xfId="2363"/>
    <cellStyle name="输入 3 2" xfId="2364"/>
    <cellStyle name="输入 3 3" xfId="2365"/>
    <cellStyle name="输入 3 4" xfId="2366"/>
    <cellStyle name="输入 3 5" xfId="2367"/>
    <cellStyle name="输入 3 6" xfId="2368"/>
    <cellStyle name="输入 3 7" xfId="2369"/>
    <cellStyle name="输入 3 8" xfId="2370"/>
    <cellStyle name="输入 3 9" xfId="2371"/>
    <cellStyle name="输入 4 10" xfId="2372"/>
    <cellStyle name="输入 4 11" xfId="2373"/>
    <cellStyle name="输入 4 12" xfId="2374"/>
    <cellStyle name="输入 4 13" xfId="2375"/>
    <cellStyle name="输入 4 2" xfId="2376"/>
    <cellStyle name="输入 4 3" xfId="2377"/>
    <cellStyle name="输入 4 4" xfId="2378"/>
    <cellStyle name="输入 4 5" xfId="2379"/>
    <cellStyle name="输入 4 6" xfId="2380"/>
    <cellStyle name="输入 4 7" xfId="2381"/>
    <cellStyle name="输入 4 8" xfId="2382"/>
    <cellStyle name="输入 4 9" xfId="2383"/>
    <cellStyle name="输入 5 10" xfId="2384"/>
    <cellStyle name="输入 5 11" xfId="2385"/>
    <cellStyle name="输入 5 12" xfId="2386"/>
    <cellStyle name="输入 5 13" xfId="2387"/>
    <cellStyle name="输入 5 2" xfId="2388"/>
    <cellStyle name="输入 5 3" xfId="2389"/>
    <cellStyle name="输入 5 4" xfId="2390"/>
    <cellStyle name="输入 5 5" xfId="2391"/>
    <cellStyle name="输入 5 6" xfId="2392"/>
    <cellStyle name="输入 5 7" xfId="2393"/>
    <cellStyle name="输入 5 8" xfId="2394"/>
    <cellStyle name="输入 5 9" xfId="2395"/>
    <cellStyle name="输入 6 10" xfId="2396"/>
    <cellStyle name="输入 6 11" xfId="2397"/>
    <cellStyle name="输入 6 12" xfId="2398"/>
    <cellStyle name="输入 6 13" xfId="2399"/>
    <cellStyle name="输入 6 2" xfId="2400"/>
    <cellStyle name="输入 6 3" xfId="2401"/>
    <cellStyle name="输入 6 4" xfId="2402"/>
    <cellStyle name="输入 6 5" xfId="2403"/>
    <cellStyle name="输入 6 6" xfId="2404"/>
    <cellStyle name="输入 6 7" xfId="2405"/>
    <cellStyle name="输入 6 8" xfId="2406"/>
    <cellStyle name="输入 6 9" xfId="2407"/>
    <cellStyle name="注释 2" xfId="2482"/>
    <cellStyle name="注释 2 10" xfId="2408"/>
    <cellStyle name="注释 2 11" xfId="2409"/>
    <cellStyle name="注释 2 12" xfId="2410"/>
    <cellStyle name="注释 2 13" xfId="2411"/>
    <cellStyle name="注释 2 2" xfId="2412"/>
    <cellStyle name="注释 2 3" xfId="2413"/>
    <cellStyle name="注释 2 4" xfId="2414"/>
    <cellStyle name="注释 2 5" xfId="2415"/>
    <cellStyle name="注释 2 6" xfId="2416"/>
    <cellStyle name="注释 2 7" xfId="2417"/>
    <cellStyle name="注释 2 8" xfId="2418"/>
    <cellStyle name="注释 2 9" xfId="2419"/>
    <cellStyle name="注释 3 10" xfId="2420"/>
    <cellStyle name="注释 3 11" xfId="2421"/>
    <cellStyle name="注释 3 12" xfId="2422"/>
    <cellStyle name="注释 3 13" xfId="2423"/>
    <cellStyle name="注释 3 2" xfId="2424"/>
    <cellStyle name="注释 3 3" xfId="2425"/>
    <cellStyle name="注释 3 4" xfId="2426"/>
    <cellStyle name="注释 3 5" xfId="2427"/>
    <cellStyle name="注释 3 6" xfId="2428"/>
    <cellStyle name="注释 3 7" xfId="2429"/>
    <cellStyle name="注释 3 8" xfId="2430"/>
    <cellStyle name="注释 3 9" xfId="2431"/>
    <cellStyle name="注释 4 10" xfId="2432"/>
    <cellStyle name="注释 4 11" xfId="2433"/>
    <cellStyle name="注释 4 12" xfId="2434"/>
    <cellStyle name="注释 4 13" xfId="2435"/>
    <cellStyle name="注释 4 2" xfId="2436"/>
    <cellStyle name="注释 4 3" xfId="2437"/>
    <cellStyle name="注释 4 4" xfId="2438"/>
    <cellStyle name="注释 4 5" xfId="2439"/>
    <cellStyle name="注释 4 6" xfId="2440"/>
    <cellStyle name="注释 4 7" xfId="2441"/>
    <cellStyle name="注释 4 8" xfId="2442"/>
    <cellStyle name="注释 4 9" xfId="2443"/>
    <cellStyle name="注释 5 10" xfId="2444"/>
    <cellStyle name="注释 5 11" xfId="2445"/>
    <cellStyle name="注释 5 12" xfId="2446"/>
    <cellStyle name="注释 5 13" xfId="2447"/>
    <cellStyle name="注释 5 2" xfId="2448"/>
    <cellStyle name="注释 5 3" xfId="2449"/>
    <cellStyle name="注释 5 4" xfId="2450"/>
    <cellStyle name="注释 5 5" xfId="2451"/>
    <cellStyle name="注释 5 6" xfId="2452"/>
    <cellStyle name="注释 5 7" xfId="2453"/>
    <cellStyle name="注释 5 8" xfId="2454"/>
    <cellStyle name="注释 5 9" xfId="2455"/>
    <cellStyle name="注释 6 10" xfId="2456"/>
    <cellStyle name="注释 6 11" xfId="2457"/>
    <cellStyle name="注释 6 12" xfId="2458"/>
    <cellStyle name="注释 6 13" xfId="2459"/>
    <cellStyle name="注释 6 2" xfId="2460"/>
    <cellStyle name="注释 6 3" xfId="2461"/>
    <cellStyle name="注释 6 4" xfId="2462"/>
    <cellStyle name="注释 6 5" xfId="2463"/>
    <cellStyle name="注释 6 6" xfId="2464"/>
    <cellStyle name="注释 6 7" xfId="2465"/>
    <cellStyle name="注释 6 8" xfId="2466"/>
    <cellStyle name="注释 6 9" xfId="2467"/>
  </cellStyles>
  <dxfs count="10354">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indexed="26"/>
        </patternFill>
      </fill>
      <border diagonalUp="0" diagonalDown="0" outline="0">
        <left style="thin">
          <color indexed="64"/>
        </left>
        <right style="thin">
          <color indexed="64"/>
        </right>
        <top style="thin">
          <color indexed="64"/>
        </top>
        <bottom style="thin">
          <color indexed="64"/>
        </bottom>
      </border>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ont>
        <b/>
        <i/>
        <condense val="0"/>
        <extend val="0"/>
        <color indexed="10"/>
      </font>
    </dxf>
    <dxf>
      <fill>
        <patternFill patternType="solid">
          <bgColor rgb="FFFFFF00"/>
        </patternFill>
      </fill>
    </dxf>
    <dxf>
      <font>
        <b/>
        <i/>
        <condense val="0"/>
        <extend val="0"/>
        <color indexed="10"/>
      </font>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i/>
        <condense val="0"/>
        <extend val="0"/>
        <color indexed="10"/>
      </font>
    </dxf>
  </dxfs>
  <tableStyles count="0" defaultTableStyle="TableStyleMedium9" defaultPivotStyle="PivotStyleLight16"/>
  <colors>
    <mruColors>
      <color rgb="FFFF00FF"/>
      <color rgb="FFFFFFCC"/>
      <color rgb="FFCCFFCC"/>
      <color rgb="FF99CCFF"/>
    </mruColors>
  </colors>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15</xdr:col>
      <xdr:colOff>676275</xdr:colOff>
      <xdr:row>0</xdr:row>
      <xdr:rowOff>588646</xdr:rowOff>
    </xdr:from>
    <xdr:to>
      <xdr:col>26</xdr:col>
      <xdr:colOff>19050</xdr:colOff>
      <xdr:row>31</xdr:row>
      <xdr:rowOff>161924</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2401550" y="588646"/>
          <a:ext cx="6886575" cy="470725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655320</xdr:colOff>
      <xdr:row>0</xdr:row>
      <xdr:rowOff>17146</xdr:rowOff>
    </xdr:from>
    <xdr:to>
      <xdr:col>21</xdr:col>
      <xdr:colOff>19050</xdr:colOff>
      <xdr:row>23</xdr:row>
      <xdr:rowOff>19050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4828520" y="17146"/>
          <a:ext cx="5450205" cy="3726179"/>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z/AppData/Roaming/Microsoft/Excel/IndissConfig_al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Valve_for_client"/>
      <sheetName val="PSV_for_client"/>
      <sheetName val="Pump_for_client"/>
      <sheetName val="HeatExch_for_client"/>
      <sheetName val="Heater_for_client)"/>
      <sheetName val="Drum_for_client"/>
      <sheetName val="Column_for_client"/>
      <sheetName val="transmitter_from_client"/>
      <sheetName val="CDU4_PIDA 1"/>
      <sheetName val="Column"/>
      <sheetName val="ColumnBottom"/>
      <sheetName val="Desalter"/>
      <sheetName val="AtmosphericTank"/>
      <sheetName val="Scrubber"/>
      <sheetName val="DrumSeparatorV2"/>
      <sheetName val="AirCoolerV2"/>
      <sheetName val="HeatExch"/>
      <sheetName val="BatteryLimit"/>
      <sheetName val="Slice"/>
      <sheetName val="Manifold"/>
      <sheetName val="MotorActuator"/>
      <sheetName val="Pump"/>
      <sheetName val="ValveActuator"/>
      <sheetName val="ControlValve"/>
      <sheetName val="ReadWriteVarFormat"/>
      <sheetName val="PressureSafetyValve"/>
      <sheetName val="Transmitter"/>
      <sheetName val="IndissPlus_PID"/>
      <sheetName val="Model Type List"/>
      <sheetName val="Variable List"/>
      <sheetName val="UserManual"/>
      <sheetName val="Valve_forclient"/>
      <sheetName val="PSV_forclient"/>
      <sheetName val="Pump_forclient"/>
      <sheetName val="HeatExch_forclient"/>
      <sheetName val="Heater_forclient"/>
      <sheetName val="Drum_forclient"/>
      <sheetName val="Column_forclient"/>
      <sheetName val="transmitter_fromclient"/>
      <sheetName val="CDU4_PID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row r="1">
          <cell r="B1" t="str">
            <v>DCS TAGNAME</v>
          </cell>
          <cell r="C1" t="str">
            <v>DESCRIPTION</v>
          </cell>
          <cell r="D1" t="str">
            <v>High Scale</v>
          </cell>
          <cell r="E1" t="str">
            <v>Low Scale</v>
          </cell>
          <cell r="F1" t="str">
            <v>Units</v>
          </cell>
        </row>
        <row r="2">
          <cell r="B2" t="str">
            <v>AIZ1003</v>
          </cell>
          <cell r="C2" t="str">
            <v>CLOUD ANALYSER</v>
          </cell>
          <cell r="D2">
            <v>10</v>
          </cell>
          <cell r="E2">
            <v>-20</v>
          </cell>
          <cell r="F2" t="str">
            <v>DEGC</v>
          </cell>
        </row>
        <row r="3">
          <cell r="B3" t="str">
            <v>AIZ1015</v>
          </cell>
          <cell r="C3" t="str">
            <v>COLOUR ANALYSER</v>
          </cell>
          <cell r="D3">
            <v>7</v>
          </cell>
          <cell r="E3">
            <v>0</v>
          </cell>
          <cell r="F3" t="str">
            <v>-</v>
          </cell>
        </row>
        <row r="4">
          <cell r="B4" t="str">
            <v>AIZ1015_L2</v>
          </cell>
          <cell r="C4" t="str">
            <v>LVL2 TAG FOR OVER-VIEW DISPLAY</v>
          </cell>
          <cell r="D4">
            <v>7</v>
          </cell>
          <cell r="E4">
            <v>0</v>
          </cell>
          <cell r="F4" t="str">
            <v>-</v>
          </cell>
        </row>
        <row r="5">
          <cell r="B5" t="str">
            <v>AIZ1016</v>
          </cell>
          <cell r="C5" t="str">
            <v>LGO BP95%</v>
          </cell>
          <cell r="D5">
            <v>400</v>
          </cell>
          <cell r="E5">
            <v>100</v>
          </cell>
          <cell r="F5" t="str">
            <v>DEGC</v>
          </cell>
        </row>
        <row r="6">
          <cell r="B6" t="str">
            <v>FDZ1003</v>
          </cell>
          <cell r="C6" t="str">
            <v>CRUDE FEED</v>
          </cell>
          <cell r="D6">
            <v>1812</v>
          </cell>
          <cell r="E6">
            <v>0</v>
          </cell>
          <cell r="F6" t="str">
            <v>M3/H</v>
          </cell>
        </row>
        <row r="7">
          <cell r="B7" t="str">
            <v>FDZ1017</v>
          </cell>
          <cell r="C7" t="str">
            <v>CDU TOWER TOP PUMP AROUND</v>
          </cell>
          <cell r="D7">
            <v>1294</v>
          </cell>
          <cell r="E7">
            <v>0</v>
          </cell>
          <cell r="F7" t="str">
            <v>M3/H</v>
          </cell>
        </row>
        <row r="8">
          <cell r="B8" t="str">
            <v>FDZ1031</v>
          </cell>
          <cell r="C8" t="str">
            <v>STRIPPING STEAM LOW TRIP</v>
          </cell>
          <cell r="D8">
            <v>23.4</v>
          </cell>
          <cell r="E8">
            <v>0</v>
          </cell>
          <cell r="F8" t="str">
            <v>T/H</v>
          </cell>
        </row>
        <row r="9">
          <cell r="B9" t="str">
            <v>FIAZ1031</v>
          </cell>
          <cell r="C9" t="str">
            <v>STRIPPING STEAM LOW TRIP</v>
          </cell>
          <cell r="D9">
            <v>23.4</v>
          </cell>
          <cell r="E9">
            <v>0</v>
          </cell>
          <cell r="F9" t="str">
            <v>T/H</v>
          </cell>
        </row>
        <row r="10">
          <cell r="B10" t="str">
            <v>FIAZ1031A</v>
          </cell>
          <cell r="C10" t="str">
            <v>STRIPPING STEAM LOW TRIP</v>
          </cell>
          <cell r="D10">
            <v>23.4</v>
          </cell>
          <cell r="E10">
            <v>0</v>
          </cell>
          <cell r="F10" t="str">
            <v>T/H</v>
          </cell>
        </row>
        <row r="11">
          <cell r="B11" t="str">
            <v>FIAZ1031B</v>
          </cell>
          <cell r="C11" t="str">
            <v>STRIPPING STEAM LOW TRIP</v>
          </cell>
          <cell r="D11">
            <v>23.4</v>
          </cell>
          <cell r="E11">
            <v>0</v>
          </cell>
          <cell r="F11" t="str">
            <v>T/H</v>
          </cell>
        </row>
        <row r="12">
          <cell r="B12" t="str">
            <v>FICZ1017A</v>
          </cell>
          <cell r="C12" t="str">
            <v>CDU TOWER TOP PUMP AROUND</v>
          </cell>
          <cell r="D12">
            <v>1294</v>
          </cell>
          <cell r="E12">
            <v>0</v>
          </cell>
          <cell r="F12" t="str">
            <v>M3/H</v>
          </cell>
        </row>
        <row r="13">
          <cell r="B13" t="str">
            <v>FICZ1017B</v>
          </cell>
          <cell r="C13" t="str">
            <v>CDU TOWER TOP PUMP AROUND</v>
          </cell>
          <cell r="D13">
            <v>1294</v>
          </cell>
          <cell r="E13">
            <v>0</v>
          </cell>
          <cell r="F13" t="str">
            <v>M3/H</v>
          </cell>
        </row>
        <row r="14">
          <cell r="B14" t="str">
            <v>FITZ1003A</v>
          </cell>
          <cell r="C14" t="str">
            <v>CRUDE FEED</v>
          </cell>
          <cell r="D14">
            <v>1812</v>
          </cell>
          <cell r="E14">
            <v>0</v>
          </cell>
          <cell r="F14" t="str">
            <v>M3/H</v>
          </cell>
        </row>
        <row r="15">
          <cell r="B15" t="str">
            <v>FITZ1003B</v>
          </cell>
          <cell r="C15" t="str">
            <v>CRUDE FEED</v>
          </cell>
          <cell r="D15">
            <v>1812</v>
          </cell>
          <cell r="E15">
            <v>0</v>
          </cell>
          <cell r="F15" t="str">
            <v>M3/H</v>
          </cell>
        </row>
        <row r="16">
          <cell r="B16" t="str">
            <v>FITZ1068</v>
          </cell>
          <cell r="C16" t="str">
            <v>STEAM EX WASTE HEAT BOILER</v>
          </cell>
          <cell r="D16">
            <v>24.4</v>
          </cell>
          <cell r="E16">
            <v>0</v>
          </cell>
          <cell r="F16" t="str">
            <v>T/H</v>
          </cell>
        </row>
        <row r="17">
          <cell r="B17" t="str">
            <v>LDZ1015</v>
          </cell>
          <cell r="C17" t="str">
            <v>A DESALTER INTERFACE</v>
          </cell>
          <cell r="D17">
            <v>100</v>
          </cell>
          <cell r="E17">
            <v>0</v>
          </cell>
          <cell r="F17" t="str">
            <v>PCT</v>
          </cell>
        </row>
        <row r="18">
          <cell r="B18" t="str">
            <v>LDZ1017</v>
          </cell>
          <cell r="C18" t="str">
            <v>B DESALTER INTERFACE</v>
          </cell>
          <cell r="D18">
            <v>100</v>
          </cell>
          <cell r="E18">
            <v>0</v>
          </cell>
          <cell r="F18" t="str">
            <v>PCT</v>
          </cell>
        </row>
        <row r="19">
          <cell r="B19" t="str">
            <v>LDZ1027</v>
          </cell>
          <cell r="C19" t="str">
            <v>HGO DRIER TZ2105</v>
          </cell>
          <cell r="D19">
            <v>100</v>
          </cell>
          <cell r="E19">
            <v>0</v>
          </cell>
          <cell r="F19" t="str">
            <v>PCT</v>
          </cell>
        </row>
        <row r="20">
          <cell r="B20" t="str">
            <v>LDZ1032</v>
          </cell>
          <cell r="C20" t="str">
            <v>HGO/LGO COND DRUM DZ2105 VAC OIL</v>
          </cell>
          <cell r="D20">
            <v>100</v>
          </cell>
          <cell r="E20">
            <v>0</v>
          </cell>
          <cell r="F20" t="str">
            <v>PCT</v>
          </cell>
        </row>
        <row r="21">
          <cell r="B21" t="str">
            <v>LDZ1033</v>
          </cell>
          <cell r="C21" t="str">
            <v>VACUUM COND KO POT A</v>
          </cell>
          <cell r="D21">
            <v>100</v>
          </cell>
          <cell r="E21">
            <v>0</v>
          </cell>
          <cell r="F21" t="str">
            <v>PCT</v>
          </cell>
        </row>
        <row r="22">
          <cell r="B22" t="str">
            <v>LDZ1043</v>
          </cell>
          <cell r="C22" t="str">
            <v>WAST HEAT BOILER EZ2128</v>
          </cell>
          <cell r="D22">
            <v>100</v>
          </cell>
          <cell r="E22">
            <v>0</v>
          </cell>
          <cell r="F22" t="str">
            <v>PCT</v>
          </cell>
        </row>
        <row r="23">
          <cell r="B23" t="str">
            <v>LIZ1015</v>
          </cell>
          <cell r="C23" t="str">
            <v>A DESALTER INTERFACE</v>
          </cell>
          <cell r="D23">
            <v>100</v>
          </cell>
          <cell r="E23">
            <v>0</v>
          </cell>
          <cell r="F23" t="str">
            <v>PCT</v>
          </cell>
        </row>
        <row r="24">
          <cell r="B24" t="str">
            <v>LIZ1015A</v>
          </cell>
          <cell r="C24" t="str">
            <v>A DESALTER INTERFACE</v>
          </cell>
          <cell r="D24">
            <v>100</v>
          </cell>
          <cell r="E24">
            <v>0</v>
          </cell>
          <cell r="F24" t="str">
            <v>PCT</v>
          </cell>
        </row>
        <row r="25">
          <cell r="B25" t="str">
            <v>LIZ1015B</v>
          </cell>
          <cell r="C25" t="str">
            <v>A DESALTER INTERFACE</v>
          </cell>
          <cell r="D25">
            <v>100</v>
          </cell>
          <cell r="E25">
            <v>0</v>
          </cell>
          <cell r="F25" t="str">
            <v>PCT</v>
          </cell>
        </row>
        <row r="26">
          <cell r="B26" t="str">
            <v>LIZ1017</v>
          </cell>
          <cell r="C26" t="str">
            <v>B DESALTER INTERFACE</v>
          </cell>
          <cell r="D26">
            <v>100</v>
          </cell>
          <cell r="E26">
            <v>0</v>
          </cell>
          <cell r="F26" t="str">
            <v>PCT</v>
          </cell>
        </row>
        <row r="27">
          <cell r="B27" t="str">
            <v>LIZ1017A</v>
          </cell>
          <cell r="C27" t="str">
            <v>B DESALTER INTERFACE</v>
          </cell>
          <cell r="D27">
            <v>100</v>
          </cell>
          <cell r="E27">
            <v>0</v>
          </cell>
          <cell r="F27" t="str">
            <v>PCT</v>
          </cell>
        </row>
        <row r="28">
          <cell r="B28" t="str">
            <v>LIZ1017B</v>
          </cell>
          <cell r="C28" t="str">
            <v>B DESALTER INTERFACE</v>
          </cell>
          <cell r="D28">
            <v>100</v>
          </cell>
          <cell r="E28">
            <v>0</v>
          </cell>
          <cell r="F28" t="str">
            <v>PCT</v>
          </cell>
        </row>
        <row r="29">
          <cell r="B29" t="str">
            <v>LIZ1027</v>
          </cell>
          <cell r="C29" t="str">
            <v>HGO DRIER TZ2105</v>
          </cell>
          <cell r="D29">
            <v>100</v>
          </cell>
          <cell r="E29">
            <v>0</v>
          </cell>
          <cell r="F29" t="str">
            <v>PCT</v>
          </cell>
        </row>
        <row r="30">
          <cell r="B30" t="str">
            <v>LIZ1027A</v>
          </cell>
          <cell r="C30" t="str">
            <v>HGO DRIER TZ2105</v>
          </cell>
          <cell r="D30">
            <v>100</v>
          </cell>
          <cell r="E30">
            <v>0</v>
          </cell>
          <cell r="F30" t="str">
            <v>PCT</v>
          </cell>
        </row>
        <row r="31">
          <cell r="B31" t="str">
            <v>LIZ1027B</v>
          </cell>
          <cell r="C31" t="str">
            <v>HGO DRIER TZ2105</v>
          </cell>
          <cell r="D31">
            <v>100</v>
          </cell>
          <cell r="E31">
            <v>0</v>
          </cell>
          <cell r="F31" t="str">
            <v>PCT</v>
          </cell>
        </row>
        <row r="32">
          <cell r="B32" t="str">
            <v>LIZ1032</v>
          </cell>
          <cell r="C32" t="str">
            <v>HGO/LGO COND DRUM DZ2105 VAC OIL</v>
          </cell>
          <cell r="D32">
            <v>100</v>
          </cell>
          <cell r="E32">
            <v>0</v>
          </cell>
          <cell r="F32" t="str">
            <v>PCT</v>
          </cell>
        </row>
        <row r="33">
          <cell r="B33" t="str">
            <v>LIZ1032A</v>
          </cell>
          <cell r="C33" t="str">
            <v>HGO/LGO COND DRUM DZ2105 VAC OIL</v>
          </cell>
          <cell r="D33">
            <v>100</v>
          </cell>
          <cell r="E33">
            <v>0</v>
          </cell>
          <cell r="F33" t="str">
            <v>PCT</v>
          </cell>
        </row>
        <row r="34">
          <cell r="B34" t="str">
            <v>LIZ1032B</v>
          </cell>
          <cell r="C34" t="str">
            <v>HGO/LGO COND DRUM DZ2105 VAC OIL</v>
          </cell>
          <cell r="D34">
            <v>100</v>
          </cell>
          <cell r="E34">
            <v>0</v>
          </cell>
          <cell r="F34" t="str">
            <v>PCT</v>
          </cell>
        </row>
        <row r="35">
          <cell r="B35" t="str">
            <v>LIZ1033</v>
          </cell>
          <cell r="C35" t="str">
            <v>VACUUM COND KO POT A</v>
          </cell>
          <cell r="D35">
            <v>100</v>
          </cell>
          <cell r="E35">
            <v>0</v>
          </cell>
          <cell r="F35" t="str">
            <v>PCT</v>
          </cell>
        </row>
        <row r="36">
          <cell r="B36" t="str">
            <v>LIZ1033A</v>
          </cell>
          <cell r="C36" t="str">
            <v>VACUUM COND KO POT A</v>
          </cell>
          <cell r="D36">
            <v>100</v>
          </cell>
          <cell r="E36">
            <v>0</v>
          </cell>
          <cell r="F36" t="str">
            <v>PCT</v>
          </cell>
        </row>
        <row r="37">
          <cell r="B37" t="str">
            <v>LIZ1033B</v>
          </cell>
          <cell r="C37" t="str">
            <v>VACUUM COND KO POT A</v>
          </cell>
          <cell r="D37">
            <v>100</v>
          </cell>
          <cell r="E37">
            <v>0</v>
          </cell>
          <cell r="F37" t="str">
            <v>PCT</v>
          </cell>
        </row>
        <row r="38">
          <cell r="B38" t="str">
            <v>LIZ1034</v>
          </cell>
          <cell r="C38" t="str">
            <v>VACUUM COND KO POT B</v>
          </cell>
          <cell r="D38">
            <v>100</v>
          </cell>
          <cell r="E38">
            <v>0</v>
          </cell>
          <cell r="F38" t="str">
            <v>PCT</v>
          </cell>
        </row>
        <row r="39">
          <cell r="B39" t="str">
            <v>LIZ1043</v>
          </cell>
          <cell r="C39" t="str">
            <v>WAST HEAT BOILER EZ2128</v>
          </cell>
          <cell r="D39">
            <v>100</v>
          </cell>
          <cell r="E39">
            <v>0</v>
          </cell>
          <cell r="F39" t="str">
            <v>PCT</v>
          </cell>
        </row>
        <row r="40">
          <cell r="B40" t="str">
            <v>LIZ1043A</v>
          </cell>
          <cell r="C40" t="str">
            <v>WAST HEAT BOILER EZ2128</v>
          </cell>
          <cell r="D40">
            <v>100</v>
          </cell>
          <cell r="E40">
            <v>0</v>
          </cell>
          <cell r="F40" t="str">
            <v>PCT</v>
          </cell>
        </row>
        <row r="41">
          <cell r="B41" t="str">
            <v>LIZ1043B</v>
          </cell>
          <cell r="C41" t="str">
            <v>WAST HEAT BOILER EZ2128</v>
          </cell>
          <cell r="D41">
            <v>100</v>
          </cell>
          <cell r="E41">
            <v>0</v>
          </cell>
          <cell r="F41" t="str">
            <v>PCT</v>
          </cell>
        </row>
        <row r="42">
          <cell r="B42" t="str">
            <v>PDZ1007</v>
          </cell>
          <cell r="C42" t="str">
            <v>CDU TOWER TOP</v>
          </cell>
          <cell r="D42">
            <v>6.98</v>
          </cell>
          <cell r="E42">
            <v>0</v>
          </cell>
          <cell r="F42" t="str">
            <v>BAR</v>
          </cell>
        </row>
        <row r="43">
          <cell r="B43" t="str">
            <v>PDZ1025</v>
          </cell>
          <cell r="C43" t="str">
            <v>CDU HTR RADNT SECTN - DAMPR</v>
          </cell>
          <cell r="D43">
            <v>70</v>
          </cell>
          <cell r="E43">
            <v>0</v>
          </cell>
          <cell r="F43" t="str">
            <v>MMWG</v>
          </cell>
        </row>
        <row r="44">
          <cell r="B44" t="str">
            <v>PDZ1063</v>
          </cell>
          <cell r="C44" t="str">
            <v>HP STEAM</v>
          </cell>
          <cell r="D44">
            <v>40</v>
          </cell>
          <cell r="E44">
            <v>0</v>
          </cell>
          <cell r="F44" t="str">
            <v>BAR</v>
          </cell>
        </row>
        <row r="45">
          <cell r="B45" t="str">
            <v>PIAZ1007A</v>
          </cell>
          <cell r="C45" t="str">
            <v>CDU TOWER TOP</v>
          </cell>
          <cell r="D45">
            <v>6.98</v>
          </cell>
          <cell r="E45">
            <v>0</v>
          </cell>
          <cell r="F45" t="str">
            <v>BAR</v>
          </cell>
        </row>
        <row r="46">
          <cell r="B46" t="str">
            <v>PIAZ1007B</v>
          </cell>
          <cell r="C46" t="str">
            <v>CDU TOWER TOP</v>
          </cell>
          <cell r="D46">
            <v>6.98</v>
          </cell>
          <cell r="E46">
            <v>0</v>
          </cell>
          <cell r="F46" t="str">
            <v>BAR</v>
          </cell>
        </row>
        <row r="47">
          <cell r="B47" t="str">
            <v>PIZ1025</v>
          </cell>
          <cell r="C47" t="str">
            <v>CDU HTR RADNT SECTN - DAMPR</v>
          </cell>
          <cell r="D47">
            <v>70</v>
          </cell>
          <cell r="E47">
            <v>-70</v>
          </cell>
          <cell r="F47" t="str">
            <v>MMWG</v>
          </cell>
        </row>
        <row r="48">
          <cell r="B48" t="str">
            <v>PIZ1025A</v>
          </cell>
          <cell r="C48" t="str">
            <v>CDU HTR RADNT SECTN - DAMPR</v>
          </cell>
          <cell r="D48">
            <v>70</v>
          </cell>
          <cell r="E48">
            <v>-70</v>
          </cell>
          <cell r="F48" t="str">
            <v>MMWG</v>
          </cell>
        </row>
        <row r="49">
          <cell r="B49" t="str">
            <v>PIZ1025B</v>
          </cell>
          <cell r="C49" t="str">
            <v>CDU HTR RADNT SECTN - DAMPR</v>
          </cell>
          <cell r="D49">
            <v>70</v>
          </cell>
          <cell r="E49">
            <v>-70</v>
          </cell>
          <cell r="F49" t="str">
            <v>MMWG</v>
          </cell>
        </row>
        <row r="50">
          <cell r="B50" t="str">
            <v>PIZ1063</v>
          </cell>
          <cell r="C50" t="str">
            <v>HP STEAM TO VACUUM JETS</v>
          </cell>
          <cell r="D50">
            <v>40</v>
          </cell>
          <cell r="E50">
            <v>0</v>
          </cell>
          <cell r="F50" t="str">
            <v>BAR</v>
          </cell>
        </row>
        <row r="51">
          <cell r="B51" t="str">
            <v>PIZ1063A</v>
          </cell>
          <cell r="C51" t="str">
            <v>HP STEAM</v>
          </cell>
          <cell r="D51">
            <v>40</v>
          </cell>
          <cell r="E51">
            <v>0</v>
          </cell>
          <cell r="F51" t="str">
            <v>BAR</v>
          </cell>
        </row>
        <row r="52">
          <cell r="B52" t="str">
            <v>PIZ1063B</v>
          </cell>
          <cell r="C52" t="str">
            <v>HP STEAM</v>
          </cell>
          <cell r="D52">
            <v>40</v>
          </cell>
          <cell r="E52">
            <v>0</v>
          </cell>
          <cell r="F52" t="str">
            <v>BAR</v>
          </cell>
        </row>
        <row r="53">
          <cell r="B53" t="str">
            <v>AIZ1004</v>
          </cell>
          <cell r="C53" t="str">
            <v>CRUDE OVERHEADS PH</v>
          </cell>
          <cell r="D53">
            <v>12</v>
          </cell>
          <cell r="E53">
            <v>2</v>
          </cell>
          <cell r="F53" t="str">
            <v>PH</v>
          </cell>
        </row>
        <row r="54">
          <cell r="B54" t="str">
            <v>FIZ1067</v>
          </cell>
          <cell r="C54" t="str">
            <v>GASOLINE TO CDU3/4</v>
          </cell>
          <cell r="D54">
            <v>21</v>
          </cell>
          <cell r="E54">
            <v>0</v>
          </cell>
          <cell r="F54" t="str">
            <v>M3/H</v>
          </cell>
        </row>
        <row r="55">
          <cell r="B55" t="str">
            <v>LIAZ1001</v>
          </cell>
          <cell r="C55" t="str">
            <v>TEMPERED WATER</v>
          </cell>
          <cell r="D55">
            <v>100</v>
          </cell>
          <cell r="E55">
            <v>0</v>
          </cell>
          <cell r="F55" t="str">
            <v>%</v>
          </cell>
        </row>
        <row r="56">
          <cell r="B56" t="str">
            <v>LIAZ1002</v>
          </cell>
          <cell r="C56" t="str">
            <v>CAUSTIC DRUM DZ2113A</v>
          </cell>
          <cell r="D56">
            <v>100</v>
          </cell>
          <cell r="E56">
            <v>0</v>
          </cell>
          <cell r="F56" t="str">
            <v>%</v>
          </cell>
        </row>
        <row r="57">
          <cell r="B57" t="str">
            <v>LIAZ1003</v>
          </cell>
          <cell r="C57" t="str">
            <v>CAUSTIC DRUM DZ2113B</v>
          </cell>
          <cell r="D57">
            <v>100</v>
          </cell>
          <cell r="E57">
            <v>0</v>
          </cell>
          <cell r="F57" t="str">
            <v>%</v>
          </cell>
        </row>
        <row r="58">
          <cell r="B58" t="str">
            <v>PASSZTDIF</v>
          </cell>
          <cell r="C58" t="str">
            <v>CDU HEATER TDIFF PASSES (CALC)</v>
          </cell>
          <cell r="D58">
            <v>35</v>
          </cell>
          <cell r="E58">
            <v>0</v>
          </cell>
          <cell r="F58" t="str">
            <v>DEGC</v>
          </cell>
        </row>
        <row r="59">
          <cell r="B59" t="str">
            <v>PIAZ1006</v>
          </cell>
          <cell r="C59" t="str">
            <v>HZ2101 INLET PRESSURE</v>
          </cell>
          <cell r="D59">
            <v>40</v>
          </cell>
          <cell r="E59">
            <v>0</v>
          </cell>
          <cell r="F59" t="str">
            <v>BAR</v>
          </cell>
        </row>
        <row r="60">
          <cell r="B60" t="str">
            <v>PIZ1011</v>
          </cell>
          <cell r="C60" t="str">
            <v>VACUUM HGO/LGO COOLER EZ2118</v>
          </cell>
          <cell r="D60">
            <v>380</v>
          </cell>
          <cell r="E60">
            <v>0</v>
          </cell>
          <cell r="F60" t="str">
            <v>MBARA</v>
          </cell>
        </row>
        <row r="61">
          <cell r="B61" t="str">
            <v>TAHZ1080</v>
          </cell>
          <cell r="C61" t="str">
            <v>HZ2101 HOT AIR DUCT</v>
          </cell>
          <cell r="D61">
            <v>523</v>
          </cell>
          <cell r="E61">
            <v>-25</v>
          </cell>
          <cell r="F61" t="str">
            <v>DEGC</v>
          </cell>
        </row>
        <row r="62">
          <cell r="B62" t="str">
            <v>TIAZ1015</v>
          </cell>
          <cell r="C62" t="str">
            <v>CDU HEATER PASS 1 SKIN</v>
          </cell>
          <cell r="D62">
            <v>1116</v>
          </cell>
          <cell r="E62">
            <v>-25</v>
          </cell>
          <cell r="F62" t="str">
            <v>DEGC</v>
          </cell>
        </row>
        <row r="63">
          <cell r="B63" t="str">
            <v>TIAZ1016</v>
          </cell>
          <cell r="C63" t="str">
            <v>CDU HEATER PASS 2 SKIN</v>
          </cell>
          <cell r="D63">
            <v>1116</v>
          </cell>
          <cell r="E63">
            <v>-25</v>
          </cell>
          <cell r="F63" t="str">
            <v>DEGC</v>
          </cell>
        </row>
        <row r="64">
          <cell r="B64" t="str">
            <v>TIAZ1017</v>
          </cell>
          <cell r="C64" t="str">
            <v>CDU HEATER PASS 3 SKIN</v>
          </cell>
          <cell r="D64">
            <v>1116</v>
          </cell>
          <cell r="E64">
            <v>-25</v>
          </cell>
          <cell r="F64" t="str">
            <v>DEGC</v>
          </cell>
        </row>
        <row r="65">
          <cell r="B65" t="str">
            <v>TIAZ1018</v>
          </cell>
          <cell r="C65" t="str">
            <v>CDU HEATER PASS 4 SKIN</v>
          </cell>
          <cell r="D65">
            <v>1116</v>
          </cell>
          <cell r="E65">
            <v>-25</v>
          </cell>
          <cell r="F65" t="str">
            <v>DEGC</v>
          </cell>
        </row>
        <row r="66">
          <cell r="B66" t="str">
            <v>TIAZ1019</v>
          </cell>
          <cell r="C66" t="str">
            <v>CDU HEATER PASS 5 SKIN</v>
          </cell>
          <cell r="D66">
            <v>1116</v>
          </cell>
          <cell r="E66">
            <v>-25</v>
          </cell>
          <cell r="F66" t="str">
            <v>DEGC</v>
          </cell>
        </row>
        <row r="67">
          <cell r="B67" t="str">
            <v>TIAZ1020</v>
          </cell>
          <cell r="C67" t="str">
            <v>CDU HEATER PASS 6 SKIN</v>
          </cell>
          <cell r="D67">
            <v>1116</v>
          </cell>
          <cell r="E67">
            <v>-25</v>
          </cell>
          <cell r="F67" t="str">
            <v>DEGC</v>
          </cell>
        </row>
        <row r="68">
          <cell r="B68" t="str">
            <v>TIAZ1021</v>
          </cell>
          <cell r="C68" t="str">
            <v>CDU HEATER PASS 7 SKIN</v>
          </cell>
          <cell r="D68">
            <v>1116</v>
          </cell>
          <cell r="E68">
            <v>-25</v>
          </cell>
          <cell r="F68" t="str">
            <v>DEGC</v>
          </cell>
        </row>
        <row r="69">
          <cell r="B69" t="str">
            <v>TIAZ1022</v>
          </cell>
          <cell r="C69" t="str">
            <v>CDU HEATER PASS 8 SKIN</v>
          </cell>
          <cell r="D69">
            <v>1116</v>
          </cell>
          <cell r="E69">
            <v>-25</v>
          </cell>
          <cell r="F69" t="str">
            <v>DEGC</v>
          </cell>
        </row>
        <row r="70">
          <cell r="B70" t="str">
            <v>TIZ1001</v>
          </cell>
          <cell r="C70" t="str">
            <v>RESIDUE TO EZ2101</v>
          </cell>
          <cell r="D70">
            <v>523</v>
          </cell>
          <cell r="E70">
            <v>-25</v>
          </cell>
          <cell r="F70" t="str">
            <v>DEGC</v>
          </cell>
        </row>
        <row r="71">
          <cell r="B71" t="str">
            <v>TIZ1002</v>
          </cell>
          <cell r="C71" t="str">
            <v>COLD CRUDE FEED</v>
          </cell>
          <cell r="D71">
            <v>238</v>
          </cell>
          <cell r="E71">
            <v>-25</v>
          </cell>
          <cell r="F71" t="str">
            <v>DEGC</v>
          </cell>
        </row>
        <row r="72">
          <cell r="B72" t="str">
            <v>TIZ1003</v>
          </cell>
          <cell r="C72" t="str">
            <v>RESIDUE RUNDOWN</v>
          </cell>
          <cell r="D72">
            <v>523</v>
          </cell>
          <cell r="E72">
            <v>-25</v>
          </cell>
          <cell r="F72" t="str">
            <v>DEGC</v>
          </cell>
        </row>
        <row r="73">
          <cell r="B73" t="str">
            <v>TIZ1004</v>
          </cell>
          <cell r="C73" t="str">
            <v>TEMPERED WATER CIRCULATION</v>
          </cell>
          <cell r="D73">
            <v>150</v>
          </cell>
          <cell r="E73">
            <v>-25</v>
          </cell>
          <cell r="F73" t="str">
            <v>DEGC</v>
          </cell>
        </row>
        <row r="74">
          <cell r="B74" t="str">
            <v>TIZ1007</v>
          </cell>
          <cell r="C74" t="str">
            <v>CDU OVERHEADS DZ2102</v>
          </cell>
          <cell r="D74">
            <v>200</v>
          </cell>
          <cell r="E74">
            <v>-25</v>
          </cell>
          <cell r="F74" t="str">
            <v>DEGC</v>
          </cell>
        </row>
        <row r="75">
          <cell r="B75" t="str">
            <v>TIZ1008</v>
          </cell>
          <cell r="C75" t="str">
            <v>TPA RETURN</v>
          </cell>
          <cell r="D75">
            <v>523</v>
          </cell>
          <cell r="E75">
            <v>-25</v>
          </cell>
          <cell r="F75" t="str">
            <v>DEGC</v>
          </cell>
        </row>
        <row r="76">
          <cell r="B76" t="str">
            <v>TIZ1009</v>
          </cell>
          <cell r="C76" t="str">
            <v>CRUDE TO A DESALTER</v>
          </cell>
          <cell r="D76">
            <v>200</v>
          </cell>
          <cell r="E76">
            <v>-25</v>
          </cell>
          <cell r="F76" t="str">
            <v>DEGC</v>
          </cell>
        </row>
        <row r="77">
          <cell r="B77" t="str">
            <v>TIZ1010</v>
          </cell>
          <cell r="C77" t="str">
            <v>CRUDE TO B DESALTER</v>
          </cell>
          <cell r="D77">
            <v>200</v>
          </cell>
          <cell r="E77">
            <v>-25</v>
          </cell>
          <cell r="F77" t="str">
            <v>DEGC</v>
          </cell>
        </row>
        <row r="78">
          <cell r="B78" t="str">
            <v>TIZ1011</v>
          </cell>
          <cell r="C78" t="str">
            <v>WET HGO TO DRIER</v>
          </cell>
          <cell r="D78">
            <v>523</v>
          </cell>
          <cell r="E78">
            <v>-25</v>
          </cell>
          <cell r="F78" t="str">
            <v>DEGC</v>
          </cell>
        </row>
        <row r="79">
          <cell r="B79" t="str">
            <v>TIZ1012</v>
          </cell>
          <cell r="C79" t="str">
            <v>WET LGO TO COOLER</v>
          </cell>
          <cell r="D79">
            <v>523</v>
          </cell>
          <cell r="E79">
            <v>-25</v>
          </cell>
          <cell r="F79" t="str">
            <v>DEGC</v>
          </cell>
        </row>
        <row r="80">
          <cell r="B80" t="str">
            <v>TIZ10124</v>
          </cell>
          <cell r="C80" t="str">
            <v>CRUDE INLET EZ2102A</v>
          </cell>
          <cell r="D80">
            <v>1116</v>
          </cell>
          <cell r="E80">
            <v>-25</v>
          </cell>
          <cell r="F80" t="str">
            <v>DEGC</v>
          </cell>
        </row>
        <row r="81">
          <cell r="B81" t="str">
            <v>TIZ10125</v>
          </cell>
          <cell r="C81" t="str">
            <v>CRUDE INLET EZ2102C</v>
          </cell>
          <cell r="D81">
            <v>1116</v>
          </cell>
          <cell r="E81">
            <v>-25</v>
          </cell>
          <cell r="F81" t="str">
            <v>DEGC</v>
          </cell>
        </row>
        <row r="82">
          <cell r="B82" t="str">
            <v>TIZ1013</v>
          </cell>
          <cell r="C82" t="str">
            <v>WET LGO TO DRIER</v>
          </cell>
          <cell r="D82">
            <v>523</v>
          </cell>
          <cell r="E82">
            <v>-25</v>
          </cell>
          <cell r="F82" t="str">
            <v>DEGC</v>
          </cell>
        </row>
        <row r="83">
          <cell r="B83" t="str">
            <v>TIZ1015</v>
          </cell>
          <cell r="C83" t="str">
            <v>BPA RETURN</v>
          </cell>
          <cell r="D83">
            <v>523</v>
          </cell>
          <cell r="E83">
            <v>-25</v>
          </cell>
          <cell r="F83" t="str">
            <v>DEGC</v>
          </cell>
        </row>
        <row r="84">
          <cell r="B84" t="str">
            <v>TIZ1015_47</v>
          </cell>
          <cell r="C84" t="str">
            <v>HZ2101 MAX PASSES SKIN</v>
          </cell>
          <cell r="D84">
            <v>1116</v>
          </cell>
          <cell r="E84">
            <v>-25</v>
          </cell>
          <cell r="F84" t="str">
            <v>%</v>
          </cell>
        </row>
        <row r="85">
          <cell r="B85" t="str">
            <v>TIZ10152</v>
          </cell>
          <cell r="C85" t="str">
            <v>CRUDE OVHD INLET EZ2102B</v>
          </cell>
          <cell r="D85">
            <v>1116</v>
          </cell>
          <cell r="E85">
            <v>-25</v>
          </cell>
          <cell r="F85" t="str">
            <v>DEGC</v>
          </cell>
        </row>
        <row r="86">
          <cell r="B86" t="str">
            <v>TIZ10153</v>
          </cell>
          <cell r="C86" t="str">
            <v>CRUDE OUTLET EZ2102B</v>
          </cell>
          <cell r="D86">
            <v>1116</v>
          </cell>
          <cell r="E86">
            <v>-25</v>
          </cell>
          <cell r="F86" t="str">
            <v>DEGC</v>
          </cell>
        </row>
        <row r="87">
          <cell r="B87" t="str">
            <v>TIZ10154</v>
          </cell>
          <cell r="C87" t="str">
            <v>CRUDE OVHD INLET EZ2102D</v>
          </cell>
          <cell r="D87">
            <v>1116</v>
          </cell>
          <cell r="E87">
            <v>-25</v>
          </cell>
          <cell r="F87" t="str">
            <v>DEGC</v>
          </cell>
        </row>
        <row r="88">
          <cell r="B88" t="str">
            <v>TIZ10155</v>
          </cell>
          <cell r="C88" t="str">
            <v>CRUDE OUTLET EZ2102D</v>
          </cell>
          <cell r="D88">
            <v>1116</v>
          </cell>
          <cell r="E88">
            <v>-25</v>
          </cell>
          <cell r="F88" t="str">
            <v>DEGC</v>
          </cell>
        </row>
        <row r="89">
          <cell r="B89" t="str">
            <v>TIZ1016</v>
          </cell>
          <cell r="C89" t="str">
            <v>RESIDUE EX EZ2111 A/B</v>
          </cell>
          <cell r="D89">
            <v>1116</v>
          </cell>
          <cell r="E89">
            <v>-25</v>
          </cell>
          <cell r="F89" t="str">
            <v>DEGC</v>
          </cell>
        </row>
        <row r="90">
          <cell r="B90" t="str">
            <v>TIZ1017</v>
          </cell>
          <cell r="C90" t="str">
            <v>CRUDE EX EZ2111 A</v>
          </cell>
          <cell r="D90">
            <v>1116</v>
          </cell>
          <cell r="E90">
            <v>-25</v>
          </cell>
          <cell r="F90" t="str">
            <v>DEGC</v>
          </cell>
        </row>
        <row r="91">
          <cell r="B91" t="str">
            <v>TIZ1018</v>
          </cell>
          <cell r="C91" t="str">
            <v>CRUDE EX EZ2111 B</v>
          </cell>
          <cell r="D91">
            <v>1116</v>
          </cell>
          <cell r="E91">
            <v>-25</v>
          </cell>
          <cell r="F91" t="str">
            <v>DEGC</v>
          </cell>
        </row>
        <row r="92">
          <cell r="B92" t="str">
            <v>TIZ1019</v>
          </cell>
          <cell r="C92" t="str">
            <v>HZ2101 PREHEAT TEMPERATUR</v>
          </cell>
          <cell r="D92">
            <v>1116</v>
          </cell>
          <cell r="E92">
            <v>-25</v>
          </cell>
          <cell r="F92" t="str">
            <v>DEGC</v>
          </cell>
        </row>
        <row r="93">
          <cell r="B93" t="str">
            <v>TIZ1020</v>
          </cell>
          <cell r="C93" t="str">
            <v>RADIANT SECTION HZ2101</v>
          </cell>
          <cell r="D93">
            <v>1116</v>
          </cell>
          <cell r="E93">
            <v>-25</v>
          </cell>
          <cell r="F93" t="str">
            <v>DEGC</v>
          </cell>
        </row>
        <row r="94">
          <cell r="B94" t="str">
            <v>TIZ1021</v>
          </cell>
          <cell r="C94" t="str">
            <v>SUPERHEATED STEAM EX HZ2101</v>
          </cell>
          <cell r="D94">
            <v>1116</v>
          </cell>
          <cell r="E94">
            <v>-25</v>
          </cell>
          <cell r="F94" t="str">
            <v>DEGC</v>
          </cell>
        </row>
        <row r="95">
          <cell r="B95" t="str">
            <v>TIZ1022</v>
          </cell>
          <cell r="C95" t="str">
            <v>CDU HEATER PASS 1 SKIN LOWER</v>
          </cell>
          <cell r="D95">
            <v>1116</v>
          </cell>
          <cell r="E95">
            <v>-25</v>
          </cell>
          <cell r="F95" t="str">
            <v>DEGC</v>
          </cell>
        </row>
        <row r="96">
          <cell r="B96" t="str">
            <v>TIZ1023</v>
          </cell>
          <cell r="C96" t="str">
            <v>CDU HEATER PASS 2 SKIN LOWER</v>
          </cell>
          <cell r="D96">
            <v>1116</v>
          </cell>
          <cell r="E96">
            <v>-25</v>
          </cell>
          <cell r="F96" t="str">
            <v>DEGC</v>
          </cell>
        </row>
        <row r="97">
          <cell r="B97" t="str">
            <v>TIZ1024</v>
          </cell>
          <cell r="C97" t="str">
            <v>CDU HEATER PASS 3 SKIN LOWER</v>
          </cell>
          <cell r="D97">
            <v>1116</v>
          </cell>
          <cell r="E97">
            <v>-25</v>
          </cell>
          <cell r="F97" t="str">
            <v>DEGC</v>
          </cell>
        </row>
        <row r="98">
          <cell r="B98" t="str">
            <v>TIZ1025</v>
          </cell>
          <cell r="C98" t="str">
            <v>CDU HEATER PASS 4 SKIN LOWER</v>
          </cell>
          <cell r="D98">
            <v>1116</v>
          </cell>
          <cell r="E98">
            <v>-25</v>
          </cell>
          <cell r="F98" t="str">
            <v>DEGC</v>
          </cell>
        </row>
        <row r="99">
          <cell r="B99" t="str">
            <v>TIZ1026</v>
          </cell>
          <cell r="C99" t="str">
            <v>CDU HEATER PASS 5 SKIN LOWER</v>
          </cell>
          <cell r="D99">
            <v>1116</v>
          </cell>
          <cell r="E99">
            <v>-25</v>
          </cell>
          <cell r="F99" t="str">
            <v>DEGC</v>
          </cell>
        </row>
        <row r="100">
          <cell r="B100" t="str">
            <v>TIZ1027</v>
          </cell>
          <cell r="C100" t="str">
            <v>CDU HEATER PASS 6 SKIN LOWER</v>
          </cell>
          <cell r="D100">
            <v>1116</v>
          </cell>
          <cell r="E100">
            <v>-25</v>
          </cell>
          <cell r="F100" t="str">
            <v>DEGC</v>
          </cell>
        </row>
        <row r="101">
          <cell r="B101" t="str">
            <v>TIZ1028</v>
          </cell>
          <cell r="C101" t="str">
            <v>CDU HEATER PASS 7 SKIN LOWER</v>
          </cell>
          <cell r="D101">
            <v>1116</v>
          </cell>
          <cell r="E101">
            <v>-25</v>
          </cell>
          <cell r="F101" t="str">
            <v>DEGC</v>
          </cell>
        </row>
        <row r="102">
          <cell r="B102" t="str">
            <v>TIZ1029</v>
          </cell>
          <cell r="C102" t="str">
            <v>CDU HEATER PASS 8 SKIN LOWER</v>
          </cell>
          <cell r="D102">
            <v>1116</v>
          </cell>
          <cell r="E102">
            <v>-25</v>
          </cell>
          <cell r="F102" t="str">
            <v>DEGC</v>
          </cell>
        </row>
        <row r="103">
          <cell r="B103" t="str">
            <v>TIZ1030</v>
          </cell>
          <cell r="C103" t="str">
            <v>FLUE GAS EX CONV HZ2101</v>
          </cell>
          <cell r="D103">
            <v>1116</v>
          </cell>
          <cell r="E103">
            <v>-25</v>
          </cell>
          <cell r="F103" t="str">
            <v>DEGC</v>
          </cell>
        </row>
        <row r="104">
          <cell r="B104" t="str">
            <v>TIZ1040</v>
          </cell>
          <cell r="C104" t="str">
            <v>CDU HEATER PASS 1 OUTLET</v>
          </cell>
          <cell r="D104">
            <v>1116</v>
          </cell>
          <cell r="E104">
            <v>-25</v>
          </cell>
          <cell r="F104" t="str">
            <v>DEGC</v>
          </cell>
        </row>
        <row r="105">
          <cell r="B105" t="str">
            <v>TIZ1041</v>
          </cell>
          <cell r="C105" t="str">
            <v>CDU HEATER PASS 2 OUTLET</v>
          </cell>
          <cell r="D105">
            <v>1116</v>
          </cell>
          <cell r="E105">
            <v>-25</v>
          </cell>
          <cell r="F105" t="str">
            <v>DEGC</v>
          </cell>
        </row>
        <row r="106">
          <cell r="B106" t="str">
            <v>TIZ1042</v>
          </cell>
          <cell r="C106" t="str">
            <v>CDU HEATER PASS 3 OUTLET</v>
          </cell>
          <cell r="D106">
            <v>1116</v>
          </cell>
          <cell r="E106">
            <v>-25</v>
          </cell>
          <cell r="F106" t="str">
            <v>DEGC</v>
          </cell>
        </row>
        <row r="107">
          <cell r="B107" t="str">
            <v>TIZ1043</v>
          </cell>
          <cell r="C107" t="str">
            <v>CDU HEATER PASS 4 OUTLET</v>
          </cell>
          <cell r="D107">
            <v>1116</v>
          </cell>
          <cell r="E107">
            <v>-25</v>
          </cell>
          <cell r="F107" t="str">
            <v>DEGC</v>
          </cell>
        </row>
        <row r="108">
          <cell r="B108" t="str">
            <v>TIZ1044</v>
          </cell>
          <cell r="C108" t="str">
            <v>CDU HEATER PASS 5 OUTLET</v>
          </cell>
          <cell r="D108">
            <v>1116</v>
          </cell>
          <cell r="E108">
            <v>-25</v>
          </cell>
          <cell r="F108" t="str">
            <v>DEGC</v>
          </cell>
        </row>
        <row r="109">
          <cell r="B109" t="str">
            <v>TIZ1045</v>
          </cell>
          <cell r="C109" t="str">
            <v>CDU HEATER PASS 6 OUTLET</v>
          </cell>
          <cell r="D109">
            <v>1116</v>
          </cell>
          <cell r="E109">
            <v>-25</v>
          </cell>
          <cell r="F109" t="str">
            <v>DEGC</v>
          </cell>
        </row>
        <row r="110">
          <cell r="B110" t="str">
            <v>TIZ1046</v>
          </cell>
          <cell r="C110" t="str">
            <v>CDU HEATER PASS 7 OUTLET</v>
          </cell>
          <cell r="D110">
            <v>1116</v>
          </cell>
          <cell r="E110">
            <v>-25</v>
          </cell>
          <cell r="F110" t="str">
            <v>DEGC</v>
          </cell>
        </row>
        <row r="111">
          <cell r="B111" t="str">
            <v>TIZ1047</v>
          </cell>
          <cell r="C111" t="str">
            <v>CDU HEATER PASS 8 OUTLET</v>
          </cell>
          <cell r="D111">
            <v>1116</v>
          </cell>
          <cell r="E111">
            <v>-25</v>
          </cell>
          <cell r="F111" t="str">
            <v>DEGC</v>
          </cell>
        </row>
        <row r="112">
          <cell r="B112" t="str">
            <v>TIZ1048</v>
          </cell>
          <cell r="C112" t="str">
            <v>HZ2101 LP STEAM TO STEAM COIL</v>
          </cell>
          <cell r="D112">
            <v>1116</v>
          </cell>
          <cell r="E112">
            <v>-25</v>
          </cell>
          <cell r="F112" t="str">
            <v>DEGC</v>
          </cell>
        </row>
        <row r="113">
          <cell r="B113" t="str">
            <v>TIZ1049</v>
          </cell>
          <cell r="C113" t="str">
            <v>HZ2101 COIL OUTLET</v>
          </cell>
          <cell r="D113">
            <v>1116</v>
          </cell>
          <cell r="E113">
            <v>-25</v>
          </cell>
          <cell r="F113" t="str">
            <v>DEGC</v>
          </cell>
        </row>
        <row r="114">
          <cell r="B114" t="str">
            <v>TIZ1050</v>
          </cell>
          <cell r="C114" t="str">
            <v>CDU TOWER TOP</v>
          </cell>
          <cell r="D114">
            <v>523</v>
          </cell>
          <cell r="E114">
            <v>-25</v>
          </cell>
          <cell r="F114" t="str">
            <v>DEGC</v>
          </cell>
        </row>
        <row r="115">
          <cell r="B115" t="str">
            <v>TIZ1052</v>
          </cell>
          <cell r="C115" t="str">
            <v>TPA EX CDU TOWER</v>
          </cell>
          <cell r="D115">
            <v>523</v>
          </cell>
          <cell r="E115">
            <v>-25</v>
          </cell>
          <cell r="F115" t="str">
            <v>DEGC</v>
          </cell>
        </row>
        <row r="116">
          <cell r="B116" t="str">
            <v>TIZ1053</v>
          </cell>
          <cell r="C116" t="str">
            <v>MPA/LGO EX CDU TOWER</v>
          </cell>
          <cell r="D116">
            <v>523</v>
          </cell>
          <cell r="E116">
            <v>-25</v>
          </cell>
          <cell r="F116" t="str">
            <v>DEGC</v>
          </cell>
        </row>
        <row r="117">
          <cell r="B117" t="str">
            <v>TIZ1054</v>
          </cell>
          <cell r="C117" t="str">
            <v>BPA/HGO EX CDU TOWER</v>
          </cell>
          <cell r="D117">
            <v>523</v>
          </cell>
          <cell r="E117">
            <v>-25</v>
          </cell>
          <cell r="F117" t="str">
            <v>DEGC</v>
          </cell>
        </row>
        <row r="118">
          <cell r="B118" t="str">
            <v>TIZ1056</v>
          </cell>
          <cell r="C118" t="str">
            <v>LGO EX DRIER</v>
          </cell>
          <cell r="D118">
            <v>523</v>
          </cell>
          <cell r="E118">
            <v>-25</v>
          </cell>
          <cell r="F118" t="str">
            <v>DEGC</v>
          </cell>
        </row>
        <row r="119">
          <cell r="B119" t="str">
            <v>TIZ1057</v>
          </cell>
          <cell r="C119" t="str">
            <v>LGO EX STRIPPER</v>
          </cell>
          <cell r="D119">
            <v>523</v>
          </cell>
          <cell r="E119">
            <v>-25</v>
          </cell>
          <cell r="F119" t="str">
            <v>DEGC</v>
          </cell>
        </row>
        <row r="120">
          <cell r="B120" t="str">
            <v>TIZ1058</v>
          </cell>
          <cell r="C120" t="str">
            <v>HGO EX DRIER</v>
          </cell>
          <cell r="D120">
            <v>523</v>
          </cell>
          <cell r="E120">
            <v>-25</v>
          </cell>
          <cell r="F120" t="str">
            <v>DEGC</v>
          </cell>
        </row>
        <row r="121">
          <cell r="B121" t="str">
            <v>TIZ1059</v>
          </cell>
          <cell r="C121" t="str">
            <v>HGO EX STRIPPER</v>
          </cell>
          <cell r="D121">
            <v>523</v>
          </cell>
          <cell r="E121">
            <v>-25</v>
          </cell>
          <cell r="F121" t="str">
            <v>DEGC</v>
          </cell>
        </row>
        <row r="122">
          <cell r="B122" t="str">
            <v>TIZ1060</v>
          </cell>
          <cell r="C122" t="str">
            <v>MIXED GAS OIL EX L/HGO COND DR</v>
          </cell>
          <cell r="D122">
            <v>523</v>
          </cell>
          <cell r="E122">
            <v>-25</v>
          </cell>
          <cell r="F122" t="str">
            <v>DEGC</v>
          </cell>
        </row>
        <row r="123">
          <cell r="B123" t="str">
            <v>TIZ1061</v>
          </cell>
          <cell r="C123" t="str">
            <v>LGO RUNDOWN</v>
          </cell>
          <cell r="D123">
            <v>523</v>
          </cell>
          <cell r="E123">
            <v>-25</v>
          </cell>
          <cell r="F123" t="str">
            <v>DEGC</v>
          </cell>
        </row>
        <row r="124">
          <cell r="B124" t="str">
            <v>TIZ1062</v>
          </cell>
          <cell r="C124" t="str">
            <v>CDU VAC COND KO POT A</v>
          </cell>
          <cell r="D124">
            <v>238</v>
          </cell>
          <cell r="E124">
            <v>-25</v>
          </cell>
          <cell r="F124" t="str">
            <v>DEGC</v>
          </cell>
        </row>
        <row r="125">
          <cell r="B125" t="str">
            <v>TIZ1063</v>
          </cell>
          <cell r="C125" t="str">
            <v>CDU VAC COND KO POT B</v>
          </cell>
          <cell r="D125">
            <v>238</v>
          </cell>
          <cell r="E125">
            <v>-25</v>
          </cell>
          <cell r="F125" t="str">
            <v>DEGC</v>
          </cell>
        </row>
        <row r="126">
          <cell r="B126" t="str">
            <v>TIZ1064</v>
          </cell>
          <cell r="C126" t="str">
            <v>HGO RUNDOWN</v>
          </cell>
          <cell r="D126">
            <v>523</v>
          </cell>
          <cell r="E126">
            <v>-25</v>
          </cell>
          <cell r="F126" t="str">
            <v>DEGC</v>
          </cell>
        </row>
        <row r="127">
          <cell r="B127" t="str">
            <v>TIZ1065</v>
          </cell>
          <cell r="C127" t="str">
            <v>HZ2101 RADIANT SECTION</v>
          </cell>
          <cell r="D127">
            <v>1116</v>
          </cell>
          <cell r="E127">
            <v>-25</v>
          </cell>
          <cell r="F127" t="str">
            <v>DEGC</v>
          </cell>
        </row>
        <row r="128">
          <cell r="B128" t="str">
            <v>XIZ1008</v>
          </cell>
          <cell r="C128" t="str">
            <v>A DESALTER TRAFO 1 CURRT</v>
          </cell>
          <cell r="D128">
            <v>50</v>
          </cell>
          <cell r="E128">
            <v>0</v>
          </cell>
          <cell r="F128" t="str">
            <v>A</v>
          </cell>
        </row>
        <row r="129">
          <cell r="B129" t="str">
            <v>XIZ1009</v>
          </cell>
          <cell r="C129" t="str">
            <v>A DESALTER TRAFO 2 CURRT</v>
          </cell>
          <cell r="D129">
            <v>50</v>
          </cell>
          <cell r="E129">
            <v>0</v>
          </cell>
          <cell r="F129" t="str">
            <v>A</v>
          </cell>
        </row>
        <row r="130">
          <cell r="B130" t="str">
            <v>XIZ1010</v>
          </cell>
          <cell r="C130" t="str">
            <v>A DESALTER TRAFO 3 CURRT</v>
          </cell>
          <cell r="D130">
            <v>50</v>
          </cell>
          <cell r="E130">
            <v>0</v>
          </cell>
          <cell r="F130" t="str">
            <v>A</v>
          </cell>
        </row>
        <row r="131">
          <cell r="B131" t="str">
            <v>XIZ1011</v>
          </cell>
          <cell r="C131" t="str">
            <v>B DESALTER TRAFO 1 CURRT</v>
          </cell>
          <cell r="D131">
            <v>50</v>
          </cell>
          <cell r="E131">
            <v>0</v>
          </cell>
          <cell r="F131" t="str">
            <v>A</v>
          </cell>
        </row>
        <row r="132">
          <cell r="B132" t="str">
            <v>XIZ1012</v>
          </cell>
          <cell r="C132" t="str">
            <v>B DESALTER TRAFO 2 CURRT</v>
          </cell>
          <cell r="D132">
            <v>50</v>
          </cell>
          <cell r="E132">
            <v>0</v>
          </cell>
          <cell r="F132" t="str">
            <v>A</v>
          </cell>
        </row>
        <row r="133">
          <cell r="B133" t="str">
            <v>XIZ1013</v>
          </cell>
          <cell r="C133" t="str">
            <v>B DESALTER TRAFO 3 CURRT</v>
          </cell>
          <cell r="D133">
            <v>50</v>
          </cell>
          <cell r="E133">
            <v>0</v>
          </cell>
          <cell r="F133" t="str">
            <v>A</v>
          </cell>
        </row>
        <row r="134">
          <cell r="B134" t="str">
            <v>XIZ1014</v>
          </cell>
          <cell r="C134" t="str">
            <v>MPZ2103A MOTOR AMPT.P.A.</v>
          </cell>
          <cell r="D134">
            <v>40</v>
          </cell>
          <cell r="E134">
            <v>0</v>
          </cell>
          <cell r="F134" t="str">
            <v>AMP</v>
          </cell>
        </row>
        <row r="135">
          <cell r="B135" t="str">
            <v>XIZ1015</v>
          </cell>
          <cell r="C135" t="str">
            <v>MPZ2103B MOTOR AMPT.P.A.</v>
          </cell>
          <cell r="D135">
            <v>40</v>
          </cell>
          <cell r="E135">
            <v>0</v>
          </cell>
          <cell r="F135" t="str">
            <v>AMP</v>
          </cell>
        </row>
        <row r="136">
          <cell r="B136" t="str">
            <v>ACZ1003_L2</v>
          </cell>
          <cell r="C136" t="str">
            <v>LVL2 TAG FOR OVER-VIEW DISPLAY</v>
          </cell>
          <cell r="D136">
            <v>10</v>
          </cell>
          <cell r="E136">
            <v>-20</v>
          </cell>
          <cell r="F136" t="str">
            <v>DEGC</v>
          </cell>
        </row>
        <row r="137">
          <cell r="B137" t="str">
            <v>ACZ1008_L2</v>
          </cell>
          <cell r="C137" t="str">
            <v>LVL2 TAG FOR OVER-VIEW DISPLAY</v>
          </cell>
          <cell r="D137">
            <v>10</v>
          </cell>
          <cell r="E137">
            <v>0</v>
          </cell>
          <cell r="F137" t="str">
            <v>%</v>
          </cell>
        </row>
        <row r="138">
          <cell r="B138" t="str">
            <v>AIAZ1007</v>
          </cell>
          <cell r="C138" t="str">
            <v>SMOKE HZ2101</v>
          </cell>
          <cell r="D138">
            <v>5</v>
          </cell>
          <cell r="E138">
            <v>0</v>
          </cell>
          <cell r="F138" t="str">
            <v>RING</v>
          </cell>
        </row>
        <row r="139">
          <cell r="B139" t="str">
            <v>AIZ1007</v>
          </cell>
          <cell r="C139" t="str">
            <v>SMOKE HZ2101</v>
          </cell>
          <cell r="D139">
            <v>100</v>
          </cell>
          <cell r="E139">
            <v>0</v>
          </cell>
          <cell r="F139" t="str">
            <v>%</v>
          </cell>
        </row>
        <row r="140">
          <cell r="B140" t="str">
            <v>AIZ1008</v>
          </cell>
          <cell r="C140" t="str">
            <v>CDU HEATER O2 FLUE GAS A</v>
          </cell>
          <cell r="D140">
            <v>10</v>
          </cell>
          <cell r="E140">
            <v>0</v>
          </cell>
          <cell r="F140" t="str">
            <v>%</v>
          </cell>
        </row>
        <row r="141">
          <cell r="B141" t="str">
            <v>AIZ1008A</v>
          </cell>
          <cell r="C141" t="str">
            <v>CDU HEATER O2 FLUE GAS A</v>
          </cell>
          <cell r="D141">
            <v>10</v>
          </cell>
          <cell r="E141">
            <v>0</v>
          </cell>
          <cell r="F141" t="str">
            <v>%</v>
          </cell>
        </row>
        <row r="142">
          <cell r="B142" t="str">
            <v>AIZ1008B</v>
          </cell>
          <cell r="C142" t="str">
            <v>CDU HEATER O2 FLUE GAS B</v>
          </cell>
          <cell r="D142">
            <v>10</v>
          </cell>
          <cell r="E142">
            <v>0</v>
          </cell>
          <cell r="F142" t="str">
            <v>%</v>
          </cell>
        </row>
        <row r="143">
          <cell r="B143" t="str">
            <v>AIZ1009</v>
          </cell>
          <cell r="C143" t="str">
            <v>CO IN FLUE GAS</v>
          </cell>
          <cell r="D143">
            <v>200</v>
          </cell>
          <cell r="E143">
            <v>0</v>
          </cell>
          <cell r="F143" t="str">
            <v>PPM</v>
          </cell>
        </row>
        <row r="144">
          <cell r="B144" t="str">
            <v>AIZ1026</v>
          </cell>
          <cell r="C144" t="str">
            <v>O2 FLUE GAS DUCT HZ2101</v>
          </cell>
          <cell r="D144">
            <v>25</v>
          </cell>
          <cell r="E144">
            <v>0</v>
          </cell>
          <cell r="F144" t="str">
            <v>PCT</v>
          </cell>
        </row>
        <row r="145">
          <cell r="B145" t="str">
            <v>AIZ1027</v>
          </cell>
          <cell r="C145" t="str">
            <v>NOX FLUE GAS DUCT HZ2101</v>
          </cell>
          <cell r="D145">
            <v>400</v>
          </cell>
          <cell r="E145">
            <v>0</v>
          </cell>
          <cell r="F145" t="str">
            <v>MG/NM3</v>
          </cell>
        </row>
        <row r="146">
          <cell r="B146" t="str">
            <v>FIZ1012</v>
          </cell>
          <cell r="C146" t="str">
            <v>CRUDE FEED A TRAIN</v>
          </cell>
          <cell r="D146">
            <v>919</v>
          </cell>
          <cell r="E146">
            <v>0</v>
          </cell>
          <cell r="F146" t="str">
            <v>M3/H</v>
          </cell>
        </row>
        <row r="147">
          <cell r="B147" t="str">
            <v>FIZ1013</v>
          </cell>
          <cell r="C147" t="str">
            <v>CRUDE FEED B TRAIN</v>
          </cell>
          <cell r="D147">
            <v>919</v>
          </cell>
          <cell r="E147">
            <v>0</v>
          </cell>
          <cell r="F147" t="str">
            <v>M3/H</v>
          </cell>
        </row>
        <row r="148">
          <cell r="B148" t="str">
            <v>FIZ1059</v>
          </cell>
          <cell r="C148" t="str">
            <v>CDU HEATER HZ2101 FUEL GAS</v>
          </cell>
          <cell r="D148">
            <v>14.2</v>
          </cell>
          <cell r="E148">
            <v>0</v>
          </cell>
          <cell r="F148" t="str">
            <v>KNM3/H</v>
          </cell>
        </row>
        <row r="149">
          <cell r="B149" t="str">
            <v>FIZ1062</v>
          </cell>
          <cell r="C149" t="str">
            <v>STRIPPED WATER FROM FCCU</v>
          </cell>
          <cell r="D149">
            <v>36.51</v>
          </cell>
          <cell r="E149">
            <v>0</v>
          </cell>
          <cell r="F149" t="str">
            <v>M3/H</v>
          </cell>
        </row>
        <row r="150">
          <cell r="B150" t="str">
            <v>FIZ1072</v>
          </cell>
          <cell r="C150" t="str">
            <v>TOTAL AIR TO HZ2101</v>
          </cell>
          <cell r="D150">
            <v>300</v>
          </cell>
          <cell r="E150">
            <v>0</v>
          </cell>
          <cell r="F150" t="str">
            <v>T/H</v>
          </cell>
        </row>
        <row r="151">
          <cell r="B151" t="str">
            <v>FIZ1072_COMP</v>
          </cell>
          <cell r="C151" t="str">
            <v>TOTAL AIR TO HZ2101</v>
          </cell>
          <cell r="D151">
            <v>300</v>
          </cell>
          <cell r="E151">
            <v>0</v>
          </cell>
          <cell r="F151" t="str">
            <v>T/H</v>
          </cell>
        </row>
        <row r="152">
          <cell r="B152" t="str">
            <v>FIZ1085C</v>
          </cell>
          <cell r="C152" t="str">
            <v>LGO RUNDOWN (CALC)</v>
          </cell>
          <cell r="D152">
            <v>400</v>
          </cell>
          <cell r="E152">
            <v>0</v>
          </cell>
          <cell r="F152" t="str">
            <v>M3/H</v>
          </cell>
        </row>
        <row r="153">
          <cell r="B153" t="str">
            <v>FIZ1086</v>
          </cell>
          <cell r="C153" t="str">
            <v>STRIPPED WATER FROM 1700</v>
          </cell>
          <cell r="D153">
            <v>30</v>
          </cell>
          <cell r="E153">
            <v>0</v>
          </cell>
          <cell r="F153" t="str">
            <v>M3/H</v>
          </cell>
        </row>
        <row r="154">
          <cell r="B154" t="str">
            <v>FXZ1003</v>
          </cell>
          <cell r="C154" t="str">
            <v>ALTERNATIVE CRUDE FEED</v>
          </cell>
          <cell r="D154">
            <v>1838</v>
          </cell>
          <cell r="E154">
            <v>0</v>
          </cell>
          <cell r="F154" t="str">
            <v>M3/H</v>
          </cell>
        </row>
        <row r="155">
          <cell r="B155" t="str">
            <v>FXZ1075</v>
          </cell>
          <cell r="C155" t="str">
            <v>TOTAL CRUDE FEED</v>
          </cell>
          <cell r="D155">
            <v>1839</v>
          </cell>
          <cell r="E155">
            <v>0</v>
          </cell>
          <cell r="F155" t="str">
            <v>M3/H</v>
          </cell>
        </row>
        <row r="156">
          <cell r="B156" t="str">
            <v>LDZ1024</v>
          </cell>
          <cell r="C156" t="str">
            <v>LGO STRIPPER TZ2102</v>
          </cell>
          <cell r="D156">
            <v>100</v>
          </cell>
          <cell r="E156">
            <v>0</v>
          </cell>
          <cell r="F156" t="str">
            <v>PCT</v>
          </cell>
        </row>
        <row r="157">
          <cell r="B157" t="str">
            <v>LDZ1028</v>
          </cell>
          <cell r="C157" t="str">
            <v>HGO STRIPPER TZ2103</v>
          </cell>
          <cell r="D157">
            <v>100</v>
          </cell>
          <cell r="E157">
            <v>0</v>
          </cell>
          <cell r="F157" t="str">
            <v>PCT</v>
          </cell>
        </row>
        <row r="158">
          <cell r="B158" t="str">
            <v>LDZ1031</v>
          </cell>
          <cell r="C158" t="str">
            <v>HGO/LGO COND DRUM DZ2105 VAC WAT</v>
          </cell>
          <cell r="D158">
            <v>100</v>
          </cell>
          <cell r="E158">
            <v>0</v>
          </cell>
          <cell r="F158" t="str">
            <v>PCT</v>
          </cell>
        </row>
        <row r="159">
          <cell r="B159" t="str">
            <v>LIZ1024</v>
          </cell>
          <cell r="C159" t="str">
            <v>LGO STRIPPER TZ2102</v>
          </cell>
          <cell r="D159">
            <v>100</v>
          </cell>
          <cell r="E159">
            <v>0</v>
          </cell>
          <cell r="F159" t="str">
            <v>PCT</v>
          </cell>
        </row>
        <row r="160">
          <cell r="B160" t="str">
            <v>LIZ1024A</v>
          </cell>
          <cell r="C160" t="str">
            <v>LGO STRIPPER TZ2102</v>
          </cell>
          <cell r="D160">
            <v>100</v>
          </cell>
          <cell r="E160">
            <v>0</v>
          </cell>
          <cell r="F160" t="str">
            <v>PCT</v>
          </cell>
        </row>
        <row r="161">
          <cell r="B161" t="str">
            <v>LIZ1024B</v>
          </cell>
          <cell r="C161" t="str">
            <v>LGO STRIPPER TZ2102</v>
          </cell>
          <cell r="D161">
            <v>100</v>
          </cell>
          <cell r="E161">
            <v>0</v>
          </cell>
          <cell r="F161" t="str">
            <v>PCT</v>
          </cell>
        </row>
        <row r="162">
          <cell r="B162" t="str">
            <v>LIZ1028</v>
          </cell>
          <cell r="C162" t="str">
            <v>HGO STRIPPER TZ2103</v>
          </cell>
          <cell r="D162">
            <v>100</v>
          </cell>
          <cell r="E162">
            <v>0</v>
          </cell>
          <cell r="F162" t="str">
            <v>PCT</v>
          </cell>
        </row>
        <row r="163">
          <cell r="B163" t="str">
            <v>LIZ1028A</v>
          </cell>
          <cell r="C163" t="str">
            <v>HGO STRIPPER TZ2103</v>
          </cell>
          <cell r="D163">
            <v>100</v>
          </cell>
          <cell r="E163">
            <v>0</v>
          </cell>
          <cell r="F163" t="str">
            <v>PCT</v>
          </cell>
        </row>
        <row r="164">
          <cell r="B164" t="str">
            <v>LIZ1028B</v>
          </cell>
          <cell r="C164" t="str">
            <v>HGO STRIPPER TZ2103</v>
          </cell>
          <cell r="D164">
            <v>100</v>
          </cell>
          <cell r="E164">
            <v>0</v>
          </cell>
          <cell r="F164" t="str">
            <v>PCT</v>
          </cell>
        </row>
        <row r="165">
          <cell r="B165" t="str">
            <v>LIZ1031</v>
          </cell>
          <cell r="C165" t="str">
            <v>HGO/LGO COND DRUM DZ2105 VAC WAT</v>
          </cell>
          <cell r="D165">
            <v>100</v>
          </cell>
          <cell r="E165">
            <v>0</v>
          </cell>
          <cell r="F165" t="str">
            <v>PCT</v>
          </cell>
        </row>
        <row r="166">
          <cell r="B166" t="str">
            <v>LIZ1031A</v>
          </cell>
          <cell r="C166" t="str">
            <v>HGO/LGO COND DRUM DZ2105 VAC WAT</v>
          </cell>
          <cell r="D166">
            <v>100</v>
          </cell>
          <cell r="E166">
            <v>0</v>
          </cell>
          <cell r="F166" t="str">
            <v>PCT</v>
          </cell>
        </row>
        <row r="167">
          <cell r="B167" t="str">
            <v>LIZ1031B</v>
          </cell>
          <cell r="C167" t="str">
            <v>HGO/LGO COND DRUM DZ2105 VAC WAT</v>
          </cell>
          <cell r="D167">
            <v>100</v>
          </cell>
          <cell r="E167">
            <v>0</v>
          </cell>
          <cell r="F167" t="str">
            <v>PCT</v>
          </cell>
        </row>
        <row r="168">
          <cell r="B168" t="str">
            <v>PIZ1017</v>
          </cell>
          <cell r="C168" t="str">
            <v>CDU_HEATER FUEL- GAS</v>
          </cell>
          <cell r="D168">
            <v>2</v>
          </cell>
          <cell r="E168">
            <v>0</v>
          </cell>
          <cell r="F168" t="str">
            <v>BARG</v>
          </cell>
        </row>
        <row r="169">
          <cell r="B169" t="str">
            <v>PIZ1053</v>
          </cell>
          <cell r="C169" t="str">
            <v>CDU HEATER RADIANT TOP</v>
          </cell>
          <cell r="D169">
            <v>70</v>
          </cell>
          <cell r="E169">
            <v>-70</v>
          </cell>
          <cell r="F169" t="str">
            <v>MMWG</v>
          </cell>
        </row>
        <row r="170">
          <cell r="B170" t="str">
            <v>PIZ1053_1</v>
          </cell>
          <cell r="C170" t="str">
            <v>CDU HEATER RADIANT TOP</v>
          </cell>
          <cell r="D170">
            <v>70</v>
          </cell>
          <cell r="E170">
            <v>-70</v>
          </cell>
          <cell r="F170" t="str">
            <v>MMWG</v>
          </cell>
        </row>
        <row r="171">
          <cell r="B171" t="str">
            <v>PVIZ1007</v>
          </cell>
          <cell r="C171" t="str">
            <v>CRUDE TOWER FEED TEMP SETPOINT</v>
          </cell>
          <cell r="D171">
            <v>6.98</v>
          </cell>
          <cell r="E171">
            <v>0</v>
          </cell>
          <cell r="F171" t="str">
            <v>BAR</v>
          </cell>
        </row>
        <row r="172">
          <cell r="B172" t="str">
            <v>TAZ1051</v>
          </cell>
          <cell r="C172" t="str">
            <v>TDIFF FLASH BOTTOM</v>
          </cell>
          <cell r="D172">
            <v>25</v>
          </cell>
          <cell r="E172">
            <v>-25</v>
          </cell>
          <cell r="F172" t="str">
            <v>DEGC</v>
          </cell>
        </row>
        <row r="173">
          <cell r="B173" t="str">
            <v>TDZ1011</v>
          </cell>
          <cell r="C173" t="str">
            <v>CDU M.P.A. EZ2114 LOUVRES</v>
          </cell>
          <cell r="D173">
            <v>624</v>
          </cell>
          <cell r="E173">
            <v>0</v>
          </cell>
          <cell r="F173" t="str">
            <v>DEGC</v>
          </cell>
        </row>
        <row r="174">
          <cell r="B174" t="str">
            <v>TIIZ1013</v>
          </cell>
          <cell r="C174" t="str">
            <v>HZ2101 COMBINED OUTLET</v>
          </cell>
          <cell r="D174">
            <v>624</v>
          </cell>
          <cell r="E174">
            <v>-19</v>
          </cell>
          <cell r="F174" t="str">
            <v>DEGC</v>
          </cell>
        </row>
        <row r="175">
          <cell r="B175" t="str">
            <v>TIZ1011</v>
          </cell>
          <cell r="C175" t="str">
            <v>CDU M.P.A. EZ2114 LOUVRES</v>
          </cell>
          <cell r="D175">
            <v>624</v>
          </cell>
          <cell r="E175">
            <v>-19</v>
          </cell>
          <cell r="F175" t="str">
            <v>DEGC</v>
          </cell>
        </row>
        <row r="176">
          <cell r="B176" t="str">
            <v>TIZ1011A</v>
          </cell>
          <cell r="C176" t="str">
            <v>CDU M.P.A. EZ2114 LOUVRES</v>
          </cell>
          <cell r="D176">
            <v>624</v>
          </cell>
          <cell r="E176">
            <v>-19</v>
          </cell>
          <cell r="F176" t="str">
            <v>DEGC</v>
          </cell>
        </row>
        <row r="177">
          <cell r="B177" t="str">
            <v>TIZ1011B</v>
          </cell>
          <cell r="C177" t="str">
            <v>CDU M.P.A. EZ2114 LOUVRES</v>
          </cell>
          <cell r="D177">
            <v>624</v>
          </cell>
          <cell r="E177">
            <v>-19</v>
          </cell>
          <cell r="F177" t="str">
            <v>DEGC</v>
          </cell>
        </row>
        <row r="178">
          <cell r="B178" t="str">
            <v>TIZ1040_47</v>
          </cell>
          <cell r="C178" t="str">
            <v>HZ2101 PASS PROTECTION</v>
          </cell>
          <cell r="D178">
            <v>500</v>
          </cell>
          <cell r="E178">
            <v>0</v>
          </cell>
          <cell r="F178" t="str">
            <v>DEGC</v>
          </cell>
        </row>
        <row r="179">
          <cell r="B179" t="str">
            <v>TIZ1055</v>
          </cell>
          <cell r="C179" t="str">
            <v>RESIDU EX TOWER</v>
          </cell>
          <cell r="D179">
            <v>624</v>
          </cell>
          <cell r="E179">
            <v>-19</v>
          </cell>
          <cell r="F179" t="str">
            <v>DEGC</v>
          </cell>
        </row>
        <row r="180">
          <cell r="B180" t="str">
            <v>ESSZ1014</v>
          </cell>
          <cell r="C180" t="str">
            <v>TZ2101 OVHDS ENTHALPY</v>
          </cell>
          <cell r="D180">
            <v>200000</v>
          </cell>
          <cell r="E180">
            <v>0</v>
          </cell>
          <cell r="F180" t="str">
            <v>DUTY</v>
          </cell>
        </row>
        <row r="181">
          <cell r="B181" t="str">
            <v>ESSZ1052</v>
          </cell>
          <cell r="C181" t="str">
            <v>TPA DUTY</v>
          </cell>
          <cell r="D181">
            <v>150000</v>
          </cell>
          <cell r="E181">
            <v>0</v>
          </cell>
          <cell r="F181" t="str">
            <v>DUTY</v>
          </cell>
        </row>
        <row r="182">
          <cell r="B182" t="str">
            <v>ESSZ1053</v>
          </cell>
          <cell r="C182" t="str">
            <v>MPA DUTY</v>
          </cell>
          <cell r="D182">
            <v>150000</v>
          </cell>
          <cell r="E182">
            <v>0</v>
          </cell>
          <cell r="F182" t="str">
            <v>DUTY</v>
          </cell>
        </row>
        <row r="183">
          <cell r="B183" t="str">
            <v>ESSZ1054</v>
          </cell>
          <cell r="C183" t="str">
            <v>BPA DUTY</v>
          </cell>
          <cell r="D183">
            <v>150000</v>
          </cell>
          <cell r="E183">
            <v>0</v>
          </cell>
          <cell r="F183" t="str">
            <v>DUTY</v>
          </cell>
        </row>
        <row r="184">
          <cell r="B184" t="str">
            <v>FICZ1002_L2</v>
          </cell>
          <cell r="C184" t="str">
            <v>LVL2 TAG FOR OVER-VIEW DISPLAY</v>
          </cell>
          <cell r="D184">
            <v>720</v>
          </cell>
          <cell r="E184">
            <v>0</v>
          </cell>
          <cell r="F184" t="str">
            <v>M3/H</v>
          </cell>
        </row>
        <row r="185">
          <cell r="B185" t="str">
            <v>FIZ1001</v>
          </cell>
          <cell r="C185" t="str">
            <v>TEMPERED WATER RECIRCULATION</v>
          </cell>
          <cell r="D185">
            <v>500</v>
          </cell>
          <cell r="E185">
            <v>0</v>
          </cell>
          <cell r="F185" t="str">
            <v>M3/H</v>
          </cell>
        </row>
        <row r="186">
          <cell r="B186" t="str">
            <v>FIZ1002</v>
          </cell>
          <cell r="C186" t="str">
            <v>RESIDUE RUNDOWN</v>
          </cell>
          <cell r="D186">
            <v>720</v>
          </cell>
          <cell r="E186">
            <v>0</v>
          </cell>
          <cell r="F186" t="str">
            <v>M3/H</v>
          </cell>
        </row>
        <row r="187">
          <cell r="B187" t="str">
            <v>FIZ1008</v>
          </cell>
          <cell r="C187" t="str">
            <v>WATER TO B DESALTER</v>
          </cell>
          <cell r="D187">
            <v>50</v>
          </cell>
          <cell r="E187">
            <v>0</v>
          </cell>
          <cell r="F187" t="str">
            <v>M3/H</v>
          </cell>
        </row>
        <row r="188">
          <cell r="B188" t="str">
            <v>FIZ1009</v>
          </cell>
          <cell r="C188" t="str">
            <v>CRUDE TO A DESALTER</v>
          </cell>
          <cell r="D188">
            <v>919</v>
          </cell>
          <cell r="E188">
            <v>0</v>
          </cell>
          <cell r="F188" t="str">
            <v>M3/H</v>
          </cell>
        </row>
        <row r="189">
          <cell r="B189" t="str">
            <v>FIZ1009_10</v>
          </cell>
          <cell r="C189" t="str">
            <v>TOTAL CRUDE FEED</v>
          </cell>
          <cell r="D189">
            <v>1839</v>
          </cell>
          <cell r="E189">
            <v>0</v>
          </cell>
          <cell r="F189" t="str">
            <v>M3/H</v>
          </cell>
        </row>
        <row r="190">
          <cell r="B190" t="str">
            <v>FIZ1010</v>
          </cell>
          <cell r="C190" t="str">
            <v>CRUDE TO B DESALTER</v>
          </cell>
          <cell r="D190">
            <v>919</v>
          </cell>
          <cell r="E190">
            <v>0</v>
          </cell>
          <cell r="F190" t="str">
            <v>M3/H</v>
          </cell>
        </row>
        <row r="191">
          <cell r="B191" t="str">
            <v>FIZ1011</v>
          </cell>
          <cell r="C191" t="str">
            <v>WATER TO A DESALTER</v>
          </cell>
          <cell r="D191">
            <v>50</v>
          </cell>
          <cell r="E191">
            <v>0</v>
          </cell>
          <cell r="F191" t="str">
            <v>M3/H</v>
          </cell>
        </row>
        <row r="192">
          <cell r="B192" t="str">
            <v>FIZ1017</v>
          </cell>
          <cell r="C192" t="str">
            <v>CDU TOWER TOP PUMP AROUND</v>
          </cell>
          <cell r="D192">
            <v>1294</v>
          </cell>
          <cell r="E192">
            <v>0</v>
          </cell>
          <cell r="F192" t="str">
            <v>M3/H</v>
          </cell>
        </row>
        <row r="193">
          <cell r="B193" t="str">
            <v>FIZ1018</v>
          </cell>
          <cell r="C193" t="str">
            <v>CDU TOWER MIDDLE PUMP AROUND</v>
          </cell>
          <cell r="D193">
            <v>1179</v>
          </cell>
          <cell r="E193">
            <v>0</v>
          </cell>
          <cell r="F193" t="str">
            <v>M3/H</v>
          </cell>
        </row>
        <row r="194">
          <cell r="B194" t="str">
            <v>FIZ1019</v>
          </cell>
          <cell r="C194" t="str">
            <v>CDU TOWER BOTTOM PUMP AROUND</v>
          </cell>
          <cell r="D194">
            <v>794</v>
          </cell>
          <cell r="E194">
            <v>0</v>
          </cell>
          <cell r="F194" t="str">
            <v>M3/H</v>
          </cell>
        </row>
        <row r="195">
          <cell r="B195" t="str">
            <v>FIZ1045</v>
          </cell>
          <cell r="C195" t="str">
            <v>WATER TO CRUDE EZ2101</v>
          </cell>
          <cell r="D195">
            <v>31.6</v>
          </cell>
          <cell r="E195">
            <v>0</v>
          </cell>
          <cell r="F195" t="str">
            <v>M3/H</v>
          </cell>
        </row>
        <row r="196">
          <cell r="B196" t="str">
            <v>FIZ1060</v>
          </cell>
          <cell r="C196" t="str">
            <v>RECYCLD RESIDUE</v>
          </cell>
          <cell r="D196">
            <v>200</v>
          </cell>
          <cell r="E196">
            <v>0</v>
          </cell>
          <cell r="F196" t="str">
            <v>M3/H</v>
          </cell>
        </row>
        <row r="197">
          <cell r="B197" t="str">
            <v>FIZ1069</v>
          </cell>
          <cell r="C197" t="str">
            <v>STRIP STM - TZ2101 CRUDE TWR</v>
          </cell>
          <cell r="D197">
            <v>16.899999999999999</v>
          </cell>
          <cell r="E197">
            <v>0</v>
          </cell>
          <cell r="F197" t="str">
            <v>T/H</v>
          </cell>
        </row>
        <row r="198">
          <cell r="B198" t="str">
            <v>FIZ1094</v>
          </cell>
          <cell r="C198" t="str">
            <v>QUENCH TO BOTTOM RINGHEADER</v>
          </cell>
          <cell r="D198">
            <v>300</v>
          </cell>
          <cell r="E198">
            <v>0</v>
          </cell>
          <cell r="F198" t="str">
            <v>M3/H</v>
          </cell>
        </row>
        <row r="199">
          <cell r="B199" t="str">
            <v>FIZ1095</v>
          </cell>
          <cell r="C199" t="str">
            <v>STEAM TO BOTTOM RINGHEADER</v>
          </cell>
          <cell r="D199">
            <v>1.5</v>
          </cell>
          <cell r="E199">
            <v>0</v>
          </cell>
          <cell r="F199" t="str">
            <v>T/H</v>
          </cell>
        </row>
        <row r="200">
          <cell r="B200" t="str">
            <v>FZ1002_OUT</v>
          </cell>
          <cell r="C200" t="str">
            <v>TEST BLOCK OUTPUT FICZ1002</v>
          </cell>
          <cell r="D200">
            <v>100</v>
          </cell>
          <cell r="E200">
            <v>0</v>
          </cell>
          <cell r="F200" t="str">
            <v>%</v>
          </cell>
        </row>
        <row r="201">
          <cell r="B201" t="str">
            <v>FZ1069_OUT</v>
          </cell>
          <cell r="C201" t="str">
            <v>TEST BLOCK OUTPUT FICZ1069</v>
          </cell>
          <cell r="D201">
            <v>100</v>
          </cell>
          <cell r="E201">
            <v>0</v>
          </cell>
          <cell r="F201" t="str">
            <v>%</v>
          </cell>
        </row>
        <row r="202">
          <cell r="B202" t="str">
            <v>PDZ1009</v>
          </cell>
          <cell r="C202" t="str">
            <v>CDU4 CRUDE TOWER DP</v>
          </cell>
          <cell r="D202">
            <v>2</v>
          </cell>
          <cell r="E202">
            <v>0</v>
          </cell>
          <cell r="F202" t="str">
            <v>BAR</v>
          </cell>
        </row>
        <row r="203">
          <cell r="B203" t="str">
            <v>PIAZ1007</v>
          </cell>
          <cell r="C203" t="str">
            <v>CDU TOWER TOP</v>
          </cell>
          <cell r="D203">
            <v>6.98</v>
          </cell>
          <cell r="E203">
            <v>0</v>
          </cell>
          <cell r="F203" t="str">
            <v>BARG</v>
          </cell>
        </row>
        <row r="204">
          <cell r="B204" t="str">
            <v>PIZ1004</v>
          </cell>
          <cell r="C204" t="str">
            <v>DESALTER</v>
          </cell>
          <cell r="D204">
            <v>16</v>
          </cell>
          <cell r="E204">
            <v>0</v>
          </cell>
          <cell r="F204" t="str">
            <v>BAR</v>
          </cell>
        </row>
        <row r="205">
          <cell r="B205" t="str">
            <v>PIZ1009</v>
          </cell>
          <cell r="C205" t="str">
            <v>CDU TOWER FLASHZONE PRESSURE</v>
          </cell>
          <cell r="D205">
            <v>3</v>
          </cell>
          <cell r="E205">
            <v>0</v>
          </cell>
          <cell r="F205" t="str">
            <v>BARG</v>
          </cell>
        </row>
        <row r="206">
          <cell r="B206" t="str">
            <v>TDZ1014</v>
          </cell>
          <cell r="C206" t="str">
            <v>MEAS -SETPOINT DEVIATION</v>
          </cell>
          <cell r="D206">
            <v>25</v>
          </cell>
          <cell r="E206">
            <v>0</v>
          </cell>
          <cell r="F206" t="str">
            <v>DEGC</v>
          </cell>
        </row>
        <row r="207">
          <cell r="B207" t="str">
            <v>TIIZ1001</v>
          </cell>
          <cell r="C207" t="str">
            <v>RESIDUE RUNDOWN</v>
          </cell>
          <cell r="D207">
            <v>624</v>
          </cell>
          <cell r="E207">
            <v>-19</v>
          </cell>
          <cell r="F207" t="str">
            <v>DEGC</v>
          </cell>
        </row>
        <row r="208">
          <cell r="B208" t="str">
            <v>TIIZ1002</v>
          </cell>
          <cell r="C208" t="str">
            <v>TEMP.WATER EZ2120</v>
          </cell>
          <cell r="D208">
            <v>624</v>
          </cell>
          <cell r="E208">
            <v>-19</v>
          </cell>
          <cell r="F208" t="str">
            <v>DEGC</v>
          </cell>
        </row>
        <row r="209">
          <cell r="B209" t="str">
            <v>TIIZ1003</v>
          </cell>
          <cell r="C209" t="str">
            <v>TPA COOLER PITCH EZ2113</v>
          </cell>
          <cell r="D209">
            <v>624</v>
          </cell>
          <cell r="E209">
            <v>-19</v>
          </cell>
          <cell r="F209" t="str">
            <v>DEGC</v>
          </cell>
        </row>
        <row r="210">
          <cell r="B210" t="str">
            <v>TIIZ1008</v>
          </cell>
          <cell r="C210" t="str">
            <v>SUPER HEATED STM. HZ2101</v>
          </cell>
          <cell r="D210">
            <v>624</v>
          </cell>
          <cell r="E210">
            <v>-19</v>
          </cell>
          <cell r="F210" t="str">
            <v>DEGC</v>
          </cell>
        </row>
        <row r="211">
          <cell r="B211" t="str">
            <v>TIIZ1012</v>
          </cell>
          <cell r="C211" t="str">
            <v>CDU B.P.A. EZ2110 BYPASS</v>
          </cell>
          <cell r="D211">
            <v>624</v>
          </cell>
          <cell r="E211">
            <v>-19</v>
          </cell>
          <cell r="F211" t="str">
            <v>DEGC</v>
          </cell>
        </row>
        <row r="212">
          <cell r="B212" t="str">
            <v>TIIZ1014</v>
          </cell>
          <cell r="C212" t="str">
            <v>CDU TOWER TOP</v>
          </cell>
          <cell r="D212">
            <v>624</v>
          </cell>
          <cell r="E212">
            <v>-19</v>
          </cell>
          <cell r="F212" t="str">
            <v>DEGC</v>
          </cell>
        </row>
        <row r="213">
          <cell r="B213" t="str">
            <v>TIZ1014B</v>
          </cell>
          <cell r="C213" t="str">
            <v>TEST TOP TEMP CDU4</v>
          </cell>
          <cell r="D213">
            <v>250</v>
          </cell>
          <cell r="E213">
            <v>150</v>
          </cell>
          <cell r="F213" t="str">
            <v>DEGC</v>
          </cell>
        </row>
        <row r="214">
          <cell r="B214" t="str">
            <v>TIZ1014C</v>
          </cell>
          <cell r="C214" t="str">
            <v>PRESSURE COMPENS. TEMP BIJ 1BAR</v>
          </cell>
          <cell r="D214">
            <v>300</v>
          </cell>
          <cell r="E214">
            <v>0</v>
          </cell>
          <cell r="F214" t="str">
            <v>DEGC</v>
          </cell>
        </row>
        <row r="215">
          <cell r="B215" t="str">
            <v>TIZ1088</v>
          </cell>
          <cell r="C215" t="str">
            <v>BOTTOM TEMP TZ2101</v>
          </cell>
          <cell r="D215">
            <v>400</v>
          </cell>
          <cell r="E215">
            <v>0</v>
          </cell>
          <cell r="F215" t="str">
            <v>DEGC</v>
          </cell>
        </row>
        <row r="216">
          <cell r="B216" t="str">
            <v>TZ1012_OUT</v>
          </cell>
          <cell r="C216" t="str">
            <v>TEST BLOCK OUTPUT TICZ1012</v>
          </cell>
          <cell r="D216">
            <v>100</v>
          </cell>
          <cell r="E216">
            <v>0</v>
          </cell>
          <cell r="F216" t="str">
            <v>%</v>
          </cell>
        </row>
        <row r="217">
          <cell r="B217" t="str">
            <v>CDU4_HGO_YLD</v>
          </cell>
          <cell r="C217" t="str">
            <v>CDU4 HGO YIELD (VOL%)</v>
          </cell>
          <cell r="D217">
            <v>100</v>
          </cell>
          <cell r="E217">
            <v>0</v>
          </cell>
          <cell r="F217" t="str">
            <v>VOL%</v>
          </cell>
        </row>
        <row r="218">
          <cell r="B218" t="str">
            <v>CDU4_LGO_YLD</v>
          </cell>
          <cell r="C218" t="str">
            <v>CDU4 LGO YIELD (VOL%)</v>
          </cell>
          <cell r="D218">
            <v>100</v>
          </cell>
          <cell r="E218">
            <v>0</v>
          </cell>
          <cell r="F218" t="str">
            <v>VOL%</v>
          </cell>
        </row>
        <row r="219">
          <cell r="B219" t="str">
            <v>CDU4_RES_YLD</v>
          </cell>
          <cell r="C219" t="str">
            <v>CDU4 RESIDUE YIELD(VOL%)</v>
          </cell>
          <cell r="D219">
            <v>100</v>
          </cell>
          <cell r="E219">
            <v>0</v>
          </cell>
          <cell r="F219" t="str">
            <v>VOL%</v>
          </cell>
        </row>
        <row r="220">
          <cell r="B220" t="str">
            <v>CZ1001</v>
          </cell>
          <cell r="C220" t="str">
            <v>THRUPUT CDU4 (EV)</v>
          </cell>
          <cell r="D220">
            <v>125</v>
          </cell>
          <cell r="E220">
            <v>0</v>
          </cell>
          <cell r="F220" t="str">
            <v>PCT</v>
          </cell>
        </row>
        <row r="221">
          <cell r="B221" t="str">
            <v>FICZ1024_L2</v>
          </cell>
          <cell r="C221" t="str">
            <v>LVL2 TAG FOR OVER-VIEW DISPLAY</v>
          </cell>
          <cell r="D221">
            <v>171.4</v>
          </cell>
          <cell r="E221">
            <v>0</v>
          </cell>
          <cell r="F221" t="str">
            <v>M3/H</v>
          </cell>
        </row>
        <row r="222">
          <cell r="B222" t="str">
            <v>FICZ1085_L2</v>
          </cell>
          <cell r="C222" t="str">
            <v>LVL2 TAG FOR OVER-VIEW DISPLAY</v>
          </cell>
          <cell r="D222">
            <v>401</v>
          </cell>
          <cell r="E222">
            <v>0</v>
          </cell>
          <cell r="F222" t="str">
            <v>M3/H</v>
          </cell>
        </row>
        <row r="223">
          <cell r="B223" t="str">
            <v>FITZ1003</v>
          </cell>
          <cell r="C223" t="str">
            <v>CRUDE FEED</v>
          </cell>
          <cell r="D223">
            <v>1812</v>
          </cell>
          <cell r="E223">
            <v>0</v>
          </cell>
          <cell r="F223" t="str">
            <v>M3/H</v>
          </cell>
        </row>
        <row r="224">
          <cell r="B224" t="str">
            <v>FITZ1003_L2</v>
          </cell>
          <cell r="C224" t="str">
            <v>LVL2 TAG FOR OVER-VIEW DISPLAY</v>
          </cell>
          <cell r="D224">
            <v>1812</v>
          </cell>
          <cell r="E224">
            <v>0</v>
          </cell>
          <cell r="F224" t="str">
            <v>M3/H</v>
          </cell>
        </row>
        <row r="225">
          <cell r="B225" t="str">
            <v>FIVZ1085B</v>
          </cell>
          <cell r="C225" t="str">
            <v>LGO TO TANK SIGN.</v>
          </cell>
          <cell r="D225">
            <v>100</v>
          </cell>
          <cell r="E225">
            <v>0</v>
          </cell>
          <cell r="F225" t="str">
            <v>%</v>
          </cell>
        </row>
        <row r="226">
          <cell r="B226" t="str">
            <v>FIZ1024</v>
          </cell>
          <cell r="C226" t="str">
            <v>HGO RUNDOWN</v>
          </cell>
          <cell r="D226">
            <v>171.4</v>
          </cell>
          <cell r="E226">
            <v>0</v>
          </cell>
          <cell r="F226" t="str">
            <v>M3/H</v>
          </cell>
        </row>
        <row r="227">
          <cell r="B227" t="str">
            <v>FIZ1032</v>
          </cell>
          <cell r="C227" t="str">
            <v>CDU HEATER HZ2101 PASS 1</v>
          </cell>
          <cell r="D227">
            <v>313</v>
          </cell>
          <cell r="E227">
            <v>0</v>
          </cell>
          <cell r="F227" t="str">
            <v>M3/H</v>
          </cell>
        </row>
        <row r="228">
          <cell r="B228" t="str">
            <v>FIZ1032_R</v>
          </cell>
          <cell r="C228" t="str">
            <v>CDU HEATER HZ2101 PASS 1 (RAW)</v>
          </cell>
          <cell r="D228">
            <v>313</v>
          </cell>
          <cell r="E228">
            <v>0</v>
          </cell>
          <cell r="F228" t="str">
            <v>M3/H</v>
          </cell>
        </row>
        <row r="229">
          <cell r="B229" t="str">
            <v>FIZ1033</v>
          </cell>
          <cell r="C229" t="str">
            <v>CDU HEATER HZ2101 PASS 2</v>
          </cell>
          <cell r="D229">
            <v>313</v>
          </cell>
          <cell r="E229">
            <v>0</v>
          </cell>
          <cell r="F229" t="str">
            <v>M3/H</v>
          </cell>
        </row>
        <row r="230">
          <cell r="B230" t="str">
            <v>FIZ1033_R</v>
          </cell>
          <cell r="C230" t="str">
            <v>CDU HEATER HZ2101 PASS 2 (RAW)</v>
          </cell>
          <cell r="D230">
            <v>313</v>
          </cell>
          <cell r="E230">
            <v>0</v>
          </cell>
          <cell r="F230" t="str">
            <v>M3/H</v>
          </cell>
        </row>
        <row r="231">
          <cell r="B231" t="str">
            <v>FIZ1034</v>
          </cell>
          <cell r="C231" t="str">
            <v>CDU HEATER HZ2101 PASS 3</v>
          </cell>
          <cell r="D231">
            <v>313</v>
          </cell>
          <cell r="E231">
            <v>0</v>
          </cell>
          <cell r="F231" t="str">
            <v>M3/H</v>
          </cell>
        </row>
        <row r="232">
          <cell r="B232" t="str">
            <v>FIZ1034_R</v>
          </cell>
          <cell r="C232" t="str">
            <v>CDU HEATER HZ2101 PASS 3 (RAW)</v>
          </cell>
          <cell r="D232">
            <v>313</v>
          </cell>
          <cell r="E232">
            <v>0</v>
          </cell>
          <cell r="F232" t="str">
            <v>M3/H</v>
          </cell>
        </row>
        <row r="233">
          <cell r="B233" t="str">
            <v>FIZ1035</v>
          </cell>
          <cell r="C233" t="str">
            <v>CDU HEATER HZ2101 PASS 4</v>
          </cell>
          <cell r="D233">
            <v>313</v>
          </cell>
          <cell r="E233">
            <v>0</v>
          </cell>
          <cell r="F233" t="str">
            <v>M3/H</v>
          </cell>
        </row>
        <row r="234">
          <cell r="B234" t="str">
            <v>FIZ1035_R</v>
          </cell>
          <cell r="C234" t="str">
            <v>CDU HEATER HZ2101 PASS 4 (RAW)</v>
          </cell>
          <cell r="D234">
            <v>313</v>
          </cell>
          <cell r="E234">
            <v>0</v>
          </cell>
          <cell r="F234" t="str">
            <v>M3/H</v>
          </cell>
        </row>
        <row r="235">
          <cell r="B235" t="str">
            <v>FIZ1036</v>
          </cell>
          <cell r="C235" t="str">
            <v>CDU HEATER HZ2101 PASS 5</v>
          </cell>
          <cell r="D235">
            <v>313</v>
          </cell>
          <cell r="E235">
            <v>0</v>
          </cell>
          <cell r="F235" t="str">
            <v>M3/H</v>
          </cell>
        </row>
        <row r="236">
          <cell r="B236" t="str">
            <v>FIZ1036_R</v>
          </cell>
          <cell r="C236" t="str">
            <v>CDU HEATER HZ2101 PASS 5 (RAW)</v>
          </cell>
          <cell r="D236">
            <v>313</v>
          </cell>
          <cell r="E236">
            <v>0</v>
          </cell>
          <cell r="F236" t="str">
            <v>M3/H</v>
          </cell>
        </row>
        <row r="237">
          <cell r="B237" t="str">
            <v>FIZ1037</v>
          </cell>
          <cell r="C237" t="str">
            <v>CDU HEATER HZ2101 PASS 6</v>
          </cell>
          <cell r="D237">
            <v>313</v>
          </cell>
          <cell r="E237">
            <v>0</v>
          </cell>
          <cell r="F237" t="str">
            <v>M3/H</v>
          </cell>
        </row>
        <row r="238">
          <cell r="B238" t="str">
            <v>FIZ1037_R</v>
          </cell>
          <cell r="C238" t="str">
            <v>CDU HEATER HZ2101 PASS 6 (RAW)</v>
          </cell>
          <cell r="D238">
            <v>313</v>
          </cell>
          <cell r="E238">
            <v>0</v>
          </cell>
          <cell r="F238" t="str">
            <v>M3/H</v>
          </cell>
        </row>
        <row r="239">
          <cell r="B239" t="str">
            <v>FIZ1038</v>
          </cell>
          <cell r="C239" t="str">
            <v>CDU HEATER HZ2101 PASS 7</v>
          </cell>
          <cell r="D239">
            <v>313</v>
          </cell>
          <cell r="E239">
            <v>0</v>
          </cell>
          <cell r="F239" t="str">
            <v>M3/H</v>
          </cell>
        </row>
        <row r="240">
          <cell r="B240" t="str">
            <v>FIZ1038_R</v>
          </cell>
          <cell r="C240" t="str">
            <v>CDU HEATER HZ2101 PASS 7 (RAW)</v>
          </cell>
          <cell r="D240">
            <v>313</v>
          </cell>
          <cell r="E240">
            <v>0</v>
          </cell>
          <cell r="F240" t="str">
            <v>M3/H</v>
          </cell>
        </row>
        <row r="241">
          <cell r="B241" t="str">
            <v>FIZ1039</v>
          </cell>
          <cell r="C241" t="str">
            <v>CDU HEATER HZ2101 PASS 8</v>
          </cell>
          <cell r="D241">
            <v>313</v>
          </cell>
          <cell r="E241">
            <v>0</v>
          </cell>
          <cell r="F241" t="str">
            <v>M3/H</v>
          </cell>
        </row>
        <row r="242">
          <cell r="B242" t="str">
            <v>FIZ1039_R</v>
          </cell>
          <cell r="C242" t="str">
            <v>CDU HEATER HZ2101 PASS 8 (RAW)</v>
          </cell>
          <cell r="D242">
            <v>313</v>
          </cell>
          <cell r="E242">
            <v>0</v>
          </cell>
          <cell r="F242" t="str">
            <v>M3/H</v>
          </cell>
        </row>
        <row r="243">
          <cell r="B243" t="str">
            <v>FIZ1061</v>
          </cell>
          <cell r="C243" t="str">
            <v>CDU4 CRUDE O/H OFFGAS TO HZ2201</v>
          </cell>
          <cell r="D243">
            <v>2116</v>
          </cell>
          <cell r="E243">
            <v>0</v>
          </cell>
          <cell r="F243" t="str">
            <v>NM3/H</v>
          </cell>
        </row>
        <row r="244">
          <cell r="B244" t="str">
            <v>FIZ1070</v>
          </cell>
          <cell r="C244" t="str">
            <v>STRIP STEAM TO T2102 LGO STRP</v>
          </cell>
          <cell r="D244">
            <v>7.08</v>
          </cell>
          <cell r="E244">
            <v>0</v>
          </cell>
          <cell r="F244" t="str">
            <v>T/H</v>
          </cell>
        </row>
        <row r="245">
          <cell r="B245" t="str">
            <v>FIZ1071</v>
          </cell>
          <cell r="C245" t="str">
            <v>STRIP STEAM TO T2103 HGO STRP</v>
          </cell>
          <cell r="D245">
            <v>2.13</v>
          </cell>
          <cell r="E245">
            <v>0</v>
          </cell>
          <cell r="F245" t="str">
            <v>T/H</v>
          </cell>
        </row>
        <row r="246">
          <cell r="B246" t="str">
            <v>FIZ1074</v>
          </cell>
          <cell r="C246" t="str">
            <v>TOTAL CRUDE FEED</v>
          </cell>
          <cell r="D246">
            <v>1839</v>
          </cell>
          <cell r="E246">
            <v>0</v>
          </cell>
          <cell r="F246" t="str">
            <v>M3/H</v>
          </cell>
        </row>
        <row r="247">
          <cell r="B247" t="str">
            <v>FIZ1085</v>
          </cell>
          <cell r="C247" t="str">
            <v>LGO RUNDOWN</v>
          </cell>
          <cell r="D247">
            <v>401</v>
          </cell>
          <cell r="E247">
            <v>0</v>
          </cell>
          <cell r="F247" t="str">
            <v>M3/H</v>
          </cell>
        </row>
        <row r="248">
          <cell r="B248" t="str">
            <v>LDZ1007</v>
          </cell>
          <cell r="C248" t="str">
            <v>CDU OVERHEAD DRUM</v>
          </cell>
          <cell r="D248">
            <v>100</v>
          </cell>
          <cell r="E248">
            <v>0</v>
          </cell>
          <cell r="F248" t="str">
            <v>PCT</v>
          </cell>
        </row>
        <row r="249">
          <cell r="B249" t="str">
            <v>LDZ1019</v>
          </cell>
          <cell r="C249" t="str">
            <v>LGO DRIER TZ2104</v>
          </cell>
          <cell r="D249">
            <v>100</v>
          </cell>
          <cell r="E249">
            <v>0</v>
          </cell>
          <cell r="F249" t="str">
            <v>PCT</v>
          </cell>
        </row>
        <row r="250">
          <cell r="B250" t="str">
            <v>LIZ1007</v>
          </cell>
          <cell r="C250" t="str">
            <v>CDU OVERHEAD DRUM</v>
          </cell>
          <cell r="D250">
            <v>100</v>
          </cell>
          <cell r="E250">
            <v>0</v>
          </cell>
          <cell r="F250" t="str">
            <v>PCT</v>
          </cell>
        </row>
        <row r="251">
          <cell r="B251" t="str">
            <v>LIZ1007A</v>
          </cell>
          <cell r="C251" t="str">
            <v>CDU OVERHEAD DRUM</v>
          </cell>
          <cell r="D251">
            <v>100</v>
          </cell>
          <cell r="E251">
            <v>0</v>
          </cell>
          <cell r="F251" t="str">
            <v>PCT</v>
          </cell>
        </row>
        <row r="252">
          <cell r="B252" t="str">
            <v>LIZ1007B</v>
          </cell>
          <cell r="C252" t="str">
            <v>CDU OVERHEAD DRUM</v>
          </cell>
          <cell r="D252">
            <v>100</v>
          </cell>
          <cell r="E252">
            <v>0</v>
          </cell>
          <cell r="F252" t="str">
            <v>PCT</v>
          </cell>
        </row>
        <row r="253">
          <cell r="B253" t="str">
            <v>LIZ1019</v>
          </cell>
          <cell r="C253" t="str">
            <v>LGO DRIER TZ2104</v>
          </cell>
          <cell r="D253">
            <v>100</v>
          </cell>
          <cell r="E253">
            <v>0</v>
          </cell>
          <cell r="F253" t="str">
            <v>PCT</v>
          </cell>
        </row>
        <row r="254">
          <cell r="B254" t="str">
            <v>LIZ1019A</v>
          </cell>
          <cell r="C254" t="str">
            <v>LGO DRIER TZ2104</v>
          </cell>
          <cell r="D254">
            <v>100</v>
          </cell>
          <cell r="E254">
            <v>0</v>
          </cell>
          <cell r="F254" t="str">
            <v>PCT</v>
          </cell>
        </row>
        <row r="255">
          <cell r="B255" t="str">
            <v>LIZ1019B</v>
          </cell>
          <cell r="C255" t="str">
            <v>LGO DRIER TZ2104</v>
          </cell>
          <cell r="D255">
            <v>100</v>
          </cell>
          <cell r="E255">
            <v>0</v>
          </cell>
          <cell r="F255" t="str">
            <v>PCT</v>
          </cell>
        </row>
        <row r="256">
          <cell r="B256" t="str">
            <v>PASSZBAL</v>
          </cell>
          <cell r="C256" t="str">
            <v>HZ2101 PASS DIFF FLOW IN PERCT</v>
          </cell>
          <cell r="D256">
            <v>100</v>
          </cell>
          <cell r="E256">
            <v>0</v>
          </cell>
          <cell r="F256" t="str">
            <v>PERCT</v>
          </cell>
        </row>
        <row r="257">
          <cell r="B257" t="str">
            <v>PASSZBIAS</v>
          </cell>
          <cell r="C257" t="str">
            <v>PASS FLOW BIAS CALC</v>
          </cell>
          <cell r="D257">
            <v>127</v>
          </cell>
          <cell r="E257">
            <v>-127</v>
          </cell>
          <cell r="F257" t="str">
            <v>BIAS</v>
          </cell>
        </row>
        <row r="258">
          <cell r="B258" t="str">
            <v>PASSZFLOW_R</v>
          </cell>
          <cell r="C258" t="str">
            <v>CDU HEATER HZ2101 FLOW (RAW)</v>
          </cell>
          <cell r="D258">
            <v>2504</v>
          </cell>
          <cell r="E258">
            <v>0</v>
          </cell>
          <cell r="F258" t="str">
            <v>M3/H</v>
          </cell>
        </row>
        <row r="259">
          <cell r="B259" t="str">
            <v>PASSZKFACT</v>
          </cell>
          <cell r="C259" t="str">
            <v>CDU HEATER H2101 KFACT (CALC)</v>
          </cell>
          <cell r="D259">
            <v>1.5</v>
          </cell>
          <cell r="E259">
            <v>0.65</v>
          </cell>
          <cell r="F259" t="str">
            <v>KFACT</v>
          </cell>
        </row>
        <row r="260">
          <cell r="B260" t="str">
            <v>PIZ1003</v>
          </cell>
          <cell r="C260" t="str">
            <v>CDU TOWER OVERH. DRUM</v>
          </cell>
          <cell r="D260">
            <v>3</v>
          </cell>
          <cell r="E260">
            <v>0</v>
          </cell>
          <cell r="F260" t="str">
            <v>BARG</v>
          </cell>
        </row>
        <row r="261">
          <cell r="B261" t="str">
            <v>PIZ1010</v>
          </cell>
          <cell r="C261" t="str">
            <v>LGO DRIER</v>
          </cell>
          <cell r="D261">
            <v>1020</v>
          </cell>
          <cell r="E261">
            <v>0</v>
          </cell>
          <cell r="F261" t="str">
            <v>MBARA</v>
          </cell>
        </row>
        <row r="262">
          <cell r="B262" t="str">
            <v>PVIZ3010B</v>
          </cell>
          <cell r="C262" t="str">
            <v>OUTPUT FROM 0-50% FROM PICZ3010</v>
          </cell>
          <cell r="D262">
            <v>100</v>
          </cell>
          <cell r="E262">
            <v>0</v>
          </cell>
          <cell r="F262" t="str">
            <v>%</v>
          </cell>
        </row>
        <row r="263">
          <cell r="B263" t="str">
            <v>PVZ1003</v>
          </cell>
          <cell r="C263" t="str">
            <v>CDU4 TOWER OVHD</v>
          </cell>
          <cell r="D263">
            <v>100</v>
          </cell>
          <cell r="E263">
            <v>0</v>
          </cell>
          <cell r="F263" t="str">
            <v>%</v>
          </cell>
        </row>
        <row r="264">
          <cell r="B264" t="str">
            <v>TIIZ1009</v>
          </cell>
          <cell r="C264" t="str">
            <v>HGO TO DRIER</v>
          </cell>
          <cell r="D264">
            <v>624</v>
          </cell>
          <cell r="E264">
            <v>-19</v>
          </cell>
          <cell r="F264" t="str">
            <v>DEGC</v>
          </cell>
        </row>
        <row r="265">
          <cell r="B265" t="str">
            <v>TIIZ1010</v>
          </cell>
          <cell r="C265" t="str">
            <v>LGO TO DRIER</v>
          </cell>
          <cell r="D265">
            <v>624</v>
          </cell>
          <cell r="E265">
            <v>-19</v>
          </cell>
          <cell r="F265" t="str">
            <v>DEGC</v>
          </cell>
        </row>
        <row r="266">
          <cell r="B266" t="str">
            <v>LDZ1005</v>
          </cell>
          <cell r="C266" t="str">
            <v>WATERINJECTIE DRUM DZ2104</v>
          </cell>
          <cell r="D266">
            <v>100</v>
          </cell>
          <cell r="E266">
            <v>0</v>
          </cell>
          <cell r="F266" t="str">
            <v>%</v>
          </cell>
        </row>
        <row r="267">
          <cell r="B267" t="str">
            <v>LIZ1005</v>
          </cell>
          <cell r="C267" t="str">
            <v>WATERINJECTIE DRUM DZ2104</v>
          </cell>
          <cell r="D267">
            <v>100</v>
          </cell>
          <cell r="E267">
            <v>0</v>
          </cell>
          <cell r="F267" t="str">
            <v>PCT</v>
          </cell>
        </row>
        <row r="268">
          <cell r="B268" t="str">
            <v>LIZ1005A</v>
          </cell>
          <cell r="C268" t="str">
            <v>WATERINJECTIE DRUM DZ2104</v>
          </cell>
          <cell r="D268">
            <v>100</v>
          </cell>
          <cell r="E268">
            <v>0</v>
          </cell>
          <cell r="F268" t="str">
            <v>PCT</v>
          </cell>
        </row>
        <row r="269">
          <cell r="B269" t="str">
            <v>LIZ1005B</v>
          </cell>
          <cell r="C269" t="str">
            <v>WATERINJECTIE DRUM DZ2104</v>
          </cell>
          <cell r="D269">
            <v>100</v>
          </cell>
          <cell r="E269">
            <v>0</v>
          </cell>
          <cell r="F269" t="str">
            <v>PCT</v>
          </cell>
        </row>
        <row r="270">
          <cell r="B270" t="str">
            <v>FIZ_1087</v>
          </cell>
          <cell r="C270" t="str">
            <v>NEUTRALISED SPENT CAUSTIC</v>
          </cell>
          <cell r="D270">
            <v>5</v>
          </cell>
          <cell r="E270">
            <v>0</v>
          </cell>
          <cell r="F270" t="str">
            <v>M3/H</v>
          </cell>
        </row>
        <row r="271">
          <cell r="B271" t="str">
            <v>FIZ10100</v>
          </cell>
          <cell r="C271" t="str">
            <v>CAUSTIC INJECTION PZ2117A</v>
          </cell>
          <cell r="D271">
            <v>800</v>
          </cell>
          <cell r="E271">
            <v>0</v>
          </cell>
          <cell r="F271" t="str">
            <v>KG/H</v>
          </cell>
        </row>
        <row r="272">
          <cell r="B272" t="str">
            <v>PIZ10000</v>
          </cell>
          <cell r="C272" t="str">
            <v>DISULPHIDE OIL TO PZ2117S</v>
          </cell>
          <cell r="D272">
            <v>16</v>
          </cell>
          <cell r="E272">
            <v>0</v>
          </cell>
          <cell r="F272" t="str">
            <v>BAR</v>
          </cell>
        </row>
        <row r="273">
          <cell r="B273" t="str">
            <v>PIZ1051</v>
          </cell>
          <cell r="C273" t="str">
            <v>CDU4 KERO TO STORAGE</v>
          </cell>
          <cell r="D273">
            <v>10</v>
          </cell>
          <cell r="E273">
            <v>0</v>
          </cell>
          <cell r="F273" t="str">
            <v>BAR</v>
          </cell>
        </row>
        <row r="274">
          <cell r="B274" t="str">
            <v>AIZ1018A</v>
          </cell>
          <cell r="C274" t="str">
            <v>O2 FLUE GAS BURNERCELL 3</v>
          </cell>
          <cell r="D274">
            <v>25</v>
          </cell>
          <cell r="E274">
            <v>0</v>
          </cell>
          <cell r="F274" t="str">
            <v>VOL%</v>
          </cell>
        </row>
        <row r="275">
          <cell r="B275" t="str">
            <v>AIZ1018B</v>
          </cell>
          <cell r="C275" t="str">
            <v>COMBUSTIBLE FLUE GAS CELL 3</v>
          </cell>
          <cell r="D275">
            <v>2000</v>
          </cell>
          <cell r="E275">
            <v>0</v>
          </cell>
          <cell r="F275" t="str">
            <v>PPM</v>
          </cell>
        </row>
        <row r="276">
          <cell r="B276" t="str">
            <v>AIZ1019A</v>
          </cell>
          <cell r="C276" t="str">
            <v>O2 FLUE GAS BURNERCELL 5</v>
          </cell>
          <cell r="D276">
            <v>25</v>
          </cell>
          <cell r="E276">
            <v>0</v>
          </cell>
          <cell r="F276" t="str">
            <v>VOL%</v>
          </cell>
        </row>
        <row r="277">
          <cell r="B277" t="str">
            <v>AIZ1019B</v>
          </cell>
          <cell r="C277" t="str">
            <v>COMBUSTIBLE FLUE GAS CELL 5</v>
          </cell>
          <cell r="D277">
            <v>2000</v>
          </cell>
          <cell r="E277">
            <v>0</v>
          </cell>
          <cell r="F277" t="str">
            <v>PPM</v>
          </cell>
        </row>
        <row r="278">
          <cell r="B278" t="str">
            <v>AIZ1020A</v>
          </cell>
          <cell r="C278" t="str">
            <v>O2 FLUE GAS BURNERCELL 6</v>
          </cell>
          <cell r="D278">
            <v>25</v>
          </cell>
          <cell r="E278">
            <v>0</v>
          </cell>
          <cell r="F278" t="str">
            <v>VOL%</v>
          </cell>
        </row>
        <row r="279">
          <cell r="B279" t="str">
            <v>AIZ1020B</v>
          </cell>
          <cell r="C279" t="str">
            <v>COMBUSTIBLE FLUE GAS CELL 6</v>
          </cell>
          <cell r="D279">
            <v>2000</v>
          </cell>
          <cell r="E279">
            <v>0</v>
          </cell>
          <cell r="F279" t="str">
            <v>PPM</v>
          </cell>
        </row>
        <row r="280">
          <cell r="B280" t="str">
            <v>AIZ1021A</v>
          </cell>
          <cell r="C280" t="str">
            <v>O2 FLUE GAS BURNERCELL 7</v>
          </cell>
          <cell r="D280">
            <v>25</v>
          </cell>
          <cell r="E280">
            <v>0</v>
          </cell>
          <cell r="F280" t="str">
            <v>VOL%</v>
          </cell>
        </row>
        <row r="281">
          <cell r="B281" t="str">
            <v>AIZ1021B</v>
          </cell>
          <cell r="C281" t="str">
            <v>COMBUSTIBLE FLUE GAS CELL 7</v>
          </cell>
          <cell r="D281">
            <v>2000</v>
          </cell>
          <cell r="E281">
            <v>0</v>
          </cell>
          <cell r="F281" t="str">
            <v>PPM</v>
          </cell>
        </row>
        <row r="282">
          <cell r="B282" t="str">
            <v>AIZ1022A</v>
          </cell>
          <cell r="C282" t="str">
            <v>O2 FLUE GAS BURNERCELL 9</v>
          </cell>
          <cell r="D282">
            <v>25</v>
          </cell>
          <cell r="E282">
            <v>0</v>
          </cell>
          <cell r="F282" t="str">
            <v>VOL%</v>
          </cell>
        </row>
        <row r="283">
          <cell r="B283" t="str">
            <v>AIZ1022B</v>
          </cell>
          <cell r="C283" t="str">
            <v>COMBUSTIBLE FLUE GAS CELL 9</v>
          </cell>
          <cell r="D283">
            <v>2000</v>
          </cell>
          <cell r="E283">
            <v>0</v>
          </cell>
          <cell r="F283" t="str">
            <v>PPM</v>
          </cell>
        </row>
        <row r="284">
          <cell r="B284" t="str">
            <v>PIZ10101</v>
          </cell>
          <cell r="C284" t="str">
            <v>CDU HEATER PASS 1 INLET</v>
          </cell>
          <cell r="D284">
            <v>30</v>
          </cell>
          <cell r="E284">
            <v>0</v>
          </cell>
          <cell r="F284" t="str">
            <v>BAR</v>
          </cell>
        </row>
        <row r="285">
          <cell r="B285" t="str">
            <v>PIZ10102</v>
          </cell>
          <cell r="C285" t="str">
            <v>CDU HEATER PASS 2 INLET</v>
          </cell>
          <cell r="D285">
            <v>30</v>
          </cell>
          <cell r="E285">
            <v>0</v>
          </cell>
          <cell r="F285" t="str">
            <v>BAR</v>
          </cell>
        </row>
        <row r="286">
          <cell r="B286" t="str">
            <v>PIZ10103</v>
          </cell>
          <cell r="C286" t="str">
            <v>CDU HEATER PASS 3 INLET</v>
          </cell>
          <cell r="D286">
            <v>30</v>
          </cell>
          <cell r="E286">
            <v>0</v>
          </cell>
          <cell r="F286" t="str">
            <v>BAR</v>
          </cell>
        </row>
        <row r="287">
          <cell r="B287" t="str">
            <v>PIZ10104</v>
          </cell>
          <cell r="C287" t="str">
            <v>CDU HEATER PASS 4 INLET</v>
          </cell>
          <cell r="D287">
            <v>30</v>
          </cell>
          <cell r="E287">
            <v>0</v>
          </cell>
          <cell r="F287" t="str">
            <v>BAR</v>
          </cell>
        </row>
        <row r="288">
          <cell r="B288" t="str">
            <v>PIZ10105</v>
          </cell>
          <cell r="C288" t="str">
            <v>CDU HEATER PASS 5 INLET</v>
          </cell>
          <cell r="D288">
            <v>30</v>
          </cell>
          <cell r="E288">
            <v>0</v>
          </cell>
          <cell r="F288" t="str">
            <v>BAR</v>
          </cell>
        </row>
        <row r="289">
          <cell r="B289" t="str">
            <v>PIZ10106</v>
          </cell>
          <cell r="C289" t="str">
            <v>CDU HEATER PASS 6 INLET</v>
          </cell>
          <cell r="D289">
            <v>30</v>
          </cell>
          <cell r="E289">
            <v>0</v>
          </cell>
          <cell r="F289" t="str">
            <v>BAR</v>
          </cell>
        </row>
        <row r="290">
          <cell r="B290" t="str">
            <v>PIZ10107</v>
          </cell>
          <cell r="C290" t="str">
            <v>CDU HEATER PASS 7 INLET</v>
          </cell>
          <cell r="D290">
            <v>30</v>
          </cell>
          <cell r="E290">
            <v>0</v>
          </cell>
          <cell r="F290" t="str">
            <v>BAR</v>
          </cell>
        </row>
        <row r="291">
          <cell r="B291" t="str">
            <v>PIZ10108</v>
          </cell>
          <cell r="C291" t="str">
            <v>CDU HEATER PASS 8 INLET</v>
          </cell>
          <cell r="D291">
            <v>30</v>
          </cell>
          <cell r="E291">
            <v>0</v>
          </cell>
          <cell r="F291" t="str">
            <v>BAR</v>
          </cell>
        </row>
        <row r="292">
          <cell r="B292" t="str">
            <v>TIZ10101</v>
          </cell>
          <cell r="C292" t="str">
            <v>CDU HEATER PASS 1 INTERMEDIATE</v>
          </cell>
          <cell r="D292">
            <v>400</v>
          </cell>
          <cell r="E292">
            <v>0</v>
          </cell>
          <cell r="F292" t="str">
            <v>DEGC</v>
          </cell>
        </row>
        <row r="293">
          <cell r="B293" t="str">
            <v>TIZ10102</v>
          </cell>
          <cell r="C293" t="str">
            <v>CDU HEATER PASS 2 INTERMEDIATE</v>
          </cell>
          <cell r="D293">
            <v>400</v>
          </cell>
          <cell r="E293">
            <v>0</v>
          </cell>
          <cell r="F293" t="str">
            <v>DEGC</v>
          </cell>
        </row>
        <row r="294">
          <cell r="B294" t="str">
            <v>TIZ10103</v>
          </cell>
          <cell r="C294" t="str">
            <v>CDU HEATER PASS 3 INTERMEDIATE</v>
          </cell>
          <cell r="D294">
            <v>400</v>
          </cell>
          <cell r="E294">
            <v>0</v>
          </cell>
          <cell r="F294" t="str">
            <v>DEGC</v>
          </cell>
        </row>
        <row r="295">
          <cell r="B295" t="str">
            <v>TIZ10104</v>
          </cell>
          <cell r="C295" t="str">
            <v>CDU HEATER PASS 4 INTERMEDIATE</v>
          </cell>
          <cell r="D295">
            <v>400</v>
          </cell>
          <cell r="E295">
            <v>0</v>
          </cell>
          <cell r="F295" t="str">
            <v>DEGC</v>
          </cell>
        </row>
        <row r="296">
          <cell r="B296" t="str">
            <v>TIZ10105</v>
          </cell>
          <cell r="C296" t="str">
            <v>CDU HEATER PASS 5 INTERMEDIATE</v>
          </cell>
          <cell r="D296">
            <v>400</v>
          </cell>
          <cell r="E296">
            <v>0</v>
          </cell>
          <cell r="F296" t="str">
            <v>DEGC</v>
          </cell>
        </row>
        <row r="297">
          <cell r="B297" t="str">
            <v>TIZ10106</v>
          </cell>
          <cell r="C297" t="str">
            <v>CDU HEATER PASS 6 INTERMEDIATE</v>
          </cell>
          <cell r="D297">
            <v>400</v>
          </cell>
          <cell r="E297">
            <v>0</v>
          </cell>
          <cell r="F297" t="str">
            <v>DEGC</v>
          </cell>
        </row>
        <row r="298">
          <cell r="B298" t="str">
            <v>TIZ10107</v>
          </cell>
          <cell r="C298" t="str">
            <v>CDU HEATER PASS 7 INTERMEDIATE</v>
          </cell>
          <cell r="D298">
            <v>400</v>
          </cell>
          <cell r="E298">
            <v>0</v>
          </cell>
          <cell r="F298" t="str">
            <v>DEGC</v>
          </cell>
        </row>
        <row r="299">
          <cell r="B299" t="str">
            <v>TIZ10108</v>
          </cell>
          <cell r="C299" t="str">
            <v>CDU HEATER PASS 8 INTERMEDIATE</v>
          </cell>
          <cell r="D299">
            <v>400</v>
          </cell>
          <cell r="E299">
            <v>0</v>
          </cell>
          <cell r="F299" t="str">
            <v>DEGC</v>
          </cell>
        </row>
        <row r="300">
          <cell r="B300" t="str">
            <v>TIZ10109</v>
          </cell>
          <cell r="C300" t="str">
            <v>CDU HEATER PASS 3 RADIATION SKIN</v>
          </cell>
          <cell r="D300">
            <v>750</v>
          </cell>
          <cell r="E300">
            <v>0</v>
          </cell>
          <cell r="F300" t="str">
            <v>DEGC</v>
          </cell>
        </row>
        <row r="301">
          <cell r="B301" t="str">
            <v>TIZ10110</v>
          </cell>
          <cell r="C301" t="str">
            <v>CDU HEATER PASS 3 RADIATION SKIN</v>
          </cell>
          <cell r="D301">
            <v>750</v>
          </cell>
          <cell r="E301">
            <v>0</v>
          </cell>
          <cell r="F301" t="str">
            <v>DEGC</v>
          </cell>
        </row>
        <row r="302">
          <cell r="B302" t="str">
            <v>TIZ10111</v>
          </cell>
          <cell r="C302" t="str">
            <v>CDU HEATER PASS 8 RADIATION SKIN</v>
          </cell>
          <cell r="D302">
            <v>750</v>
          </cell>
          <cell r="E302">
            <v>0</v>
          </cell>
          <cell r="F302" t="str">
            <v>DEGC</v>
          </cell>
        </row>
        <row r="303">
          <cell r="B303" t="str">
            <v>TIZ10112</v>
          </cell>
          <cell r="C303" t="str">
            <v>CDU HEATER PASS 8 RADIATION SKIN</v>
          </cell>
          <cell r="D303">
            <v>750</v>
          </cell>
          <cell r="E303">
            <v>0</v>
          </cell>
          <cell r="F303" t="str">
            <v>DEGC</v>
          </cell>
        </row>
        <row r="304">
          <cell r="B304" t="str">
            <v>TIZ10113</v>
          </cell>
          <cell r="C304" t="str">
            <v>CDU HEATER FLUEGASCELL 3</v>
          </cell>
          <cell r="D304">
            <v>1200</v>
          </cell>
          <cell r="E304">
            <v>0</v>
          </cell>
          <cell r="F304" t="str">
            <v>DEGC</v>
          </cell>
        </row>
        <row r="305">
          <cell r="B305" t="str">
            <v>TIZ10114</v>
          </cell>
          <cell r="C305" t="str">
            <v>CDU HEATER FLUEGASCELL 5</v>
          </cell>
          <cell r="D305">
            <v>1200</v>
          </cell>
          <cell r="E305">
            <v>0</v>
          </cell>
          <cell r="F305" t="str">
            <v>DEGC</v>
          </cell>
        </row>
        <row r="306">
          <cell r="B306" t="str">
            <v>TIZ10115</v>
          </cell>
          <cell r="C306" t="str">
            <v>CDU HEATER FLUEGASCELL 6</v>
          </cell>
          <cell r="D306">
            <v>1200</v>
          </cell>
          <cell r="E306">
            <v>0</v>
          </cell>
          <cell r="F306" t="str">
            <v>DEGC</v>
          </cell>
        </row>
        <row r="307">
          <cell r="B307" t="str">
            <v>TIZ10116</v>
          </cell>
          <cell r="C307" t="str">
            <v>CDU HEATER FLUEGASCELL 7</v>
          </cell>
          <cell r="D307">
            <v>1200</v>
          </cell>
          <cell r="E307">
            <v>0</v>
          </cell>
          <cell r="F307" t="str">
            <v>DEGC</v>
          </cell>
        </row>
        <row r="308">
          <cell r="B308" t="str">
            <v>TIZ10117</v>
          </cell>
          <cell r="C308" t="str">
            <v>CDU HEATER FLUEGASCELL 9</v>
          </cell>
          <cell r="D308">
            <v>1200</v>
          </cell>
          <cell r="E308">
            <v>0</v>
          </cell>
          <cell r="F308" t="str">
            <v>DEGC</v>
          </cell>
        </row>
        <row r="309">
          <cell r="B309" t="str">
            <v>TIZ10118</v>
          </cell>
          <cell r="C309" t="str">
            <v>CDU HEATER PASS 3 OUTLET SKIN</v>
          </cell>
          <cell r="D309">
            <v>750</v>
          </cell>
          <cell r="E309">
            <v>0</v>
          </cell>
          <cell r="F309" t="str">
            <v>DEGC</v>
          </cell>
        </row>
        <row r="310">
          <cell r="B310" t="str">
            <v>TIZ10119</v>
          </cell>
          <cell r="C310" t="str">
            <v>CDU HEATER PASS 8 OUTLET SKIN</v>
          </cell>
          <cell r="D310">
            <v>750</v>
          </cell>
          <cell r="E310">
            <v>0</v>
          </cell>
          <cell r="F310" t="str">
            <v>DEGC</v>
          </cell>
        </row>
        <row r="311">
          <cell r="B311" t="str">
            <v>TIZ10120</v>
          </cell>
          <cell r="C311" t="str">
            <v>EZ2104A/B OUTLET FROM TPA</v>
          </cell>
          <cell r="D311">
            <v>650</v>
          </cell>
          <cell r="E311">
            <v>0</v>
          </cell>
          <cell r="F311" t="str">
            <v>DEGC</v>
          </cell>
        </row>
        <row r="312">
          <cell r="B312" t="str">
            <v>TIZ1021</v>
          </cell>
          <cell r="C312" t="str">
            <v>CRUDE OUTLET EZ2104A</v>
          </cell>
          <cell r="D312">
            <v>650</v>
          </cell>
          <cell r="E312">
            <v>0</v>
          </cell>
          <cell r="F312" t="str">
            <v>DEGC</v>
          </cell>
        </row>
        <row r="313">
          <cell r="B313" t="str">
            <v>TIZ1023</v>
          </cell>
          <cell r="C313" t="str">
            <v>CRUDE OUTLET EZ2104B</v>
          </cell>
          <cell r="D313">
            <v>650</v>
          </cell>
          <cell r="E313">
            <v>0</v>
          </cell>
          <cell r="F313" t="str">
            <v>DEGC</v>
          </cell>
        </row>
        <row r="314">
          <cell r="B314" t="str">
            <v>TIZ1026</v>
          </cell>
          <cell r="C314" t="str">
            <v>CRUDE OUTLET EZ2107A</v>
          </cell>
          <cell r="D314">
            <v>650</v>
          </cell>
          <cell r="E314">
            <v>0</v>
          </cell>
          <cell r="F314" t="str">
            <v>DEGC</v>
          </cell>
        </row>
        <row r="315">
          <cell r="B315" t="str">
            <v>TIZ1027</v>
          </cell>
          <cell r="C315" t="str">
            <v>CRUDE OUTLET EZ2108B</v>
          </cell>
          <cell r="D315">
            <v>650</v>
          </cell>
          <cell r="E315">
            <v>0</v>
          </cell>
          <cell r="F315" t="str">
            <v>DEGC</v>
          </cell>
        </row>
        <row r="316">
          <cell r="B316" t="str">
            <v>TIZ1035</v>
          </cell>
          <cell r="C316" t="str">
            <v>LGO FROM EZ2105</v>
          </cell>
          <cell r="D316">
            <v>650</v>
          </cell>
          <cell r="E316">
            <v>0</v>
          </cell>
          <cell r="F316" t="str">
            <v>DEGC</v>
          </cell>
        </row>
        <row r="317">
          <cell r="B317" t="str">
            <v>TIZ1068</v>
          </cell>
          <cell r="C317" t="str">
            <v>CRUDE OUTLET EZ2105</v>
          </cell>
          <cell r="D317">
            <v>650</v>
          </cell>
          <cell r="E317">
            <v>0</v>
          </cell>
          <cell r="F317" t="str">
            <v>DEGC</v>
          </cell>
        </row>
        <row r="318">
          <cell r="B318" t="str">
            <v>TIZ1074</v>
          </cell>
          <cell r="C318" t="str">
            <v>EZ2110B OUTLT FROM CRUDE</v>
          </cell>
          <cell r="D318">
            <v>650</v>
          </cell>
          <cell r="E318">
            <v>0</v>
          </cell>
          <cell r="F318" t="str">
            <v>DEGC</v>
          </cell>
        </row>
        <row r="319">
          <cell r="B319" t="str">
            <v>TIZ1077</v>
          </cell>
          <cell r="C319" t="str">
            <v>CRUDE OUTLET EZ2106</v>
          </cell>
          <cell r="D319">
            <v>650</v>
          </cell>
          <cell r="E319">
            <v>0</v>
          </cell>
          <cell r="F319" t="str">
            <v>DEGC</v>
          </cell>
        </row>
        <row r="320">
          <cell r="B320" t="str">
            <v>TIZ1078</v>
          </cell>
          <cell r="C320" t="str">
            <v>CRUDE OUTLET EZ2107B</v>
          </cell>
          <cell r="D320">
            <v>650</v>
          </cell>
          <cell r="E320">
            <v>0</v>
          </cell>
          <cell r="F320" t="str">
            <v>DEGC</v>
          </cell>
        </row>
        <row r="321">
          <cell r="B321" t="str">
            <v>TIZ1080</v>
          </cell>
          <cell r="C321" t="str">
            <v>CRUDE OUTLET EZ2108C</v>
          </cell>
          <cell r="D321">
            <v>650</v>
          </cell>
          <cell r="E321">
            <v>0</v>
          </cell>
          <cell r="F321" t="str">
            <v>DEGC</v>
          </cell>
        </row>
        <row r="322">
          <cell r="B322" t="str">
            <v>TIZ1083</v>
          </cell>
          <cell r="C322" t="str">
            <v>EZ2110D OUTLT FROM CRUDE</v>
          </cell>
          <cell r="D322">
            <v>650</v>
          </cell>
          <cell r="E322">
            <v>0</v>
          </cell>
          <cell r="F322" t="str">
            <v>DEGC</v>
          </cell>
        </row>
        <row r="323">
          <cell r="B323" t="str">
            <v>TIZ1089</v>
          </cell>
          <cell r="C323" t="str">
            <v>QUENCH TO BOTTOM RINGHEADER</v>
          </cell>
          <cell r="D323">
            <v>400</v>
          </cell>
          <cell r="E323">
            <v>0</v>
          </cell>
          <cell r="F323" t="str">
            <v>DEGC</v>
          </cell>
        </row>
        <row r="324">
          <cell r="B324" t="str">
            <v>TIZ1091</v>
          </cell>
          <cell r="C324" t="str">
            <v>CRUDE OUTLET EZ2104A</v>
          </cell>
          <cell r="D324">
            <v>650</v>
          </cell>
          <cell r="E324">
            <v>0</v>
          </cell>
          <cell r="F324" t="str">
            <v>DEGC</v>
          </cell>
        </row>
        <row r="325">
          <cell r="B325" t="str">
            <v>TIZ1092</v>
          </cell>
          <cell r="C325" t="str">
            <v>CRUDE OUTLET EZ2107A</v>
          </cell>
          <cell r="D325">
            <v>650</v>
          </cell>
          <cell r="E325">
            <v>0</v>
          </cell>
          <cell r="F325" t="str">
            <v>DEGC</v>
          </cell>
        </row>
        <row r="326">
          <cell r="B326" t="str">
            <v>TIZ1093</v>
          </cell>
          <cell r="C326" t="str">
            <v>CRUDE OUTLET EZ2108A</v>
          </cell>
          <cell r="D326">
            <v>650</v>
          </cell>
          <cell r="E326">
            <v>0</v>
          </cell>
          <cell r="F326" t="str">
            <v>DEGC</v>
          </cell>
        </row>
        <row r="327">
          <cell r="B327" t="str">
            <v>TIZ1094</v>
          </cell>
          <cell r="C327" t="str">
            <v>CRUDE OUTLET EZ2104B</v>
          </cell>
          <cell r="D327">
            <v>650</v>
          </cell>
          <cell r="E327">
            <v>0</v>
          </cell>
          <cell r="F327" t="str">
            <v>DEGC</v>
          </cell>
        </row>
        <row r="328">
          <cell r="B328" t="str">
            <v>FIZ10101</v>
          </cell>
          <cell r="C328" t="str">
            <v>WATER TO DESALTER C</v>
          </cell>
          <cell r="D328">
            <v>75</v>
          </cell>
          <cell r="E328">
            <v>0</v>
          </cell>
          <cell r="F328" t="str">
            <v>M3/H</v>
          </cell>
        </row>
        <row r="329">
          <cell r="B329" t="str">
            <v>LDAZ1044</v>
          </cell>
          <cell r="C329" t="str">
            <v>INTERFACE LEVEL DESALTER C</v>
          </cell>
          <cell r="D329">
            <v>100</v>
          </cell>
          <cell r="E329">
            <v>0</v>
          </cell>
          <cell r="F329" t="str">
            <v>%</v>
          </cell>
        </row>
        <row r="330">
          <cell r="B330" t="str">
            <v>LDZ1010</v>
          </cell>
          <cell r="C330" t="str">
            <v>CDU OVHD WTR BOOT DZ2103</v>
          </cell>
          <cell r="D330">
            <v>100</v>
          </cell>
          <cell r="E330">
            <v>0</v>
          </cell>
          <cell r="F330" t="str">
            <v>%</v>
          </cell>
        </row>
        <row r="331">
          <cell r="B331" t="str">
            <v>LDZ1018</v>
          </cell>
          <cell r="C331" t="str">
            <v>CDU TOWER BOTTOM LDA</v>
          </cell>
          <cell r="D331">
            <v>183.2</v>
          </cell>
          <cell r="E331">
            <v>0</v>
          </cell>
          <cell r="F331" t="str">
            <v>%</v>
          </cell>
        </row>
        <row r="332">
          <cell r="B332" t="str">
            <v>LDZ1048</v>
          </cell>
          <cell r="C332" t="str">
            <v>CDU OVHD LEVEL DIFALARM</v>
          </cell>
          <cell r="D332">
            <v>100</v>
          </cell>
          <cell r="E332">
            <v>0</v>
          </cell>
          <cell r="F332" t="str">
            <v>PCT</v>
          </cell>
        </row>
        <row r="333">
          <cell r="B333" t="str">
            <v>LIZ1010</v>
          </cell>
          <cell r="C333" t="str">
            <v>CDU OVHD WTR BOOT DZ2103</v>
          </cell>
          <cell r="D333">
            <v>100</v>
          </cell>
          <cell r="E333">
            <v>0</v>
          </cell>
          <cell r="F333" t="str">
            <v>PCT</v>
          </cell>
        </row>
        <row r="334">
          <cell r="B334" t="str">
            <v>LIZ1010A</v>
          </cell>
          <cell r="C334" t="str">
            <v>CDU OVHD WTR BOOT DZ2103</v>
          </cell>
          <cell r="D334">
            <v>100</v>
          </cell>
          <cell r="E334">
            <v>0</v>
          </cell>
          <cell r="F334" t="str">
            <v>PCT</v>
          </cell>
        </row>
        <row r="335">
          <cell r="B335" t="str">
            <v>LIZ1010B</v>
          </cell>
          <cell r="C335" t="str">
            <v>CDU OVHD WTR BOOT DZ2103</v>
          </cell>
          <cell r="D335">
            <v>100</v>
          </cell>
          <cell r="E335">
            <v>0</v>
          </cell>
          <cell r="F335" t="str">
            <v>PCT</v>
          </cell>
        </row>
        <row r="336">
          <cell r="B336" t="str">
            <v>LIZ1018</v>
          </cell>
          <cell r="C336" t="str">
            <v>CDU TOWER BOTTOM TZ2101</v>
          </cell>
          <cell r="D336">
            <v>183.2</v>
          </cell>
          <cell r="E336">
            <v>0</v>
          </cell>
          <cell r="F336" t="str">
            <v>%</v>
          </cell>
        </row>
        <row r="337">
          <cell r="B337" t="str">
            <v>LIZ1018A</v>
          </cell>
          <cell r="C337" t="str">
            <v>CDU TOWER BOTTOM</v>
          </cell>
          <cell r="D337">
            <v>183.2</v>
          </cell>
          <cell r="E337">
            <v>0</v>
          </cell>
          <cell r="F337" t="str">
            <v>PCT</v>
          </cell>
        </row>
        <row r="338">
          <cell r="B338" t="str">
            <v>LIZ1018B</v>
          </cell>
          <cell r="C338" t="str">
            <v>CDU TOWER BOTTOM</v>
          </cell>
          <cell r="D338">
            <v>183.2</v>
          </cell>
          <cell r="E338">
            <v>0</v>
          </cell>
          <cell r="F338" t="str">
            <v>PCT</v>
          </cell>
        </row>
        <row r="339">
          <cell r="B339" t="str">
            <v>LIZ1018C</v>
          </cell>
          <cell r="C339" t="str">
            <v>CDU TOWER BOTTOM</v>
          </cell>
          <cell r="D339">
            <v>183.2</v>
          </cell>
          <cell r="E339">
            <v>0</v>
          </cell>
          <cell r="F339" t="str">
            <v>PCT</v>
          </cell>
        </row>
        <row r="340">
          <cell r="B340" t="str">
            <v>LIZ1044</v>
          </cell>
          <cell r="C340" t="str">
            <v>INTERFACE LEVEL DZ2101C</v>
          </cell>
          <cell r="D340">
            <v>100</v>
          </cell>
          <cell r="E340">
            <v>0</v>
          </cell>
          <cell r="F340" t="str">
            <v>PCT</v>
          </cell>
        </row>
        <row r="341">
          <cell r="B341" t="str">
            <v>LIZ1044A</v>
          </cell>
          <cell r="C341" t="str">
            <v>DESALTER VESSEL C LEVEL A</v>
          </cell>
          <cell r="D341">
            <v>100</v>
          </cell>
          <cell r="E341">
            <v>0</v>
          </cell>
          <cell r="F341" t="str">
            <v>PCT</v>
          </cell>
        </row>
        <row r="342">
          <cell r="B342" t="str">
            <v>LIZ1044B</v>
          </cell>
          <cell r="C342" t="str">
            <v>DESALTER VESSEL C LEVEL B</v>
          </cell>
          <cell r="D342">
            <v>100</v>
          </cell>
          <cell r="E342">
            <v>0</v>
          </cell>
          <cell r="F342" t="str">
            <v>PCT</v>
          </cell>
        </row>
        <row r="343">
          <cell r="B343" t="str">
            <v>LIZ1048</v>
          </cell>
          <cell r="C343" t="str">
            <v>CDU OVHD DZ2102 HIGH</v>
          </cell>
          <cell r="D343">
            <v>100</v>
          </cell>
          <cell r="E343">
            <v>0</v>
          </cell>
          <cell r="F343" t="str">
            <v>PCT</v>
          </cell>
        </row>
        <row r="344">
          <cell r="B344" t="str">
            <v>LIZ1048A</v>
          </cell>
          <cell r="C344" t="str">
            <v>CDU OVHD DZ2102 HIGH</v>
          </cell>
          <cell r="D344">
            <v>100</v>
          </cell>
          <cell r="E344">
            <v>0</v>
          </cell>
          <cell r="F344" t="str">
            <v>PCT</v>
          </cell>
        </row>
        <row r="345">
          <cell r="B345" t="str">
            <v>LIZ1048B</v>
          </cell>
          <cell r="C345" t="str">
            <v>CDU OVHD DZ2102 HIGH</v>
          </cell>
          <cell r="D345">
            <v>100</v>
          </cell>
          <cell r="E345">
            <v>0</v>
          </cell>
          <cell r="F345" t="str">
            <v>PCT</v>
          </cell>
        </row>
        <row r="346">
          <cell r="B346" t="str">
            <v>LIZ1052</v>
          </cell>
          <cell r="C346" t="str">
            <v>DZ2179</v>
          </cell>
          <cell r="D346">
            <v>100</v>
          </cell>
          <cell r="E346">
            <v>0</v>
          </cell>
          <cell r="F346" t="str">
            <v>PCT</v>
          </cell>
        </row>
        <row r="347">
          <cell r="B347" t="str">
            <v>PDAZ10125</v>
          </cell>
          <cell r="C347" t="str">
            <v>HZ2101 PILOTGAS HEADER PRESS</v>
          </cell>
          <cell r="D347">
            <v>10</v>
          </cell>
          <cell r="E347">
            <v>0</v>
          </cell>
          <cell r="F347" t="str">
            <v>BARG</v>
          </cell>
        </row>
        <row r="348">
          <cell r="B348" t="str">
            <v>PDAZ10139</v>
          </cell>
          <cell r="C348" t="str">
            <v>HZ2101 FUELGAS HEADER PRESS</v>
          </cell>
          <cell r="D348">
            <v>10</v>
          </cell>
          <cell r="E348">
            <v>0</v>
          </cell>
          <cell r="F348" t="str">
            <v>BARG</v>
          </cell>
        </row>
        <row r="349">
          <cell r="B349" t="str">
            <v>PDAZ1027</v>
          </cell>
          <cell r="C349" t="str">
            <v>DELTA P MIXVALVE DESALTER A</v>
          </cell>
          <cell r="D349">
            <v>1</v>
          </cell>
          <cell r="E349">
            <v>0</v>
          </cell>
          <cell r="F349" t="str">
            <v>BARG</v>
          </cell>
        </row>
        <row r="350">
          <cell r="B350" t="str">
            <v>PDAZ1028</v>
          </cell>
          <cell r="C350" t="str">
            <v>DELTA P MIXVALVE DESALTER B</v>
          </cell>
          <cell r="D350">
            <v>1</v>
          </cell>
          <cell r="E350">
            <v>0</v>
          </cell>
          <cell r="F350" t="str">
            <v>BARG</v>
          </cell>
        </row>
        <row r="351">
          <cell r="B351" t="str">
            <v>PIAZ10121</v>
          </cell>
          <cell r="C351" t="str">
            <v>HZ2101 PILOT GAS AFTER FILTER</v>
          </cell>
          <cell r="D351">
            <v>10</v>
          </cell>
          <cell r="E351">
            <v>0</v>
          </cell>
          <cell r="F351" t="str">
            <v>BARG</v>
          </cell>
        </row>
        <row r="352">
          <cell r="B352" t="str">
            <v>PIAZ10125</v>
          </cell>
          <cell r="C352" t="str">
            <v>HZ2101 PILOTGAS HEADER PRESS</v>
          </cell>
          <cell r="D352">
            <v>10</v>
          </cell>
          <cell r="E352">
            <v>0</v>
          </cell>
          <cell r="F352" t="str">
            <v>BARG</v>
          </cell>
        </row>
        <row r="353">
          <cell r="B353" t="str">
            <v>PIAZ10127</v>
          </cell>
          <cell r="C353" t="str">
            <v>INSTRUMENT AIR TO PILOTS HZ2101</v>
          </cell>
          <cell r="D353">
            <v>10</v>
          </cell>
          <cell r="E353">
            <v>0</v>
          </cell>
          <cell r="F353" t="str">
            <v>BARG</v>
          </cell>
        </row>
        <row r="354">
          <cell r="B354" t="str">
            <v>PIAZ10130</v>
          </cell>
          <cell r="C354" t="str">
            <v>DESALTER DZ2101C PRESSURE</v>
          </cell>
          <cell r="D354">
            <v>16</v>
          </cell>
          <cell r="E354">
            <v>0</v>
          </cell>
          <cell r="F354" t="str">
            <v>BARG</v>
          </cell>
        </row>
        <row r="355">
          <cell r="B355" t="str">
            <v>PIAZ10139</v>
          </cell>
          <cell r="C355" t="str">
            <v>HZ2101 FUELGAS HEADER PRESS</v>
          </cell>
          <cell r="D355">
            <v>10</v>
          </cell>
          <cell r="E355">
            <v>0</v>
          </cell>
          <cell r="F355" t="str">
            <v>BARG</v>
          </cell>
        </row>
        <row r="356">
          <cell r="B356" t="str">
            <v>PIAZ10141</v>
          </cell>
          <cell r="C356" t="str">
            <v>SUCTION PRESSURE PZ-2102A/B/C</v>
          </cell>
          <cell r="D356">
            <v>16</v>
          </cell>
          <cell r="E356">
            <v>0</v>
          </cell>
          <cell r="F356" t="str">
            <v>BAR</v>
          </cell>
        </row>
        <row r="357">
          <cell r="B357" t="str">
            <v>PIZ10119</v>
          </cell>
          <cell r="C357" t="str">
            <v>DESALTER EFFLUENCEBACK PRESSURE</v>
          </cell>
          <cell r="D357">
            <v>12</v>
          </cell>
          <cell r="E357">
            <v>0</v>
          </cell>
          <cell r="F357" t="str">
            <v>BAR</v>
          </cell>
        </row>
        <row r="358">
          <cell r="B358" t="str">
            <v>PIZ10125A</v>
          </cell>
          <cell r="C358" t="str">
            <v>HZ2101 PILOTGAS HEADER PRES A</v>
          </cell>
          <cell r="D358">
            <v>10</v>
          </cell>
          <cell r="E358">
            <v>0</v>
          </cell>
          <cell r="F358" t="str">
            <v>BARG</v>
          </cell>
        </row>
        <row r="359">
          <cell r="B359" t="str">
            <v>PIZ10125B</v>
          </cell>
          <cell r="C359" t="str">
            <v>HZ2101 PILOTGAS HEADER PRES B</v>
          </cell>
          <cell r="D359">
            <v>10</v>
          </cell>
          <cell r="E359">
            <v>0</v>
          </cell>
          <cell r="F359" t="str">
            <v>BARG</v>
          </cell>
        </row>
        <row r="360">
          <cell r="B360" t="str">
            <v>PIZ10139A</v>
          </cell>
          <cell r="C360" t="str">
            <v>HZ2101 FUELGAS HEADER PRES A</v>
          </cell>
          <cell r="D360">
            <v>10</v>
          </cell>
          <cell r="E360">
            <v>0</v>
          </cell>
          <cell r="F360" t="str">
            <v>BARG</v>
          </cell>
        </row>
        <row r="361">
          <cell r="B361" t="str">
            <v>PIZ10139B</v>
          </cell>
          <cell r="C361" t="str">
            <v>HZ2101 FUELGAS HEADER PRES B</v>
          </cell>
          <cell r="D361">
            <v>10</v>
          </cell>
          <cell r="E361">
            <v>0</v>
          </cell>
          <cell r="F361" t="str">
            <v>BARG</v>
          </cell>
        </row>
        <row r="362">
          <cell r="B362" t="str">
            <v>PIZ10140A</v>
          </cell>
          <cell r="C362" t="str">
            <v>DESALTER C PRESSURE A</v>
          </cell>
          <cell r="D362">
            <v>100</v>
          </cell>
          <cell r="E362">
            <v>0</v>
          </cell>
          <cell r="F362" t="str">
            <v>BARG</v>
          </cell>
        </row>
        <row r="363">
          <cell r="B363" t="str">
            <v>PIZ10140B</v>
          </cell>
          <cell r="C363" t="str">
            <v>DESALTER C PRESSURE B</v>
          </cell>
          <cell r="D363">
            <v>100</v>
          </cell>
          <cell r="E363">
            <v>0</v>
          </cell>
          <cell r="F363" t="str">
            <v>BARG</v>
          </cell>
        </row>
        <row r="364">
          <cell r="B364" t="str">
            <v>PIZ10140C</v>
          </cell>
          <cell r="C364" t="str">
            <v>DESALTER C PRESSURE C</v>
          </cell>
          <cell r="D364">
            <v>100</v>
          </cell>
          <cell r="E364">
            <v>0</v>
          </cell>
          <cell r="F364" t="str">
            <v>BARG</v>
          </cell>
        </row>
        <row r="365">
          <cell r="B365" t="str">
            <v>TIZ1006</v>
          </cell>
          <cell r="C365" t="str">
            <v>OVERHEADS DZ2102 OUTLET TO DHT</v>
          </cell>
          <cell r="D365">
            <v>100</v>
          </cell>
          <cell r="E365">
            <v>0</v>
          </cell>
          <cell r="F365" t="str">
            <v>DEGC</v>
          </cell>
        </row>
        <row r="366">
          <cell r="B366" t="str">
            <v>TIZ10123</v>
          </cell>
          <cell r="C366" t="str">
            <v>DESALTER EFFLUENT TEMPERATUUR</v>
          </cell>
          <cell r="D366">
            <v>100</v>
          </cell>
          <cell r="E366">
            <v>0</v>
          </cell>
          <cell r="F366" t="str">
            <v>DEGC</v>
          </cell>
        </row>
        <row r="367">
          <cell r="B367" t="str">
            <v>TIZ10139</v>
          </cell>
          <cell r="C367" t="str">
            <v>CRUDE TO DESALTER DZ2121C</v>
          </cell>
          <cell r="D367">
            <v>180</v>
          </cell>
          <cell r="E367">
            <v>0</v>
          </cell>
          <cell r="F367" t="str">
            <v>DEGC</v>
          </cell>
        </row>
        <row r="368">
          <cell r="B368" t="str">
            <v>TIZ10145</v>
          </cell>
          <cell r="C368" t="str">
            <v>BRINE INLET EZ-2121A/B</v>
          </cell>
          <cell r="D368">
            <v>180</v>
          </cell>
          <cell r="E368">
            <v>0</v>
          </cell>
          <cell r="F368" t="str">
            <v>DEGC</v>
          </cell>
        </row>
        <row r="369">
          <cell r="B369" t="str">
            <v>TIZ10146</v>
          </cell>
          <cell r="C369" t="str">
            <v>WASH WATER TO DZ-2101A/B</v>
          </cell>
          <cell r="D369">
            <v>180</v>
          </cell>
          <cell r="E369">
            <v>0</v>
          </cell>
          <cell r="F369" t="str">
            <v>DEGC</v>
          </cell>
        </row>
        <row r="370">
          <cell r="B370" t="str">
            <v>TIZ10147</v>
          </cell>
          <cell r="C370" t="str">
            <v>CRUDE TO PZ-2102A/B/C</v>
          </cell>
          <cell r="D370">
            <v>180</v>
          </cell>
          <cell r="E370">
            <v>0</v>
          </cell>
          <cell r="F370" t="str">
            <v>DEGC</v>
          </cell>
        </row>
        <row r="371">
          <cell r="B371" t="str">
            <v>TIZ10148</v>
          </cell>
          <cell r="C371" t="str">
            <v>BRINE PMP PZ2161A LIQUID TEMP</v>
          </cell>
          <cell r="D371">
            <v>200</v>
          </cell>
          <cell r="E371">
            <v>0</v>
          </cell>
          <cell r="F371" t="str">
            <v>DEGC</v>
          </cell>
        </row>
        <row r="372">
          <cell r="B372" t="str">
            <v>TIZ10149</v>
          </cell>
          <cell r="C372" t="str">
            <v>BRINE PMP PZ2161B LIQUID TEMP</v>
          </cell>
          <cell r="D372">
            <v>200</v>
          </cell>
          <cell r="E372">
            <v>0</v>
          </cell>
          <cell r="F372" t="str">
            <v>DEGC</v>
          </cell>
        </row>
        <row r="373">
          <cell r="B373" t="str">
            <v>TIZ10161</v>
          </cell>
          <cell r="C373" t="str">
            <v>TEMP DZ2179</v>
          </cell>
          <cell r="D373">
            <v>100</v>
          </cell>
          <cell r="E373">
            <v>0</v>
          </cell>
          <cell r="F373" t="str">
            <v>DEGC</v>
          </cell>
        </row>
        <row r="374">
          <cell r="B374" t="str">
            <v>XIZ10102</v>
          </cell>
          <cell r="C374" t="str">
            <v>DESALTER C TRAFO 1AMPS TRZ2101C1</v>
          </cell>
          <cell r="D374">
            <v>30</v>
          </cell>
          <cell r="E374">
            <v>0</v>
          </cell>
          <cell r="F374" t="str">
            <v>A</v>
          </cell>
        </row>
        <row r="375">
          <cell r="B375" t="str">
            <v>XIZ10103</v>
          </cell>
          <cell r="C375" t="str">
            <v>DESALTER C TRAFO 2AMPS TRZ2101C2</v>
          </cell>
          <cell r="D375">
            <v>30</v>
          </cell>
          <cell r="E375">
            <v>0</v>
          </cell>
          <cell r="F375" t="str">
            <v>A</v>
          </cell>
        </row>
        <row r="376">
          <cell r="B376" t="str">
            <v>XIZ10104</v>
          </cell>
          <cell r="C376" t="str">
            <v>DESALTER C TRAF0 3AMPS TRZ2101C3</v>
          </cell>
          <cell r="D376">
            <v>30</v>
          </cell>
          <cell r="E376">
            <v>0</v>
          </cell>
          <cell r="F376" t="str">
            <v>A</v>
          </cell>
        </row>
        <row r="377">
          <cell r="B377" t="str">
            <v>FIZ10115</v>
          </cell>
          <cell r="C377" t="str">
            <v>WASHWATER TO DESALTERS</v>
          </cell>
          <cell r="D377">
            <v>95</v>
          </cell>
          <cell r="E377">
            <v>0</v>
          </cell>
          <cell r="F377" t="str">
            <v>T/H</v>
          </cell>
        </row>
        <row r="378">
          <cell r="B378" t="str">
            <v>FIZ10116</v>
          </cell>
          <cell r="C378" t="str">
            <v>BRINE FLOW RECIRC. TO DZ2101A</v>
          </cell>
          <cell r="D378">
            <v>60</v>
          </cell>
          <cell r="E378">
            <v>0</v>
          </cell>
          <cell r="F378" t="str">
            <v>M3/H</v>
          </cell>
        </row>
        <row r="379">
          <cell r="B379" t="str">
            <v>FIZ10117</v>
          </cell>
          <cell r="C379" t="str">
            <v>BRINE FLOW RECIRC. TO DZ2101B</v>
          </cell>
          <cell r="D379">
            <v>60</v>
          </cell>
          <cell r="E379">
            <v>0</v>
          </cell>
          <cell r="F379" t="str">
            <v>M3/H</v>
          </cell>
        </row>
        <row r="380">
          <cell r="B380" t="str">
            <v>PIZ10193</v>
          </cell>
          <cell r="C380" t="str">
            <v>SEAL LIQUID PRESS PZ2166A</v>
          </cell>
          <cell r="D380">
            <v>25</v>
          </cell>
          <cell r="E380">
            <v>0</v>
          </cell>
          <cell r="F380" t="str">
            <v>BARG</v>
          </cell>
        </row>
        <row r="381">
          <cell r="B381" t="str">
            <v>PIZ10194</v>
          </cell>
          <cell r="C381" t="str">
            <v>SEAL LIQUID PRESS PZ2166B</v>
          </cell>
          <cell r="D381">
            <v>25</v>
          </cell>
          <cell r="E381">
            <v>0</v>
          </cell>
          <cell r="F381" t="str">
            <v>BARG</v>
          </cell>
        </row>
        <row r="382">
          <cell r="B382" t="str">
            <v>PIZ10200</v>
          </cell>
          <cell r="C382" t="str">
            <v>PRESS. SEALSYSTEM PZ2106A</v>
          </cell>
          <cell r="D382">
            <v>15</v>
          </cell>
          <cell r="E382">
            <v>0</v>
          </cell>
          <cell r="F382" t="str">
            <v>BARG</v>
          </cell>
        </row>
        <row r="383">
          <cell r="B383" t="str">
            <v>PIZ10201</v>
          </cell>
          <cell r="C383" t="str">
            <v>PRESS. SEALSYSTEM PZ2106B</v>
          </cell>
          <cell r="D383">
            <v>15</v>
          </cell>
          <cell r="E383">
            <v>0</v>
          </cell>
          <cell r="F383" t="str">
            <v>BARG</v>
          </cell>
        </row>
        <row r="384">
          <cell r="B384" t="str">
            <v>PIZ10202</v>
          </cell>
          <cell r="C384" t="str">
            <v>PRESS. SEALSYSTEM PZ2106C</v>
          </cell>
          <cell r="D384">
            <v>15</v>
          </cell>
          <cell r="E384">
            <v>0</v>
          </cell>
          <cell r="F384" t="str">
            <v>BARG</v>
          </cell>
        </row>
        <row r="385">
          <cell r="B385" t="str">
            <v>TIZ1035</v>
          </cell>
          <cell r="C385" t="str">
            <v>COMB. AIR TEMP TO HZ2101</v>
          </cell>
          <cell r="D385">
            <v>500</v>
          </cell>
          <cell r="E385">
            <v>-20</v>
          </cell>
          <cell r="F385" t="str">
            <v>DEGC</v>
          </cell>
        </row>
        <row r="386">
          <cell r="B386" t="str">
            <v>FIZ1050A</v>
          </cell>
          <cell r="C386" t="str">
            <v>COLD AIR INLET EZ2125A</v>
          </cell>
          <cell r="D386">
            <v>290</v>
          </cell>
          <cell r="E386">
            <v>0</v>
          </cell>
          <cell r="F386" t="str">
            <v>T/H</v>
          </cell>
        </row>
        <row r="387">
          <cell r="B387" t="str">
            <v>FIZ1050B</v>
          </cell>
          <cell r="C387" t="str">
            <v>COLD AIR INLET EZ2125B</v>
          </cell>
          <cell r="D387">
            <v>290</v>
          </cell>
          <cell r="E387">
            <v>0</v>
          </cell>
          <cell r="F387" t="str">
            <v>T/H</v>
          </cell>
        </row>
        <row r="388">
          <cell r="B388" t="str">
            <v>TIZ10165</v>
          </cell>
          <cell r="C388" t="str">
            <v>HOT AIR OUTLET EZ2125A</v>
          </cell>
          <cell r="D388">
            <v>500</v>
          </cell>
          <cell r="E388">
            <v>-20</v>
          </cell>
          <cell r="F388" t="str">
            <v>DEGC</v>
          </cell>
        </row>
        <row r="389">
          <cell r="B389" t="str">
            <v>TIZ10166</v>
          </cell>
          <cell r="C389" t="str">
            <v>FLUEGAS INLET EZ2125A</v>
          </cell>
          <cell r="D389">
            <v>600</v>
          </cell>
          <cell r="E389">
            <v>-20</v>
          </cell>
          <cell r="F389" t="str">
            <v>DEGC</v>
          </cell>
        </row>
        <row r="390">
          <cell r="B390" t="str">
            <v>TIZ10167</v>
          </cell>
          <cell r="C390" t="str">
            <v>FLUEGAS OUTLET EZ2125A</v>
          </cell>
          <cell r="D390">
            <v>300</v>
          </cell>
          <cell r="E390">
            <v>-20</v>
          </cell>
          <cell r="F390" t="str">
            <v>DEGC</v>
          </cell>
        </row>
        <row r="391">
          <cell r="B391" t="str">
            <v>TIZ10169</v>
          </cell>
          <cell r="C391" t="str">
            <v>HOT AIR OUTLET EZ2125B</v>
          </cell>
          <cell r="D391">
            <v>500</v>
          </cell>
          <cell r="E391">
            <v>-20</v>
          </cell>
          <cell r="F391" t="str">
            <v>DEGC</v>
          </cell>
        </row>
        <row r="392">
          <cell r="B392" t="str">
            <v>TIZ10164</v>
          </cell>
          <cell r="C392" t="str">
            <v>COLD AIR INLET EZ2125A</v>
          </cell>
          <cell r="D392">
            <v>60</v>
          </cell>
          <cell r="E392">
            <v>-20</v>
          </cell>
          <cell r="F392" t="str">
            <v>DEGC</v>
          </cell>
        </row>
        <row r="393">
          <cell r="B393" t="str">
            <v>TIZ10168</v>
          </cell>
          <cell r="C393" t="str">
            <v>COLD AIR INLET EZ2125B</v>
          </cell>
          <cell r="D393">
            <v>60</v>
          </cell>
          <cell r="E393">
            <v>-20</v>
          </cell>
          <cell r="F393" t="str">
            <v>DEGC</v>
          </cell>
        </row>
        <row r="394">
          <cell r="B394" t="str">
            <v>PIZ10179</v>
          </cell>
          <cell r="C394" t="str">
            <v>COLD AIR INLET EZ2125A</v>
          </cell>
          <cell r="D394">
            <v>80</v>
          </cell>
          <cell r="E394">
            <v>-20</v>
          </cell>
          <cell r="F394" t="str">
            <v>MBARG</v>
          </cell>
        </row>
        <row r="395">
          <cell r="B395" t="str">
            <v>TIZ10170</v>
          </cell>
          <cell r="C395" t="str">
            <v>FLUEGAS INLET EZ2125B</v>
          </cell>
          <cell r="D395">
            <v>600</v>
          </cell>
          <cell r="E395">
            <v>-20</v>
          </cell>
          <cell r="F395" t="str">
            <v>DEGC</v>
          </cell>
        </row>
        <row r="396">
          <cell r="B396" t="str">
            <v>TIZ10171</v>
          </cell>
          <cell r="C396" t="str">
            <v>FLUEGAS OUTLET EZ2125B</v>
          </cell>
          <cell r="D396">
            <v>300</v>
          </cell>
          <cell r="E396">
            <v>-20</v>
          </cell>
          <cell r="F396" t="str">
            <v>DEGC</v>
          </cell>
        </row>
        <row r="397">
          <cell r="B397" t="str">
            <v>TIZ10178</v>
          </cell>
          <cell r="C397" t="str">
            <v>SKIN TEMP. PASS1 HZ2101</v>
          </cell>
          <cell r="D397">
            <v>750</v>
          </cell>
          <cell r="E397">
            <v>0</v>
          </cell>
          <cell r="F397" t="str">
            <v>DEGC</v>
          </cell>
        </row>
        <row r="398">
          <cell r="B398" t="str">
            <v>TIZ10179</v>
          </cell>
          <cell r="C398" t="str">
            <v>SKIN TEMP. PASS1 HZ2101</v>
          </cell>
          <cell r="D398">
            <v>750</v>
          </cell>
          <cell r="E398">
            <v>0</v>
          </cell>
          <cell r="F398" t="str">
            <v>DEGC</v>
          </cell>
        </row>
        <row r="399">
          <cell r="B399" t="str">
            <v>PIZ10180</v>
          </cell>
          <cell r="C399" t="str">
            <v>HOT AIR OUTLET EZ2125A</v>
          </cell>
          <cell r="D399">
            <v>80</v>
          </cell>
          <cell r="E399">
            <v>-20</v>
          </cell>
          <cell r="F399" t="str">
            <v>MBARG</v>
          </cell>
        </row>
        <row r="400">
          <cell r="B400" t="str">
            <v>PIZ10181</v>
          </cell>
          <cell r="C400" t="str">
            <v>FLUEGAS INLET EZ2125A</v>
          </cell>
          <cell r="D400">
            <v>20</v>
          </cell>
          <cell r="E400">
            <v>-40</v>
          </cell>
          <cell r="F400" t="str">
            <v>MBARG</v>
          </cell>
        </row>
        <row r="401">
          <cell r="B401" t="str">
            <v>PIZ10182</v>
          </cell>
          <cell r="C401" t="str">
            <v>FLUEGAS OUTLET EZ2125A</v>
          </cell>
          <cell r="D401">
            <v>20</v>
          </cell>
          <cell r="E401">
            <v>-40</v>
          </cell>
          <cell r="F401" t="str">
            <v>MBARG</v>
          </cell>
        </row>
        <row r="402">
          <cell r="B402" t="str">
            <v>PIZ10183</v>
          </cell>
          <cell r="C402" t="str">
            <v>COLD AIR INLET EZ2125B</v>
          </cell>
          <cell r="D402">
            <v>80</v>
          </cell>
          <cell r="E402">
            <v>-20</v>
          </cell>
          <cell r="F402" t="str">
            <v>MBARG</v>
          </cell>
        </row>
        <row r="403">
          <cell r="B403" t="str">
            <v>PIZ10184</v>
          </cell>
          <cell r="C403" t="str">
            <v>HOT AIR OUTLET EZ2125B</v>
          </cell>
          <cell r="D403">
            <v>80</v>
          </cell>
          <cell r="E403">
            <v>-20</v>
          </cell>
          <cell r="F403" t="str">
            <v>MBARG</v>
          </cell>
        </row>
        <row r="404">
          <cell r="B404" t="str">
            <v>PIZ10185</v>
          </cell>
          <cell r="C404" t="str">
            <v>FLUEGAS INLET EZ2125B</v>
          </cell>
          <cell r="D404">
            <v>20</v>
          </cell>
          <cell r="E404">
            <v>-40</v>
          </cell>
          <cell r="F404" t="str">
            <v>MBARG</v>
          </cell>
        </row>
        <row r="405">
          <cell r="B405" t="str">
            <v>PIZ10186</v>
          </cell>
          <cell r="C405" t="str">
            <v>FLUEGAS OUTLET EZ2125B</v>
          </cell>
          <cell r="D405">
            <v>20</v>
          </cell>
          <cell r="E405">
            <v>-40</v>
          </cell>
          <cell r="F405" t="str">
            <v>MBARG</v>
          </cell>
        </row>
        <row r="406">
          <cell r="B406" t="str">
            <v>TIZ10180</v>
          </cell>
          <cell r="C406" t="str">
            <v>SKIN TEMP. PASS2 HZ2101</v>
          </cell>
          <cell r="D406">
            <v>750</v>
          </cell>
          <cell r="E406">
            <v>0</v>
          </cell>
          <cell r="F406" t="str">
            <v>DEGC</v>
          </cell>
        </row>
        <row r="407">
          <cell r="B407" t="str">
            <v>TIZ10181</v>
          </cell>
          <cell r="C407" t="str">
            <v>SKIN TEMP. PASS2 HZ2101</v>
          </cell>
          <cell r="D407">
            <v>750</v>
          </cell>
          <cell r="E407">
            <v>0</v>
          </cell>
          <cell r="F407" t="str">
            <v>DEGC</v>
          </cell>
        </row>
        <row r="408">
          <cell r="B408" t="str">
            <v>TIZ10182</v>
          </cell>
          <cell r="C408" t="str">
            <v>SKIN TEMP. PASS4 HZ2101</v>
          </cell>
          <cell r="D408">
            <v>750</v>
          </cell>
          <cell r="E408">
            <v>0</v>
          </cell>
          <cell r="F408" t="str">
            <v>DEGC</v>
          </cell>
        </row>
        <row r="409">
          <cell r="B409" t="str">
            <v>TIZ10183</v>
          </cell>
          <cell r="C409" t="str">
            <v>SKIN TEMP. PASS4 HZ2101</v>
          </cell>
          <cell r="D409">
            <v>750</v>
          </cell>
          <cell r="E409">
            <v>0</v>
          </cell>
          <cell r="F409" t="str">
            <v>DEGC</v>
          </cell>
        </row>
        <row r="410">
          <cell r="B410" t="str">
            <v>TIZ10184</v>
          </cell>
          <cell r="C410" t="str">
            <v>SKIN TEMP. PASS5 HZ2101</v>
          </cell>
          <cell r="D410">
            <v>750</v>
          </cell>
          <cell r="E410">
            <v>0</v>
          </cell>
          <cell r="F410" t="str">
            <v>DEGC</v>
          </cell>
        </row>
        <row r="411">
          <cell r="B411" t="str">
            <v>TIZ10185</v>
          </cell>
          <cell r="C411" t="str">
            <v>SKIN TEMP. PASS5 HZ2101</v>
          </cell>
          <cell r="D411">
            <v>750</v>
          </cell>
          <cell r="E411">
            <v>0</v>
          </cell>
          <cell r="F411" t="str">
            <v>DEGC</v>
          </cell>
        </row>
        <row r="412">
          <cell r="B412" t="str">
            <v>TIZ10186</v>
          </cell>
          <cell r="C412" t="str">
            <v>SKIN TEMP. PASS6 HZ2101</v>
          </cell>
          <cell r="D412">
            <v>750</v>
          </cell>
          <cell r="E412">
            <v>0</v>
          </cell>
          <cell r="F412" t="str">
            <v>DEGC</v>
          </cell>
        </row>
        <row r="413">
          <cell r="B413" t="str">
            <v>TIZ10187</v>
          </cell>
          <cell r="C413" t="str">
            <v>SKIN TEMP. PASS6 HZ2101</v>
          </cell>
          <cell r="D413">
            <v>750</v>
          </cell>
          <cell r="E413">
            <v>0</v>
          </cell>
          <cell r="F413" t="str">
            <v>DEGC</v>
          </cell>
        </row>
        <row r="414">
          <cell r="B414" t="str">
            <v>TIZ10188</v>
          </cell>
          <cell r="C414" t="str">
            <v>SKIN TEMP. PASS7 HZ2101</v>
          </cell>
          <cell r="D414">
            <v>750</v>
          </cell>
          <cell r="E414">
            <v>0</v>
          </cell>
          <cell r="F414" t="str">
            <v>DEGC</v>
          </cell>
        </row>
        <row r="415">
          <cell r="B415" t="str">
            <v>TIZ10189</v>
          </cell>
          <cell r="C415" t="str">
            <v>SKIN TEMP. PASS7 HZ2101</v>
          </cell>
          <cell r="D415">
            <v>750</v>
          </cell>
          <cell r="E415">
            <v>0</v>
          </cell>
          <cell r="F415" t="str">
            <v>DEGC</v>
          </cell>
        </row>
        <row r="416">
          <cell r="B416" t="str">
            <v>PIZ10192</v>
          </cell>
          <cell r="C416" t="str">
            <v>SEAL GAS PZ2118B</v>
          </cell>
          <cell r="D416">
            <v>16</v>
          </cell>
          <cell r="E416">
            <v>0</v>
          </cell>
          <cell r="F416" t="str">
            <v>BAR</v>
          </cell>
        </row>
        <row r="417">
          <cell r="B417" t="str">
            <v>PIZ10198</v>
          </cell>
          <cell r="C417" t="str">
            <v>PRESS. SEALSYSTEM PZ2105A</v>
          </cell>
          <cell r="D417">
            <v>15</v>
          </cell>
          <cell r="E417">
            <v>0</v>
          </cell>
          <cell r="F417" t="str">
            <v>BARG</v>
          </cell>
        </row>
        <row r="418">
          <cell r="B418" t="str">
            <v>PIZ10199</v>
          </cell>
          <cell r="C418" t="str">
            <v>PRESS. SEALSYSTEM PZ2105B</v>
          </cell>
          <cell r="D418">
            <v>15</v>
          </cell>
          <cell r="E418">
            <v>0</v>
          </cell>
          <cell r="F418" t="str">
            <v>BARG</v>
          </cell>
        </row>
        <row r="419">
          <cell r="B419" t="str">
            <v>TIZ10190</v>
          </cell>
          <cell r="C419" t="str">
            <v>SKIN TEMP. PASS1 HZ2101</v>
          </cell>
          <cell r="D419">
            <v>750</v>
          </cell>
          <cell r="E419">
            <v>0</v>
          </cell>
          <cell r="F419" t="str">
            <v>DEGC</v>
          </cell>
        </row>
        <row r="420">
          <cell r="B420" t="str">
            <v>TIZ10191</v>
          </cell>
          <cell r="C420" t="str">
            <v>SKIN TEMP. PASS1 HZ2101</v>
          </cell>
          <cell r="D420">
            <v>750</v>
          </cell>
          <cell r="E420">
            <v>0</v>
          </cell>
          <cell r="F420" t="str">
            <v>DEGC</v>
          </cell>
        </row>
        <row r="421">
          <cell r="B421" t="str">
            <v>TIZ10192</v>
          </cell>
          <cell r="C421" t="str">
            <v>SKIN TEMP. PASS2 HZ2101</v>
          </cell>
          <cell r="D421">
            <v>750</v>
          </cell>
          <cell r="E421">
            <v>0</v>
          </cell>
          <cell r="F421" t="str">
            <v>DEGC</v>
          </cell>
        </row>
        <row r="422">
          <cell r="B422" t="str">
            <v>TIZ10193</v>
          </cell>
          <cell r="C422" t="str">
            <v>SKIN TEMP. PASS2 HZ2101</v>
          </cell>
          <cell r="D422">
            <v>750</v>
          </cell>
          <cell r="E422">
            <v>0</v>
          </cell>
          <cell r="F422" t="str">
            <v>DEGC</v>
          </cell>
        </row>
        <row r="423">
          <cell r="B423" t="str">
            <v>TIZ10194</v>
          </cell>
          <cell r="C423" t="str">
            <v>SKIN TEMP. PASS3 HZ2101</v>
          </cell>
          <cell r="D423">
            <v>750</v>
          </cell>
          <cell r="E423">
            <v>0</v>
          </cell>
          <cell r="F423" t="str">
            <v>DEGC</v>
          </cell>
        </row>
        <row r="424">
          <cell r="B424" t="str">
            <v>TIZ10195</v>
          </cell>
          <cell r="C424" t="str">
            <v>SKIN TEMP. PASS4 HZ2101</v>
          </cell>
          <cell r="D424">
            <v>750</v>
          </cell>
          <cell r="E424">
            <v>0</v>
          </cell>
          <cell r="F424" t="str">
            <v>DEGC</v>
          </cell>
        </row>
        <row r="425">
          <cell r="B425" t="str">
            <v>TIZ10196</v>
          </cell>
          <cell r="C425" t="str">
            <v>SKIN TEMP. PASS5 HZ2101</v>
          </cell>
          <cell r="D425">
            <v>750</v>
          </cell>
          <cell r="E425">
            <v>0</v>
          </cell>
          <cell r="F425" t="str">
            <v>DEGC</v>
          </cell>
        </row>
        <row r="426">
          <cell r="B426" t="str">
            <v>TIZ10197</v>
          </cell>
          <cell r="C426" t="str">
            <v>SKIN TEMP. PASS6 HZ2101</v>
          </cell>
          <cell r="D426">
            <v>750</v>
          </cell>
          <cell r="E426">
            <v>0</v>
          </cell>
          <cell r="F426" t="str">
            <v>DEGC</v>
          </cell>
        </row>
        <row r="427">
          <cell r="B427" t="str">
            <v>TIZ10198</v>
          </cell>
          <cell r="C427" t="str">
            <v>SKIN TEMP. PASS7 HZ2101</v>
          </cell>
          <cell r="D427">
            <v>750</v>
          </cell>
          <cell r="E427">
            <v>0</v>
          </cell>
          <cell r="F427" t="str">
            <v>DEGC</v>
          </cell>
        </row>
        <row r="428">
          <cell r="B428" t="str">
            <v>TIZ10199</v>
          </cell>
          <cell r="C428" t="str">
            <v>SKIN TEMP. PASS7 HZ2101</v>
          </cell>
          <cell r="D428">
            <v>750</v>
          </cell>
          <cell r="E428">
            <v>0</v>
          </cell>
          <cell r="F428" t="str">
            <v>DEGC</v>
          </cell>
        </row>
        <row r="429">
          <cell r="B429" t="str">
            <v>TIZ10200</v>
          </cell>
          <cell r="C429" t="str">
            <v>SKIN TEMP. PASS8 HZ2101</v>
          </cell>
          <cell r="D429">
            <v>750</v>
          </cell>
          <cell r="E429">
            <v>0</v>
          </cell>
          <cell r="F429" t="str">
            <v>DEGC</v>
          </cell>
        </row>
        <row r="430">
          <cell r="B430" t="str">
            <v>TIZ10201</v>
          </cell>
          <cell r="C430" t="str">
            <v>SKIN TEMP. PASS8 HZ2101</v>
          </cell>
          <cell r="D430">
            <v>750</v>
          </cell>
          <cell r="E430">
            <v>0</v>
          </cell>
          <cell r="F430" t="str">
            <v>DEGC</v>
          </cell>
        </row>
        <row r="431">
          <cell r="B431" t="str">
            <v>TDZ1172</v>
          </cell>
          <cell r="C431" t="str">
            <v>FLSHZONE DIFF TEMPERATURE</v>
          </cell>
          <cell r="D431">
            <v>25</v>
          </cell>
          <cell r="E431">
            <v>-10</v>
          </cell>
          <cell r="F431" t="str">
            <v>DEGC</v>
          </cell>
        </row>
        <row r="432">
          <cell r="B432" t="str">
            <v>TIZ1171</v>
          </cell>
          <cell r="C432" t="str">
            <v>LIQUID TEMP. FROM TRAY 8</v>
          </cell>
          <cell r="D432">
            <v>391.5</v>
          </cell>
          <cell r="E432">
            <v>-30.9</v>
          </cell>
          <cell r="F432" t="str">
            <v>DEGC</v>
          </cell>
        </row>
        <row r="433">
          <cell r="B433" t="str">
            <v>TIZ1172</v>
          </cell>
          <cell r="C433" t="str">
            <v>CDU TOWER FLASH ZONE</v>
          </cell>
          <cell r="D433">
            <v>391.5</v>
          </cell>
          <cell r="E433">
            <v>-30.9</v>
          </cell>
          <cell r="F433" t="str">
            <v>DEGC</v>
          </cell>
        </row>
        <row r="434">
          <cell r="B434" t="str">
            <v>TIZ1109</v>
          </cell>
          <cell r="C434" t="str">
            <v>CDU HEATER AMBIANT TEMP</v>
          </cell>
          <cell r="D434">
            <v>75</v>
          </cell>
          <cell r="E434">
            <v>-25</v>
          </cell>
          <cell r="F434" t="str">
            <v>DEGC</v>
          </cell>
        </row>
        <row r="435">
          <cell r="B435" t="str">
            <v>TIZ1110</v>
          </cell>
          <cell r="C435" t="str">
            <v>CDU HEATER FLUE GAS TEMP</v>
          </cell>
          <cell r="D435">
            <v>1116</v>
          </cell>
          <cell r="E435">
            <v>-25</v>
          </cell>
          <cell r="F435" t="str">
            <v>DEGC</v>
          </cell>
        </row>
        <row r="436">
          <cell r="B436" t="str">
            <v>TIZ1113</v>
          </cell>
          <cell r="C436" t="str">
            <v>HZ2101 FLUEGAS INL.CONV.BOX</v>
          </cell>
          <cell r="D436">
            <v>1116</v>
          </cell>
          <cell r="E436">
            <v>-25</v>
          </cell>
          <cell r="F436" t="str">
            <v>DEGC</v>
          </cell>
        </row>
        <row r="437">
          <cell r="B437" t="str">
            <v>TIZ1114</v>
          </cell>
          <cell r="C437" t="str">
            <v>HZ2101 FLUEGAS INL.CONV.BOX</v>
          </cell>
          <cell r="D437">
            <v>1116</v>
          </cell>
          <cell r="E437">
            <v>-25</v>
          </cell>
          <cell r="F437" t="str">
            <v>DEGC</v>
          </cell>
        </row>
        <row r="438">
          <cell r="B438" t="str">
            <v>TIZ1115</v>
          </cell>
          <cell r="C438" t="str">
            <v>RESIDUE BEFORE TEMP. WATER</v>
          </cell>
          <cell r="D438">
            <v>523</v>
          </cell>
          <cell r="E438">
            <v>-25</v>
          </cell>
          <cell r="F438" t="str">
            <v>DEGC</v>
          </cell>
        </row>
        <row r="439">
          <cell r="B439" t="str">
            <v>TIZ1135</v>
          </cell>
          <cell r="C439" t="str">
            <v>OVERH. FROM EZ2102A</v>
          </cell>
          <cell r="D439">
            <v>200</v>
          </cell>
          <cell r="E439">
            <v>-25</v>
          </cell>
          <cell r="F439" t="str">
            <v>DEGC</v>
          </cell>
        </row>
        <row r="440">
          <cell r="B440" t="str">
            <v>TIZ1136</v>
          </cell>
          <cell r="C440" t="str">
            <v>OVERH. FROM EZ2102C</v>
          </cell>
          <cell r="D440">
            <v>200</v>
          </cell>
          <cell r="E440">
            <v>-25</v>
          </cell>
          <cell r="F440" t="str">
            <v>DEGC</v>
          </cell>
        </row>
        <row r="441">
          <cell r="B441" t="str">
            <v>TIZ1153</v>
          </cell>
          <cell r="C441" t="str">
            <v>RES. FROM EZ2111B</v>
          </cell>
          <cell r="D441">
            <v>523</v>
          </cell>
          <cell r="E441">
            <v>-25</v>
          </cell>
          <cell r="F441" t="str">
            <v>DEGC</v>
          </cell>
        </row>
        <row r="442">
          <cell r="B442" t="str">
            <v>TYZ1135_ALM</v>
          </cell>
          <cell r="C442" t="str">
            <v>EZ2112 DEWPOINT ALARM</v>
          </cell>
          <cell r="D442">
            <v>200</v>
          </cell>
          <cell r="E442">
            <v>0</v>
          </cell>
          <cell r="F442" t="str">
            <v>DEGC</v>
          </cell>
        </row>
        <row r="443">
          <cell r="B443" t="str">
            <v>TYZ1135_DEW</v>
          </cell>
          <cell r="C443" t="str">
            <v>EZ2112 WASHWATER TEMPERATURE</v>
          </cell>
          <cell r="D443">
            <v>200</v>
          </cell>
          <cell r="E443">
            <v>0</v>
          </cell>
          <cell r="F443" t="str">
            <v>DEGC</v>
          </cell>
        </row>
        <row r="444">
          <cell r="B444" t="str">
            <v>TIZ1159</v>
          </cell>
          <cell r="C444" t="str">
            <v>EZ2107B OUTLET FROM MPA</v>
          </cell>
          <cell r="D444">
            <v>650</v>
          </cell>
          <cell r="E444">
            <v>0</v>
          </cell>
          <cell r="F444" t="str">
            <v>DEGC</v>
          </cell>
        </row>
        <row r="445">
          <cell r="B445" t="str">
            <v>TIZ1160</v>
          </cell>
          <cell r="C445" t="str">
            <v>EZ2108A INLET FROM CRUDE</v>
          </cell>
          <cell r="D445">
            <v>650</v>
          </cell>
          <cell r="E445">
            <v>0</v>
          </cell>
          <cell r="F445" t="str">
            <v>DEGC</v>
          </cell>
        </row>
        <row r="446">
          <cell r="B446" t="str">
            <v>TIZ1161</v>
          </cell>
          <cell r="C446" t="str">
            <v>EZ2108C INLET FROM CRUDE</v>
          </cell>
          <cell r="D446">
            <v>650</v>
          </cell>
          <cell r="E446">
            <v>0</v>
          </cell>
          <cell r="F446" t="str">
            <v>DEGC</v>
          </cell>
        </row>
        <row r="447">
          <cell r="B447" t="str">
            <v>TIZ1162</v>
          </cell>
          <cell r="C447" t="str">
            <v>MPA INLET EZ2109A</v>
          </cell>
          <cell r="D447">
            <v>600</v>
          </cell>
          <cell r="E447">
            <v>0</v>
          </cell>
          <cell r="F447" t="str">
            <v>DEGC</v>
          </cell>
        </row>
        <row r="448">
          <cell r="B448" t="str">
            <v>TIZ1163</v>
          </cell>
          <cell r="C448" t="str">
            <v>MPA INLET EZ2109B</v>
          </cell>
          <cell r="D448">
            <v>600</v>
          </cell>
          <cell r="E448">
            <v>0</v>
          </cell>
          <cell r="F448" t="str">
            <v>DEGC</v>
          </cell>
        </row>
        <row r="449">
          <cell r="B449" t="str">
            <v>TIZ1164</v>
          </cell>
          <cell r="C449" t="str">
            <v>EZ2109B OUTLT FROM MPA</v>
          </cell>
          <cell r="D449">
            <v>400</v>
          </cell>
          <cell r="E449">
            <v>0</v>
          </cell>
          <cell r="F449" t="str">
            <v>DEGC</v>
          </cell>
        </row>
        <row r="450">
          <cell r="B450" t="str">
            <v>TIZ1165</v>
          </cell>
          <cell r="C450" t="str">
            <v>EZ2110A OUTLT FROM BPA</v>
          </cell>
          <cell r="D450">
            <v>600</v>
          </cell>
          <cell r="E450">
            <v>0</v>
          </cell>
          <cell r="F450" t="str">
            <v>DEGC</v>
          </cell>
        </row>
        <row r="451">
          <cell r="B451" t="str">
            <v>PIZ1401</v>
          </cell>
          <cell r="C451" t="str">
            <v>FUEL GAS MAIN</v>
          </cell>
          <cell r="D451">
            <v>5</v>
          </cell>
          <cell r="E451">
            <v>0</v>
          </cell>
          <cell r="F451" t="str">
            <v>BAR</v>
          </cell>
        </row>
        <row r="452">
          <cell r="B452" t="str">
            <v>FIT_1607</v>
          </cell>
          <cell r="C452" t="str">
            <v>SRB FROM OFFSITES TO CDU4/FCCU</v>
          </cell>
          <cell r="D452">
            <v>103.5</v>
          </cell>
          <cell r="E452">
            <v>0</v>
          </cell>
          <cell r="F452" t="str">
            <v>M3/H</v>
          </cell>
        </row>
        <row r="453">
          <cell r="B453" t="str">
            <v>FIZ1605</v>
          </cell>
          <cell r="C453" t="str">
            <v>VISBR.GAS. INJ. (CALC)</v>
          </cell>
          <cell r="D453">
            <v>21</v>
          </cell>
          <cell r="E453">
            <v>0</v>
          </cell>
          <cell r="F453" t="str">
            <v>M3/H</v>
          </cell>
        </row>
        <row r="454">
          <cell r="B454" t="str">
            <v>FIZ1604</v>
          </cell>
          <cell r="C454" t="str">
            <v>BUT.INJ. P2151A/S TO CDU4(CALC)</v>
          </cell>
          <cell r="D454">
            <v>10</v>
          </cell>
          <cell r="E454">
            <v>0</v>
          </cell>
          <cell r="F454" t="str">
            <v>M3/H</v>
          </cell>
        </row>
        <row r="455">
          <cell r="B455" t="str">
            <v>FDZ2001</v>
          </cell>
          <cell r="C455" t="str">
            <v>CDU OVHD PRODUCT / DHT BYPASS</v>
          </cell>
          <cell r="D455">
            <v>598</v>
          </cell>
          <cell r="E455">
            <v>0</v>
          </cell>
          <cell r="F455" t="str">
            <v>M3/H</v>
          </cell>
        </row>
        <row r="456">
          <cell r="B456" t="str">
            <v>FDZ2065</v>
          </cell>
          <cell r="C456" t="str">
            <v>WASHWATER TO EZ2151/2</v>
          </cell>
          <cell r="D456">
            <v>10</v>
          </cell>
          <cell r="E456">
            <v>0</v>
          </cell>
          <cell r="F456" t="str">
            <v>M3/H</v>
          </cell>
        </row>
        <row r="457">
          <cell r="B457" t="str">
            <v>FITZ2001A</v>
          </cell>
          <cell r="C457" t="str">
            <v>CDU OVHD PRODUCT / DHT BYPASS</v>
          </cell>
          <cell r="D457">
            <v>598</v>
          </cell>
          <cell r="E457">
            <v>0</v>
          </cell>
          <cell r="F457" t="str">
            <v>M3/H</v>
          </cell>
        </row>
        <row r="458">
          <cell r="B458" t="str">
            <v>FITZ2001B</v>
          </cell>
          <cell r="C458" t="str">
            <v>CDU OVHD PRODUCT / DHT BYPASS</v>
          </cell>
          <cell r="D458">
            <v>598</v>
          </cell>
          <cell r="E458">
            <v>0</v>
          </cell>
          <cell r="F458" t="str">
            <v>M3/H</v>
          </cell>
        </row>
        <row r="459">
          <cell r="B459" t="str">
            <v>FIZ2065</v>
          </cell>
          <cell r="C459" t="str">
            <v>WASHWATER TO EZ2151/2</v>
          </cell>
          <cell r="D459">
            <v>10</v>
          </cell>
          <cell r="E459">
            <v>0</v>
          </cell>
          <cell r="F459" t="str">
            <v>M3/H</v>
          </cell>
        </row>
        <row r="460">
          <cell r="B460" t="str">
            <v>FIZ2065A</v>
          </cell>
          <cell r="C460" t="str">
            <v>WASHWATER TO EZ2151/2</v>
          </cell>
          <cell r="D460">
            <v>10</v>
          </cell>
          <cell r="E460">
            <v>0</v>
          </cell>
          <cell r="F460" t="str">
            <v>M3/H</v>
          </cell>
        </row>
        <row r="461">
          <cell r="B461" t="str">
            <v>FIZ2065B</v>
          </cell>
          <cell r="C461" t="str">
            <v>WASHWATER TO EZ2151/2</v>
          </cell>
          <cell r="D461">
            <v>10</v>
          </cell>
          <cell r="E461">
            <v>0</v>
          </cell>
          <cell r="F461" t="str">
            <v>M3/H</v>
          </cell>
        </row>
        <row r="462">
          <cell r="B462" t="str">
            <v>LDAZ2004</v>
          </cell>
          <cell r="C462" t="str">
            <v>DHT LP WATER BOOT DIFF.LEVEL</v>
          </cell>
          <cell r="D462">
            <v>100</v>
          </cell>
          <cell r="E462">
            <v>0</v>
          </cell>
          <cell r="F462" t="str">
            <v>%</v>
          </cell>
        </row>
        <row r="463">
          <cell r="B463" t="str">
            <v>LDAZ2010</v>
          </cell>
          <cell r="C463" t="str">
            <v>DHT HP WATER BOOT DIFF.LEVEL</v>
          </cell>
          <cell r="D463">
            <v>100</v>
          </cell>
          <cell r="E463">
            <v>0</v>
          </cell>
          <cell r="F463" t="str">
            <v>%</v>
          </cell>
        </row>
        <row r="464">
          <cell r="B464" t="str">
            <v>LDZ2002</v>
          </cell>
          <cell r="C464" t="str">
            <v>DHT COMPR SUCT DRUM DZ2153</v>
          </cell>
          <cell r="D464">
            <v>100</v>
          </cell>
          <cell r="E464">
            <v>0</v>
          </cell>
          <cell r="F464" t="str">
            <v>%</v>
          </cell>
        </row>
        <row r="465">
          <cell r="B465" t="str">
            <v>LDZ2050</v>
          </cell>
          <cell r="C465" t="str">
            <v>LUBE OIL</v>
          </cell>
          <cell r="D465">
            <v>100</v>
          </cell>
          <cell r="E465">
            <v>0</v>
          </cell>
          <cell r="F465" t="str">
            <v>%</v>
          </cell>
        </row>
        <row r="466">
          <cell r="B466" t="str">
            <v>LIZ2002</v>
          </cell>
          <cell r="C466" t="str">
            <v>DHT COMPR SUCT DRUM DZ2153</v>
          </cell>
          <cell r="D466">
            <v>100</v>
          </cell>
          <cell r="E466">
            <v>0</v>
          </cell>
          <cell r="F466" t="str">
            <v>PCT</v>
          </cell>
        </row>
        <row r="467">
          <cell r="B467" t="str">
            <v>LIZ2002A</v>
          </cell>
          <cell r="C467" t="str">
            <v>DHT COMPR SUCT DRUM DZ2153</v>
          </cell>
          <cell r="D467">
            <v>100</v>
          </cell>
          <cell r="E467">
            <v>0</v>
          </cell>
          <cell r="F467" t="str">
            <v>PCT</v>
          </cell>
        </row>
        <row r="468">
          <cell r="B468" t="str">
            <v>LIZ2002B</v>
          </cell>
          <cell r="C468" t="str">
            <v>DHT COMPR SUCT DRUM DZ2153</v>
          </cell>
          <cell r="D468">
            <v>100</v>
          </cell>
          <cell r="E468">
            <v>0</v>
          </cell>
          <cell r="F468" t="str">
            <v>PCT</v>
          </cell>
        </row>
        <row r="469">
          <cell r="B469" t="str">
            <v>LIZ2004</v>
          </cell>
          <cell r="C469" t="str">
            <v>DHT LP WATER BOOT DZ2155</v>
          </cell>
          <cell r="D469">
            <v>100</v>
          </cell>
          <cell r="E469">
            <v>0</v>
          </cell>
          <cell r="F469" t="str">
            <v>%</v>
          </cell>
        </row>
        <row r="470">
          <cell r="B470" t="str">
            <v>LIZ2004A</v>
          </cell>
          <cell r="C470" t="str">
            <v>DHT LP WATER BOOT DZ2155</v>
          </cell>
          <cell r="D470">
            <v>100</v>
          </cell>
          <cell r="E470">
            <v>0</v>
          </cell>
          <cell r="F470" t="str">
            <v>PCT</v>
          </cell>
        </row>
        <row r="471">
          <cell r="B471" t="str">
            <v>LIZ2004B</v>
          </cell>
          <cell r="C471" t="str">
            <v>DHT LP WATER BOOT DZ2155</v>
          </cell>
          <cell r="D471">
            <v>100</v>
          </cell>
          <cell r="E471">
            <v>0</v>
          </cell>
          <cell r="F471" t="str">
            <v>PCT</v>
          </cell>
        </row>
        <row r="472">
          <cell r="B472" t="str">
            <v>LIZ2010</v>
          </cell>
          <cell r="C472" t="str">
            <v>DHT HP WATER BOOT DZ2154</v>
          </cell>
          <cell r="D472">
            <v>100</v>
          </cell>
          <cell r="E472">
            <v>0</v>
          </cell>
          <cell r="F472" t="str">
            <v>%</v>
          </cell>
        </row>
        <row r="473">
          <cell r="B473" t="str">
            <v>LIZ2010A</v>
          </cell>
          <cell r="C473" t="str">
            <v>DHT HP WATER BOOT DZ2154</v>
          </cell>
          <cell r="D473">
            <v>100</v>
          </cell>
          <cell r="E473">
            <v>0</v>
          </cell>
          <cell r="F473" t="str">
            <v>PCT</v>
          </cell>
        </row>
        <row r="474">
          <cell r="B474" t="str">
            <v>LIZ2010B</v>
          </cell>
          <cell r="C474" t="str">
            <v>DHT HP WATER BOOT (LT)</v>
          </cell>
          <cell r="D474">
            <v>100</v>
          </cell>
          <cell r="E474">
            <v>0</v>
          </cell>
          <cell r="F474" t="str">
            <v>PCT</v>
          </cell>
        </row>
        <row r="475">
          <cell r="B475" t="str">
            <v>LIZ2050</v>
          </cell>
          <cell r="C475" t="str">
            <v>LUBE OIL</v>
          </cell>
          <cell r="D475">
            <v>100</v>
          </cell>
          <cell r="E475">
            <v>0</v>
          </cell>
          <cell r="F475" t="str">
            <v>%</v>
          </cell>
        </row>
        <row r="476">
          <cell r="B476" t="str">
            <v>LIZ2050A</v>
          </cell>
          <cell r="C476" t="str">
            <v>LUBE OIL</v>
          </cell>
          <cell r="D476">
            <v>100</v>
          </cell>
          <cell r="E476">
            <v>0</v>
          </cell>
          <cell r="F476" t="str">
            <v>PCT</v>
          </cell>
        </row>
        <row r="477">
          <cell r="B477" t="str">
            <v>LIZ2050B</v>
          </cell>
          <cell r="C477" t="str">
            <v>LUBE OIL</v>
          </cell>
          <cell r="D477">
            <v>100</v>
          </cell>
          <cell r="E477">
            <v>0</v>
          </cell>
          <cell r="F477" t="str">
            <v>PCT</v>
          </cell>
        </row>
        <row r="478">
          <cell r="B478" t="str">
            <v>PDAZ2078</v>
          </cell>
          <cell r="C478" t="str">
            <v>PZ2153 OUTLET PRESSURE</v>
          </cell>
          <cell r="D478">
            <v>26</v>
          </cell>
          <cell r="E478">
            <v>0</v>
          </cell>
          <cell r="F478" t="str">
            <v>BARG</v>
          </cell>
        </row>
        <row r="479">
          <cell r="B479" t="str">
            <v>PDZ2013</v>
          </cell>
          <cell r="C479" t="str">
            <v>DHT REACTOR</v>
          </cell>
          <cell r="D479">
            <v>50</v>
          </cell>
          <cell r="E479">
            <v>0</v>
          </cell>
          <cell r="F479" t="str">
            <v>BAR</v>
          </cell>
        </row>
        <row r="480">
          <cell r="B480" t="str">
            <v>PDZ2067</v>
          </cell>
          <cell r="C480" t="str">
            <v>LUBE OIL</v>
          </cell>
          <cell r="D480">
            <v>4</v>
          </cell>
          <cell r="E480">
            <v>0</v>
          </cell>
          <cell r="F480" t="str">
            <v>BAR</v>
          </cell>
        </row>
        <row r="481">
          <cell r="B481" t="str">
            <v>PIAZ2067</v>
          </cell>
          <cell r="C481" t="str">
            <v>LUBE OIL</v>
          </cell>
          <cell r="D481">
            <v>4</v>
          </cell>
          <cell r="E481">
            <v>0</v>
          </cell>
          <cell r="F481" t="str">
            <v>BAR</v>
          </cell>
        </row>
        <row r="482">
          <cell r="B482" t="str">
            <v>PIAZ2078</v>
          </cell>
          <cell r="C482" t="str">
            <v>PZ2153 OUTLET PRESSURE</v>
          </cell>
          <cell r="D482">
            <v>26</v>
          </cell>
          <cell r="E482">
            <v>0</v>
          </cell>
          <cell r="F482" t="str">
            <v>BARG</v>
          </cell>
        </row>
        <row r="483">
          <cell r="B483" t="str">
            <v>PIZ1084</v>
          </cell>
          <cell r="C483" t="str">
            <v>PZ2101A ZUIGDRUK</v>
          </cell>
          <cell r="D483">
            <v>3</v>
          </cell>
          <cell r="E483">
            <v>0</v>
          </cell>
          <cell r="F483" t="str">
            <v>BARA</v>
          </cell>
        </row>
        <row r="484">
          <cell r="B484" t="str">
            <v>PIZ2013</v>
          </cell>
          <cell r="C484" t="str">
            <v>DHT REACTOR</v>
          </cell>
          <cell r="D484">
            <v>50</v>
          </cell>
          <cell r="E484">
            <v>0</v>
          </cell>
          <cell r="F484" t="str">
            <v>BARG</v>
          </cell>
        </row>
        <row r="485">
          <cell r="B485" t="str">
            <v>PIZ2013A</v>
          </cell>
          <cell r="C485" t="str">
            <v>DHT REACTOR</v>
          </cell>
          <cell r="D485">
            <v>50</v>
          </cell>
          <cell r="E485">
            <v>0</v>
          </cell>
          <cell r="F485" t="str">
            <v>BAR</v>
          </cell>
        </row>
        <row r="486">
          <cell r="B486" t="str">
            <v>PIZ2013B</v>
          </cell>
          <cell r="C486" t="str">
            <v>DHT REACTOR</v>
          </cell>
          <cell r="D486">
            <v>50</v>
          </cell>
          <cell r="E486">
            <v>0</v>
          </cell>
          <cell r="F486" t="str">
            <v>BAR</v>
          </cell>
        </row>
        <row r="487">
          <cell r="B487" t="str">
            <v>PIZ2067</v>
          </cell>
          <cell r="C487" t="str">
            <v>LUBE OIL</v>
          </cell>
          <cell r="D487">
            <v>4</v>
          </cell>
          <cell r="E487">
            <v>0</v>
          </cell>
          <cell r="F487" t="str">
            <v>BAR</v>
          </cell>
        </row>
        <row r="488">
          <cell r="B488" t="str">
            <v>PIZ2067A</v>
          </cell>
          <cell r="C488" t="str">
            <v>LUBE OIL</v>
          </cell>
          <cell r="D488">
            <v>4</v>
          </cell>
          <cell r="E488">
            <v>0</v>
          </cell>
          <cell r="F488" t="str">
            <v>BAR</v>
          </cell>
        </row>
        <row r="489">
          <cell r="B489" t="str">
            <v>PIZ2067B</v>
          </cell>
          <cell r="C489" t="str">
            <v>LUBE OIL</v>
          </cell>
          <cell r="D489">
            <v>4</v>
          </cell>
          <cell r="E489">
            <v>0</v>
          </cell>
          <cell r="F489" t="str">
            <v>BAR</v>
          </cell>
        </row>
        <row r="490">
          <cell r="B490" t="str">
            <v>PIZ2078A</v>
          </cell>
          <cell r="C490" t="str">
            <v>PZ2153 OUTLET PRESSURE A</v>
          </cell>
          <cell r="D490">
            <v>26</v>
          </cell>
          <cell r="E490">
            <v>0</v>
          </cell>
          <cell r="F490" t="str">
            <v>BAR</v>
          </cell>
        </row>
        <row r="491">
          <cell r="B491" t="str">
            <v>PIZ2078B</v>
          </cell>
          <cell r="C491" t="str">
            <v>PZ2153 OUTLET PRESSURE B</v>
          </cell>
          <cell r="D491">
            <v>26</v>
          </cell>
          <cell r="E491">
            <v>0</v>
          </cell>
          <cell r="F491" t="str">
            <v>BAR</v>
          </cell>
        </row>
        <row r="492">
          <cell r="B492" t="str">
            <v>TDAZ2029</v>
          </cell>
          <cell r="C492" t="str">
            <v>DHT4 REACTOR OUTLT</v>
          </cell>
          <cell r="D492">
            <v>400</v>
          </cell>
          <cell r="E492">
            <v>0</v>
          </cell>
          <cell r="F492" t="str">
            <v>DEGC</v>
          </cell>
        </row>
        <row r="493">
          <cell r="B493" t="str">
            <v>TIZ2029</v>
          </cell>
          <cell r="C493" t="str">
            <v>DHT4 REACTOR OUTLT</v>
          </cell>
          <cell r="D493">
            <v>400</v>
          </cell>
          <cell r="E493">
            <v>0</v>
          </cell>
          <cell r="F493" t="str">
            <v>DEGC</v>
          </cell>
        </row>
        <row r="494">
          <cell r="B494" t="str">
            <v>TIZ2029A</v>
          </cell>
          <cell r="C494" t="str">
            <v>DHT4 REACTOR OUTLT</v>
          </cell>
          <cell r="D494">
            <v>400</v>
          </cell>
          <cell r="E494">
            <v>0</v>
          </cell>
          <cell r="F494" t="str">
            <v>DEGC</v>
          </cell>
        </row>
        <row r="495">
          <cell r="B495" t="str">
            <v>TIZ2029B</v>
          </cell>
          <cell r="C495" t="str">
            <v>DHT4 REACTOR OUTLT</v>
          </cell>
          <cell r="D495">
            <v>400</v>
          </cell>
          <cell r="E495">
            <v>0</v>
          </cell>
          <cell r="F495" t="str">
            <v>DEGC</v>
          </cell>
        </row>
        <row r="496">
          <cell r="B496" t="str">
            <v>AIZ2001</v>
          </cell>
          <cell r="C496" t="str">
            <v>DHT HEATER O2 FLUE GAS</v>
          </cell>
          <cell r="D496">
            <v>10</v>
          </cell>
          <cell r="E496">
            <v>0</v>
          </cell>
          <cell r="F496" t="str">
            <v>%</v>
          </cell>
        </row>
        <row r="497">
          <cell r="B497" t="str">
            <v>AIZ2001_L2</v>
          </cell>
          <cell r="C497" t="str">
            <v>LVL2 TAG FOR OVER-VIEW DISPLAY</v>
          </cell>
          <cell r="D497">
            <v>10</v>
          </cell>
          <cell r="E497">
            <v>0</v>
          </cell>
          <cell r="F497" t="str">
            <v>%</v>
          </cell>
        </row>
        <row r="498">
          <cell r="B498" t="str">
            <v>FITZ2007</v>
          </cell>
          <cell r="C498" t="str">
            <v>MAKE-UP GAS EX 500</v>
          </cell>
          <cell r="D498">
            <v>11113</v>
          </cell>
          <cell r="E498">
            <v>0</v>
          </cell>
          <cell r="F498" t="str">
            <v>NM3/H</v>
          </cell>
        </row>
        <row r="499">
          <cell r="B499" t="str">
            <v>FITZ2014</v>
          </cell>
          <cell r="C499" t="str">
            <v>DHT HEATER FUEL GAS</v>
          </cell>
          <cell r="D499">
            <v>1726</v>
          </cell>
          <cell r="E499">
            <v>0</v>
          </cell>
          <cell r="F499" t="str">
            <v>NM3/H</v>
          </cell>
        </row>
        <row r="500">
          <cell r="B500" t="str">
            <v>FITZ2019</v>
          </cell>
          <cell r="C500" t="str">
            <v>WILD NAPHTA INJ. PZ2151 A/S</v>
          </cell>
          <cell r="D500">
            <v>61.5</v>
          </cell>
          <cell r="E500">
            <v>0</v>
          </cell>
          <cell r="F500" t="str">
            <v>M3/H</v>
          </cell>
        </row>
        <row r="501">
          <cell r="B501" t="str">
            <v>FITZ2020</v>
          </cell>
          <cell r="C501" t="str">
            <v>N2 TO REACTOR R2156</v>
          </cell>
          <cell r="D501">
            <v>150</v>
          </cell>
          <cell r="E501">
            <v>0</v>
          </cell>
          <cell r="F501" t="str">
            <v>NM3/H</v>
          </cell>
        </row>
        <row r="502">
          <cell r="B502" t="str">
            <v>FTZ2012</v>
          </cell>
          <cell r="C502" t="str">
            <v>DHT GAS TO AMINE</v>
          </cell>
          <cell r="D502">
            <v>5686</v>
          </cell>
          <cell r="E502">
            <v>0</v>
          </cell>
          <cell r="F502" t="str">
            <v>NM3/H</v>
          </cell>
        </row>
        <row r="503">
          <cell r="B503" t="str">
            <v>MCZ2152_L</v>
          </cell>
          <cell r="C503" t="str">
            <v>MCZ2152 LOAD RUNNING LOAD</v>
          </cell>
          <cell r="D503">
            <v>200</v>
          </cell>
          <cell r="E503">
            <v>0</v>
          </cell>
          <cell r="F503" t="str">
            <v>AMP</v>
          </cell>
        </row>
        <row r="504">
          <cell r="B504" t="str">
            <v>PDIZ2001</v>
          </cell>
          <cell r="C504" t="str">
            <v>DIFF PRES REACTOR RZ2156</v>
          </cell>
          <cell r="D504">
            <v>10</v>
          </cell>
          <cell r="E504">
            <v>0</v>
          </cell>
          <cell r="F504" t="str">
            <v>BAR</v>
          </cell>
        </row>
        <row r="505">
          <cell r="B505" t="str">
            <v>PIZ2004</v>
          </cell>
          <cell r="C505" t="str">
            <v>INLET PRESSURE DZ2153</v>
          </cell>
          <cell r="D505">
            <v>40</v>
          </cell>
          <cell r="E505">
            <v>0</v>
          </cell>
          <cell r="F505" t="str">
            <v>BARG</v>
          </cell>
        </row>
        <row r="506">
          <cell r="B506" t="str">
            <v>TIAZ2013</v>
          </cell>
          <cell r="C506" t="str">
            <v>DHT HEATER PASS 1 SKIN</v>
          </cell>
          <cell r="D506">
            <v>523</v>
          </cell>
          <cell r="E506">
            <v>-25</v>
          </cell>
          <cell r="F506" t="str">
            <v>DEGC</v>
          </cell>
        </row>
        <row r="507">
          <cell r="B507" t="str">
            <v>TIAZ2013_18</v>
          </cell>
          <cell r="C507" t="str">
            <v>DHT HEATER MAX PASSES SKIN</v>
          </cell>
          <cell r="D507">
            <v>616</v>
          </cell>
          <cell r="E507">
            <v>0</v>
          </cell>
          <cell r="F507" t="str">
            <v>%</v>
          </cell>
        </row>
        <row r="508">
          <cell r="B508" t="str">
            <v>TIAZ2014</v>
          </cell>
          <cell r="C508" t="str">
            <v>DHT HEATER PASS 2 SKIN</v>
          </cell>
          <cell r="D508">
            <v>523</v>
          </cell>
          <cell r="E508">
            <v>-25</v>
          </cell>
          <cell r="F508" t="str">
            <v>DEGC</v>
          </cell>
        </row>
        <row r="509">
          <cell r="B509" t="str">
            <v>TIAZ2015</v>
          </cell>
          <cell r="C509" t="str">
            <v>DHT HEATER PASS 3 SKIN</v>
          </cell>
          <cell r="D509">
            <v>523</v>
          </cell>
          <cell r="E509">
            <v>-25</v>
          </cell>
          <cell r="F509" t="str">
            <v>DEGC</v>
          </cell>
        </row>
        <row r="510">
          <cell r="B510" t="str">
            <v>TIAZ2016</v>
          </cell>
          <cell r="C510" t="str">
            <v>DHT HEATER PASS 4 SKIN</v>
          </cell>
          <cell r="D510">
            <v>523</v>
          </cell>
          <cell r="E510">
            <v>-25</v>
          </cell>
          <cell r="F510" t="str">
            <v>DEGC</v>
          </cell>
        </row>
        <row r="511">
          <cell r="B511" t="str">
            <v>TIAZ2017</v>
          </cell>
          <cell r="C511" t="str">
            <v>DHT HEATER PASS 5 SKIN</v>
          </cell>
          <cell r="D511">
            <v>523</v>
          </cell>
          <cell r="E511">
            <v>-25</v>
          </cell>
          <cell r="F511" t="str">
            <v>DEGC</v>
          </cell>
        </row>
        <row r="512">
          <cell r="B512" t="str">
            <v>TIAZ2018</v>
          </cell>
          <cell r="C512" t="str">
            <v>DHT HEATER PASS 6 SKIN</v>
          </cell>
          <cell r="D512">
            <v>523</v>
          </cell>
          <cell r="E512">
            <v>-25</v>
          </cell>
          <cell r="F512" t="str">
            <v>DEGC</v>
          </cell>
        </row>
        <row r="513">
          <cell r="B513" t="str">
            <v>TIAZ2020</v>
          </cell>
          <cell r="C513" t="str">
            <v>DHT COMP D2152 DISCHARGE</v>
          </cell>
          <cell r="D513">
            <v>523</v>
          </cell>
          <cell r="E513">
            <v>-25</v>
          </cell>
          <cell r="F513" t="str">
            <v>DEGC</v>
          </cell>
        </row>
        <row r="514">
          <cell r="B514" t="str">
            <v>TIZ2001</v>
          </cell>
          <cell r="C514" t="str">
            <v>DHT FEED TO EZ2151 A</v>
          </cell>
          <cell r="D514">
            <v>523</v>
          </cell>
          <cell r="E514">
            <v>-25</v>
          </cell>
          <cell r="F514" t="str">
            <v>DEGC</v>
          </cell>
        </row>
        <row r="515">
          <cell r="B515" t="str">
            <v>TIZ2002</v>
          </cell>
          <cell r="C515" t="str">
            <v>DHT FEED TO EZ2151 C</v>
          </cell>
          <cell r="D515">
            <v>523</v>
          </cell>
          <cell r="E515">
            <v>-25</v>
          </cell>
          <cell r="F515" t="str">
            <v>DEGC</v>
          </cell>
        </row>
        <row r="516">
          <cell r="B516" t="str">
            <v>TIZ2003</v>
          </cell>
          <cell r="C516" t="str">
            <v>DHT FEED TO EZ2151 E</v>
          </cell>
          <cell r="D516">
            <v>523</v>
          </cell>
          <cell r="E516">
            <v>-25</v>
          </cell>
          <cell r="F516" t="str">
            <v>DEGC</v>
          </cell>
        </row>
        <row r="517">
          <cell r="B517" t="str">
            <v>TIZ2005</v>
          </cell>
          <cell r="C517" t="str">
            <v>DHT REACT PRODUCT TO EZ2151 D</v>
          </cell>
          <cell r="D517">
            <v>523</v>
          </cell>
          <cell r="E517">
            <v>-25</v>
          </cell>
          <cell r="F517" t="str">
            <v>DEGC</v>
          </cell>
        </row>
        <row r="518">
          <cell r="B518" t="str">
            <v>TIZ2006</v>
          </cell>
          <cell r="C518" t="str">
            <v>DHT REACT PRODUCT TO EZ2151 B</v>
          </cell>
          <cell r="D518">
            <v>523</v>
          </cell>
          <cell r="E518">
            <v>-25</v>
          </cell>
          <cell r="F518" t="str">
            <v>DEGC</v>
          </cell>
        </row>
        <row r="519">
          <cell r="B519" t="str">
            <v>TIZ2007</v>
          </cell>
          <cell r="C519" t="str">
            <v>DHT INLET TO EZ2152 A</v>
          </cell>
          <cell r="D519">
            <v>523</v>
          </cell>
          <cell r="E519">
            <v>-25</v>
          </cell>
          <cell r="F519" t="str">
            <v>DEGC</v>
          </cell>
        </row>
        <row r="520">
          <cell r="B520" t="str">
            <v>TIZ2008</v>
          </cell>
          <cell r="C520" t="str">
            <v>DHT HEATER CONV INLET FLUE</v>
          </cell>
          <cell r="D520">
            <v>1116</v>
          </cell>
          <cell r="E520">
            <v>-25</v>
          </cell>
          <cell r="F520" t="str">
            <v>DEGC</v>
          </cell>
        </row>
        <row r="521">
          <cell r="B521" t="str">
            <v>TIZ2015</v>
          </cell>
          <cell r="C521" t="str">
            <v>DHT HEATER STACK</v>
          </cell>
          <cell r="D521">
            <v>523</v>
          </cell>
          <cell r="E521">
            <v>-25</v>
          </cell>
          <cell r="F521" t="str">
            <v>DEGC</v>
          </cell>
        </row>
        <row r="522">
          <cell r="B522" t="str">
            <v>TIZ2022</v>
          </cell>
          <cell r="C522" t="str">
            <v>DHT FURNACE OUTLET PASS 1</v>
          </cell>
          <cell r="D522">
            <v>523</v>
          </cell>
          <cell r="E522">
            <v>-25</v>
          </cell>
          <cell r="F522" t="str">
            <v>DEGC</v>
          </cell>
        </row>
        <row r="523">
          <cell r="B523" t="str">
            <v>TIZ2022_27</v>
          </cell>
          <cell r="C523" t="str">
            <v>DHT FURNACE MAX PASSES OUTLET</v>
          </cell>
          <cell r="D523">
            <v>616</v>
          </cell>
          <cell r="E523">
            <v>0</v>
          </cell>
          <cell r="F523" t="str">
            <v>%</v>
          </cell>
        </row>
        <row r="524">
          <cell r="B524" t="str">
            <v>TIZ2023</v>
          </cell>
          <cell r="C524" t="str">
            <v>DHT FURNACE OUTLET PASS 2</v>
          </cell>
          <cell r="D524">
            <v>523</v>
          </cell>
          <cell r="E524">
            <v>-25</v>
          </cell>
          <cell r="F524" t="str">
            <v>DEGC</v>
          </cell>
        </row>
        <row r="525">
          <cell r="B525" t="str">
            <v>TIZ2024</v>
          </cell>
          <cell r="C525" t="str">
            <v>DHT FURNACE OUTLET PASS 3</v>
          </cell>
          <cell r="D525">
            <v>523</v>
          </cell>
          <cell r="E525">
            <v>-25</v>
          </cell>
          <cell r="F525" t="str">
            <v>DEGC</v>
          </cell>
        </row>
        <row r="526">
          <cell r="B526" t="str">
            <v>TIZ2025</v>
          </cell>
          <cell r="C526" t="str">
            <v>DHT FURNACE OUTLET PASS 4</v>
          </cell>
          <cell r="D526">
            <v>523</v>
          </cell>
          <cell r="E526">
            <v>-25</v>
          </cell>
          <cell r="F526" t="str">
            <v>DEGC</v>
          </cell>
        </row>
        <row r="527">
          <cell r="B527" t="str">
            <v>TIZ2026</v>
          </cell>
          <cell r="C527" t="str">
            <v>DHT FURNACE OUTLET PASS 5</v>
          </cell>
          <cell r="D527">
            <v>523</v>
          </cell>
          <cell r="E527">
            <v>-25</v>
          </cell>
          <cell r="F527" t="str">
            <v>DEGC</v>
          </cell>
        </row>
        <row r="528">
          <cell r="B528" t="str">
            <v>TIZ2027</v>
          </cell>
          <cell r="C528" t="str">
            <v>DHT FURNACE OUTLET PASS 6</v>
          </cell>
          <cell r="D528">
            <v>523</v>
          </cell>
          <cell r="E528">
            <v>-25</v>
          </cell>
          <cell r="F528" t="str">
            <v>DEGC</v>
          </cell>
        </row>
        <row r="529">
          <cell r="B529" t="str">
            <v>TIZ2028</v>
          </cell>
          <cell r="C529" t="str">
            <v>DHT REACTOR INLET</v>
          </cell>
          <cell r="D529">
            <v>523</v>
          </cell>
          <cell r="E529">
            <v>-25</v>
          </cell>
          <cell r="F529" t="str">
            <v>DEGC</v>
          </cell>
        </row>
        <row r="530">
          <cell r="B530" t="str">
            <v>TIZ2031</v>
          </cell>
          <cell r="C530" t="str">
            <v>COMPRESSOR CZ2152 SUCTION</v>
          </cell>
          <cell r="D530">
            <v>238</v>
          </cell>
          <cell r="E530">
            <v>-25</v>
          </cell>
          <cell r="F530" t="str">
            <v>DEGC</v>
          </cell>
        </row>
        <row r="531">
          <cell r="B531" t="str">
            <v>TIZ2032</v>
          </cell>
          <cell r="C531" t="str">
            <v>DHT RECYCLE MAKE UP GAS</v>
          </cell>
          <cell r="D531">
            <v>238</v>
          </cell>
          <cell r="E531">
            <v>-25</v>
          </cell>
          <cell r="F531" t="str">
            <v>DEGC</v>
          </cell>
        </row>
        <row r="532">
          <cell r="B532" t="str">
            <v>TIZ2034</v>
          </cell>
          <cell r="C532" t="str">
            <v>DHT EZ2152 OUTLET</v>
          </cell>
          <cell r="D532">
            <v>238</v>
          </cell>
          <cell r="E532">
            <v>-25</v>
          </cell>
          <cell r="F532" t="str">
            <v>DEGC</v>
          </cell>
        </row>
        <row r="533">
          <cell r="B533" t="str">
            <v>TIZ2079</v>
          </cell>
          <cell r="C533" t="str">
            <v>DHT REACTOR BED TEMPERATURE</v>
          </cell>
          <cell r="D533">
            <v>523</v>
          </cell>
          <cell r="E533">
            <v>-25</v>
          </cell>
          <cell r="F533" t="str">
            <v>DEGC</v>
          </cell>
        </row>
        <row r="534">
          <cell r="B534" t="str">
            <v>TIZ2081</v>
          </cell>
          <cell r="C534" t="str">
            <v>DHT REACTOR BED TEMPERATURE</v>
          </cell>
          <cell r="D534">
            <v>523</v>
          </cell>
          <cell r="E534">
            <v>-25</v>
          </cell>
          <cell r="F534" t="str">
            <v>DEGC</v>
          </cell>
        </row>
        <row r="535">
          <cell r="B535" t="str">
            <v>TIZ2083</v>
          </cell>
          <cell r="C535" t="str">
            <v>DHT REACTOR BED TEMPERATURE</v>
          </cell>
          <cell r="D535">
            <v>523</v>
          </cell>
          <cell r="E535">
            <v>-25</v>
          </cell>
          <cell r="F535" t="str">
            <v>DEGC</v>
          </cell>
        </row>
        <row r="536">
          <cell r="B536" t="str">
            <v>TIZ2085</v>
          </cell>
          <cell r="C536" t="str">
            <v>DHT REACTOR BED TEMPERATURE</v>
          </cell>
          <cell r="D536">
            <v>523</v>
          </cell>
          <cell r="E536">
            <v>-25</v>
          </cell>
          <cell r="F536" t="str">
            <v>DEGC</v>
          </cell>
        </row>
        <row r="537">
          <cell r="B537" t="str">
            <v>TIZ2087</v>
          </cell>
          <cell r="C537" t="str">
            <v>DHT REACTOR BED TEMPERATURE</v>
          </cell>
          <cell r="D537">
            <v>523</v>
          </cell>
          <cell r="E537">
            <v>-25</v>
          </cell>
          <cell r="F537" t="str">
            <v>DEGC</v>
          </cell>
        </row>
        <row r="538">
          <cell r="B538" t="str">
            <v>TIZ2089</v>
          </cell>
          <cell r="C538" t="str">
            <v>DHT REACTOR BED TEMPERATURE</v>
          </cell>
          <cell r="D538">
            <v>523</v>
          </cell>
          <cell r="E538">
            <v>-25</v>
          </cell>
          <cell r="F538" t="str">
            <v>DEGC</v>
          </cell>
        </row>
        <row r="539">
          <cell r="B539" t="str">
            <v>TIZ2091</v>
          </cell>
          <cell r="C539" t="str">
            <v>DHT REACTOR BED TEMPERATURE</v>
          </cell>
          <cell r="D539">
            <v>523</v>
          </cell>
          <cell r="E539">
            <v>-25</v>
          </cell>
          <cell r="F539" t="str">
            <v>DEGC</v>
          </cell>
        </row>
        <row r="540">
          <cell r="B540" t="str">
            <v>TIZ2093</v>
          </cell>
          <cell r="C540" t="str">
            <v>DHT REACTOR BED TEMPERATURE</v>
          </cell>
          <cell r="D540">
            <v>523</v>
          </cell>
          <cell r="E540">
            <v>-25</v>
          </cell>
          <cell r="F540" t="str">
            <v>DEGC</v>
          </cell>
        </row>
        <row r="541">
          <cell r="B541" t="str">
            <v>TIZ2095</v>
          </cell>
          <cell r="C541" t="str">
            <v>DHT REACTOR BED TEMPERATURE</v>
          </cell>
          <cell r="D541">
            <v>523</v>
          </cell>
          <cell r="E541">
            <v>-25</v>
          </cell>
          <cell r="F541" t="str">
            <v>DEGC</v>
          </cell>
        </row>
        <row r="542">
          <cell r="B542" t="str">
            <v>TIZ2097</v>
          </cell>
          <cell r="C542" t="str">
            <v>DHT REACTOR BED TEMPERATURE</v>
          </cell>
          <cell r="D542">
            <v>523</v>
          </cell>
          <cell r="E542">
            <v>-25</v>
          </cell>
          <cell r="F542" t="str">
            <v>DEGC</v>
          </cell>
        </row>
        <row r="543">
          <cell r="B543" t="str">
            <v>XIZ2007</v>
          </cell>
          <cell r="C543" t="str">
            <v>DHT PZ2151A CURRENT</v>
          </cell>
          <cell r="D543">
            <v>200</v>
          </cell>
          <cell r="E543">
            <v>0</v>
          </cell>
          <cell r="F543" t="str">
            <v>A</v>
          </cell>
        </row>
        <row r="544">
          <cell r="B544" t="str">
            <v>XIZ2008</v>
          </cell>
          <cell r="C544" t="str">
            <v>DHT PZ2151S CURRENT</v>
          </cell>
          <cell r="D544">
            <v>200</v>
          </cell>
          <cell r="E544">
            <v>0</v>
          </cell>
          <cell r="F544" t="str">
            <v>A</v>
          </cell>
        </row>
        <row r="545">
          <cell r="B545" t="str">
            <v>XFIZ2106</v>
          </cell>
          <cell r="C545" t="str">
            <v>TOTAL CRUDE FEED SIMULATIE</v>
          </cell>
          <cell r="D545">
            <v>720</v>
          </cell>
          <cell r="E545">
            <v>0</v>
          </cell>
          <cell r="F545" t="str">
            <v>M3/H</v>
          </cell>
        </row>
        <row r="546">
          <cell r="B546" t="str">
            <v>FIZ2001</v>
          </cell>
          <cell r="C546" t="str">
            <v>CDU OVHD PRODUCT DHT BYPASS</v>
          </cell>
          <cell r="D546">
            <v>598</v>
          </cell>
          <cell r="E546">
            <v>0</v>
          </cell>
          <cell r="F546" t="str">
            <v>M3/H</v>
          </cell>
        </row>
        <row r="547">
          <cell r="B547" t="str">
            <v>FIZ2001A</v>
          </cell>
          <cell r="C547" t="str">
            <v>OVHD PROD -REACTORFEED (CALC)</v>
          </cell>
          <cell r="D547">
            <v>598</v>
          </cell>
          <cell r="E547">
            <v>0</v>
          </cell>
          <cell r="F547" t="str">
            <v>M3/H</v>
          </cell>
        </row>
        <row r="548">
          <cell r="B548" t="str">
            <v>FIZ2002</v>
          </cell>
          <cell r="C548" t="str">
            <v>DHT REACTOR FEED</v>
          </cell>
          <cell r="D548">
            <v>598</v>
          </cell>
          <cell r="E548">
            <v>0</v>
          </cell>
          <cell r="F548" t="str">
            <v>M3/H</v>
          </cell>
        </row>
        <row r="549">
          <cell r="B549" t="str">
            <v>XFIZ_2102</v>
          </cell>
          <cell r="C549" t="str">
            <v>TOTAL CRUDE FEED SIMULATIE</v>
          </cell>
          <cell r="D549">
            <v>1839</v>
          </cell>
          <cell r="E549">
            <v>0</v>
          </cell>
          <cell r="F549" t="str">
            <v>M3/H</v>
          </cell>
        </row>
        <row r="550">
          <cell r="B550" t="str">
            <v>FICAZ2003</v>
          </cell>
          <cell r="C550" t="str">
            <v>DHT RECYCLE GAS (RAW)</v>
          </cell>
          <cell r="D550">
            <v>87.58</v>
          </cell>
          <cell r="E550">
            <v>0</v>
          </cell>
          <cell r="F550" t="str">
            <v>KNM3/H</v>
          </cell>
        </row>
        <row r="551">
          <cell r="B551" t="str">
            <v>FICZ2010_L2</v>
          </cell>
          <cell r="C551" t="str">
            <v>LVL2 TAG FOR OVER-VIEW DISPLAY</v>
          </cell>
          <cell r="D551">
            <v>690</v>
          </cell>
          <cell r="E551">
            <v>0</v>
          </cell>
          <cell r="F551" t="str">
            <v>M3/H</v>
          </cell>
        </row>
        <row r="552">
          <cell r="B552" t="str">
            <v>FIIZ2002</v>
          </cell>
          <cell r="C552" t="str">
            <v>DHT REACTOR FEED</v>
          </cell>
          <cell r="D552">
            <v>598</v>
          </cell>
          <cell r="E552">
            <v>0</v>
          </cell>
          <cell r="F552" t="str">
            <v>-</v>
          </cell>
        </row>
        <row r="553">
          <cell r="B553" t="str">
            <v>FIZ2003</v>
          </cell>
          <cell r="C553" t="str">
            <v>DHT RECYCLE GAS (RAW)</v>
          </cell>
          <cell r="D553">
            <v>87.58</v>
          </cell>
          <cell r="E553">
            <v>0</v>
          </cell>
          <cell r="F553" t="str">
            <v>KNM3/H</v>
          </cell>
        </row>
        <row r="554">
          <cell r="B554" t="str">
            <v>FIZ2010</v>
          </cell>
          <cell r="C554" t="str">
            <v>STABILISER FEED</v>
          </cell>
          <cell r="D554">
            <v>690</v>
          </cell>
          <cell r="E554">
            <v>0</v>
          </cell>
          <cell r="F554" t="str">
            <v>M3/H</v>
          </cell>
        </row>
        <row r="555">
          <cell r="B555" t="str">
            <v>FIZ2011</v>
          </cell>
          <cell r="C555" t="str">
            <v>DHT HP SEPARATOR OFFGAS</v>
          </cell>
          <cell r="D555">
            <v>2500</v>
          </cell>
          <cell r="E555">
            <v>0</v>
          </cell>
          <cell r="F555" t="str">
            <v>NM3/H</v>
          </cell>
        </row>
        <row r="556">
          <cell r="B556" t="str">
            <v>FIZ2015</v>
          </cell>
          <cell r="C556" t="str">
            <v>HCCS EX. FCCU TO PZ2151 A/S</v>
          </cell>
          <cell r="D556">
            <v>139</v>
          </cell>
          <cell r="E556">
            <v>0</v>
          </cell>
          <cell r="F556" t="str">
            <v>M3/H</v>
          </cell>
        </row>
        <row r="557">
          <cell r="B557" t="str">
            <v>LDZ2003</v>
          </cell>
          <cell r="C557" t="str">
            <v>DHT LP SEPARATOR</v>
          </cell>
          <cell r="D557">
            <v>100</v>
          </cell>
          <cell r="E557">
            <v>0</v>
          </cell>
          <cell r="F557" t="str">
            <v>%</v>
          </cell>
        </row>
        <row r="558">
          <cell r="B558" t="str">
            <v>LDZ2007</v>
          </cell>
          <cell r="C558" t="str">
            <v>DHT HP SEPARATOR</v>
          </cell>
          <cell r="D558">
            <v>100</v>
          </cell>
          <cell r="E558">
            <v>0</v>
          </cell>
          <cell r="F558" t="str">
            <v>%</v>
          </cell>
        </row>
        <row r="559">
          <cell r="B559" t="str">
            <v>LIZ2003</v>
          </cell>
          <cell r="C559" t="str">
            <v>DHT LP SEPARATOR</v>
          </cell>
          <cell r="D559">
            <v>100</v>
          </cell>
          <cell r="E559">
            <v>0</v>
          </cell>
          <cell r="F559" t="str">
            <v>PCT</v>
          </cell>
        </row>
        <row r="560">
          <cell r="B560" t="str">
            <v>LIZ2003A</v>
          </cell>
          <cell r="C560" t="str">
            <v>DHT LP SEPARATOR</v>
          </cell>
          <cell r="D560">
            <v>100</v>
          </cell>
          <cell r="E560">
            <v>0</v>
          </cell>
          <cell r="F560" t="str">
            <v>PCT</v>
          </cell>
        </row>
        <row r="561">
          <cell r="B561" t="str">
            <v>LIZ2003B</v>
          </cell>
          <cell r="C561" t="str">
            <v>DHT LP SEPARATOR</v>
          </cell>
          <cell r="D561">
            <v>100</v>
          </cell>
          <cell r="E561">
            <v>0</v>
          </cell>
          <cell r="F561" t="str">
            <v>PCT</v>
          </cell>
        </row>
        <row r="562">
          <cell r="B562" t="str">
            <v>LIZ2007</v>
          </cell>
          <cell r="C562" t="str">
            <v>DHT HP SEPARATOR</v>
          </cell>
          <cell r="D562">
            <v>100</v>
          </cell>
          <cell r="E562">
            <v>0</v>
          </cell>
          <cell r="F562" t="str">
            <v>PCT</v>
          </cell>
        </row>
        <row r="563">
          <cell r="B563" t="str">
            <v>LIZ2007A</v>
          </cell>
          <cell r="C563" t="str">
            <v>DHT HP SEPARATOR</v>
          </cell>
          <cell r="D563">
            <v>100</v>
          </cell>
          <cell r="E563">
            <v>0</v>
          </cell>
          <cell r="F563" t="str">
            <v>PCT</v>
          </cell>
        </row>
        <row r="564">
          <cell r="B564" t="str">
            <v>LIZ2007B</v>
          </cell>
          <cell r="C564" t="str">
            <v>DHT HP SEPARATOR</v>
          </cell>
          <cell r="D564">
            <v>100</v>
          </cell>
          <cell r="E564">
            <v>0</v>
          </cell>
          <cell r="F564" t="str">
            <v>PCT</v>
          </cell>
        </row>
        <row r="565">
          <cell r="B565" t="str">
            <v>PDIZ2021_77</v>
          </cell>
          <cell r="C565" t="str">
            <v>DIFFPRESSURE CZ2152</v>
          </cell>
          <cell r="D565">
            <v>15</v>
          </cell>
          <cell r="E565">
            <v>0</v>
          </cell>
          <cell r="F565" t="str">
            <v>BAR</v>
          </cell>
        </row>
        <row r="566">
          <cell r="B566" t="str">
            <v>PIZ2003</v>
          </cell>
          <cell r="C566" t="str">
            <v>DHT HP SEPARATOR</v>
          </cell>
          <cell r="D566">
            <v>40</v>
          </cell>
          <cell r="E566">
            <v>0</v>
          </cell>
          <cell r="F566" t="str">
            <v>BARG</v>
          </cell>
        </row>
        <row r="567">
          <cell r="B567" t="str">
            <v>PIZ2005</v>
          </cell>
          <cell r="C567" t="str">
            <v>DHT LP SEPARATOR</v>
          </cell>
          <cell r="D567">
            <v>10</v>
          </cell>
          <cell r="E567">
            <v>0</v>
          </cell>
          <cell r="F567" t="str">
            <v>BARG</v>
          </cell>
        </row>
        <row r="568">
          <cell r="B568" t="str">
            <v>PIZ2010</v>
          </cell>
          <cell r="C568" t="str">
            <v>DHT HEATER FUELGAS</v>
          </cell>
          <cell r="D568">
            <v>3</v>
          </cell>
          <cell r="E568">
            <v>0</v>
          </cell>
          <cell r="F568" t="str">
            <v>BAR</v>
          </cell>
        </row>
        <row r="569">
          <cell r="B569" t="str">
            <v>PIZ2077</v>
          </cell>
          <cell r="C569" t="str">
            <v>SUCTION CZ2152 COMPRESSOR</v>
          </cell>
          <cell r="D569">
            <v>40</v>
          </cell>
          <cell r="E569">
            <v>0</v>
          </cell>
          <cell r="F569" t="str">
            <v>BAR</v>
          </cell>
        </row>
        <row r="570">
          <cell r="B570" t="str">
            <v>PTZ2021</v>
          </cell>
          <cell r="C570" t="str">
            <v>DHT COMPRESSOR DISCHARGE</v>
          </cell>
          <cell r="D570">
            <v>60</v>
          </cell>
          <cell r="E570">
            <v>0</v>
          </cell>
          <cell r="F570" t="str">
            <v>BAR</v>
          </cell>
        </row>
        <row r="571">
          <cell r="B571" t="str">
            <v>SHCZ2002L</v>
          </cell>
          <cell r="C571" t="str">
            <v>LOCAL SETPOINT COMPR. CZ2152</v>
          </cell>
          <cell r="D571">
            <v>20000</v>
          </cell>
          <cell r="E571">
            <v>0</v>
          </cell>
          <cell r="F571" t="str">
            <v>RPM</v>
          </cell>
        </row>
        <row r="572">
          <cell r="B572" t="str">
            <v>SIAZ2002</v>
          </cell>
          <cell r="C572" t="str">
            <v>DHT COMPRESSOR SPEED</v>
          </cell>
          <cell r="D572">
            <v>20000</v>
          </cell>
          <cell r="E572">
            <v>0</v>
          </cell>
          <cell r="F572" t="str">
            <v>RPM</v>
          </cell>
        </row>
        <row r="573">
          <cell r="B573" t="str">
            <v>SYCZ2002</v>
          </cell>
          <cell r="C573" t="str">
            <v>OUTPUT SICZ2002 FEEDBACK</v>
          </cell>
          <cell r="D573">
            <v>100</v>
          </cell>
          <cell r="E573">
            <v>0</v>
          </cell>
          <cell r="F573" t="str">
            <v>PCT</v>
          </cell>
        </row>
        <row r="574">
          <cell r="B574" t="str">
            <v>TIIZ2001</v>
          </cell>
          <cell r="C574" t="str">
            <v>DHT REACTOR INLET</v>
          </cell>
          <cell r="D574">
            <v>624</v>
          </cell>
          <cell r="E574">
            <v>-19</v>
          </cell>
          <cell r="F574" t="str">
            <v>DEGC</v>
          </cell>
        </row>
        <row r="575">
          <cell r="B575" t="str">
            <v>XZ2017</v>
          </cell>
          <cell r="C575" t="str">
            <v>DHT RECYCLE RATIO (EV)</v>
          </cell>
          <cell r="D575">
            <v>250</v>
          </cell>
          <cell r="E575">
            <v>0</v>
          </cell>
          <cell r="F575" t="str">
            <v>RATIO</v>
          </cell>
        </row>
        <row r="576">
          <cell r="B576" t="str">
            <v>PDAZ2085</v>
          </cell>
          <cell r="C576" t="str">
            <v>HZ2151 PILOTGAS HEADER PRESS</v>
          </cell>
          <cell r="D576">
            <v>5</v>
          </cell>
          <cell r="E576">
            <v>0</v>
          </cell>
          <cell r="F576" t="str">
            <v>BARG</v>
          </cell>
        </row>
        <row r="577">
          <cell r="B577" t="str">
            <v>PDAZ2089</v>
          </cell>
          <cell r="C577" t="str">
            <v>HZ2151 FUELGAS HEADER PRESS</v>
          </cell>
          <cell r="D577">
            <v>5</v>
          </cell>
          <cell r="E577">
            <v>0</v>
          </cell>
          <cell r="F577" t="str">
            <v>BARG</v>
          </cell>
        </row>
        <row r="578">
          <cell r="B578" t="str">
            <v>PDZ20105_106</v>
          </cell>
          <cell r="C578" t="str">
            <v>DIFFPRESSURE RZ2156</v>
          </cell>
          <cell r="D578">
            <v>10</v>
          </cell>
          <cell r="E578">
            <v>0</v>
          </cell>
          <cell r="F578" t="str">
            <v>BAR</v>
          </cell>
        </row>
        <row r="579">
          <cell r="B579" t="str">
            <v>PIAZ2081</v>
          </cell>
          <cell r="C579" t="str">
            <v>HZ2151 INSTRUM AIRTO PILOTS</v>
          </cell>
          <cell r="D579">
            <v>10</v>
          </cell>
          <cell r="E579">
            <v>0</v>
          </cell>
          <cell r="F579" t="str">
            <v>BARG</v>
          </cell>
        </row>
        <row r="580">
          <cell r="B580" t="str">
            <v>PIAZ2085</v>
          </cell>
          <cell r="C580" t="str">
            <v>HZ2151 PILOTGAS HEADER PRESS</v>
          </cell>
          <cell r="D580">
            <v>5</v>
          </cell>
          <cell r="E580">
            <v>0</v>
          </cell>
          <cell r="F580" t="str">
            <v>BARG</v>
          </cell>
        </row>
        <row r="581">
          <cell r="B581" t="str">
            <v>PIAZ2087</v>
          </cell>
          <cell r="C581" t="str">
            <v>HZ2151 PILOT GAS AFTER FILTER</v>
          </cell>
          <cell r="D581">
            <v>5</v>
          </cell>
          <cell r="E581">
            <v>0</v>
          </cell>
          <cell r="F581" t="str">
            <v>BARG</v>
          </cell>
        </row>
        <row r="582">
          <cell r="B582" t="str">
            <v>PIAZ2089</v>
          </cell>
          <cell r="C582" t="str">
            <v>HZ2151 FUELGAS HEADER PRESS</v>
          </cell>
          <cell r="D582">
            <v>5</v>
          </cell>
          <cell r="E582">
            <v>0</v>
          </cell>
          <cell r="F582" t="str">
            <v>BARG</v>
          </cell>
        </row>
        <row r="583">
          <cell r="B583" t="str">
            <v>PIZ20105</v>
          </cell>
          <cell r="C583" t="str">
            <v>PRESSURE INLET RZ2156</v>
          </cell>
          <cell r="D583">
            <v>50</v>
          </cell>
          <cell r="E583">
            <v>0</v>
          </cell>
          <cell r="F583" t="str">
            <v>BARG</v>
          </cell>
        </row>
        <row r="584">
          <cell r="B584" t="str">
            <v>PIZ20106</v>
          </cell>
          <cell r="C584" t="str">
            <v>PRESSURE OUTLET RZ2156</v>
          </cell>
          <cell r="D584">
            <v>50</v>
          </cell>
          <cell r="E584">
            <v>0</v>
          </cell>
          <cell r="F584" t="str">
            <v>BARG</v>
          </cell>
        </row>
        <row r="585">
          <cell r="B585" t="str">
            <v>PIZ2085A</v>
          </cell>
          <cell r="C585" t="str">
            <v>HZ2151 PILOTGAS HEADER PRES A</v>
          </cell>
          <cell r="D585">
            <v>5</v>
          </cell>
          <cell r="E585">
            <v>0</v>
          </cell>
          <cell r="F585" t="str">
            <v>BARG</v>
          </cell>
        </row>
        <row r="586">
          <cell r="B586" t="str">
            <v>PIZ2085B</v>
          </cell>
          <cell r="C586" t="str">
            <v>HZ2151 PILOTGAS HEADER PRES B</v>
          </cell>
          <cell r="D586">
            <v>5</v>
          </cell>
          <cell r="E586">
            <v>0</v>
          </cell>
          <cell r="F586" t="str">
            <v>BARG</v>
          </cell>
        </row>
        <row r="587">
          <cell r="B587" t="str">
            <v>PIZ2089A</v>
          </cell>
          <cell r="C587" t="str">
            <v>HZ2151 FUELGAS HEADER PRES A</v>
          </cell>
          <cell r="D587">
            <v>5</v>
          </cell>
          <cell r="E587">
            <v>0</v>
          </cell>
          <cell r="F587" t="str">
            <v>BARG</v>
          </cell>
        </row>
        <row r="588">
          <cell r="B588" t="str">
            <v>PIZ2089B</v>
          </cell>
          <cell r="C588" t="str">
            <v>HZ2151 FUELGAS HEADER PRES B</v>
          </cell>
          <cell r="D588">
            <v>5</v>
          </cell>
          <cell r="E588">
            <v>0</v>
          </cell>
          <cell r="F588" t="str">
            <v>BARG</v>
          </cell>
        </row>
        <row r="589">
          <cell r="B589" t="str">
            <v>TIZ2004</v>
          </cell>
          <cell r="C589" t="str">
            <v>DHT FEED TO HEATER</v>
          </cell>
          <cell r="D589">
            <v>400</v>
          </cell>
          <cell r="E589">
            <v>0</v>
          </cell>
          <cell r="F589" t="str">
            <v>DEGC</v>
          </cell>
        </row>
        <row r="590">
          <cell r="B590" t="str">
            <v>TIZ20099</v>
          </cell>
          <cell r="C590" t="str">
            <v>SKIN TEMPERATURE HZ2151</v>
          </cell>
          <cell r="D590">
            <v>1200</v>
          </cell>
          <cell r="E590">
            <v>0</v>
          </cell>
          <cell r="F590" t="str">
            <v>DEGC</v>
          </cell>
        </row>
        <row r="591">
          <cell r="B591" t="str">
            <v>TIZ20100</v>
          </cell>
          <cell r="C591" t="str">
            <v>SKIN TEMPERATURE HZ2151</v>
          </cell>
          <cell r="D591">
            <v>1200</v>
          </cell>
          <cell r="E591">
            <v>0</v>
          </cell>
          <cell r="F591" t="str">
            <v>DEGC</v>
          </cell>
        </row>
        <row r="592">
          <cell r="B592" t="str">
            <v>TIZ20101</v>
          </cell>
          <cell r="C592" t="str">
            <v>SKIN TEMPERATURE HZ2151</v>
          </cell>
          <cell r="D592">
            <v>1200</v>
          </cell>
          <cell r="E592">
            <v>0</v>
          </cell>
          <cell r="F592" t="str">
            <v>DEGC</v>
          </cell>
        </row>
        <row r="593">
          <cell r="B593" t="str">
            <v>TIZ20102</v>
          </cell>
          <cell r="C593" t="str">
            <v>SKIN TEMPERATURE HZ2151</v>
          </cell>
          <cell r="D593">
            <v>1200</v>
          </cell>
          <cell r="E593">
            <v>0</v>
          </cell>
          <cell r="F593" t="str">
            <v>DEGC</v>
          </cell>
        </row>
        <row r="594">
          <cell r="B594" t="str">
            <v>TIZ20103</v>
          </cell>
          <cell r="C594" t="str">
            <v>SKIN TEMPERATURE HZ2151</v>
          </cell>
          <cell r="D594">
            <v>1200</v>
          </cell>
          <cell r="E594">
            <v>0</v>
          </cell>
          <cell r="F594" t="str">
            <v>DEGC</v>
          </cell>
        </row>
        <row r="595">
          <cell r="B595" t="str">
            <v>TIZ20104</v>
          </cell>
          <cell r="C595" t="str">
            <v>SKIN TEMPERATURE HZ2151</v>
          </cell>
          <cell r="D595">
            <v>1200</v>
          </cell>
          <cell r="E595">
            <v>0</v>
          </cell>
          <cell r="F595" t="str">
            <v>DEGC</v>
          </cell>
        </row>
        <row r="596">
          <cell r="B596" t="str">
            <v>TIZ20105</v>
          </cell>
          <cell r="C596" t="str">
            <v>SKIN TEMPERATURE HZ2151</v>
          </cell>
          <cell r="D596">
            <v>1200</v>
          </cell>
          <cell r="E596">
            <v>0</v>
          </cell>
          <cell r="F596" t="str">
            <v>DEGC</v>
          </cell>
        </row>
        <row r="597">
          <cell r="B597" t="str">
            <v>TIZ20106</v>
          </cell>
          <cell r="C597" t="str">
            <v>SKIN TEMPERATURE HZ2151</v>
          </cell>
          <cell r="D597">
            <v>1200</v>
          </cell>
          <cell r="E597">
            <v>0</v>
          </cell>
          <cell r="F597" t="str">
            <v>DEGC</v>
          </cell>
        </row>
        <row r="598">
          <cell r="B598" t="str">
            <v>TIZ20107</v>
          </cell>
          <cell r="C598" t="str">
            <v>SKIN TEMPERATURE HZ2151</v>
          </cell>
          <cell r="D598">
            <v>1200</v>
          </cell>
          <cell r="E598">
            <v>0</v>
          </cell>
          <cell r="F598" t="str">
            <v>DEGC</v>
          </cell>
        </row>
        <row r="599">
          <cell r="B599" t="str">
            <v>TIZ20108</v>
          </cell>
          <cell r="C599" t="str">
            <v>SKIN TEMPERATURE HZ2151</v>
          </cell>
          <cell r="D599">
            <v>1200</v>
          </cell>
          <cell r="E599">
            <v>0</v>
          </cell>
          <cell r="F599" t="str">
            <v>DEGC</v>
          </cell>
        </row>
        <row r="600">
          <cell r="B600" t="str">
            <v>TIZ20109</v>
          </cell>
          <cell r="C600" t="str">
            <v>SKIN TEMPERATURE HZ2151</v>
          </cell>
          <cell r="D600">
            <v>1200</v>
          </cell>
          <cell r="E600">
            <v>0</v>
          </cell>
          <cell r="F600" t="str">
            <v>DEGC</v>
          </cell>
        </row>
        <row r="601">
          <cell r="B601" t="str">
            <v>TIZ20110</v>
          </cell>
          <cell r="C601" t="str">
            <v>SKIN TEMPERATURE HZ2151</v>
          </cell>
          <cell r="D601">
            <v>1200</v>
          </cell>
          <cell r="E601">
            <v>0</v>
          </cell>
          <cell r="F601" t="str">
            <v>DEGC</v>
          </cell>
        </row>
        <row r="602">
          <cell r="B602" t="str">
            <v>TIZ2035</v>
          </cell>
          <cell r="C602" t="str">
            <v>DHT HP SEPERATOR</v>
          </cell>
          <cell r="D602">
            <v>100</v>
          </cell>
          <cell r="E602">
            <v>0</v>
          </cell>
          <cell r="F602" t="str">
            <v>DEGC</v>
          </cell>
        </row>
        <row r="603">
          <cell r="B603" t="str">
            <v>XIZ2102A</v>
          </cell>
          <cell r="C603" t="str">
            <v>MOTOR CURRENT PZ2102A</v>
          </cell>
          <cell r="D603">
            <v>125</v>
          </cell>
          <cell r="E603">
            <v>0</v>
          </cell>
          <cell r="F603" t="str">
            <v>AMP</v>
          </cell>
        </row>
        <row r="604">
          <cell r="B604" t="str">
            <v>XIZ2102B</v>
          </cell>
          <cell r="C604" t="str">
            <v>MOTOR CURRENT PZ2102B</v>
          </cell>
          <cell r="D604">
            <v>125</v>
          </cell>
          <cell r="E604">
            <v>0</v>
          </cell>
          <cell r="F604" t="str">
            <v>AMP</v>
          </cell>
        </row>
        <row r="605">
          <cell r="B605" t="str">
            <v>XIZ2102C</v>
          </cell>
          <cell r="C605" t="str">
            <v>MOTOR CURRENT PZ2102C</v>
          </cell>
          <cell r="D605">
            <v>125</v>
          </cell>
          <cell r="E605">
            <v>0</v>
          </cell>
          <cell r="F605" t="str">
            <v>AMP</v>
          </cell>
        </row>
        <row r="606">
          <cell r="B606" t="str">
            <v>XIZ2161A</v>
          </cell>
          <cell r="C606" t="str">
            <v>PZ2161A RADIAL DISPLACEMENT</v>
          </cell>
          <cell r="D606">
            <v>100</v>
          </cell>
          <cell r="E606">
            <v>0</v>
          </cell>
          <cell r="F606" t="str">
            <v>%</v>
          </cell>
        </row>
        <row r="607">
          <cell r="B607" t="str">
            <v>XIZ2161B</v>
          </cell>
          <cell r="C607" t="str">
            <v>PZ2161B RADIAL DISPLACEMENT</v>
          </cell>
          <cell r="D607">
            <v>100</v>
          </cell>
          <cell r="E607">
            <v>0</v>
          </cell>
          <cell r="F607" t="str">
            <v>%</v>
          </cell>
        </row>
        <row r="608">
          <cell r="B608" t="str">
            <v>ZIZ2161A</v>
          </cell>
          <cell r="C608" t="str">
            <v>PZ2161A AXIAL DISPLACEMENT</v>
          </cell>
          <cell r="D608">
            <v>100</v>
          </cell>
          <cell r="E608">
            <v>0</v>
          </cell>
          <cell r="F608" t="str">
            <v>%</v>
          </cell>
        </row>
        <row r="609">
          <cell r="B609" t="str">
            <v>ZIZ2161B</v>
          </cell>
          <cell r="C609" t="str">
            <v>PZ2161B AXIAL DISPLACEMENT</v>
          </cell>
          <cell r="D609">
            <v>100</v>
          </cell>
          <cell r="E609">
            <v>0</v>
          </cell>
          <cell r="F609" t="str">
            <v>%</v>
          </cell>
        </row>
        <row r="610">
          <cell r="B610" t="str">
            <v>PIZ2023</v>
          </cell>
          <cell r="C610" t="str">
            <v>DRAUGHT RADIANT HZ2151</v>
          </cell>
          <cell r="D610">
            <v>70</v>
          </cell>
          <cell r="E610">
            <v>-70</v>
          </cell>
          <cell r="F610" t="str">
            <v>MMWG</v>
          </cell>
        </row>
        <row r="611">
          <cell r="B611" t="str">
            <v>FIZ2066</v>
          </cell>
          <cell r="C611" t="str">
            <v>IMPORT H2 TO DZ2153</v>
          </cell>
          <cell r="D611">
            <v>8000</v>
          </cell>
          <cell r="E611">
            <v>0</v>
          </cell>
          <cell r="F611" t="str">
            <v>NM3/H</v>
          </cell>
        </row>
        <row r="612">
          <cell r="B612" t="str">
            <v>FIZ2067</v>
          </cell>
          <cell r="C612" t="str">
            <v>CRU GAS TO DZ2153</v>
          </cell>
          <cell r="D612">
            <v>13750</v>
          </cell>
          <cell r="E612">
            <v>0</v>
          </cell>
          <cell r="F612" t="str">
            <v>NM3/H</v>
          </cell>
        </row>
        <row r="613">
          <cell r="B613" t="str">
            <v>PDZ2098</v>
          </cell>
          <cell r="C613" t="str">
            <v>PRESSURE HZ2151</v>
          </cell>
          <cell r="D613">
            <v>14</v>
          </cell>
          <cell r="E613">
            <v>0</v>
          </cell>
          <cell r="F613" t="str">
            <v>MBARG</v>
          </cell>
        </row>
        <row r="614">
          <cell r="B614" t="str">
            <v>PTZ2098</v>
          </cell>
          <cell r="C614" t="str">
            <v>PRESSURE HZ2151</v>
          </cell>
          <cell r="D614">
            <v>7</v>
          </cell>
          <cell r="E614">
            <v>-7</v>
          </cell>
          <cell r="F614" t="str">
            <v>MBARG</v>
          </cell>
        </row>
        <row r="615">
          <cell r="B615" t="str">
            <v>PTZ2098HHTMR</v>
          </cell>
          <cell r="C615" t="str">
            <v>PRESSURE HZ2151</v>
          </cell>
          <cell r="D615">
            <v>1800</v>
          </cell>
          <cell r="E615">
            <v>0</v>
          </cell>
          <cell r="F615" t="str">
            <v>SEC</v>
          </cell>
        </row>
        <row r="616">
          <cell r="B616" t="str">
            <v>AIZ3001A</v>
          </cell>
          <cell r="C616" t="str">
            <v>90% DESTILLATION POINT SRG</v>
          </cell>
          <cell r="D616">
            <v>120</v>
          </cell>
          <cell r="E616">
            <v>60</v>
          </cell>
          <cell r="F616" t="str">
            <v>DEGC</v>
          </cell>
        </row>
        <row r="617">
          <cell r="B617" t="str">
            <v>AIZ3001A_L2</v>
          </cell>
          <cell r="C617" t="str">
            <v>LVL2 TAG FOR OVER-VIEW DISPLAY</v>
          </cell>
          <cell r="D617">
            <v>120</v>
          </cell>
          <cell r="E617">
            <v>60</v>
          </cell>
          <cell r="F617" t="str">
            <v>DEGC</v>
          </cell>
        </row>
        <row r="618">
          <cell r="B618" t="str">
            <v>AIZ3001B</v>
          </cell>
          <cell r="C618" t="str">
            <v>RVP SRG</v>
          </cell>
          <cell r="D618">
            <v>2</v>
          </cell>
          <cell r="E618">
            <v>0</v>
          </cell>
          <cell r="F618" t="str">
            <v>BAR</v>
          </cell>
        </row>
        <row r="619">
          <cell r="B619" t="str">
            <v>AIZ3001B_L2</v>
          </cell>
          <cell r="C619" t="str">
            <v>LVL2 TAG FOR OVER-VIEW DISPLAY</v>
          </cell>
          <cell r="D619">
            <v>2</v>
          </cell>
          <cell r="E619">
            <v>0</v>
          </cell>
          <cell r="F619" t="str">
            <v>BAR</v>
          </cell>
        </row>
        <row r="620">
          <cell r="B620" t="str">
            <v>AIZ3001C</v>
          </cell>
          <cell r="C620" t="str">
            <v>DENSITY SRG</v>
          </cell>
          <cell r="D620">
            <v>900</v>
          </cell>
          <cell r="E620">
            <v>500</v>
          </cell>
          <cell r="F620" t="str">
            <v>KG/M3</v>
          </cell>
        </row>
        <row r="621">
          <cell r="B621" t="str">
            <v>AIZ3001D</v>
          </cell>
          <cell r="C621" t="str">
            <v>TOTAL C4 SRG</v>
          </cell>
          <cell r="D621">
            <v>10</v>
          </cell>
          <cell r="E621">
            <v>0</v>
          </cell>
          <cell r="F621" t="str">
            <v>VOLPCT</v>
          </cell>
        </row>
        <row r="622">
          <cell r="B622" t="str">
            <v>AIZ3001E</v>
          </cell>
          <cell r="C622" t="str">
            <v>N-PARAFINES STREAMSRG</v>
          </cell>
          <cell r="D622">
            <v>50</v>
          </cell>
          <cell r="E622">
            <v>0</v>
          </cell>
          <cell r="F622" t="str">
            <v>VOLPCT</v>
          </cell>
        </row>
        <row r="623">
          <cell r="B623" t="str">
            <v>AIZ3001F</v>
          </cell>
          <cell r="C623" t="str">
            <v>I-PARAFINES STREAMSRG</v>
          </cell>
          <cell r="D623">
            <v>50</v>
          </cell>
          <cell r="E623">
            <v>0</v>
          </cell>
          <cell r="F623" t="str">
            <v>VOLPCT</v>
          </cell>
        </row>
        <row r="624">
          <cell r="B624" t="str">
            <v>AIZ3001G</v>
          </cell>
          <cell r="C624" t="str">
            <v>BENZENE STREAM SRG</v>
          </cell>
          <cell r="D624">
            <v>10</v>
          </cell>
          <cell r="E624">
            <v>0</v>
          </cell>
          <cell r="F624" t="str">
            <v>VOLPCT</v>
          </cell>
        </row>
        <row r="625">
          <cell r="B625" t="str">
            <v>AIZ3003A</v>
          </cell>
          <cell r="C625" t="str">
            <v>90% DESTIL. POINT SRB/N</v>
          </cell>
          <cell r="D625">
            <v>190</v>
          </cell>
          <cell r="E625">
            <v>80</v>
          </cell>
          <cell r="F625" t="str">
            <v>DEGC</v>
          </cell>
        </row>
        <row r="626">
          <cell r="B626" t="str">
            <v>AIZ3003A_L2</v>
          </cell>
          <cell r="C626" t="str">
            <v>LVL2 TAG FOR OVER-VIEW DISPLAY</v>
          </cell>
          <cell r="D626">
            <v>190</v>
          </cell>
          <cell r="E626">
            <v>80</v>
          </cell>
          <cell r="F626" t="str">
            <v>DEGC</v>
          </cell>
        </row>
        <row r="627">
          <cell r="B627" t="str">
            <v>AIZ3003B</v>
          </cell>
          <cell r="C627" t="str">
            <v>5% DESTIL. POINT SRB/N</v>
          </cell>
          <cell r="D627">
            <v>140</v>
          </cell>
          <cell r="E627">
            <v>70</v>
          </cell>
          <cell r="F627" t="str">
            <v>DEGC</v>
          </cell>
        </row>
        <row r="628">
          <cell r="B628" t="str">
            <v>AIZ3003B_L2</v>
          </cell>
          <cell r="C628" t="str">
            <v>LVL2 TAG FOR OVER-VIEW DISPLAY</v>
          </cell>
          <cell r="D628">
            <v>140</v>
          </cell>
          <cell r="E628">
            <v>70</v>
          </cell>
          <cell r="F628" t="str">
            <v>DEGC</v>
          </cell>
        </row>
        <row r="629">
          <cell r="B629" t="str">
            <v>AIZ3003C</v>
          </cell>
          <cell r="C629" t="str">
            <v>DENSITY SRB/N</v>
          </cell>
          <cell r="D629">
            <v>900</v>
          </cell>
          <cell r="E629">
            <v>600</v>
          </cell>
          <cell r="F629" t="str">
            <v>KG/M3</v>
          </cell>
        </row>
        <row r="630">
          <cell r="B630" t="str">
            <v>AIZ3004A</v>
          </cell>
          <cell r="C630" t="str">
            <v>FLASHPOINT KERO</v>
          </cell>
          <cell r="D630">
            <v>80</v>
          </cell>
          <cell r="E630">
            <v>20</v>
          </cell>
          <cell r="F630" t="str">
            <v>DEGC</v>
          </cell>
        </row>
        <row r="631">
          <cell r="B631" t="str">
            <v>AIZ3004A_L2</v>
          </cell>
          <cell r="C631" t="str">
            <v>LVL2 TAG FOR OVER-VIEW DISPLAY</v>
          </cell>
          <cell r="D631">
            <v>80</v>
          </cell>
          <cell r="E631">
            <v>20</v>
          </cell>
          <cell r="F631" t="str">
            <v>DEGC</v>
          </cell>
        </row>
        <row r="632">
          <cell r="B632" t="str">
            <v>AIZ3004B</v>
          </cell>
          <cell r="C632" t="str">
            <v>90% DESTIL. POINT KERO</v>
          </cell>
          <cell r="D632">
            <v>280</v>
          </cell>
          <cell r="E632">
            <v>180</v>
          </cell>
          <cell r="F632" t="str">
            <v>DEGC</v>
          </cell>
        </row>
        <row r="633">
          <cell r="B633" t="str">
            <v>AIZ3004B_L2</v>
          </cell>
          <cell r="C633" t="str">
            <v>LVL2 TAG FOR OVER-VIEW DISPLAY</v>
          </cell>
          <cell r="D633">
            <v>280</v>
          </cell>
          <cell r="E633">
            <v>180</v>
          </cell>
          <cell r="F633" t="str">
            <v>DEGC</v>
          </cell>
        </row>
        <row r="634">
          <cell r="B634" t="str">
            <v>AIZ3004C</v>
          </cell>
          <cell r="C634" t="str">
            <v>DENSITY KERO</v>
          </cell>
          <cell r="D634">
            <v>1000</v>
          </cell>
          <cell r="E634">
            <v>600</v>
          </cell>
          <cell r="F634" t="str">
            <v>KG/M3</v>
          </cell>
        </row>
        <row r="635">
          <cell r="B635" t="str">
            <v>AIZ3004D</v>
          </cell>
          <cell r="C635" t="str">
            <v>FREEZING POINT KERO</v>
          </cell>
          <cell r="D635">
            <v>-30</v>
          </cell>
          <cell r="E635">
            <v>-80</v>
          </cell>
          <cell r="F635" t="str">
            <v>DEGC</v>
          </cell>
        </row>
        <row r="636">
          <cell r="B636" t="str">
            <v>AIZ3010</v>
          </cell>
          <cell r="C636" t="str">
            <v>TOTAL PENTAAN OVHDDZ2201</v>
          </cell>
          <cell r="D636">
            <v>50</v>
          </cell>
          <cell r="E636">
            <v>0</v>
          </cell>
          <cell r="F636" t="str">
            <v>MOL%</v>
          </cell>
        </row>
        <row r="637">
          <cell r="B637" t="str">
            <v>HCCS_BL3</v>
          </cell>
          <cell r="C637" t="str">
            <v>HCCS OP BLENDKERO CDU3</v>
          </cell>
          <cell r="D637">
            <v>100</v>
          </cell>
          <cell r="E637">
            <v>0</v>
          </cell>
          <cell r="F637" t="str">
            <v>%</v>
          </cell>
        </row>
        <row r="638">
          <cell r="B638" t="str">
            <v>HCCS_BL4</v>
          </cell>
          <cell r="C638" t="str">
            <v>HCCS OP BLENDKERO CDU4</v>
          </cell>
          <cell r="D638">
            <v>100</v>
          </cell>
          <cell r="E638">
            <v>0</v>
          </cell>
          <cell r="F638" t="str">
            <v>%</v>
          </cell>
        </row>
        <row r="639">
          <cell r="B639" t="str">
            <v>HCCS_BLEND</v>
          </cell>
          <cell r="C639" t="str">
            <v>HCCS OP BLENDKERO CDU3+CDU4</v>
          </cell>
          <cell r="D639">
            <v>100</v>
          </cell>
          <cell r="E639">
            <v>0</v>
          </cell>
          <cell r="F639" t="str">
            <v>%</v>
          </cell>
        </row>
        <row r="640">
          <cell r="B640" t="str">
            <v>HCCS_TK</v>
          </cell>
          <cell r="C640" t="str">
            <v>HCCS OP KERO 3+4 AFLOOP TANK</v>
          </cell>
          <cell r="D640">
            <v>100</v>
          </cell>
          <cell r="E640">
            <v>0</v>
          </cell>
          <cell r="F640" t="str">
            <v>%</v>
          </cell>
        </row>
        <row r="641">
          <cell r="B641" t="str">
            <v>HCCS_TK3</v>
          </cell>
          <cell r="C641" t="str">
            <v>HCCS OP KERO CDU3 AFLOOP TANK</v>
          </cell>
          <cell r="D641">
            <v>100</v>
          </cell>
          <cell r="E641">
            <v>0</v>
          </cell>
          <cell r="F641" t="str">
            <v>%</v>
          </cell>
        </row>
        <row r="642">
          <cell r="B642" t="str">
            <v>HCCS_TK4</v>
          </cell>
          <cell r="C642" t="str">
            <v>HCCS OP KERO CDU4 AFLOOP TANK</v>
          </cell>
          <cell r="D642">
            <v>100</v>
          </cell>
          <cell r="E642">
            <v>0</v>
          </cell>
          <cell r="F642" t="str">
            <v>%</v>
          </cell>
        </row>
        <row r="643">
          <cell r="B643" t="str">
            <v>LDAZ3006</v>
          </cell>
          <cell r="C643" t="str">
            <v>STABILISER WATER BOOT LVL DIFF</v>
          </cell>
          <cell r="D643">
            <v>100</v>
          </cell>
          <cell r="E643">
            <v>-100</v>
          </cell>
          <cell r="F643" t="str">
            <v>%</v>
          </cell>
        </row>
        <row r="644">
          <cell r="B644" t="str">
            <v>LIZ3006</v>
          </cell>
          <cell r="C644" t="str">
            <v>STABILISER WATER BOOT</v>
          </cell>
          <cell r="D644">
            <v>100</v>
          </cell>
          <cell r="E644">
            <v>0</v>
          </cell>
          <cell r="F644" t="str">
            <v>%</v>
          </cell>
        </row>
        <row r="645">
          <cell r="B645" t="str">
            <v>LIZ3006A</v>
          </cell>
          <cell r="C645" t="str">
            <v>DFU STABLR OVERHEAD WATER</v>
          </cell>
          <cell r="D645">
            <v>100</v>
          </cell>
          <cell r="E645">
            <v>0</v>
          </cell>
          <cell r="F645" t="str">
            <v>PCT</v>
          </cell>
        </row>
        <row r="646">
          <cell r="B646" t="str">
            <v>LIZ3006B</v>
          </cell>
          <cell r="C646" t="str">
            <v>STABILISER WATER BOOT (LT)</v>
          </cell>
          <cell r="D646">
            <v>100</v>
          </cell>
          <cell r="E646">
            <v>0</v>
          </cell>
          <cell r="F646" t="str">
            <v>PCT</v>
          </cell>
        </row>
        <row r="647">
          <cell r="B647" t="str">
            <v>PDZ3002</v>
          </cell>
          <cell r="C647" t="str">
            <v>DFU STABLR OVERHEAD DRUM</v>
          </cell>
          <cell r="D647">
            <v>16</v>
          </cell>
          <cell r="E647">
            <v>0</v>
          </cell>
          <cell r="F647" t="str">
            <v>BAR</v>
          </cell>
        </row>
        <row r="648">
          <cell r="B648" t="str">
            <v>PDZ3013</v>
          </cell>
          <cell r="C648" t="str">
            <v>DFU SPLITTER TOP</v>
          </cell>
          <cell r="D648">
            <v>4</v>
          </cell>
          <cell r="E648">
            <v>0</v>
          </cell>
          <cell r="F648" t="str">
            <v>BAR</v>
          </cell>
        </row>
        <row r="649">
          <cell r="B649" t="str">
            <v>PIZ3002</v>
          </cell>
          <cell r="C649" t="str">
            <v>DFU STABILISER TOP</v>
          </cell>
          <cell r="D649">
            <v>16</v>
          </cell>
          <cell r="E649">
            <v>0</v>
          </cell>
          <cell r="F649" t="str">
            <v>BARG</v>
          </cell>
        </row>
        <row r="650">
          <cell r="B650" t="str">
            <v>PIZ3002A</v>
          </cell>
          <cell r="C650" t="str">
            <v>DFU STABLR OVERHEAD DRUM</v>
          </cell>
          <cell r="D650">
            <v>16</v>
          </cell>
          <cell r="E650">
            <v>0</v>
          </cell>
          <cell r="F650" t="str">
            <v>BAR</v>
          </cell>
        </row>
        <row r="651">
          <cell r="B651" t="str">
            <v>PIZ3002B</v>
          </cell>
          <cell r="C651" t="str">
            <v>DFU STABLR OVERHEAD DRUM</v>
          </cell>
          <cell r="D651">
            <v>16</v>
          </cell>
          <cell r="E651">
            <v>0</v>
          </cell>
          <cell r="F651" t="str">
            <v>BAR</v>
          </cell>
        </row>
        <row r="652">
          <cell r="B652" t="str">
            <v>PIZ3013</v>
          </cell>
          <cell r="C652" t="str">
            <v>DFU SPLITTER TOP</v>
          </cell>
          <cell r="D652">
            <v>4</v>
          </cell>
          <cell r="E652">
            <v>0</v>
          </cell>
          <cell r="F652" t="str">
            <v>BARG</v>
          </cell>
        </row>
        <row r="653">
          <cell r="B653" t="str">
            <v>PIZ3013A</v>
          </cell>
          <cell r="C653" t="str">
            <v>DFU SPLITTER TOP</v>
          </cell>
          <cell r="D653">
            <v>4</v>
          </cell>
          <cell r="E653">
            <v>0</v>
          </cell>
          <cell r="F653" t="str">
            <v>BAR</v>
          </cell>
        </row>
        <row r="654">
          <cell r="B654" t="str">
            <v>PIZ3013B</v>
          </cell>
          <cell r="C654" t="str">
            <v>DFU SPLITTER TOP</v>
          </cell>
          <cell r="D654">
            <v>4</v>
          </cell>
          <cell r="E654">
            <v>0</v>
          </cell>
          <cell r="F654" t="str">
            <v>BAR</v>
          </cell>
        </row>
        <row r="655">
          <cell r="B655" t="str">
            <v>AIZ_3011A</v>
          </cell>
          <cell r="C655" t="str">
            <v>PH BEFORE INJECT POINT</v>
          </cell>
          <cell r="D655">
            <v>14</v>
          </cell>
          <cell r="E655">
            <v>0</v>
          </cell>
          <cell r="F655" t="str">
            <v>PH</v>
          </cell>
        </row>
        <row r="656">
          <cell r="B656" t="str">
            <v>AIZ_3011B</v>
          </cell>
          <cell r="C656" t="str">
            <v>PH BEFORE INJECT POINT</v>
          </cell>
          <cell r="D656">
            <v>14</v>
          </cell>
          <cell r="E656">
            <v>0</v>
          </cell>
          <cell r="F656" t="str">
            <v>PH</v>
          </cell>
        </row>
        <row r="657">
          <cell r="B657" t="str">
            <v>AIZ_3012A</v>
          </cell>
          <cell r="C657" t="str">
            <v>PH AFTER INJECTIONPOINT</v>
          </cell>
          <cell r="D657">
            <v>14</v>
          </cell>
          <cell r="E657">
            <v>0</v>
          </cell>
          <cell r="F657" t="str">
            <v>PH</v>
          </cell>
        </row>
        <row r="658">
          <cell r="B658" t="str">
            <v>AIZ_3012B</v>
          </cell>
          <cell r="C658" t="str">
            <v>PH AFTER INJECTIONPOINT</v>
          </cell>
          <cell r="D658">
            <v>14</v>
          </cell>
          <cell r="E658">
            <v>0</v>
          </cell>
          <cell r="F658" t="str">
            <v>PH</v>
          </cell>
        </row>
        <row r="659">
          <cell r="B659" t="str">
            <v>AIZ3007</v>
          </cell>
          <cell r="C659" t="str">
            <v>SPLITTER HEATER O2 FLUE GAS</v>
          </cell>
          <cell r="D659">
            <v>10</v>
          </cell>
          <cell r="E659">
            <v>0</v>
          </cell>
          <cell r="F659" t="str">
            <v>%</v>
          </cell>
        </row>
        <row r="660">
          <cell r="B660" t="str">
            <v>AIZ3007_L2</v>
          </cell>
          <cell r="C660" t="str">
            <v>LVL2 TAG FOR OVER-VIEW DISPLAY</v>
          </cell>
          <cell r="D660">
            <v>10</v>
          </cell>
          <cell r="E660">
            <v>0</v>
          </cell>
          <cell r="F660" t="str">
            <v>%</v>
          </cell>
        </row>
        <row r="661">
          <cell r="B661" t="str">
            <v>FITZ3005</v>
          </cell>
          <cell r="C661" t="str">
            <v>DFU STAB. O/H DRUM OFFGAS</v>
          </cell>
          <cell r="D661">
            <v>14.08</v>
          </cell>
          <cell r="E661">
            <v>0</v>
          </cell>
          <cell r="F661" t="str">
            <v>KNM3/H</v>
          </cell>
        </row>
        <row r="662">
          <cell r="B662" t="str">
            <v>FITZ3012</v>
          </cell>
          <cell r="C662" t="str">
            <v>SPLITTER HEATER FUEL GAS</v>
          </cell>
          <cell r="D662">
            <v>3154</v>
          </cell>
          <cell r="E662">
            <v>0</v>
          </cell>
          <cell r="F662" t="str">
            <v>NM3/H</v>
          </cell>
        </row>
        <row r="663">
          <cell r="B663" t="str">
            <v>FITZ3021</v>
          </cell>
          <cell r="C663" t="str">
            <v>SRB R/D TO 500 UNIT</v>
          </cell>
          <cell r="D663">
            <v>200</v>
          </cell>
          <cell r="E663">
            <v>0</v>
          </cell>
          <cell r="F663" t="str">
            <v>NM3/H</v>
          </cell>
        </row>
        <row r="664">
          <cell r="B664" t="str">
            <v>JQIZ3015</v>
          </cell>
          <cell r="C664" t="str">
            <v>ENERGY CONSUMPTIONSUBSTATION BB</v>
          </cell>
          <cell r="D664">
            <v>15</v>
          </cell>
          <cell r="E664">
            <v>0</v>
          </cell>
          <cell r="F664" t="str">
            <v>MWATT</v>
          </cell>
        </row>
        <row r="665">
          <cell r="B665" t="str">
            <v>TIAZ3036</v>
          </cell>
          <cell r="C665" t="str">
            <v>SPLITTER HEATER PASS 8 SKIN</v>
          </cell>
          <cell r="D665">
            <v>523</v>
          </cell>
          <cell r="E665">
            <v>-25</v>
          </cell>
          <cell r="F665" t="str">
            <v>DEGC</v>
          </cell>
        </row>
        <row r="666">
          <cell r="B666" t="str">
            <v>TIAZ3036_43</v>
          </cell>
          <cell r="C666" t="str">
            <v>SPLITTER HEATR MAXPASSES SKIN</v>
          </cell>
          <cell r="D666">
            <v>616</v>
          </cell>
          <cell r="E666">
            <v>0</v>
          </cell>
          <cell r="F666" t="str">
            <v>%</v>
          </cell>
        </row>
        <row r="667">
          <cell r="B667" t="str">
            <v>TIAZ3037</v>
          </cell>
          <cell r="C667" t="str">
            <v>SPLITTER HEATER PASS 7 SKIN</v>
          </cell>
          <cell r="D667">
            <v>523</v>
          </cell>
          <cell r="E667">
            <v>-25</v>
          </cell>
          <cell r="F667" t="str">
            <v>DEGC</v>
          </cell>
        </row>
        <row r="668">
          <cell r="B668" t="str">
            <v>TIAZ3038</v>
          </cell>
          <cell r="C668" t="str">
            <v>SPLITTER HEATER PASS 6 SKIN</v>
          </cell>
          <cell r="D668">
            <v>523</v>
          </cell>
          <cell r="E668">
            <v>-25</v>
          </cell>
          <cell r="F668" t="str">
            <v>DEGC</v>
          </cell>
        </row>
        <row r="669">
          <cell r="B669" t="str">
            <v>TIAZ3039</v>
          </cell>
          <cell r="C669" t="str">
            <v>SPLITTER HEATER PASS 5 SKIN</v>
          </cell>
          <cell r="D669">
            <v>523</v>
          </cell>
          <cell r="E669">
            <v>-25</v>
          </cell>
          <cell r="F669" t="str">
            <v>DEGC</v>
          </cell>
        </row>
        <row r="670">
          <cell r="B670" t="str">
            <v>TIAZ3040</v>
          </cell>
          <cell r="C670" t="str">
            <v>SPLITTER HEATER PASS 1 SKIN</v>
          </cell>
          <cell r="D670">
            <v>523</v>
          </cell>
          <cell r="E670">
            <v>-25</v>
          </cell>
          <cell r="F670" t="str">
            <v>DEGC</v>
          </cell>
        </row>
        <row r="671">
          <cell r="B671" t="str">
            <v>TIAZ3041</v>
          </cell>
          <cell r="C671" t="str">
            <v>SPLITTER HEATER PASS 2 SKIN</v>
          </cell>
          <cell r="D671">
            <v>523</v>
          </cell>
          <cell r="E671">
            <v>-25</v>
          </cell>
          <cell r="F671" t="str">
            <v>DEGC</v>
          </cell>
        </row>
        <row r="672">
          <cell r="B672" t="str">
            <v>TIAZ3042</v>
          </cell>
          <cell r="C672" t="str">
            <v>SPLITTER HEATER PASS 3 SKIN</v>
          </cell>
          <cell r="D672">
            <v>523</v>
          </cell>
          <cell r="E672">
            <v>-25</v>
          </cell>
          <cell r="F672" t="str">
            <v>DEGC</v>
          </cell>
        </row>
        <row r="673">
          <cell r="B673" t="str">
            <v>TIAZ3043</v>
          </cell>
          <cell r="C673" t="str">
            <v>SPLITTER HEATER PASS 4 SKIN</v>
          </cell>
          <cell r="D673">
            <v>523</v>
          </cell>
          <cell r="E673">
            <v>-25</v>
          </cell>
          <cell r="F673" t="str">
            <v>DEGC</v>
          </cell>
        </row>
        <row r="674">
          <cell r="B674" t="str">
            <v>TIZ3001</v>
          </cell>
          <cell r="C674" t="str">
            <v>DFU STABLR FD EX EZ2202 B</v>
          </cell>
          <cell r="D674">
            <v>523</v>
          </cell>
          <cell r="E674">
            <v>-25</v>
          </cell>
          <cell r="F674" t="str">
            <v>DEGC</v>
          </cell>
        </row>
        <row r="675">
          <cell r="B675" t="str">
            <v>TIZ3002</v>
          </cell>
          <cell r="C675" t="str">
            <v>DFU STABLR FD EX E2Z202 D</v>
          </cell>
          <cell r="D675">
            <v>523</v>
          </cell>
          <cell r="E675">
            <v>-25</v>
          </cell>
          <cell r="F675" t="str">
            <v>DEGC</v>
          </cell>
        </row>
        <row r="676">
          <cell r="B676" t="str">
            <v>TIZ3003</v>
          </cell>
          <cell r="C676" t="str">
            <v>RESIDUE EX STABLR REBOILR A</v>
          </cell>
          <cell r="D676">
            <v>523</v>
          </cell>
          <cell r="E676">
            <v>-25</v>
          </cell>
          <cell r="F676" t="str">
            <v>DEGC</v>
          </cell>
        </row>
        <row r="677">
          <cell r="B677" t="str">
            <v>TIZ3004</v>
          </cell>
          <cell r="C677" t="str">
            <v>RESIDUE EX STABLR REBOILR B</v>
          </cell>
          <cell r="D677">
            <v>523</v>
          </cell>
          <cell r="E677">
            <v>-25</v>
          </cell>
          <cell r="F677" t="str">
            <v>DEGC</v>
          </cell>
        </row>
        <row r="678">
          <cell r="B678" t="str">
            <v>TIZ3005</v>
          </cell>
          <cell r="C678" t="str">
            <v>DFU STABLR OUTL REBOIL A</v>
          </cell>
          <cell r="D678">
            <v>523</v>
          </cell>
          <cell r="E678">
            <v>-25</v>
          </cell>
          <cell r="F678" t="str">
            <v>DEGC</v>
          </cell>
        </row>
        <row r="679">
          <cell r="B679" t="str">
            <v>TIZ3006</v>
          </cell>
          <cell r="C679" t="str">
            <v>DFU STABLR OUTL REBOIL B</v>
          </cell>
          <cell r="D679">
            <v>523</v>
          </cell>
          <cell r="E679">
            <v>-25</v>
          </cell>
          <cell r="F679" t="str">
            <v>DEGC</v>
          </cell>
        </row>
        <row r="680">
          <cell r="B680" t="str">
            <v>TIZ3007</v>
          </cell>
          <cell r="C680" t="str">
            <v>DFU STABILISER TRAY 9</v>
          </cell>
          <cell r="D680">
            <v>523</v>
          </cell>
          <cell r="E680">
            <v>-25</v>
          </cell>
          <cell r="F680" t="str">
            <v>DEGC</v>
          </cell>
        </row>
        <row r="681">
          <cell r="B681" t="str">
            <v>TIZ3008</v>
          </cell>
          <cell r="C681" t="str">
            <v>DFU STABILISER TRAY 3</v>
          </cell>
          <cell r="D681">
            <v>523</v>
          </cell>
          <cell r="E681">
            <v>-25</v>
          </cell>
          <cell r="F681" t="str">
            <v>DEGC</v>
          </cell>
        </row>
        <row r="682">
          <cell r="B682" t="str">
            <v>TIZ3009</v>
          </cell>
          <cell r="C682" t="str">
            <v>DFU STABILISER BOTTOM</v>
          </cell>
          <cell r="D682">
            <v>523</v>
          </cell>
          <cell r="E682">
            <v>-25</v>
          </cell>
          <cell r="F682" t="str">
            <v>DEGC</v>
          </cell>
        </row>
        <row r="683">
          <cell r="B683" t="str">
            <v>TIZ3011</v>
          </cell>
          <cell r="C683" t="str">
            <v>DFU STABILISER OVERHEAD DRUM</v>
          </cell>
          <cell r="D683">
            <v>238</v>
          </cell>
          <cell r="E683">
            <v>-25</v>
          </cell>
          <cell r="F683" t="str">
            <v>DEGC</v>
          </cell>
        </row>
        <row r="684">
          <cell r="B684" t="str">
            <v>TIZ3013</v>
          </cell>
          <cell r="C684" t="str">
            <v>DFU SPLITTER FEED</v>
          </cell>
          <cell r="D684">
            <v>523</v>
          </cell>
          <cell r="E684">
            <v>-25</v>
          </cell>
          <cell r="F684" t="str">
            <v>DEGC</v>
          </cell>
        </row>
        <row r="685">
          <cell r="B685" t="str">
            <v>TIZ3018</v>
          </cell>
          <cell r="C685" t="str">
            <v>SPLITTER HEATER PASS 1 OUTLET</v>
          </cell>
          <cell r="D685">
            <v>523</v>
          </cell>
          <cell r="E685">
            <v>-25</v>
          </cell>
          <cell r="F685" t="str">
            <v>DEGC</v>
          </cell>
        </row>
        <row r="686">
          <cell r="B686" t="str">
            <v>TIZ3018_25</v>
          </cell>
          <cell r="C686" t="str">
            <v>SPLITTER HEATR MAXPASSES OUTLET</v>
          </cell>
          <cell r="D686">
            <v>616</v>
          </cell>
          <cell r="E686">
            <v>0</v>
          </cell>
          <cell r="F686" t="str">
            <v>%</v>
          </cell>
        </row>
        <row r="687">
          <cell r="B687" t="str">
            <v>TIZ3019</v>
          </cell>
          <cell r="C687" t="str">
            <v>SPLITTER HEATER PASS 2 OUTLET</v>
          </cell>
          <cell r="D687">
            <v>523</v>
          </cell>
          <cell r="E687">
            <v>-25</v>
          </cell>
          <cell r="F687" t="str">
            <v>DEGC</v>
          </cell>
        </row>
        <row r="688">
          <cell r="B688" t="str">
            <v>TIZ3020</v>
          </cell>
          <cell r="C688" t="str">
            <v>SPLITTER HEATER PASS 3 OUTLET</v>
          </cell>
          <cell r="D688">
            <v>523</v>
          </cell>
          <cell r="E688">
            <v>-25</v>
          </cell>
          <cell r="F688" t="str">
            <v>DEGC</v>
          </cell>
        </row>
        <row r="689">
          <cell r="B689" t="str">
            <v>TIZ3021</v>
          </cell>
          <cell r="C689" t="str">
            <v>SPLITTER HEATER PASS 4 OUTLET</v>
          </cell>
          <cell r="D689">
            <v>523</v>
          </cell>
          <cell r="E689">
            <v>-25</v>
          </cell>
          <cell r="F689" t="str">
            <v>DEGC</v>
          </cell>
        </row>
        <row r="690">
          <cell r="B690" t="str">
            <v>TIZ3022</v>
          </cell>
          <cell r="C690" t="str">
            <v>SPLITTER HEATER PASS 5 OUTLET</v>
          </cell>
          <cell r="D690">
            <v>523</v>
          </cell>
          <cell r="E690">
            <v>-25</v>
          </cell>
          <cell r="F690" t="str">
            <v>DEGC</v>
          </cell>
        </row>
        <row r="691">
          <cell r="B691" t="str">
            <v>TIZ3023</v>
          </cell>
          <cell r="C691" t="str">
            <v>SPLITTER HEATER PASS 6 OUTLET</v>
          </cell>
          <cell r="D691">
            <v>523</v>
          </cell>
          <cell r="E691">
            <v>-25</v>
          </cell>
          <cell r="F691" t="str">
            <v>DEGC</v>
          </cell>
        </row>
        <row r="692">
          <cell r="B692" t="str">
            <v>TIZ3024</v>
          </cell>
          <cell r="C692" t="str">
            <v>SPLITTER HEATER PASS 7 OUTLET</v>
          </cell>
          <cell r="D692">
            <v>523</v>
          </cell>
          <cell r="E692">
            <v>-25</v>
          </cell>
          <cell r="F692" t="str">
            <v>DEGC</v>
          </cell>
        </row>
        <row r="693">
          <cell r="B693" t="str">
            <v>TIZ3025</v>
          </cell>
          <cell r="C693" t="str">
            <v>SPLITTER HEATER PASS 8 OUTLET</v>
          </cell>
          <cell r="D693">
            <v>523</v>
          </cell>
          <cell r="E693">
            <v>-25</v>
          </cell>
          <cell r="F693" t="str">
            <v>DEGC</v>
          </cell>
        </row>
        <row r="694">
          <cell r="B694" t="str">
            <v>TIZ3026</v>
          </cell>
          <cell r="C694" t="str">
            <v>DFU SPLITTER REBOILER STACK</v>
          </cell>
          <cell r="D694">
            <v>523</v>
          </cell>
          <cell r="E694">
            <v>-25</v>
          </cell>
          <cell r="F694" t="str">
            <v>DEGC</v>
          </cell>
        </row>
        <row r="695">
          <cell r="B695" t="str">
            <v>TIZ3027</v>
          </cell>
          <cell r="C695" t="str">
            <v>DFU SPIT REBOILER</v>
          </cell>
          <cell r="D695">
            <v>1116</v>
          </cell>
          <cell r="E695">
            <v>-25</v>
          </cell>
          <cell r="F695" t="str">
            <v>DEGC</v>
          </cell>
        </row>
        <row r="696">
          <cell r="B696" t="str">
            <v>TIZ3029</v>
          </cell>
          <cell r="C696" t="str">
            <v>DFU STRIP. REBOIL RETURN</v>
          </cell>
          <cell r="D696">
            <v>523</v>
          </cell>
          <cell r="E696">
            <v>-25</v>
          </cell>
          <cell r="F696" t="str">
            <v>DEGC</v>
          </cell>
        </row>
        <row r="697">
          <cell r="B697" t="str">
            <v>TIZ3031</v>
          </cell>
          <cell r="C697" t="str">
            <v>DFU SRB/NAPHTHA RUNDOWN</v>
          </cell>
          <cell r="D697">
            <v>523</v>
          </cell>
          <cell r="E697">
            <v>-25</v>
          </cell>
          <cell r="F697" t="str">
            <v>DEGC</v>
          </cell>
        </row>
        <row r="698">
          <cell r="B698" t="str">
            <v>TIZ3032</v>
          </cell>
          <cell r="C698" t="str">
            <v>DFU SPLITTER OVHD EX CONDENSER</v>
          </cell>
          <cell r="D698">
            <v>523</v>
          </cell>
          <cell r="E698">
            <v>-25</v>
          </cell>
          <cell r="F698" t="str">
            <v>DEGC</v>
          </cell>
        </row>
        <row r="699">
          <cell r="B699" t="str">
            <v>TIZ3033</v>
          </cell>
          <cell r="C699" t="str">
            <v>DFU SPLITTER OVHD LIQUID</v>
          </cell>
          <cell r="D699">
            <v>523</v>
          </cell>
          <cell r="E699">
            <v>-25</v>
          </cell>
          <cell r="F699" t="str">
            <v>DEGC</v>
          </cell>
        </row>
        <row r="700">
          <cell r="B700" t="str">
            <v>TIZ3034</v>
          </cell>
          <cell r="C700" t="str">
            <v>DFU SRG RUNDOWN</v>
          </cell>
          <cell r="D700">
            <v>523</v>
          </cell>
          <cell r="E700">
            <v>-25</v>
          </cell>
          <cell r="F700" t="str">
            <v>DEGC</v>
          </cell>
        </row>
        <row r="701">
          <cell r="B701" t="str">
            <v>TIZ3035</v>
          </cell>
          <cell r="C701" t="str">
            <v>DFU KERO RUNDOWN</v>
          </cell>
          <cell r="D701">
            <v>523</v>
          </cell>
          <cell r="E701">
            <v>-25</v>
          </cell>
          <cell r="F701" t="str">
            <v>DEGC</v>
          </cell>
        </row>
        <row r="702">
          <cell r="B702" t="str">
            <v>TIZ3050</v>
          </cell>
          <cell r="C702" t="str">
            <v>KERO (BEFORE AIRFIN)</v>
          </cell>
          <cell r="D702">
            <v>523</v>
          </cell>
          <cell r="E702">
            <v>-25</v>
          </cell>
          <cell r="F702" t="str">
            <v>DEGC</v>
          </cell>
        </row>
        <row r="703">
          <cell r="B703" t="str">
            <v>TIZ3051</v>
          </cell>
          <cell r="C703" t="str">
            <v>NAFTA (STRIPPER BOTTOM)</v>
          </cell>
          <cell r="D703">
            <v>523</v>
          </cell>
          <cell r="E703">
            <v>-25</v>
          </cell>
          <cell r="F703" t="str">
            <v>DEGC</v>
          </cell>
        </row>
        <row r="704">
          <cell r="B704" t="str">
            <v>TTZ3017</v>
          </cell>
          <cell r="C704" t="str">
            <v>STABILISER FEED</v>
          </cell>
          <cell r="D704">
            <v>523</v>
          </cell>
          <cell r="E704">
            <v>-25</v>
          </cell>
          <cell r="F704" t="str">
            <v>DEGC</v>
          </cell>
        </row>
        <row r="705">
          <cell r="B705" t="str">
            <v>XFDZ1_2201</v>
          </cell>
          <cell r="C705" t="str">
            <v>FIRED DUTY HZ2201</v>
          </cell>
          <cell r="D705">
            <v>100</v>
          </cell>
          <cell r="E705">
            <v>0</v>
          </cell>
          <cell r="F705" t="str">
            <v>MW</v>
          </cell>
        </row>
        <row r="706">
          <cell r="B706" t="str">
            <v>XIAZ3009</v>
          </cell>
          <cell r="C706" t="str">
            <v>DFU SPLITTER TAIL GAS</v>
          </cell>
          <cell r="D706">
            <v>523</v>
          </cell>
          <cell r="E706">
            <v>-25</v>
          </cell>
          <cell r="F706" t="str">
            <v>DEGC</v>
          </cell>
        </row>
        <row r="707">
          <cell r="B707" t="str">
            <v>FICZ3003_L2</v>
          </cell>
          <cell r="C707" t="str">
            <v>LVL2 TAG FOR OVER-VIEW DISPLAY</v>
          </cell>
          <cell r="D707">
            <v>597</v>
          </cell>
          <cell r="E707">
            <v>0</v>
          </cell>
          <cell r="F707" t="str">
            <v>M3/H</v>
          </cell>
        </row>
        <row r="708">
          <cell r="B708" t="str">
            <v>FICZ3004_L2</v>
          </cell>
          <cell r="C708" t="str">
            <v>LVL2 TAG FOR OVER-VIEW DISPLAY</v>
          </cell>
          <cell r="D708">
            <v>43</v>
          </cell>
          <cell r="E708">
            <v>0</v>
          </cell>
          <cell r="F708" t="str">
            <v>M3/H</v>
          </cell>
        </row>
        <row r="709">
          <cell r="B709" t="str">
            <v>FIZ3002</v>
          </cell>
          <cell r="C709" t="str">
            <v>DFU STABILISER REFLUX</v>
          </cell>
          <cell r="D709">
            <v>222</v>
          </cell>
          <cell r="E709">
            <v>0</v>
          </cell>
          <cell r="F709" t="str">
            <v>M3/H</v>
          </cell>
        </row>
        <row r="710">
          <cell r="B710" t="str">
            <v>FIZ3003</v>
          </cell>
          <cell r="C710" t="str">
            <v>DFU SPLITTER FEED</v>
          </cell>
          <cell r="D710">
            <v>597</v>
          </cell>
          <cell r="E710">
            <v>0</v>
          </cell>
          <cell r="F710" t="str">
            <v>M3/H</v>
          </cell>
        </row>
        <row r="711">
          <cell r="B711" t="str">
            <v>FIZ3004</v>
          </cell>
          <cell r="C711" t="str">
            <v>DFU STAB. C3/C4 TO 600 UNIT</v>
          </cell>
          <cell r="D711">
            <v>43</v>
          </cell>
          <cell r="E711">
            <v>0</v>
          </cell>
          <cell r="F711" t="str">
            <v>M3/H</v>
          </cell>
        </row>
        <row r="712">
          <cell r="B712" t="str">
            <v>FYIZ3002</v>
          </cell>
          <cell r="C712" t="str">
            <v>STAB. INTERNAL REFLUX</v>
          </cell>
          <cell r="D712">
            <v>333</v>
          </cell>
          <cell r="E712">
            <v>0</v>
          </cell>
          <cell r="F712" t="str">
            <v>M3/H</v>
          </cell>
        </row>
        <row r="713">
          <cell r="B713" t="str">
            <v>FYZ1002</v>
          </cell>
          <cell r="C713" t="str">
            <v>TOTAL RESIDUE FLOW STAB-REBOILER</v>
          </cell>
          <cell r="D713">
            <v>1020</v>
          </cell>
          <cell r="E713">
            <v>0</v>
          </cell>
          <cell r="F713" t="str">
            <v>M3/H</v>
          </cell>
        </row>
        <row r="714">
          <cell r="B714" t="str">
            <v>LDZ3003</v>
          </cell>
          <cell r="C714" t="str">
            <v>STABILISER OVHD DRUM LVL DIFF</v>
          </cell>
          <cell r="D714">
            <v>100</v>
          </cell>
          <cell r="E714">
            <v>0</v>
          </cell>
          <cell r="F714" t="str">
            <v>PCT</v>
          </cell>
        </row>
        <row r="715">
          <cell r="B715" t="str">
            <v>LIZ3003</v>
          </cell>
          <cell r="C715" t="str">
            <v>DFU STABILISER OVERHEAD DRUM</v>
          </cell>
          <cell r="D715">
            <v>100</v>
          </cell>
          <cell r="E715">
            <v>0</v>
          </cell>
          <cell r="F715" t="str">
            <v>PCT</v>
          </cell>
        </row>
        <row r="716">
          <cell r="B716" t="str">
            <v>LIZ3003A</v>
          </cell>
          <cell r="C716" t="str">
            <v>DFU STABILISER OVERHEAD DRUM</v>
          </cell>
          <cell r="D716">
            <v>100</v>
          </cell>
          <cell r="E716">
            <v>0</v>
          </cell>
          <cell r="F716" t="str">
            <v>PCT</v>
          </cell>
        </row>
        <row r="717">
          <cell r="B717" t="str">
            <v>LIZ3003B</v>
          </cell>
          <cell r="C717" t="str">
            <v>DFU STABILISER OVERHEAD DRUM</v>
          </cell>
          <cell r="D717">
            <v>100</v>
          </cell>
          <cell r="E717">
            <v>0</v>
          </cell>
          <cell r="F717" t="str">
            <v>PCT</v>
          </cell>
        </row>
        <row r="718">
          <cell r="B718" t="str">
            <v>PDTZ3017</v>
          </cell>
          <cell r="C718" t="str">
            <v>DFU STABL. D.P. UPPER SECTION</v>
          </cell>
          <cell r="D718">
            <v>350</v>
          </cell>
          <cell r="E718">
            <v>0</v>
          </cell>
          <cell r="F718" t="str">
            <v>MBAR</v>
          </cell>
        </row>
        <row r="719">
          <cell r="B719" t="str">
            <v>PDTZ3018</v>
          </cell>
          <cell r="C719" t="str">
            <v>DFU STABL. D.P. LOWER SECTION</v>
          </cell>
          <cell r="D719">
            <v>200</v>
          </cell>
          <cell r="E719">
            <v>0</v>
          </cell>
          <cell r="F719" t="str">
            <v>MBAR</v>
          </cell>
        </row>
        <row r="720">
          <cell r="B720" t="str">
            <v>PIZ3001</v>
          </cell>
          <cell r="C720" t="str">
            <v>DFU STABILISER OVERHEAD DRUM</v>
          </cell>
          <cell r="D720">
            <v>16</v>
          </cell>
          <cell r="E720">
            <v>0</v>
          </cell>
          <cell r="F720" t="str">
            <v>BAR</v>
          </cell>
        </row>
        <row r="721">
          <cell r="B721" t="str">
            <v>TIIZ3002</v>
          </cell>
          <cell r="C721" t="str">
            <v>DFU STABILISER FEED</v>
          </cell>
          <cell r="D721">
            <v>624</v>
          </cell>
          <cell r="E721">
            <v>-19</v>
          </cell>
          <cell r="F721" t="str">
            <v>DEGC</v>
          </cell>
        </row>
        <row r="722">
          <cell r="B722" t="str">
            <v>TIIZ3003</v>
          </cell>
          <cell r="C722" t="str">
            <v>DFU STABILISER TRAY3 (REBOIL)</v>
          </cell>
          <cell r="D722">
            <v>624</v>
          </cell>
          <cell r="E722">
            <v>-19</v>
          </cell>
          <cell r="F722" t="str">
            <v>DEGC</v>
          </cell>
        </row>
        <row r="723">
          <cell r="B723" t="str">
            <v>TIZ3010</v>
          </cell>
          <cell r="C723" t="str">
            <v>DFU STABILISER TOP</v>
          </cell>
          <cell r="D723">
            <v>100</v>
          </cell>
          <cell r="E723">
            <v>0</v>
          </cell>
          <cell r="F723" t="str">
            <v>DEGC</v>
          </cell>
        </row>
        <row r="724">
          <cell r="B724" t="str">
            <v>TIZ3010C</v>
          </cell>
          <cell r="C724" t="str">
            <v>DFU STABILISER TOP(CORR. 8BAR)</v>
          </cell>
          <cell r="D724">
            <v>100</v>
          </cell>
          <cell r="E724">
            <v>0</v>
          </cell>
          <cell r="F724" t="str">
            <v>DEGC</v>
          </cell>
        </row>
        <row r="725">
          <cell r="B725" t="str">
            <v>TIZ3012</v>
          </cell>
          <cell r="C725" t="str">
            <v>DFU STABILISER OVERHEAD LIQ.</v>
          </cell>
          <cell r="D725">
            <v>100</v>
          </cell>
          <cell r="E725">
            <v>0</v>
          </cell>
          <cell r="F725" t="str">
            <v>DEGC</v>
          </cell>
        </row>
        <row r="726">
          <cell r="B726" t="str">
            <v>TIZ3048</v>
          </cell>
          <cell r="C726" t="str">
            <v>DFU STABILISER TRAY 28</v>
          </cell>
          <cell r="D726">
            <v>200</v>
          </cell>
          <cell r="E726">
            <v>-19</v>
          </cell>
          <cell r="F726" t="str">
            <v>DEGC</v>
          </cell>
        </row>
        <row r="727">
          <cell r="B727" t="str">
            <v>TIZ3048C</v>
          </cell>
          <cell r="C727" t="str">
            <v>DFU STABILISER T28(CORR. 8BAR)</v>
          </cell>
          <cell r="D727">
            <v>100</v>
          </cell>
          <cell r="E727">
            <v>0</v>
          </cell>
          <cell r="F727" t="str">
            <v>DEGC</v>
          </cell>
        </row>
        <row r="728">
          <cell r="B728" t="str">
            <v>TIZ3049</v>
          </cell>
          <cell r="C728" t="str">
            <v>SRB NAPHTA TO FW UNIT 500</v>
          </cell>
          <cell r="D728">
            <v>624</v>
          </cell>
          <cell r="E728">
            <v>-19</v>
          </cell>
          <cell r="F728" t="str">
            <v>DEGC</v>
          </cell>
        </row>
        <row r="729">
          <cell r="B729" t="str">
            <v>TTZ3044</v>
          </cell>
          <cell r="C729" t="str">
            <v>RESIDUE TO STABL. REBOILER</v>
          </cell>
          <cell r="D729">
            <v>400</v>
          </cell>
          <cell r="E729">
            <v>0</v>
          </cell>
          <cell r="F729" t="str">
            <v>DEGC</v>
          </cell>
        </row>
        <row r="730">
          <cell r="B730" t="str">
            <v>TTZ3045</v>
          </cell>
          <cell r="C730" t="str">
            <v>RESIDUE EX STABL. REBOILER</v>
          </cell>
          <cell r="D730">
            <v>400</v>
          </cell>
          <cell r="E730">
            <v>0</v>
          </cell>
          <cell r="F730" t="str">
            <v>DEGC</v>
          </cell>
        </row>
        <row r="731">
          <cell r="B731" t="str">
            <v>TYZ3003</v>
          </cell>
          <cell r="C731" t="str">
            <v>ENERGY MEAS. STAB REBOILER</v>
          </cell>
          <cell r="D731">
            <v>30</v>
          </cell>
          <cell r="E731">
            <v>0</v>
          </cell>
          <cell r="F731" t="str">
            <v>MW</v>
          </cell>
        </row>
        <row r="732">
          <cell r="B732" t="str">
            <v>VIZ3001A</v>
          </cell>
          <cell r="C732" t="str">
            <v>VIBRATION EZ2207A</v>
          </cell>
          <cell r="D732">
            <v>12.7</v>
          </cell>
          <cell r="E732">
            <v>0</v>
          </cell>
          <cell r="F732" t="str">
            <v>MM/S</v>
          </cell>
        </row>
        <row r="733">
          <cell r="B733" t="str">
            <v>VIZ3001B</v>
          </cell>
          <cell r="C733" t="str">
            <v>VIBRATION EZ2207B</v>
          </cell>
          <cell r="D733">
            <v>12.7</v>
          </cell>
          <cell r="E733">
            <v>0</v>
          </cell>
          <cell r="F733" t="str">
            <v>MM/S</v>
          </cell>
        </row>
        <row r="734">
          <cell r="B734" t="str">
            <v>FICZ3008_L2</v>
          </cell>
          <cell r="C734" t="str">
            <v>LVL2 TAG FOR OVER-VIEW DISPLAY</v>
          </cell>
          <cell r="D734">
            <v>250.1</v>
          </cell>
          <cell r="E734">
            <v>0</v>
          </cell>
          <cell r="F734" t="str">
            <v>M3/H</v>
          </cell>
        </row>
        <row r="735">
          <cell r="B735" t="str">
            <v>FICZ3010_L2</v>
          </cell>
          <cell r="C735" t="str">
            <v>LVL2 TAG FOR OVER-VIEW DISPLAY</v>
          </cell>
          <cell r="D735">
            <v>220</v>
          </cell>
          <cell r="E735">
            <v>0</v>
          </cell>
          <cell r="F735" t="str">
            <v>M3/H</v>
          </cell>
        </row>
        <row r="736">
          <cell r="B736" t="str">
            <v>FISZ3090</v>
          </cell>
          <cell r="C736" t="str">
            <v>SPLITTER BOILUP</v>
          </cell>
          <cell r="D736">
            <v>1090</v>
          </cell>
          <cell r="E736">
            <v>0</v>
          </cell>
          <cell r="F736" t="str">
            <v>M3/H</v>
          </cell>
        </row>
        <row r="737">
          <cell r="B737" t="str">
            <v>FISZ3091</v>
          </cell>
          <cell r="C737" t="str">
            <v>TZ2202 LIQ. LOAD TRAY 10-20</v>
          </cell>
          <cell r="D737">
            <v>500</v>
          </cell>
          <cell r="E737">
            <v>0</v>
          </cell>
          <cell r="F737" t="str">
            <v>M3/H</v>
          </cell>
        </row>
        <row r="738">
          <cell r="B738" t="str">
            <v>FITZ3001_L2</v>
          </cell>
          <cell r="C738" t="str">
            <v>LVL2 TAG FOR OVER-VIEW DISPLAY</v>
          </cell>
          <cell r="D738">
            <v>400</v>
          </cell>
          <cell r="E738">
            <v>0</v>
          </cell>
          <cell r="F738" t="str">
            <v>M3/H</v>
          </cell>
        </row>
        <row r="739">
          <cell r="B739" t="str">
            <v>FIZ3001</v>
          </cell>
          <cell r="C739" t="str">
            <v>DFU SPLITTER KERO RUNDOWN</v>
          </cell>
          <cell r="D739">
            <v>400</v>
          </cell>
          <cell r="E739">
            <v>0</v>
          </cell>
          <cell r="F739" t="str">
            <v>M3/H</v>
          </cell>
        </row>
        <row r="740">
          <cell r="B740" t="str">
            <v>FIZ3006</v>
          </cell>
          <cell r="C740" t="str">
            <v>DFU SPLITTER REFLUX</v>
          </cell>
          <cell r="D740">
            <v>864</v>
          </cell>
          <cell r="E740">
            <v>0</v>
          </cell>
          <cell r="F740" t="str">
            <v>M3/H</v>
          </cell>
        </row>
        <row r="741">
          <cell r="B741" t="str">
            <v>FIZ3007</v>
          </cell>
          <cell r="C741" t="str">
            <v>DFU STRIPPER FEED</v>
          </cell>
          <cell r="D741">
            <v>342</v>
          </cell>
          <cell r="E741">
            <v>0</v>
          </cell>
          <cell r="F741" t="str">
            <v>M3/H</v>
          </cell>
        </row>
        <row r="742">
          <cell r="B742" t="str">
            <v>FIZ3008</v>
          </cell>
          <cell r="C742" t="str">
            <v>STRIPPER SRB/N RUN DOWN</v>
          </cell>
          <cell r="D742">
            <v>250.1</v>
          </cell>
          <cell r="E742">
            <v>0</v>
          </cell>
          <cell r="F742" t="str">
            <v>M3/H</v>
          </cell>
        </row>
        <row r="743">
          <cell r="B743" t="str">
            <v>FIZ3010</v>
          </cell>
          <cell r="C743" t="str">
            <v>DFU SPLITTER SRG PRODUCT</v>
          </cell>
          <cell r="D743">
            <v>220</v>
          </cell>
          <cell r="E743">
            <v>0</v>
          </cell>
          <cell r="F743" t="str">
            <v>M3/H</v>
          </cell>
        </row>
        <row r="744">
          <cell r="B744" t="str">
            <v>FIZ3013</v>
          </cell>
          <cell r="C744" t="str">
            <v>SPLITTER HEATER PASS 1</v>
          </cell>
          <cell r="D744">
            <v>152</v>
          </cell>
          <cell r="E744">
            <v>0</v>
          </cell>
          <cell r="F744" t="str">
            <v>M3/H</v>
          </cell>
        </row>
        <row r="745">
          <cell r="B745" t="str">
            <v>FIZ3014</v>
          </cell>
          <cell r="C745" t="str">
            <v>SPLITTER HEATER PASS 2</v>
          </cell>
          <cell r="D745">
            <v>152</v>
          </cell>
          <cell r="E745">
            <v>0</v>
          </cell>
          <cell r="F745" t="str">
            <v>M3/H</v>
          </cell>
        </row>
        <row r="746">
          <cell r="B746" t="str">
            <v>FIZ3015</v>
          </cell>
          <cell r="C746" t="str">
            <v>SPLITTER HEATER PASS 3</v>
          </cell>
          <cell r="D746">
            <v>152</v>
          </cell>
          <cell r="E746">
            <v>0</v>
          </cell>
          <cell r="F746" t="str">
            <v>M3/H</v>
          </cell>
        </row>
        <row r="747">
          <cell r="B747" t="str">
            <v>FIZ3016</v>
          </cell>
          <cell r="C747" t="str">
            <v>SPLITTER HEATER PASS 4</v>
          </cell>
          <cell r="D747">
            <v>152</v>
          </cell>
          <cell r="E747">
            <v>0</v>
          </cell>
          <cell r="F747" t="str">
            <v>M3/H</v>
          </cell>
        </row>
        <row r="748">
          <cell r="B748" t="str">
            <v>FIZ3017</v>
          </cell>
          <cell r="C748" t="str">
            <v>SPLITTER HEATER PASS 5</v>
          </cell>
          <cell r="D748">
            <v>152</v>
          </cell>
          <cell r="E748">
            <v>0</v>
          </cell>
          <cell r="F748" t="str">
            <v>M3/H</v>
          </cell>
        </row>
        <row r="749">
          <cell r="B749" t="str">
            <v>FIZ3018</v>
          </cell>
          <cell r="C749" t="str">
            <v>SPLITTER HEATER PASS 6</v>
          </cell>
          <cell r="D749">
            <v>152</v>
          </cell>
          <cell r="E749">
            <v>0</v>
          </cell>
          <cell r="F749" t="str">
            <v>M3/H</v>
          </cell>
        </row>
        <row r="750">
          <cell r="B750" t="str">
            <v>FIZ3019</v>
          </cell>
          <cell r="C750" t="str">
            <v>SPLITTER HEATER PASS 7</v>
          </cell>
          <cell r="D750">
            <v>152</v>
          </cell>
          <cell r="E750">
            <v>0</v>
          </cell>
          <cell r="F750" t="str">
            <v>M3/H</v>
          </cell>
        </row>
        <row r="751">
          <cell r="B751" t="str">
            <v>FIZ3020</v>
          </cell>
          <cell r="C751" t="str">
            <v>SPLITTER HEATER PASS 8</v>
          </cell>
          <cell r="D751">
            <v>152</v>
          </cell>
          <cell r="E751">
            <v>0</v>
          </cell>
          <cell r="F751" t="str">
            <v>M3/H</v>
          </cell>
        </row>
        <row r="752">
          <cell r="B752" t="str">
            <v>FXSZ3006</v>
          </cell>
          <cell r="C752" t="str">
            <v>EXT. REFL. RATIO SPLITTER CDU4</v>
          </cell>
          <cell r="D752">
            <v>10</v>
          </cell>
          <cell r="E752">
            <v>0</v>
          </cell>
          <cell r="F752" t="str">
            <v>M3/M3</v>
          </cell>
        </row>
        <row r="753">
          <cell r="B753" t="str">
            <v>FYZ3008A</v>
          </cell>
          <cell r="C753" t="str">
            <v>SRBN RUNDOWN STRIPPER FEED</v>
          </cell>
          <cell r="D753">
            <v>1.2</v>
          </cell>
          <cell r="E753">
            <v>0</v>
          </cell>
          <cell r="F753" t="str">
            <v>%</v>
          </cell>
        </row>
        <row r="754">
          <cell r="B754" t="str">
            <v>LDZ3009</v>
          </cell>
          <cell r="C754" t="str">
            <v>DFU STRIPPER BTM LEVEL DIFF</v>
          </cell>
          <cell r="D754">
            <v>100</v>
          </cell>
          <cell r="E754">
            <v>0</v>
          </cell>
          <cell r="F754" t="str">
            <v>%</v>
          </cell>
        </row>
        <row r="755">
          <cell r="B755" t="str">
            <v>LDZ3012</v>
          </cell>
          <cell r="C755" t="str">
            <v>SPLITTER OVHD DRUMLEVEL DIFF</v>
          </cell>
          <cell r="D755">
            <v>100</v>
          </cell>
          <cell r="E755">
            <v>0</v>
          </cell>
          <cell r="F755" t="str">
            <v>%</v>
          </cell>
        </row>
        <row r="756">
          <cell r="B756" t="str">
            <v>LIZ3009</v>
          </cell>
          <cell r="C756" t="str">
            <v>DFU STRIPPER BOTTOM</v>
          </cell>
          <cell r="D756">
            <v>100</v>
          </cell>
          <cell r="E756">
            <v>0</v>
          </cell>
          <cell r="F756" t="str">
            <v>PCT</v>
          </cell>
        </row>
        <row r="757">
          <cell r="B757" t="str">
            <v>LIZ3009A</v>
          </cell>
          <cell r="C757" t="str">
            <v>DFU STRIPPER BOTTOM</v>
          </cell>
          <cell r="D757">
            <v>100</v>
          </cell>
          <cell r="E757">
            <v>0</v>
          </cell>
          <cell r="F757" t="str">
            <v>PCT</v>
          </cell>
        </row>
        <row r="758">
          <cell r="B758" t="str">
            <v>LIZ3009B</v>
          </cell>
          <cell r="C758" t="str">
            <v>DFU STRIPPER BOTTOM</v>
          </cell>
          <cell r="D758">
            <v>100</v>
          </cell>
          <cell r="E758">
            <v>0</v>
          </cell>
          <cell r="F758" t="str">
            <v>PCT</v>
          </cell>
        </row>
        <row r="759">
          <cell r="B759" t="str">
            <v>LIZ3012</v>
          </cell>
          <cell r="C759" t="str">
            <v>DFU SPLITTER OVERHEAD DRUM</v>
          </cell>
          <cell r="D759">
            <v>100</v>
          </cell>
          <cell r="E759">
            <v>0</v>
          </cell>
          <cell r="F759" t="str">
            <v>PCT</v>
          </cell>
        </row>
        <row r="760">
          <cell r="B760" t="str">
            <v>LIZ3012A</v>
          </cell>
          <cell r="C760" t="str">
            <v>DFU SPLITTER OVERHEAD DRUM</v>
          </cell>
          <cell r="D760">
            <v>100</v>
          </cell>
          <cell r="E760">
            <v>0</v>
          </cell>
          <cell r="F760" t="str">
            <v>PCT</v>
          </cell>
        </row>
        <row r="761">
          <cell r="B761" t="str">
            <v>LIZ3012B</v>
          </cell>
          <cell r="C761" t="str">
            <v>DFU SPLITTER OVERHEAD DRUM</v>
          </cell>
          <cell r="D761">
            <v>100</v>
          </cell>
          <cell r="E761">
            <v>0</v>
          </cell>
          <cell r="F761" t="str">
            <v>PCT</v>
          </cell>
        </row>
        <row r="762">
          <cell r="B762" t="str">
            <v>PIVZ3010</v>
          </cell>
          <cell r="C762" t="str">
            <v>SPLITTER HEATER FUEL GAS</v>
          </cell>
          <cell r="D762">
            <v>100</v>
          </cell>
          <cell r="E762">
            <v>0</v>
          </cell>
          <cell r="F762" t="str">
            <v>%</v>
          </cell>
        </row>
        <row r="763">
          <cell r="B763" t="str">
            <v>PIZ3004</v>
          </cell>
          <cell r="C763" t="str">
            <v>DFU SPLITTER OVERHEAD DRUM</v>
          </cell>
          <cell r="D763">
            <v>1.8</v>
          </cell>
          <cell r="E763">
            <v>0</v>
          </cell>
          <cell r="F763" t="str">
            <v>BAR</v>
          </cell>
        </row>
        <row r="764">
          <cell r="B764" t="str">
            <v>PIZ3010</v>
          </cell>
          <cell r="C764" t="str">
            <v>SPLITTER HEATER FUEL GAS</v>
          </cell>
          <cell r="D764">
            <v>2</v>
          </cell>
          <cell r="E764">
            <v>0</v>
          </cell>
          <cell r="F764" t="str">
            <v>BAR</v>
          </cell>
        </row>
        <row r="765">
          <cell r="B765" t="str">
            <v>RISZ3091</v>
          </cell>
          <cell r="C765" t="str">
            <v>TZ2202 INT.REFLUX TRAY 10-20</v>
          </cell>
          <cell r="D765">
            <v>1</v>
          </cell>
          <cell r="E765">
            <v>0</v>
          </cell>
          <cell r="F765" t="str">
            <v>-</v>
          </cell>
        </row>
        <row r="766">
          <cell r="B766" t="str">
            <v>TAZ3016</v>
          </cell>
          <cell r="C766" t="str">
            <v>TDIFF FLASH/REBOIL OUTLET</v>
          </cell>
          <cell r="D766">
            <v>25</v>
          </cell>
          <cell r="E766">
            <v>-25</v>
          </cell>
          <cell r="F766" t="str">
            <v>DEGC</v>
          </cell>
        </row>
        <row r="767">
          <cell r="B767" t="str">
            <v>TDZ3006</v>
          </cell>
          <cell r="C767" t="str">
            <v>DFU STRIPPER DIFF. TEMP.</v>
          </cell>
          <cell r="D767">
            <v>20</v>
          </cell>
          <cell r="E767">
            <v>-10</v>
          </cell>
          <cell r="F767" t="str">
            <v>DEGC</v>
          </cell>
        </row>
        <row r="768">
          <cell r="B768" t="str">
            <v>TDZ3008</v>
          </cell>
          <cell r="C768" t="str">
            <v>OUTLET GASOLINE</v>
          </cell>
          <cell r="D768">
            <v>643</v>
          </cell>
          <cell r="E768">
            <v>0</v>
          </cell>
          <cell r="F768" t="str">
            <v>DEGC</v>
          </cell>
        </row>
        <row r="769">
          <cell r="B769" t="str">
            <v>TICZ3005</v>
          </cell>
          <cell r="C769" t="str">
            <v>DFU SPLITTER REBOIL.OUTLET</v>
          </cell>
          <cell r="D769">
            <v>250</v>
          </cell>
          <cell r="E769">
            <v>0</v>
          </cell>
          <cell r="F769" t="str">
            <v>DEGC</v>
          </cell>
        </row>
        <row r="770">
          <cell r="B770" t="str">
            <v>TIZ3006A</v>
          </cell>
          <cell r="C770" t="str">
            <v>DFU STRIPPER FEED</v>
          </cell>
          <cell r="D770">
            <v>200</v>
          </cell>
          <cell r="E770">
            <v>0</v>
          </cell>
          <cell r="F770" t="str">
            <v>DEGC</v>
          </cell>
        </row>
        <row r="771">
          <cell r="B771" t="str">
            <v>TIZ3006B</v>
          </cell>
          <cell r="C771" t="str">
            <v>DFU STRIPPER BOTTOMS</v>
          </cell>
          <cell r="D771">
            <v>200</v>
          </cell>
          <cell r="E771">
            <v>0</v>
          </cell>
          <cell r="F771" t="str">
            <v>DEGC</v>
          </cell>
        </row>
        <row r="772">
          <cell r="B772" t="str">
            <v>TIZ3008</v>
          </cell>
          <cell r="C772" t="str">
            <v>OUTLET GASOLINE</v>
          </cell>
          <cell r="D772">
            <v>624</v>
          </cell>
          <cell r="E772">
            <v>-19</v>
          </cell>
          <cell r="F772" t="str">
            <v>DEGC</v>
          </cell>
        </row>
        <row r="773">
          <cell r="B773" t="str">
            <v>TIZ3008A</v>
          </cell>
          <cell r="C773" t="str">
            <v>OUTLET GASOLINE</v>
          </cell>
          <cell r="D773">
            <v>624</v>
          </cell>
          <cell r="E773">
            <v>-19</v>
          </cell>
          <cell r="F773" t="str">
            <v>DEGC</v>
          </cell>
        </row>
        <row r="774">
          <cell r="B774" t="str">
            <v>TIZ3008B</v>
          </cell>
          <cell r="C774" t="str">
            <v>OUTLET GASOLINE</v>
          </cell>
          <cell r="D774">
            <v>624</v>
          </cell>
          <cell r="E774">
            <v>-19</v>
          </cell>
          <cell r="F774" t="str">
            <v>DEGC</v>
          </cell>
        </row>
        <row r="775">
          <cell r="B775" t="str">
            <v>TIZ3014</v>
          </cell>
          <cell r="C775" t="str">
            <v>DFU SPLITTER TOP</v>
          </cell>
          <cell r="D775">
            <v>624</v>
          </cell>
          <cell r="E775">
            <v>-19</v>
          </cell>
          <cell r="F775" t="str">
            <v>DEGC</v>
          </cell>
        </row>
        <row r="776">
          <cell r="B776" t="str">
            <v>TIZ3015</v>
          </cell>
          <cell r="C776" t="str">
            <v>DFU SPLITTER BOTTOM</v>
          </cell>
          <cell r="D776">
            <v>300</v>
          </cell>
          <cell r="E776">
            <v>0</v>
          </cell>
          <cell r="F776" t="str">
            <v>DEGC</v>
          </cell>
        </row>
        <row r="777">
          <cell r="B777" t="str">
            <v>TIZ3016</v>
          </cell>
          <cell r="C777" t="str">
            <v>DFU SPLITTER REBOIL. OUTLET</v>
          </cell>
          <cell r="D777">
            <v>300</v>
          </cell>
          <cell r="E777">
            <v>0</v>
          </cell>
          <cell r="F777" t="str">
            <v>DEGC</v>
          </cell>
        </row>
        <row r="778">
          <cell r="B778" t="str">
            <v>TIZ3017</v>
          </cell>
          <cell r="C778" t="str">
            <v>DFU SPLITTER REBOIL. FEED</v>
          </cell>
          <cell r="D778">
            <v>400</v>
          </cell>
          <cell r="E778">
            <v>0</v>
          </cell>
          <cell r="F778" t="str">
            <v>DEGC</v>
          </cell>
        </row>
        <row r="779">
          <cell r="B779" t="str">
            <v>TIZ3047</v>
          </cell>
          <cell r="C779" t="str">
            <v>DFU STRIPPER REBOIL. RETURN</v>
          </cell>
          <cell r="D779">
            <v>200</v>
          </cell>
          <cell r="E779">
            <v>0</v>
          </cell>
          <cell r="F779" t="str">
            <v>DEGC</v>
          </cell>
        </row>
        <row r="780">
          <cell r="B780" t="str">
            <v>TTZ3014C</v>
          </cell>
          <cell r="C780" t="str">
            <v>DFU SPLITTER TOP (PRESS CORR.)</v>
          </cell>
          <cell r="D780">
            <v>150</v>
          </cell>
          <cell r="E780">
            <v>0</v>
          </cell>
          <cell r="F780" t="str">
            <v>DEGC</v>
          </cell>
        </row>
        <row r="781">
          <cell r="B781" t="str">
            <v>LDZ3002</v>
          </cell>
          <cell r="C781" t="str">
            <v>STABILISER BOTTOM LEVEL DIFF</v>
          </cell>
          <cell r="D781">
            <v>139.69999999999999</v>
          </cell>
          <cell r="E781">
            <v>0</v>
          </cell>
          <cell r="F781" t="str">
            <v>%</v>
          </cell>
        </row>
        <row r="782">
          <cell r="B782" t="str">
            <v>LDZ3008</v>
          </cell>
          <cell r="C782" t="str">
            <v>SPLITTER BOTTOM LEVEL DIFF</v>
          </cell>
          <cell r="D782">
            <v>150.6</v>
          </cell>
          <cell r="E782">
            <v>0</v>
          </cell>
          <cell r="F782" t="str">
            <v>%</v>
          </cell>
        </row>
        <row r="783">
          <cell r="B783" t="str">
            <v>LIZ3002</v>
          </cell>
          <cell r="C783" t="str">
            <v>DFU STABILISER BOTTOM</v>
          </cell>
          <cell r="D783">
            <v>139.69999999999999</v>
          </cell>
          <cell r="E783">
            <v>0</v>
          </cell>
          <cell r="F783" t="str">
            <v>%</v>
          </cell>
        </row>
        <row r="784">
          <cell r="B784" t="str">
            <v>LIZ3002A</v>
          </cell>
          <cell r="C784" t="str">
            <v>DFU STABILISER BOTTOM</v>
          </cell>
          <cell r="D784">
            <v>139.69999999999999</v>
          </cell>
          <cell r="E784">
            <v>0</v>
          </cell>
          <cell r="F784" t="str">
            <v>PCT</v>
          </cell>
        </row>
        <row r="785">
          <cell r="B785" t="str">
            <v>LIZ3002B</v>
          </cell>
          <cell r="C785" t="str">
            <v>DFU STABILISER BOTTOM</v>
          </cell>
          <cell r="D785">
            <v>139.69999999999999</v>
          </cell>
          <cell r="E785">
            <v>0</v>
          </cell>
          <cell r="F785" t="str">
            <v>PCT</v>
          </cell>
        </row>
        <row r="786">
          <cell r="B786" t="str">
            <v>LIZ3002C</v>
          </cell>
          <cell r="C786" t="str">
            <v>DFU STABILISER BOTTOM</v>
          </cell>
          <cell r="D786">
            <v>139.69999999999999</v>
          </cell>
          <cell r="E786">
            <v>0</v>
          </cell>
          <cell r="F786" t="str">
            <v>PCT</v>
          </cell>
        </row>
        <row r="787">
          <cell r="B787" t="str">
            <v>LIZ3008</v>
          </cell>
          <cell r="C787" t="str">
            <v>DFU SPLITTER BOTTOM</v>
          </cell>
          <cell r="D787">
            <v>150.6</v>
          </cell>
          <cell r="E787">
            <v>0</v>
          </cell>
          <cell r="F787" t="str">
            <v>%</v>
          </cell>
        </row>
        <row r="788">
          <cell r="B788" t="str">
            <v>LIZ3008A</v>
          </cell>
          <cell r="C788" t="str">
            <v>DFU SPLITTER BOTTOM</v>
          </cell>
          <cell r="D788">
            <v>150.6</v>
          </cell>
          <cell r="E788">
            <v>0</v>
          </cell>
          <cell r="F788" t="str">
            <v>PCT</v>
          </cell>
        </row>
        <row r="789">
          <cell r="B789" t="str">
            <v>LIZ3008B</v>
          </cell>
          <cell r="C789" t="str">
            <v>DFU SPLITTER BOTTOM</v>
          </cell>
          <cell r="D789">
            <v>150.6</v>
          </cell>
          <cell r="E789">
            <v>0</v>
          </cell>
          <cell r="F789" t="str">
            <v>PCT</v>
          </cell>
        </row>
        <row r="790">
          <cell r="B790" t="str">
            <v>LIZ3008C</v>
          </cell>
          <cell r="C790" t="str">
            <v>DFU SPLITTER BOTTOM</v>
          </cell>
          <cell r="D790">
            <v>150.6</v>
          </cell>
          <cell r="E790">
            <v>0</v>
          </cell>
          <cell r="F790" t="str">
            <v>PCT</v>
          </cell>
        </row>
        <row r="791">
          <cell r="B791" t="str">
            <v>PDAZ3066</v>
          </cell>
          <cell r="C791" t="str">
            <v>HZ2201 PILOTGAS HEADER PRESS</v>
          </cell>
          <cell r="D791">
            <v>5</v>
          </cell>
          <cell r="E791">
            <v>0</v>
          </cell>
          <cell r="F791" t="str">
            <v>BARG</v>
          </cell>
        </row>
        <row r="792">
          <cell r="B792" t="str">
            <v>PIAZ3066</v>
          </cell>
          <cell r="C792" t="str">
            <v>HZ2201 PILOTGAS HEADER PRESS</v>
          </cell>
          <cell r="D792">
            <v>5</v>
          </cell>
          <cell r="E792">
            <v>0</v>
          </cell>
          <cell r="F792" t="str">
            <v>BARG</v>
          </cell>
        </row>
        <row r="793">
          <cell r="B793" t="str">
            <v>PIAZ3069</v>
          </cell>
          <cell r="C793" t="str">
            <v>HZ2201 INSTRUMENT AIR PILOTS</v>
          </cell>
          <cell r="D793">
            <v>10</v>
          </cell>
          <cell r="E793">
            <v>0</v>
          </cell>
          <cell r="F793" t="str">
            <v>BARG</v>
          </cell>
        </row>
        <row r="794">
          <cell r="B794" t="str">
            <v>PIAZ3072</v>
          </cell>
          <cell r="C794" t="str">
            <v>HZ2201 PILOT GAS AFTER FILTER</v>
          </cell>
          <cell r="D794">
            <v>5</v>
          </cell>
          <cell r="E794">
            <v>0</v>
          </cell>
          <cell r="F794" t="str">
            <v>BARG</v>
          </cell>
        </row>
        <row r="795">
          <cell r="B795" t="str">
            <v>PIZ3066A</v>
          </cell>
          <cell r="C795" t="str">
            <v>HZ2201 PILOTGAS HEADER PRES A</v>
          </cell>
          <cell r="D795">
            <v>5</v>
          </cell>
          <cell r="E795">
            <v>0</v>
          </cell>
          <cell r="F795" t="str">
            <v>BARG</v>
          </cell>
        </row>
        <row r="796">
          <cell r="B796" t="str">
            <v>PIZ3066B</v>
          </cell>
          <cell r="C796" t="str">
            <v>HZ2201 PILOTGAS HEADER PRES B</v>
          </cell>
          <cell r="D796">
            <v>5</v>
          </cell>
          <cell r="E796">
            <v>0</v>
          </cell>
          <cell r="F796" t="str">
            <v>BARG</v>
          </cell>
        </row>
        <row r="797">
          <cell r="B797" t="str">
            <v>PIZ3074</v>
          </cell>
          <cell r="C797" t="str">
            <v>SEALS PZ2201A</v>
          </cell>
          <cell r="D797">
            <v>40</v>
          </cell>
          <cell r="E797">
            <v>0</v>
          </cell>
          <cell r="F797" t="str">
            <v>BARG</v>
          </cell>
        </row>
        <row r="798">
          <cell r="B798" t="str">
            <v>PIZ3075</v>
          </cell>
          <cell r="C798" t="str">
            <v>SEALS PZ2201B</v>
          </cell>
          <cell r="D798">
            <v>40</v>
          </cell>
          <cell r="E798">
            <v>0</v>
          </cell>
          <cell r="F798" t="str">
            <v>BARG</v>
          </cell>
        </row>
        <row r="799">
          <cell r="B799" t="str">
            <v>PIZ3076</v>
          </cell>
          <cell r="C799" t="str">
            <v>SEALS PZ2202A</v>
          </cell>
          <cell r="D799">
            <v>40</v>
          </cell>
          <cell r="E799">
            <v>0</v>
          </cell>
          <cell r="F799" t="str">
            <v>BARG</v>
          </cell>
        </row>
        <row r="800">
          <cell r="B800" t="str">
            <v>PIZ3077</v>
          </cell>
          <cell r="C800" t="str">
            <v>SEALS PZ2202B</v>
          </cell>
          <cell r="D800">
            <v>40</v>
          </cell>
          <cell r="E800">
            <v>0</v>
          </cell>
          <cell r="F800" t="str">
            <v>BARG</v>
          </cell>
        </row>
        <row r="801">
          <cell r="B801" t="str">
            <v>PIZ3025</v>
          </cell>
          <cell r="C801" t="str">
            <v>DRAUGHT RADIANT HZ2201</v>
          </cell>
          <cell r="D801">
            <v>70</v>
          </cell>
          <cell r="E801">
            <v>-70</v>
          </cell>
          <cell r="F801" t="str">
            <v>MMWG</v>
          </cell>
        </row>
        <row r="802">
          <cell r="B802" t="str">
            <v>PDZ3083</v>
          </cell>
          <cell r="C802" t="str">
            <v>PRESSURE HZ2201</v>
          </cell>
          <cell r="D802">
            <v>14</v>
          </cell>
          <cell r="E802">
            <v>0</v>
          </cell>
          <cell r="F802" t="str">
            <v>MBARG</v>
          </cell>
        </row>
        <row r="803">
          <cell r="B803" t="str">
            <v>PTZ3083</v>
          </cell>
          <cell r="C803" t="str">
            <v>PRESSURE HZ2201</v>
          </cell>
          <cell r="D803">
            <v>7</v>
          </cell>
          <cell r="E803">
            <v>-7</v>
          </cell>
          <cell r="F803" t="str">
            <v>MBARG</v>
          </cell>
        </row>
        <row r="804">
          <cell r="B804" t="str">
            <v>PTZ3083HHTMR</v>
          </cell>
          <cell r="C804" t="str">
            <v>PRESSURE HZ2201</v>
          </cell>
          <cell r="D804">
            <v>1800</v>
          </cell>
          <cell r="E804">
            <v>0</v>
          </cell>
          <cell r="F804" t="str">
            <v>SEC</v>
          </cell>
        </row>
        <row r="805">
          <cell r="B805" t="str">
            <v>FTZ4010_TMR</v>
          </cell>
          <cell r="C805" t="str">
            <v>TIME TO OVR FSA4010</v>
          </cell>
          <cell r="D805">
            <v>1800</v>
          </cell>
          <cell r="E805">
            <v>0</v>
          </cell>
          <cell r="F805" t="str">
            <v>SEC</v>
          </cell>
        </row>
        <row r="806">
          <cell r="B806" t="str">
            <v>FIZ4010</v>
          </cell>
          <cell r="C806" t="str">
            <v>RICH AMINE FROM TZ2851</v>
          </cell>
          <cell r="D806">
            <v>29.5</v>
          </cell>
          <cell r="E806">
            <v>0</v>
          </cell>
          <cell r="F806" t="str">
            <v>M3/H</v>
          </cell>
        </row>
        <row r="807">
          <cell r="B807" t="str">
            <v>LDAZ4003</v>
          </cell>
          <cell r="C807" t="str">
            <v>AMINE GAS ABSORBER</v>
          </cell>
          <cell r="D807">
            <v>100</v>
          </cell>
          <cell r="E807">
            <v>-100</v>
          </cell>
          <cell r="F807" t="str">
            <v>%</v>
          </cell>
        </row>
        <row r="808">
          <cell r="B808" t="str">
            <v>LIAZ4003A</v>
          </cell>
          <cell r="C808" t="str">
            <v>AMINE GAS ABSORBER</v>
          </cell>
          <cell r="D808">
            <v>100</v>
          </cell>
          <cell r="E808">
            <v>0</v>
          </cell>
          <cell r="F808" t="str">
            <v>PCT</v>
          </cell>
        </row>
        <row r="809">
          <cell r="B809" t="str">
            <v>LIAZ4003B</v>
          </cell>
          <cell r="C809" t="str">
            <v>AMINE GAS ABSORBER</v>
          </cell>
          <cell r="D809">
            <v>100</v>
          </cell>
          <cell r="E809">
            <v>0</v>
          </cell>
          <cell r="F809" t="str">
            <v>PCT</v>
          </cell>
        </row>
        <row r="810">
          <cell r="B810" t="str">
            <v>LIZ4003</v>
          </cell>
          <cell r="C810" t="str">
            <v>AMINE GAS ABSORBER</v>
          </cell>
          <cell r="D810">
            <v>100</v>
          </cell>
          <cell r="E810">
            <v>0</v>
          </cell>
          <cell r="F810" t="str">
            <v>%</v>
          </cell>
        </row>
        <row r="811">
          <cell r="B811" t="str">
            <v>FTZ4005</v>
          </cell>
          <cell r="C811" t="str">
            <v>RICH AMINE FROM TZ2851</v>
          </cell>
          <cell r="D811">
            <v>29.5</v>
          </cell>
          <cell r="E811">
            <v>0</v>
          </cell>
          <cell r="F811" t="str">
            <v>M3/H</v>
          </cell>
        </row>
        <row r="812">
          <cell r="B812" t="str">
            <v>FTZ4006</v>
          </cell>
          <cell r="C812" t="str">
            <v>OFF GAS FROM TZ2851</v>
          </cell>
          <cell r="D812">
            <v>9040</v>
          </cell>
          <cell r="E812">
            <v>0</v>
          </cell>
          <cell r="F812" t="str">
            <v>NM3/H</v>
          </cell>
        </row>
        <row r="813">
          <cell r="B813" t="str">
            <v>FTZ4006_L2</v>
          </cell>
          <cell r="C813" t="str">
            <v>LVL2 TAG DESCRIPTION</v>
          </cell>
          <cell r="D813">
            <v>9040</v>
          </cell>
          <cell r="E813">
            <v>0</v>
          </cell>
          <cell r="F813" t="str">
            <v>NM3/HR</v>
          </cell>
        </row>
        <row r="814">
          <cell r="B814" t="str">
            <v>FTZ4006V</v>
          </cell>
          <cell r="C814" t="str">
            <v>OFF GAS FROM TZ2851</v>
          </cell>
          <cell r="D814">
            <v>7330</v>
          </cell>
          <cell r="E814">
            <v>0</v>
          </cell>
          <cell r="F814" t="str">
            <v>NM3/H</v>
          </cell>
        </row>
        <row r="815">
          <cell r="B815" t="str">
            <v>FTZ4007</v>
          </cell>
          <cell r="C815" t="str">
            <v>AMINE LIQ ABS LEAN DEA EX BL</v>
          </cell>
          <cell r="D815">
            <v>20</v>
          </cell>
          <cell r="E815">
            <v>0</v>
          </cell>
          <cell r="F815" t="str">
            <v>M3/H</v>
          </cell>
        </row>
        <row r="816">
          <cell r="B816" t="str">
            <v>LICAZ4006</v>
          </cell>
          <cell r="C816" t="str">
            <v>LIQUID ABSORBER LSA</v>
          </cell>
          <cell r="D816">
            <v>100</v>
          </cell>
          <cell r="E816">
            <v>0</v>
          </cell>
          <cell r="F816" t="str">
            <v>PCT</v>
          </cell>
        </row>
        <row r="817">
          <cell r="B817" t="str">
            <v>TDAZ4003</v>
          </cell>
          <cell r="C817" t="str">
            <v>DIFF TEMP LEAN AMIVS VAPOUR</v>
          </cell>
          <cell r="D817">
            <v>50</v>
          </cell>
          <cell r="E817">
            <v>0</v>
          </cell>
          <cell r="F817" t="str">
            <v>DEGC</v>
          </cell>
        </row>
        <row r="818">
          <cell r="B818" t="str">
            <v>TIZ4001</v>
          </cell>
          <cell r="C818" t="str">
            <v>GAS TO TZ2851</v>
          </cell>
          <cell r="D818">
            <v>238</v>
          </cell>
          <cell r="E818">
            <v>-25</v>
          </cell>
          <cell r="F818" t="str">
            <v>DEGC</v>
          </cell>
        </row>
        <row r="819">
          <cell r="B819" t="str">
            <v>TIZ4002</v>
          </cell>
          <cell r="C819" t="str">
            <v>RICH AMINE FROM TZ2851</v>
          </cell>
          <cell r="D819">
            <v>523</v>
          </cell>
          <cell r="E819">
            <v>-25</v>
          </cell>
          <cell r="F819" t="str">
            <v>DEGC</v>
          </cell>
        </row>
        <row r="820">
          <cell r="B820" t="str">
            <v>TIZ4003</v>
          </cell>
          <cell r="C820" t="str">
            <v>LEAN AMINE TO TZ2851</v>
          </cell>
          <cell r="D820">
            <v>523</v>
          </cell>
          <cell r="E820">
            <v>-25</v>
          </cell>
          <cell r="F820" t="str">
            <v>DEGC</v>
          </cell>
        </row>
        <row r="821">
          <cell r="B821" t="str">
            <v>TIZ4004</v>
          </cell>
          <cell r="C821" t="str">
            <v>OFF GAS FROM TZ2851</v>
          </cell>
          <cell r="D821">
            <v>523</v>
          </cell>
          <cell r="E821">
            <v>-25</v>
          </cell>
          <cell r="F821" t="str">
            <v>DEGC</v>
          </cell>
        </row>
        <row r="822">
          <cell r="B822" t="str">
            <v>TIZ4005</v>
          </cell>
          <cell r="C822" t="str">
            <v>ATU LEAN DEA EX EZ2852</v>
          </cell>
          <cell r="D822">
            <v>523</v>
          </cell>
          <cell r="E822">
            <v>-25</v>
          </cell>
          <cell r="F822" t="str">
            <v>DEGC</v>
          </cell>
        </row>
        <row r="823">
          <cell r="B823" t="str">
            <v>TIZ4006</v>
          </cell>
          <cell r="C823" t="str">
            <v>ATU LEAN DEA LIQUID ABSRBR</v>
          </cell>
          <cell r="D823">
            <v>523</v>
          </cell>
          <cell r="E823">
            <v>-25</v>
          </cell>
          <cell r="F823" t="str">
            <v>DEGC</v>
          </cell>
        </row>
        <row r="824">
          <cell r="B824" t="str">
            <v>FICZ4001_L2</v>
          </cell>
          <cell r="D824">
            <v>8000</v>
          </cell>
          <cell r="E824">
            <v>0</v>
          </cell>
          <cell r="F824" t="str">
            <v>NM3/HR</v>
          </cell>
        </row>
        <row r="825">
          <cell r="B825" t="str">
            <v>FIZ4001</v>
          </cell>
          <cell r="C825" t="str">
            <v>OFF GAS FLOW CDU4 TO HRU</v>
          </cell>
          <cell r="D825">
            <v>8000</v>
          </cell>
          <cell r="E825">
            <v>0</v>
          </cell>
          <cell r="F825" t="str">
            <v>NM3/H</v>
          </cell>
        </row>
        <row r="826">
          <cell r="B826" t="str">
            <v>FIZ4002</v>
          </cell>
          <cell r="C826" t="str">
            <v>LEAN AMINE TO TZ2851</v>
          </cell>
          <cell r="D826">
            <v>24.21</v>
          </cell>
          <cell r="E826">
            <v>0</v>
          </cell>
          <cell r="F826" t="str">
            <v>M3/H</v>
          </cell>
        </row>
        <row r="827">
          <cell r="B827" t="str">
            <v>FYIZ4006</v>
          </cell>
          <cell r="C827" t="str">
            <v>OFFGAS FLOW CDU4 (CALCULATED)</v>
          </cell>
          <cell r="D827">
            <v>10000</v>
          </cell>
          <cell r="E827">
            <v>0</v>
          </cell>
          <cell r="F827" t="str">
            <v>NM3/H</v>
          </cell>
        </row>
        <row r="828">
          <cell r="B828" t="str">
            <v>LIZ4001</v>
          </cell>
          <cell r="C828" t="str">
            <v>DZ2851 K.O. POT</v>
          </cell>
          <cell r="D828">
            <v>100</v>
          </cell>
          <cell r="E828">
            <v>0</v>
          </cell>
          <cell r="F828" t="str">
            <v>PCT</v>
          </cell>
        </row>
        <row r="829">
          <cell r="B829" t="str">
            <v>PDI4004</v>
          </cell>
          <cell r="C829" t="str">
            <v>DELTA P TZ2851</v>
          </cell>
          <cell r="D829">
            <v>1000</v>
          </cell>
          <cell r="E829">
            <v>0</v>
          </cell>
          <cell r="F829" t="str">
            <v>MBAR</v>
          </cell>
        </row>
        <row r="830">
          <cell r="B830" t="str">
            <v>PIZ4001</v>
          </cell>
          <cell r="C830" t="str">
            <v>AMINE GAS ABSORBER</v>
          </cell>
          <cell r="D830">
            <v>10</v>
          </cell>
          <cell r="E830">
            <v>0</v>
          </cell>
          <cell r="F830" t="str">
            <v>BARG</v>
          </cell>
        </row>
        <row r="831">
          <cell r="B831" t="str">
            <v>PIZ4003</v>
          </cell>
          <cell r="C831" t="str">
            <v>GAS FROM GAS/DEASEP DZ2851</v>
          </cell>
          <cell r="D831">
            <v>10</v>
          </cell>
          <cell r="E831">
            <v>0</v>
          </cell>
          <cell r="F831" t="str">
            <v>BAR</v>
          </cell>
        </row>
        <row r="832">
          <cell r="B832" t="str">
            <v>PIZ4004</v>
          </cell>
          <cell r="C832" t="str">
            <v>GAS TO GAS/DEASEP DZ2852</v>
          </cell>
          <cell r="D832">
            <v>10</v>
          </cell>
          <cell r="E832">
            <v>0</v>
          </cell>
          <cell r="F832" t="str">
            <v>BAR</v>
          </cell>
        </row>
        <row r="833">
          <cell r="B833" t="str">
            <v>AIZ1030</v>
          </cell>
          <cell r="C833" t="str">
            <v>H2S IN OFFGAS DZ2852</v>
          </cell>
          <cell r="D833">
            <v>2500</v>
          </cell>
          <cell r="E833">
            <v>0</v>
          </cell>
          <cell r="F833" t="str">
            <v>PPM</v>
          </cell>
        </row>
        <row r="834">
          <cell r="B834" t="str">
            <v>ATZ5054</v>
          </cell>
          <cell r="C834" t="str">
            <v>H2S IN FUELGAS CDU-4</v>
          </cell>
          <cell r="D834">
            <v>2500</v>
          </cell>
          <cell r="E834">
            <v>0</v>
          </cell>
          <cell r="F834" t="str">
            <v>PPM</v>
          </cell>
        </row>
        <row r="835">
          <cell r="B835" t="str">
            <v>FIAZ5013</v>
          </cell>
          <cell r="C835" t="str">
            <v>GAS TO FLARE</v>
          </cell>
          <cell r="D835">
            <v>1816</v>
          </cell>
          <cell r="E835">
            <v>0</v>
          </cell>
          <cell r="F835" t="str">
            <v>NM3/H</v>
          </cell>
        </row>
        <row r="836">
          <cell r="B836" t="str">
            <v>FITZ5017</v>
          </cell>
          <cell r="C836" t="str">
            <v>FG SUPPLY</v>
          </cell>
          <cell r="D836">
            <v>19997.3</v>
          </cell>
          <cell r="E836">
            <v>0</v>
          </cell>
          <cell r="F836" t="str">
            <v>NM3/H</v>
          </cell>
        </row>
        <row r="837">
          <cell r="B837" t="str">
            <v>LIZ5005</v>
          </cell>
          <cell r="C837" t="str">
            <v>OIL SEWER</v>
          </cell>
          <cell r="D837">
            <v>100</v>
          </cell>
          <cell r="E837">
            <v>0</v>
          </cell>
          <cell r="F837" t="str">
            <v>%</v>
          </cell>
        </row>
        <row r="838">
          <cell r="B838" t="str">
            <v>PIAZ5001</v>
          </cell>
          <cell r="C838" t="str">
            <v>COOLING WATER</v>
          </cell>
          <cell r="D838">
            <v>8</v>
          </cell>
          <cell r="E838">
            <v>0</v>
          </cell>
          <cell r="F838" t="str">
            <v>BAR</v>
          </cell>
        </row>
        <row r="839">
          <cell r="B839" t="str">
            <v>PIAZ5002</v>
          </cell>
          <cell r="C839" t="str">
            <v>INSTRUMENT AIR</v>
          </cell>
          <cell r="D839">
            <v>10</v>
          </cell>
          <cell r="E839">
            <v>0</v>
          </cell>
          <cell r="F839" t="str">
            <v>BAR</v>
          </cell>
        </row>
        <row r="840">
          <cell r="B840" t="str">
            <v>TIZ5001</v>
          </cell>
          <cell r="C840" t="str">
            <v>HP STEAM HEADER</v>
          </cell>
          <cell r="D840">
            <v>523</v>
          </cell>
          <cell r="E840">
            <v>-25</v>
          </cell>
          <cell r="F840" t="str">
            <v>DEGC</v>
          </cell>
        </row>
        <row r="841">
          <cell r="B841" t="str">
            <v>TIZ5002</v>
          </cell>
          <cell r="C841" t="str">
            <v>LP STEAM HEADER</v>
          </cell>
          <cell r="D841">
            <v>523</v>
          </cell>
          <cell r="E841">
            <v>-25</v>
          </cell>
          <cell r="F841" t="str">
            <v>DEGC</v>
          </cell>
        </row>
        <row r="842">
          <cell r="B842" t="str">
            <v>TIZ5003</v>
          </cell>
          <cell r="C842" t="str">
            <v>FUEL OIL SUPPLY</v>
          </cell>
          <cell r="D842">
            <v>523</v>
          </cell>
          <cell r="E842">
            <v>-25</v>
          </cell>
          <cell r="F842" t="str">
            <v>DEGC</v>
          </cell>
        </row>
        <row r="843">
          <cell r="B843" t="str">
            <v>TIZ5062</v>
          </cell>
          <cell r="C843" t="str">
            <v>FLARE LINE TO DZ3004</v>
          </cell>
          <cell r="D843">
            <v>300</v>
          </cell>
          <cell r="E843">
            <v>0</v>
          </cell>
          <cell r="F843" t="str">
            <v>DEGC</v>
          </cell>
        </row>
        <row r="844">
          <cell r="B844" t="str">
            <v>XEF2301</v>
          </cell>
          <cell r="C844" t="str">
            <v>EFFICIENCY H2301</v>
          </cell>
          <cell r="D844">
            <v>100</v>
          </cell>
          <cell r="E844">
            <v>0</v>
          </cell>
          <cell r="F844" t="str">
            <v>%</v>
          </cell>
        </row>
        <row r="845">
          <cell r="B845" t="str">
            <v>XEFZ2101</v>
          </cell>
          <cell r="C845" t="str">
            <v>EFFICIENCY HZ2101</v>
          </cell>
          <cell r="D845">
            <v>100</v>
          </cell>
          <cell r="E845">
            <v>0</v>
          </cell>
          <cell r="F845" t="str">
            <v>%</v>
          </cell>
        </row>
        <row r="846">
          <cell r="B846" t="str">
            <v>XEFZ2151</v>
          </cell>
          <cell r="C846" t="str">
            <v>EFFICIENCY HZ2151</v>
          </cell>
          <cell r="D846">
            <v>100</v>
          </cell>
          <cell r="E846">
            <v>0</v>
          </cell>
          <cell r="F846" t="str">
            <v>%</v>
          </cell>
        </row>
        <row r="847">
          <cell r="B847" t="str">
            <v>XEFZ2201</v>
          </cell>
          <cell r="C847" t="str">
            <v>EFFICIENCY HZ2201</v>
          </cell>
          <cell r="D847">
            <v>100</v>
          </cell>
          <cell r="E847">
            <v>0</v>
          </cell>
          <cell r="F847" t="str">
            <v>%</v>
          </cell>
        </row>
        <row r="848">
          <cell r="B848" t="str">
            <v>AICZ5053</v>
          </cell>
          <cell r="C848" t="str">
            <v>FUEL GAS HEADER SG</v>
          </cell>
          <cell r="D848">
            <v>1.8</v>
          </cell>
          <cell r="E848">
            <v>0.4</v>
          </cell>
          <cell r="F848" t="str">
            <v>KG/NM3</v>
          </cell>
        </row>
        <row r="849">
          <cell r="B849" t="str">
            <v>APMZ5053_E</v>
          </cell>
          <cell r="C849" t="str">
            <v>ANALYSER PERF_MON STATUS</v>
          </cell>
          <cell r="D849">
            <v>256</v>
          </cell>
          <cell r="E849">
            <v>0</v>
          </cell>
          <cell r="F849" t="str">
            <v>STATUS</v>
          </cell>
        </row>
        <row r="850">
          <cell r="B850" t="str">
            <v>PIZ10109</v>
          </cell>
          <cell r="C850" t="str">
            <v>FUELGAS TO HZ2101</v>
          </cell>
          <cell r="D850">
            <v>6</v>
          </cell>
          <cell r="E850">
            <v>0</v>
          </cell>
          <cell r="F850" t="str">
            <v>BAR</v>
          </cell>
        </row>
        <row r="851">
          <cell r="B851" t="str">
            <v>PIZ5007</v>
          </cell>
          <cell r="C851" t="str">
            <v>FUEL GAS MIXING DRUM</v>
          </cell>
          <cell r="D851">
            <v>5</v>
          </cell>
          <cell r="E851">
            <v>0</v>
          </cell>
          <cell r="F851" t="str">
            <v>BAR</v>
          </cell>
        </row>
        <row r="852">
          <cell r="B852" t="str">
            <v>PTZ5014</v>
          </cell>
          <cell r="C852" t="str">
            <v>FUEL GAS HEADER</v>
          </cell>
          <cell r="D852">
            <v>5</v>
          </cell>
          <cell r="E852">
            <v>0</v>
          </cell>
          <cell r="F852" t="str">
            <v>BAR</v>
          </cell>
        </row>
        <row r="853">
          <cell r="B853" t="str">
            <v>TTZ5056</v>
          </cell>
          <cell r="C853" t="str">
            <v>FUEL GAS HEADER</v>
          </cell>
          <cell r="D853">
            <v>100</v>
          </cell>
          <cell r="E853">
            <v>-19</v>
          </cell>
          <cell r="F853" t="str">
            <v>DEGC</v>
          </cell>
        </row>
        <row r="854">
          <cell r="B854" t="str">
            <v>XFDZ1_2101</v>
          </cell>
          <cell r="C854" t="str">
            <v>FIRED DUTY HZ2101</v>
          </cell>
          <cell r="D854">
            <v>200</v>
          </cell>
          <cell r="E854">
            <v>0</v>
          </cell>
          <cell r="F854" t="str">
            <v>MW</v>
          </cell>
        </row>
        <row r="855">
          <cell r="B855" t="str">
            <v>XFDZ1_2151</v>
          </cell>
          <cell r="C855" t="str">
            <v>FIRED DUTY HZ2151</v>
          </cell>
          <cell r="D855">
            <v>50</v>
          </cell>
          <cell r="E855">
            <v>0</v>
          </cell>
          <cell r="F855" t="str">
            <v>MW</v>
          </cell>
        </row>
        <row r="856">
          <cell r="B856" t="str">
            <v>FITZ5009</v>
          </cell>
          <cell r="C856" t="str">
            <v>CDU4 LP STEAM EXPORT TO OM</v>
          </cell>
          <cell r="D856">
            <v>25</v>
          </cell>
          <cell r="E856">
            <v>0</v>
          </cell>
          <cell r="F856" t="str">
            <v>T/H</v>
          </cell>
        </row>
        <row r="857">
          <cell r="B857" t="str">
            <v>FITZ5010</v>
          </cell>
          <cell r="C857" t="str">
            <v>CDU4 LP STEAM EXPORT TO FW</v>
          </cell>
          <cell r="D857">
            <v>25</v>
          </cell>
          <cell r="E857">
            <v>0</v>
          </cell>
          <cell r="F857" t="str">
            <v>T/H</v>
          </cell>
        </row>
        <row r="858">
          <cell r="B858" t="str">
            <v>FITZ5011</v>
          </cell>
          <cell r="C858" t="str">
            <v>CDU4 HP STEAM EXPORT</v>
          </cell>
          <cell r="D858">
            <v>30</v>
          </cell>
          <cell r="E858">
            <v>0</v>
          </cell>
          <cell r="F858" t="str">
            <v>T/H</v>
          </cell>
        </row>
        <row r="859">
          <cell r="B859" t="str">
            <v>FITZ5012</v>
          </cell>
          <cell r="C859" t="str">
            <v>CDU4 HP STEAM IMPORT</v>
          </cell>
          <cell r="D859">
            <v>30</v>
          </cell>
          <cell r="E859">
            <v>0</v>
          </cell>
          <cell r="F859" t="str">
            <v>T/H</v>
          </cell>
        </row>
        <row r="860">
          <cell r="B860" t="str">
            <v>FITZ5062</v>
          </cell>
          <cell r="C860" t="str">
            <v>CDU4 HP STEAM IMPORT</v>
          </cell>
          <cell r="D860">
            <v>42.18</v>
          </cell>
          <cell r="E860">
            <v>0</v>
          </cell>
          <cell r="F860" t="str">
            <v>T/H</v>
          </cell>
        </row>
        <row r="861">
          <cell r="B861" t="str">
            <v>HPZCONSUMP</v>
          </cell>
          <cell r="C861" t="str">
            <v>CDU4 HP STEAM CONSUMPTION</v>
          </cell>
          <cell r="D861">
            <v>110</v>
          </cell>
          <cell r="E861">
            <v>0</v>
          </cell>
          <cell r="F861" t="str">
            <v>T/H</v>
          </cell>
        </row>
        <row r="862">
          <cell r="B862" t="str">
            <v>PISAZ5013</v>
          </cell>
          <cell r="C862" t="str">
            <v>BOILER FEED WATER</v>
          </cell>
          <cell r="D862">
            <v>50</v>
          </cell>
          <cell r="E862">
            <v>25</v>
          </cell>
          <cell r="F862" t="str">
            <v>BAR</v>
          </cell>
        </row>
        <row r="863">
          <cell r="B863" t="str">
            <v>PIZ5010</v>
          </cell>
          <cell r="C863" t="str">
            <v>LP STEAM</v>
          </cell>
          <cell r="D863">
            <v>6</v>
          </cell>
          <cell r="E863">
            <v>0</v>
          </cell>
          <cell r="F863" t="str">
            <v>BARG</v>
          </cell>
        </row>
        <row r="864">
          <cell r="B864" t="str">
            <v>LIZ5008</v>
          </cell>
          <cell r="C864" t="str">
            <v>MIXING DRUM DZ3002LEVEL</v>
          </cell>
          <cell r="D864">
            <v>100</v>
          </cell>
          <cell r="E864">
            <v>0</v>
          </cell>
          <cell r="F864" t="str">
            <v>PCT</v>
          </cell>
        </row>
        <row r="865">
          <cell r="B865" t="str">
            <v>PIZ5015</v>
          </cell>
          <cell r="C865" t="str">
            <v>K.O. DRUM DZ3004</v>
          </cell>
          <cell r="D865">
            <v>5</v>
          </cell>
          <cell r="E865">
            <v>0</v>
          </cell>
          <cell r="F865" t="str">
            <v>BARG</v>
          </cell>
        </row>
        <row r="866">
          <cell r="B866" t="str">
            <v>PIZ5017</v>
          </cell>
          <cell r="C866" t="str">
            <v>WASHWATER DZ2104 TO DZ3004</v>
          </cell>
          <cell r="D866">
            <v>5</v>
          </cell>
          <cell r="E866">
            <v>0</v>
          </cell>
          <cell r="F866" t="str">
            <v>BARG</v>
          </cell>
        </row>
        <row r="867">
          <cell r="B867" t="str">
            <v>PIZ5018</v>
          </cell>
          <cell r="C867" t="str">
            <v>DHT4 TO DZ3004</v>
          </cell>
          <cell r="D867">
            <v>5</v>
          </cell>
          <cell r="E867">
            <v>0</v>
          </cell>
          <cell r="F867" t="str">
            <v>BARG</v>
          </cell>
        </row>
        <row r="868">
          <cell r="B868" t="str">
            <v>PIZ5019</v>
          </cell>
          <cell r="C868" t="str">
            <v>LIQ.RELIEF HEADER TO DZ3004</v>
          </cell>
          <cell r="D868">
            <v>5</v>
          </cell>
          <cell r="E868">
            <v>0</v>
          </cell>
          <cell r="F868" t="str">
            <v>BARG</v>
          </cell>
        </row>
        <row r="869">
          <cell r="B869" t="str">
            <v>PIZ5020</v>
          </cell>
          <cell r="C869" t="str">
            <v>GAS RELIEF HEADER TO DZ3004</v>
          </cell>
          <cell r="D869">
            <v>5</v>
          </cell>
          <cell r="E869">
            <v>0</v>
          </cell>
          <cell r="F869" t="str">
            <v>BARG</v>
          </cell>
        </row>
        <row r="870">
          <cell r="B870" t="str">
            <v>PIZ5021</v>
          </cell>
          <cell r="C870" t="str">
            <v>RELIEF HEADER GOH3 TO DZ3004</v>
          </cell>
          <cell r="D870">
            <v>5</v>
          </cell>
          <cell r="E870">
            <v>0</v>
          </cell>
          <cell r="F870" t="str">
            <v>BARG</v>
          </cell>
        </row>
        <row r="871">
          <cell r="B871" t="str">
            <v>PDDZ5022</v>
          </cell>
          <cell r="C871" t="str">
            <v>BACKFLOW PROTECT. DZ3004</v>
          </cell>
          <cell r="D871">
            <v>10000</v>
          </cell>
          <cell r="E871">
            <v>0</v>
          </cell>
          <cell r="F871" t="str">
            <v>MBAR</v>
          </cell>
        </row>
        <row r="872">
          <cell r="B872" t="str">
            <v>PDIZ5022</v>
          </cell>
          <cell r="C872" t="str">
            <v>BACKFLOW PROTECT. DZ3004</v>
          </cell>
          <cell r="D872">
            <v>8000</v>
          </cell>
          <cell r="E872">
            <v>-2000</v>
          </cell>
          <cell r="F872" t="str">
            <v>MBAR</v>
          </cell>
        </row>
        <row r="873">
          <cell r="B873" t="str">
            <v>LDZ5055</v>
          </cell>
          <cell r="C873" t="str">
            <v>LEVEL VERSCHIL DZ3004</v>
          </cell>
          <cell r="D873">
            <v>188</v>
          </cell>
          <cell r="E873">
            <v>0</v>
          </cell>
          <cell r="F873" t="str">
            <v>PCT</v>
          </cell>
        </row>
        <row r="874">
          <cell r="B874" t="str">
            <v>LIZ5055</v>
          </cell>
          <cell r="C874" t="str">
            <v>K.O. DRUM DZ3004</v>
          </cell>
          <cell r="D874">
            <v>188</v>
          </cell>
          <cell r="E874">
            <v>0</v>
          </cell>
          <cell r="F874" t="str">
            <v>PCT</v>
          </cell>
        </row>
        <row r="875">
          <cell r="B875" t="str">
            <v>LIZ5055A</v>
          </cell>
          <cell r="C875" t="str">
            <v>K.O. DRUM DZ3004</v>
          </cell>
          <cell r="D875">
            <v>188</v>
          </cell>
          <cell r="E875">
            <v>0</v>
          </cell>
          <cell r="F875" t="str">
            <v>PCT</v>
          </cell>
        </row>
        <row r="876">
          <cell r="B876" t="str">
            <v>LIZ5055A_MM</v>
          </cell>
          <cell r="C876" t="str">
            <v>K.O. DRUM DZ3004</v>
          </cell>
          <cell r="D876">
            <v>5525</v>
          </cell>
          <cell r="E876">
            <v>225</v>
          </cell>
          <cell r="F876" t="str">
            <v>MM</v>
          </cell>
        </row>
        <row r="877">
          <cell r="B877" t="str">
            <v>LIZ5055B</v>
          </cell>
          <cell r="C877" t="str">
            <v>K.O. DRUM DZ3004</v>
          </cell>
          <cell r="D877">
            <v>100</v>
          </cell>
          <cell r="E877">
            <v>0</v>
          </cell>
          <cell r="F877" t="str">
            <v>PCT</v>
          </cell>
        </row>
        <row r="878">
          <cell r="B878" t="str">
            <v>LIZ5055B_DP</v>
          </cell>
          <cell r="C878" t="str">
            <v>K.O. DRUM DZ3004</v>
          </cell>
          <cell r="D878">
            <v>91.766000000000005</v>
          </cell>
          <cell r="E878">
            <v>0.88</v>
          </cell>
          <cell r="F878" t="str">
            <v>PCT</v>
          </cell>
        </row>
        <row r="879">
          <cell r="B879" t="str">
            <v>LIZ5055B_MM</v>
          </cell>
          <cell r="C879" t="str">
            <v>K.O. DRUM DZ3004</v>
          </cell>
          <cell r="D879">
            <v>2812</v>
          </cell>
          <cell r="E879">
            <v>250</v>
          </cell>
          <cell r="F879" t="str">
            <v>MM</v>
          </cell>
        </row>
        <row r="880">
          <cell r="B880" t="str">
            <v>FIZ5065</v>
          </cell>
          <cell r="C880" t="str">
            <v>DZ3004 TO SLOPS</v>
          </cell>
          <cell r="D880">
            <v>131.25</v>
          </cell>
          <cell r="E880">
            <v>0</v>
          </cell>
          <cell r="F880" t="str">
            <v>T/H</v>
          </cell>
        </row>
        <row r="881">
          <cell r="B881" t="str">
            <v>TIZ5063</v>
          </cell>
          <cell r="C881" t="str">
            <v>K.O. DRUM DZ3004</v>
          </cell>
          <cell r="D881">
            <v>300</v>
          </cell>
          <cell r="E881">
            <v>-43</v>
          </cell>
          <cell r="F881" t="str">
            <v>DEGC</v>
          </cell>
        </row>
        <row r="882">
          <cell r="B882" t="str">
            <v>TTZ5063_TMR</v>
          </cell>
          <cell r="C882" t="str">
            <v>TIME TO RESET OVR DZ3004</v>
          </cell>
          <cell r="D882">
            <v>1800</v>
          </cell>
          <cell r="E882">
            <v>0</v>
          </cell>
          <cell r="F882" t="str">
            <v>SEC.</v>
          </cell>
        </row>
        <row r="883">
          <cell r="B883" t="str">
            <v>TEZ_2052AB</v>
          </cell>
          <cell r="C883" t="str">
            <v>TEMP. LUBE OIL VOITH</v>
          </cell>
          <cell r="D883">
            <v>150</v>
          </cell>
          <cell r="E883">
            <v>0</v>
          </cell>
          <cell r="F883" t="str">
            <v>DEGC</v>
          </cell>
        </row>
        <row r="884">
          <cell r="B884" t="str">
            <v>TEZ_2053AB</v>
          </cell>
          <cell r="C884" t="str">
            <v>TEMP. WORKING OIL VOITH</v>
          </cell>
          <cell r="D884">
            <v>150</v>
          </cell>
          <cell r="E884">
            <v>0</v>
          </cell>
          <cell r="F884" t="str">
            <v>DEGC</v>
          </cell>
        </row>
        <row r="885">
          <cell r="B885" t="str">
            <v>TEZ_2055_6_7</v>
          </cell>
          <cell r="C885" t="str">
            <v>TEMP. WINDING E-MOTOR</v>
          </cell>
          <cell r="D885">
            <v>150</v>
          </cell>
          <cell r="E885">
            <v>0</v>
          </cell>
          <cell r="F885" t="str">
            <v>DEGC</v>
          </cell>
        </row>
        <row r="886">
          <cell r="B886" t="str">
            <v>TEZ_2060AB</v>
          </cell>
          <cell r="C886" t="str">
            <v>TEMP. BEARING AXIAL O.B COMPR.</v>
          </cell>
          <cell r="D886">
            <v>150</v>
          </cell>
          <cell r="E886">
            <v>0</v>
          </cell>
          <cell r="F886" t="str">
            <v>DEGC</v>
          </cell>
        </row>
        <row r="887">
          <cell r="B887" t="str">
            <v>TEZ_2061AB</v>
          </cell>
          <cell r="C887" t="str">
            <v>TEMP. BEARING AXIAL I.B COMPR.</v>
          </cell>
          <cell r="D887">
            <v>150</v>
          </cell>
          <cell r="E887">
            <v>0</v>
          </cell>
          <cell r="F887" t="str">
            <v>DEGC</v>
          </cell>
        </row>
        <row r="888">
          <cell r="B888" t="str">
            <v>TEZ_2062AB</v>
          </cell>
          <cell r="C888" t="str">
            <v>TEMP. BEAR. RADIAL N.D.E COMPR.</v>
          </cell>
          <cell r="D888">
            <v>150</v>
          </cell>
          <cell r="E888">
            <v>0</v>
          </cell>
          <cell r="F888" t="str">
            <v>DEGC</v>
          </cell>
        </row>
        <row r="889">
          <cell r="B889" t="str">
            <v>TEZ_2063AB</v>
          </cell>
          <cell r="C889" t="str">
            <v>TEMP. BEARING RADIAL D.E COMPR.</v>
          </cell>
          <cell r="D889">
            <v>150</v>
          </cell>
          <cell r="E889">
            <v>0</v>
          </cell>
          <cell r="F889" t="str">
            <v>DEGC</v>
          </cell>
        </row>
        <row r="890">
          <cell r="B890" t="str">
            <v>TEZ_2064AB</v>
          </cell>
          <cell r="C890" t="str">
            <v>TEMP. RADIAL OUTPUT O.B VOITH</v>
          </cell>
          <cell r="D890">
            <v>150</v>
          </cell>
          <cell r="E890">
            <v>0</v>
          </cell>
          <cell r="F890" t="str">
            <v>DEGC</v>
          </cell>
        </row>
        <row r="891">
          <cell r="B891" t="str">
            <v>TEZ_2065AB</v>
          </cell>
          <cell r="C891" t="str">
            <v>TEMP. RADIAL OUTPUT O.B VOITH</v>
          </cell>
          <cell r="D891">
            <v>150</v>
          </cell>
          <cell r="E891">
            <v>0</v>
          </cell>
          <cell r="F891" t="str">
            <v>DEGC</v>
          </cell>
        </row>
        <row r="892">
          <cell r="B892" t="str">
            <v>TEZ_2066AB</v>
          </cell>
          <cell r="C892" t="str">
            <v>TEMP. RADIAL OUTPUT I.B VOITH</v>
          </cell>
          <cell r="D892">
            <v>150</v>
          </cell>
          <cell r="E892">
            <v>0</v>
          </cell>
          <cell r="F892" t="str">
            <v>DEGC</v>
          </cell>
        </row>
        <row r="893">
          <cell r="B893" t="str">
            <v>TEZ_2067AB</v>
          </cell>
          <cell r="C893" t="str">
            <v>TEMP. RADIAL OUTPUT I.B VOITH</v>
          </cell>
          <cell r="D893">
            <v>150</v>
          </cell>
          <cell r="E893">
            <v>0</v>
          </cell>
          <cell r="F893" t="str">
            <v>DEGC</v>
          </cell>
        </row>
        <row r="894">
          <cell r="B894" t="str">
            <v>TEZ_2068AB</v>
          </cell>
          <cell r="C894" t="str">
            <v>TEMP. RADIAL PINION I.B VOITH</v>
          </cell>
          <cell r="D894">
            <v>150</v>
          </cell>
          <cell r="E894">
            <v>0</v>
          </cell>
          <cell r="F894" t="str">
            <v>DEGC</v>
          </cell>
        </row>
        <row r="895">
          <cell r="B895" t="str">
            <v>TEZ_2069AB</v>
          </cell>
          <cell r="C895" t="str">
            <v>TEMP. RADIAL INPUT I.B VOITH</v>
          </cell>
          <cell r="D895">
            <v>150</v>
          </cell>
          <cell r="E895">
            <v>0</v>
          </cell>
          <cell r="F895" t="str">
            <v>DEGC</v>
          </cell>
        </row>
        <row r="896">
          <cell r="B896" t="str">
            <v>TEZ_2070AB</v>
          </cell>
          <cell r="C896" t="str">
            <v>TEMP. RADIAL INPUT O.B VOITH</v>
          </cell>
          <cell r="D896">
            <v>150</v>
          </cell>
          <cell r="E896">
            <v>0</v>
          </cell>
          <cell r="F896" t="str">
            <v>DEGC</v>
          </cell>
        </row>
        <row r="897">
          <cell r="B897" t="str">
            <v>TEZ_2071AB</v>
          </cell>
          <cell r="C897" t="str">
            <v>TEMP. RADIAL PINION O.B. VOITH</v>
          </cell>
          <cell r="D897">
            <v>150</v>
          </cell>
          <cell r="E897">
            <v>0</v>
          </cell>
          <cell r="F897" t="str">
            <v>DEGC</v>
          </cell>
        </row>
        <row r="898">
          <cell r="B898" t="str">
            <v>TEZ_2072AB</v>
          </cell>
          <cell r="C898" t="str">
            <v>TEMP. AXIAL PINION I.B VOITH</v>
          </cell>
          <cell r="D898">
            <v>150</v>
          </cell>
          <cell r="E898">
            <v>0</v>
          </cell>
          <cell r="F898" t="str">
            <v>DEGC</v>
          </cell>
        </row>
        <row r="899">
          <cell r="B899" t="str">
            <v>TEZ_2073AB</v>
          </cell>
          <cell r="C899" t="str">
            <v>TEMP. AXIAL PINION O.B VOITH</v>
          </cell>
          <cell r="D899">
            <v>150</v>
          </cell>
          <cell r="E899">
            <v>0</v>
          </cell>
          <cell r="F899" t="str">
            <v>DEGC</v>
          </cell>
        </row>
        <row r="900">
          <cell r="B900" t="str">
            <v>TEZ_2074AB</v>
          </cell>
          <cell r="C900" t="str">
            <v>TEMP. BEARING RADIAL D.E E-MOTOR</v>
          </cell>
          <cell r="D900">
            <v>150</v>
          </cell>
          <cell r="E900">
            <v>0</v>
          </cell>
          <cell r="F900" t="str">
            <v>DEGC</v>
          </cell>
        </row>
        <row r="901">
          <cell r="B901" t="str">
            <v>TEZ_2075AB</v>
          </cell>
          <cell r="C901" t="str">
            <v>TEMP. BEAR. RADIAL N.D.E E-MOTOR</v>
          </cell>
          <cell r="D901">
            <v>150</v>
          </cell>
          <cell r="E901">
            <v>0</v>
          </cell>
          <cell r="F901" t="str">
            <v>DEGC</v>
          </cell>
        </row>
        <row r="902">
          <cell r="B902" t="str">
            <v>SEZ_2002A</v>
          </cell>
          <cell r="C902" t="str">
            <v>SPEED</v>
          </cell>
          <cell r="D902">
            <v>20000</v>
          </cell>
          <cell r="E902">
            <v>0</v>
          </cell>
          <cell r="F902" t="str">
            <v>RPM</v>
          </cell>
        </row>
        <row r="903">
          <cell r="B903" t="str">
            <v>VEZ_2001E</v>
          </cell>
          <cell r="C903" t="str">
            <v>REL. VIBR. RADIAL D.E COMPR.</v>
          </cell>
          <cell r="D903">
            <v>150</v>
          </cell>
          <cell r="E903">
            <v>0</v>
          </cell>
          <cell r="F903" t="str">
            <v>UM</v>
          </cell>
        </row>
        <row r="904">
          <cell r="B904" t="str">
            <v>VEZ_2001F</v>
          </cell>
          <cell r="C904" t="str">
            <v>REL. VIBR. RADIAL D.E COMPR.</v>
          </cell>
          <cell r="D904">
            <v>150</v>
          </cell>
          <cell r="E904">
            <v>0</v>
          </cell>
          <cell r="F904" t="str">
            <v>UM</v>
          </cell>
        </row>
        <row r="905">
          <cell r="B905" t="str">
            <v>VEZ_2001G</v>
          </cell>
          <cell r="C905" t="str">
            <v>REL. VIBR. RADIAL N.D.E COMPR.</v>
          </cell>
          <cell r="D905">
            <v>150</v>
          </cell>
          <cell r="E905">
            <v>0</v>
          </cell>
          <cell r="F905" t="str">
            <v>UM</v>
          </cell>
        </row>
        <row r="906">
          <cell r="B906" t="str">
            <v>VEZ_2001H</v>
          </cell>
          <cell r="C906" t="str">
            <v>REL. VIBR. RADIAL N.D.E COMPR.</v>
          </cell>
          <cell r="D906">
            <v>150</v>
          </cell>
          <cell r="E906">
            <v>0</v>
          </cell>
          <cell r="F906" t="str">
            <v>UM</v>
          </cell>
        </row>
        <row r="907">
          <cell r="B907" t="str">
            <v>VEZ_2001I</v>
          </cell>
          <cell r="C907" t="str">
            <v>REL. VIBR. RADIAL D.E E-MOTOR</v>
          </cell>
          <cell r="D907">
            <v>150</v>
          </cell>
          <cell r="E907">
            <v>0</v>
          </cell>
          <cell r="F907" t="str">
            <v>UM</v>
          </cell>
        </row>
        <row r="908">
          <cell r="B908" t="str">
            <v>VEZ_2001J</v>
          </cell>
          <cell r="C908" t="str">
            <v>REL. VIBR. RADIAL D.E E-MOTOR</v>
          </cell>
          <cell r="D908">
            <v>150</v>
          </cell>
          <cell r="E908">
            <v>0</v>
          </cell>
          <cell r="F908" t="str">
            <v>UM</v>
          </cell>
        </row>
        <row r="909">
          <cell r="B909" t="str">
            <v>VEZ_2001K</v>
          </cell>
          <cell r="C909" t="str">
            <v>REL. VIBR. RADIAL N.D.E E-MOTOR</v>
          </cell>
          <cell r="D909">
            <v>150</v>
          </cell>
          <cell r="E909">
            <v>0</v>
          </cell>
          <cell r="F909" t="str">
            <v>UM</v>
          </cell>
        </row>
        <row r="910">
          <cell r="B910" t="str">
            <v>VEZ_2001L</v>
          </cell>
          <cell r="C910" t="str">
            <v>REL. VIBR. RADIAL N.D.E E-MOTOR</v>
          </cell>
          <cell r="D910">
            <v>150</v>
          </cell>
          <cell r="E910">
            <v>0</v>
          </cell>
          <cell r="F910" t="str">
            <v>UM</v>
          </cell>
        </row>
        <row r="911">
          <cell r="B911" t="str">
            <v>VEZ_2002A</v>
          </cell>
          <cell r="C911" t="str">
            <v>ABS. VIBR. AXIAL</v>
          </cell>
          <cell r="D911">
            <v>1</v>
          </cell>
          <cell r="E911">
            <v>-1</v>
          </cell>
          <cell r="F911" t="str">
            <v>MM</v>
          </cell>
        </row>
        <row r="912">
          <cell r="B912" t="str">
            <v>VEZ_2002B</v>
          </cell>
          <cell r="C912" t="str">
            <v>ABS. VIBR. AXIAL</v>
          </cell>
          <cell r="D912">
            <v>1</v>
          </cell>
          <cell r="E912">
            <v>-1</v>
          </cell>
          <cell r="F912" t="str">
            <v>MM</v>
          </cell>
        </row>
        <row r="913">
          <cell r="B913" t="str">
            <v>VYZ_2001AB</v>
          </cell>
          <cell r="C913" t="str">
            <v>REL. VIBR. RAD. INPUT VOITH</v>
          </cell>
          <cell r="D913">
            <v>200</v>
          </cell>
          <cell r="E913">
            <v>0</v>
          </cell>
          <cell r="F913" t="str">
            <v>UM</v>
          </cell>
        </row>
        <row r="914">
          <cell r="B914" t="str">
            <v>VYZ_2001CD</v>
          </cell>
          <cell r="C914" t="str">
            <v>REL. VIBR. RAD. OUTPUT VOITH</v>
          </cell>
          <cell r="D914">
            <v>150</v>
          </cell>
          <cell r="E914">
            <v>0</v>
          </cell>
          <cell r="F914" t="str">
            <v>UM</v>
          </cell>
        </row>
        <row r="915">
          <cell r="B915" t="str">
            <v>FIZ2306</v>
          </cell>
          <cell r="C915" t="str">
            <v>NS CRUDE BLENDER TK106</v>
          </cell>
          <cell r="D915">
            <v>400</v>
          </cell>
          <cell r="E915">
            <v>0</v>
          </cell>
          <cell r="F915" t="str">
            <v>M3/H</v>
          </cell>
        </row>
        <row r="916">
          <cell r="B916" t="str">
            <v>FIZ2307</v>
          </cell>
          <cell r="C916" t="str">
            <v>NS CRUDE BLENDER TK105</v>
          </cell>
          <cell r="D916">
            <v>400</v>
          </cell>
          <cell r="E916">
            <v>0</v>
          </cell>
          <cell r="F916" t="str">
            <v>M3/H</v>
          </cell>
        </row>
        <row r="917">
          <cell r="B917" t="str">
            <v>FIZ2308</v>
          </cell>
          <cell r="C917" t="str">
            <v>NS CRUDE BLENDER TK04 TO CDU4</v>
          </cell>
          <cell r="D917">
            <v>150</v>
          </cell>
          <cell r="E917">
            <v>0</v>
          </cell>
          <cell r="F917" t="str">
            <v>M3/H</v>
          </cell>
        </row>
        <row r="918">
          <cell r="B918" t="str">
            <v>FIZ2308_DUMY</v>
          </cell>
          <cell r="C918" t="str">
            <v>NS CRUDE BLENDER TK04 TO CDU4</v>
          </cell>
          <cell r="D918">
            <v>150</v>
          </cell>
          <cell r="E918">
            <v>0</v>
          </cell>
          <cell r="F918" t="str">
            <v>M3/H</v>
          </cell>
        </row>
        <row r="919">
          <cell r="B919" t="str">
            <v>QPSSZ1003</v>
          </cell>
          <cell r="C919" t="str">
            <v>LGO CLOUDPOINT PREDICTION</v>
          </cell>
          <cell r="D919">
            <v>10</v>
          </cell>
          <cell r="E919">
            <v>-20</v>
          </cell>
          <cell r="F919" t="str">
            <v>DEGC</v>
          </cell>
        </row>
        <row r="920">
          <cell r="B920" t="str">
            <v>QPSSZ1015</v>
          </cell>
          <cell r="C920" t="str">
            <v>HGO COLOUR PREDICTION</v>
          </cell>
          <cell r="D920">
            <v>7</v>
          </cell>
          <cell r="E920">
            <v>0</v>
          </cell>
          <cell r="F920" t="str">
            <v>DEGC</v>
          </cell>
        </row>
        <row r="921">
          <cell r="B921" t="str">
            <v>QPSSZ1016</v>
          </cell>
          <cell r="C921" t="str">
            <v>LGO DIST 95% PREDICTION</v>
          </cell>
          <cell r="D921">
            <v>400</v>
          </cell>
          <cell r="E921">
            <v>100</v>
          </cell>
          <cell r="F921" t="str">
            <v>DEGC</v>
          </cell>
        </row>
        <row r="922">
          <cell r="B922" t="str">
            <v>QPSSZ3001A</v>
          </cell>
          <cell r="C922" t="str">
            <v>SRG DIST 90% PREDICTION</v>
          </cell>
          <cell r="D922">
            <v>120</v>
          </cell>
          <cell r="E922">
            <v>60</v>
          </cell>
          <cell r="F922" t="str">
            <v>DEGC</v>
          </cell>
        </row>
        <row r="923">
          <cell r="B923" t="str">
            <v>QPSSZ3001B</v>
          </cell>
          <cell r="C923" t="str">
            <v>SRG RVP PREDICTION</v>
          </cell>
          <cell r="D923">
            <v>2</v>
          </cell>
          <cell r="E923">
            <v>0</v>
          </cell>
          <cell r="F923" t="str">
            <v>BAR</v>
          </cell>
        </row>
        <row r="924">
          <cell r="B924" t="str">
            <v>QPSSZ3001D</v>
          </cell>
          <cell r="C924" t="str">
            <v>SRG TOTAL C4 PREDICTION</v>
          </cell>
          <cell r="D924">
            <v>10</v>
          </cell>
          <cell r="E924">
            <v>0</v>
          </cell>
          <cell r="F924" t="str">
            <v>VOL%</v>
          </cell>
        </row>
        <row r="925">
          <cell r="B925" t="str">
            <v>QPSSZ3003A</v>
          </cell>
          <cell r="C925" t="str">
            <v>SRB DIST 90% PREDICTION</v>
          </cell>
          <cell r="D925">
            <v>190</v>
          </cell>
          <cell r="E925">
            <v>80</v>
          </cell>
          <cell r="F925" t="str">
            <v>DEGC</v>
          </cell>
        </row>
        <row r="926">
          <cell r="B926" t="str">
            <v>QPSSZ3003B</v>
          </cell>
          <cell r="C926" t="str">
            <v>SRB DIST 5% PREDICTION</v>
          </cell>
          <cell r="D926">
            <v>140</v>
          </cell>
          <cell r="E926">
            <v>70</v>
          </cell>
          <cell r="F926" t="str">
            <v>DEGC</v>
          </cell>
        </row>
        <row r="927">
          <cell r="B927" t="str">
            <v>QPSSZ3004A</v>
          </cell>
          <cell r="C927" t="str">
            <v>KERO FLASHPOINT PREDICTION</v>
          </cell>
          <cell r="D927">
            <v>80</v>
          </cell>
          <cell r="E927">
            <v>20</v>
          </cell>
          <cell r="F927" t="str">
            <v>DEGC</v>
          </cell>
        </row>
        <row r="928">
          <cell r="B928" t="str">
            <v>QPSSZ3004B</v>
          </cell>
          <cell r="C928" t="str">
            <v>KERO 90% POINT PREDICTION</v>
          </cell>
          <cell r="D928">
            <v>280</v>
          </cell>
          <cell r="E928">
            <v>180</v>
          </cell>
          <cell r="F928" t="str">
            <v>DEGC</v>
          </cell>
        </row>
        <row r="929">
          <cell r="B929" t="str">
            <v>QPSSZ3004D</v>
          </cell>
          <cell r="C929" t="str">
            <v>KERO FREEZING PNT PREDICTION</v>
          </cell>
          <cell r="D929">
            <v>-30</v>
          </cell>
          <cell r="E929">
            <v>-80</v>
          </cell>
          <cell r="F929" t="str">
            <v>DEGC</v>
          </cell>
        </row>
        <row r="930">
          <cell r="B930" t="str">
            <v>QPSSZ3010</v>
          </cell>
          <cell r="C930" t="str">
            <v>LPG C5 PREDICTION</v>
          </cell>
          <cell r="D930">
            <v>50</v>
          </cell>
          <cell r="E930">
            <v>-50</v>
          </cell>
          <cell r="F930" t="str">
            <v>MOL%</v>
          </cell>
        </row>
        <row r="931">
          <cell r="B931" t="str">
            <v>QPZ1003_ST</v>
          </cell>
          <cell r="C931" t="str">
            <v>LGO CLOUDPOINT STATUS</v>
          </cell>
          <cell r="D931">
            <v>1</v>
          </cell>
          <cell r="E931">
            <v>0</v>
          </cell>
          <cell r="F931" t="str">
            <v>%</v>
          </cell>
        </row>
        <row r="932">
          <cell r="B932" t="str">
            <v>QPZ1015_ST</v>
          </cell>
          <cell r="C932" t="str">
            <v>HGO COLOUR STATUS</v>
          </cell>
          <cell r="D932">
            <v>1</v>
          </cell>
          <cell r="E932">
            <v>0</v>
          </cell>
          <cell r="F932" t="str">
            <v>%</v>
          </cell>
        </row>
        <row r="933">
          <cell r="B933" t="str">
            <v>QPZ3001A_ST</v>
          </cell>
          <cell r="C933" t="str">
            <v>SRG 90% POINT STATUS</v>
          </cell>
          <cell r="D933">
            <v>1</v>
          </cell>
          <cell r="E933">
            <v>0</v>
          </cell>
          <cell r="F933" t="str">
            <v>%</v>
          </cell>
        </row>
        <row r="934">
          <cell r="B934" t="str">
            <v>QPZ3001B_ST</v>
          </cell>
          <cell r="C934" t="str">
            <v>SRG RVP STATUS</v>
          </cell>
          <cell r="D934">
            <v>1</v>
          </cell>
          <cell r="E934">
            <v>0</v>
          </cell>
          <cell r="F934" t="str">
            <v>%</v>
          </cell>
        </row>
        <row r="935">
          <cell r="B935" t="str">
            <v>QPZ3001D_ST</v>
          </cell>
          <cell r="C935" t="str">
            <v>SRG C4% STATUS</v>
          </cell>
          <cell r="D935">
            <v>1</v>
          </cell>
          <cell r="E935">
            <v>0</v>
          </cell>
          <cell r="F935" t="str">
            <v>%</v>
          </cell>
        </row>
        <row r="936">
          <cell r="B936" t="str">
            <v>QPZ3003A_ST</v>
          </cell>
          <cell r="C936" t="str">
            <v>SRB 90% POINT STATUS</v>
          </cell>
          <cell r="D936">
            <v>1</v>
          </cell>
          <cell r="E936">
            <v>0</v>
          </cell>
          <cell r="F936" t="str">
            <v>%</v>
          </cell>
        </row>
        <row r="937">
          <cell r="B937" t="str">
            <v>QPZ3003B_ST</v>
          </cell>
          <cell r="C937" t="str">
            <v>SRB 5% POINT STATUS</v>
          </cell>
          <cell r="D937">
            <v>1</v>
          </cell>
          <cell r="E937">
            <v>0</v>
          </cell>
          <cell r="F937" t="str">
            <v>%</v>
          </cell>
        </row>
        <row r="938">
          <cell r="B938" t="str">
            <v>QPZ3004A_ST</v>
          </cell>
          <cell r="C938" t="str">
            <v>KERO FLASHPOINT STATUS</v>
          </cell>
          <cell r="D938">
            <v>1</v>
          </cell>
          <cell r="E938">
            <v>0</v>
          </cell>
          <cell r="F938" t="str">
            <v>%</v>
          </cell>
        </row>
        <row r="939">
          <cell r="B939" t="str">
            <v>QPZ3004B_ST</v>
          </cell>
          <cell r="C939" t="str">
            <v>KERO 90% STATUS</v>
          </cell>
          <cell r="D939">
            <v>1</v>
          </cell>
          <cell r="E939">
            <v>0</v>
          </cell>
          <cell r="F939" t="str">
            <v>%</v>
          </cell>
        </row>
        <row r="940">
          <cell r="B940" t="str">
            <v>QPZ3004D_ST</v>
          </cell>
          <cell r="C940" t="str">
            <v>KERO FREEZINGPOINTSTATUS</v>
          </cell>
          <cell r="D940">
            <v>1</v>
          </cell>
          <cell r="E940">
            <v>0</v>
          </cell>
          <cell r="F940" t="str">
            <v>%</v>
          </cell>
        </row>
        <row r="941">
          <cell r="B941" t="str">
            <v>QPZ3010_ST</v>
          </cell>
          <cell r="C941" t="str">
            <v>LPG C5% STATUS</v>
          </cell>
          <cell r="D941">
            <v>1</v>
          </cell>
          <cell r="E941">
            <v>0</v>
          </cell>
          <cell r="F941" t="str">
            <v>%</v>
          </cell>
        </row>
        <row r="942">
          <cell r="B942" t="str">
            <v>QSTAT_1003</v>
          </cell>
          <cell r="C942" t="str">
            <v>LGO CLOUDP.UPDATE MESSAGE</v>
          </cell>
          <cell r="D942">
            <v>15</v>
          </cell>
          <cell r="E942">
            <v>-1</v>
          </cell>
          <cell r="F942" t="str">
            <v>%</v>
          </cell>
        </row>
        <row r="943">
          <cell r="B943" t="str">
            <v>QSTAT_1015</v>
          </cell>
          <cell r="C943" t="str">
            <v>HGO COLOR UPDATE MESSAGE</v>
          </cell>
          <cell r="D943">
            <v>15</v>
          </cell>
          <cell r="E943">
            <v>-1</v>
          </cell>
          <cell r="F943" t="str">
            <v>%</v>
          </cell>
        </row>
        <row r="944">
          <cell r="B944" t="str">
            <v>QSTAT_1016</v>
          </cell>
          <cell r="C944" t="str">
            <v>LGO 95% UPDATE MESSAGE</v>
          </cell>
          <cell r="D944">
            <v>15</v>
          </cell>
          <cell r="E944">
            <v>-1</v>
          </cell>
          <cell r="F944" t="str">
            <v>%</v>
          </cell>
        </row>
        <row r="945">
          <cell r="B945" t="str">
            <v>QSTAT_3001A</v>
          </cell>
          <cell r="C945" t="str">
            <v>SRG 90% UPDATE MESSAGE</v>
          </cell>
          <cell r="D945">
            <v>15</v>
          </cell>
          <cell r="E945">
            <v>-1</v>
          </cell>
          <cell r="F945" t="str">
            <v>%</v>
          </cell>
        </row>
        <row r="946">
          <cell r="B946" t="str">
            <v>QSTAT_3001B</v>
          </cell>
          <cell r="C946" t="str">
            <v>SRG RVP UPDATE MESSAGE</v>
          </cell>
          <cell r="D946">
            <v>15</v>
          </cell>
          <cell r="E946">
            <v>-1</v>
          </cell>
          <cell r="F946" t="str">
            <v>%</v>
          </cell>
        </row>
        <row r="947">
          <cell r="B947" t="str">
            <v>QSTAT_3001D</v>
          </cell>
          <cell r="C947" t="str">
            <v>SRG %C4 UPDATE MESSAGE</v>
          </cell>
          <cell r="D947">
            <v>15</v>
          </cell>
          <cell r="E947">
            <v>-1</v>
          </cell>
          <cell r="F947" t="str">
            <v>%</v>
          </cell>
        </row>
        <row r="948">
          <cell r="B948" t="str">
            <v>QSTAT_3003A</v>
          </cell>
          <cell r="C948" t="str">
            <v>SRB 90% UPDATE MESSAGE</v>
          </cell>
          <cell r="D948">
            <v>15</v>
          </cell>
          <cell r="E948">
            <v>-1</v>
          </cell>
          <cell r="F948" t="str">
            <v>%</v>
          </cell>
        </row>
        <row r="949">
          <cell r="B949" t="str">
            <v>QSTAT_3003B</v>
          </cell>
          <cell r="C949" t="str">
            <v>SRB 5% UPDATE MESSAGE</v>
          </cell>
          <cell r="D949">
            <v>15</v>
          </cell>
          <cell r="E949">
            <v>-1</v>
          </cell>
          <cell r="F949" t="str">
            <v>%</v>
          </cell>
        </row>
        <row r="950">
          <cell r="B950" t="str">
            <v>QSTAT_3004A</v>
          </cell>
          <cell r="C950" t="str">
            <v>KERO FLASH UPDATE MESSAGE</v>
          </cell>
          <cell r="D950">
            <v>15</v>
          </cell>
          <cell r="E950">
            <v>-1</v>
          </cell>
          <cell r="F950" t="str">
            <v>%</v>
          </cell>
        </row>
        <row r="951">
          <cell r="B951" t="str">
            <v>QSTAT_3004B</v>
          </cell>
          <cell r="C951" t="str">
            <v>KERO 90% UPDATE MESSAGE</v>
          </cell>
          <cell r="D951">
            <v>15</v>
          </cell>
          <cell r="E951">
            <v>-1</v>
          </cell>
          <cell r="F951" t="str">
            <v>%</v>
          </cell>
        </row>
        <row r="952">
          <cell r="B952" t="str">
            <v>QSTAT_3004D</v>
          </cell>
          <cell r="C952" t="str">
            <v>KERO FREEZ UPDATE MESSAGE</v>
          </cell>
          <cell r="D952">
            <v>15</v>
          </cell>
          <cell r="E952">
            <v>-1</v>
          </cell>
          <cell r="F952" t="str">
            <v>%</v>
          </cell>
        </row>
        <row r="953">
          <cell r="B953" t="str">
            <v>QSTAT_3010</v>
          </cell>
          <cell r="C953" t="str">
            <v>LPG %C5 UPDATE MESSAGE</v>
          </cell>
          <cell r="D953">
            <v>15</v>
          </cell>
          <cell r="E953">
            <v>-1</v>
          </cell>
          <cell r="F953" t="str">
            <v>%</v>
          </cell>
        </row>
        <row r="954">
          <cell r="B954" t="str">
            <v>FITZ3005_F</v>
          </cell>
          <cell r="C954" t="str">
            <v>STABILISER OVHD OFFGAS</v>
          </cell>
          <cell r="D954">
            <v>14.08</v>
          </cell>
          <cell r="E954">
            <v>0</v>
          </cell>
          <cell r="F954" t="str">
            <v>KNM3/H</v>
          </cell>
        </row>
        <row r="955">
          <cell r="B955" t="str">
            <v>TAHZ1080_F</v>
          </cell>
          <cell r="C955" t="str">
            <v>HZ2101 HOT AIR DUCT</v>
          </cell>
          <cell r="D955">
            <v>523</v>
          </cell>
          <cell r="E955">
            <v>-25</v>
          </cell>
          <cell r="F955" t="str">
            <v>%</v>
          </cell>
        </row>
        <row r="956">
          <cell r="B956" t="str">
            <v>TDZ1040</v>
          </cell>
          <cell r="C956" t="str">
            <v>CDU HEATER PASS 1 OUTLET DEV</v>
          </cell>
          <cell r="D956">
            <v>25</v>
          </cell>
          <cell r="E956">
            <v>-25</v>
          </cell>
          <cell r="F956" t="str">
            <v>DEGC</v>
          </cell>
        </row>
        <row r="957">
          <cell r="B957" t="str">
            <v>TDZ1041</v>
          </cell>
          <cell r="C957" t="str">
            <v>CDU HEATER PASS 2 OUTLET DEV</v>
          </cell>
          <cell r="D957">
            <v>25</v>
          </cell>
          <cell r="E957">
            <v>-25</v>
          </cell>
          <cell r="F957" t="str">
            <v>DEGC</v>
          </cell>
        </row>
        <row r="958">
          <cell r="B958" t="str">
            <v>TDZ1042</v>
          </cell>
          <cell r="C958" t="str">
            <v>CDU HEATER PASS 3 OUTLET DEV</v>
          </cell>
          <cell r="D958">
            <v>25</v>
          </cell>
          <cell r="E958">
            <v>-25</v>
          </cell>
          <cell r="F958" t="str">
            <v>DEGC</v>
          </cell>
        </row>
        <row r="959">
          <cell r="B959" t="str">
            <v>TDZ1043</v>
          </cell>
          <cell r="C959" t="str">
            <v>CDU HEATER PASS 4 OUTLET DEV</v>
          </cell>
          <cell r="D959">
            <v>25</v>
          </cell>
          <cell r="E959">
            <v>-25</v>
          </cell>
          <cell r="F959" t="str">
            <v>DEGC</v>
          </cell>
        </row>
        <row r="960">
          <cell r="B960" t="str">
            <v>TDZ1044</v>
          </cell>
          <cell r="C960" t="str">
            <v>CDU HEATER PASS 5 OUTLET DEV</v>
          </cell>
          <cell r="D960">
            <v>25</v>
          </cell>
          <cell r="E960">
            <v>-25</v>
          </cell>
          <cell r="F960" t="str">
            <v>DEGC</v>
          </cell>
        </row>
        <row r="961">
          <cell r="B961" t="str">
            <v>TDZ1045</v>
          </cell>
          <cell r="C961" t="str">
            <v>CDU HEATER PASS 6 OUTLET DEV</v>
          </cell>
          <cell r="D961">
            <v>25</v>
          </cell>
          <cell r="E961">
            <v>-25</v>
          </cell>
          <cell r="F961" t="str">
            <v>DEGC</v>
          </cell>
        </row>
        <row r="962">
          <cell r="B962" t="str">
            <v>TDZ1046</v>
          </cell>
          <cell r="C962" t="str">
            <v>CDU HEATER PASS 7 OUTLET DEV</v>
          </cell>
          <cell r="D962">
            <v>25</v>
          </cell>
          <cell r="E962">
            <v>-25</v>
          </cell>
          <cell r="F962" t="str">
            <v>DEGC</v>
          </cell>
        </row>
        <row r="963">
          <cell r="B963" t="str">
            <v>TDZ1047</v>
          </cell>
          <cell r="C963" t="str">
            <v>CDU HEATER PASS 8 OUTLET DEV</v>
          </cell>
          <cell r="D963">
            <v>25</v>
          </cell>
          <cell r="E963">
            <v>-25</v>
          </cell>
          <cell r="F963" t="str">
            <v>DEGC</v>
          </cell>
        </row>
        <row r="964">
          <cell r="B964" t="str">
            <v>TIZ1020_F</v>
          </cell>
          <cell r="C964" t="str">
            <v>HZ2101 RADIANT SECTION FILT.</v>
          </cell>
          <cell r="D964">
            <v>1116</v>
          </cell>
          <cell r="E964">
            <v>-25</v>
          </cell>
          <cell r="F964" t="str">
            <v>%</v>
          </cell>
        </row>
        <row r="965">
          <cell r="B965" t="str">
            <v>TIZ1022_F</v>
          </cell>
          <cell r="C965" t="str">
            <v>CDU HEATER PASS 1 SKIN LOWER FLT</v>
          </cell>
          <cell r="D965">
            <v>1116</v>
          </cell>
          <cell r="E965">
            <v>-25</v>
          </cell>
          <cell r="F965" t="str">
            <v>%</v>
          </cell>
        </row>
        <row r="966">
          <cell r="B966" t="str">
            <v>TIZ1023_F</v>
          </cell>
          <cell r="C966" t="str">
            <v>CDU HEATER PASS 2 SKIN LOWER FLT</v>
          </cell>
          <cell r="D966">
            <v>1116</v>
          </cell>
          <cell r="E966">
            <v>-25</v>
          </cell>
          <cell r="F966" t="str">
            <v>%</v>
          </cell>
        </row>
        <row r="967">
          <cell r="B967" t="str">
            <v>TIZ1024_F</v>
          </cell>
          <cell r="C967" t="str">
            <v>CDU HEATER PASS 3 SKIN LOWER FLT</v>
          </cell>
          <cell r="D967">
            <v>1116</v>
          </cell>
          <cell r="E967">
            <v>-25</v>
          </cell>
          <cell r="F967" t="str">
            <v>%</v>
          </cell>
        </row>
        <row r="968">
          <cell r="B968" t="str">
            <v>TIZ1025_F</v>
          </cell>
          <cell r="C968" t="str">
            <v>CDU HEATER PASS 4 SKIN LOWER FLT</v>
          </cell>
          <cell r="D968">
            <v>1116</v>
          </cell>
          <cell r="E968">
            <v>-25</v>
          </cell>
          <cell r="F968" t="str">
            <v>%</v>
          </cell>
        </row>
        <row r="969">
          <cell r="B969" t="str">
            <v>TIZ1026_F</v>
          </cell>
          <cell r="C969" t="str">
            <v>CDU HEATER PASS 5 SKIN LOWER FLT</v>
          </cell>
          <cell r="D969">
            <v>1116</v>
          </cell>
          <cell r="E969">
            <v>-25</v>
          </cell>
          <cell r="F969" t="str">
            <v>%</v>
          </cell>
        </row>
        <row r="970">
          <cell r="B970" t="str">
            <v>TIZ1027_F</v>
          </cell>
          <cell r="C970" t="str">
            <v>CDU HEATER PASS 6 SKIN LOWER FLT</v>
          </cell>
          <cell r="D970">
            <v>1116</v>
          </cell>
          <cell r="E970">
            <v>-25</v>
          </cell>
          <cell r="F970" t="str">
            <v>%</v>
          </cell>
        </row>
        <row r="971">
          <cell r="B971" t="str">
            <v>TIZ1028_F</v>
          </cell>
          <cell r="C971" t="str">
            <v>CDU HEATER PASS 7 SKIN LOWER FLT</v>
          </cell>
          <cell r="D971">
            <v>1116</v>
          </cell>
          <cell r="E971">
            <v>-25</v>
          </cell>
          <cell r="F971" t="str">
            <v>%</v>
          </cell>
        </row>
        <row r="972">
          <cell r="B972" t="str">
            <v>TIZ1029_F</v>
          </cell>
          <cell r="C972" t="str">
            <v>CDU HEATER PASS 8 SKIN LOWER FLT</v>
          </cell>
          <cell r="D972">
            <v>1116</v>
          </cell>
          <cell r="E972">
            <v>-25</v>
          </cell>
          <cell r="F972" t="str">
            <v>%</v>
          </cell>
        </row>
        <row r="973">
          <cell r="B973" t="str">
            <v>TIZ1030_F</v>
          </cell>
          <cell r="C973" t="str">
            <v>FLUEGAS EX CONV SECTION FILT.</v>
          </cell>
          <cell r="D973">
            <v>1116</v>
          </cell>
          <cell r="E973">
            <v>-25</v>
          </cell>
          <cell r="F973" t="str">
            <v>%</v>
          </cell>
        </row>
        <row r="974">
          <cell r="B974" t="str">
            <v>TIZ1040_F</v>
          </cell>
          <cell r="C974" t="str">
            <v>CDU HEATER HZ2101 PASS 1 OUTLET</v>
          </cell>
          <cell r="D974">
            <v>1116</v>
          </cell>
          <cell r="E974">
            <v>-25</v>
          </cell>
          <cell r="F974" t="str">
            <v>%</v>
          </cell>
        </row>
        <row r="975">
          <cell r="B975" t="str">
            <v>TIZ1041_F</v>
          </cell>
          <cell r="C975" t="str">
            <v>CDU HEATER HZ2101 PASS 2 OUTLET</v>
          </cell>
          <cell r="D975">
            <v>1116</v>
          </cell>
          <cell r="E975">
            <v>-25</v>
          </cell>
          <cell r="F975" t="str">
            <v>%</v>
          </cell>
        </row>
        <row r="976">
          <cell r="B976" t="str">
            <v>TIZ1042_F</v>
          </cell>
          <cell r="C976" t="str">
            <v>CDU HEATER HZ2101 PASS 3 OUTLET</v>
          </cell>
          <cell r="D976">
            <v>1116</v>
          </cell>
          <cell r="E976">
            <v>-25</v>
          </cell>
          <cell r="F976" t="str">
            <v>%</v>
          </cell>
        </row>
        <row r="977">
          <cell r="B977" t="str">
            <v>TIZ1043_F</v>
          </cell>
          <cell r="C977" t="str">
            <v>CDU HEATER HZ2101 PASS 4 OUTLET</v>
          </cell>
          <cell r="D977">
            <v>1116</v>
          </cell>
          <cell r="E977">
            <v>-25</v>
          </cell>
          <cell r="F977" t="str">
            <v>%</v>
          </cell>
        </row>
        <row r="978">
          <cell r="B978" t="str">
            <v>TIZ1044_F</v>
          </cell>
          <cell r="C978" t="str">
            <v>CDU HEATER HZ2101 PASS 5 OUTLET</v>
          </cell>
          <cell r="D978">
            <v>1116</v>
          </cell>
          <cell r="E978">
            <v>-25</v>
          </cell>
          <cell r="F978" t="str">
            <v>%</v>
          </cell>
        </row>
        <row r="979">
          <cell r="B979" t="str">
            <v>TIZ1045_F</v>
          </cell>
          <cell r="C979" t="str">
            <v>CDU HEATER HZ2101 PASS 6 OUTLET</v>
          </cell>
          <cell r="D979">
            <v>1116</v>
          </cell>
          <cell r="E979">
            <v>-25</v>
          </cell>
          <cell r="F979" t="str">
            <v>%</v>
          </cell>
        </row>
        <row r="980">
          <cell r="B980" t="str">
            <v>TIZ1046_F</v>
          </cell>
          <cell r="C980" t="str">
            <v>CDU HEATER HZ2101 PASS 7 OUTLET</v>
          </cell>
          <cell r="D980">
            <v>1116</v>
          </cell>
          <cell r="E980">
            <v>-25</v>
          </cell>
          <cell r="F980" t="str">
            <v>%</v>
          </cell>
        </row>
        <row r="981">
          <cell r="B981" t="str">
            <v>TIZ1047_F</v>
          </cell>
          <cell r="C981" t="str">
            <v>CDU HEATER HZ2101 PASS 8 OUTLET</v>
          </cell>
          <cell r="D981">
            <v>1116</v>
          </cell>
          <cell r="E981">
            <v>-25</v>
          </cell>
          <cell r="F981" t="str">
            <v>%</v>
          </cell>
        </row>
        <row r="982">
          <cell r="B982" t="str">
            <v>TIZ1065_F</v>
          </cell>
          <cell r="C982" t="str">
            <v>HZ2101 RADIANT SECTION FILT.</v>
          </cell>
          <cell r="D982">
            <v>1116</v>
          </cell>
          <cell r="E982">
            <v>-25</v>
          </cell>
          <cell r="F982" t="str">
            <v>%</v>
          </cell>
        </row>
        <row r="983">
          <cell r="B983" t="str">
            <v>TIZ1113_F</v>
          </cell>
          <cell r="C983" t="str">
            <v>H2101 FLUEGAS CONVECTION BOX</v>
          </cell>
          <cell r="D983">
            <v>1116</v>
          </cell>
          <cell r="E983">
            <v>-25</v>
          </cell>
          <cell r="F983" t="str">
            <v>%</v>
          </cell>
        </row>
        <row r="984">
          <cell r="B984" t="str">
            <v>TIZ1114_F</v>
          </cell>
          <cell r="C984" t="str">
            <v>HZ2101 FLUEGAS CONVECTION BOX</v>
          </cell>
          <cell r="D984">
            <v>1116</v>
          </cell>
          <cell r="E984">
            <v>-25</v>
          </cell>
          <cell r="F984" t="str">
            <v>%</v>
          </cell>
        </row>
        <row r="985">
          <cell r="B985" t="str">
            <v>TYZ1022</v>
          </cell>
          <cell r="C985" t="str">
            <v>CRUDE FURNACE HIGHSKIN PASS 1</v>
          </cell>
          <cell r="D985">
            <v>1116</v>
          </cell>
          <cell r="E985">
            <v>-25</v>
          </cell>
          <cell r="F985" t="str">
            <v>%</v>
          </cell>
        </row>
        <row r="986">
          <cell r="B986" t="str">
            <v>TYZ1023</v>
          </cell>
          <cell r="C986" t="str">
            <v>CRUDE FURNACE HIGHSKIN PASS 2</v>
          </cell>
          <cell r="D986">
            <v>1116</v>
          </cell>
          <cell r="E986">
            <v>-25</v>
          </cell>
          <cell r="F986" t="str">
            <v>%</v>
          </cell>
        </row>
        <row r="987">
          <cell r="B987" t="str">
            <v>TYZ1024</v>
          </cell>
          <cell r="C987" t="str">
            <v>CRUDE FURNACE HIGHSKIN PASS 3</v>
          </cell>
          <cell r="D987">
            <v>1116</v>
          </cell>
          <cell r="E987">
            <v>-25</v>
          </cell>
          <cell r="F987" t="str">
            <v>%</v>
          </cell>
        </row>
        <row r="988">
          <cell r="B988" t="str">
            <v>TYZ1025</v>
          </cell>
          <cell r="C988" t="str">
            <v>CRUDE FURNACE HIGHSKIN PASS 4</v>
          </cell>
          <cell r="D988">
            <v>1116</v>
          </cell>
          <cell r="E988">
            <v>-25</v>
          </cell>
          <cell r="F988" t="str">
            <v>%</v>
          </cell>
        </row>
        <row r="989">
          <cell r="B989" t="str">
            <v>TYZ1026</v>
          </cell>
          <cell r="C989" t="str">
            <v>CRUDE FURNACE HIGHSKIN PASS 5</v>
          </cell>
          <cell r="D989">
            <v>1116</v>
          </cell>
          <cell r="E989">
            <v>-25</v>
          </cell>
          <cell r="F989" t="str">
            <v>%</v>
          </cell>
        </row>
        <row r="990">
          <cell r="B990" t="str">
            <v>TYZ1027</v>
          </cell>
          <cell r="C990" t="str">
            <v>CRUDE FURNACE HIGHSKIN PASS 6</v>
          </cell>
          <cell r="D990">
            <v>1116</v>
          </cell>
          <cell r="E990">
            <v>-25</v>
          </cell>
          <cell r="F990" t="str">
            <v>%</v>
          </cell>
        </row>
        <row r="991">
          <cell r="B991" t="str">
            <v>TYZ1028</v>
          </cell>
          <cell r="C991" t="str">
            <v>CRUDE FURNACE HIGHSKIN PASS 7</v>
          </cell>
          <cell r="D991">
            <v>1116</v>
          </cell>
          <cell r="E991">
            <v>-25</v>
          </cell>
          <cell r="F991" t="str">
            <v>%</v>
          </cell>
        </row>
        <row r="992">
          <cell r="B992" t="str">
            <v>TYZ1029</v>
          </cell>
          <cell r="C992" t="str">
            <v>CRUDE FURNACE HIGHSKIN PASS 8</v>
          </cell>
          <cell r="D992">
            <v>1116</v>
          </cell>
          <cell r="E992">
            <v>-25</v>
          </cell>
          <cell r="F992" t="str">
            <v>%</v>
          </cell>
        </row>
        <row r="993">
          <cell r="B993" t="str">
            <v>TYZ3025</v>
          </cell>
          <cell r="C993" t="str">
            <v>SPLITTER REBOILER HIGH OUTL SEL</v>
          </cell>
          <cell r="D993">
            <v>523</v>
          </cell>
          <cell r="E993">
            <v>-25</v>
          </cell>
          <cell r="F993" t="str">
            <v>DEGC</v>
          </cell>
        </row>
        <row r="994">
          <cell r="B994" t="str">
            <v>TYZ3043</v>
          </cell>
          <cell r="C994" t="str">
            <v>SPLITTER REBOILER HIGH SKIN SEL</v>
          </cell>
          <cell r="D994">
            <v>523</v>
          </cell>
          <cell r="E994">
            <v>-25</v>
          </cell>
          <cell r="F994" t="str">
            <v>DEGC</v>
          </cell>
        </row>
        <row r="995">
          <cell r="B995" t="str">
            <v>WAT_HZ2101</v>
          </cell>
          <cell r="C995" t="str">
            <v>HZ2101 WEIGHTED AVG TEMP.</v>
          </cell>
          <cell r="D995">
            <v>1000</v>
          </cell>
          <cell r="E995">
            <v>0</v>
          </cell>
          <cell r="F995" t="str">
            <v>%</v>
          </cell>
        </row>
        <row r="996">
          <cell r="B996" t="str">
            <v>XYZ2007</v>
          </cell>
          <cell r="C996" t="str">
            <v>DHT PZ2151 A /B HIGH SELECTOR</v>
          </cell>
          <cell r="D996">
            <v>200</v>
          </cell>
          <cell r="E996">
            <v>0</v>
          </cell>
          <cell r="F996" t="str">
            <v>A</v>
          </cell>
        </row>
        <row r="997">
          <cell r="B997" t="str">
            <v>FVIZ1002</v>
          </cell>
          <cell r="C997" t="str">
            <v>RESIDUE RUNDOWN VALVE</v>
          </cell>
          <cell r="D997">
            <v>100</v>
          </cell>
          <cell r="E997">
            <v>0</v>
          </cell>
          <cell r="F997" t="str">
            <v>%</v>
          </cell>
        </row>
        <row r="998">
          <cell r="B998" t="str">
            <v>FVIZ1017</v>
          </cell>
          <cell r="C998" t="str">
            <v>TOP PUMP AROUND FLOW VALVE</v>
          </cell>
          <cell r="D998">
            <v>100</v>
          </cell>
          <cell r="E998">
            <v>0</v>
          </cell>
          <cell r="F998" t="str">
            <v>%</v>
          </cell>
        </row>
        <row r="999">
          <cell r="B999" t="str">
            <v>FVIZ1018</v>
          </cell>
          <cell r="C999" t="str">
            <v>MIDDLE PUMP AROUNDFLOW VALVE</v>
          </cell>
          <cell r="D999">
            <v>100</v>
          </cell>
          <cell r="E999">
            <v>0</v>
          </cell>
          <cell r="F999" t="str">
            <v>%</v>
          </cell>
        </row>
        <row r="1000">
          <cell r="B1000" t="str">
            <v>FVIZ1019</v>
          </cell>
          <cell r="C1000" t="str">
            <v>BOTTOM PUMP AROUNDFLOW VALVE</v>
          </cell>
          <cell r="D1000">
            <v>100</v>
          </cell>
          <cell r="E1000">
            <v>0</v>
          </cell>
          <cell r="F1000" t="str">
            <v>%</v>
          </cell>
        </row>
        <row r="1001">
          <cell r="B1001" t="str">
            <v>FVIZ1069</v>
          </cell>
          <cell r="C1001" t="str">
            <v>CRUDE TOWER BOTTOMSTEAM VALVE</v>
          </cell>
          <cell r="D1001">
            <v>100</v>
          </cell>
          <cell r="E1001">
            <v>0</v>
          </cell>
          <cell r="F1001" t="str">
            <v>%</v>
          </cell>
        </row>
        <row r="1002">
          <cell r="B1002" t="str">
            <v>FVIZ1094</v>
          </cell>
          <cell r="C1002" t="str">
            <v>CRUDE TOWER QUENCHTO BOTTOM</v>
          </cell>
          <cell r="D1002">
            <v>100</v>
          </cell>
          <cell r="E1002">
            <v>0</v>
          </cell>
          <cell r="F1002" t="str">
            <v>%</v>
          </cell>
        </row>
        <row r="1003">
          <cell r="B1003" t="str">
            <v>LIFZ1018</v>
          </cell>
          <cell r="C1003" t="str">
            <v>CDU4 TOWER BOTTOM FILTERED</v>
          </cell>
          <cell r="D1003">
            <v>100</v>
          </cell>
          <cell r="E1003">
            <v>0</v>
          </cell>
          <cell r="F1003" t="str">
            <v>%</v>
          </cell>
        </row>
        <row r="1004">
          <cell r="B1004" t="str">
            <v>LVIZ1019</v>
          </cell>
          <cell r="C1004" t="str">
            <v>LGO STRIPPER T2102FILTERED</v>
          </cell>
          <cell r="D1004">
            <v>100</v>
          </cell>
          <cell r="E1004">
            <v>0</v>
          </cell>
          <cell r="F1004" t="str">
            <v>%</v>
          </cell>
        </row>
        <row r="1005">
          <cell r="B1005" t="str">
            <v>LVIZ1024</v>
          </cell>
          <cell r="C1005" t="str">
            <v>LGO STRIPPER T2102FILTERED</v>
          </cell>
          <cell r="D1005">
            <v>110</v>
          </cell>
          <cell r="E1005">
            <v>0</v>
          </cell>
          <cell r="F1005" t="str">
            <v>%</v>
          </cell>
        </row>
        <row r="1006">
          <cell r="B1006" t="str">
            <v>LVIZ1028</v>
          </cell>
          <cell r="C1006" t="str">
            <v>HGO STRIPPER FILT. OUTPUT</v>
          </cell>
          <cell r="D1006">
            <v>110</v>
          </cell>
          <cell r="E1006">
            <v>0</v>
          </cell>
          <cell r="F1006" t="str">
            <v>%</v>
          </cell>
        </row>
        <row r="1007">
          <cell r="B1007" t="str">
            <v>PVIZ1053</v>
          </cell>
          <cell r="C1007" t="str">
            <v>HZ2101 RADIANT TOP OUTP.</v>
          </cell>
          <cell r="D1007">
            <v>100</v>
          </cell>
          <cell r="E1007">
            <v>0</v>
          </cell>
          <cell r="F1007" t="str">
            <v>%</v>
          </cell>
        </row>
        <row r="1008">
          <cell r="B1008" t="str">
            <v>TICZ1014_F</v>
          </cell>
          <cell r="C1008" t="str">
            <v>ATMOS TOWER TOP CORRECTED</v>
          </cell>
          <cell r="D1008">
            <v>300</v>
          </cell>
          <cell r="E1008">
            <v>0</v>
          </cell>
          <cell r="F1008" t="str">
            <v>DEGC</v>
          </cell>
        </row>
        <row r="1009">
          <cell r="B1009" t="str">
            <v>ATMZMPAFANS</v>
          </cell>
          <cell r="C1009" t="str">
            <v>CDU4 #ATM MPA FANS</v>
          </cell>
          <cell r="D1009">
            <v>2</v>
          </cell>
          <cell r="E1009">
            <v>0</v>
          </cell>
          <cell r="F1009" t="str">
            <v>NR.</v>
          </cell>
        </row>
        <row r="1010">
          <cell r="B1010" t="str">
            <v>ATMZOVHDFANS</v>
          </cell>
          <cell r="C1010" t="str">
            <v>CDU4 # ATM OVHD FANS</v>
          </cell>
          <cell r="D1010">
            <v>14</v>
          </cell>
          <cell r="E1010">
            <v>0</v>
          </cell>
          <cell r="F1010" t="str">
            <v>NR.</v>
          </cell>
        </row>
        <row r="1011">
          <cell r="B1011" t="str">
            <v>ATMZTPAFANS</v>
          </cell>
          <cell r="C1011" t="str">
            <v>CDU4 #ATM TPA FANS</v>
          </cell>
          <cell r="D1011">
            <v>2</v>
          </cell>
          <cell r="E1011">
            <v>0</v>
          </cell>
          <cell r="F1011" t="str">
            <v>NR.</v>
          </cell>
        </row>
        <row r="1012">
          <cell r="B1012" t="str">
            <v>DHT4_TOT_INJ</v>
          </cell>
          <cell r="C1012" t="str">
            <v>DHT4 TOTAL INJECT.FLOWS</v>
          </cell>
          <cell r="D1012">
            <v>261.5</v>
          </cell>
          <cell r="E1012">
            <v>0</v>
          </cell>
          <cell r="F1012" t="str">
            <v>M3/H</v>
          </cell>
        </row>
        <row r="1013">
          <cell r="B1013" t="str">
            <v>FVIZ1024</v>
          </cell>
          <cell r="C1013" t="str">
            <v>HGO RUNDOWN VALVE</v>
          </cell>
          <cell r="D1013">
            <v>100</v>
          </cell>
          <cell r="E1013">
            <v>0</v>
          </cell>
          <cell r="F1013" t="str">
            <v>%</v>
          </cell>
        </row>
        <row r="1014">
          <cell r="B1014" t="str">
            <v>FVIZ1032</v>
          </cell>
          <cell r="C1014" t="str">
            <v>CDU HEATER HZ2101 PASS 1 FILTD</v>
          </cell>
          <cell r="D1014">
            <v>100</v>
          </cell>
          <cell r="E1014">
            <v>0</v>
          </cell>
          <cell r="F1014" t="str">
            <v>%</v>
          </cell>
        </row>
        <row r="1015">
          <cell r="B1015" t="str">
            <v>FVIZ1033</v>
          </cell>
          <cell r="C1015" t="str">
            <v>CDU HEATER HZ2101 PASS 2 FILTD</v>
          </cell>
          <cell r="D1015">
            <v>100</v>
          </cell>
          <cell r="E1015">
            <v>0</v>
          </cell>
          <cell r="F1015" t="str">
            <v>%</v>
          </cell>
        </row>
        <row r="1016">
          <cell r="B1016" t="str">
            <v>FVIZ1034</v>
          </cell>
          <cell r="C1016" t="str">
            <v>CDU HEATER HZ2101 PASS 3 FILTD</v>
          </cell>
          <cell r="D1016">
            <v>100</v>
          </cell>
          <cell r="E1016">
            <v>0</v>
          </cell>
          <cell r="F1016" t="str">
            <v>%</v>
          </cell>
        </row>
        <row r="1017">
          <cell r="B1017" t="str">
            <v>FVIZ1035</v>
          </cell>
          <cell r="C1017" t="str">
            <v>CDU HEATER HZ2101 PASS 4 FILTD</v>
          </cell>
          <cell r="D1017">
            <v>100</v>
          </cell>
          <cell r="E1017">
            <v>0</v>
          </cell>
          <cell r="F1017" t="str">
            <v>%</v>
          </cell>
        </row>
        <row r="1018">
          <cell r="B1018" t="str">
            <v>FVIZ1036</v>
          </cell>
          <cell r="C1018" t="str">
            <v>CDU HEATER H2101 PASS 5 FILTD</v>
          </cell>
          <cell r="D1018">
            <v>100</v>
          </cell>
          <cell r="E1018">
            <v>0</v>
          </cell>
          <cell r="F1018" t="str">
            <v>%</v>
          </cell>
        </row>
        <row r="1019">
          <cell r="B1019" t="str">
            <v>FVIZ1037</v>
          </cell>
          <cell r="C1019" t="str">
            <v>CDU HEATER HZ2101 PASS 6 FILTD</v>
          </cell>
          <cell r="D1019">
            <v>100</v>
          </cell>
          <cell r="E1019">
            <v>0</v>
          </cell>
          <cell r="F1019" t="str">
            <v>%</v>
          </cell>
        </row>
        <row r="1020">
          <cell r="B1020" t="str">
            <v>FVIZ1038</v>
          </cell>
          <cell r="C1020" t="str">
            <v>CDU HEATER HZ2101 PASS 7 FILTD</v>
          </cell>
          <cell r="D1020">
            <v>100</v>
          </cell>
          <cell r="E1020">
            <v>0</v>
          </cell>
          <cell r="F1020" t="str">
            <v>%</v>
          </cell>
        </row>
        <row r="1021">
          <cell r="B1021" t="str">
            <v>FVIZ1039</v>
          </cell>
          <cell r="C1021" t="str">
            <v>CDU HEATER HZ2101 PASS 8 FILTD</v>
          </cell>
          <cell r="D1021">
            <v>100</v>
          </cell>
          <cell r="E1021">
            <v>0</v>
          </cell>
          <cell r="F1021" t="str">
            <v>%</v>
          </cell>
        </row>
        <row r="1022">
          <cell r="B1022" t="str">
            <v>FVIZ1070</v>
          </cell>
          <cell r="C1022" t="str">
            <v>STRIP STEAM LGO STRIPPER VALVE</v>
          </cell>
          <cell r="D1022">
            <v>100</v>
          </cell>
          <cell r="E1022">
            <v>0</v>
          </cell>
          <cell r="F1022" t="str">
            <v>%</v>
          </cell>
        </row>
        <row r="1023">
          <cell r="B1023" t="str">
            <v>FVIZ1071</v>
          </cell>
          <cell r="C1023" t="str">
            <v>STRIP STEAM HGO STRIPPER VALVE</v>
          </cell>
          <cell r="D1023">
            <v>100</v>
          </cell>
          <cell r="E1023">
            <v>0</v>
          </cell>
          <cell r="F1023" t="str">
            <v>%</v>
          </cell>
        </row>
        <row r="1024">
          <cell r="B1024" t="str">
            <v>FVIZ2001</v>
          </cell>
          <cell r="C1024" t="str">
            <v>DHT BYPASS FLOW VALVE</v>
          </cell>
          <cell r="D1024">
            <v>110</v>
          </cell>
          <cell r="E1024">
            <v>0</v>
          </cell>
          <cell r="F1024" t="str">
            <v>%</v>
          </cell>
        </row>
        <row r="1025">
          <cell r="B1025" t="str">
            <v>FVIZ2002</v>
          </cell>
          <cell r="C1025" t="str">
            <v>DHT REACTOR FEED FLOW VALVE</v>
          </cell>
          <cell r="D1025">
            <v>110</v>
          </cell>
          <cell r="E1025">
            <v>0</v>
          </cell>
          <cell r="F1025" t="str">
            <v>%</v>
          </cell>
        </row>
        <row r="1026">
          <cell r="B1026" t="str">
            <v>FVIZ2010</v>
          </cell>
          <cell r="C1026" t="str">
            <v>STABILISER FEED FLOW VALVE</v>
          </cell>
          <cell r="D1026">
            <v>100</v>
          </cell>
          <cell r="E1026">
            <v>0</v>
          </cell>
          <cell r="F1026" t="str">
            <v>%</v>
          </cell>
        </row>
        <row r="1027">
          <cell r="B1027" t="str">
            <v>FYZ1032</v>
          </cell>
          <cell r="C1027" t="str">
            <v>CDU HEATER HZ2101 PASS 1 FLOW %</v>
          </cell>
          <cell r="D1027">
            <v>313</v>
          </cell>
          <cell r="E1027">
            <v>0</v>
          </cell>
          <cell r="F1027" t="str">
            <v>%</v>
          </cell>
        </row>
        <row r="1028">
          <cell r="B1028" t="str">
            <v>FYZ1033</v>
          </cell>
          <cell r="C1028" t="str">
            <v>CDU HEATER HZ2101 PASS 2 FLOW %</v>
          </cell>
          <cell r="D1028">
            <v>313</v>
          </cell>
          <cell r="E1028">
            <v>0</v>
          </cell>
          <cell r="F1028" t="str">
            <v>%</v>
          </cell>
        </row>
        <row r="1029">
          <cell r="B1029" t="str">
            <v>FYZ1034</v>
          </cell>
          <cell r="C1029" t="str">
            <v>CDU HEATER HZ2101 PASS 3 FLOW %</v>
          </cell>
          <cell r="D1029">
            <v>313</v>
          </cell>
          <cell r="E1029">
            <v>0</v>
          </cell>
          <cell r="F1029" t="str">
            <v>%</v>
          </cell>
        </row>
        <row r="1030">
          <cell r="B1030" t="str">
            <v>FYZ1035</v>
          </cell>
          <cell r="C1030" t="str">
            <v>CDU HEATER HZ2101 PASS 4 FLOW %</v>
          </cell>
          <cell r="D1030">
            <v>313</v>
          </cell>
          <cell r="E1030">
            <v>0</v>
          </cell>
          <cell r="F1030" t="str">
            <v>%</v>
          </cell>
        </row>
        <row r="1031">
          <cell r="B1031" t="str">
            <v>FYZ1036</v>
          </cell>
          <cell r="C1031" t="str">
            <v>CDU HEATER HZ2101 PASS 5 FLOW %</v>
          </cell>
          <cell r="D1031">
            <v>313</v>
          </cell>
          <cell r="E1031">
            <v>0</v>
          </cell>
          <cell r="F1031" t="str">
            <v>%</v>
          </cell>
        </row>
        <row r="1032">
          <cell r="B1032" t="str">
            <v>FYZ1037</v>
          </cell>
          <cell r="C1032" t="str">
            <v>CDU HEATER HZ2101 PASS 6 FLOW %</v>
          </cell>
          <cell r="D1032">
            <v>313</v>
          </cell>
          <cell r="E1032">
            <v>0</v>
          </cell>
          <cell r="F1032" t="str">
            <v>%</v>
          </cell>
        </row>
        <row r="1033">
          <cell r="B1033" t="str">
            <v>FYZ1038</v>
          </cell>
          <cell r="C1033" t="str">
            <v>CDU HEATER HZ2101 PASS 7 FLOW %</v>
          </cell>
          <cell r="D1033">
            <v>313</v>
          </cell>
          <cell r="E1033">
            <v>0</v>
          </cell>
          <cell r="F1033" t="str">
            <v>%</v>
          </cell>
        </row>
        <row r="1034">
          <cell r="B1034" t="str">
            <v>FYZ1039</v>
          </cell>
          <cell r="C1034" t="str">
            <v>CDU HEATER HZ2101 PASS 8 FLOW %</v>
          </cell>
          <cell r="D1034">
            <v>313</v>
          </cell>
          <cell r="E1034">
            <v>0</v>
          </cell>
          <cell r="F1034" t="str">
            <v>%</v>
          </cell>
        </row>
        <row r="1035">
          <cell r="B1035" t="str">
            <v>LIFZ1007</v>
          </cell>
          <cell r="C1035" t="str">
            <v>CDU4 OVERHEAD DRUMFILTERED</v>
          </cell>
          <cell r="D1035">
            <v>100</v>
          </cell>
          <cell r="E1035">
            <v>0</v>
          </cell>
          <cell r="F1035" t="str">
            <v>%</v>
          </cell>
        </row>
        <row r="1036">
          <cell r="B1036" t="str">
            <v>LVIZ2007</v>
          </cell>
          <cell r="C1036" t="str">
            <v>HP SEPARATOR LEVELFILT. OUTPUT</v>
          </cell>
          <cell r="D1036">
            <v>100</v>
          </cell>
          <cell r="E1036">
            <v>0</v>
          </cell>
          <cell r="F1036" t="str">
            <v>%</v>
          </cell>
        </row>
        <row r="1037">
          <cell r="B1037" t="str">
            <v>PVIZ2003</v>
          </cell>
          <cell r="C1037" t="str">
            <v>HP SEPARATOR PRESSFILT. OUTPUT</v>
          </cell>
          <cell r="D1037">
            <v>21750</v>
          </cell>
          <cell r="E1037">
            <v>0</v>
          </cell>
          <cell r="F1037" t="str">
            <v>NM3/H</v>
          </cell>
        </row>
        <row r="1038">
          <cell r="B1038" t="str">
            <v>PVIZ2005</v>
          </cell>
          <cell r="C1038" t="str">
            <v>LP SEPARATOR PRESSFILT. OUTPUT</v>
          </cell>
          <cell r="D1038">
            <v>100</v>
          </cell>
          <cell r="E1038">
            <v>0</v>
          </cell>
          <cell r="F1038" t="str">
            <v>%</v>
          </cell>
        </row>
        <row r="1039">
          <cell r="B1039" t="str">
            <v>XZ2017F</v>
          </cell>
          <cell r="C1039" t="str">
            <v>DHT RECYCLE RATIO FILTERED</v>
          </cell>
          <cell r="D1039">
            <v>250</v>
          </cell>
          <cell r="E1039">
            <v>0</v>
          </cell>
          <cell r="F1039" t="str">
            <v>RATIO</v>
          </cell>
        </row>
        <row r="1040">
          <cell r="B1040" t="str">
            <v>FICZ3008_SPT</v>
          </cell>
          <cell r="C1040" t="str">
            <v>STRIPPER SRB FLOW SETPOINT</v>
          </cell>
          <cell r="D1040">
            <v>250</v>
          </cell>
          <cell r="E1040">
            <v>0</v>
          </cell>
          <cell r="F1040" t="str">
            <v>%</v>
          </cell>
        </row>
        <row r="1041">
          <cell r="B1041" t="str">
            <v>FVIZ3001</v>
          </cell>
          <cell r="C1041" t="str">
            <v>SPLITTER KERO FLOW OUTPUT</v>
          </cell>
          <cell r="D1041">
            <v>100</v>
          </cell>
          <cell r="E1041">
            <v>0</v>
          </cell>
          <cell r="F1041" t="str">
            <v>%</v>
          </cell>
        </row>
        <row r="1042">
          <cell r="B1042" t="str">
            <v>FVIZ3002</v>
          </cell>
          <cell r="C1042" t="str">
            <v>STABILISER REFLUX FLOW OUTPUT</v>
          </cell>
          <cell r="D1042">
            <v>100</v>
          </cell>
          <cell r="E1042">
            <v>0</v>
          </cell>
          <cell r="F1042" t="str">
            <v>%</v>
          </cell>
        </row>
        <row r="1043">
          <cell r="B1043" t="str">
            <v>FVIZ3004</v>
          </cell>
          <cell r="C1043" t="str">
            <v>STABILISER DISTIL.FLOW OUTPUT</v>
          </cell>
          <cell r="D1043">
            <v>100</v>
          </cell>
          <cell r="E1043">
            <v>0</v>
          </cell>
          <cell r="F1043" t="str">
            <v>%</v>
          </cell>
        </row>
        <row r="1044">
          <cell r="B1044" t="str">
            <v>FVIZ3006</v>
          </cell>
          <cell r="C1044" t="str">
            <v>SPLITTER REFLUX FLOW OUTPUT</v>
          </cell>
          <cell r="D1044">
            <v>100</v>
          </cell>
          <cell r="E1044">
            <v>0</v>
          </cell>
          <cell r="F1044" t="str">
            <v>%</v>
          </cell>
        </row>
        <row r="1045">
          <cell r="B1045" t="str">
            <v>FVIZ3007</v>
          </cell>
          <cell r="C1045" t="str">
            <v>STRIPPER FEED FLOW OUTPUT</v>
          </cell>
          <cell r="D1045">
            <v>100</v>
          </cell>
          <cell r="E1045">
            <v>0</v>
          </cell>
          <cell r="F1045" t="str">
            <v>%</v>
          </cell>
        </row>
        <row r="1046">
          <cell r="B1046" t="str">
            <v>FVIZ3008</v>
          </cell>
          <cell r="C1046" t="str">
            <v>SPLITTER SRB DRAW FLOW OUTPUT</v>
          </cell>
          <cell r="D1046">
            <v>120</v>
          </cell>
          <cell r="E1046">
            <v>0</v>
          </cell>
          <cell r="F1046" t="str">
            <v>%</v>
          </cell>
        </row>
        <row r="1047">
          <cell r="B1047" t="str">
            <v>FVIZ3010</v>
          </cell>
          <cell r="C1047" t="str">
            <v>SPLITTER DISTILL. FLOW OUTPUT</v>
          </cell>
          <cell r="D1047">
            <v>100</v>
          </cell>
          <cell r="E1047">
            <v>0</v>
          </cell>
          <cell r="F1047" t="str">
            <v>%</v>
          </cell>
        </row>
        <row r="1048">
          <cell r="B1048" t="str">
            <v>LIFZ3003</v>
          </cell>
          <cell r="C1048" t="str">
            <v>DFU4 STABILISER OVHD FILTERED</v>
          </cell>
          <cell r="D1048">
            <v>100</v>
          </cell>
          <cell r="E1048">
            <v>0</v>
          </cell>
          <cell r="F1048" t="str">
            <v>%</v>
          </cell>
        </row>
        <row r="1049">
          <cell r="B1049" t="str">
            <v>PCTZ3010</v>
          </cell>
          <cell r="C1049" t="str">
            <v>TIZ3010 PRESSURE COMPENSATED</v>
          </cell>
          <cell r="D1049">
            <v>100</v>
          </cell>
          <cell r="E1049">
            <v>0</v>
          </cell>
          <cell r="F1049" t="str">
            <v>%</v>
          </cell>
        </row>
        <row r="1050">
          <cell r="B1050" t="str">
            <v>PDTZ3017_F</v>
          </cell>
          <cell r="C1050" t="str">
            <v>STABILISER UPPER SECTION DP</v>
          </cell>
          <cell r="D1050">
            <v>350</v>
          </cell>
          <cell r="E1050">
            <v>0</v>
          </cell>
          <cell r="F1050" t="str">
            <v>%</v>
          </cell>
        </row>
        <row r="1051">
          <cell r="B1051" t="str">
            <v>PDTZ3018_F</v>
          </cell>
          <cell r="C1051" t="str">
            <v>STABILISER LOWER SECTION DP</v>
          </cell>
          <cell r="D1051">
            <v>200</v>
          </cell>
          <cell r="E1051">
            <v>0</v>
          </cell>
          <cell r="F1051" t="str">
            <v>%</v>
          </cell>
        </row>
        <row r="1052">
          <cell r="B1052" t="str">
            <v>PVIZ3001</v>
          </cell>
          <cell r="C1052" t="str">
            <v>STABILISER PRESS. CONTROL OUTPUT</v>
          </cell>
          <cell r="D1052">
            <v>100</v>
          </cell>
          <cell r="E1052">
            <v>0</v>
          </cell>
          <cell r="F1052" t="str">
            <v>%</v>
          </cell>
        </row>
        <row r="1053">
          <cell r="B1053" t="str">
            <v>PVIZ3010</v>
          </cell>
          <cell r="C1053" t="str">
            <v>SPLITTER FUELGAS PRESS. OUTPUT</v>
          </cell>
          <cell r="D1053">
            <v>100</v>
          </cell>
          <cell r="E1053">
            <v>0</v>
          </cell>
          <cell r="F1053" t="str">
            <v>%</v>
          </cell>
        </row>
        <row r="1054">
          <cell r="B1054" t="str">
            <v>SPLITZFANS</v>
          </cell>
          <cell r="C1054" t="str">
            <v>CDU4 # SPLITTER FANS</v>
          </cell>
          <cell r="D1054">
            <v>20</v>
          </cell>
          <cell r="E1054">
            <v>0</v>
          </cell>
          <cell r="F1054" t="str">
            <v>NR.</v>
          </cell>
        </row>
        <row r="1055">
          <cell r="B1055" t="str">
            <v>STABZFANS</v>
          </cell>
          <cell r="C1055" t="str">
            <v>CDU4 # STABILISER FANS</v>
          </cell>
          <cell r="D1055">
            <v>6</v>
          </cell>
          <cell r="E1055">
            <v>0</v>
          </cell>
          <cell r="F1055" t="str">
            <v>NR.</v>
          </cell>
        </row>
        <row r="1056">
          <cell r="B1056" t="str">
            <v>TVIZ3002</v>
          </cell>
          <cell r="C1056" t="str">
            <v>STABILISER FEED TEMP. OUTPUT</v>
          </cell>
          <cell r="D1056">
            <v>120</v>
          </cell>
          <cell r="E1056">
            <v>0</v>
          </cell>
          <cell r="F1056" t="str">
            <v>%</v>
          </cell>
        </row>
        <row r="1057">
          <cell r="B1057" t="str">
            <v>TVYZ3003</v>
          </cell>
          <cell r="C1057" t="str">
            <v>STABILISER BOILUP CONTROL</v>
          </cell>
          <cell r="D1057">
            <v>120</v>
          </cell>
          <cell r="E1057">
            <v>0</v>
          </cell>
          <cell r="F1057" t="str">
            <v>%</v>
          </cell>
        </row>
        <row r="1058">
          <cell r="B1058" t="str">
            <v>NOX_HZ2101</v>
          </cell>
          <cell r="C1058" t="str">
            <v>CDU4 HEATER HZ2101 NOX EMISSIE</v>
          </cell>
          <cell r="D1058">
            <v>1000</v>
          </cell>
          <cell r="E1058">
            <v>0</v>
          </cell>
          <cell r="F1058" t="str">
            <v>MG/NM3</v>
          </cell>
        </row>
        <row r="1059">
          <cell r="B1059" t="str">
            <v>NOX_HZ2201</v>
          </cell>
          <cell r="C1059" t="str">
            <v>CDU4 HEATER HZ2201 NOX EMISSIE</v>
          </cell>
          <cell r="D1059">
            <v>1000</v>
          </cell>
          <cell r="E1059">
            <v>0</v>
          </cell>
          <cell r="F1059" t="str">
            <v>MG/NM3</v>
          </cell>
        </row>
        <row r="1060">
          <cell r="B1060" t="str">
            <v>SO2_REF_BUBL</v>
          </cell>
          <cell r="C1060" t="str">
            <v>REFINERY CLC_SO2 BUBBLE</v>
          </cell>
          <cell r="D1060">
            <v>1500</v>
          </cell>
          <cell r="E1060">
            <v>0</v>
          </cell>
          <cell r="F1060" t="str">
            <v>MG/NM3</v>
          </cell>
        </row>
        <row r="1061">
          <cell r="B1061" t="str">
            <v>XIZ1002</v>
          </cell>
          <cell r="C1061" t="str">
            <v>CDU FD PMP PZ2101A MOTOR CURRT</v>
          </cell>
          <cell r="D1061">
            <v>120</v>
          </cell>
          <cell r="E1061">
            <v>0</v>
          </cell>
          <cell r="F1061" t="str">
            <v>AMP</v>
          </cell>
        </row>
        <row r="1062">
          <cell r="B1062" t="str">
            <v>XIZ1003</v>
          </cell>
          <cell r="C1062" t="str">
            <v>CDU FD PMP PZ2101B MOTOR CURRT</v>
          </cell>
          <cell r="D1062">
            <v>120</v>
          </cell>
          <cell r="E1062">
            <v>0</v>
          </cell>
          <cell r="F1062" t="str">
            <v>AMP</v>
          </cell>
        </row>
        <row r="1063">
          <cell r="B1063" t="str">
            <v>XIZ1004</v>
          </cell>
          <cell r="C1063" t="str">
            <v>CDU FD PMP PZ2101C MOTOR CURRT</v>
          </cell>
          <cell r="D1063">
            <v>120</v>
          </cell>
          <cell r="E1063">
            <v>0</v>
          </cell>
          <cell r="F1063" t="str">
            <v>AMP</v>
          </cell>
        </row>
        <row r="1064">
          <cell r="B1064" t="str">
            <v>PVIZ1004</v>
          </cell>
          <cell r="C1064" t="str">
            <v>CRUDE CO. INPUT EX PICA_1004</v>
          </cell>
          <cell r="D1064">
            <v>100</v>
          </cell>
          <cell r="E1064">
            <v>0</v>
          </cell>
          <cell r="F1064" t="str">
            <v>%</v>
          </cell>
        </row>
        <row r="1065">
          <cell r="B1065" t="str">
            <v>OPAL_AIN_01</v>
          </cell>
          <cell r="C1065" t="str">
            <v>OPAL BLOCK 01</v>
          </cell>
          <cell r="D1065">
            <v>10000</v>
          </cell>
          <cell r="E1065">
            <v>-10000</v>
          </cell>
          <cell r="F1065" t="str">
            <v>%</v>
          </cell>
        </row>
        <row r="1066">
          <cell r="B1066" t="str">
            <v>OPAL_AIN_02</v>
          </cell>
          <cell r="C1066" t="str">
            <v>OPAL BLOCK 02</v>
          </cell>
          <cell r="D1066">
            <v>10000</v>
          </cell>
          <cell r="E1066">
            <v>-10000</v>
          </cell>
          <cell r="F1066" t="str">
            <v>%</v>
          </cell>
        </row>
        <row r="1067">
          <cell r="B1067" t="str">
            <v>OPAL_AIN_03</v>
          </cell>
          <cell r="C1067" t="str">
            <v>OPAL BLOCK 03</v>
          </cell>
          <cell r="D1067">
            <v>10000</v>
          </cell>
          <cell r="E1067">
            <v>-10000</v>
          </cell>
          <cell r="F1067" t="str">
            <v>%</v>
          </cell>
        </row>
        <row r="1068">
          <cell r="B1068" t="str">
            <v>OPAL_AIN_04</v>
          </cell>
          <cell r="C1068" t="str">
            <v>OPAL BLOCK 04</v>
          </cell>
          <cell r="D1068">
            <v>10000</v>
          </cell>
          <cell r="E1068">
            <v>-10000</v>
          </cell>
          <cell r="F1068" t="str">
            <v>%</v>
          </cell>
        </row>
        <row r="1069">
          <cell r="B1069" t="str">
            <v>OPAL_AIN_05</v>
          </cell>
          <cell r="C1069" t="str">
            <v>OPAL BLOCK 05</v>
          </cell>
          <cell r="D1069">
            <v>10000</v>
          </cell>
          <cell r="E1069">
            <v>-10000</v>
          </cell>
          <cell r="F1069" t="str">
            <v>%</v>
          </cell>
        </row>
        <row r="1070">
          <cell r="B1070" t="str">
            <v>OPAL_AIN_06</v>
          </cell>
          <cell r="C1070" t="str">
            <v>OPAL BLOCK 06</v>
          </cell>
          <cell r="D1070">
            <v>10000</v>
          </cell>
          <cell r="E1070">
            <v>-10000</v>
          </cell>
          <cell r="F1070" t="str">
            <v>%</v>
          </cell>
        </row>
        <row r="1071">
          <cell r="B1071" t="str">
            <v>OPAL_AIN_07</v>
          </cell>
          <cell r="C1071" t="str">
            <v>OPAL BLOCK 07</v>
          </cell>
          <cell r="D1071">
            <v>10000</v>
          </cell>
          <cell r="E1071">
            <v>-10000</v>
          </cell>
          <cell r="F1071" t="str">
            <v>%</v>
          </cell>
        </row>
        <row r="1072">
          <cell r="B1072" t="str">
            <v>OPAL_AIN_08</v>
          </cell>
          <cell r="C1072" t="str">
            <v>OPAL BLOCK 08</v>
          </cell>
          <cell r="D1072">
            <v>10000</v>
          </cell>
          <cell r="E1072">
            <v>-10000</v>
          </cell>
          <cell r="F1072" t="str">
            <v>%</v>
          </cell>
        </row>
        <row r="1073">
          <cell r="B1073" t="str">
            <v>OPAL_AIN_09</v>
          </cell>
          <cell r="C1073" t="str">
            <v>OPAL BLOCK 09</v>
          </cell>
          <cell r="D1073">
            <v>10000</v>
          </cell>
          <cell r="E1073">
            <v>-10000</v>
          </cell>
          <cell r="F1073" t="str">
            <v>%</v>
          </cell>
        </row>
        <row r="1074">
          <cell r="B1074" t="str">
            <v>OPAL_AIN_10</v>
          </cell>
          <cell r="C1074" t="str">
            <v>OPAL BLOCK 10</v>
          </cell>
          <cell r="D1074">
            <v>10000</v>
          </cell>
          <cell r="E1074">
            <v>-10000</v>
          </cell>
          <cell r="F1074" t="str">
            <v>%</v>
          </cell>
        </row>
        <row r="1075">
          <cell r="B1075" t="str">
            <v>OPAL_AIN_11</v>
          </cell>
          <cell r="C1075" t="str">
            <v>OPAL BLOCK 11</v>
          </cell>
          <cell r="D1075">
            <v>10000</v>
          </cell>
          <cell r="E1075">
            <v>-10000</v>
          </cell>
          <cell r="F1075" t="str">
            <v>%</v>
          </cell>
        </row>
        <row r="1076">
          <cell r="B1076" t="str">
            <v>OPAL_AIN_12</v>
          </cell>
          <cell r="C1076" t="str">
            <v>OPAL BLOCK 12</v>
          </cell>
          <cell r="D1076">
            <v>10000</v>
          </cell>
          <cell r="E1076">
            <v>-10000</v>
          </cell>
          <cell r="F1076" t="str">
            <v>%</v>
          </cell>
        </row>
        <row r="1077">
          <cell r="B1077" t="str">
            <v>OPAL_AIN_13</v>
          </cell>
          <cell r="C1077" t="str">
            <v>OPAL BLOCK 13</v>
          </cell>
          <cell r="D1077">
            <v>10000</v>
          </cell>
          <cell r="E1077">
            <v>-10000</v>
          </cell>
          <cell r="F1077" t="str">
            <v>%</v>
          </cell>
        </row>
        <row r="1078">
          <cell r="B1078" t="str">
            <v>OPAL_AIN_14</v>
          </cell>
          <cell r="C1078" t="str">
            <v>OPAL BLOCK 14</v>
          </cell>
          <cell r="D1078">
            <v>10000</v>
          </cell>
          <cell r="E1078">
            <v>-10000</v>
          </cell>
          <cell r="F1078" t="str">
            <v>%</v>
          </cell>
        </row>
        <row r="1079">
          <cell r="B1079" t="str">
            <v>OPAL_AIN_15</v>
          </cell>
          <cell r="C1079" t="str">
            <v>OPAL BLOCK 15</v>
          </cell>
          <cell r="D1079">
            <v>10000</v>
          </cell>
          <cell r="E1079">
            <v>-10000</v>
          </cell>
          <cell r="F1079" t="str">
            <v>%</v>
          </cell>
        </row>
        <row r="1080">
          <cell r="B1080" t="str">
            <v>OPAL_AIN_16</v>
          </cell>
          <cell r="C1080" t="str">
            <v>OPAL BLOCK 16</v>
          </cell>
          <cell r="D1080">
            <v>10000</v>
          </cell>
          <cell r="E1080">
            <v>-10000</v>
          </cell>
          <cell r="F1080" t="str">
            <v>%</v>
          </cell>
        </row>
        <row r="1081">
          <cell r="B1081" t="str">
            <v>OPAL_AIN_17</v>
          </cell>
          <cell r="C1081" t="str">
            <v>OPAL BLOCK 17</v>
          </cell>
          <cell r="D1081">
            <v>10000</v>
          </cell>
          <cell r="E1081">
            <v>-10000</v>
          </cell>
          <cell r="F1081" t="str">
            <v>%</v>
          </cell>
        </row>
        <row r="1082">
          <cell r="B1082" t="str">
            <v>OPAL_AIN_18</v>
          </cell>
          <cell r="C1082" t="str">
            <v>OPAL BLOCK 18</v>
          </cell>
          <cell r="D1082">
            <v>10000</v>
          </cell>
          <cell r="E1082">
            <v>-10000</v>
          </cell>
          <cell r="F1082" t="str">
            <v>%</v>
          </cell>
        </row>
        <row r="1083">
          <cell r="B1083" t="str">
            <v>OPAL_AIN_19</v>
          </cell>
          <cell r="C1083" t="str">
            <v>OPAL BLOCK 19</v>
          </cell>
          <cell r="D1083">
            <v>10000</v>
          </cell>
          <cell r="E1083">
            <v>-10000</v>
          </cell>
          <cell r="F1083" t="str">
            <v>%</v>
          </cell>
        </row>
        <row r="1084">
          <cell r="B1084" t="str">
            <v>OPAL_AIN_20</v>
          </cell>
          <cell r="C1084" t="str">
            <v>OPAL BLOCK 20</v>
          </cell>
          <cell r="D1084">
            <v>10000</v>
          </cell>
          <cell r="E1084">
            <v>-10000</v>
          </cell>
          <cell r="F1084" t="str">
            <v>%</v>
          </cell>
        </row>
        <row r="1085">
          <cell r="B1085" t="str">
            <v>TEST_AIN</v>
          </cell>
          <cell r="C1085" t="str">
            <v>TEST HS0001 ALARM LOGGING</v>
          </cell>
          <cell r="D1085">
            <v>100</v>
          </cell>
          <cell r="E1085">
            <v>0</v>
          </cell>
          <cell r="F1085" t="str">
            <v>%</v>
          </cell>
        </row>
        <row r="1086">
          <cell r="B1086" t="str">
            <v>TPZ2103C</v>
          </cell>
          <cell r="C1086" t="str">
            <v>TPA PUMP</v>
          </cell>
          <cell r="D1086">
            <v>4.2</v>
          </cell>
          <cell r="E1086">
            <v>0</v>
          </cell>
          <cell r="F1086" t="str">
            <v>TON/H</v>
          </cell>
        </row>
        <row r="1087">
          <cell r="B1087" t="str">
            <v>TPZ2104B</v>
          </cell>
          <cell r="C1087" t="str">
            <v>MPA PUMP</v>
          </cell>
          <cell r="D1087">
            <v>4.2</v>
          </cell>
          <cell r="E1087">
            <v>0</v>
          </cell>
          <cell r="F1087" t="str">
            <v>TON/H</v>
          </cell>
        </row>
        <row r="1088">
          <cell r="B1088" t="str">
            <v>TPZ2106C</v>
          </cell>
          <cell r="C1088" t="str">
            <v>ATRES PUMP</v>
          </cell>
          <cell r="D1088">
            <v>7.2</v>
          </cell>
          <cell r="E1088">
            <v>0</v>
          </cell>
          <cell r="F1088" t="str">
            <v>TON/H</v>
          </cell>
        </row>
        <row r="1089">
          <cell r="B1089" t="str">
            <v>TPZ2204B</v>
          </cell>
          <cell r="C1089" t="str">
            <v>SPLITTER REB. CIRCPUMP</v>
          </cell>
          <cell r="D1089">
            <v>11</v>
          </cell>
          <cell r="E1089">
            <v>0</v>
          </cell>
          <cell r="F1089" t="str">
            <v>TON/H</v>
          </cell>
        </row>
        <row r="1090">
          <cell r="B1090" t="str">
            <v>XTPZ2103C</v>
          </cell>
          <cell r="C1090" t="str">
            <v>TPA PUMP</v>
          </cell>
          <cell r="D1090">
            <v>4.2</v>
          </cell>
          <cell r="E1090">
            <v>0</v>
          </cell>
          <cell r="F1090" t="str">
            <v>TON/H</v>
          </cell>
        </row>
        <row r="1091">
          <cell r="B1091" t="str">
            <v>XTPZ2104B</v>
          </cell>
          <cell r="C1091" t="str">
            <v>MPA PUMP</v>
          </cell>
          <cell r="D1091">
            <v>4.2</v>
          </cell>
          <cell r="E1091">
            <v>0</v>
          </cell>
          <cell r="F1091" t="str">
            <v>TON/H</v>
          </cell>
        </row>
        <row r="1092">
          <cell r="B1092" t="str">
            <v>XTPZ2106C</v>
          </cell>
          <cell r="C1092" t="str">
            <v>ATRES PUMP</v>
          </cell>
          <cell r="D1092">
            <v>7.2</v>
          </cell>
          <cell r="E1092">
            <v>0</v>
          </cell>
          <cell r="F1092" t="str">
            <v>TON/H</v>
          </cell>
        </row>
        <row r="1093">
          <cell r="B1093" t="str">
            <v>XTPZ2204B</v>
          </cell>
          <cell r="C1093" t="str">
            <v>SPLITTER REB. CIRCPUMP</v>
          </cell>
          <cell r="D1093">
            <v>11</v>
          </cell>
          <cell r="E1093">
            <v>0</v>
          </cell>
          <cell r="F1093" t="str">
            <v>TON/H</v>
          </cell>
        </row>
        <row r="1094">
          <cell r="B1094" t="str">
            <v>SRG4_TVP</v>
          </cell>
          <cell r="C1094" t="str">
            <v>SRG4 TRUE VAPOUR PRESSURE</v>
          </cell>
          <cell r="D1094">
            <v>2</v>
          </cell>
          <cell r="E1094">
            <v>0</v>
          </cell>
          <cell r="F1094" t="str">
            <v>BAR</v>
          </cell>
        </row>
      </sheetData>
      <sheetData sheetId="39" refreshError="1"/>
    </sheetDataSet>
  </externalBook>
</externalLink>
</file>

<file path=xl/tables/table1.xml><?xml version="1.0" encoding="utf-8"?>
<table xmlns="http://schemas.openxmlformats.org/spreadsheetml/2006/main" id="2" name="表2" displayName="表2" ref="D11:E62" totalsRowShown="0">
  <autoFilter ref="D11:E62"/>
  <tableColumns count="2">
    <tableColumn id="1" name="Type Name"/>
    <tableColumn id="2" name="Variable" dataDxfId="50"/>
  </tableColumns>
  <tableStyleInfo name="TableStyleMedium9" showFirstColumn="0" showLastColumn="0" showRowStripes="1" showColumnStripes="0"/>
</table>
</file>

<file path=xl/tables/table2.xml><?xml version="1.0" encoding="utf-8"?>
<table xmlns="http://schemas.openxmlformats.org/spreadsheetml/2006/main" id="1" name="表1" displayName="表1" ref="A1:AY215" insertRowShift="1" totalsRowShown="0">
  <autoFilter ref="A1:AY215"/>
  <tableColumns count="51">
    <tableColumn id="1" name="Manifold"/>
    <tableColumn id="2" name="ControlValve" dataDxfId="49"/>
    <tableColumn id="3" name="BatteryLimit" dataDxfId="48"/>
    <tableColumn id="4" name="Pump" dataDxfId="47"/>
    <tableColumn id="5" name="Transmitter" dataDxfId="46"/>
    <tableColumn id="6" name="Slice" dataDxfId="45"/>
    <tableColumn id="7" name="SplRange" dataDxfId="44"/>
    <tableColumn id="8" name="AtmosphericTank" dataDxfId="43"/>
    <tableColumn id="9" name="Chimney" dataDxfId="42"/>
    <tableColumn id="10" name="Somme" dataDxfId="41"/>
    <tableColumn id="11" name="HeatExch" dataDxfId="40"/>
    <tableColumn id="12" name="Valve" dataDxfId="39"/>
    <tableColumn id="13" name="ValveActuator" dataDxfId="38"/>
    <tableColumn id="14" name="Comment" dataDxfId="37"/>
    <tableColumn id="15" name="AirCoolerV2" dataDxfId="36"/>
    <tableColumn id="16" name="PressureSafetyValve" dataDxfId="35"/>
    <tableColumn id="17" name="BornierReel" dataDxfId="34"/>
    <tableColumn id="18" name="MotorActuator" dataDxfId="33"/>
    <tableColumn id="19" name="IndissPlus_PID" dataDxfId="32"/>
    <tableColumn id="20" name="Splitter" dataDxfId="31"/>
    <tableColumn id="21" name="Integrateur" dataDxfId="30"/>
    <tableColumn id="22" name="ExchangerTube" dataDxfId="29"/>
    <tableColumn id="23" name="DrumSeparatorV2" dataDxfId="28"/>
    <tableColumn id="24" name="Multiplicateur" dataDxfId="27"/>
    <tableColumn id="25" name="Demultiplexeur" dataDxfId="26"/>
    <tableColumn id="26" name="Prog" dataDxfId="25"/>
    <tableColumn id="27" name="CompressorMC" dataDxfId="24"/>
    <tableColumn id="28" name="Mixer" dataDxfId="23"/>
    <tableColumn id="29" name="ElectricalHeater" dataDxfId="22"/>
    <tableColumn id="30" name="FlowGenerator" dataDxfId="21"/>
    <tableColumn id="31" name="XY" dataDxfId="20"/>
    <tableColumn id="32" name="ColumnBottom" dataDxfId="19"/>
    <tableColumn id="33" name="Shaft" dataDxfId="18"/>
    <tableColumn id="34" name="Column" dataDxfId="17"/>
    <tableColumn id="35" name="Ramp" dataDxfId="16"/>
    <tableColumn id="36" name="ConstanteTemps" dataDxfId="15"/>
    <tableColumn id="37" name="ThermodynamicAreaTrans" dataDxfId="14"/>
    <tableColumn id="38" name="ScrubberThreePhase" dataDxfId="13"/>
    <tableColumn id="39" name="Desalter" dataDxfId="12"/>
    <tableColumn id="40" name="Scrubber" dataDxfId="11"/>
    <tableColumn id="41" name="IndissPlus_CSOUT" dataDxfId="10"/>
    <tableColumn id="42" name="VelocityLimiter" dataDxfId="9"/>
    <tableColumn id="43" name="DAC" dataDxfId="8"/>
    <tableColumn id="44" name="Non" dataDxfId="7"/>
    <tableColumn id="45" name="BornierBooleen" dataDxfId="6"/>
    <tableColumn id="46" name="LogicTest" dataDxfId="5"/>
    <tableColumn id="47" name="HDTBed" dataDxfId="4"/>
    <tableColumn id="48" name="Furnace" dataDxfId="3"/>
    <tableColumn id="49" name="Expander" dataDxfId="2"/>
    <tableColumn id="50" name="GasLiquidColumnNode" dataDxfId="1"/>
    <tableColumn id="51" name="KettleNode" dataDxfId="0"/>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hyperlink" Target="mailto:set@%20barg" TargetMode="External"/><Relationship Id="rId4" Type="http://schemas.openxmlformats.org/officeDocument/2006/relationships/comments" Target="../comments8.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sheetPr>
    <tabColor rgb="FF00B0F0"/>
  </sheetPr>
  <dimension ref="A1:AA167"/>
  <sheetViews>
    <sheetView topLeftCell="M1" workbookViewId="0">
      <pane xSplit="2" ySplit="2" topLeftCell="O3" activePane="bottomRight" state="frozen"/>
      <selection activeCell="K51" sqref="K51"/>
      <selection pane="topRight" activeCell="K51" sqref="K51"/>
      <selection pane="bottomLeft" activeCell="K51" sqref="K51"/>
      <selection pane="bottomRight"/>
    </sheetView>
  </sheetViews>
  <sheetFormatPr defaultRowHeight="12.75"/>
  <cols>
    <col min="1" max="1" width="10.375" style="52" bestFit="1" customWidth="1"/>
    <col min="2" max="2" width="12.625" style="52" hidden="1" customWidth="1"/>
    <col min="3" max="3" width="10.125" style="52" hidden="1" customWidth="1"/>
    <col min="4" max="4" width="13" style="52" hidden="1" customWidth="1"/>
    <col min="5" max="5" width="9.875" style="52" hidden="1" customWidth="1"/>
    <col min="6" max="6" width="10.125" style="52" hidden="1" customWidth="1"/>
    <col min="7" max="7" width="24.625" style="52" hidden="1" customWidth="1"/>
    <col min="8" max="9" width="10.125" style="52" hidden="1" customWidth="1"/>
    <col min="10" max="10" width="13.5" style="52" hidden="1" customWidth="1"/>
    <col min="11" max="11" width="15.375" style="52" hidden="1" customWidth="1"/>
    <col min="12" max="12" width="0" style="52" hidden="1" customWidth="1"/>
    <col min="13" max="13" width="10.625" style="266" hidden="1" customWidth="1"/>
    <col min="14" max="14" width="16.625" style="266" customWidth="1"/>
    <col min="15" max="15" width="22" style="925" bestFit="1" customWidth="1"/>
    <col min="16" max="16" width="16.625" style="266" customWidth="1"/>
    <col min="17" max="19" width="16.625" style="52" customWidth="1"/>
    <col min="20" max="20" width="48.625" style="52" customWidth="1"/>
    <col min="21" max="21" width="16.625" style="52" customWidth="1"/>
    <col min="22" max="22" width="16.625" style="615" customWidth="1"/>
    <col min="23" max="24" width="16.625" style="52" customWidth="1"/>
    <col min="25" max="25" width="30.625" style="52" customWidth="1"/>
    <col min="26" max="26" width="24.625" style="52" customWidth="1"/>
    <col min="27" max="27" width="20.625" style="657" customWidth="1"/>
    <col min="28" max="252" width="9" style="52"/>
    <col min="253" max="253" width="10.375" style="52" bestFit="1" customWidth="1"/>
    <col min="254" max="264" width="0" style="52" hidden="1" customWidth="1"/>
    <col min="265" max="265" width="9" style="52"/>
    <col min="266" max="266" width="11.5" style="52" customWidth="1"/>
    <col min="267" max="267" width="13.5" style="52" bestFit="1" customWidth="1"/>
    <col min="268" max="268" width="41" style="52" customWidth="1"/>
    <col min="269" max="269" width="11.625" style="52" customWidth="1"/>
    <col min="270" max="270" width="14.5" style="52" customWidth="1"/>
    <col min="271" max="271" width="8.375" style="52" customWidth="1"/>
    <col min="272" max="272" width="12.5" style="52" customWidth="1"/>
    <col min="273" max="278" width="0" style="52" hidden="1" customWidth="1"/>
    <col min="279" max="282" width="9.125" style="52" customWidth="1"/>
    <col min="283" max="283" width="11" style="52" bestFit="1" customWidth="1"/>
    <col min="284" max="508" width="9" style="52"/>
    <col min="509" max="509" width="10.375" style="52" bestFit="1" customWidth="1"/>
    <col min="510" max="520" width="0" style="52" hidden="1" customWidth="1"/>
    <col min="521" max="521" width="9" style="52"/>
    <col min="522" max="522" width="11.5" style="52" customWidth="1"/>
    <col min="523" max="523" width="13.5" style="52" bestFit="1" customWidth="1"/>
    <col min="524" max="524" width="41" style="52" customWidth="1"/>
    <col min="525" max="525" width="11.625" style="52" customWidth="1"/>
    <col min="526" max="526" width="14.5" style="52" customWidth="1"/>
    <col min="527" max="527" width="8.375" style="52" customWidth="1"/>
    <col min="528" max="528" width="12.5" style="52" customWidth="1"/>
    <col min="529" max="534" width="0" style="52" hidden="1" customWidth="1"/>
    <col min="535" max="538" width="9.125" style="52" customWidth="1"/>
    <col min="539" max="539" width="11" style="52" bestFit="1" customWidth="1"/>
    <col min="540" max="764" width="9" style="52"/>
    <col min="765" max="765" width="10.375" style="52" bestFit="1" customWidth="1"/>
    <col min="766" max="776" width="0" style="52" hidden="1" customWidth="1"/>
    <col min="777" max="777" width="9" style="52"/>
    <col min="778" max="778" width="11.5" style="52" customWidth="1"/>
    <col min="779" max="779" width="13.5" style="52" bestFit="1" customWidth="1"/>
    <col min="780" max="780" width="41" style="52" customWidth="1"/>
    <col min="781" max="781" width="11.625" style="52" customWidth="1"/>
    <col min="782" max="782" width="14.5" style="52" customWidth="1"/>
    <col min="783" max="783" width="8.375" style="52" customWidth="1"/>
    <col min="784" max="784" width="12.5" style="52" customWidth="1"/>
    <col min="785" max="790" width="0" style="52" hidden="1" customWidth="1"/>
    <col min="791" max="794" width="9.125" style="52" customWidth="1"/>
    <col min="795" max="795" width="11" style="52" bestFit="1" customWidth="1"/>
    <col min="796" max="1020" width="9" style="52"/>
    <col min="1021" max="1021" width="10.375" style="52" bestFit="1" customWidth="1"/>
    <col min="1022" max="1032" width="0" style="52" hidden="1" customWidth="1"/>
    <col min="1033" max="1033" width="9" style="52"/>
    <col min="1034" max="1034" width="11.5" style="52" customWidth="1"/>
    <col min="1035" max="1035" width="13.5" style="52" bestFit="1" customWidth="1"/>
    <col min="1036" max="1036" width="41" style="52" customWidth="1"/>
    <col min="1037" max="1037" width="11.625" style="52" customWidth="1"/>
    <col min="1038" max="1038" width="14.5" style="52" customWidth="1"/>
    <col min="1039" max="1039" width="8.375" style="52" customWidth="1"/>
    <col min="1040" max="1040" width="12.5" style="52" customWidth="1"/>
    <col min="1041" max="1046" width="0" style="52" hidden="1" customWidth="1"/>
    <col min="1047" max="1050" width="9.125" style="52" customWidth="1"/>
    <col min="1051" max="1051" width="11" style="52" bestFit="1" customWidth="1"/>
    <col min="1052" max="1276" width="9" style="52"/>
    <col min="1277" max="1277" width="10.375" style="52" bestFit="1" customWidth="1"/>
    <col min="1278" max="1288" width="0" style="52" hidden="1" customWidth="1"/>
    <col min="1289" max="1289" width="9" style="52"/>
    <col min="1290" max="1290" width="11.5" style="52" customWidth="1"/>
    <col min="1291" max="1291" width="13.5" style="52" bestFit="1" customWidth="1"/>
    <col min="1292" max="1292" width="41" style="52" customWidth="1"/>
    <col min="1293" max="1293" width="11.625" style="52" customWidth="1"/>
    <col min="1294" max="1294" width="14.5" style="52" customWidth="1"/>
    <col min="1295" max="1295" width="8.375" style="52" customWidth="1"/>
    <col min="1296" max="1296" width="12.5" style="52" customWidth="1"/>
    <col min="1297" max="1302" width="0" style="52" hidden="1" customWidth="1"/>
    <col min="1303" max="1306" width="9.125" style="52" customWidth="1"/>
    <col min="1307" max="1307" width="11" style="52" bestFit="1" customWidth="1"/>
    <col min="1308" max="1532" width="9" style="52"/>
    <col min="1533" max="1533" width="10.375" style="52" bestFit="1" customWidth="1"/>
    <col min="1534" max="1544" width="0" style="52" hidden="1" customWidth="1"/>
    <col min="1545" max="1545" width="9" style="52"/>
    <col min="1546" max="1546" width="11.5" style="52" customWidth="1"/>
    <col min="1547" max="1547" width="13.5" style="52" bestFit="1" customWidth="1"/>
    <col min="1548" max="1548" width="41" style="52" customWidth="1"/>
    <col min="1549" max="1549" width="11.625" style="52" customWidth="1"/>
    <col min="1550" max="1550" width="14.5" style="52" customWidth="1"/>
    <col min="1551" max="1551" width="8.375" style="52" customWidth="1"/>
    <col min="1552" max="1552" width="12.5" style="52" customWidth="1"/>
    <col min="1553" max="1558" width="0" style="52" hidden="1" customWidth="1"/>
    <col min="1559" max="1562" width="9.125" style="52" customWidth="1"/>
    <col min="1563" max="1563" width="11" style="52" bestFit="1" customWidth="1"/>
    <col min="1564" max="1788" width="9" style="52"/>
    <col min="1789" max="1789" width="10.375" style="52" bestFit="1" customWidth="1"/>
    <col min="1790" max="1800" width="0" style="52" hidden="1" customWidth="1"/>
    <col min="1801" max="1801" width="9" style="52"/>
    <col min="1802" max="1802" width="11.5" style="52" customWidth="1"/>
    <col min="1803" max="1803" width="13.5" style="52" bestFit="1" customWidth="1"/>
    <col min="1804" max="1804" width="41" style="52" customWidth="1"/>
    <col min="1805" max="1805" width="11.625" style="52" customWidth="1"/>
    <col min="1806" max="1806" width="14.5" style="52" customWidth="1"/>
    <col min="1807" max="1807" width="8.375" style="52" customWidth="1"/>
    <col min="1808" max="1808" width="12.5" style="52" customWidth="1"/>
    <col min="1809" max="1814" width="0" style="52" hidden="1" customWidth="1"/>
    <col min="1815" max="1818" width="9.125" style="52" customWidth="1"/>
    <col min="1819" max="1819" width="11" style="52" bestFit="1" customWidth="1"/>
    <col min="1820" max="2044" width="9" style="52"/>
    <col min="2045" max="2045" width="10.375" style="52" bestFit="1" customWidth="1"/>
    <col min="2046" max="2056" width="0" style="52" hidden="1" customWidth="1"/>
    <col min="2057" max="2057" width="9" style="52"/>
    <col min="2058" max="2058" width="11.5" style="52" customWidth="1"/>
    <col min="2059" max="2059" width="13.5" style="52" bestFit="1" customWidth="1"/>
    <col min="2060" max="2060" width="41" style="52" customWidth="1"/>
    <col min="2061" max="2061" width="11.625" style="52" customWidth="1"/>
    <col min="2062" max="2062" width="14.5" style="52" customWidth="1"/>
    <col min="2063" max="2063" width="8.375" style="52" customWidth="1"/>
    <col min="2064" max="2064" width="12.5" style="52" customWidth="1"/>
    <col min="2065" max="2070" width="0" style="52" hidden="1" customWidth="1"/>
    <col min="2071" max="2074" width="9.125" style="52" customWidth="1"/>
    <col min="2075" max="2075" width="11" style="52" bestFit="1" customWidth="1"/>
    <col min="2076" max="2300" width="9" style="52"/>
    <col min="2301" max="2301" width="10.375" style="52" bestFit="1" customWidth="1"/>
    <col min="2302" max="2312" width="0" style="52" hidden="1" customWidth="1"/>
    <col min="2313" max="2313" width="9" style="52"/>
    <col min="2314" max="2314" width="11.5" style="52" customWidth="1"/>
    <col min="2315" max="2315" width="13.5" style="52" bestFit="1" customWidth="1"/>
    <col min="2316" max="2316" width="41" style="52" customWidth="1"/>
    <col min="2317" max="2317" width="11.625" style="52" customWidth="1"/>
    <col min="2318" max="2318" width="14.5" style="52" customWidth="1"/>
    <col min="2319" max="2319" width="8.375" style="52" customWidth="1"/>
    <col min="2320" max="2320" width="12.5" style="52" customWidth="1"/>
    <col min="2321" max="2326" width="0" style="52" hidden="1" customWidth="1"/>
    <col min="2327" max="2330" width="9.125" style="52" customWidth="1"/>
    <col min="2331" max="2331" width="11" style="52" bestFit="1" customWidth="1"/>
    <col min="2332" max="2556" width="9" style="52"/>
    <col min="2557" max="2557" width="10.375" style="52" bestFit="1" customWidth="1"/>
    <col min="2558" max="2568" width="0" style="52" hidden="1" customWidth="1"/>
    <col min="2569" max="2569" width="9" style="52"/>
    <col min="2570" max="2570" width="11.5" style="52" customWidth="1"/>
    <col min="2571" max="2571" width="13.5" style="52" bestFit="1" customWidth="1"/>
    <col min="2572" max="2572" width="41" style="52" customWidth="1"/>
    <col min="2573" max="2573" width="11.625" style="52" customWidth="1"/>
    <col min="2574" max="2574" width="14.5" style="52" customWidth="1"/>
    <col min="2575" max="2575" width="8.375" style="52" customWidth="1"/>
    <col min="2576" max="2576" width="12.5" style="52" customWidth="1"/>
    <col min="2577" max="2582" width="0" style="52" hidden="1" customWidth="1"/>
    <col min="2583" max="2586" width="9.125" style="52" customWidth="1"/>
    <col min="2587" max="2587" width="11" style="52" bestFit="1" customWidth="1"/>
    <col min="2588" max="2812" width="9" style="52"/>
    <col min="2813" max="2813" width="10.375" style="52" bestFit="1" customWidth="1"/>
    <col min="2814" max="2824" width="0" style="52" hidden="1" customWidth="1"/>
    <col min="2825" max="2825" width="9" style="52"/>
    <col min="2826" max="2826" width="11.5" style="52" customWidth="1"/>
    <col min="2827" max="2827" width="13.5" style="52" bestFit="1" customWidth="1"/>
    <col min="2828" max="2828" width="41" style="52" customWidth="1"/>
    <col min="2829" max="2829" width="11.625" style="52" customWidth="1"/>
    <col min="2830" max="2830" width="14.5" style="52" customWidth="1"/>
    <col min="2831" max="2831" width="8.375" style="52" customWidth="1"/>
    <col min="2832" max="2832" width="12.5" style="52" customWidth="1"/>
    <col min="2833" max="2838" width="0" style="52" hidden="1" customWidth="1"/>
    <col min="2839" max="2842" width="9.125" style="52" customWidth="1"/>
    <col min="2843" max="2843" width="11" style="52" bestFit="1" customWidth="1"/>
    <col min="2844" max="3068" width="9" style="52"/>
    <col min="3069" max="3069" width="10.375" style="52" bestFit="1" customWidth="1"/>
    <col min="3070" max="3080" width="0" style="52" hidden="1" customWidth="1"/>
    <col min="3081" max="3081" width="9" style="52"/>
    <col min="3082" max="3082" width="11.5" style="52" customWidth="1"/>
    <col min="3083" max="3083" width="13.5" style="52" bestFit="1" customWidth="1"/>
    <col min="3084" max="3084" width="41" style="52" customWidth="1"/>
    <col min="3085" max="3085" width="11.625" style="52" customWidth="1"/>
    <col min="3086" max="3086" width="14.5" style="52" customWidth="1"/>
    <col min="3087" max="3087" width="8.375" style="52" customWidth="1"/>
    <col min="3088" max="3088" width="12.5" style="52" customWidth="1"/>
    <col min="3089" max="3094" width="0" style="52" hidden="1" customWidth="1"/>
    <col min="3095" max="3098" width="9.125" style="52" customWidth="1"/>
    <col min="3099" max="3099" width="11" style="52" bestFit="1" customWidth="1"/>
    <col min="3100" max="3324" width="9" style="52"/>
    <col min="3325" max="3325" width="10.375" style="52" bestFit="1" customWidth="1"/>
    <col min="3326" max="3336" width="0" style="52" hidden="1" customWidth="1"/>
    <col min="3337" max="3337" width="9" style="52"/>
    <col min="3338" max="3338" width="11.5" style="52" customWidth="1"/>
    <col min="3339" max="3339" width="13.5" style="52" bestFit="1" customWidth="1"/>
    <col min="3340" max="3340" width="41" style="52" customWidth="1"/>
    <col min="3341" max="3341" width="11.625" style="52" customWidth="1"/>
    <col min="3342" max="3342" width="14.5" style="52" customWidth="1"/>
    <col min="3343" max="3343" width="8.375" style="52" customWidth="1"/>
    <col min="3344" max="3344" width="12.5" style="52" customWidth="1"/>
    <col min="3345" max="3350" width="0" style="52" hidden="1" customWidth="1"/>
    <col min="3351" max="3354" width="9.125" style="52" customWidth="1"/>
    <col min="3355" max="3355" width="11" style="52" bestFit="1" customWidth="1"/>
    <col min="3356" max="3580" width="9" style="52"/>
    <col min="3581" max="3581" width="10.375" style="52" bestFit="1" customWidth="1"/>
    <col min="3582" max="3592" width="0" style="52" hidden="1" customWidth="1"/>
    <col min="3593" max="3593" width="9" style="52"/>
    <col min="3594" max="3594" width="11.5" style="52" customWidth="1"/>
    <col min="3595" max="3595" width="13.5" style="52" bestFit="1" customWidth="1"/>
    <col min="3596" max="3596" width="41" style="52" customWidth="1"/>
    <col min="3597" max="3597" width="11.625" style="52" customWidth="1"/>
    <col min="3598" max="3598" width="14.5" style="52" customWidth="1"/>
    <col min="3599" max="3599" width="8.375" style="52" customWidth="1"/>
    <col min="3600" max="3600" width="12.5" style="52" customWidth="1"/>
    <col min="3601" max="3606" width="0" style="52" hidden="1" customWidth="1"/>
    <col min="3607" max="3610" width="9.125" style="52" customWidth="1"/>
    <col min="3611" max="3611" width="11" style="52" bestFit="1" customWidth="1"/>
    <col min="3612" max="3836" width="9" style="52"/>
    <col min="3837" max="3837" width="10.375" style="52" bestFit="1" customWidth="1"/>
    <col min="3838" max="3848" width="0" style="52" hidden="1" customWidth="1"/>
    <col min="3849" max="3849" width="9" style="52"/>
    <col min="3850" max="3850" width="11.5" style="52" customWidth="1"/>
    <col min="3851" max="3851" width="13.5" style="52" bestFit="1" customWidth="1"/>
    <col min="3852" max="3852" width="41" style="52" customWidth="1"/>
    <col min="3853" max="3853" width="11.625" style="52" customWidth="1"/>
    <col min="3854" max="3854" width="14.5" style="52" customWidth="1"/>
    <col min="3855" max="3855" width="8.375" style="52" customWidth="1"/>
    <col min="3856" max="3856" width="12.5" style="52" customWidth="1"/>
    <col min="3857" max="3862" width="0" style="52" hidden="1" customWidth="1"/>
    <col min="3863" max="3866" width="9.125" style="52" customWidth="1"/>
    <col min="3867" max="3867" width="11" style="52" bestFit="1" customWidth="1"/>
    <col min="3868" max="4092" width="9" style="52"/>
    <col min="4093" max="4093" width="10.375" style="52" bestFit="1" customWidth="1"/>
    <col min="4094" max="4104" width="0" style="52" hidden="1" customWidth="1"/>
    <col min="4105" max="4105" width="9" style="52"/>
    <col min="4106" max="4106" width="11.5" style="52" customWidth="1"/>
    <col min="4107" max="4107" width="13.5" style="52" bestFit="1" customWidth="1"/>
    <col min="4108" max="4108" width="41" style="52" customWidth="1"/>
    <col min="4109" max="4109" width="11.625" style="52" customWidth="1"/>
    <col min="4110" max="4110" width="14.5" style="52" customWidth="1"/>
    <col min="4111" max="4111" width="8.375" style="52" customWidth="1"/>
    <col min="4112" max="4112" width="12.5" style="52" customWidth="1"/>
    <col min="4113" max="4118" width="0" style="52" hidden="1" customWidth="1"/>
    <col min="4119" max="4122" width="9.125" style="52" customWidth="1"/>
    <col min="4123" max="4123" width="11" style="52" bestFit="1" customWidth="1"/>
    <col min="4124" max="4348" width="9" style="52"/>
    <col min="4349" max="4349" width="10.375" style="52" bestFit="1" customWidth="1"/>
    <col min="4350" max="4360" width="0" style="52" hidden="1" customWidth="1"/>
    <col min="4361" max="4361" width="9" style="52"/>
    <col min="4362" max="4362" width="11.5" style="52" customWidth="1"/>
    <col min="4363" max="4363" width="13.5" style="52" bestFit="1" customWidth="1"/>
    <col min="4364" max="4364" width="41" style="52" customWidth="1"/>
    <col min="4365" max="4365" width="11.625" style="52" customWidth="1"/>
    <col min="4366" max="4366" width="14.5" style="52" customWidth="1"/>
    <col min="4367" max="4367" width="8.375" style="52" customWidth="1"/>
    <col min="4368" max="4368" width="12.5" style="52" customWidth="1"/>
    <col min="4369" max="4374" width="0" style="52" hidden="1" customWidth="1"/>
    <col min="4375" max="4378" width="9.125" style="52" customWidth="1"/>
    <col min="4379" max="4379" width="11" style="52" bestFit="1" customWidth="1"/>
    <col min="4380" max="4604" width="9" style="52"/>
    <col min="4605" max="4605" width="10.375" style="52" bestFit="1" customWidth="1"/>
    <col min="4606" max="4616" width="0" style="52" hidden="1" customWidth="1"/>
    <col min="4617" max="4617" width="9" style="52"/>
    <col min="4618" max="4618" width="11.5" style="52" customWidth="1"/>
    <col min="4619" max="4619" width="13.5" style="52" bestFit="1" customWidth="1"/>
    <col min="4620" max="4620" width="41" style="52" customWidth="1"/>
    <col min="4621" max="4621" width="11.625" style="52" customWidth="1"/>
    <col min="4622" max="4622" width="14.5" style="52" customWidth="1"/>
    <col min="4623" max="4623" width="8.375" style="52" customWidth="1"/>
    <col min="4624" max="4624" width="12.5" style="52" customWidth="1"/>
    <col min="4625" max="4630" width="0" style="52" hidden="1" customWidth="1"/>
    <col min="4631" max="4634" width="9.125" style="52" customWidth="1"/>
    <col min="4635" max="4635" width="11" style="52" bestFit="1" customWidth="1"/>
    <col min="4636" max="4860" width="9" style="52"/>
    <col min="4861" max="4861" width="10.375" style="52" bestFit="1" customWidth="1"/>
    <col min="4862" max="4872" width="0" style="52" hidden="1" customWidth="1"/>
    <col min="4873" max="4873" width="9" style="52"/>
    <col min="4874" max="4874" width="11.5" style="52" customWidth="1"/>
    <col min="4875" max="4875" width="13.5" style="52" bestFit="1" customWidth="1"/>
    <col min="4876" max="4876" width="41" style="52" customWidth="1"/>
    <col min="4877" max="4877" width="11.625" style="52" customWidth="1"/>
    <col min="4878" max="4878" width="14.5" style="52" customWidth="1"/>
    <col min="4879" max="4879" width="8.375" style="52" customWidth="1"/>
    <col min="4880" max="4880" width="12.5" style="52" customWidth="1"/>
    <col min="4881" max="4886" width="0" style="52" hidden="1" customWidth="1"/>
    <col min="4887" max="4890" width="9.125" style="52" customWidth="1"/>
    <col min="4891" max="4891" width="11" style="52" bestFit="1" customWidth="1"/>
    <col min="4892" max="5116" width="9" style="52"/>
    <col min="5117" max="5117" width="10.375" style="52" bestFit="1" customWidth="1"/>
    <col min="5118" max="5128" width="0" style="52" hidden="1" customWidth="1"/>
    <col min="5129" max="5129" width="9" style="52"/>
    <col min="5130" max="5130" width="11.5" style="52" customWidth="1"/>
    <col min="5131" max="5131" width="13.5" style="52" bestFit="1" customWidth="1"/>
    <col min="5132" max="5132" width="41" style="52" customWidth="1"/>
    <col min="5133" max="5133" width="11.625" style="52" customWidth="1"/>
    <col min="5134" max="5134" width="14.5" style="52" customWidth="1"/>
    <col min="5135" max="5135" width="8.375" style="52" customWidth="1"/>
    <col min="5136" max="5136" width="12.5" style="52" customWidth="1"/>
    <col min="5137" max="5142" width="0" style="52" hidden="1" customWidth="1"/>
    <col min="5143" max="5146" width="9.125" style="52" customWidth="1"/>
    <col min="5147" max="5147" width="11" style="52" bestFit="1" customWidth="1"/>
    <col min="5148" max="5372" width="9" style="52"/>
    <col min="5373" max="5373" width="10.375" style="52" bestFit="1" customWidth="1"/>
    <col min="5374" max="5384" width="0" style="52" hidden="1" customWidth="1"/>
    <col min="5385" max="5385" width="9" style="52"/>
    <col min="5386" max="5386" width="11.5" style="52" customWidth="1"/>
    <col min="5387" max="5387" width="13.5" style="52" bestFit="1" customWidth="1"/>
    <col min="5388" max="5388" width="41" style="52" customWidth="1"/>
    <col min="5389" max="5389" width="11.625" style="52" customWidth="1"/>
    <col min="5390" max="5390" width="14.5" style="52" customWidth="1"/>
    <col min="5391" max="5391" width="8.375" style="52" customWidth="1"/>
    <col min="5392" max="5392" width="12.5" style="52" customWidth="1"/>
    <col min="5393" max="5398" width="0" style="52" hidden="1" customWidth="1"/>
    <col min="5399" max="5402" width="9.125" style="52" customWidth="1"/>
    <col min="5403" max="5403" width="11" style="52" bestFit="1" customWidth="1"/>
    <col min="5404" max="5628" width="9" style="52"/>
    <col min="5629" max="5629" width="10.375" style="52" bestFit="1" customWidth="1"/>
    <col min="5630" max="5640" width="0" style="52" hidden="1" customWidth="1"/>
    <col min="5641" max="5641" width="9" style="52"/>
    <col min="5642" max="5642" width="11.5" style="52" customWidth="1"/>
    <col min="5643" max="5643" width="13.5" style="52" bestFit="1" customWidth="1"/>
    <col min="5644" max="5644" width="41" style="52" customWidth="1"/>
    <col min="5645" max="5645" width="11.625" style="52" customWidth="1"/>
    <col min="5646" max="5646" width="14.5" style="52" customWidth="1"/>
    <col min="5647" max="5647" width="8.375" style="52" customWidth="1"/>
    <col min="5648" max="5648" width="12.5" style="52" customWidth="1"/>
    <col min="5649" max="5654" width="0" style="52" hidden="1" customWidth="1"/>
    <col min="5655" max="5658" width="9.125" style="52" customWidth="1"/>
    <col min="5659" max="5659" width="11" style="52" bestFit="1" customWidth="1"/>
    <col min="5660" max="5884" width="9" style="52"/>
    <col min="5885" max="5885" width="10.375" style="52" bestFit="1" customWidth="1"/>
    <col min="5886" max="5896" width="0" style="52" hidden="1" customWidth="1"/>
    <col min="5897" max="5897" width="9" style="52"/>
    <col min="5898" max="5898" width="11.5" style="52" customWidth="1"/>
    <col min="5899" max="5899" width="13.5" style="52" bestFit="1" customWidth="1"/>
    <col min="5900" max="5900" width="41" style="52" customWidth="1"/>
    <col min="5901" max="5901" width="11.625" style="52" customWidth="1"/>
    <col min="5902" max="5902" width="14.5" style="52" customWidth="1"/>
    <col min="5903" max="5903" width="8.375" style="52" customWidth="1"/>
    <col min="5904" max="5904" width="12.5" style="52" customWidth="1"/>
    <col min="5905" max="5910" width="0" style="52" hidden="1" customWidth="1"/>
    <col min="5911" max="5914" width="9.125" style="52" customWidth="1"/>
    <col min="5915" max="5915" width="11" style="52" bestFit="1" customWidth="1"/>
    <col min="5916" max="6140" width="9" style="52"/>
    <col min="6141" max="6141" width="10.375" style="52" bestFit="1" customWidth="1"/>
    <col min="6142" max="6152" width="0" style="52" hidden="1" customWidth="1"/>
    <col min="6153" max="6153" width="9" style="52"/>
    <col min="6154" max="6154" width="11.5" style="52" customWidth="1"/>
    <col min="6155" max="6155" width="13.5" style="52" bestFit="1" customWidth="1"/>
    <col min="6156" max="6156" width="41" style="52" customWidth="1"/>
    <col min="6157" max="6157" width="11.625" style="52" customWidth="1"/>
    <col min="6158" max="6158" width="14.5" style="52" customWidth="1"/>
    <col min="6159" max="6159" width="8.375" style="52" customWidth="1"/>
    <col min="6160" max="6160" width="12.5" style="52" customWidth="1"/>
    <col min="6161" max="6166" width="0" style="52" hidden="1" customWidth="1"/>
    <col min="6167" max="6170" width="9.125" style="52" customWidth="1"/>
    <col min="6171" max="6171" width="11" style="52" bestFit="1" customWidth="1"/>
    <col min="6172" max="6396" width="9" style="52"/>
    <col min="6397" max="6397" width="10.375" style="52" bestFit="1" customWidth="1"/>
    <col min="6398" max="6408" width="0" style="52" hidden="1" customWidth="1"/>
    <col min="6409" max="6409" width="9" style="52"/>
    <col min="6410" max="6410" width="11.5" style="52" customWidth="1"/>
    <col min="6411" max="6411" width="13.5" style="52" bestFit="1" customWidth="1"/>
    <col min="6412" max="6412" width="41" style="52" customWidth="1"/>
    <col min="6413" max="6413" width="11.625" style="52" customWidth="1"/>
    <col min="6414" max="6414" width="14.5" style="52" customWidth="1"/>
    <col min="6415" max="6415" width="8.375" style="52" customWidth="1"/>
    <col min="6416" max="6416" width="12.5" style="52" customWidth="1"/>
    <col min="6417" max="6422" width="0" style="52" hidden="1" customWidth="1"/>
    <col min="6423" max="6426" width="9.125" style="52" customWidth="1"/>
    <col min="6427" max="6427" width="11" style="52" bestFit="1" customWidth="1"/>
    <col min="6428" max="6652" width="9" style="52"/>
    <col min="6653" max="6653" width="10.375" style="52" bestFit="1" customWidth="1"/>
    <col min="6654" max="6664" width="0" style="52" hidden="1" customWidth="1"/>
    <col min="6665" max="6665" width="9" style="52"/>
    <col min="6666" max="6666" width="11.5" style="52" customWidth="1"/>
    <col min="6667" max="6667" width="13.5" style="52" bestFit="1" customWidth="1"/>
    <col min="6668" max="6668" width="41" style="52" customWidth="1"/>
    <col min="6669" max="6669" width="11.625" style="52" customWidth="1"/>
    <col min="6670" max="6670" width="14.5" style="52" customWidth="1"/>
    <col min="6671" max="6671" width="8.375" style="52" customWidth="1"/>
    <col min="6672" max="6672" width="12.5" style="52" customWidth="1"/>
    <col min="6673" max="6678" width="0" style="52" hidden="1" customWidth="1"/>
    <col min="6679" max="6682" width="9.125" style="52" customWidth="1"/>
    <col min="6683" max="6683" width="11" style="52" bestFit="1" customWidth="1"/>
    <col min="6684" max="6908" width="9" style="52"/>
    <col min="6909" max="6909" width="10.375" style="52" bestFit="1" customWidth="1"/>
    <col min="6910" max="6920" width="0" style="52" hidden="1" customWidth="1"/>
    <col min="6921" max="6921" width="9" style="52"/>
    <col min="6922" max="6922" width="11.5" style="52" customWidth="1"/>
    <col min="6923" max="6923" width="13.5" style="52" bestFit="1" customWidth="1"/>
    <col min="6924" max="6924" width="41" style="52" customWidth="1"/>
    <col min="6925" max="6925" width="11.625" style="52" customWidth="1"/>
    <col min="6926" max="6926" width="14.5" style="52" customWidth="1"/>
    <col min="6927" max="6927" width="8.375" style="52" customWidth="1"/>
    <col min="6928" max="6928" width="12.5" style="52" customWidth="1"/>
    <col min="6929" max="6934" width="0" style="52" hidden="1" customWidth="1"/>
    <col min="6935" max="6938" width="9.125" style="52" customWidth="1"/>
    <col min="6939" max="6939" width="11" style="52" bestFit="1" customWidth="1"/>
    <col min="6940" max="7164" width="9" style="52"/>
    <col min="7165" max="7165" width="10.375" style="52" bestFit="1" customWidth="1"/>
    <col min="7166" max="7176" width="0" style="52" hidden="1" customWidth="1"/>
    <col min="7177" max="7177" width="9" style="52"/>
    <col min="7178" max="7178" width="11.5" style="52" customWidth="1"/>
    <col min="7179" max="7179" width="13.5" style="52" bestFit="1" customWidth="1"/>
    <col min="7180" max="7180" width="41" style="52" customWidth="1"/>
    <col min="7181" max="7181" width="11.625" style="52" customWidth="1"/>
    <col min="7182" max="7182" width="14.5" style="52" customWidth="1"/>
    <col min="7183" max="7183" width="8.375" style="52" customWidth="1"/>
    <col min="7184" max="7184" width="12.5" style="52" customWidth="1"/>
    <col min="7185" max="7190" width="0" style="52" hidden="1" customWidth="1"/>
    <col min="7191" max="7194" width="9.125" style="52" customWidth="1"/>
    <col min="7195" max="7195" width="11" style="52" bestFit="1" customWidth="1"/>
    <col min="7196" max="7420" width="9" style="52"/>
    <col min="7421" max="7421" width="10.375" style="52" bestFit="1" customWidth="1"/>
    <col min="7422" max="7432" width="0" style="52" hidden="1" customWidth="1"/>
    <col min="7433" max="7433" width="9" style="52"/>
    <col min="7434" max="7434" width="11.5" style="52" customWidth="1"/>
    <col min="7435" max="7435" width="13.5" style="52" bestFit="1" customWidth="1"/>
    <col min="7436" max="7436" width="41" style="52" customWidth="1"/>
    <col min="7437" max="7437" width="11.625" style="52" customWidth="1"/>
    <col min="7438" max="7438" width="14.5" style="52" customWidth="1"/>
    <col min="7439" max="7439" width="8.375" style="52" customWidth="1"/>
    <col min="7440" max="7440" width="12.5" style="52" customWidth="1"/>
    <col min="7441" max="7446" width="0" style="52" hidden="1" customWidth="1"/>
    <col min="7447" max="7450" width="9.125" style="52" customWidth="1"/>
    <col min="7451" max="7451" width="11" style="52" bestFit="1" customWidth="1"/>
    <col min="7452" max="7676" width="9" style="52"/>
    <col min="7677" max="7677" width="10.375" style="52" bestFit="1" customWidth="1"/>
    <col min="7678" max="7688" width="0" style="52" hidden="1" customWidth="1"/>
    <col min="7689" max="7689" width="9" style="52"/>
    <col min="7690" max="7690" width="11.5" style="52" customWidth="1"/>
    <col min="7691" max="7691" width="13.5" style="52" bestFit="1" customWidth="1"/>
    <col min="7692" max="7692" width="41" style="52" customWidth="1"/>
    <col min="7693" max="7693" width="11.625" style="52" customWidth="1"/>
    <col min="7694" max="7694" width="14.5" style="52" customWidth="1"/>
    <col min="7695" max="7695" width="8.375" style="52" customWidth="1"/>
    <col min="7696" max="7696" width="12.5" style="52" customWidth="1"/>
    <col min="7697" max="7702" width="0" style="52" hidden="1" customWidth="1"/>
    <col min="7703" max="7706" width="9.125" style="52" customWidth="1"/>
    <col min="7707" max="7707" width="11" style="52" bestFit="1" customWidth="1"/>
    <col min="7708" max="7932" width="9" style="52"/>
    <col min="7933" max="7933" width="10.375" style="52" bestFit="1" customWidth="1"/>
    <col min="7934" max="7944" width="0" style="52" hidden="1" customWidth="1"/>
    <col min="7945" max="7945" width="9" style="52"/>
    <col min="7946" max="7946" width="11.5" style="52" customWidth="1"/>
    <col min="7947" max="7947" width="13.5" style="52" bestFit="1" customWidth="1"/>
    <col min="7948" max="7948" width="41" style="52" customWidth="1"/>
    <col min="7949" max="7949" width="11.625" style="52" customWidth="1"/>
    <col min="7950" max="7950" width="14.5" style="52" customWidth="1"/>
    <col min="7951" max="7951" width="8.375" style="52" customWidth="1"/>
    <col min="7952" max="7952" width="12.5" style="52" customWidth="1"/>
    <col min="7953" max="7958" width="0" style="52" hidden="1" customWidth="1"/>
    <col min="7959" max="7962" width="9.125" style="52" customWidth="1"/>
    <col min="7963" max="7963" width="11" style="52" bestFit="1" customWidth="1"/>
    <col min="7964" max="8188" width="9" style="52"/>
    <col min="8189" max="8189" width="10.375" style="52" bestFit="1" customWidth="1"/>
    <col min="8190" max="8200" width="0" style="52" hidden="1" customWidth="1"/>
    <col min="8201" max="8201" width="9" style="52"/>
    <col min="8202" max="8202" width="11.5" style="52" customWidth="1"/>
    <col min="8203" max="8203" width="13.5" style="52" bestFit="1" customWidth="1"/>
    <col min="8204" max="8204" width="41" style="52" customWidth="1"/>
    <col min="8205" max="8205" width="11.625" style="52" customWidth="1"/>
    <col min="8206" max="8206" width="14.5" style="52" customWidth="1"/>
    <col min="8207" max="8207" width="8.375" style="52" customWidth="1"/>
    <col min="8208" max="8208" width="12.5" style="52" customWidth="1"/>
    <col min="8209" max="8214" width="0" style="52" hidden="1" customWidth="1"/>
    <col min="8215" max="8218" width="9.125" style="52" customWidth="1"/>
    <col min="8219" max="8219" width="11" style="52" bestFit="1" customWidth="1"/>
    <col min="8220" max="8444" width="9" style="52"/>
    <col min="8445" max="8445" width="10.375" style="52" bestFit="1" customWidth="1"/>
    <col min="8446" max="8456" width="0" style="52" hidden="1" customWidth="1"/>
    <col min="8457" max="8457" width="9" style="52"/>
    <col min="8458" max="8458" width="11.5" style="52" customWidth="1"/>
    <col min="8459" max="8459" width="13.5" style="52" bestFit="1" customWidth="1"/>
    <col min="8460" max="8460" width="41" style="52" customWidth="1"/>
    <col min="8461" max="8461" width="11.625" style="52" customWidth="1"/>
    <col min="8462" max="8462" width="14.5" style="52" customWidth="1"/>
    <col min="8463" max="8463" width="8.375" style="52" customWidth="1"/>
    <col min="8464" max="8464" width="12.5" style="52" customWidth="1"/>
    <col min="8465" max="8470" width="0" style="52" hidden="1" customWidth="1"/>
    <col min="8471" max="8474" width="9.125" style="52" customWidth="1"/>
    <col min="8475" max="8475" width="11" style="52" bestFit="1" customWidth="1"/>
    <col min="8476" max="8700" width="9" style="52"/>
    <col min="8701" max="8701" width="10.375" style="52" bestFit="1" customWidth="1"/>
    <col min="8702" max="8712" width="0" style="52" hidden="1" customWidth="1"/>
    <col min="8713" max="8713" width="9" style="52"/>
    <col min="8714" max="8714" width="11.5" style="52" customWidth="1"/>
    <col min="8715" max="8715" width="13.5" style="52" bestFit="1" customWidth="1"/>
    <col min="8716" max="8716" width="41" style="52" customWidth="1"/>
    <col min="8717" max="8717" width="11.625" style="52" customWidth="1"/>
    <col min="8718" max="8718" width="14.5" style="52" customWidth="1"/>
    <col min="8719" max="8719" width="8.375" style="52" customWidth="1"/>
    <col min="8720" max="8720" width="12.5" style="52" customWidth="1"/>
    <col min="8721" max="8726" width="0" style="52" hidden="1" customWidth="1"/>
    <col min="8727" max="8730" width="9.125" style="52" customWidth="1"/>
    <col min="8731" max="8731" width="11" style="52" bestFit="1" customWidth="1"/>
    <col min="8732" max="8956" width="9" style="52"/>
    <col min="8957" max="8957" width="10.375" style="52" bestFit="1" customWidth="1"/>
    <col min="8958" max="8968" width="0" style="52" hidden="1" customWidth="1"/>
    <col min="8969" max="8969" width="9" style="52"/>
    <col min="8970" max="8970" width="11.5" style="52" customWidth="1"/>
    <col min="8971" max="8971" width="13.5" style="52" bestFit="1" customWidth="1"/>
    <col min="8972" max="8972" width="41" style="52" customWidth="1"/>
    <col min="8973" max="8973" width="11.625" style="52" customWidth="1"/>
    <col min="8974" max="8974" width="14.5" style="52" customWidth="1"/>
    <col min="8975" max="8975" width="8.375" style="52" customWidth="1"/>
    <col min="8976" max="8976" width="12.5" style="52" customWidth="1"/>
    <col min="8977" max="8982" width="0" style="52" hidden="1" customWidth="1"/>
    <col min="8983" max="8986" width="9.125" style="52" customWidth="1"/>
    <col min="8987" max="8987" width="11" style="52" bestFit="1" customWidth="1"/>
    <col min="8988" max="9212" width="9" style="52"/>
    <col min="9213" max="9213" width="10.375" style="52" bestFit="1" customWidth="1"/>
    <col min="9214" max="9224" width="0" style="52" hidden="1" customWidth="1"/>
    <col min="9225" max="9225" width="9" style="52"/>
    <col min="9226" max="9226" width="11.5" style="52" customWidth="1"/>
    <col min="9227" max="9227" width="13.5" style="52" bestFit="1" customWidth="1"/>
    <col min="9228" max="9228" width="41" style="52" customWidth="1"/>
    <col min="9229" max="9229" width="11.625" style="52" customWidth="1"/>
    <col min="9230" max="9230" width="14.5" style="52" customWidth="1"/>
    <col min="9231" max="9231" width="8.375" style="52" customWidth="1"/>
    <col min="9232" max="9232" width="12.5" style="52" customWidth="1"/>
    <col min="9233" max="9238" width="0" style="52" hidden="1" customWidth="1"/>
    <col min="9239" max="9242" width="9.125" style="52" customWidth="1"/>
    <col min="9243" max="9243" width="11" style="52" bestFit="1" customWidth="1"/>
    <col min="9244" max="9468" width="9" style="52"/>
    <col min="9469" max="9469" width="10.375" style="52" bestFit="1" customWidth="1"/>
    <col min="9470" max="9480" width="0" style="52" hidden="1" customWidth="1"/>
    <col min="9481" max="9481" width="9" style="52"/>
    <col min="9482" max="9482" width="11.5" style="52" customWidth="1"/>
    <col min="9483" max="9483" width="13.5" style="52" bestFit="1" customWidth="1"/>
    <col min="9484" max="9484" width="41" style="52" customWidth="1"/>
    <col min="9485" max="9485" width="11.625" style="52" customWidth="1"/>
    <col min="9486" max="9486" width="14.5" style="52" customWidth="1"/>
    <col min="9487" max="9487" width="8.375" style="52" customWidth="1"/>
    <col min="9488" max="9488" width="12.5" style="52" customWidth="1"/>
    <col min="9489" max="9494" width="0" style="52" hidden="1" customWidth="1"/>
    <col min="9495" max="9498" width="9.125" style="52" customWidth="1"/>
    <col min="9499" max="9499" width="11" style="52" bestFit="1" customWidth="1"/>
    <col min="9500" max="9724" width="9" style="52"/>
    <col min="9725" max="9725" width="10.375" style="52" bestFit="1" customWidth="1"/>
    <col min="9726" max="9736" width="0" style="52" hidden="1" customWidth="1"/>
    <col min="9737" max="9737" width="9" style="52"/>
    <col min="9738" max="9738" width="11.5" style="52" customWidth="1"/>
    <col min="9739" max="9739" width="13.5" style="52" bestFit="1" customWidth="1"/>
    <col min="9740" max="9740" width="41" style="52" customWidth="1"/>
    <col min="9741" max="9741" width="11.625" style="52" customWidth="1"/>
    <col min="9742" max="9742" width="14.5" style="52" customWidth="1"/>
    <col min="9743" max="9743" width="8.375" style="52" customWidth="1"/>
    <col min="9744" max="9744" width="12.5" style="52" customWidth="1"/>
    <col min="9745" max="9750" width="0" style="52" hidden="1" customWidth="1"/>
    <col min="9751" max="9754" width="9.125" style="52" customWidth="1"/>
    <col min="9755" max="9755" width="11" style="52" bestFit="1" customWidth="1"/>
    <col min="9756" max="9980" width="9" style="52"/>
    <col min="9981" max="9981" width="10.375" style="52" bestFit="1" customWidth="1"/>
    <col min="9982" max="9992" width="0" style="52" hidden="1" customWidth="1"/>
    <col min="9993" max="9993" width="9" style="52"/>
    <col min="9994" max="9994" width="11.5" style="52" customWidth="1"/>
    <col min="9995" max="9995" width="13.5" style="52" bestFit="1" customWidth="1"/>
    <col min="9996" max="9996" width="41" style="52" customWidth="1"/>
    <col min="9997" max="9997" width="11.625" style="52" customWidth="1"/>
    <col min="9998" max="9998" width="14.5" style="52" customWidth="1"/>
    <col min="9999" max="9999" width="8.375" style="52" customWidth="1"/>
    <col min="10000" max="10000" width="12.5" style="52" customWidth="1"/>
    <col min="10001" max="10006" width="0" style="52" hidden="1" customWidth="1"/>
    <col min="10007" max="10010" width="9.125" style="52" customWidth="1"/>
    <col min="10011" max="10011" width="11" style="52" bestFit="1" customWidth="1"/>
    <col min="10012" max="10236" width="9" style="52"/>
    <col min="10237" max="10237" width="10.375" style="52" bestFit="1" customWidth="1"/>
    <col min="10238" max="10248" width="0" style="52" hidden="1" customWidth="1"/>
    <col min="10249" max="10249" width="9" style="52"/>
    <col min="10250" max="10250" width="11.5" style="52" customWidth="1"/>
    <col min="10251" max="10251" width="13.5" style="52" bestFit="1" customWidth="1"/>
    <col min="10252" max="10252" width="41" style="52" customWidth="1"/>
    <col min="10253" max="10253" width="11.625" style="52" customWidth="1"/>
    <col min="10254" max="10254" width="14.5" style="52" customWidth="1"/>
    <col min="10255" max="10255" width="8.375" style="52" customWidth="1"/>
    <col min="10256" max="10256" width="12.5" style="52" customWidth="1"/>
    <col min="10257" max="10262" width="0" style="52" hidden="1" customWidth="1"/>
    <col min="10263" max="10266" width="9.125" style="52" customWidth="1"/>
    <col min="10267" max="10267" width="11" style="52" bestFit="1" customWidth="1"/>
    <col min="10268" max="10492" width="9" style="52"/>
    <col min="10493" max="10493" width="10.375" style="52" bestFit="1" customWidth="1"/>
    <col min="10494" max="10504" width="0" style="52" hidden="1" customWidth="1"/>
    <col min="10505" max="10505" width="9" style="52"/>
    <col min="10506" max="10506" width="11.5" style="52" customWidth="1"/>
    <col min="10507" max="10507" width="13.5" style="52" bestFit="1" customWidth="1"/>
    <col min="10508" max="10508" width="41" style="52" customWidth="1"/>
    <col min="10509" max="10509" width="11.625" style="52" customWidth="1"/>
    <col min="10510" max="10510" width="14.5" style="52" customWidth="1"/>
    <col min="10511" max="10511" width="8.375" style="52" customWidth="1"/>
    <col min="10512" max="10512" width="12.5" style="52" customWidth="1"/>
    <col min="10513" max="10518" width="0" style="52" hidden="1" customWidth="1"/>
    <col min="10519" max="10522" width="9.125" style="52" customWidth="1"/>
    <col min="10523" max="10523" width="11" style="52" bestFit="1" customWidth="1"/>
    <col min="10524" max="10748" width="9" style="52"/>
    <col min="10749" max="10749" width="10.375" style="52" bestFit="1" customWidth="1"/>
    <col min="10750" max="10760" width="0" style="52" hidden="1" customWidth="1"/>
    <col min="10761" max="10761" width="9" style="52"/>
    <col min="10762" max="10762" width="11.5" style="52" customWidth="1"/>
    <col min="10763" max="10763" width="13.5" style="52" bestFit="1" customWidth="1"/>
    <col min="10764" max="10764" width="41" style="52" customWidth="1"/>
    <col min="10765" max="10765" width="11.625" style="52" customWidth="1"/>
    <col min="10766" max="10766" width="14.5" style="52" customWidth="1"/>
    <col min="10767" max="10767" width="8.375" style="52" customWidth="1"/>
    <col min="10768" max="10768" width="12.5" style="52" customWidth="1"/>
    <col min="10769" max="10774" width="0" style="52" hidden="1" customWidth="1"/>
    <col min="10775" max="10778" width="9.125" style="52" customWidth="1"/>
    <col min="10779" max="10779" width="11" style="52" bestFit="1" customWidth="1"/>
    <col min="10780" max="11004" width="9" style="52"/>
    <col min="11005" max="11005" width="10.375" style="52" bestFit="1" customWidth="1"/>
    <col min="11006" max="11016" width="0" style="52" hidden="1" customWidth="1"/>
    <col min="11017" max="11017" width="9" style="52"/>
    <col min="11018" max="11018" width="11.5" style="52" customWidth="1"/>
    <col min="11019" max="11019" width="13.5" style="52" bestFit="1" customWidth="1"/>
    <col min="11020" max="11020" width="41" style="52" customWidth="1"/>
    <col min="11021" max="11021" width="11.625" style="52" customWidth="1"/>
    <col min="11022" max="11022" width="14.5" style="52" customWidth="1"/>
    <col min="11023" max="11023" width="8.375" style="52" customWidth="1"/>
    <col min="11024" max="11024" width="12.5" style="52" customWidth="1"/>
    <col min="11025" max="11030" width="0" style="52" hidden="1" customWidth="1"/>
    <col min="11031" max="11034" width="9.125" style="52" customWidth="1"/>
    <col min="11035" max="11035" width="11" style="52" bestFit="1" customWidth="1"/>
    <col min="11036" max="11260" width="9" style="52"/>
    <col min="11261" max="11261" width="10.375" style="52" bestFit="1" customWidth="1"/>
    <col min="11262" max="11272" width="0" style="52" hidden="1" customWidth="1"/>
    <col min="11273" max="11273" width="9" style="52"/>
    <col min="11274" max="11274" width="11.5" style="52" customWidth="1"/>
    <col min="11275" max="11275" width="13.5" style="52" bestFit="1" customWidth="1"/>
    <col min="11276" max="11276" width="41" style="52" customWidth="1"/>
    <col min="11277" max="11277" width="11.625" style="52" customWidth="1"/>
    <col min="11278" max="11278" width="14.5" style="52" customWidth="1"/>
    <col min="11279" max="11279" width="8.375" style="52" customWidth="1"/>
    <col min="11280" max="11280" width="12.5" style="52" customWidth="1"/>
    <col min="11281" max="11286" width="0" style="52" hidden="1" customWidth="1"/>
    <col min="11287" max="11290" width="9.125" style="52" customWidth="1"/>
    <col min="11291" max="11291" width="11" style="52" bestFit="1" customWidth="1"/>
    <col min="11292" max="11516" width="9" style="52"/>
    <col min="11517" max="11517" width="10.375" style="52" bestFit="1" customWidth="1"/>
    <col min="11518" max="11528" width="0" style="52" hidden="1" customWidth="1"/>
    <col min="11529" max="11529" width="9" style="52"/>
    <col min="11530" max="11530" width="11.5" style="52" customWidth="1"/>
    <col min="11531" max="11531" width="13.5" style="52" bestFit="1" customWidth="1"/>
    <col min="11532" max="11532" width="41" style="52" customWidth="1"/>
    <col min="11533" max="11533" width="11.625" style="52" customWidth="1"/>
    <col min="11534" max="11534" width="14.5" style="52" customWidth="1"/>
    <col min="11535" max="11535" width="8.375" style="52" customWidth="1"/>
    <col min="11536" max="11536" width="12.5" style="52" customWidth="1"/>
    <col min="11537" max="11542" width="0" style="52" hidden="1" customWidth="1"/>
    <col min="11543" max="11546" width="9.125" style="52" customWidth="1"/>
    <col min="11547" max="11547" width="11" style="52" bestFit="1" customWidth="1"/>
    <col min="11548" max="11772" width="9" style="52"/>
    <col min="11773" max="11773" width="10.375" style="52" bestFit="1" customWidth="1"/>
    <col min="11774" max="11784" width="0" style="52" hidden="1" customWidth="1"/>
    <col min="11785" max="11785" width="9" style="52"/>
    <col min="11786" max="11786" width="11.5" style="52" customWidth="1"/>
    <col min="11787" max="11787" width="13.5" style="52" bestFit="1" customWidth="1"/>
    <col min="11788" max="11788" width="41" style="52" customWidth="1"/>
    <col min="11789" max="11789" width="11.625" style="52" customWidth="1"/>
    <col min="11790" max="11790" width="14.5" style="52" customWidth="1"/>
    <col min="11791" max="11791" width="8.375" style="52" customWidth="1"/>
    <col min="11792" max="11792" width="12.5" style="52" customWidth="1"/>
    <col min="11793" max="11798" width="0" style="52" hidden="1" customWidth="1"/>
    <col min="11799" max="11802" width="9.125" style="52" customWidth="1"/>
    <col min="11803" max="11803" width="11" style="52" bestFit="1" customWidth="1"/>
    <col min="11804" max="12028" width="9" style="52"/>
    <col min="12029" max="12029" width="10.375" style="52" bestFit="1" customWidth="1"/>
    <col min="12030" max="12040" width="0" style="52" hidden="1" customWidth="1"/>
    <col min="12041" max="12041" width="9" style="52"/>
    <col min="12042" max="12042" width="11.5" style="52" customWidth="1"/>
    <col min="12043" max="12043" width="13.5" style="52" bestFit="1" customWidth="1"/>
    <col min="12044" max="12044" width="41" style="52" customWidth="1"/>
    <col min="12045" max="12045" width="11.625" style="52" customWidth="1"/>
    <col min="12046" max="12046" width="14.5" style="52" customWidth="1"/>
    <col min="12047" max="12047" width="8.375" style="52" customWidth="1"/>
    <col min="12048" max="12048" width="12.5" style="52" customWidth="1"/>
    <col min="12049" max="12054" width="0" style="52" hidden="1" customWidth="1"/>
    <col min="12055" max="12058" width="9.125" style="52" customWidth="1"/>
    <col min="12059" max="12059" width="11" style="52" bestFit="1" customWidth="1"/>
    <col min="12060" max="12284" width="9" style="52"/>
    <col min="12285" max="12285" width="10.375" style="52" bestFit="1" customWidth="1"/>
    <col min="12286" max="12296" width="0" style="52" hidden="1" customWidth="1"/>
    <col min="12297" max="12297" width="9" style="52"/>
    <col min="12298" max="12298" width="11.5" style="52" customWidth="1"/>
    <col min="12299" max="12299" width="13.5" style="52" bestFit="1" customWidth="1"/>
    <col min="12300" max="12300" width="41" style="52" customWidth="1"/>
    <col min="12301" max="12301" width="11.625" style="52" customWidth="1"/>
    <col min="12302" max="12302" width="14.5" style="52" customWidth="1"/>
    <col min="12303" max="12303" width="8.375" style="52" customWidth="1"/>
    <col min="12304" max="12304" width="12.5" style="52" customWidth="1"/>
    <col min="12305" max="12310" width="0" style="52" hidden="1" customWidth="1"/>
    <col min="12311" max="12314" width="9.125" style="52" customWidth="1"/>
    <col min="12315" max="12315" width="11" style="52" bestFit="1" customWidth="1"/>
    <col min="12316" max="12540" width="9" style="52"/>
    <col min="12541" max="12541" width="10.375" style="52" bestFit="1" customWidth="1"/>
    <col min="12542" max="12552" width="0" style="52" hidden="1" customWidth="1"/>
    <col min="12553" max="12553" width="9" style="52"/>
    <col min="12554" max="12554" width="11.5" style="52" customWidth="1"/>
    <col min="12555" max="12555" width="13.5" style="52" bestFit="1" customWidth="1"/>
    <col min="12556" max="12556" width="41" style="52" customWidth="1"/>
    <col min="12557" max="12557" width="11.625" style="52" customWidth="1"/>
    <col min="12558" max="12558" width="14.5" style="52" customWidth="1"/>
    <col min="12559" max="12559" width="8.375" style="52" customWidth="1"/>
    <col min="12560" max="12560" width="12.5" style="52" customWidth="1"/>
    <col min="12561" max="12566" width="0" style="52" hidden="1" customWidth="1"/>
    <col min="12567" max="12570" width="9.125" style="52" customWidth="1"/>
    <col min="12571" max="12571" width="11" style="52" bestFit="1" customWidth="1"/>
    <col min="12572" max="12796" width="9" style="52"/>
    <col min="12797" max="12797" width="10.375" style="52" bestFit="1" customWidth="1"/>
    <col min="12798" max="12808" width="0" style="52" hidden="1" customWidth="1"/>
    <col min="12809" max="12809" width="9" style="52"/>
    <col min="12810" max="12810" width="11.5" style="52" customWidth="1"/>
    <col min="12811" max="12811" width="13.5" style="52" bestFit="1" customWidth="1"/>
    <col min="12812" max="12812" width="41" style="52" customWidth="1"/>
    <col min="12813" max="12813" width="11.625" style="52" customWidth="1"/>
    <col min="12814" max="12814" width="14.5" style="52" customWidth="1"/>
    <col min="12815" max="12815" width="8.375" style="52" customWidth="1"/>
    <col min="12816" max="12816" width="12.5" style="52" customWidth="1"/>
    <col min="12817" max="12822" width="0" style="52" hidden="1" customWidth="1"/>
    <col min="12823" max="12826" width="9.125" style="52" customWidth="1"/>
    <col min="12827" max="12827" width="11" style="52" bestFit="1" customWidth="1"/>
    <col min="12828" max="13052" width="9" style="52"/>
    <col min="13053" max="13053" width="10.375" style="52" bestFit="1" customWidth="1"/>
    <col min="13054" max="13064" width="0" style="52" hidden="1" customWidth="1"/>
    <col min="13065" max="13065" width="9" style="52"/>
    <col min="13066" max="13066" width="11.5" style="52" customWidth="1"/>
    <col min="13067" max="13067" width="13.5" style="52" bestFit="1" customWidth="1"/>
    <col min="13068" max="13068" width="41" style="52" customWidth="1"/>
    <col min="13069" max="13069" width="11.625" style="52" customWidth="1"/>
    <col min="13070" max="13070" width="14.5" style="52" customWidth="1"/>
    <col min="13071" max="13071" width="8.375" style="52" customWidth="1"/>
    <col min="13072" max="13072" width="12.5" style="52" customWidth="1"/>
    <col min="13073" max="13078" width="0" style="52" hidden="1" customWidth="1"/>
    <col min="13079" max="13082" width="9.125" style="52" customWidth="1"/>
    <col min="13083" max="13083" width="11" style="52" bestFit="1" customWidth="1"/>
    <col min="13084" max="13308" width="9" style="52"/>
    <col min="13309" max="13309" width="10.375" style="52" bestFit="1" customWidth="1"/>
    <col min="13310" max="13320" width="0" style="52" hidden="1" customWidth="1"/>
    <col min="13321" max="13321" width="9" style="52"/>
    <col min="13322" max="13322" width="11.5" style="52" customWidth="1"/>
    <col min="13323" max="13323" width="13.5" style="52" bestFit="1" customWidth="1"/>
    <col min="13324" max="13324" width="41" style="52" customWidth="1"/>
    <col min="13325" max="13325" width="11.625" style="52" customWidth="1"/>
    <col min="13326" max="13326" width="14.5" style="52" customWidth="1"/>
    <col min="13327" max="13327" width="8.375" style="52" customWidth="1"/>
    <col min="13328" max="13328" width="12.5" style="52" customWidth="1"/>
    <col min="13329" max="13334" width="0" style="52" hidden="1" customWidth="1"/>
    <col min="13335" max="13338" width="9.125" style="52" customWidth="1"/>
    <col min="13339" max="13339" width="11" style="52" bestFit="1" customWidth="1"/>
    <col min="13340" max="13564" width="9" style="52"/>
    <col min="13565" max="13565" width="10.375" style="52" bestFit="1" customWidth="1"/>
    <col min="13566" max="13576" width="0" style="52" hidden="1" customWidth="1"/>
    <col min="13577" max="13577" width="9" style="52"/>
    <col min="13578" max="13578" width="11.5" style="52" customWidth="1"/>
    <col min="13579" max="13579" width="13.5" style="52" bestFit="1" customWidth="1"/>
    <col min="13580" max="13580" width="41" style="52" customWidth="1"/>
    <col min="13581" max="13581" width="11.625" style="52" customWidth="1"/>
    <col min="13582" max="13582" width="14.5" style="52" customWidth="1"/>
    <col min="13583" max="13583" width="8.375" style="52" customWidth="1"/>
    <col min="13584" max="13584" width="12.5" style="52" customWidth="1"/>
    <col min="13585" max="13590" width="0" style="52" hidden="1" customWidth="1"/>
    <col min="13591" max="13594" width="9.125" style="52" customWidth="1"/>
    <col min="13595" max="13595" width="11" style="52" bestFit="1" customWidth="1"/>
    <col min="13596" max="13820" width="9" style="52"/>
    <col min="13821" max="13821" width="10.375" style="52" bestFit="1" customWidth="1"/>
    <col min="13822" max="13832" width="0" style="52" hidden="1" customWidth="1"/>
    <col min="13833" max="13833" width="9" style="52"/>
    <col min="13834" max="13834" width="11.5" style="52" customWidth="1"/>
    <col min="13835" max="13835" width="13.5" style="52" bestFit="1" customWidth="1"/>
    <col min="13836" max="13836" width="41" style="52" customWidth="1"/>
    <col min="13837" max="13837" width="11.625" style="52" customWidth="1"/>
    <col min="13838" max="13838" width="14.5" style="52" customWidth="1"/>
    <col min="13839" max="13839" width="8.375" style="52" customWidth="1"/>
    <col min="13840" max="13840" width="12.5" style="52" customWidth="1"/>
    <col min="13841" max="13846" width="0" style="52" hidden="1" customWidth="1"/>
    <col min="13847" max="13850" width="9.125" style="52" customWidth="1"/>
    <col min="13851" max="13851" width="11" style="52" bestFit="1" customWidth="1"/>
    <col min="13852" max="14076" width="9" style="52"/>
    <col min="14077" max="14077" width="10.375" style="52" bestFit="1" customWidth="1"/>
    <col min="14078" max="14088" width="0" style="52" hidden="1" customWidth="1"/>
    <col min="14089" max="14089" width="9" style="52"/>
    <col min="14090" max="14090" width="11.5" style="52" customWidth="1"/>
    <col min="14091" max="14091" width="13.5" style="52" bestFit="1" customWidth="1"/>
    <col min="14092" max="14092" width="41" style="52" customWidth="1"/>
    <col min="14093" max="14093" width="11.625" style="52" customWidth="1"/>
    <col min="14094" max="14094" width="14.5" style="52" customWidth="1"/>
    <col min="14095" max="14095" width="8.375" style="52" customWidth="1"/>
    <col min="14096" max="14096" width="12.5" style="52" customWidth="1"/>
    <col min="14097" max="14102" width="0" style="52" hidden="1" customWidth="1"/>
    <col min="14103" max="14106" width="9.125" style="52" customWidth="1"/>
    <col min="14107" max="14107" width="11" style="52" bestFit="1" customWidth="1"/>
    <col min="14108" max="14332" width="9" style="52"/>
    <col min="14333" max="14333" width="10.375" style="52" bestFit="1" customWidth="1"/>
    <col min="14334" max="14344" width="0" style="52" hidden="1" customWidth="1"/>
    <col min="14345" max="14345" width="9" style="52"/>
    <col min="14346" max="14346" width="11.5" style="52" customWidth="1"/>
    <col min="14347" max="14347" width="13.5" style="52" bestFit="1" customWidth="1"/>
    <col min="14348" max="14348" width="41" style="52" customWidth="1"/>
    <col min="14349" max="14349" width="11.625" style="52" customWidth="1"/>
    <col min="14350" max="14350" width="14.5" style="52" customWidth="1"/>
    <col min="14351" max="14351" width="8.375" style="52" customWidth="1"/>
    <col min="14352" max="14352" width="12.5" style="52" customWidth="1"/>
    <col min="14353" max="14358" width="0" style="52" hidden="1" customWidth="1"/>
    <col min="14359" max="14362" width="9.125" style="52" customWidth="1"/>
    <col min="14363" max="14363" width="11" style="52" bestFit="1" customWidth="1"/>
    <col min="14364" max="14588" width="9" style="52"/>
    <col min="14589" max="14589" width="10.375" style="52" bestFit="1" customWidth="1"/>
    <col min="14590" max="14600" width="0" style="52" hidden="1" customWidth="1"/>
    <col min="14601" max="14601" width="9" style="52"/>
    <col min="14602" max="14602" width="11.5" style="52" customWidth="1"/>
    <col min="14603" max="14603" width="13.5" style="52" bestFit="1" customWidth="1"/>
    <col min="14604" max="14604" width="41" style="52" customWidth="1"/>
    <col min="14605" max="14605" width="11.625" style="52" customWidth="1"/>
    <col min="14606" max="14606" width="14.5" style="52" customWidth="1"/>
    <col min="14607" max="14607" width="8.375" style="52" customWidth="1"/>
    <col min="14608" max="14608" width="12.5" style="52" customWidth="1"/>
    <col min="14609" max="14614" width="0" style="52" hidden="1" customWidth="1"/>
    <col min="14615" max="14618" width="9.125" style="52" customWidth="1"/>
    <col min="14619" max="14619" width="11" style="52" bestFit="1" customWidth="1"/>
    <col min="14620" max="14844" width="9" style="52"/>
    <col min="14845" max="14845" width="10.375" style="52" bestFit="1" customWidth="1"/>
    <col min="14846" max="14856" width="0" style="52" hidden="1" customWidth="1"/>
    <col min="14857" max="14857" width="9" style="52"/>
    <col min="14858" max="14858" width="11.5" style="52" customWidth="1"/>
    <col min="14859" max="14859" width="13.5" style="52" bestFit="1" customWidth="1"/>
    <col min="14860" max="14860" width="41" style="52" customWidth="1"/>
    <col min="14861" max="14861" width="11.625" style="52" customWidth="1"/>
    <col min="14862" max="14862" width="14.5" style="52" customWidth="1"/>
    <col min="14863" max="14863" width="8.375" style="52" customWidth="1"/>
    <col min="14864" max="14864" width="12.5" style="52" customWidth="1"/>
    <col min="14865" max="14870" width="0" style="52" hidden="1" customWidth="1"/>
    <col min="14871" max="14874" width="9.125" style="52" customWidth="1"/>
    <col min="14875" max="14875" width="11" style="52" bestFit="1" customWidth="1"/>
    <col min="14876" max="15100" width="9" style="52"/>
    <col min="15101" max="15101" width="10.375" style="52" bestFit="1" customWidth="1"/>
    <col min="15102" max="15112" width="0" style="52" hidden="1" customWidth="1"/>
    <col min="15113" max="15113" width="9" style="52"/>
    <col min="15114" max="15114" width="11.5" style="52" customWidth="1"/>
    <col min="15115" max="15115" width="13.5" style="52" bestFit="1" customWidth="1"/>
    <col min="15116" max="15116" width="41" style="52" customWidth="1"/>
    <col min="15117" max="15117" width="11.625" style="52" customWidth="1"/>
    <col min="15118" max="15118" width="14.5" style="52" customWidth="1"/>
    <col min="15119" max="15119" width="8.375" style="52" customWidth="1"/>
    <col min="15120" max="15120" width="12.5" style="52" customWidth="1"/>
    <col min="15121" max="15126" width="0" style="52" hidden="1" customWidth="1"/>
    <col min="15127" max="15130" width="9.125" style="52" customWidth="1"/>
    <col min="15131" max="15131" width="11" style="52" bestFit="1" customWidth="1"/>
    <col min="15132" max="15356" width="9" style="52"/>
    <col min="15357" max="15357" width="10.375" style="52" bestFit="1" customWidth="1"/>
    <col min="15358" max="15368" width="0" style="52" hidden="1" customWidth="1"/>
    <col min="15369" max="15369" width="9" style="52"/>
    <col min="15370" max="15370" width="11.5" style="52" customWidth="1"/>
    <col min="15371" max="15371" width="13.5" style="52" bestFit="1" customWidth="1"/>
    <col min="15372" max="15372" width="41" style="52" customWidth="1"/>
    <col min="15373" max="15373" width="11.625" style="52" customWidth="1"/>
    <col min="15374" max="15374" width="14.5" style="52" customWidth="1"/>
    <col min="15375" max="15375" width="8.375" style="52" customWidth="1"/>
    <col min="15376" max="15376" width="12.5" style="52" customWidth="1"/>
    <col min="15377" max="15382" width="0" style="52" hidden="1" customWidth="1"/>
    <col min="15383" max="15386" width="9.125" style="52" customWidth="1"/>
    <col min="15387" max="15387" width="11" style="52" bestFit="1" customWidth="1"/>
    <col min="15388" max="15612" width="9" style="52"/>
    <col min="15613" max="15613" width="10.375" style="52" bestFit="1" customWidth="1"/>
    <col min="15614" max="15624" width="0" style="52" hidden="1" customWidth="1"/>
    <col min="15625" max="15625" width="9" style="52"/>
    <col min="15626" max="15626" width="11.5" style="52" customWidth="1"/>
    <col min="15627" max="15627" width="13.5" style="52" bestFit="1" customWidth="1"/>
    <col min="15628" max="15628" width="41" style="52" customWidth="1"/>
    <col min="15629" max="15629" width="11.625" style="52" customWidth="1"/>
    <col min="15630" max="15630" width="14.5" style="52" customWidth="1"/>
    <col min="15631" max="15631" width="8.375" style="52" customWidth="1"/>
    <col min="15632" max="15632" width="12.5" style="52" customWidth="1"/>
    <col min="15633" max="15638" width="0" style="52" hidden="1" customWidth="1"/>
    <col min="15639" max="15642" width="9.125" style="52" customWidth="1"/>
    <col min="15643" max="15643" width="11" style="52" bestFit="1" customWidth="1"/>
    <col min="15644" max="15868" width="9" style="52"/>
    <col min="15869" max="15869" width="10.375" style="52" bestFit="1" customWidth="1"/>
    <col min="15870" max="15880" width="0" style="52" hidden="1" customWidth="1"/>
    <col min="15881" max="15881" width="9" style="52"/>
    <col min="15882" max="15882" width="11.5" style="52" customWidth="1"/>
    <col min="15883" max="15883" width="13.5" style="52" bestFit="1" customWidth="1"/>
    <col min="15884" max="15884" width="41" style="52" customWidth="1"/>
    <col min="15885" max="15885" width="11.625" style="52" customWidth="1"/>
    <col min="15886" max="15886" width="14.5" style="52" customWidth="1"/>
    <col min="15887" max="15887" width="8.375" style="52" customWidth="1"/>
    <col min="15888" max="15888" width="12.5" style="52" customWidth="1"/>
    <col min="15889" max="15894" width="0" style="52" hidden="1" customWidth="1"/>
    <col min="15895" max="15898" width="9.125" style="52" customWidth="1"/>
    <col min="15899" max="15899" width="11" style="52" bestFit="1" customWidth="1"/>
    <col min="15900" max="16124" width="9" style="52"/>
    <col min="16125" max="16125" width="10.375" style="52" bestFit="1" customWidth="1"/>
    <col min="16126" max="16136" width="0" style="52" hidden="1" customWidth="1"/>
    <col min="16137" max="16137" width="9" style="52"/>
    <col min="16138" max="16138" width="11.5" style="52" customWidth="1"/>
    <col min="16139" max="16139" width="13.5" style="52" bestFit="1" customWidth="1"/>
    <col min="16140" max="16140" width="41" style="52" customWidth="1"/>
    <col min="16141" max="16141" width="11.625" style="52" customWidth="1"/>
    <col min="16142" max="16142" width="14.5" style="52" customWidth="1"/>
    <col min="16143" max="16143" width="8.375" style="52" customWidth="1"/>
    <col min="16144" max="16144" width="12.5" style="52" customWidth="1"/>
    <col min="16145" max="16150" width="0" style="52" hidden="1" customWidth="1"/>
    <col min="16151" max="16154" width="9.125" style="52" customWidth="1"/>
    <col min="16155" max="16155" width="11" style="52" bestFit="1" customWidth="1"/>
    <col min="16156" max="16384" width="9" style="52"/>
  </cols>
  <sheetData>
    <row r="1" spans="1:27" s="132" customFormat="1" ht="13.5" thickTop="1">
      <c r="A1" s="504" t="s">
        <v>8064</v>
      </c>
      <c r="B1" s="505" t="s">
        <v>8065</v>
      </c>
      <c r="C1" s="506" t="s">
        <v>8066</v>
      </c>
      <c r="D1" s="506" t="s">
        <v>8067</v>
      </c>
      <c r="E1" s="506" t="s">
        <v>8068</v>
      </c>
      <c r="F1" s="506" t="s">
        <v>8069</v>
      </c>
      <c r="G1" s="506" t="s">
        <v>8070</v>
      </c>
      <c r="H1" s="507" t="s">
        <v>8071</v>
      </c>
      <c r="I1" s="505"/>
      <c r="J1" s="507" t="s">
        <v>8072</v>
      </c>
      <c r="K1" s="508" t="s">
        <v>8073</v>
      </c>
      <c r="L1" s="505" t="s">
        <v>8074</v>
      </c>
      <c r="M1" s="501"/>
      <c r="N1" s="1022" t="s">
        <v>8916</v>
      </c>
      <c r="O1" s="1033"/>
      <c r="P1" s="1034" t="s">
        <v>8917</v>
      </c>
      <c r="Q1" s="219" t="s">
        <v>8937</v>
      </c>
      <c r="R1" s="219" t="s">
        <v>8929</v>
      </c>
      <c r="S1" s="219" t="s">
        <v>8930</v>
      </c>
      <c r="T1" s="219" t="s">
        <v>8918</v>
      </c>
      <c r="U1" s="219" t="s">
        <v>8919</v>
      </c>
      <c r="V1" s="219" t="s">
        <v>9913</v>
      </c>
      <c r="W1" s="219" t="s">
        <v>8920</v>
      </c>
      <c r="X1" s="219" t="s">
        <v>8921</v>
      </c>
      <c r="Y1" s="219" t="s">
        <v>8931</v>
      </c>
      <c r="Z1" s="219" t="s">
        <v>8932</v>
      </c>
      <c r="AA1" s="677" t="s">
        <v>8933</v>
      </c>
    </row>
    <row r="2" spans="1:27" s="132" customFormat="1" ht="13.5" thickBot="1">
      <c r="A2" s="53"/>
      <c r="B2" s="54"/>
      <c r="C2" s="98" t="s">
        <v>8075</v>
      </c>
      <c r="D2" s="98"/>
      <c r="E2" s="98" t="s">
        <v>8076</v>
      </c>
      <c r="F2" s="98" t="s">
        <v>8076</v>
      </c>
      <c r="G2" s="98" t="s">
        <v>8077</v>
      </c>
      <c r="H2" s="509" t="s">
        <v>8078</v>
      </c>
      <c r="I2" s="54" t="s">
        <v>8079</v>
      </c>
      <c r="J2" s="509" t="s">
        <v>8080</v>
      </c>
      <c r="K2" s="510" t="s">
        <v>8080</v>
      </c>
      <c r="L2" s="54" t="s">
        <v>8081</v>
      </c>
      <c r="M2" s="501"/>
      <c r="N2" s="1040"/>
      <c r="O2" s="1028"/>
      <c r="P2" s="1027"/>
      <c r="Q2" s="98"/>
      <c r="R2" s="98" t="s">
        <v>8075</v>
      </c>
      <c r="S2" s="98" t="s">
        <v>8082</v>
      </c>
      <c r="T2" s="98"/>
      <c r="U2" s="98"/>
      <c r="V2" s="98"/>
      <c r="W2" s="98" t="s">
        <v>8076</v>
      </c>
      <c r="X2" s="98" t="s">
        <v>8076</v>
      </c>
      <c r="Y2" s="678" t="s">
        <v>8083</v>
      </c>
      <c r="Z2" s="678" t="s">
        <v>8908</v>
      </c>
      <c r="AA2" s="679" t="s">
        <v>8872</v>
      </c>
    </row>
    <row r="3" spans="1:27" ht="13.5" customHeight="1" thickBot="1">
      <c r="A3" s="114"/>
      <c r="B3" s="115"/>
      <c r="C3" s="116"/>
      <c r="D3" s="105"/>
      <c r="E3" s="106"/>
      <c r="F3" s="107"/>
      <c r="G3" s="117"/>
      <c r="H3" s="118"/>
      <c r="I3" s="119"/>
      <c r="J3" s="120"/>
      <c r="K3" s="121"/>
      <c r="L3" s="122"/>
      <c r="N3" s="1055" t="s">
        <v>684</v>
      </c>
      <c r="O3" s="1017"/>
      <c r="P3" s="849" t="s">
        <v>6589</v>
      </c>
      <c r="Q3" s="393" t="s">
        <v>700</v>
      </c>
      <c r="R3" s="393">
        <v>136</v>
      </c>
      <c r="S3" s="409">
        <f>VLOOKUP($N3,ControlValve!$F$5:$Z$150,2,0)</f>
        <v>136</v>
      </c>
      <c r="T3" s="394" t="s">
        <v>696</v>
      </c>
      <c r="U3" s="409" t="str">
        <f>IF(VLOOKUP($P3,ValveActuator!$F$5:$N$575,6,0)=1,"Fail Close","Fail Open")</f>
        <v>Fail Close</v>
      </c>
      <c r="V3" s="409" t="str">
        <f>IF(VLOOKUP($P3,ValveActuator!$F$5:$P$575,10,0)=TRUE,"Yes","None")</f>
        <v>None</v>
      </c>
      <c r="W3" s="409">
        <f>VLOOKUP($P3,ValveActuator!$F$5:$N$562,4,0)</f>
        <v>3</v>
      </c>
      <c r="X3" s="409">
        <f>VLOOKUP($P3,ValveActuator!$F$5:$N$562,2,0)</f>
        <v>3</v>
      </c>
      <c r="Y3" s="655">
        <f>VLOOKUP($N3,ControlValve!$F$5:$V$150,16,0)</f>
        <v>30.351406972878099</v>
      </c>
      <c r="Z3" s="655">
        <f>VLOOKUP($N3,ControlValve!$F$5:$Z$150,18,0)*3600</f>
        <v>28.824579566561624</v>
      </c>
      <c r="AA3" s="656">
        <f>VLOOKUP($N3,ControlValve!$F$5:$Z$150,20,0)/100000</f>
        <v>8.278310035327209</v>
      </c>
    </row>
    <row r="4" spans="1:27" ht="13.5" customHeight="1" thickBot="1">
      <c r="A4" s="114"/>
      <c r="B4" s="115"/>
      <c r="C4" s="116"/>
      <c r="D4" s="105"/>
      <c r="E4" s="106"/>
      <c r="F4" s="107"/>
      <c r="G4" s="117"/>
      <c r="H4" s="118"/>
      <c r="I4" s="119"/>
      <c r="J4" s="120"/>
      <c r="K4" s="121"/>
      <c r="L4" s="122"/>
      <c r="N4" s="1055" t="s">
        <v>686</v>
      </c>
      <c r="O4" s="1017"/>
      <c r="P4" s="849" t="s">
        <v>6056</v>
      </c>
      <c r="Q4" s="393" t="s">
        <v>702</v>
      </c>
      <c r="R4" s="393">
        <v>394</v>
      </c>
      <c r="S4" s="409">
        <f>VLOOKUP($N4,ControlValve!$F$5:$Z$150,2,0)</f>
        <v>394</v>
      </c>
      <c r="T4" s="394" t="s">
        <v>701</v>
      </c>
      <c r="U4" s="409" t="str">
        <f>IF(VLOOKUP($P4,ValveActuator!$F$5:$N$575,6,0)=1,"Fail Close","Fail Open")</f>
        <v>Fail Close</v>
      </c>
      <c r="V4" s="779" t="str">
        <f>IF(VLOOKUP($P4,ValveActuator!$F$5:$P$575,10,0)=TRUE,"Yes","None")</f>
        <v>None</v>
      </c>
      <c r="W4" s="409">
        <f>VLOOKUP($P4,ValveActuator!$F$5:$N$562,4,0)</f>
        <v>3</v>
      </c>
      <c r="X4" s="409">
        <f>VLOOKUP($P4,ValveActuator!$F$5:$N$562,2,0)</f>
        <v>3</v>
      </c>
      <c r="Y4" s="655">
        <f>VLOOKUP($N4,ControlValve!$F$5:$V$150,16,0)</f>
        <v>55.496954149278601</v>
      </c>
      <c r="Z4" s="655">
        <f>VLOOKUP($N4,ControlValve!$F$5:$Z$150,18,0)*3600</f>
        <v>156.50202005984087</v>
      </c>
      <c r="AA4" s="656">
        <f>VLOOKUP($N4,ControlValve!$F$5:$Z$150,20,0)/100000</f>
        <v>4.7340602228472601</v>
      </c>
    </row>
    <row r="5" spans="1:27" ht="13.5" customHeight="1" thickBot="1">
      <c r="A5" s="114"/>
      <c r="B5" s="115"/>
      <c r="C5" s="116"/>
      <c r="D5" s="105"/>
      <c r="E5" s="106"/>
      <c r="F5" s="107"/>
      <c r="G5" s="117"/>
      <c r="H5" s="118"/>
      <c r="I5" s="119"/>
      <c r="J5" s="120"/>
      <c r="K5" s="121"/>
      <c r="L5" s="122"/>
      <c r="N5" s="1055" t="s">
        <v>8207</v>
      </c>
      <c r="O5" s="1017"/>
      <c r="P5" s="849" t="s">
        <v>8208</v>
      </c>
      <c r="Q5" s="393" t="s">
        <v>709</v>
      </c>
      <c r="R5" s="393">
        <v>539</v>
      </c>
      <c r="S5" s="409">
        <f>VLOOKUP($N5,ControlValve!$F$5:$Z$150,2,0)</f>
        <v>539</v>
      </c>
      <c r="T5" s="394" t="s">
        <v>708</v>
      </c>
      <c r="U5" s="409" t="str">
        <f>IF(VLOOKUP($P5,ValveActuator!$F$5:$N$575,6,0)=1,"Fail Close","Fail Open")</f>
        <v>Fail Close</v>
      </c>
      <c r="V5" s="779" t="str">
        <f>IF(VLOOKUP($P5,ValveActuator!$F$5:$P$575,10,0)=TRUE,"Yes","None")</f>
        <v>None</v>
      </c>
      <c r="W5" s="409">
        <f>VLOOKUP($P5,ValveActuator!$F$5:$N$562,4,0)</f>
        <v>3</v>
      </c>
      <c r="X5" s="409">
        <f>VLOOKUP($P5,ValveActuator!$F$5:$N$562,2,0)</f>
        <v>3</v>
      </c>
      <c r="Y5" s="655">
        <f>VLOOKUP($N5,ControlValve!$F$5:$V$150,16,0)</f>
        <v>0</v>
      </c>
      <c r="Z5" s="655">
        <f>VLOOKUP($N5,ControlValve!$F$5:$Z$150,18,0)*3600</f>
        <v>0</v>
      </c>
      <c r="AA5" s="656">
        <f>VLOOKUP($N5,ControlValve!$F$5:$Z$150,20,0)/100000</f>
        <v>4.5317072116320099E-2</v>
      </c>
    </row>
    <row r="6" spans="1:27" ht="13.5" customHeight="1" thickBot="1">
      <c r="A6" s="114"/>
      <c r="B6" s="115"/>
      <c r="C6" s="116"/>
      <c r="D6" s="105"/>
      <c r="E6" s="106"/>
      <c r="F6" s="107"/>
      <c r="G6" s="117"/>
      <c r="H6" s="118"/>
      <c r="I6" s="119"/>
      <c r="J6" s="120"/>
      <c r="K6" s="121"/>
      <c r="L6" s="122"/>
      <c r="N6" s="1055" t="s">
        <v>710</v>
      </c>
      <c r="O6" s="1017"/>
      <c r="P6" s="500" t="s">
        <v>8063</v>
      </c>
      <c r="Q6" s="393" t="s">
        <v>712</v>
      </c>
      <c r="R6" s="393">
        <v>43.7</v>
      </c>
      <c r="S6" s="409">
        <f>VLOOKUP($N6,ControlValve!$F$5:$Z$150,2,0)</f>
        <v>43.7</v>
      </c>
      <c r="T6" s="161" t="s">
        <v>711</v>
      </c>
      <c r="U6" s="409" t="str">
        <f>IF(VLOOKUP($P6,ValveActuator!$F$5:$N$575,6,0)=1,"Fail Close","Fail Open")</f>
        <v>Fail Close</v>
      </c>
      <c r="V6" s="779" t="str">
        <f>IF(VLOOKUP($P6,ValveActuator!$F$5:$P$575,10,0)=TRUE,"Yes","None")</f>
        <v>None</v>
      </c>
      <c r="W6" s="409">
        <f>VLOOKUP($P6,ValveActuator!$F$5:$N$562,4,0)</f>
        <v>3</v>
      </c>
      <c r="X6" s="409">
        <f>VLOOKUP($P6,ValveActuator!$F$5:$N$562,2,0)</f>
        <v>3</v>
      </c>
      <c r="Y6" s="655">
        <f>VLOOKUP($N6,ControlValve!$F$5:$V$150,16,0)</f>
        <v>64.952556644542994</v>
      </c>
      <c r="Z6" s="655">
        <f>VLOOKUP($N6,ControlValve!$F$5:$Z$150,18,0)*3600</f>
        <v>29.511926821696214</v>
      </c>
      <c r="AA6" s="656">
        <f>VLOOKUP($N6,ControlValve!$F$5:$Z$150,20,0)/100000</f>
        <v>10.664611385975</v>
      </c>
    </row>
    <row r="7" spans="1:27" ht="13.5" customHeight="1" thickBot="1">
      <c r="A7" s="123"/>
      <c r="B7" s="124"/>
      <c r="C7" s="125"/>
      <c r="D7" s="105"/>
      <c r="E7" s="106"/>
      <c r="F7" s="107"/>
      <c r="G7" s="126"/>
      <c r="H7" s="127"/>
      <c r="I7" s="128"/>
      <c r="J7" s="129"/>
      <c r="K7" s="130"/>
      <c r="L7" s="131"/>
      <c r="M7" s="501"/>
      <c r="N7" s="1055" t="s">
        <v>713</v>
      </c>
      <c r="O7" s="1017"/>
      <c r="P7" s="500" t="s">
        <v>6547</v>
      </c>
      <c r="Q7" s="393" t="s">
        <v>712</v>
      </c>
      <c r="R7" s="395">
        <v>43.7</v>
      </c>
      <c r="S7" s="409">
        <f>VLOOKUP($N7,ControlValve!$F$5:$Z$150,2,0)</f>
        <v>43.7</v>
      </c>
      <c r="T7" s="161" t="s">
        <v>714</v>
      </c>
      <c r="U7" s="409" t="str">
        <f>IF(VLOOKUP($P7,ValveActuator!$F$5:$N$575,6,0)=1,"Fail Close","Fail Open")</f>
        <v>Fail Close</v>
      </c>
      <c r="V7" s="779" t="str">
        <f>IF(VLOOKUP($P7,ValveActuator!$F$5:$P$575,10,0)=TRUE,"Yes","None")</f>
        <v>None</v>
      </c>
      <c r="W7" s="409">
        <f>VLOOKUP($P7,ValveActuator!$F$5:$N$562,4,0)</f>
        <v>3</v>
      </c>
      <c r="X7" s="409">
        <f>VLOOKUP($P7,ValveActuator!$F$5:$N$562,2,0)</f>
        <v>3</v>
      </c>
      <c r="Y7" s="655">
        <f>VLOOKUP($N7,ControlValve!$F$5:$V$150,16,0)</f>
        <v>64.952509984825696</v>
      </c>
      <c r="Z7" s="655">
        <f>VLOOKUP($N7,ControlValve!$F$5:$Z$150,18,0)*3600</f>
        <v>29.51192739743777</v>
      </c>
      <c r="AA7" s="656">
        <f>VLOOKUP($N7,ControlValve!$F$5:$Z$150,20,0)/100000</f>
        <v>10.664651136359099</v>
      </c>
    </row>
    <row r="8" spans="1:27" ht="13.5" customHeight="1" thickBot="1">
      <c r="A8" s="114"/>
      <c r="B8" s="115"/>
      <c r="C8" s="116"/>
      <c r="D8" s="105"/>
      <c r="E8" s="106"/>
      <c r="F8" s="107"/>
      <c r="G8" s="117"/>
      <c r="H8" s="118"/>
      <c r="I8" s="119"/>
      <c r="J8" s="120"/>
      <c r="K8" s="121"/>
      <c r="L8" s="122"/>
      <c r="N8" s="1023" t="s">
        <v>715</v>
      </c>
      <c r="O8" s="1017"/>
      <c r="P8" s="500" t="s">
        <v>6569</v>
      </c>
      <c r="Q8" s="393" t="s">
        <v>717</v>
      </c>
      <c r="R8" s="393">
        <v>70.7</v>
      </c>
      <c r="S8" s="409">
        <f>VLOOKUP($N8,ControlValve!$F$5:$Z$150,2,0)</f>
        <v>70.7</v>
      </c>
      <c r="T8" s="161" t="s">
        <v>716</v>
      </c>
      <c r="U8" s="409" t="str">
        <f>IF(VLOOKUP($P8,ValveActuator!$F$5:$N$575,6,0)=1,"Fail Close","Fail Open")</f>
        <v>Fail Close</v>
      </c>
      <c r="V8" s="779" t="str">
        <f>IF(VLOOKUP($P8,ValveActuator!$F$5:$P$575,10,0)=TRUE,"Yes","None")</f>
        <v>None</v>
      </c>
      <c r="W8" s="409">
        <f>VLOOKUP($P8,ValveActuator!$F$5:$N$562,4,0)</f>
        <v>3</v>
      </c>
      <c r="X8" s="409">
        <f>VLOOKUP($P8,ValveActuator!$F$5:$N$562,2,0)</f>
        <v>3</v>
      </c>
      <c r="Y8" s="655">
        <f>VLOOKUP($N8,ControlValve!$F$5:$V$150,16,0)</f>
        <v>68.263726323012307</v>
      </c>
      <c r="Z8" s="655">
        <f>VLOOKUP($N8,ControlValve!$F$5:$Z$150,18,0)*3600</f>
        <v>58.713194256922435</v>
      </c>
      <c r="AA8" s="656">
        <f>VLOOKUP($N8,ControlValve!$F$5:$Z$150,20,0)/100000</f>
        <v>12.0174222536271</v>
      </c>
    </row>
    <row r="9" spans="1:27" ht="13.5" customHeight="1" thickBot="1">
      <c r="A9" s="114"/>
      <c r="B9" s="115"/>
      <c r="C9" s="116"/>
      <c r="D9" s="105"/>
      <c r="E9" s="106"/>
      <c r="F9" s="107"/>
      <c r="G9" s="117"/>
      <c r="H9" s="118"/>
      <c r="I9" s="119"/>
      <c r="J9" s="120"/>
      <c r="K9" s="121"/>
      <c r="L9" s="122"/>
      <c r="N9" s="1055" t="s">
        <v>9173</v>
      </c>
      <c r="O9" s="1017"/>
      <c r="P9" s="500" t="s">
        <v>9174</v>
      </c>
      <c r="Q9" s="971" t="s">
        <v>10818</v>
      </c>
      <c r="R9" s="393">
        <v>136</v>
      </c>
      <c r="S9" s="409">
        <f>VLOOKUP($N9,ControlValve!$F$5:$Z$150,2,0)</f>
        <v>136</v>
      </c>
      <c r="T9" s="161" t="s">
        <v>718</v>
      </c>
      <c r="U9" s="409" t="str">
        <f>IF(VLOOKUP($P9,ValveActuator!$F$5:$N$575,6,0)=1,"Fail Close","Fail Open")</f>
        <v>Fail Close</v>
      </c>
      <c r="V9" s="779" t="str">
        <f>IF(VLOOKUP($P9,ValveActuator!$F$5:$P$575,10,0)=TRUE,"Yes","None")</f>
        <v>None</v>
      </c>
      <c r="W9" s="409">
        <f>VLOOKUP($P9,ValveActuator!$F$5:$N$562,4,0)</f>
        <v>3</v>
      </c>
      <c r="X9" s="409">
        <f>VLOOKUP($P9,ValveActuator!$F$5:$N$562,2,0)</f>
        <v>3</v>
      </c>
      <c r="Y9" s="655">
        <f>VLOOKUP($N9,ControlValve!$F$5:$V$150,16,0)</f>
        <v>0</v>
      </c>
      <c r="Z9" s="655">
        <f>VLOOKUP($N9,ControlValve!$F$5:$Z$150,18,0)*3600</f>
        <v>0</v>
      </c>
      <c r="AA9" s="656">
        <f>VLOOKUP($N9,ControlValve!$F$5:$Z$150,20,0)/100000</f>
        <v>1.10679585361363</v>
      </c>
    </row>
    <row r="10" spans="1:27" ht="13.5" customHeight="1" thickBot="1">
      <c r="A10" s="114"/>
      <c r="B10" s="115"/>
      <c r="C10" s="116"/>
      <c r="D10" s="105"/>
      <c r="E10" s="106"/>
      <c r="F10" s="107"/>
      <c r="G10" s="117"/>
      <c r="H10" s="118"/>
      <c r="I10" s="119"/>
      <c r="J10" s="120"/>
      <c r="K10" s="121"/>
      <c r="L10" s="122"/>
      <c r="N10" s="1055" t="s">
        <v>7977</v>
      </c>
      <c r="O10" s="1037"/>
      <c r="P10" s="500" t="s">
        <v>7852</v>
      </c>
      <c r="Q10" s="1013" t="s">
        <v>10819</v>
      </c>
      <c r="R10" s="393">
        <v>14.6</v>
      </c>
      <c r="S10" s="409">
        <f>VLOOKUP($N10,ControlValve!$F$5:$Z$150,2,0)</f>
        <v>14.6</v>
      </c>
      <c r="T10" s="161" t="s">
        <v>720</v>
      </c>
      <c r="U10" s="409" t="str">
        <f>IF(VLOOKUP($P10,ValveActuator!$F$5:$N$575,6,0)=1,"Fail Close","Fail Open")</f>
        <v>Fail Close</v>
      </c>
      <c r="V10" s="779" t="str">
        <f>IF(VLOOKUP($P10,ValveActuator!$F$5:$P$575,10,0)=TRUE,"Yes","None")</f>
        <v>None</v>
      </c>
      <c r="W10" s="409">
        <f>VLOOKUP($P10,ValveActuator!$F$5:$N$562,4,0)</f>
        <v>3</v>
      </c>
      <c r="X10" s="409">
        <f>VLOOKUP($P10,ValveActuator!$F$5:$N$562,2,0)</f>
        <v>3</v>
      </c>
      <c r="Y10" s="655">
        <f>VLOOKUP($N10,ControlValve!$F$5:$V$150,16,0)</f>
        <v>96.862697984784702</v>
      </c>
      <c r="Z10" s="655">
        <f>VLOOKUP($N10,ControlValve!$F$5:$Z$150,18,0)*3600</f>
        <v>24.000033477217858</v>
      </c>
      <c r="AA10" s="656">
        <f>VLOOKUP($N10,ControlValve!$F$5:$Z$150,20,0)/100000</f>
        <v>4.5480396216277397</v>
      </c>
    </row>
    <row r="11" spans="1:27" ht="13.5" customHeight="1" thickBot="1">
      <c r="A11" s="114"/>
      <c r="B11" s="115"/>
      <c r="C11" s="116"/>
      <c r="D11" s="105"/>
      <c r="E11" s="106"/>
      <c r="F11" s="107"/>
      <c r="G11" s="117"/>
      <c r="H11" s="118"/>
      <c r="I11" s="119"/>
      <c r="J11" s="120"/>
      <c r="K11" s="121"/>
      <c r="L11" s="122"/>
      <c r="N11" s="1055" t="s">
        <v>721</v>
      </c>
      <c r="O11" s="1037"/>
      <c r="P11" s="500" t="s">
        <v>8034</v>
      </c>
      <c r="Q11" s="1013" t="s">
        <v>10820</v>
      </c>
      <c r="R11" s="393">
        <v>215</v>
      </c>
      <c r="S11" s="409">
        <f>VLOOKUP($N11,ControlValve!$F$5:$Z$150,2,0)</f>
        <v>215</v>
      </c>
      <c r="T11" s="161" t="s">
        <v>722</v>
      </c>
      <c r="U11" s="409" t="str">
        <f>IF(VLOOKUP($P11,ValveActuator!$F$5:$N$575,6,0)=1,"Fail Close","Fail Open")</f>
        <v>Fail Close</v>
      </c>
      <c r="V11" s="779" t="str">
        <f>IF(VLOOKUP($P11,ValveActuator!$F$5:$P$575,10,0)=TRUE,"Yes","None")</f>
        <v>None</v>
      </c>
      <c r="W11" s="409">
        <f>VLOOKUP($P11,ValveActuator!$F$5:$N$562,4,0)</f>
        <v>3</v>
      </c>
      <c r="X11" s="409">
        <f>VLOOKUP($P11,ValveActuator!$F$5:$N$562,2,0)</f>
        <v>3</v>
      </c>
      <c r="Y11" s="655">
        <f>VLOOKUP($N11,ControlValve!$F$5:$V$150,16,0)</f>
        <v>26.2726482369394</v>
      </c>
      <c r="Z11" s="655">
        <f>VLOOKUP($N11,ControlValve!$F$5:$Z$150,18,0)*3600</f>
        <v>208.68306955988328</v>
      </c>
      <c r="AA11" s="656">
        <f>VLOOKUP($N11,ControlValve!$F$5:$Z$150,20,0)/100000</f>
        <v>19.237261105488002</v>
      </c>
    </row>
    <row r="12" spans="1:27" ht="13.5" customHeight="1" thickBot="1">
      <c r="A12" s="114"/>
      <c r="B12" s="115"/>
      <c r="C12" s="116"/>
      <c r="D12" s="105"/>
      <c r="E12" s="106"/>
      <c r="F12" s="107"/>
      <c r="G12" s="117"/>
      <c r="H12" s="118"/>
      <c r="I12" s="119"/>
      <c r="J12" s="120"/>
      <c r="K12" s="121"/>
      <c r="L12" s="122"/>
      <c r="N12" s="1055" t="s">
        <v>9152</v>
      </c>
      <c r="O12" s="1016"/>
      <c r="P12" s="500" t="s">
        <v>9153</v>
      </c>
      <c r="Q12" s="393" t="s">
        <v>727</v>
      </c>
      <c r="R12" s="393">
        <v>85</v>
      </c>
      <c r="S12" s="409">
        <f>VLOOKUP($N12,ControlValve!$F$5:$Z$150,2,0)</f>
        <v>85</v>
      </c>
      <c r="T12" s="161" t="s">
        <v>725</v>
      </c>
      <c r="U12" s="409" t="str">
        <f>IF(VLOOKUP($P12,ValveActuator!$F$5:$N$575,6,0)=1,"Fail Close","Fail Open")</f>
        <v>Fail Close</v>
      </c>
      <c r="V12" s="779" t="str">
        <f>IF(VLOOKUP($P12,ValveActuator!$F$5:$P$575,10,0)=TRUE,"Yes","None")</f>
        <v>Yes</v>
      </c>
      <c r="W12" s="409">
        <f>VLOOKUP($P12,ValveActuator!$F$5:$N$562,4,0)</f>
        <v>3</v>
      </c>
      <c r="X12" s="409">
        <f>VLOOKUP($P12,ValveActuator!$F$5:$N$562,2,0)</f>
        <v>3</v>
      </c>
      <c r="Y12" s="655">
        <f>VLOOKUP($N12,ControlValve!$F$5:$V$150,16,0)</f>
        <v>62.8416444173562</v>
      </c>
      <c r="Z12" s="655">
        <f>VLOOKUP($N12,ControlValve!$F$5:$Z$150,18,0)*3600</f>
        <v>714.36334623728044</v>
      </c>
      <c r="AA12" s="656">
        <f>VLOOKUP($N12,ControlValve!$F$5:$Z$150,20,0)/100000</f>
        <v>0.35083814805548302</v>
      </c>
    </row>
    <row r="13" spans="1:27" ht="13.5" customHeight="1" thickBot="1">
      <c r="A13" s="114"/>
      <c r="B13" s="115"/>
      <c r="C13" s="116"/>
      <c r="D13" s="105"/>
      <c r="E13" s="106"/>
      <c r="F13" s="107"/>
      <c r="G13" s="117"/>
      <c r="H13" s="118"/>
      <c r="I13" s="119"/>
      <c r="J13" s="120"/>
      <c r="K13" s="121"/>
      <c r="L13" s="122"/>
      <c r="N13" s="1060" t="s">
        <v>728</v>
      </c>
      <c r="O13" s="1039" t="s">
        <v>10807</v>
      </c>
      <c r="P13" s="849" t="s">
        <v>6486</v>
      </c>
      <c r="Q13" s="393" t="s">
        <v>730</v>
      </c>
      <c r="R13" s="393">
        <v>850</v>
      </c>
      <c r="S13" s="409">
        <f>VLOOKUP($N13,ControlValve!$F$5:$Z$150,2,0)</f>
        <v>850</v>
      </c>
      <c r="T13" s="161" t="s">
        <v>729</v>
      </c>
      <c r="U13" s="409" t="str">
        <f>IF(VLOOKUP($P13,ValveActuator!$F$5:$N$575,6,0)=1,"Fail Close","Fail Open")</f>
        <v>Fail Close</v>
      </c>
      <c r="V13" s="779" t="str">
        <f>IF(VLOOKUP($P13,ValveActuator!$F$5:$P$575,10,0)=TRUE,"Yes","None")</f>
        <v>None</v>
      </c>
      <c r="W13" s="409">
        <f>VLOOKUP($P13,ValveActuator!$F$5:$N$562,4,0)</f>
        <v>3</v>
      </c>
      <c r="X13" s="409">
        <f>VLOOKUP($P13,ValveActuator!$F$5:$N$562,2,0)</f>
        <v>3</v>
      </c>
      <c r="Y13" s="655">
        <f>VLOOKUP($N13,ControlValve!$F$5:$V$150,16,0)</f>
        <v>80</v>
      </c>
      <c r="Z13" s="655">
        <f>VLOOKUP($N13,ControlValve!$F$5:$Z$150,18,0)*3600</f>
        <v>116.62178178358656</v>
      </c>
      <c r="AA13" s="656">
        <f>VLOOKUP($N13,ControlValve!$F$5:$Z$150,20,0)/100000</f>
        <v>5.2906499417563903E-2</v>
      </c>
    </row>
    <row r="14" spans="1:27" ht="13.5" customHeight="1" thickBot="1">
      <c r="A14" s="114"/>
      <c r="B14" s="115"/>
      <c r="C14" s="116"/>
      <c r="D14" s="105"/>
      <c r="E14" s="106"/>
      <c r="F14" s="107"/>
      <c r="G14" s="117"/>
      <c r="H14" s="118"/>
      <c r="I14" s="119"/>
      <c r="J14" s="120"/>
      <c r="K14" s="121"/>
      <c r="L14" s="122"/>
      <c r="N14" s="1055" t="s">
        <v>731</v>
      </c>
      <c r="O14" s="1039"/>
      <c r="P14" s="849" t="s">
        <v>6485</v>
      </c>
      <c r="Q14" s="393" t="s">
        <v>730</v>
      </c>
      <c r="R14" s="393">
        <v>8</v>
      </c>
      <c r="S14" s="409">
        <f>VLOOKUP($N14,ControlValve!$F$5:$Z$150,2,0)</f>
        <v>8</v>
      </c>
      <c r="T14" s="161" t="s">
        <v>732</v>
      </c>
      <c r="U14" s="409" t="str">
        <f>IF(VLOOKUP($P14,ValveActuator!$F$5:$N$575,6,0)=1,"Fail Close","Fail Open")</f>
        <v>Fail Close</v>
      </c>
      <c r="V14" s="779" t="str">
        <f>IF(VLOOKUP($P14,ValveActuator!$F$5:$P$575,10,0)=TRUE,"Yes","None")</f>
        <v>Yes</v>
      </c>
      <c r="W14" s="409">
        <f>VLOOKUP($P14,ValveActuator!$F$5:$N$562,4,0)</f>
        <v>3</v>
      </c>
      <c r="X14" s="409">
        <f>VLOOKUP($P14,ValveActuator!$F$5:$N$562,2,0)</f>
        <v>3</v>
      </c>
      <c r="Y14" s="655">
        <f>VLOOKUP($N14,ControlValve!$F$5:$V$150,16,0)</f>
        <v>41.2609791520184</v>
      </c>
      <c r="Z14" s="655">
        <f>VLOOKUP($N14,ControlValve!$F$5:$Z$150,18,0)*3600</f>
        <v>5.1000460868883959</v>
      </c>
      <c r="AA14" s="656">
        <f>VLOOKUP($N14,ControlValve!$F$5:$Z$150,20,0)/100000</f>
        <v>60.310533748210602</v>
      </c>
    </row>
    <row r="15" spans="1:27" ht="13.5" customHeight="1" thickBot="1">
      <c r="A15" s="114"/>
      <c r="B15" s="115"/>
      <c r="C15" s="116"/>
      <c r="D15" s="105"/>
      <c r="E15" s="106"/>
      <c r="F15" s="107"/>
      <c r="G15" s="117"/>
      <c r="H15" s="118"/>
      <c r="I15" s="119"/>
      <c r="J15" s="120"/>
      <c r="K15" s="121"/>
      <c r="L15" s="122"/>
      <c r="N15" s="1060" t="s">
        <v>7976</v>
      </c>
      <c r="O15" s="1039" t="s">
        <v>10808</v>
      </c>
      <c r="P15" s="500" t="s">
        <v>7836</v>
      </c>
      <c r="Q15" s="1057" t="s">
        <v>10821</v>
      </c>
      <c r="R15" s="393">
        <v>400</v>
      </c>
      <c r="S15" s="409">
        <f>VLOOKUP($N15,ControlValve!$F$5:$Z$150,2,0)</f>
        <v>400</v>
      </c>
      <c r="T15" s="161" t="s">
        <v>735</v>
      </c>
      <c r="U15" s="409" t="str">
        <f>IF(VLOOKUP($P15,ValveActuator!$F$5:$N$575,6,0)=1,"Fail Close","Fail Open")</f>
        <v>Fail Close</v>
      </c>
      <c r="V15" s="779" t="str">
        <f>IF(VLOOKUP($P15,ValveActuator!$F$5:$P$575,10,0)=TRUE,"Yes","None")</f>
        <v>None</v>
      </c>
      <c r="W15" s="409">
        <f>VLOOKUP($P15,ValveActuator!$F$5:$N$562,4,0)</f>
        <v>3</v>
      </c>
      <c r="X15" s="409">
        <f>VLOOKUP($P15,ValveActuator!$F$5:$N$562,2,0)</f>
        <v>3</v>
      </c>
      <c r="Y15" s="655">
        <f>VLOOKUP($N15,ControlValve!$F$5:$V$150,16,0)</f>
        <v>62.891007399426101</v>
      </c>
      <c r="Z15" s="655">
        <f>VLOOKUP($N15,ControlValve!$F$5:$Z$150,18,0)*3600</f>
        <v>323.56313014218301</v>
      </c>
      <c r="AA15" s="656">
        <f>VLOOKUP($N15,ControlValve!$F$5:$Z$150,20,0)/100000</f>
        <v>16.585570940632</v>
      </c>
    </row>
    <row r="16" spans="1:27" ht="13.5" customHeight="1" thickBot="1">
      <c r="A16" s="114"/>
      <c r="B16" s="115"/>
      <c r="C16" s="116"/>
      <c r="D16" s="105"/>
      <c r="E16" s="106"/>
      <c r="F16" s="107"/>
      <c r="G16" s="117"/>
      <c r="H16" s="118"/>
      <c r="I16" s="119"/>
      <c r="J16" s="120"/>
      <c r="K16" s="121"/>
      <c r="L16" s="122"/>
      <c r="M16" s="502"/>
      <c r="N16" s="1058" t="s">
        <v>7978</v>
      </c>
      <c r="O16" s="1038"/>
      <c r="P16" s="500" t="s">
        <v>6549</v>
      </c>
      <c r="Q16" s="1025" t="s">
        <v>10818</v>
      </c>
      <c r="R16" s="393">
        <v>92.4</v>
      </c>
      <c r="S16" s="409">
        <f>VLOOKUP($N16,ControlValve!$F$5:$Z$150,2,0)</f>
        <v>92.4</v>
      </c>
      <c r="T16" s="161" t="s">
        <v>738</v>
      </c>
      <c r="U16" s="409" t="str">
        <f>IF(VLOOKUP($P16,ValveActuator!$F$5:$N$575,6,0)=1,"Fail Close","Fail Open")</f>
        <v>Fail Close</v>
      </c>
      <c r="V16" s="779" t="str">
        <f>IF(VLOOKUP($P16,ValveActuator!$F$5:$P$575,10,0)=TRUE,"Yes","None")</f>
        <v>None</v>
      </c>
      <c r="W16" s="409">
        <f>VLOOKUP($P16,ValveActuator!$F$5:$N$562,4,0)</f>
        <v>3</v>
      </c>
      <c r="X16" s="409">
        <f>VLOOKUP($P16,ValveActuator!$F$5:$N$562,2,0)</f>
        <v>3</v>
      </c>
      <c r="Y16" s="655">
        <f>VLOOKUP($N16,ControlValve!$F$5:$V$150,16,0)</f>
        <v>0</v>
      </c>
      <c r="Z16" s="655">
        <f>VLOOKUP($N16,ControlValve!$F$5:$Z$150,18,0)*3600</f>
        <v>0</v>
      </c>
      <c r="AA16" s="656">
        <f>VLOOKUP($N16,ControlValve!$F$5:$Z$150,20,0)/100000</f>
        <v>12.6979412783279</v>
      </c>
    </row>
    <row r="17" spans="1:27" s="266" customFormat="1" ht="13.5" customHeight="1" thickBot="1">
      <c r="A17" s="533"/>
      <c r="B17" s="534"/>
      <c r="C17" s="166"/>
      <c r="D17" s="535"/>
      <c r="E17" s="536"/>
      <c r="F17" s="537"/>
      <c r="G17" s="166"/>
      <c r="H17" s="538"/>
      <c r="I17" s="539"/>
      <c r="J17" s="540"/>
      <c r="K17" s="541"/>
      <c r="L17" s="542"/>
      <c r="M17" s="499"/>
      <c r="N17" s="1011" t="s">
        <v>7979</v>
      </c>
      <c r="O17" s="1038"/>
      <c r="P17" s="500" t="s">
        <v>8035</v>
      </c>
      <c r="Q17" s="1025" t="s">
        <v>10821</v>
      </c>
      <c r="R17" s="802" t="s">
        <v>8876</v>
      </c>
      <c r="S17" s="637">
        <f>VLOOKUP($N17,ControlValve!$F$5:$Z$150,2,0)</f>
        <v>10</v>
      </c>
      <c r="T17" s="161" t="s">
        <v>8844</v>
      </c>
      <c r="U17" s="409" t="str">
        <f>IF(VLOOKUP($P17,ValveActuator!$F$5:$N$575,6,0)=1,"Fail Close","Fail Open")</f>
        <v>Fail Close</v>
      </c>
      <c r="V17" s="779" t="str">
        <f>IF(VLOOKUP($P17,ValveActuator!$F$5:$P$575,10,0)=TRUE,"Yes","None")</f>
        <v>None</v>
      </c>
      <c r="W17" s="409">
        <f>VLOOKUP($P17,ValveActuator!$F$5:$N$562,4,0)</f>
        <v>3</v>
      </c>
      <c r="X17" s="409">
        <f>VLOOKUP($P17,ValveActuator!$F$5:$N$562,2,0)</f>
        <v>3</v>
      </c>
      <c r="Y17" s="655">
        <f>VLOOKUP($N17,ControlValve!$F$5:$V$150,16,0)</f>
        <v>0</v>
      </c>
      <c r="Z17" s="655">
        <f>VLOOKUP($N17,ControlValve!$F$5:$Z$150,18,0)*3600</f>
        <v>0</v>
      </c>
      <c r="AA17" s="656">
        <f>VLOOKUP($N17,ControlValve!$F$5:$Z$150,20,0)/100000</f>
        <v>14.037437777483401</v>
      </c>
    </row>
    <row r="18" spans="1:27" ht="13.5" customHeight="1" thickBot="1">
      <c r="A18" s="114"/>
      <c r="B18" s="115"/>
      <c r="C18" s="116"/>
      <c r="D18" s="105"/>
      <c r="E18" s="106"/>
      <c r="F18" s="107"/>
      <c r="G18" s="117"/>
      <c r="H18" s="118"/>
      <c r="I18" s="119"/>
      <c r="J18" s="120"/>
      <c r="K18" s="121"/>
      <c r="L18" s="122"/>
      <c r="N18" s="1055" t="s">
        <v>7980</v>
      </c>
      <c r="O18" s="1037"/>
      <c r="P18" s="500" t="s">
        <v>8036</v>
      </c>
      <c r="Q18" s="1025" t="s">
        <v>10822</v>
      </c>
      <c r="R18" s="393">
        <v>865</v>
      </c>
      <c r="S18" s="409">
        <f>VLOOKUP($N18,ControlValve!$F$5:$Z$150,2,0)</f>
        <v>865</v>
      </c>
      <c r="T18" s="161" t="s">
        <v>742</v>
      </c>
      <c r="U18" s="409" t="str">
        <f>IF(VLOOKUP($P18,ValveActuator!$F$5:$N$575,6,0)=1,"Fail Close","Fail Open")</f>
        <v>Fail Close</v>
      </c>
      <c r="V18" s="779" t="str">
        <f>IF(VLOOKUP($P18,ValveActuator!$F$5:$P$575,10,0)=TRUE,"Yes","None")</f>
        <v>Yes</v>
      </c>
      <c r="W18" s="409">
        <f>VLOOKUP($P18,ValveActuator!$F$5:$N$562,4,0)</f>
        <v>3</v>
      </c>
      <c r="X18" s="409">
        <f>VLOOKUP($P18,ValveActuator!$F$5:$N$562,2,0)</f>
        <v>3</v>
      </c>
      <c r="Y18" s="655">
        <f>VLOOKUP($N18,ControlValve!$F$5:$V$150,16,0)</f>
        <v>74.383450897124902</v>
      </c>
      <c r="Z18" s="655">
        <f>VLOOKUP($N18,ControlValve!$F$5:$Z$150,18,0)*3600</f>
        <v>4160.7540988504561</v>
      </c>
      <c r="AA18" s="656">
        <f>VLOOKUP($N18,ControlValve!$F$5:$Z$150,20,0)/100000</f>
        <v>0.35083814805548302</v>
      </c>
    </row>
    <row r="19" spans="1:27" ht="13.5" customHeight="1" thickBot="1">
      <c r="A19" s="114"/>
      <c r="B19" s="115"/>
      <c r="C19" s="116"/>
      <c r="D19" s="105"/>
      <c r="E19" s="106"/>
      <c r="F19" s="107"/>
      <c r="G19" s="117"/>
      <c r="H19" s="118"/>
      <c r="I19" s="119"/>
      <c r="J19" s="120"/>
      <c r="K19" s="121"/>
      <c r="L19" s="122"/>
      <c r="N19" s="1058" t="s">
        <v>744</v>
      </c>
      <c r="O19" s="1016"/>
      <c r="P19" s="849" t="s">
        <v>7733</v>
      </c>
      <c r="Q19" s="393" t="s">
        <v>727</v>
      </c>
      <c r="R19" s="393">
        <v>258</v>
      </c>
      <c r="S19" s="409">
        <f>VLOOKUP($N19,ControlValve!$F$5:$Z$150,2,0)</f>
        <v>258</v>
      </c>
      <c r="T19" s="161" t="s">
        <v>745</v>
      </c>
      <c r="U19" s="409" t="str">
        <f>IF(VLOOKUP($P19,ValveActuator!$F$5:$N$575,6,0)=1,"Fail Close","Fail Open")</f>
        <v>Fail Close</v>
      </c>
      <c r="V19" s="779" t="str">
        <f>IF(VLOOKUP($P19,ValveActuator!$F$5:$P$575,10,0)=TRUE,"Yes","None")</f>
        <v>Yes</v>
      </c>
      <c r="W19" s="409">
        <f>VLOOKUP($P19,ValveActuator!$F$5:$N$562,4,0)</f>
        <v>3</v>
      </c>
      <c r="X19" s="409">
        <f>VLOOKUP($P19,ValveActuator!$F$5:$N$562,2,0)</f>
        <v>3</v>
      </c>
      <c r="Y19" s="655">
        <f>VLOOKUP($N19,ControlValve!$F$5:$V$150,16,0)</f>
        <v>79.6559876853171</v>
      </c>
      <c r="Z19" s="655">
        <f>VLOOKUP($N19,ControlValve!$F$5:$Z$150,18,0)*3600</f>
        <v>1640.8026735711262</v>
      </c>
      <c r="AA19" s="656">
        <f>VLOOKUP($N19,ControlValve!$F$5:$Z$150,20,0)/100000</f>
        <v>0.40614799101714699</v>
      </c>
    </row>
    <row r="20" spans="1:27" ht="13.5" customHeight="1" thickBot="1">
      <c r="A20" s="114"/>
      <c r="B20" s="115"/>
      <c r="C20" s="116"/>
      <c r="D20" s="105"/>
      <c r="E20" s="106"/>
      <c r="F20" s="107"/>
      <c r="G20" s="117"/>
      <c r="H20" s="118"/>
      <c r="I20" s="119"/>
      <c r="J20" s="120"/>
      <c r="K20" s="121"/>
      <c r="L20" s="122"/>
      <c r="N20" s="1058" t="s">
        <v>747</v>
      </c>
      <c r="O20" s="1016"/>
      <c r="P20" s="849" t="s">
        <v>7734</v>
      </c>
      <c r="Q20" s="393" t="s">
        <v>727</v>
      </c>
      <c r="R20" s="393">
        <v>105</v>
      </c>
      <c r="S20" s="409">
        <f>VLOOKUP($N20,ControlValve!$F$5:$Z$150,2,0)</f>
        <v>105</v>
      </c>
      <c r="T20" s="161" t="s">
        <v>748</v>
      </c>
      <c r="U20" s="409" t="str">
        <f>IF(VLOOKUP($P20,ValveActuator!$F$5:$N$575,6,0)=1,"Fail Close","Fail Open")</f>
        <v>Fail Close</v>
      </c>
      <c r="V20" s="779" t="str">
        <f>IF(VLOOKUP($P20,ValveActuator!$F$5:$P$575,10,0)=TRUE,"Yes","None")</f>
        <v>Yes</v>
      </c>
      <c r="W20" s="409">
        <f>VLOOKUP($P20,ValveActuator!$F$5:$N$562,4,0)</f>
        <v>3</v>
      </c>
      <c r="X20" s="409">
        <f>VLOOKUP($P20,ValveActuator!$F$5:$N$562,2,0)</f>
        <v>3</v>
      </c>
      <c r="Y20" s="655">
        <f>VLOOKUP($N20,ControlValve!$F$5:$V$150,16,0)</f>
        <v>71.800355912994803</v>
      </c>
      <c r="Z20" s="655">
        <f>VLOOKUP($N20,ControlValve!$F$5:$Z$150,18,0)*3600</f>
        <v>499.31297718679082</v>
      </c>
      <c r="AA20" s="656">
        <f>VLOOKUP($N20,ControlValve!$F$5:$Z$150,20,0)/100000</f>
        <v>0.42598303040756802</v>
      </c>
    </row>
    <row r="21" spans="1:27" ht="13.5" customHeight="1" thickBot="1">
      <c r="A21" s="114"/>
      <c r="B21" s="115"/>
      <c r="C21" s="116"/>
      <c r="D21" s="105"/>
      <c r="E21" s="106"/>
      <c r="F21" s="107"/>
      <c r="G21" s="117"/>
      <c r="H21" s="118"/>
      <c r="I21" s="119"/>
      <c r="J21" s="120"/>
      <c r="K21" s="121"/>
      <c r="L21" s="122"/>
      <c r="N21" s="1058" t="s">
        <v>752</v>
      </c>
      <c r="O21" s="1016"/>
      <c r="P21" s="500" t="s">
        <v>6498</v>
      </c>
      <c r="Q21" s="1057" t="s">
        <v>10823</v>
      </c>
      <c r="R21" s="393">
        <v>1070</v>
      </c>
      <c r="S21" s="409">
        <f>VLOOKUP($N21,ControlValve!$F$5:$Z$150,2,0)</f>
        <v>1070</v>
      </c>
      <c r="T21" s="161" t="s">
        <v>753</v>
      </c>
      <c r="U21" s="409" t="str">
        <f>IF(VLOOKUP($P21,ValveActuator!$F$5:$N$575,6,0)=1,"Fail Close","Fail Open")</f>
        <v>Fail Close</v>
      </c>
      <c r="V21" s="779" t="str">
        <f>IF(VLOOKUP($P21,ValveActuator!$F$5:$P$575,10,0)=TRUE,"Yes","None")</f>
        <v>Yes</v>
      </c>
      <c r="W21" s="409">
        <f>VLOOKUP($P21,ValveActuator!$F$5:$N$562,4,0)</f>
        <v>3</v>
      </c>
      <c r="X21" s="409">
        <f>VLOOKUP($P21,ValveActuator!$F$5:$N$562,2,0)</f>
        <v>3</v>
      </c>
      <c r="Y21" s="655">
        <f>VLOOKUP($N21,ControlValve!$F$5:$V$150,16,0)</f>
        <v>56.8859457309471</v>
      </c>
      <c r="Z21" s="655">
        <f>VLOOKUP($N21,ControlValve!$F$5:$Z$150,18,0)*3600</f>
        <v>575.02122249428999</v>
      </c>
      <c r="AA21" s="656">
        <f>VLOOKUP($N21,ControlValve!$F$5:$Z$150,20,0)/100000</f>
        <v>9.0673835289054594</v>
      </c>
    </row>
    <row r="22" spans="1:27" ht="13.5" customHeight="1" thickBot="1">
      <c r="A22" s="114"/>
      <c r="B22" s="115"/>
      <c r="C22" s="116"/>
      <c r="D22" s="105"/>
      <c r="E22" s="106"/>
      <c r="F22" s="107"/>
      <c r="G22" s="117"/>
      <c r="H22" s="118"/>
      <c r="I22" s="119"/>
      <c r="J22" s="120"/>
      <c r="K22" s="121"/>
      <c r="L22" s="122"/>
      <c r="N22" s="1059" t="s">
        <v>799</v>
      </c>
      <c r="O22" s="1056" t="s">
        <v>10810</v>
      </c>
      <c r="P22" s="500" t="s">
        <v>6499</v>
      </c>
      <c r="Q22" s="1057" t="s">
        <v>10823</v>
      </c>
      <c r="R22" s="393">
        <v>1.5</v>
      </c>
      <c r="S22" s="409">
        <f>VLOOKUP($N22,ControlValve!$F$5:$Z$150,2,0)</f>
        <v>1.5</v>
      </c>
      <c r="T22" s="161" t="s">
        <v>756</v>
      </c>
      <c r="U22" s="409" t="str">
        <f>IF(VLOOKUP($P22,ValveActuator!$F$5:$N$575,6,0)=1,"Fail Close","Fail Open")</f>
        <v>Fail Close</v>
      </c>
      <c r="V22" s="779" t="str">
        <f>IF(VLOOKUP($P22,ValveActuator!$F$5:$P$575,10,0)=TRUE,"Yes","None")</f>
        <v>None</v>
      </c>
      <c r="W22" s="409">
        <f>VLOOKUP($P22,ValveActuator!$F$5:$N$562,4,0)</f>
        <v>3</v>
      </c>
      <c r="X22" s="409">
        <f>VLOOKUP($P22,ValveActuator!$F$5:$N$562,2,0)</f>
        <v>3</v>
      </c>
      <c r="Y22" s="655">
        <f>VLOOKUP($N22,ControlValve!$F$5:$V$150,16,0)</f>
        <v>0</v>
      </c>
      <c r="Z22" s="655">
        <f>VLOOKUP($N22,ControlValve!$F$5:$Z$150,18,0)*3600</f>
        <v>0</v>
      </c>
      <c r="AA22" s="656">
        <f>VLOOKUP($N22,ControlValve!$F$5:$Z$150,20,0)/100000</f>
        <v>21.389340867432797</v>
      </c>
    </row>
    <row r="23" spans="1:27" ht="13.5" customHeight="1" thickBot="1">
      <c r="A23" s="114"/>
      <c r="B23" s="115"/>
      <c r="C23" s="116"/>
      <c r="D23" s="105"/>
      <c r="E23" s="106"/>
      <c r="F23" s="107"/>
      <c r="G23" s="117"/>
      <c r="H23" s="118"/>
      <c r="I23" s="119"/>
      <c r="J23" s="120"/>
      <c r="K23" s="121"/>
      <c r="L23" s="122"/>
      <c r="N23" s="1055" t="s">
        <v>7981</v>
      </c>
      <c r="O23" s="1037"/>
      <c r="P23" s="849" t="s">
        <v>8037</v>
      </c>
      <c r="Q23" s="1025" t="s">
        <v>10821</v>
      </c>
      <c r="R23" s="393">
        <v>710</v>
      </c>
      <c r="S23" s="409">
        <f>VLOOKUP($N23,ControlValve!$F$5:$Z$150,2,0)</f>
        <v>710</v>
      </c>
      <c r="T23" s="1067" t="s">
        <v>758</v>
      </c>
      <c r="U23" s="409" t="str">
        <f>IF(VLOOKUP($P23,ValveActuator!$F$5:$N$575,6,0)=1,"Fail Close","Fail Open")</f>
        <v>Fail Close</v>
      </c>
      <c r="V23" s="779" t="str">
        <f>IF(VLOOKUP($P23,ValveActuator!$F$5:$P$575,10,0)=TRUE,"Yes","None")</f>
        <v>Yes</v>
      </c>
      <c r="W23" s="409">
        <f>VLOOKUP($P23,ValveActuator!$F$5:$N$562,4,0)</f>
        <v>3</v>
      </c>
      <c r="X23" s="409">
        <f>VLOOKUP($P23,ValveActuator!$F$5:$N$562,2,0)</f>
        <v>3</v>
      </c>
      <c r="Y23" s="655">
        <f>VLOOKUP($N23,ControlValve!$F$5:$V$150,16,0)</f>
        <v>63.888959358281703</v>
      </c>
      <c r="Z23" s="655">
        <f>VLOOKUP($N23,ControlValve!$F$5:$Z$150,18,0)*3600</f>
        <v>164.98113951762863</v>
      </c>
      <c r="AA23" s="656">
        <f>VLOOKUP($N23,ControlValve!$F$5:$Z$150,20,0)/100000</f>
        <v>1.33218464061105</v>
      </c>
    </row>
    <row r="24" spans="1:27" ht="13.5" customHeight="1" thickBot="1">
      <c r="A24" s="114"/>
      <c r="B24" s="115"/>
      <c r="C24" s="116"/>
      <c r="D24" s="105"/>
      <c r="E24" s="106"/>
      <c r="F24" s="107"/>
      <c r="G24" s="117"/>
      <c r="H24" s="118"/>
      <c r="I24" s="119"/>
      <c r="J24" s="120"/>
      <c r="K24" s="121"/>
      <c r="L24" s="122"/>
      <c r="N24" s="1058" t="s">
        <v>7982</v>
      </c>
      <c r="O24" s="1016"/>
      <c r="P24" s="500" t="s">
        <v>8038</v>
      </c>
      <c r="Q24" s="393" t="s">
        <v>727</v>
      </c>
      <c r="R24" s="393">
        <v>1550</v>
      </c>
      <c r="S24" s="409">
        <f>VLOOKUP($N24,ControlValve!$F$5:$Z$150,2,0)</f>
        <v>1550</v>
      </c>
      <c r="T24" s="1067"/>
      <c r="U24" s="409" t="str">
        <f>IF(VLOOKUP($P24,ValveActuator!$F$5:$N$575,6,0)=1,"Fail Close","Fail Open")</f>
        <v>Fail Open</v>
      </c>
      <c r="V24" s="779" t="str">
        <f>IF(VLOOKUP($P24,ValveActuator!$F$5:$P$575,10,0)=TRUE,"Yes","None")</f>
        <v>Yes</v>
      </c>
      <c r="W24" s="409">
        <f>VLOOKUP($P24,ValveActuator!$F$5:$N$562,4,0)</f>
        <v>3</v>
      </c>
      <c r="X24" s="409">
        <f>VLOOKUP($P24,ValveActuator!$F$5:$N$562,2,0)</f>
        <v>3</v>
      </c>
      <c r="Y24" s="655">
        <f>VLOOKUP($N24,ControlValve!$F$5:$V$150,16,0)</f>
        <v>61.569031944956102</v>
      </c>
      <c r="Z24" s="655">
        <f>VLOOKUP($N24,ControlValve!$F$5:$Z$150,18,0)*3600</f>
        <v>764.0797363210728</v>
      </c>
      <c r="AA24" s="656">
        <f>VLOOKUP($N24,ControlValve!$F$5:$Z$150,20,0)/100000</f>
        <v>6.4025548272009907</v>
      </c>
    </row>
    <row r="25" spans="1:27" ht="13.5" customHeight="1" thickBot="1">
      <c r="A25" s="114"/>
      <c r="B25" s="115"/>
      <c r="C25" s="116"/>
      <c r="D25" s="105"/>
      <c r="E25" s="106"/>
      <c r="F25" s="107"/>
      <c r="G25" s="117"/>
      <c r="H25" s="118"/>
      <c r="I25" s="119"/>
      <c r="J25" s="120"/>
      <c r="K25" s="121"/>
      <c r="L25" s="122"/>
      <c r="N25" s="1059" t="s">
        <v>7983</v>
      </c>
      <c r="O25" s="1054" t="s">
        <v>10809</v>
      </c>
      <c r="P25" s="500" t="s">
        <v>8039</v>
      </c>
      <c r="Q25" s="1025" t="s">
        <v>10822</v>
      </c>
      <c r="R25" s="393">
        <v>1100</v>
      </c>
      <c r="S25" s="409">
        <f>VLOOKUP($N25,ControlValve!$F$5:$Z$150,2,0)</f>
        <v>1100</v>
      </c>
      <c r="T25" s="1067"/>
      <c r="U25" s="409" t="str">
        <f>IF(VLOOKUP($P25,ValveActuator!$F$5:$N$575,6,0)=1,"Fail Close","Fail Open")</f>
        <v>Fail Close</v>
      </c>
      <c r="V25" s="779" t="str">
        <f>IF(VLOOKUP($P25,ValveActuator!$F$5:$P$575,10,0)=TRUE,"Yes","None")</f>
        <v>Yes</v>
      </c>
      <c r="W25" s="409">
        <f>VLOOKUP($P25,ValveActuator!$F$5:$N$562,4,0)</f>
        <v>3</v>
      </c>
      <c r="X25" s="409">
        <f>VLOOKUP($P25,ValveActuator!$F$5:$N$562,2,0)</f>
        <v>3</v>
      </c>
      <c r="Y25" s="655">
        <f>VLOOKUP($N25,ControlValve!$F$5:$V$150,16,0)</f>
        <v>76.301854518751995</v>
      </c>
      <c r="Z25" s="655">
        <f>VLOOKUP($N25,ControlValve!$F$5:$Z$150,18,0)*3600</f>
        <v>866.60470679693401</v>
      </c>
      <c r="AA25" s="656">
        <f>VLOOKUP($N25,ControlValve!$F$5:$Z$150,20,0)/100000</f>
        <v>7.5133958419194702</v>
      </c>
    </row>
    <row r="26" spans="1:27" ht="13.5" customHeight="1" thickBot="1">
      <c r="A26" s="114"/>
      <c r="B26" s="115"/>
      <c r="C26" s="116"/>
      <c r="D26" s="105"/>
      <c r="E26" s="106"/>
      <c r="F26" s="107"/>
      <c r="G26" s="117"/>
      <c r="H26" s="118"/>
      <c r="I26" s="119"/>
      <c r="J26" s="120"/>
      <c r="K26" s="121"/>
      <c r="L26" s="122"/>
      <c r="N26" s="1058" t="s">
        <v>766</v>
      </c>
      <c r="O26" s="1016"/>
      <c r="P26" s="500" t="s">
        <v>8040</v>
      </c>
      <c r="Q26" s="393" t="s">
        <v>727</v>
      </c>
      <c r="R26" s="393">
        <v>1100</v>
      </c>
      <c r="S26" s="409">
        <f>VLOOKUP($N26,ControlValve!$F$5:$Z$150,2,0)</f>
        <v>1100</v>
      </c>
      <c r="T26" s="1067"/>
      <c r="U26" s="409" t="str">
        <f>IF(VLOOKUP($P26,ValveActuator!$F$5:$N$575,6,0)=1,"Fail Close","Fail Open")</f>
        <v>Fail Open</v>
      </c>
      <c r="V26" s="779" t="str">
        <f>IF(VLOOKUP($P26,ValveActuator!$F$5:$P$575,10,0)=TRUE,"Yes","None")</f>
        <v>Yes</v>
      </c>
      <c r="W26" s="409">
        <f>VLOOKUP($P26,ValveActuator!$F$5:$N$562,4,0)</f>
        <v>3</v>
      </c>
      <c r="X26" s="409">
        <f>VLOOKUP($P26,ValveActuator!$F$5:$N$562,2,0)</f>
        <v>3</v>
      </c>
      <c r="Y26" s="655">
        <f>VLOOKUP($N26,ControlValve!$F$5:$V$150,16,0)</f>
        <v>74.755394930360197</v>
      </c>
      <c r="Z26" s="655">
        <f>VLOOKUP($N26,ControlValve!$F$5:$Z$150,18,0)*3600</f>
        <v>700.01350370823957</v>
      </c>
      <c r="AA26" s="656">
        <f>VLOOKUP($N26,ControlValve!$F$5:$Z$150,20,0)/100000</f>
        <v>4.3889847011374998</v>
      </c>
    </row>
    <row r="27" spans="1:27" ht="13.5" customHeight="1" thickBot="1">
      <c r="A27" s="114"/>
      <c r="B27" s="115"/>
      <c r="C27" s="116"/>
      <c r="D27" s="105"/>
      <c r="E27" s="106"/>
      <c r="F27" s="107"/>
      <c r="G27" s="117"/>
      <c r="H27" s="118"/>
      <c r="I27" s="119"/>
      <c r="J27" s="120"/>
      <c r="K27" s="121"/>
      <c r="L27" s="122"/>
      <c r="N27" s="1024" t="s">
        <v>7985</v>
      </c>
      <c r="O27" s="1016"/>
      <c r="P27" s="500" t="s">
        <v>8041</v>
      </c>
      <c r="Q27" s="393" t="s">
        <v>770</v>
      </c>
      <c r="R27" s="802" t="s">
        <v>8876</v>
      </c>
      <c r="S27" s="637">
        <f>VLOOKUP($N27,ControlValve!$F$5:$Z$150,2,0)</f>
        <v>190</v>
      </c>
      <c r="T27" s="1067"/>
      <c r="U27" s="409" t="str">
        <f>IF(VLOOKUP($P27,ValveActuator!$F$5:$N$575,6,0)=1,"Fail Close","Fail Open")</f>
        <v>Fail Close</v>
      </c>
      <c r="V27" s="779" t="str">
        <f>IF(VLOOKUP($P27,ValveActuator!$F$5:$P$575,10,0)=TRUE,"Yes","None")</f>
        <v>None</v>
      </c>
      <c r="W27" s="409">
        <f>VLOOKUP($P27,ValveActuator!$F$5:$N$562,4,0)</f>
        <v>3</v>
      </c>
      <c r="X27" s="409">
        <f>VLOOKUP($P27,ValveActuator!$F$5:$N$562,2,0)</f>
        <v>3</v>
      </c>
      <c r="Y27" s="655">
        <f>VLOOKUP($N27,ControlValve!$F$5:$V$150,16,0)</f>
        <v>0</v>
      </c>
      <c r="Z27" s="655">
        <f>VLOOKUP($N27,ControlValve!$F$5:$Z$150,18,0)*3600</f>
        <v>0</v>
      </c>
      <c r="AA27" s="656">
        <f>VLOOKUP($N27,ControlValve!$F$5:$Z$150,20,0)/100000</f>
        <v>4.3583211605934302</v>
      </c>
    </row>
    <row r="28" spans="1:27" ht="13.5" customHeight="1" thickBot="1">
      <c r="A28" s="114"/>
      <c r="B28" s="115"/>
      <c r="C28" s="116"/>
      <c r="D28" s="105"/>
      <c r="E28" s="106"/>
      <c r="F28" s="107"/>
      <c r="G28" s="117"/>
      <c r="H28" s="118"/>
      <c r="I28" s="119"/>
      <c r="J28" s="120"/>
      <c r="K28" s="121"/>
      <c r="L28" s="122"/>
      <c r="N28" s="1058" t="s">
        <v>10824</v>
      </c>
      <c r="O28" s="1016"/>
      <c r="P28" s="849" t="s">
        <v>8042</v>
      </c>
      <c r="Q28" s="393" t="s">
        <v>770</v>
      </c>
      <c r="R28" s="393">
        <v>190</v>
      </c>
      <c r="S28" s="409">
        <f>VLOOKUP($N28,ControlValve!$F$5:$Z$150,2,0)</f>
        <v>190</v>
      </c>
      <c r="T28" s="1067"/>
      <c r="U28" s="409" t="str">
        <f>IF(VLOOKUP($P28,ValveActuator!$F$5:$N$575,6,0)=1,"Fail Close","Fail Open")</f>
        <v>Fail Close</v>
      </c>
      <c r="V28" s="779" t="str">
        <f>IF(VLOOKUP($P28,ValveActuator!$F$5:$P$575,10,0)=TRUE,"Yes","None")</f>
        <v>Yes</v>
      </c>
      <c r="W28" s="409">
        <f>VLOOKUP($P28,ValveActuator!$F$5:$N$562,4,0)</f>
        <v>3</v>
      </c>
      <c r="X28" s="409">
        <f>VLOOKUP($P28,ValveActuator!$F$5:$N$562,2,0)</f>
        <v>3</v>
      </c>
      <c r="Y28" s="655">
        <f>VLOOKUP($N28,ControlValve!$F$5:$V$150,16,0)</f>
        <v>48.812437046972697</v>
      </c>
      <c r="Z28" s="655">
        <f>VLOOKUP($N28,ControlValve!$F$5:$Z$150,18,0)*3600</f>
        <v>43.19992695042108</v>
      </c>
      <c r="AA28" s="656">
        <f>VLOOKUP($N28,ControlValve!$F$5:$Z$150,20,0)/100000</f>
        <v>3.6655713192669999</v>
      </c>
    </row>
    <row r="29" spans="1:27" ht="13.5" customHeight="1" thickBot="1">
      <c r="A29" s="114"/>
      <c r="B29" s="115"/>
      <c r="C29" s="116"/>
      <c r="D29" s="105"/>
      <c r="E29" s="106"/>
      <c r="F29" s="107"/>
      <c r="G29" s="117"/>
      <c r="H29" s="118"/>
      <c r="I29" s="119"/>
      <c r="J29" s="120"/>
      <c r="K29" s="121"/>
      <c r="L29" s="122"/>
      <c r="N29" s="1055" t="s">
        <v>7987</v>
      </c>
      <c r="O29" s="1017"/>
      <c r="P29" s="500" t="s">
        <v>8043</v>
      </c>
      <c r="Q29" s="393" t="s">
        <v>782</v>
      </c>
      <c r="R29" s="393">
        <v>190</v>
      </c>
      <c r="S29" s="409">
        <f>VLOOKUP($N29,ControlValve!$F$5:$Z$150,2,0)</f>
        <v>190</v>
      </c>
      <c r="T29" s="161" t="s">
        <v>781</v>
      </c>
      <c r="U29" s="409" t="str">
        <f>IF(VLOOKUP($P29,ValveActuator!$F$5:$N$575,6,0)=1,"Fail Close","Fail Open")</f>
        <v>Fail Open</v>
      </c>
      <c r="V29" s="779" t="str">
        <f>IF(VLOOKUP($P29,ValveActuator!$F$5:$P$575,10,0)=TRUE,"Yes","None")</f>
        <v>None</v>
      </c>
      <c r="W29" s="409">
        <f>VLOOKUP($P29,ValveActuator!$F$5:$N$562,4,0)</f>
        <v>3</v>
      </c>
      <c r="X29" s="409">
        <f>VLOOKUP($P29,ValveActuator!$F$5:$N$562,2,0)</f>
        <v>3</v>
      </c>
      <c r="Y29" s="655">
        <f>VLOOKUP($N29,ControlValve!$F$5:$V$150,16,0)</f>
        <v>74.220571498947095</v>
      </c>
      <c r="Z29" s="655">
        <f>VLOOKUP($N29,ControlValve!$F$5:$Z$150,18,0)*3600</f>
        <v>146.46442809023497</v>
      </c>
      <c r="AA29" s="656">
        <f>VLOOKUP($N29,ControlValve!$F$5:$Z$150,20,0)/100000</f>
        <v>7.7073836037517305</v>
      </c>
    </row>
    <row r="30" spans="1:27" ht="13.5" customHeight="1" thickBot="1">
      <c r="A30" s="114"/>
      <c r="B30" s="115"/>
      <c r="C30" s="116"/>
      <c r="D30" s="105"/>
      <c r="E30" s="106"/>
      <c r="F30" s="107"/>
      <c r="G30" s="117"/>
      <c r="H30" s="118"/>
      <c r="I30" s="119"/>
      <c r="J30" s="120"/>
      <c r="K30" s="121"/>
      <c r="L30" s="122"/>
      <c r="N30" s="1055" t="s">
        <v>7988</v>
      </c>
      <c r="O30" s="1017"/>
      <c r="P30" s="500" t="s">
        <v>5576</v>
      </c>
      <c r="Q30" s="393" t="s">
        <v>782</v>
      </c>
      <c r="R30" s="393">
        <v>190</v>
      </c>
      <c r="S30" s="409">
        <f>VLOOKUP($N30,ControlValve!$F$5:$Z$150,2,0)</f>
        <v>190</v>
      </c>
      <c r="T30" s="161"/>
      <c r="U30" s="409" t="str">
        <f>IF(VLOOKUP($P30,ValveActuator!$F$5:$N$575,6,0)=1,"Fail Close","Fail Open")</f>
        <v>Fail Open</v>
      </c>
      <c r="V30" s="779" t="str">
        <f>IF(VLOOKUP($P30,ValveActuator!$F$5:$P$575,10,0)=TRUE,"Yes","None")</f>
        <v>None</v>
      </c>
      <c r="W30" s="409">
        <f>VLOOKUP($P30,ValveActuator!$F$5:$N$562,4,0)</f>
        <v>3</v>
      </c>
      <c r="X30" s="409">
        <f>VLOOKUP($P30,ValveActuator!$F$5:$N$562,2,0)</f>
        <v>3</v>
      </c>
      <c r="Y30" s="655">
        <f>VLOOKUP($N30,ControlValve!$F$5:$V$150,16,0)</f>
        <v>74.220826050194205</v>
      </c>
      <c r="Z30" s="655">
        <f>VLOOKUP($N30,ControlValve!$F$5:$Z$150,18,0)*3600</f>
        <v>146.46442689043019</v>
      </c>
      <c r="AA30" s="656">
        <f>VLOOKUP($N30,ControlValve!$F$5:$Z$150,20,0)/100000</f>
        <v>7.7072260075040298</v>
      </c>
    </row>
    <row r="31" spans="1:27" ht="13.5" customHeight="1" thickBot="1">
      <c r="A31" s="114"/>
      <c r="B31" s="115"/>
      <c r="C31" s="116"/>
      <c r="D31" s="105"/>
      <c r="E31" s="106"/>
      <c r="F31" s="107"/>
      <c r="G31" s="117"/>
      <c r="H31" s="118"/>
      <c r="I31" s="119"/>
      <c r="J31" s="120"/>
      <c r="K31" s="121"/>
      <c r="L31" s="122"/>
      <c r="N31" s="1055" t="s">
        <v>7989</v>
      </c>
      <c r="O31" s="1017"/>
      <c r="P31" s="500" t="s">
        <v>5577</v>
      </c>
      <c r="Q31" s="393" t="s">
        <v>782</v>
      </c>
      <c r="R31" s="393">
        <v>190</v>
      </c>
      <c r="S31" s="409">
        <f>VLOOKUP($N31,ControlValve!$F$5:$Z$150,2,0)</f>
        <v>190</v>
      </c>
      <c r="T31" s="161"/>
      <c r="U31" s="409" t="str">
        <f>IF(VLOOKUP($P31,ValveActuator!$F$5:$N$575,6,0)=1,"Fail Close","Fail Open")</f>
        <v>Fail Open</v>
      </c>
      <c r="V31" s="779" t="str">
        <f>IF(VLOOKUP($P31,ValveActuator!$F$5:$P$575,10,0)=TRUE,"Yes","None")</f>
        <v>None</v>
      </c>
      <c r="W31" s="409">
        <f>VLOOKUP($P31,ValveActuator!$F$5:$N$562,4,0)</f>
        <v>3</v>
      </c>
      <c r="X31" s="409">
        <f>VLOOKUP($P31,ValveActuator!$F$5:$N$562,2,0)</f>
        <v>3</v>
      </c>
      <c r="Y31" s="655">
        <f>VLOOKUP($N31,ControlValve!$F$5:$V$150,16,0)</f>
        <v>74.221403668062493</v>
      </c>
      <c r="Z31" s="655">
        <f>VLOOKUP($N31,ControlValve!$F$5:$Z$150,18,0)*3600</f>
        <v>146.46442443535619</v>
      </c>
      <c r="AA31" s="656">
        <f>VLOOKUP($N31,ControlValve!$F$5:$Z$150,20,0)/100000</f>
        <v>7.7068684285379598</v>
      </c>
    </row>
    <row r="32" spans="1:27" ht="13.5" customHeight="1" thickBot="1">
      <c r="A32" s="114"/>
      <c r="B32" s="115"/>
      <c r="C32" s="116"/>
      <c r="D32" s="105"/>
      <c r="E32" s="106"/>
      <c r="F32" s="107"/>
      <c r="G32" s="117"/>
      <c r="H32" s="118"/>
      <c r="I32" s="119"/>
      <c r="J32" s="120"/>
      <c r="K32" s="121"/>
      <c r="L32" s="122"/>
      <c r="N32" s="1055" t="s">
        <v>7990</v>
      </c>
      <c r="O32" s="1017"/>
      <c r="P32" s="500" t="s">
        <v>5578</v>
      </c>
      <c r="Q32" s="393" t="s">
        <v>782</v>
      </c>
      <c r="R32" s="393">
        <v>190</v>
      </c>
      <c r="S32" s="409">
        <f>VLOOKUP($N32,ControlValve!$F$5:$Z$150,2,0)</f>
        <v>190</v>
      </c>
      <c r="T32" s="161"/>
      <c r="U32" s="409" t="str">
        <f>IF(VLOOKUP($P32,ValveActuator!$F$5:$N$575,6,0)=1,"Fail Close","Fail Open")</f>
        <v>Fail Open</v>
      </c>
      <c r="V32" s="779" t="str">
        <f>IF(VLOOKUP($P32,ValveActuator!$F$5:$P$575,10,0)=TRUE,"Yes","None")</f>
        <v>None</v>
      </c>
      <c r="W32" s="409">
        <f>VLOOKUP($P32,ValveActuator!$F$5:$N$562,4,0)</f>
        <v>3</v>
      </c>
      <c r="X32" s="409">
        <f>VLOOKUP($P32,ValveActuator!$F$5:$N$562,2,0)</f>
        <v>3</v>
      </c>
      <c r="Y32" s="655">
        <f>VLOOKUP($N32,ControlValve!$F$5:$V$150,16,0)</f>
        <v>74.221391523753098</v>
      </c>
      <c r="Z32" s="655">
        <f>VLOOKUP($N32,ControlValve!$F$5:$Z$150,18,0)*3600</f>
        <v>146.46442376006783</v>
      </c>
      <c r="AA32" s="656">
        <f>VLOOKUP($N32,ControlValve!$F$5:$Z$150,20,0)/100000</f>
        <v>7.7068758642078006</v>
      </c>
    </row>
    <row r="33" spans="1:27" ht="13.5" customHeight="1" thickBot="1">
      <c r="A33" s="114"/>
      <c r="B33" s="115"/>
      <c r="C33" s="116"/>
      <c r="D33" s="105"/>
      <c r="E33" s="106"/>
      <c r="F33" s="107"/>
      <c r="G33" s="117"/>
      <c r="H33" s="118"/>
      <c r="I33" s="119"/>
      <c r="J33" s="120"/>
      <c r="K33" s="121"/>
      <c r="L33" s="122"/>
      <c r="N33" s="1055" t="s">
        <v>7991</v>
      </c>
      <c r="O33" s="1017"/>
      <c r="P33" s="849" t="s">
        <v>5579</v>
      </c>
      <c r="Q33" s="393" t="s">
        <v>782</v>
      </c>
      <c r="R33" s="393">
        <v>190</v>
      </c>
      <c r="S33" s="409">
        <f>VLOOKUP($N33,ControlValve!$F$5:$Z$150,2,0)</f>
        <v>190</v>
      </c>
      <c r="T33" s="161"/>
      <c r="U33" s="409" t="str">
        <f>IF(VLOOKUP($P33,ValveActuator!$F$5:$N$575,6,0)=1,"Fail Close","Fail Open")</f>
        <v>Fail Open</v>
      </c>
      <c r="V33" s="779" t="str">
        <f>IF(VLOOKUP($P33,ValveActuator!$F$5:$P$575,10,0)=TRUE,"Yes","None")</f>
        <v>None</v>
      </c>
      <c r="W33" s="409">
        <f>VLOOKUP($P33,ValveActuator!$F$5:$N$562,4,0)</f>
        <v>3</v>
      </c>
      <c r="X33" s="409">
        <f>VLOOKUP($P33,ValveActuator!$F$5:$N$562,2,0)</f>
        <v>3</v>
      </c>
      <c r="Y33" s="655">
        <f>VLOOKUP($N33,ControlValve!$F$5:$V$150,16,0)</f>
        <v>74.221393648719996</v>
      </c>
      <c r="Z33" s="655">
        <f>VLOOKUP($N33,ControlValve!$F$5:$Z$150,18,0)*3600</f>
        <v>146.46442380885071</v>
      </c>
      <c r="AA33" s="656">
        <f>VLOOKUP($N33,ControlValve!$F$5:$Z$150,20,0)/100000</f>
        <v>7.7068745589051</v>
      </c>
    </row>
    <row r="34" spans="1:27" ht="13.5" customHeight="1" thickBot="1">
      <c r="A34" s="114"/>
      <c r="B34" s="115"/>
      <c r="C34" s="116"/>
      <c r="D34" s="105"/>
      <c r="E34" s="106"/>
      <c r="F34" s="107"/>
      <c r="G34" s="117"/>
      <c r="H34" s="118"/>
      <c r="I34" s="119"/>
      <c r="J34" s="120"/>
      <c r="K34" s="121"/>
      <c r="L34" s="122"/>
      <c r="N34" s="1055" t="s">
        <v>7992</v>
      </c>
      <c r="O34" s="1017"/>
      <c r="P34" s="500" t="s">
        <v>5580</v>
      </c>
      <c r="Q34" s="393" t="s">
        <v>782</v>
      </c>
      <c r="R34" s="393">
        <v>190</v>
      </c>
      <c r="S34" s="409">
        <f>VLOOKUP($N34,ControlValve!$F$5:$Z$150,2,0)</f>
        <v>190</v>
      </c>
      <c r="T34" s="161"/>
      <c r="U34" s="409" t="str">
        <f>IF(VLOOKUP($P34,ValveActuator!$F$5:$N$575,6,0)=1,"Fail Close","Fail Open")</f>
        <v>Fail Open</v>
      </c>
      <c r="V34" s="779" t="str">
        <f>IF(VLOOKUP($P34,ValveActuator!$F$5:$P$575,10,0)=TRUE,"Yes","None")</f>
        <v>None</v>
      </c>
      <c r="W34" s="409">
        <f>VLOOKUP($P34,ValveActuator!$F$5:$N$562,4,0)</f>
        <v>3</v>
      </c>
      <c r="X34" s="409">
        <f>VLOOKUP($P34,ValveActuator!$F$5:$N$562,2,0)</f>
        <v>3</v>
      </c>
      <c r="Y34" s="655">
        <f>VLOOKUP($N34,ControlValve!$F$5:$V$150,16,0)</f>
        <v>74.221403668062194</v>
      </c>
      <c r="Z34" s="655">
        <f>VLOOKUP($N34,ControlValve!$F$5:$Z$150,18,0)*3600</f>
        <v>146.46442443535693</v>
      </c>
      <c r="AA34" s="656">
        <f>VLOOKUP($N34,ControlValve!$F$5:$Z$150,20,0)/100000</f>
        <v>7.7068684285380007</v>
      </c>
    </row>
    <row r="35" spans="1:27" ht="13.5" customHeight="1" thickBot="1">
      <c r="A35" s="114"/>
      <c r="B35" s="115"/>
      <c r="C35" s="116"/>
      <c r="D35" s="105"/>
      <c r="E35" s="106"/>
      <c r="F35" s="107"/>
      <c r="G35" s="117"/>
      <c r="H35" s="118"/>
      <c r="I35" s="119"/>
      <c r="J35" s="120"/>
      <c r="K35" s="121"/>
      <c r="L35" s="122"/>
      <c r="N35" s="1055" t="s">
        <v>7993</v>
      </c>
      <c r="O35" s="1017"/>
      <c r="P35" s="500" t="s">
        <v>5581</v>
      </c>
      <c r="Q35" s="393" t="s">
        <v>782</v>
      </c>
      <c r="R35" s="393">
        <v>190</v>
      </c>
      <c r="S35" s="409">
        <f>VLOOKUP($N35,ControlValve!$F$5:$Z$150,2,0)</f>
        <v>190</v>
      </c>
      <c r="T35" s="161"/>
      <c r="U35" s="409" t="str">
        <f>IF(VLOOKUP($P35,ValveActuator!$F$5:$N$575,6,0)=1,"Fail Close","Fail Open")</f>
        <v>Fail Open</v>
      </c>
      <c r="V35" s="779" t="str">
        <f>IF(VLOOKUP($P35,ValveActuator!$F$5:$P$575,10,0)=TRUE,"Yes","None")</f>
        <v>None</v>
      </c>
      <c r="W35" s="409">
        <f>VLOOKUP($P35,ValveActuator!$F$5:$N$562,4,0)</f>
        <v>3</v>
      </c>
      <c r="X35" s="409">
        <f>VLOOKUP($P35,ValveActuator!$F$5:$N$562,2,0)</f>
        <v>3</v>
      </c>
      <c r="Y35" s="655">
        <f>VLOOKUP($N35,ControlValve!$F$5:$V$150,16,0)</f>
        <v>74.220832326460595</v>
      </c>
      <c r="Z35" s="655">
        <f>VLOOKUP($N35,ControlValve!$F$5:$Z$150,18,0)*3600</f>
        <v>146.46441337023384</v>
      </c>
      <c r="AA35" s="656">
        <f>VLOOKUP($N35,ControlValve!$F$5:$Z$150,20,0)/100000</f>
        <v>7.7072213276422108</v>
      </c>
    </row>
    <row r="36" spans="1:27" ht="13.5" customHeight="1" thickBot="1">
      <c r="A36" s="114"/>
      <c r="B36" s="115"/>
      <c r="C36" s="116"/>
      <c r="D36" s="105"/>
      <c r="E36" s="106"/>
      <c r="F36" s="107"/>
      <c r="G36" s="117"/>
      <c r="H36" s="118"/>
      <c r="I36" s="119"/>
      <c r="J36" s="120"/>
      <c r="K36" s="121"/>
      <c r="L36" s="122"/>
      <c r="N36" s="1055" t="s">
        <v>7994</v>
      </c>
      <c r="O36" s="1017"/>
      <c r="P36" s="500" t="s">
        <v>5582</v>
      </c>
      <c r="Q36" s="393" t="s">
        <v>782</v>
      </c>
      <c r="R36" s="393">
        <v>190</v>
      </c>
      <c r="S36" s="409">
        <f>VLOOKUP($N36,ControlValve!$F$5:$Z$150,2,0)</f>
        <v>190</v>
      </c>
      <c r="T36" s="161"/>
      <c r="U36" s="409" t="str">
        <f>IF(VLOOKUP($P36,ValveActuator!$F$5:$N$575,6,0)=1,"Fail Close","Fail Open")</f>
        <v>Fail Open</v>
      </c>
      <c r="V36" s="779" t="str">
        <f>IF(VLOOKUP($P36,ValveActuator!$F$5:$P$575,10,0)=TRUE,"Yes","None")</f>
        <v>None</v>
      </c>
      <c r="W36" s="409">
        <f>VLOOKUP($P36,ValveActuator!$F$5:$N$562,4,0)</f>
        <v>3</v>
      </c>
      <c r="X36" s="409">
        <f>VLOOKUP($P36,ValveActuator!$F$5:$N$562,2,0)</f>
        <v>3</v>
      </c>
      <c r="Y36" s="655">
        <f>VLOOKUP($N36,ControlValve!$F$5:$V$150,16,0)</f>
        <v>74.220571499617506</v>
      </c>
      <c r="Z36" s="655">
        <f>VLOOKUP($N36,ControlValve!$F$5:$Z$150,18,0)*3600</f>
        <v>146.46442808676346</v>
      </c>
      <c r="AA36" s="656">
        <f>VLOOKUP($N36,ControlValve!$F$5:$Z$150,20,0)/100000</f>
        <v>7.7073836029537697</v>
      </c>
    </row>
    <row r="37" spans="1:27" ht="13.5" customHeight="1" thickBot="1">
      <c r="A37" s="114"/>
      <c r="B37" s="115"/>
      <c r="C37" s="116"/>
      <c r="D37" s="105"/>
      <c r="E37" s="106"/>
      <c r="F37" s="107"/>
      <c r="G37" s="117"/>
      <c r="H37" s="118"/>
      <c r="I37" s="119"/>
      <c r="J37" s="120"/>
      <c r="K37" s="121"/>
      <c r="L37" s="122"/>
      <c r="N37" s="1055" t="s">
        <v>9175</v>
      </c>
      <c r="O37" s="1017"/>
      <c r="P37" s="500" t="s">
        <v>9176</v>
      </c>
      <c r="Q37" s="393" t="s">
        <v>770</v>
      </c>
      <c r="R37" s="393">
        <v>300</v>
      </c>
      <c r="S37" s="409">
        <f>VLOOKUP($N37,ControlValve!$F$5:$Z$150,2,0)</f>
        <v>300</v>
      </c>
      <c r="T37" s="161" t="s">
        <v>791</v>
      </c>
      <c r="U37" s="409" t="str">
        <f>IF(VLOOKUP($P37,ValveActuator!$F$5:$N$575,6,0)=1,"Fail Close","Fail Open")</f>
        <v>Fail Close</v>
      </c>
      <c r="V37" s="779" t="str">
        <f>IF(VLOOKUP($P37,ValveActuator!$F$5:$P$575,10,0)=TRUE,"Yes","None")</f>
        <v>None</v>
      </c>
      <c r="W37" s="409">
        <f>VLOOKUP($P37,ValveActuator!$F$5:$N$562,4,0)</f>
        <v>3</v>
      </c>
      <c r="X37" s="409">
        <f>VLOOKUP($P37,ValveActuator!$F$5:$N$562,2,0)</f>
        <v>3</v>
      </c>
      <c r="Y37" s="655">
        <f>VLOOKUP($N37,ControlValve!$F$5:$V$150,16,0)</f>
        <v>0</v>
      </c>
      <c r="Z37" s="655">
        <f>VLOOKUP($N37,ControlValve!$F$5:$Z$150,18,0)*3600</f>
        <v>0</v>
      </c>
      <c r="AA37" s="656">
        <f>VLOOKUP($N37,ControlValve!$F$5:$Z$150,20,0)/100000</f>
        <v>10.2153680466474</v>
      </c>
    </row>
    <row r="38" spans="1:27" ht="13.5" customHeight="1" thickBot="1">
      <c r="A38" s="114"/>
      <c r="B38" s="115"/>
      <c r="C38" s="116"/>
      <c r="D38" s="105"/>
      <c r="E38" s="106"/>
      <c r="F38" s="107"/>
      <c r="G38" s="117"/>
      <c r="H38" s="118"/>
      <c r="I38" s="119"/>
      <c r="J38" s="120"/>
      <c r="K38" s="121"/>
      <c r="L38" s="122"/>
      <c r="N38" s="1055" t="s">
        <v>7996</v>
      </c>
      <c r="O38" s="1017"/>
      <c r="P38" s="500" t="s">
        <v>8044</v>
      </c>
      <c r="Q38" s="393" t="s">
        <v>770</v>
      </c>
      <c r="R38" s="393">
        <v>1750</v>
      </c>
      <c r="S38" s="409">
        <f>VLOOKUP($N38,ControlValve!$F$5:$Z$150,2,0)</f>
        <v>1750</v>
      </c>
      <c r="T38" s="161" t="s">
        <v>793</v>
      </c>
      <c r="U38" s="409" t="str">
        <f>IF(VLOOKUP($P38,ValveActuator!$F$5:$N$575,6,0)=1,"Fail Close","Fail Open")</f>
        <v>Fail Close</v>
      </c>
      <c r="V38" s="779" t="str">
        <f>IF(VLOOKUP($P38,ValveActuator!$F$5:$P$575,10,0)=TRUE,"Yes","None")</f>
        <v>Yes</v>
      </c>
      <c r="W38" s="409">
        <f>VLOOKUP($P38,ValveActuator!$F$5:$N$562,4,0)</f>
        <v>3</v>
      </c>
      <c r="X38" s="409">
        <f>VLOOKUP($P38,ValveActuator!$F$5:$N$562,2,0)</f>
        <v>3</v>
      </c>
      <c r="Y38" s="655">
        <f>VLOOKUP($N38,ControlValve!$F$5:$V$150,16,0)</f>
        <v>50.660454417506401</v>
      </c>
      <c r="Z38" s="655">
        <f>VLOOKUP($N38,ControlValve!$F$5:$Z$150,18,0)*3600</f>
        <v>296.49302402016349</v>
      </c>
      <c r="AA38" s="656">
        <f>VLOOKUP($N38,ControlValve!$F$5:$Z$150,20,0)/100000</f>
        <v>1.6679687167394099</v>
      </c>
    </row>
    <row r="39" spans="1:27" ht="13.5" customHeight="1" thickBot="1">
      <c r="A39" s="114"/>
      <c r="B39" s="115"/>
      <c r="C39" s="116"/>
      <c r="D39" s="105"/>
      <c r="E39" s="106"/>
      <c r="F39" s="107"/>
      <c r="G39" s="117"/>
      <c r="H39" s="118"/>
      <c r="I39" s="119"/>
      <c r="J39" s="120"/>
      <c r="K39" s="121"/>
      <c r="L39" s="122"/>
      <c r="N39" s="1058" t="s">
        <v>794</v>
      </c>
      <c r="O39" s="1016"/>
      <c r="P39" s="500" t="s">
        <v>7853</v>
      </c>
      <c r="Q39" s="393" t="s">
        <v>796</v>
      </c>
      <c r="R39" s="393">
        <v>19.7</v>
      </c>
      <c r="S39" s="409">
        <f>VLOOKUP($N39,ControlValve!$F$5:$Z$150,2,0)</f>
        <v>19.7</v>
      </c>
      <c r="T39" s="161" t="s">
        <v>795</v>
      </c>
      <c r="U39" s="409" t="str">
        <f>IF(VLOOKUP($P39,ValveActuator!$F$5:$N$575,6,0)=1,"Fail Close","Fail Open")</f>
        <v>Fail Close</v>
      </c>
      <c r="V39" s="779" t="str">
        <f>IF(VLOOKUP($P39,ValveActuator!$F$5:$P$575,10,0)=TRUE,"Yes","None")</f>
        <v>None</v>
      </c>
      <c r="W39" s="409">
        <f>VLOOKUP($P39,ValveActuator!$F$5:$N$562,4,0)</f>
        <v>3</v>
      </c>
      <c r="X39" s="409">
        <f>VLOOKUP($P39,ValveActuator!$F$5:$N$562,2,0)</f>
        <v>3</v>
      </c>
      <c r="Y39" s="655">
        <f>VLOOKUP($N39,ControlValve!$F$5:$V$150,16,0)</f>
        <v>83.389420279198106</v>
      </c>
      <c r="Z39" s="655">
        <f>VLOOKUP($N39,ControlValve!$F$5:$Z$150,18,0)*3600</f>
        <v>14.100058243246716</v>
      </c>
      <c r="AA39" s="656">
        <f>VLOOKUP($N39,ControlValve!$F$5:$Z$150,20,0)/100000</f>
        <v>2.5480396216277401</v>
      </c>
    </row>
    <row r="40" spans="1:27" ht="13.5" customHeight="1" thickBot="1">
      <c r="A40" s="114"/>
      <c r="B40" s="115"/>
      <c r="C40" s="116"/>
      <c r="D40" s="105"/>
      <c r="E40" s="106"/>
      <c r="F40" s="107"/>
      <c r="G40" s="117"/>
      <c r="H40" s="118"/>
      <c r="I40" s="119"/>
      <c r="J40" s="120"/>
      <c r="K40" s="121"/>
      <c r="L40" s="122"/>
      <c r="N40" s="1055" t="s">
        <v>797</v>
      </c>
      <c r="O40" s="1017"/>
      <c r="P40" s="500" t="s">
        <v>6475</v>
      </c>
      <c r="Q40" s="393" t="s">
        <v>730</v>
      </c>
      <c r="R40" s="393">
        <v>400</v>
      </c>
      <c r="S40" s="409">
        <f>VLOOKUP($N40,ControlValve!$F$5:$Z$150,2,0)</f>
        <v>400</v>
      </c>
      <c r="T40" s="1066" t="s">
        <v>798</v>
      </c>
      <c r="U40" s="409" t="str">
        <f>IF(VLOOKUP($P40,ValveActuator!$F$5:$N$575,6,0)=1,"Fail Close","Fail Open")</f>
        <v>Fail Close</v>
      </c>
      <c r="V40" s="779" t="str">
        <f>IF(VLOOKUP($P40,ValveActuator!$F$5:$P$575,10,0)=TRUE,"Yes","None")</f>
        <v>Yes</v>
      </c>
      <c r="W40" s="409">
        <f>VLOOKUP($P40,ValveActuator!$F$5:$N$562,4,0)</f>
        <v>3</v>
      </c>
      <c r="X40" s="409">
        <f>VLOOKUP($P40,ValveActuator!$F$5:$N$562,2,0)</f>
        <v>3</v>
      </c>
      <c r="Y40" s="655">
        <f>VLOOKUP($N40,ControlValve!$F$5:$V$150,16,0)</f>
        <v>82.819237519369906</v>
      </c>
      <c r="Z40" s="655">
        <f>VLOOKUP($N40,ControlValve!$F$5:$Z$150,18,0)*3600</f>
        <v>572.69921168858764</v>
      </c>
      <c r="AA40" s="656">
        <f>VLOOKUP($N40,ControlValve!$F$5:$Z$150,20,0)/100000</f>
        <v>8.0999091324769701</v>
      </c>
    </row>
    <row r="41" spans="1:27" ht="13.5" customHeight="1" thickBot="1">
      <c r="A41" s="114"/>
      <c r="B41" s="115"/>
      <c r="C41" s="116"/>
      <c r="D41" s="105"/>
      <c r="E41" s="106"/>
      <c r="F41" s="107"/>
      <c r="G41" s="117"/>
      <c r="H41" s="118"/>
      <c r="I41" s="119"/>
      <c r="J41" s="120"/>
      <c r="K41" s="121"/>
      <c r="L41" s="122"/>
      <c r="N41" s="1055" t="s">
        <v>803</v>
      </c>
      <c r="O41" s="1037"/>
      <c r="P41" s="500" t="s">
        <v>6500</v>
      </c>
      <c r="Q41" s="1025" t="s">
        <v>10823</v>
      </c>
      <c r="R41" s="393">
        <v>32</v>
      </c>
      <c r="S41" s="409">
        <f>VLOOKUP($N41,ControlValve!$F$5:$Z$150,2,0)</f>
        <v>32</v>
      </c>
      <c r="T41" s="1066"/>
      <c r="U41" s="409" t="str">
        <f>IF(VLOOKUP($P41,ValveActuator!$F$5:$N$575,6,0)=1,"Fail Close","Fail Open")</f>
        <v>Fail Close</v>
      </c>
      <c r="V41" s="779" t="str">
        <f>IF(VLOOKUP($P41,ValveActuator!$F$5:$P$575,10,0)=TRUE,"Yes","None")</f>
        <v>None</v>
      </c>
      <c r="W41" s="409">
        <f>VLOOKUP($P41,ValveActuator!$F$5:$N$562,4,0)</f>
        <v>3</v>
      </c>
      <c r="X41" s="409">
        <f>VLOOKUP($P41,ValveActuator!$F$5:$N$562,2,0)</f>
        <v>3</v>
      </c>
      <c r="Y41" s="655">
        <f>VLOOKUP($N41,ControlValve!$F$5:$V$150,16,0)</f>
        <v>12.3701651058689</v>
      </c>
      <c r="Z41" s="655">
        <f>VLOOKUP($N41,ControlValve!$F$5:$Z$150,18,0)*3600</f>
        <v>5.0795254070369635</v>
      </c>
      <c r="AA41" s="656">
        <f>VLOOKUP($N41,ControlValve!$F$5:$Z$150,20,0)/100000</f>
        <v>2.2450941879397299</v>
      </c>
    </row>
    <row r="42" spans="1:27" ht="13.5" customHeight="1" thickBot="1">
      <c r="A42" s="114"/>
      <c r="B42" s="115"/>
      <c r="C42" s="116"/>
      <c r="D42" s="105"/>
      <c r="E42" s="106"/>
      <c r="F42" s="107"/>
      <c r="G42" s="117"/>
      <c r="H42" s="118"/>
      <c r="I42" s="119"/>
      <c r="J42" s="120"/>
      <c r="K42" s="121"/>
      <c r="L42" s="122"/>
      <c r="N42" s="1055" t="s">
        <v>806</v>
      </c>
      <c r="O42" s="1037"/>
      <c r="P42" s="500" t="s">
        <v>6590</v>
      </c>
      <c r="Q42" s="393" t="s">
        <v>700</v>
      </c>
      <c r="R42" s="393">
        <v>400</v>
      </c>
      <c r="S42" s="409">
        <f>VLOOKUP($N42,ControlValve!$F$5:$Z$150,2,0)</f>
        <v>400</v>
      </c>
      <c r="T42" s="1065" t="s">
        <v>807</v>
      </c>
      <c r="U42" s="409" t="str">
        <f>IF(VLOOKUP($P42,ValveActuator!$F$5:$N$575,6,0)=1,"Fail Close","Fail Open")</f>
        <v>Fail Open</v>
      </c>
      <c r="V42" s="779" t="str">
        <f>IF(VLOOKUP($P42,ValveActuator!$F$5:$P$575,10,0)=TRUE,"Yes","None")</f>
        <v>Yes</v>
      </c>
      <c r="W42" s="409">
        <f>VLOOKUP($P42,ValveActuator!$F$5:$N$562,4,0)</f>
        <v>3</v>
      </c>
      <c r="X42" s="409">
        <f>VLOOKUP($P42,ValveActuator!$F$5:$N$562,2,0)</f>
        <v>3</v>
      </c>
      <c r="Y42" s="655">
        <f>VLOOKUP($N42,ControlValve!$F$5:$V$150,16,0)</f>
        <v>48.300195260371297</v>
      </c>
      <c r="Z42" s="655">
        <f>VLOOKUP($N42,ControlValve!$F$5:$Z$150,18,0)*3600</f>
        <v>130.42568353276477</v>
      </c>
      <c r="AA42" s="656">
        <f>VLOOKUP($N42,ControlValve!$F$5:$Z$150,20,0)/100000</f>
        <v>4.7114478332518095</v>
      </c>
    </row>
    <row r="43" spans="1:27" ht="13.5" customHeight="1" thickBot="1">
      <c r="A43" s="114"/>
      <c r="B43" s="115"/>
      <c r="C43" s="116"/>
      <c r="D43" s="105"/>
      <c r="E43" s="106"/>
      <c r="F43" s="107"/>
      <c r="G43" s="117"/>
      <c r="H43" s="118"/>
      <c r="I43" s="119"/>
      <c r="J43" s="120"/>
      <c r="K43" s="121"/>
      <c r="L43" s="122"/>
      <c r="N43" s="1055" t="s">
        <v>809</v>
      </c>
      <c r="O43" s="1037"/>
      <c r="P43" s="500" t="s">
        <v>6591</v>
      </c>
      <c r="Q43" s="393" t="s">
        <v>700</v>
      </c>
      <c r="R43" s="393">
        <v>1550</v>
      </c>
      <c r="S43" s="409">
        <f>VLOOKUP($N43,ControlValve!$F$5:$Z$150,2,0)</f>
        <v>1550</v>
      </c>
      <c r="T43" s="1065"/>
      <c r="U43" s="409" t="str">
        <f>IF(VLOOKUP($P43,ValveActuator!$F$5:$N$575,6,0)=1,"Fail Close","Fail Open")</f>
        <v>Fail Close</v>
      </c>
      <c r="V43" s="779" t="str">
        <f>IF(VLOOKUP($P43,ValveActuator!$F$5:$P$575,10,0)=TRUE,"Yes","None")</f>
        <v>None</v>
      </c>
      <c r="W43" s="409">
        <f>VLOOKUP($P43,ValveActuator!$F$5:$N$562,4,0)</f>
        <v>3</v>
      </c>
      <c r="X43" s="409">
        <f>VLOOKUP($P43,ValveActuator!$F$5:$N$562,2,0)</f>
        <v>3</v>
      </c>
      <c r="Y43" s="655">
        <f>VLOOKUP($N43,ControlValve!$F$5:$V$150,16,0)</f>
        <v>51.296414896084002</v>
      </c>
      <c r="Z43" s="655">
        <f>VLOOKUP($N43,ControlValve!$F$5:$Z$150,18,0)*3600</f>
        <v>537.33965142543843</v>
      </c>
      <c r="AA43" s="656">
        <f>VLOOKUP($N43,ControlValve!$F$5:$Z$150,20,0)/100000</f>
        <v>7.7199152015338397</v>
      </c>
    </row>
    <row r="44" spans="1:27" ht="13.5" customHeight="1" thickBot="1">
      <c r="A44" s="114"/>
      <c r="B44" s="115"/>
      <c r="C44" s="116"/>
      <c r="D44" s="105"/>
      <c r="E44" s="106"/>
      <c r="F44" s="107"/>
      <c r="G44" s="117"/>
      <c r="H44" s="118"/>
      <c r="I44" s="119"/>
      <c r="J44" s="120"/>
      <c r="K44" s="121"/>
      <c r="L44" s="122"/>
      <c r="N44" s="1055" t="s">
        <v>7997</v>
      </c>
      <c r="O44" s="1037"/>
      <c r="P44" s="500" t="s">
        <v>6038</v>
      </c>
      <c r="Q44" s="1057" t="s">
        <v>993</v>
      </c>
      <c r="R44" s="393">
        <v>1550</v>
      </c>
      <c r="S44" s="409">
        <f>VLOOKUP($N44,ControlValve!$F$5:$Z$150,2,0)</f>
        <v>1550</v>
      </c>
      <c r="T44" s="1065"/>
      <c r="U44" s="409" t="str">
        <f>IF(VLOOKUP($P44,ValveActuator!$F$5:$N$575,6,0)=1,"Fail Close","Fail Open")</f>
        <v>Fail Close</v>
      </c>
      <c r="V44" s="779" t="str">
        <f>IF(VLOOKUP($P44,ValveActuator!$F$5:$P$575,10,0)=TRUE,"Yes","None")</f>
        <v>Yes</v>
      </c>
      <c r="W44" s="409">
        <f>VLOOKUP($P44,ValveActuator!$F$5:$N$562,4,0)</f>
        <v>3</v>
      </c>
      <c r="X44" s="409">
        <f>VLOOKUP($P44,ValveActuator!$F$5:$N$562,2,0)</f>
        <v>3</v>
      </c>
      <c r="Y44" s="655">
        <f>VLOOKUP($N44,ControlValve!$F$5:$V$150,16,0)</f>
        <v>49.202346568774303</v>
      </c>
      <c r="Z44" s="655">
        <f>VLOOKUP($N44,ControlValve!$F$5:$Z$150,18,0)*3600</f>
        <v>460.01088127844275</v>
      </c>
      <c r="AA44" s="656">
        <f>VLOOKUP($N44,ControlValve!$F$5:$Z$150,20,0)/100000</f>
        <v>4.5382916770152901</v>
      </c>
    </row>
    <row r="45" spans="1:27" ht="13.5" customHeight="1" thickBot="1">
      <c r="A45" s="114"/>
      <c r="B45" s="115"/>
      <c r="C45" s="116"/>
      <c r="D45" s="105"/>
      <c r="E45" s="106"/>
      <c r="F45" s="107"/>
      <c r="G45" s="117"/>
      <c r="H45" s="118"/>
      <c r="I45" s="119"/>
      <c r="J45" s="120"/>
      <c r="K45" s="121"/>
      <c r="L45" s="122"/>
      <c r="N45" s="1055" t="s">
        <v>7998</v>
      </c>
      <c r="O45" s="1037"/>
      <c r="P45" s="500" t="s">
        <v>6039</v>
      </c>
      <c r="Q45" s="1057" t="s">
        <v>993</v>
      </c>
      <c r="R45" s="393">
        <v>710</v>
      </c>
      <c r="S45" s="409">
        <f>VLOOKUP($N45,ControlValve!$F$5:$Z$150,2,0)</f>
        <v>710</v>
      </c>
      <c r="T45" s="1065"/>
      <c r="U45" s="409" t="str">
        <f>IF(VLOOKUP($P45,ValveActuator!$F$5:$N$575,6,0)=1,"Fail Close","Fail Open")</f>
        <v>Fail Close</v>
      </c>
      <c r="V45" s="779" t="str">
        <f>IF(VLOOKUP($P45,ValveActuator!$F$5:$P$575,10,0)=TRUE,"Yes","None")</f>
        <v>Yes</v>
      </c>
      <c r="W45" s="409">
        <f>VLOOKUP($P45,ValveActuator!$F$5:$N$562,4,0)</f>
        <v>3</v>
      </c>
      <c r="X45" s="409">
        <f>VLOOKUP($P45,ValveActuator!$F$5:$N$562,2,0)</f>
        <v>3</v>
      </c>
      <c r="Y45" s="655">
        <f>VLOOKUP($N45,ControlValve!$F$5:$V$150,16,0)</f>
        <v>75.724026559635305</v>
      </c>
      <c r="Z45" s="655">
        <f>VLOOKUP($N45,ControlValve!$F$5:$Z$150,18,0)*3600</f>
        <v>197.76157797709331</v>
      </c>
      <c r="AA45" s="656">
        <f>VLOOKUP($N45,ControlValve!$F$5:$Z$150,20,0)/100000</f>
        <v>-2.3402961666561001E-2</v>
      </c>
    </row>
    <row r="46" spans="1:27" ht="13.5" customHeight="1" thickBot="1">
      <c r="A46" s="114"/>
      <c r="B46" s="115"/>
      <c r="C46" s="116"/>
      <c r="D46" s="105"/>
      <c r="E46" s="106"/>
      <c r="F46" s="107"/>
      <c r="G46" s="117"/>
      <c r="H46" s="118"/>
      <c r="I46" s="119"/>
      <c r="J46" s="120"/>
      <c r="K46" s="121"/>
      <c r="L46" s="122"/>
      <c r="N46" s="1055" t="s">
        <v>7999</v>
      </c>
      <c r="O46" s="1016"/>
      <c r="P46" s="849" t="s">
        <v>5654</v>
      </c>
      <c r="Q46" s="393" t="s">
        <v>817</v>
      </c>
      <c r="R46" s="393">
        <v>190</v>
      </c>
      <c r="S46" s="409">
        <f>VLOOKUP($N46,ControlValve!$F$5:$Z$150,2,0)</f>
        <v>190</v>
      </c>
      <c r="T46" s="1065"/>
      <c r="U46" s="409" t="str">
        <f>IF(VLOOKUP($P46,ValveActuator!$F$5:$N$575,6,0)=1,"Fail Close","Fail Open")</f>
        <v>Fail Open</v>
      </c>
      <c r="V46" s="779" t="str">
        <f>IF(VLOOKUP($P46,ValveActuator!$F$5:$P$575,10,0)=TRUE,"Yes","None")</f>
        <v>Yes</v>
      </c>
      <c r="W46" s="409">
        <f>VLOOKUP($P46,ValveActuator!$F$5:$N$562,4,0)</f>
        <v>3</v>
      </c>
      <c r="X46" s="409">
        <f>VLOOKUP($P46,ValveActuator!$F$5:$N$562,2,0)</f>
        <v>3</v>
      </c>
      <c r="Y46" s="655">
        <f>VLOOKUP($N46,ControlValve!$F$5:$V$150,16,0)</f>
        <v>57.411420498722798</v>
      </c>
      <c r="Z46" s="655">
        <f>VLOOKUP($N46,ControlValve!$F$5:$Z$150,18,0)*3600</f>
        <v>103.23361368712116</v>
      </c>
      <c r="AA46" s="656">
        <f>VLOOKUP($N46,ControlValve!$F$5:$Z$150,20,0)/100000</f>
        <v>11.4115408095427</v>
      </c>
    </row>
    <row r="47" spans="1:27" ht="13.5" customHeight="1" thickBot="1">
      <c r="A47" s="114"/>
      <c r="B47" s="115"/>
      <c r="C47" s="116"/>
      <c r="D47" s="105"/>
      <c r="E47" s="106"/>
      <c r="F47" s="107"/>
      <c r="G47" s="117"/>
      <c r="H47" s="118"/>
      <c r="I47" s="119"/>
      <c r="J47" s="120"/>
      <c r="K47" s="121"/>
      <c r="L47" s="122"/>
      <c r="N47" s="1055" t="s">
        <v>8000</v>
      </c>
      <c r="O47" s="1017"/>
      <c r="P47" s="500" t="s">
        <v>5655</v>
      </c>
      <c r="Q47" s="393" t="s">
        <v>817</v>
      </c>
      <c r="R47" s="393">
        <v>190</v>
      </c>
      <c r="S47" s="409">
        <f>VLOOKUP($N47,ControlValve!$F$5:$Z$150,2,0)</f>
        <v>190</v>
      </c>
      <c r="T47" s="1065"/>
      <c r="U47" s="409" t="str">
        <f>IF(VLOOKUP($P47,ValveActuator!$F$5:$N$575,6,0)=1,"Fail Close","Fail Open")</f>
        <v>Fail Open</v>
      </c>
      <c r="V47" s="779" t="str">
        <f>IF(VLOOKUP($P47,ValveActuator!$F$5:$P$575,10,0)=TRUE,"Yes","None")</f>
        <v>Yes</v>
      </c>
      <c r="W47" s="409">
        <f>VLOOKUP($P47,ValveActuator!$F$5:$N$562,4,0)</f>
        <v>3</v>
      </c>
      <c r="X47" s="409">
        <f>VLOOKUP($P47,ValveActuator!$F$5:$N$562,2,0)</f>
        <v>3</v>
      </c>
      <c r="Y47" s="655">
        <f>VLOOKUP($N47,ControlValve!$F$5:$V$150,16,0)</f>
        <v>57.411421413423803</v>
      </c>
      <c r="Z47" s="655">
        <f>VLOOKUP($N47,ControlValve!$F$5:$Z$150,18,0)*3600</f>
        <v>103.23361098842183</v>
      </c>
      <c r="AA47" s="656">
        <f>VLOOKUP($N47,ControlValve!$F$5:$Z$150,20,0)/100000</f>
        <v>11.411539367035399</v>
      </c>
    </row>
    <row r="48" spans="1:27" ht="13.5" customHeight="1" thickBot="1">
      <c r="A48" s="114"/>
      <c r="B48" s="115"/>
      <c r="C48" s="116"/>
      <c r="D48" s="105"/>
      <c r="E48" s="106"/>
      <c r="F48" s="107"/>
      <c r="G48" s="117"/>
      <c r="H48" s="118"/>
      <c r="I48" s="119"/>
      <c r="J48" s="120"/>
      <c r="K48" s="121"/>
      <c r="L48" s="122"/>
      <c r="N48" s="1055" t="s">
        <v>8001</v>
      </c>
      <c r="O48" s="1017"/>
      <c r="P48" s="500" t="s">
        <v>5656</v>
      </c>
      <c r="Q48" s="393" t="s">
        <v>817</v>
      </c>
      <c r="R48" s="393">
        <v>190</v>
      </c>
      <c r="S48" s="409">
        <f>VLOOKUP($N48,ControlValve!$F$5:$Z$150,2,0)</f>
        <v>190</v>
      </c>
      <c r="T48" s="1065"/>
      <c r="U48" s="409" t="str">
        <f>IF(VLOOKUP($P48,ValveActuator!$F$5:$N$575,6,0)=1,"Fail Close","Fail Open")</f>
        <v>Fail Open</v>
      </c>
      <c r="V48" s="779" t="str">
        <f>IF(VLOOKUP($P48,ValveActuator!$F$5:$P$575,10,0)=TRUE,"Yes","None")</f>
        <v>Yes</v>
      </c>
      <c r="W48" s="409">
        <f>VLOOKUP($P48,ValveActuator!$F$5:$N$562,4,0)</f>
        <v>3</v>
      </c>
      <c r="X48" s="409">
        <f>VLOOKUP($P48,ValveActuator!$F$5:$N$562,2,0)</f>
        <v>3</v>
      </c>
      <c r="Y48" s="655">
        <f>VLOOKUP($N48,ControlValve!$F$5:$V$150,16,0)</f>
        <v>57.411417216488303</v>
      </c>
      <c r="Z48" s="655">
        <f>VLOOKUP($N48,ControlValve!$F$5:$Z$150,18,0)*3600</f>
        <v>103.23361096025724</v>
      </c>
      <c r="AA48" s="656">
        <f>VLOOKUP($N48,ControlValve!$F$5:$Z$150,20,0)/100000</f>
        <v>11.411543184374301</v>
      </c>
    </row>
    <row r="49" spans="1:27" ht="13.5" customHeight="1" thickBot="1">
      <c r="A49" s="114"/>
      <c r="B49" s="115"/>
      <c r="C49" s="116"/>
      <c r="D49" s="105"/>
      <c r="E49" s="106"/>
      <c r="F49" s="107"/>
      <c r="G49" s="117"/>
      <c r="H49" s="118"/>
      <c r="I49" s="119"/>
      <c r="J49" s="120"/>
      <c r="K49" s="121"/>
      <c r="L49" s="122"/>
      <c r="N49" s="1055" t="s">
        <v>8002</v>
      </c>
      <c r="O49" s="1037"/>
      <c r="P49" s="500" t="s">
        <v>5657</v>
      </c>
      <c r="Q49" s="393" t="s">
        <v>817</v>
      </c>
      <c r="R49" s="393">
        <v>190</v>
      </c>
      <c r="S49" s="409">
        <f>VLOOKUP($N49,ControlValve!$F$5:$Z$150,2,0)</f>
        <v>190</v>
      </c>
      <c r="T49" s="1065"/>
      <c r="U49" s="409" t="str">
        <f>IF(VLOOKUP($P49,ValveActuator!$F$5:$N$575,6,0)=1,"Fail Close","Fail Open")</f>
        <v>Fail Open</v>
      </c>
      <c r="V49" s="779" t="str">
        <f>IF(VLOOKUP($P49,ValveActuator!$F$5:$P$575,10,0)=TRUE,"Yes","None")</f>
        <v>Yes</v>
      </c>
      <c r="W49" s="409">
        <f>VLOOKUP($P49,ValveActuator!$F$5:$N$562,4,0)</f>
        <v>3</v>
      </c>
      <c r="X49" s="409">
        <f>VLOOKUP($P49,ValveActuator!$F$5:$N$562,2,0)</f>
        <v>3</v>
      </c>
      <c r="Y49" s="655">
        <f>VLOOKUP($N49,ControlValve!$F$5:$V$150,16,0)</f>
        <v>57.411417216488303</v>
      </c>
      <c r="Z49" s="655">
        <f>VLOOKUP($N49,ControlValve!$F$5:$Z$150,18,0)*3600</f>
        <v>103.23361096025724</v>
      </c>
      <c r="AA49" s="656">
        <f>VLOOKUP($N49,ControlValve!$F$5:$Z$150,20,0)/100000</f>
        <v>11.411543184374301</v>
      </c>
    </row>
    <row r="50" spans="1:27" ht="13.5" customHeight="1" thickBot="1">
      <c r="A50" s="114"/>
      <c r="B50" s="115"/>
      <c r="C50" s="116"/>
      <c r="D50" s="105"/>
      <c r="E50" s="106"/>
      <c r="F50" s="107"/>
      <c r="G50" s="117"/>
      <c r="H50" s="118"/>
      <c r="I50" s="119"/>
      <c r="J50" s="120"/>
      <c r="K50" s="121"/>
      <c r="L50" s="122"/>
      <c r="N50" s="1055" t="s">
        <v>8003</v>
      </c>
      <c r="O50" s="1016"/>
      <c r="P50" s="500" t="s">
        <v>5658</v>
      </c>
      <c r="Q50" s="393" t="s">
        <v>817</v>
      </c>
      <c r="R50" s="393">
        <v>190</v>
      </c>
      <c r="S50" s="409">
        <f>VLOOKUP($N50,ControlValve!$F$5:$Z$150,2,0)</f>
        <v>190</v>
      </c>
      <c r="T50" s="1065"/>
      <c r="U50" s="409" t="str">
        <f>IF(VLOOKUP($P50,ValveActuator!$F$5:$N$575,6,0)=1,"Fail Close","Fail Open")</f>
        <v>Fail Open</v>
      </c>
      <c r="V50" s="779" t="str">
        <f>IF(VLOOKUP($P50,ValveActuator!$F$5:$P$575,10,0)=TRUE,"Yes","None")</f>
        <v>Yes</v>
      </c>
      <c r="W50" s="409">
        <f>VLOOKUP($P50,ValveActuator!$F$5:$N$562,4,0)</f>
        <v>3</v>
      </c>
      <c r="X50" s="409">
        <f>VLOOKUP($P50,ValveActuator!$F$5:$N$562,2,0)</f>
        <v>3</v>
      </c>
      <c r="Y50" s="655">
        <f>VLOOKUP($N50,ControlValve!$F$5:$V$150,16,0)</f>
        <v>57.411416301440603</v>
      </c>
      <c r="Z50" s="655">
        <f>VLOOKUP($N50,ControlValve!$F$5:$Z$150,18,0)*3600</f>
        <v>103.23361365953292</v>
      </c>
      <c r="AA50" s="656">
        <f>VLOOKUP($N50,ControlValve!$F$5:$Z$150,20,0)/100000</f>
        <v>11.411544627326</v>
      </c>
    </row>
    <row r="51" spans="1:27" ht="13.5" customHeight="1" thickBot="1">
      <c r="A51" s="114"/>
      <c r="B51" s="115"/>
      <c r="C51" s="116"/>
      <c r="D51" s="105"/>
      <c r="E51" s="106"/>
      <c r="F51" s="107"/>
      <c r="G51" s="117"/>
      <c r="H51" s="118"/>
      <c r="I51" s="119"/>
      <c r="J51" s="120"/>
      <c r="K51" s="121"/>
      <c r="L51" s="122"/>
      <c r="N51" s="1055" t="s">
        <v>8004</v>
      </c>
      <c r="O51" s="1017"/>
      <c r="P51" s="500" t="s">
        <v>5659</v>
      </c>
      <c r="Q51" s="393" t="s">
        <v>817</v>
      </c>
      <c r="R51" s="393">
        <v>190</v>
      </c>
      <c r="S51" s="409">
        <f>VLOOKUP($N51,ControlValve!$F$5:$Z$150,2,0)</f>
        <v>190</v>
      </c>
      <c r="T51" s="1065"/>
      <c r="U51" s="409" t="str">
        <f>IF(VLOOKUP($P51,ValveActuator!$F$5:$N$575,6,0)=1,"Fail Close","Fail Open")</f>
        <v>Fail Open</v>
      </c>
      <c r="V51" s="779" t="str">
        <f>IF(VLOOKUP($P51,ValveActuator!$F$5:$P$575,10,0)=TRUE,"Yes","None")</f>
        <v>Yes</v>
      </c>
      <c r="W51" s="409">
        <f>VLOOKUP($P51,ValveActuator!$F$5:$N$562,4,0)</f>
        <v>3</v>
      </c>
      <c r="X51" s="409">
        <f>VLOOKUP($P51,ValveActuator!$F$5:$N$562,2,0)</f>
        <v>3</v>
      </c>
      <c r="Y51" s="655">
        <f>VLOOKUP($N51,ControlValve!$F$5:$V$150,16,0)</f>
        <v>57.411416301440603</v>
      </c>
      <c r="Z51" s="655">
        <f>VLOOKUP($N51,ControlValve!$F$5:$Z$150,18,0)*3600</f>
        <v>103.23361365953328</v>
      </c>
      <c r="AA51" s="656">
        <f>VLOOKUP($N51,ControlValve!$F$5:$Z$150,20,0)/100000</f>
        <v>11.411544627326</v>
      </c>
    </row>
    <row r="52" spans="1:27" ht="13.5" customHeight="1" thickBot="1">
      <c r="A52" s="114"/>
      <c r="B52" s="115"/>
      <c r="C52" s="116"/>
      <c r="D52" s="105"/>
      <c r="E52" s="106"/>
      <c r="F52" s="107"/>
      <c r="G52" s="117"/>
      <c r="H52" s="118"/>
      <c r="I52" s="119"/>
      <c r="J52" s="120"/>
      <c r="K52" s="121"/>
      <c r="L52" s="122"/>
      <c r="N52" s="1055" t="s">
        <v>8005</v>
      </c>
      <c r="O52" s="1017"/>
      <c r="P52" s="849" t="s">
        <v>5660</v>
      </c>
      <c r="Q52" s="393" t="s">
        <v>817</v>
      </c>
      <c r="R52" s="393">
        <v>190</v>
      </c>
      <c r="S52" s="409">
        <f>VLOOKUP($N52,ControlValve!$F$5:$Z$150,2,0)</f>
        <v>190</v>
      </c>
      <c r="T52" s="1065"/>
      <c r="U52" s="409" t="str">
        <f>IF(VLOOKUP($P52,ValveActuator!$F$5:$N$575,6,0)=1,"Fail Close","Fail Open")</f>
        <v>Fail Open</v>
      </c>
      <c r="V52" s="779" t="str">
        <f>IF(VLOOKUP($P52,ValveActuator!$F$5:$P$575,10,0)=TRUE,"Yes","None")</f>
        <v>Yes</v>
      </c>
      <c r="W52" s="409">
        <f>VLOOKUP($P52,ValveActuator!$F$5:$N$562,4,0)</f>
        <v>3</v>
      </c>
      <c r="X52" s="409">
        <f>VLOOKUP($P52,ValveActuator!$F$5:$N$562,2,0)</f>
        <v>3</v>
      </c>
      <c r="Y52" s="655">
        <f>VLOOKUP($N52,ControlValve!$F$5:$V$150,16,0)</f>
        <v>57.411420498722798</v>
      </c>
      <c r="Z52" s="655">
        <f>VLOOKUP($N52,ControlValve!$F$5:$Z$150,18,0)*3600</f>
        <v>103.23361368712116</v>
      </c>
      <c r="AA52" s="656">
        <f>VLOOKUP($N52,ControlValve!$F$5:$Z$150,20,0)/100000</f>
        <v>11.411540809542799</v>
      </c>
    </row>
    <row r="53" spans="1:27" ht="13.5" customHeight="1" thickBot="1">
      <c r="A53" s="114"/>
      <c r="B53" s="115"/>
      <c r="C53" s="116"/>
      <c r="D53" s="105"/>
      <c r="E53" s="106"/>
      <c r="F53" s="107"/>
      <c r="G53" s="117"/>
      <c r="H53" s="118"/>
      <c r="I53" s="119"/>
      <c r="J53" s="120"/>
      <c r="K53" s="121"/>
      <c r="L53" s="122"/>
      <c r="N53" s="1055" t="s">
        <v>8006</v>
      </c>
      <c r="O53" s="1017"/>
      <c r="P53" s="849" t="s">
        <v>5661</v>
      </c>
      <c r="Q53" s="393" t="s">
        <v>817</v>
      </c>
      <c r="R53" s="393">
        <v>190</v>
      </c>
      <c r="S53" s="409">
        <f>VLOOKUP($N53,ControlValve!$F$5:$Z$150,2,0)</f>
        <v>190</v>
      </c>
      <c r="T53" s="1065"/>
      <c r="U53" s="409" t="str">
        <f>IF(VLOOKUP($P53,ValveActuator!$F$5:$N$575,6,0)=1,"Fail Close","Fail Open")</f>
        <v>Fail Open</v>
      </c>
      <c r="V53" s="779" t="str">
        <f>IF(VLOOKUP($P53,ValveActuator!$F$5:$P$575,10,0)=TRUE,"Yes","None")</f>
        <v>Yes</v>
      </c>
      <c r="W53" s="409">
        <f>VLOOKUP($P53,ValveActuator!$F$5:$N$562,4,0)</f>
        <v>3</v>
      </c>
      <c r="X53" s="409">
        <f>VLOOKUP($P53,ValveActuator!$F$5:$N$562,2,0)</f>
        <v>3</v>
      </c>
      <c r="Y53" s="655">
        <f>VLOOKUP($N53,ControlValve!$F$5:$V$150,16,0)</f>
        <v>57.411420498722798</v>
      </c>
      <c r="Z53" s="655">
        <f>VLOOKUP($N53,ControlValve!$F$5:$Z$150,18,0)*3600</f>
        <v>103.23361368712116</v>
      </c>
      <c r="AA53" s="656">
        <f>VLOOKUP($N53,ControlValve!$F$5:$Z$150,20,0)/100000</f>
        <v>11.411540809542799</v>
      </c>
    </row>
    <row r="54" spans="1:27" ht="13.5" customHeight="1" thickBot="1">
      <c r="A54" s="114"/>
      <c r="B54" s="115"/>
      <c r="C54" s="116"/>
      <c r="D54" s="105"/>
      <c r="E54" s="106"/>
      <c r="F54" s="107"/>
      <c r="G54" s="117"/>
      <c r="H54" s="118"/>
      <c r="I54" s="119"/>
      <c r="J54" s="120"/>
      <c r="K54" s="121"/>
      <c r="L54" s="122"/>
      <c r="N54" s="1055" t="s">
        <v>6090</v>
      </c>
      <c r="O54" s="1017"/>
      <c r="P54" s="849" t="s">
        <v>8046</v>
      </c>
      <c r="Q54" s="393" t="s">
        <v>814</v>
      </c>
      <c r="R54" s="393">
        <v>400</v>
      </c>
      <c r="S54" s="409">
        <f>VLOOKUP($N54,ControlValve!$F$5:$Z$150,2,0)</f>
        <v>400</v>
      </c>
      <c r="T54" s="1065"/>
      <c r="U54" s="409" t="str">
        <f>IF(VLOOKUP($P54,ValveActuator!$F$5:$N$575,6,0)=1,"Fail Close","Fail Open")</f>
        <v>Fail Close</v>
      </c>
      <c r="V54" s="779" t="str">
        <f>IF(VLOOKUP($P54,ValveActuator!$F$5:$P$575,10,0)=TRUE,"Yes","None")</f>
        <v>Yes</v>
      </c>
      <c r="W54" s="409">
        <f>VLOOKUP($P54,ValveActuator!$F$5:$N$562,4,0)</f>
        <v>3</v>
      </c>
      <c r="X54" s="409">
        <f>VLOOKUP($P54,ValveActuator!$F$5:$N$562,2,0)</f>
        <v>3</v>
      </c>
      <c r="Y54" s="655">
        <f>VLOOKUP($N54,ControlValve!$F$5:$V$150,16,0)</f>
        <v>61.411918256990901</v>
      </c>
      <c r="Z54" s="655">
        <f>VLOOKUP($N54,ControlValve!$F$5:$Z$150,18,0)*3600</f>
        <v>131.74455775225283</v>
      </c>
      <c r="AA54" s="656">
        <f>VLOOKUP($N54,ControlValve!$F$5:$Z$150,20,0)/100000</f>
        <v>2.8121094410564402</v>
      </c>
    </row>
    <row r="55" spans="1:27" ht="13.5" customHeight="1" thickBot="1">
      <c r="A55" s="114"/>
      <c r="B55" s="115"/>
      <c r="C55" s="116"/>
      <c r="D55" s="105"/>
      <c r="E55" s="106"/>
      <c r="F55" s="107"/>
      <c r="G55" s="117"/>
      <c r="H55" s="118"/>
      <c r="I55" s="119"/>
      <c r="J55" s="120"/>
      <c r="K55" s="121"/>
      <c r="L55" s="122"/>
      <c r="N55" s="1039" t="s">
        <v>847</v>
      </c>
      <c r="O55" s="1017"/>
      <c r="P55" s="849" t="s">
        <v>8047</v>
      </c>
      <c r="Q55" s="393" t="s">
        <v>849</v>
      </c>
      <c r="R55" s="393">
        <v>350</v>
      </c>
      <c r="S55" s="409">
        <f>VLOOKUP($N55,ControlValve!$F$5:$Z$150,2,0)</f>
        <v>350</v>
      </c>
      <c r="T55" s="1065" t="s">
        <v>848</v>
      </c>
      <c r="U55" s="409" t="str">
        <f>IF(VLOOKUP($P55,ValveActuator!$F$5:$N$575,6,0)=1,"Fail Close","Fail Open")</f>
        <v>Fail Close</v>
      </c>
      <c r="V55" s="779" t="str">
        <f>IF(VLOOKUP($P55,ValveActuator!$F$5:$P$575,10,0)=TRUE,"Yes","None")</f>
        <v>None</v>
      </c>
      <c r="W55" s="409">
        <f>VLOOKUP($P55,ValveActuator!$F$5:$N$562,4,0)</f>
        <v>3</v>
      </c>
      <c r="X55" s="409">
        <f>VLOOKUP($P55,ValveActuator!$F$5:$N$562,2,0)</f>
        <v>3</v>
      </c>
      <c r="Y55" s="655">
        <f>VLOOKUP($N55,ControlValve!$F$5:$V$150,16,0)</f>
        <v>46.951576773436699</v>
      </c>
      <c r="Z55" s="655">
        <f>VLOOKUP($N55,ControlValve!$F$5:$Z$150,18,0)*3600</f>
        <v>47.144524622497919</v>
      </c>
      <c r="AA55" s="656">
        <f>VLOOKUP($N55,ControlValve!$F$5:$Z$150,20,0)/100000</f>
        <v>2.7598841619932699</v>
      </c>
    </row>
    <row r="56" spans="1:27" ht="13.5" customHeight="1" thickBot="1">
      <c r="A56" s="114"/>
      <c r="B56" s="115"/>
      <c r="C56" s="116"/>
      <c r="D56" s="105"/>
      <c r="E56" s="106"/>
      <c r="F56" s="107"/>
      <c r="G56" s="117"/>
      <c r="H56" s="118"/>
      <c r="I56" s="119"/>
      <c r="J56" s="120"/>
      <c r="K56" s="121"/>
      <c r="L56" s="122"/>
      <c r="N56" s="1058" t="s">
        <v>851</v>
      </c>
      <c r="O56" s="1017"/>
      <c r="P56" s="849" t="s">
        <v>7841</v>
      </c>
      <c r="Q56" s="393" t="s">
        <v>736</v>
      </c>
      <c r="R56" s="393">
        <v>190</v>
      </c>
      <c r="S56" s="409">
        <f>VLOOKUP($N56,ControlValve!$F$5:$Z$150,2,0)</f>
        <v>190</v>
      </c>
      <c r="T56" s="1065"/>
      <c r="U56" s="409" t="str">
        <f>IF(VLOOKUP($P56,ValveActuator!$F$5:$N$575,6,0)=1,"Fail Close","Fail Open")</f>
        <v>Fail Close</v>
      </c>
      <c r="V56" s="779" t="str">
        <f>IF(VLOOKUP($P56,ValveActuator!$F$5:$P$575,10,0)=TRUE,"Yes","None")</f>
        <v>Yes</v>
      </c>
      <c r="W56" s="409">
        <f>VLOOKUP($P56,ValveActuator!$F$5:$N$562,4,0)</f>
        <v>3</v>
      </c>
      <c r="X56" s="409">
        <f>VLOOKUP($P56,ValveActuator!$F$5:$N$562,2,0)</f>
        <v>3</v>
      </c>
      <c r="Y56" s="655">
        <f>VLOOKUP($N56,ControlValve!$F$5:$V$150,16,0)</f>
        <v>89.522922048585002</v>
      </c>
      <c r="Z56" s="655">
        <f>VLOOKUP($N56,ControlValve!$F$5:$Z$150,18,0)*3600</f>
        <v>45.56816491605732</v>
      </c>
      <c r="AA56" s="656">
        <f>VLOOKUP($N56,ControlValve!$F$5:$Z$150,20,0)/100000</f>
        <v>0.17379331620132499</v>
      </c>
    </row>
    <row r="57" spans="1:27" ht="13.5" customHeight="1" thickBot="1">
      <c r="A57" s="114"/>
      <c r="B57" s="115"/>
      <c r="C57" s="116"/>
      <c r="D57" s="105"/>
      <c r="E57" s="106"/>
      <c r="F57" s="107"/>
      <c r="G57" s="117"/>
      <c r="H57" s="118"/>
      <c r="I57" s="119"/>
      <c r="J57" s="120"/>
      <c r="K57" s="121"/>
      <c r="L57" s="122"/>
      <c r="N57" s="1058" t="s">
        <v>9177</v>
      </c>
      <c r="O57" s="1017"/>
      <c r="P57" s="849" t="s">
        <v>9178</v>
      </c>
      <c r="Q57" s="393" t="s">
        <v>855</v>
      </c>
      <c r="R57" s="802" t="s">
        <v>8876</v>
      </c>
      <c r="S57" s="637">
        <f>VLOOKUP($N57,ControlValve!$F$5:$Z$167,2,0)</f>
        <v>53</v>
      </c>
      <c r="T57" s="1065"/>
      <c r="U57" s="409" t="str">
        <f>IF(VLOOKUP($P57,ValveActuator!$F$5:$N$575,6,0)=1,"Fail Close","Fail Open")</f>
        <v>Fail Close</v>
      </c>
      <c r="V57" s="779" t="str">
        <f>IF(VLOOKUP($P57,ValveActuator!$F$5:$P$575,10,0)=TRUE,"Yes","None")</f>
        <v>None</v>
      </c>
      <c r="W57" s="409">
        <f>VLOOKUP($P57,ValveActuator!$F$5:$N$562,4,0)</f>
        <v>3</v>
      </c>
      <c r="X57" s="409">
        <f>VLOOKUP($P57,ValveActuator!$F$5:$N$562,2,0)</f>
        <v>3</v>
      </c>
      <c r="Y57" s="655">
        <f>VLOOKUP($N57,ControlValve!$F$5:$V$167,16,0)</f>
        <v>100</v>
      </c>
      <c r="Z57" s="655">
        <f>VLOOKUP($N57,ControlValve!$F$5:$Z$167,18,0)*3600</f>
        <v>28.78400663179373</v>
      </c>
      <c r="AA57" s="656">
        <f>VLOOKUP($N57,ControlValve!$F$5:$Z$167,20,0)/100000</f>
        <v>0.27876522007763899</v>
      </c>
    </row>
    <row r="58" spans="1:27" ht="13.5" customHeight="1" thickBot="1">
      <c r="A58" s="114"/>
      <c r="B58" s="115"/>
      <c r="C58" s="116"/>
      <c r="D58" s="105"/>
      <c r="E58" s="106"/>
      <c r="F58" s="107"/>
      <c r="G58" s="117"/>
      <c r="H58" s="118"/>
      <c r="I58" s="119"/>
      <c r="J58" s="120"/>
      <c r="K58" s="121"/>
      <c r="L58" s="122"/>
      <c r="N58" s="1058" t="s">
        <v>8008</v>
      </c>
      <c r="O58" s="1017"/>
      <c r="P58" s="849" t="s">
        <v>8048</v>
      </c>
      <c r="Q58" s="393" t="s">
        <v>855</v>
      </c>
      <c r="R58" s="393">
        <v>105</v>
      </c>
      <c r="S58" s="409">
        <f>VLOOKUP($N58,ControlValve!$F$5:$Z$150,2,0)</f>
        <v>105</v>
      </c>
      <c r="T58" s="1065"/>
      <c r="U58" s="409" t="str">
        <f>IF(VLOOKUP($P58,ValveActuator!$F$5:$N$575,6,0)=1,"Fail Close","Fail Open")</f>
        <v>Fail Close</v>
      </c>
      <c r="V58" s="779" t="str">
        <f>IF(VLOOKUP($P58,ValveActuator!$F$5:$P$575,10,0)=TRUE,"Yes","None")</f>
        <v>None</v>
      </c>
      <c r="W58" s="409">
        <f>VLOOKUP($P58,ValveActuator!$F$5:$N$562,4,0)</f>
        <v>3</v>
      </c>
      <c r="X58" s="409">
        <f>VLOOKUP($P58,ValveActuator!$F$5:$N$562,2,0)</f>
        <v>3</v>
      </c>
      <c r="Y58" s="655">
        <f>VLOOKUP($N58,ControlValve!$F$5:$V$167,16,0)</f>
        <v>34.131543202921897</v>
      </c>
      <c r="Z58" s="655">
        <f>VLOOKUP($N58,ControlValve!$F$5:$Z$167,18,0)*3600</f>
        <v>2.2817666226489335</v>
      </c>
      <c r="AA58" s="656">
        <f>VLOOKUP($N58,ControlValve!$F$5:$Z$167,20,0)/100000</f>
        <v>8.9275007262125686E-2</v>
      </c>
    </row>
    <row r="59" spans="1:27" ht="13.5" customHeight="1" thickBot="1">
      <c r="A59" s="114"/>
      <c r="B59" s="115"/>
      <c r="C59" s="116"/>
      <c r="D59" s="105"/>
      <c r="E59" s="106"/>
      <c r="F59" s="107"/>
      <c r="G59" s="117"/>
      <c r="H59" s="118"/>
      <c r="I59" s="119"/>
      <c r="J59" s="120"/>
      <c r="K59" s="121"/>
      <c r="L59" s="122"/>
      <c r="N59" s="1058" t="s">
        <v>861</v>
      </c>
      <c r="O59" s="1017"/>
      <c r="P59" s="500" t="s">
        <v>7761</v>
      </c>
      <c r="Q59" s="393" t="s">
        <v>862</v>
      </c>
      <c r="R59" s="393">
        <v>190</v>
      </c>
      <c r="S59" s="409">
        <f>VLOOKUP($N59,ControlValve!$F$5:$Z$150,2,0)</f>
        <v>190</v>
      </c>
      <c r="T59" s="1065"/>
      <c r="U59" s="409" t="str">
        <f>IF(VLOOKUP($P59,ValveActuator!$F$5:$N$575,6,0)=1,"Fail Close","Fail Open")</f>
        <v>Fail Close</v>
      </c>
      <c r="V59" s="779" t="str">
        <f>IF(VLOOKUP($P59,ValveActuator!$F$5:$P$575,10,0)=TRUE,"Yes","None")</f>
        <v>None</v>
      </c>
      <c r="W59" s="409">
        <f>VLOOKUP($P59,ValveActuator!$F$5:$N$562,4,0)</f>
        <v>3</v>
      </c>
      <c r="X59" s="409">
        <f>VLOOKUP($P59,ValveActuator!$F$5:$N$562,2,0)</f>
        <v>3</v>
      </c>
      <c r="Y59" s="655">
        <f>VLOOKUP($N59,ControlValve!$F$5:$V$167,16,0)</f>
        <v>0</v>
      </c>
      <c r="Z59" s="655">
        <f>VLOOKUP($N59,ControlValve!$F$5:$Z$167,18,0)*3600</f>
        <v>0</v>
      </c>
      <c r="AA59" s="656">
        <f>VLOOKUP($N59,ControlValve!$F$5:$Z$167,20,0)/100000</f>
        <v>2.0685053345749601E-2</v>
      </c>
    </row>
    <row r="60" spans="1:27" s="615" customFormat="1" ht="13.5" customHeight="1" thickBot="1">
      <c r="A60" s="114"/>
      <c r="B60" s="115"/>
      <c r="C60" s="116"/>
      <c r="D60" s="105"/>
      <c r="E60" s="106"/>
      <c r="F60" s="107"/>
      <c r="G60" s="117"/>
      <c r="H60" s="118"/>
      <c r="I60" s="119"/>
      <c r="J60" s="120"/>
      <c r="K60" s="121"/>
      <c r="L60" s="122"/>
      <c r="M60" s="621"/>
      <c r="N60" s="1058" t="s">
        <v>10524</v>
      </c>
      <c r="O60" s="1017"/>
      <c r="P60" s="500" t="s">
        <v>10526</v>
      </c>
      <c r="Q60" s="623" t="s">
        <v>712</v>
      </c>
      <c r="R60" s="623">
        <v>1100</v>
      </c>
      <c r="S60" s="779">
        <f>VLOOKUP($N60,ControlValve!$F$5:$Z$150,2,0)</f>
        <v>1100</v>
      </c>
      <c r="T60" s="1065"/>
      <c r="U60" s="779" t="str">
        <f>IF(VLOOKUP($P60,ValveActuator!$F$5:$N$575,6,0)=1,"Fail Close","Fail Open")</f>
        <v>Fail Open</v>
      </c>
      <c r="V60" s="779" t="str">
        <f>IF(VLOOKUP($P60,ValveActuator!$F$5:$P$575,10,0)=TRUE,"Yes","None")</f>
        <v>Yes</v>
      </c>
      <c r="W60" s="779">
        <f>VLOOKUP($P60,ValveActuator!$F$5:$N$562,4,0)</f>
        <v>3</v>
      </c>
      <c r="X60" s="779">
        <f>VLOOKUP($P60,ValveActuator!$F$5:$N$562,2,0)</f>
        <v>3</v>
      </c>
      <c r="Y60" s="655">
        <f>VLOOKUP($N60,ControlValve!$F$5:$V$167,16,0)</f>
        <v>93.5</v>
      </c>
      <c r="Z60" s="655">
        <f>VLOOKUP($N60,ControlValve!$F$5:$Z$167,18,0)*3600</f>
        <v>589.92435091244522</v>
      </c>
      <c r="AA60" s="656">
        <f>VLOOKUP($N60,ControlValve!$F$5:$Z$167,20,0)/100000</f>
        <v>0.58554325889872194</v>
      </c>
    </row>
    <row r="61" spans="1:27" s="615" customFormat="1" ht="13.5" customHeight="1" thickBot="1">
      <c r="A61" s="114"/>
      <c r="B61" s="115"/>
      <c r="C61" s="116"/>
      <c r="D61" s="105"/>
      <c r="E61" s="106"/>
      <c r="F61" s="107"/>
      <c r="G61" s="117"/>
      <c r="H61" s="118"/>
      <c r="I61" s="119"/>
      <c r="J61" s="120"/>
      <c r="K61" s="121"/>
      <c r="L61" s="122"/>
      <c r="M61" s="621"/>
      <c r="N61" s="1058" t="s">
        <v>10525</v>
      </c>
      <c r="O61" s="1016"/>
      <c r="P61" s="849" t="s">
        <v>10527</v>
      </c>
      <c r="Q61" s="623" t="s">
        <v>712</v>
      </c>
      <c r="R61" s="623">
        <v>1100</v>
      </c>
      <c r="S61" s="779">
        <f>VLOOKUP($N61,ControlValve!$F$5:$Z$150,2,0)</f>
        <v>1100</v>
      </c>
      <c r="T61" s="1065"/>
      <c r="U61" s="779" t="str">
        <f>IF(VLOOKUP($P61,ValveActuator!$F$5:$N$575,6,0)=1,"Fail Close","Fail Open")</f>
        <v>Fail Open</v>
      </c>
      <c r="V61" s="779" t="str">
        <f>IF(VLOOKUP($P61,ValveActuator!$F$5:$P$575,10,0)=TRUE,"Yes","None")</f>
        <v>Yes</v>
      </c>
      <c r="W61" s="779">
        <f>VLOOKUP($P61,ValveActuator!$F$5:$N$562,4,0)</f>
        <v>3</v>
      </c>
      <c r="X61" s="779">
        <f>VLOOKUP($P61,ValveActuator!$F$5:$N$562,2,0)</f>
        <v>3</v>
      </c>
      <c r="Y61" s="655">
        <f>VLOOKUP($N61,ControlValve!$F$5:$V$167,16,0)</f>
        <v>93.5</v>
      </c>
      <c r="Z61" s="655">
        <f>VLOOKUP($N61,ControlValve!$F$5:$Z$167,18,0)*3600</f>
        <v>589.93792296163565</v>
      </c>
      <c r="AA61" s="656">
        <f>VLOOKUP($N61,ControlValve!$F$5:$Z$167,20,0)/100000</f>
        <v>0.58556942078681995</v>
      </c>
    </row>
    <row r="62" spans="1:27" ht="13.5" customHeight="1" thickBot="1">
      <c r="A62" s="114"/>
      <c r="B62" s="115"/>
      <c r="C62" s="116"/>
      <c r="D62" s="105"/>
      <c r="E62" s="106"/>
      <c r="F62" s="107"/>
      <c r="G62" s="117"/>
      <c r="H62" s="118"/>
      <c r="I62" s="119"/>
      <c r="J62" s="120"/>
      <c r="K62" s="121"/>
      <c r="L62" s="122"/>
      <c r="N62" s="1058" t="s">
        <v>864</v>
      </c>
      <c r="O62" s="1016"/>
      <c r="P62" s="849" t="s">
        <v>6557</v>
      </c>
      <c r="Q62" s="393" t="s">
        <v>712</v>
      </c>
      <c r="R62" s="393">
        <v>1100</v>
      </c>
      <c r="S62" s="409">
        <f>VLOOKUP($N62,ControlValve!$F$5:$Z$150,2,0)</f>
        <v>1100</v>
      </c>
      <c r="T62" s="1065"/>
      <c r="U62" s="409" t="str">
        <f>IF(VLOOKUP($P62,ValveActuator!$F$5:$N$575,6,0)=1,"Fail Close","Fail Open")</f>
        <v>Fail Open</v>
      </c>
      <c r="V62" s="779" t="str">
        <f>IF(VLOOKUP($P62,ValveActuator!$F$5:$P$575,10,0)=TRUE,"Yes","None")</f>
        <v>Yes</v>
      </c>
      <c r="W62" s="409">
        <f>VLOOKUP($P62,ValveActuator!$F$5:$N$562,4,0)</f>
        <v>3</v>
      </c>
      <c r="X62" s="409">
        <f>VLOOKUP($P62,ValveActuator!$F$5:$N$562,2,0)</f>
        <v>3</v>
      </c>
      <c r="Y62" s="655">
        <f>VLOOKUP($N62,ControlValve!$F$5:$V$167,16,0)</f>
        <v>64.797869559720795</v>
      </c>
      <c r="Z62" s="655">
        <f>VLOOKUP($N62,ControlValve!$F$5:$Z$167,18,0)*3600</f>
        <v>585.82881946801081</v>
      </c>
      <c r="AA62" s="656">
        <f>VLOOKUP($N62,ControlValve!$F$5:$Z$167,20,0)/100000</f>
        <v>5.6474586507593898</v>
      </c>
    </row>
    <row r="63" spans="1:27" ht="13.5" customHeight="1" thickBot="1">
      <c r="A63" s="114"/>
      <c r="B63" s="115"/>
      <c r="C63" s="116"/>
      <c r="D63" s="105"/>
      <c r="E63" s="106"/>
      <c r="F63" s="107"/>
      <c r="G63" s="117"/>
      <c r="H63" s="118"/>
      <c r="I63" s="119"/>
      <c r="J63" s="120"/>
      <c r="K63" s="121"/>
      <c r="L63" s="122"/>
      <c r="N63" s="1059" t="s">
        <v>866</v>
      </c>
      <c r="O63" s="1050" t="s">
        <v>10811</v>
      </c>
      <c r="P63" s="849" t="s">
        <v>6558</v>
      </c>
      <c r="Q63" s="393" t="s">
        <v>712</v>
      </c>
      <c r="R63" s="393">
        <v>1100</v>
      </c>
      <c r="S63" s="409">
        <f>VLOOKUP($N63,ControlValve!$F$5:$Z$150,2,0)</f>
        <v>1100</v>
      </c>
      <c r="T63" s="1065"/>
      <c r="U63" s="409" t="str">
        <f>IF(VLOOKUP($P63,ValveActuator!$F$5:$N$575,6,0)=1,"Fail Close","Fail Open")</f>
        <v>Fail Close</v>
      </c>
      <c r="V63" s="779" t="str">
        <f>IF(VLOOKUP($P63,ValveActuator!$F$5:$P$575,10,0)=TRUE,"Yes","None")</f>
        <v>Yes</v>
      </c>
      <c r="W63" s="409">
        <f>VLOOKUP($P63,ValveActuator!$F$5:$N$562,4,0)</f>
        <v>3</v>
      </c>
      <c r="X63" s="409">
        <f>VLOOKUP($P63,ValveActuator!$F$5:$N$562,2,0)</f>
        <v>3</v>
      </c>
      <c r="Y63" s="655">
        <f>VLOOKUP($N63,ControlValve!$F$5:$V$167,16,0)</f>
        <v>64.797869559720795</v>
      </c>
      <c r="Z63" s="655">
        <f>VLOOKUP($N63,ControlValve!$F$5:$Z$167,18,0)*3600</f>
        <v>585.77869683431277</v>
      </c>
      <c r="AA63" s="656">
        <f>VLOOKUP($N63,ControlValve!$F$5:$Z$167,20,0)/100000</f>
        <v>5.6463428813457606</v>
      </c>
    </row>
    <row r="64" spans="1:27" ht="13.5" customHeight="1" thickBot="1">
      <c r="A64" s="114"/>
      <c r="B64" s="115"/>
      <c r="C64" s="116"/>
      <c r="D64" s="105"/>
      <c r="E64" s="106"/>
      <c r="F64" s="107"/>
      <c r="G64" s="117"/>
      <c r="H64" s="118"/>
      <c r="I64" s="119"/>
      <c r="J64" s="120"/>
      <c r="K64" s="121"/>
      <c r="L64" s="122"/>
      <c r="N64" s="1058" t="s">
        <v>876</v>
      </c>
      <c r="O64" s="1016"/>
      <c r="P64" s="849" t="s">
        <v>7741</v>
      </c>
      <c r="Q64" s="393" t="s">
        <v>727</v>
      </c>
      <c r="R64" s="393">
        <v>44</v>
      </c>
      <c r="S64" s="409">
        <f>VLOOKUP($N64,ControlValve!$F$5:$Z$150,2,0)</f>
        <v>44</v>
      </c>
      <c r="T64" s="1065"/>
      <c r="U64" s="409" t="str">
        <f>IF(VLOOKUP($P64,ValveActuator!$F$5:$N$575,6,0)=1,"Fail Close","Fail Open")</f>
        <v>Fail Open</v>
      </c>
      <c r="V64" s="779" t="str">
        <f>IF(VLOOKUP($P64,ValveActuator!$F$5:$P$575,10,0)=TRUE,"Yes","None")</f>
        <v>None</v>
      </c>
      <c r="W64" s="409">
        <f>VLOOKUP($P64,ValveActuator!$F$5:$N$562,4,0)</f>
        <v>3</v>
      </c>
      <c r="X64" s="409">
        <f>VLOOKUP($P64,ValveActuator!$F$5:$N$562,2,0)</f>
        <v>3</v>
      </c>
      <c r="Y64" s="655">
        <f>VLOOKUP($N64,ControlValve!$F$5:$V$167,16,0)</f>
        <v>100</v>
      </c>
      <c r="Z64" s="655">
        <f>VLOOKUP($N64,ControlValve!$F$5:$Z$167,18,0)*3600</f>
        <v>1370.15470097307</v>
      </c>
      <c r="AA64" s="656">
        <f>VLOOKUP($N64,ControlValve!$F$5:$Z$167,20,0)/100000</f>
        <v>25</v>
      </c>
    </row>
    <row r="65" spans="1:27" ht="13.5" customHeight="1" thickBot="1">
      <c r="A65" s="114"/>
      <c r="B65" s="115"/>
      <c r="C65" s="116"/>
      <c r="D65" s="105"/>
      <c r="E65" s="106"/>
      <c r="F65" s="107"/>
      <c r="G65" s="117"/>
      <c r="H65" s="118"/>
      <c r="I65" s="119"/>
      <c r="J65" s="120"/>
      <c r="K65" s="121"/>
      <c r="L65" s="122"/>
      <c r="N65" s="1050" t="s">
        <v>880</v>
      </c>
      <c r="O65" s="1016"/>
      <c r="P65" s="849" t="s">
        <v>5603</v>
      </c>
      <c r="Q65" s="393" t="s">
        <v>849</v>
      </c>
      <c r="R65" s="802" t="s">
        <v>8876</v>
      </c>
      <c r="S65" s="637">
        <f>VLOOKUP($N65,ControlValve!$F$5:$Z$150,2,0)</f>
        <v>1000</v>
      </c>
      <c r="T65" s="1065"/>
      <c r="U65" s="409" t="str">
        <f>IF(VLOOKUP($P65,ValveActuator!$F$5:$N$575,6,0)=1,"Fail Close","Fail Open")</f>
        <v>Fail Close</v>
      </c>
      <c r="V65" s="779" t="str">
        <f>IF(VLOOKUP($P65,ValveActuator!$F$5:$P$575,10,0)=TRUE,"Yes","None")</f>
        <v>None</v>
      </c>
      <c r="W65" s="409">
        <f>VLOOKUP($P65,ValveActuator!$F$5:$N$562,4,0)</f>
        <v>3</v>
      </c>
      <c r="X65" s="409">
        <f>VLOOKUP($P65,ValveActuator!$F$5:$N$562,2,0)</f>
        <v>3</v>
      </c>
      <c r="Y65" s="655">
        <f>VLOOKUP($N65,ControlValve!$F$5:$V$167,16,0)</f>
        <v>100</v>
      </c>
      <c r="Z65" s="655">
        <f>VLOOKUP($N65,ControlValve!$F$5:$Z$167,18,0)*3600</f>
        <v>47.144525134185358</v>
      </c>
      <c r="AA65" s="656">
        <f>VLOOKUP($N65,ControlValve!$F$5:$Z$167,20,0)/100000</f>
        <v>4.8943445956000899E-2</v>
      </c>
    </row>
    <row r="66" spans="1:27" ht="13.5" customHeight="1" thickBot="1">
      <c r="A66" s="114"/>
      <c r="B66" s="115"/>
      <c r="C66" s="116"/>
      <c r="D66" s="105"/>
      <c r="E66" s="106"/>
      <c r="F66" s="107"/>
      <c r="G66" s="117"/>
      <c r="H66" s="118"/>
      <c r="I66" s="119"/>
      <c r="J66" s="120"/>
      <c r="K66" s="121"/>
      <c r="L66" s="122"/>
      <c r="N66" s="1058" t="s">
        <v>887</v>
      </c>
      <c r="O66" s="1016"/>
      <c r="P66" s="849" t="s">
        <v>5584</v>
      </c>
      <c r="Q66" s="393" t="s">
        <v>782</v>
      </c>
      <c r="R66" s="393">
        <v>540</v>
      </c>
      <c r="S66" s="409">
        <f>VLOOKUP($N66,ControlValve!$F$5:$Z$150,2,0)</f>
        <v>540</v>
      </c>
      <c r="T66" s="1065"/>
      <c r="U66" s="409" t="str">
        <f>IF(VLOOKUP($P66,ValveActuator!$F$5:$N$575,6,0)=1,"Fail Close","Fail Open")</f>
        <v>Fail Open</v>
      </c>
      <c r="V66" s="779" t="str">
        <f>IF(VLOOKUP($P66,ValveActuator!$F$5:$P$575,10,0)=TRUE,"Yes","None")</f>
        <v>None</v>
      </c>
      <c r="W66" s="409">
        <f>VLOOKUP($P66,ValveActuator!$F$5:$N$562,4,0)</f>
        <v>3</v>
      </c>
      <c r="X66" s="409">
        <f>VLOOKUP($P66,ValveActuator!$F$5:$N$562,2,0)</f>
        <v>3</v>
      </c>
      <c r="Y66" s="655">
        <f>VLOOKUP($N66,ControlValve!$F$5:$V$167,16,0)</f>
        <v>0</v>
      </c>
      <c r="Z66" s="655">
        <f>VLOOKUP($N66,ControlValve!$F$5:$Z$167,18,0)*3600</f>
        <v>0</v>
      </c>
      <c r="AA66" s="656">
        <f>VLOOKUP($N66,ControlValve!$F$5:$Z$167,20,0)/100000</f>
        <v>3.3480201915535903</v>
      </c>
    </row>
    <row r="67" spans="1:27" ht="13.5" customHeight="1" thickBot="1">
      <c r="A67" s="114"/>
      <c r="B67" s="115"/>
      <c r="C67" s="116"/>
      <c r="D67" s="105"/>
      <c r="E67" s="106"/>
      <c r="F67" s="107"/>
      <c r="G67" s="117"/>
      <c r="H67" s="118"/>
      <c r="I67" s="119"/>
      <c r="J67" s="120"/>
      <c r="K67" s="121"/>
      <c r="L67" s="122"/>
      <c r="N67" s="1055" t="s">
        <v>8009</v>
      </c>
      <c r="O67" s="1016"/>
      <c r="P67" s="849" t="s">
        <v>6059</v>
      </c>
      <c r="Q67" s="393" t="s">
        <v>702</v>
      </c>
      <c r="R67" s="393">
        <v>150</v>
      </c>
      <c r="S67" s="409">
        <f>VLOOKUP($N67,ControlValve!$F$5:$Z$150,2,0)</f>
        <v>150</v>
      </c>
      <c r="T67" s="161" t="s">
        <v>893</v>
      </c>
      <c r="U67" s="409" t="str">
        <f>IF(VLOOKUP($P67,ValveActuator!$F$5:$N$575,6,0)=1,"Fail Close","Fail Open")</f>
        <v>Fail Open</v>
      </c>
      <c r="V67" s="779" t="str">
        <f>IF(VLOOKUP($P67,ValveActuator!$F$5:$P$575,10,0)=TRUE,"Yes","None")</f>
        <v>Yes</v>
      </c>
      <c r="W67" s="409">
        <f>VLOOKUP($P67,ValveActuator!$F$5:$N$562,4,0)</f>
        <v>3</v>
      </c>
      <c r="X67" s="409">
        <f>VLOOKUP($P67,ValveActuator!$F$5:$N$562,2,0)</f>
        <v>3</v>
      </c>
      <c r="Y67" s="655">
        <f>VLOOKUP($N67,ControlValve!$F$5:$V$167,16,0)</f>
        <v>2</v>
      </c>
      <c r="Z67" s="655">
        <f>VLOOKUP($N67,ControlValve!$F$5:$Z$167,18,0)*3600</f>
        <v>0.18764466327893808</v>
      </c>
      <c r="AA67" s="656">
        <f>VLOOKUP($N67,ControlValve!$F$5:$Z$167,20,0)/100000</f>
        <v>0.55586062704351902</v>
      </c>
    </row>
    <row r="68" spans="1:27" ht="13.5" customHeight="1" thickBot="1">
      <c r="A68" s="114"/>
      <c r="B68" s="115"/>
      <c r="C68" s="116"/>
      <c r="D68" s="105"/>
      <c r="E68" s="106"/>
      <c r="F68" s="107"/>
      <c r="G68" s="117"/>
      <c r="H68" s="118"/>
      <c r="I68" s="119"/>
      <c r="J68" s="120"/>
      <c r="K68" s="121"/>
      <c r="L68" s="122"/>
      <c r="N68" s="1050" t="s">
        <v>8856</v>
      </c>
      <c r="O68" s="1016"/>
      <c r="P68" s="500" t="s">
        <v>8049</v>
      </c>
      <c r="Q68" s="393" t="s">
        <v>770</v>
      </c>
      <c r="R68" s="802" t="s">
        <v>8876</v>
      </c>
      <c r="S68" s="637">
        <f>VLOOKUP($N68,ControlValve!$F$5:$Z$150,2,0)</f>
        <v>500</v>
      </c>
      <c r="T68" s="161" t="s">
        <v>895</v>
      </c>
      <c r="U68" s="409" t="str">
        <f>IF(VLOOKUP($P68,ValveActuator!$F$5:$N$575,6,0)=1,"Fail Close","Fail Open")</f>
        <v>Fail Close</v>
      </c>
      <c r="V68" s="779" t="str">
        <f>IF(VLOOKUP($P68,ValveActuator!$F$5:$P$575,10,0)=TRUE,"Yes","None")</f>
        <v>None</v>
      </c>
      <c r="W68" s="409">
        <f>VLOOKUP($P68,ValveActuator!$F$5:$N$562,4,0)</f>
        <v>3</v>
      </c>
      <c r="X68" s="409">
        <f>VLOOKUP($P68,ValveActuator!$F$5:$N$562,2,0)</f>
        <v>3</v>
      </c>
      <c r="Y68" s="655">
        <f>VLOOKUP($N68,ControlValve!$F$5:$V$167,16,0)</f>
        <v>0</v>
      </c>
      <c r="Z68" s="655">
        <f>VLOOKUP($N68,ControlValve!$F$5:$Z$167,18,0)*3600</f>
        <v>0</v>
      </c>
      <c r="AA68" s="656">
        <f>VLOOKUP($N68,ControlValve!$F$5:$Z$167,20,0)/100000</f>
        <v>13.1581825079263</v>
      </c>
    </row>
    <row r="69" spans="1:27" ht="13.5" customHeight="1" thickBot="1">
      <c r="A69" s="114"/>
      <c r="B69" s="115"/>
      <c r="C69" s="116"/>
      <c r="D69" s="105"/>
      <c r="E69" s="106"/>
      <c r="F69" s="107"/>
      <c r="G69" s="117"/>
      <c r="H69" s="118"/>
      <c r="I69" s="119"/>
      <c r="J69" s="120"/>
      <c r="K69" s="121"/>
      <c r="L69" s="122"/>
      <c r="N69" s="1055" t="s">
        <v>5378</v>
      </c>
      <c r="O69" s="1037"/>
      <c r="P69" s="849" t="s">
        <v>6503</v>
      </c>
      <c r="Q69" s="1057" t="s">
        <v>10823</v>
      </c>
      <c r="R69" s="393">
        <v>149</v>
      </c>
      <c r="S69" s="409">
        <f>VLOOKUP($N69,ControlValve!$F$5:$Z$150,2,0)</f>
        <v>149</v>
      </c>
      <c r="T69" s="161" t="s">
        <v>897</v>
      </c>
      <c r="U69" s="409" t="str">
        <f>IF(VLOOKUP($P69,ValveActuator!$F$5:$N$575,6,0)=1,"Fail Close","Fail Open")</f>
        <v>Fail Close</v>
      </c>
      <c r="V69" s="779" t="str">
        <f>IF(VLOOKUP($P69,ValveActuator!$F$5:$P$575,10,0)=TRUE,"Yes","None")</f>
        <v>None</v>
      </c>
      <c r="W69" s="409">
        <f>VLOOKUP($P69,ValveActuator!$F$5:$N$562,4,0)</f>
        <v>3</v>
      </c>
      <c r="X69" s="409">
        <f>VLOOKUP($P69,ValveActuator!$F$5:$N$562,2,0)</f>
        <v>3</v>
      </c>
      <c r="Y69" s="655">
        <f>VLOOKUP($N69,ControlValve!$F$5:$V$167,16,0)</f>
        <v>96.147940056883002</v>
      </c>
      <c r="Z69" s="655">
        <f>VLOOKUP($N69,ControlValve!$F$5:$Z$167,18,0)*3600</f>
        <v>580.31874033561007</v>
      </c>
      <c r="AA69" s="656">
        <f>VLOOKUP($N69,ControlValve!$F$5:$Z$167,20,0)/100000</f>
        <v>20.456554439253498</v>
      </c>
    </row>
    <row r="70" spans="1:27" ht="13.5" customHeight="1" thickBot="1">
      <c r="A70" s="114"/>
      <c r="B70" s="115"/>
      <c r="C70" s="116"/>
      <c r="D70" s="105"/>
      <c r="E70" s="106"/>
      <c r="F70" s="107"/>
      <c r="G70" s="117"/>
      <c r="H70" s="118"/>
      <c r="I70" s="119"/>
      <c r="J70" s="120"/>
      <c r="K70" s="121"/>
      <c r="L70" s="122"/>
      <c r="N70" s="1058" t="s">
        <v>9145</v>
      </c>
      <c r="O70" s="1016"/>
      <c r="P70" s="500" t="s">
        <v>9146</v>
      </c>
      <c r="Q70" s="1042" t="s">
        <v>10825</v>
      </c>
      <c r="R70" s="802" t="s">
        <v>8876</v>
      </c>
      <c r="S70" s="637">
        <f>VLOOKUP($N70,ControlValve!$F$5:$Z$150,2,0)</f>
        <v>50</v>
      </c>
      <c r="T70" s="161" t="s">
        <v>901</v>
      </c>
      <c r="U70" s="409" t="str">
        <f>IF(VLOOKUP($P70,ValveActuator!$F$5:$N$575,6,0)=1,"Fail Close","Fail Open")</f>
        <v>Fail Open</v>
      </c>
      <c r="V70" s="779" t="str">
        <f>IF(VLOOKUP($P70,ValveActuator!$F$5:$P$575,10,0)=TRUE,"Yes","None")</f>
        <v>None</v>
      </c>
      <c r="W70" s="409">
        <f>VLOOKUP($P70,ValveActuator!$F$5:$N$562,4,0)</f>
        <v>3</v>
      </c>
      <c r="X70" s="409">
        <f>VLOOKUP($P70,ValveActuator!$F$5:$N$562,2,0)</f>
        <v>3</v>
      </c>
      <c r="Y70" s="655">
        <f>VLOOKUP($N70,ControlValve!$F$5:$V$167,16,0)</f>
        <v>0</v>
      </c>
      <c r="Z70" s="655">
        <f>VLOOKUP($N70,ControlValve!$F$5:$Z$167,18,0)*3600</f>
        <v>0</v>
      </c>
      <c r="AA70" s="656">
        <f>VLOOKUP($N70,ControlValve!$F$5:$Z$167,20,0)/100000</f>
        <v>4.0176572745930503</v>
      </c>
    </row>
    <row r="71" spans="1:27" ht="13.5" customHeight="1" thickBot="1">
      <c r="A71" s="114"/>
      <c r="B71" s="115"/>
      <c r="C71" s="116"/>
      <c r="D71" s="105"/>
      <c r="E71" s="106"/>
      <c r="F71" s="107"/>
      <c r="G71" s="117"/>
      <c r="H71" s="118"/>
      <c r="I71" s="119"/>
      <c r="J71" s="120"/>
      <c r="K71" s="121"/>
      <c r="L71" s="122"/>
      <c r="N71" s="1060" t="s">
        <v>8012</v>
      </c>
      <c r="O71" s="1056" t="s">
        <v>10812</v>
      </c>
      <c r="P71" s="500" t="s">
        <v>8050</v>
      </c>
      <c r="Q71" s="1057" t="s">
        <v>938</v>
      </c>
      <c r="R71" s="393">
        <v>7.51</v>
      </c>
      <c r="S71" s="409">
        <f>VLOOKUP($N71,ControlValve!$F$5:$Z$150,2,0)</f>
        <v>7.51</v>
      </c>
      <c r="T71" s="161" t="s">
        <v>903</v>
      </c>
      <c r="U71" s="409" t="str">
        <f>IF(VLOOKUP($P71,ValveActuator!$F$5:$N$575,6,0)=1,"Fail Close","Fail Open")</f>
        <v>Fail Close</v>
      </c>
      <c r="V71" s="779" t="str">
        <f>IF(VLOOKUP($P71,ValveActuator!$F$5:$P$575,10,0)=TRUE,"Yes","None")</f>
        <v>None</v>
      </c>
      <c r="W71" s="409">
        <f>VLOOKUP($P71,ValveActuator!$F$5:$N$562,4,0)</f>
        <v>3</v>
      </c>
      <c r="X71" s="409">
        <f>VLOOKUP($P71,ValveActuator!$F$5:$N$562,2,0)</f>
        <v>3</v>
      </c>
      <c r="Y71" s="655">
        <f>VLOOKUP($N71,ControlValve!$F$5:$V$167,16,0)</f>
        <v>33.255844078114599</v>
      </c>
      <c r="Z71" s="655">
        <f>VLOOKUP($N71,ControlValve!$F$5:$Z$167,18,0)*3600</f>
        <v>0.52761476637732962</v>
      </c>
      <c r="AA71" s="656">
        <f>VLOOKUP($N71,ControlValve!$F$5:$Z$167,20,0)/100000</f>
        <v>1.3557137225495499</v>
      </c>
    </row>
    <row r="72" spans="1:27" ht="13.5" customHeight="1" thickBot="1">
      <c r="A72" s="114"/>
      <c r="B72" s="115"/>
      <c r="C72" s="116"/>
      <c r="D72" s="105"/>
      <c r="E72" s="106"/>
      <c r="F72" s="107"/>
      <c r="G72" s="117"/>
      <c r="H72" s="118"/>
      <c r="I72" s="119"/>
      <c r="J72" s="120"/>
      <c r="K72" s="121"/>
      <c r="L72" s="122"/>
      <c r="N72" s="1058" t="s">
        <v>8859</v>
      </c>
      <c r="O72" s="1016"/>
      <c r="P72" s="500" t="s">
        <v>8860</v>
      </c>
      <c r="Q72" s="393" t="s">
        <v>770</v>
      </c>
      <c r="R72" s="393">
        <v>35.799999999999997</v>
      </c>
      <c r="S72" s="409">
        <f>VLOOKUP($N72,ControlValve!$F$5:$Z$150,2,0)</f>
        <v>35.799999999999997</v>
      </c>
      <c r="T72" s="161"/>
      <c r="U72" s="409" t="str">
        <f>IF(VLOOKUP($P72,ValveActuator!$F$5:$N$575,6,0)=1,"Fail Close","Fail Open")</f>
        <v>Fail Close</v>
      </c>
      <c r="V72" s="779" t="str">
        <f>IF(VLOOKUP($P72,ValveActuator!$F$5:$P$575,10,0)=TRUE,"Yes","None")</f>
        <v>None</v>
      </c>
      <c r="W72" s="409">
        <f>VLOOKUP($P72,ValveActuator!$F$5:$N$562,4,0)</f>
        <v>3</v>
      </c>
      <c r="X72" s="409">
        <f>VLOOKUP($P72,ValveActuator!$F$5:$N$562,2,0)</f>
        <v>3</v>
      </c>
      <c r="Y72" s="655">
        <f>VLOOKUP($N72,ControlValve!$F$5:$V$167,16,0)</f>
        <v>23.199548168230301</v>
      </c>
      <c r="Z72" s="655">
        <f>VLOOKUP($N72,ControlValve!$F$5:$Z$167,18,0)*3600</f>
        <v>4.7006916669527046</v>
      </c>
      <c r="AA72" s="656">
        <f>VLOOKUP($N72,ControlValve!$F$5:$Z$167,20,0)/100000</f>
        <v>8.3548698577687404</v>
      </c>
    </row>
    <row r="73" spans="1:27" ht="13.5" customHeight="1" thickBot="1">
      <c r="A73" s="114"/>
      <c r="B73" s="115"/>
      <c r="C73" s="116"/>
      <c r="D73" s="105"/>
      <c r="E73" s="106"/>
      <c r="F73" s="107"/>
      <c r="G73" s="117"/>
      <c r="H73" s="118"/>
      <c r="I73" s="119"/>
      <c r="J73" s="120"/>
      <c r="K73" s="121"/>
      <c r="L73" s="122"/>
      <c r="N73" s="1058" t="s">
        <v>907</v>
      </c>
      <c r="O73" s="1037"/>
      <c r="P73" s="1020" t="s">
        <v>6501</v>
      </c>
      <c r="Q73" s="1057" t="s">
        <v>10823</v>
      </c>
      <c r="R73" s="393">
        <v>35.799999999999997</v>
      </c>
      <c r="S73" s="409">
        <f>VLOOKUP($N73,ControlValve!$F$5:$Z$150,2,0)</f>
        <v>35.799999999999997</v>
      </c>
      <c r="T73" s="161" t="s">
        <v>908</v>
      </c>
      <c r="U73" s="409" t="str">
        <f>IF(VLOOKUP($P73,ValveActuator!$F$5:$N$575,6,0)=1,"Fail Close","Fail Open")</f>
        <v>Fail Close</v>
      </c>
      <c r="V73" s="779" t="str">
        <f>IF(VLOOKUP($P73,ValveActuator!$F$5:$P$575,10,0)=TRUE,"Yes","None")</f>
        <v>None</v>
      </c>
      <c r="W73" s="409">
        <f>VLOOKUP($P73,ValveActuator!$F$5:$N$562,4,0)</f>
        <v>3</v>
      </c>
      <c r="X73" s="409">
        <f>VLOOKUP($P73,ValveActuator!$F$5:$N$562,2,0)</f>
        <v>3</v>
      </c>
      <c r="Y73" s="655">
        <f>VLOOKUP($N73,ControlValve!$F$5:$V$167,16,0)</f>
        <v>5.5334946545631501E-3</v>
      </c>
      <c r="Z73" s="655">
        <f>VLOOKUP($N73,ControlValve!$F$5:$Z$167,18,0)*3600</f>
        <v>8.1042996433793035E-3</v>
      </c>
      <c r="AA73" s="656">
        <f>VLOOKUP($N73,ControlValve!$F$5:$Z$167,20,0)/100000</f>
        <v>20.2963263645353</v>
      </c>
    </row>
    <row r="74" spans="1:27" ht="13.5" customHeight="1" thickBot="1">
      <c r="A74" s="114"/>
      <c r="B74" s="115"/>
      <c r="C74" s="116"/>
      <c r="D74" s="105"/>
      <c r="E74" s="106"/>
      <c r="F74" s="107"/>
      <c r="G74" s="117"/>
      <c r="H74" s="118"/>
      <c r="I74" s="119"/>
      <c r="J74" s="120"/>
      <c r="K74" s="121"/>
      <c r="L74" s="122"/>
      <c r="N74" s="1058" t="s">
        <v>910</v>
      </c>
      <c r="O74" s="1037"/>
      <c r="P74" s="1020" t="s">
        <v>6502</v>
      </c>
      <c r="Q74" s="1057" t="s">
        <v>10823</v>
      </c>
      <c r="R74" s="393">
        <v>28.9</v>
      </c>
      <c r="S74" s="409">
        <f>VLOOKUP($N74,ControlValve!$F$5:$Z$150,2,0)</f>
        <v>28.9</v>
      </c>
      <c r="T74" s="161" t="s">
        <v>911</v>
      </c>
      <c r="U74" s="409" t="str">
        <f>IF(VLOOKUP($P74,ValveActuator!$F$5:$N$575,6,0)=1,"Fail Close","Fail Open")</f>
        <v>Fail Close</v>
      </c>
      <c r="V74" s="779" t="str">
        <f>IF(VLOOKUP($P74,ValveActuator!$F$5:$P$575,10,0)=TRUE,"Yes","None")</f>
        <v>None</v>
      </c>
      <c r="W74" s="409">
        <f>VLOOKUP($P74,ValveActuator!$F$5:$N$562,4,0)</f>
        <v>3</v>
      </c>
      <c r="X74" s="409">
        <f>VLOOKUP($P74,ValveActuator!$F$5:$N$562,2,0)</f>
        <v>3</v>
      </c>
      <c r="Y74" s="655">
        <f>VLOOKUP($N74,ControlValve!$F$5:$V$167,16,0)</f>
        <v>0</v>
      </c>
      <c r="Z74" s="655">
        <f>VLOOKUP($N74,ControlValve!$F$5:$Z$167,18,0)*3600</f>
        <v>0</v>
      </c>
      <c r="AA74" s="656">
        <f>VLOOKUP($N74,ControlValve!$F$5:$Z$167,20,0)/100000</f>
        <v>6.5807902273565899</v>
      </c>
    </row>
    <row r="75" spans="1:27" ht="13.5" customHeight="1" thickBot="1">
      <c r="A75" s="114"/>
      <c r="B75" s="115"/>
      <c r="C75" s="116"/>
      <c r="D75" s="105"/>
      <c r="E75" s="106"/>
      <c r="F75" s="107"/>
      <c r="G75" s="117"/>
      <c r="H75" s="118"/>
      <c r="I75" s="119"/>
      <c r="J75" s="120"/>
      <c r="K75" s="121"/>
      <c r="L75" s="122"/>
      <c r="N75" s="1058" t="s">
        <v>8013</v>
      </c>
      <c r="O75" s="1017"/>
      <c r="P75" s="500" t="s">
        <v>8045</v>
      </c>
      <c r="Q75" s="1057" t="s">
        <v>10823</v>
      </c>
      <c r="R75" s="393">
        <v>32</v>
      </c>
      <c r="S75" s="409">
        <f>VLOOKUP($N75,ControlValve!$F$5:$Z$150,2,0)</f>
        <v>32</v>
      </c>
      <c r="T75" s="161" t="s">
        <v>913</v>
      </c>
      <c r="U75" s="409" t="str">
        <f>IF(VLOOKUP($P75,ValveActuator!$F$5:$N$575,6,0)=1,"Fail Close","Fail Open")</f>
        <v>Fail Close</v>
      </c>
      <c r="V75" s="779" t="str">
        <f>IF(VLOOKUP($P75,ValveActuator!$F$5:$P$575,10,0)=TRUE,"Yes","None")</f>
        <v>None</v>
      </c>
      <c r="W75" s="409">
        <f>VLOOKUP($P75,ValveActuator!$F$5:$N$562,4,0)</f>
        <v>3</v>
      </c>
      <c r="X75" s="409">
        <f>VLOOKUP($P75,ValveActuator!$F$5:$N$562,2,0)</f>
        <v>3</v>
      </c>
      <c r="Y75" s="655">
        <f>VLOOKUP($N75,ControlValve!$F$5:$V$167,16,0)</f>
        <v>0.15626654386531999</v>
      </c>
      <c r="Z75" s="655">
        <f>VLOOKUP($N75,ControlValve!$F$5:$Z$167,18,0)*3600</f>
        <v>0.11911530660391115</v>
      </c>
      <c r="AA75" s="656">
        <f>VLOOKUP($N75,ControlValve!$F$5:$Z$167,20,0)/100000</f>
        <v>7.5520229978057909</v>
      </c>
    </row>
    <row r="76" spans="1:27" ht="13.5" customHeight="1" thickBot="1">
      <c r="A76" s="114"/>
      <c r="B76" s="115"/>
      <c r="C76" s="116"/>
      <c r="D76" s="105"/>
      <c r="E76" s="106"/>
      <c r="F76" s="107"/>
      <c r="G76" s="117"/>
      <c r="H76" s="118"/>
      <c r="I76" s="119"/>
      <c r="J76" s="120"/>
      <c r="K76" s="121"/>
      <c r="L76" s="122"/>
      <c r="N76" s="1050" t="s">
        <v>915</v>
      </c>
      <c r="O76" s="1016"/>
      <c r="P76" s="500" t="s">
        <v>7869</v>
      </c>
      <c r="Q76" s="1057" t="s">
        <v>10836</v>
      </c>
      <c r="R76" s="393">
        <v>11.6</v>
      </c>
      <c r="S76" s="409">
        <f>VLOOKUP($N76,ControlValve!$F$5:$Z$150,2,0)</f>
        <v>11.6</v>
      </c>
      <c r="T76" s="161" t="s">
        <v>916</v>
      </c>
      <c r="U76" s="409" t="str">
        <f>IF(VLOOKUP($P76,ValveActuator!$F$5:$N$575,6,0)=1,"Fail Close","Fail Open")</f>
        <v>Fail Close</v>
      </c>
      <c r="V76" s="779" t="str">
        <f>IF(VLOOKUP($P76,ValveActuator!$F$5:$P$575,10,0)=TRUE,"Yes","None")</f>
        <v>None</v>
      </c>
      <c r="W76" s="409">
        <f>VLOOKUP($P76,ValveActuator!$F$5:$N$562,4,0)</f>
        <v>3</v>
      </c>
      <c r="X76" s="409">
        <f>VLOOKUP($P76,ValveActuator!$F$5:$N$562,2,0)</f>
        <v>3</v>
      </c>
      <c r="Y76" s="655">
        <f>VLOOKUP($N76,ControlValve!$F$5:$V$167,16,0)</f>
        <v>0</v>
      </c>
      <c r="Z76" s="655">
        <f>VLOOKUP($N76,ControlValve!$F$5:$Z$167,18,0)*3600</f>
        <v>0</v>
      </c>
      <c r="AA76" s="656">
        <f>VLOOKUP($N76,ControlValve!$F$5:$Z$167,20,0)/100000</f>
        <v>4.9657689229653501</v>
      </c>
    </row>
    <row r="77" spans="1:27" ht="13.5" customHeight="1" thickBot="1">
      <c r="A77" s="114"/>
      <c r="B77" s="115"/>
      <c r="C77" s="116"/>
      <c r="D77" s="105"/>
      <c r="E77" s="106"/>
      <c r="F77" s="107"/>
      <c r="G77" s="117"/>
      <c r="H77" s="118"/>
      <c r="I77" s="119"/>
      <c r="J77" s="120"/>
      <c r="K77" s="121"/>
      <c r="L77" s="122"/>
      <c r="N77" s="1058" t="s">
        <v>919</v>
      </c>
      <c r="O77" s="1037"/>
      <c r="P77" s="500" t="s">
        <v>7870</v>
      </c>
      <c r="Q77" s="393" t="s">
        <v>917</v>
      </c>
      <c r="R77" s="393">
        <v>39.200000000000003</v>
      </c>
      <c r="S77" s="409">
        <f>VLOOKUP($N77,ControlValve!$F$5:$Z$150,2,0)</f>
        <v>39.200000000000003</v>
      </c>
      <c r="T77" s="161" t="s">
        <v>920</v>
      </c>
      <c r="U77" s="409" t="str">
        <f>IF(VLOOKUP($P77,ValveActuator!$F$5:$N$575,6,0)=1,"Fail Close","Fail Open")</f>
        <v>Fail Close</v>
      </c>
      <c r="V77" s="779" t="str">
        <f>IF(VLOOKUP($P77,ValveActuator!$F$5:$P$575,10,0)=TRUE,"Yes","None")</f>
        <v>None</v>
      </c>
      <c r="W77" s="409">
        <f>VLOOKUP($P77,ValveActuator!$F$5:$N$562,4,0)</f>
        <v>3</v>
      </c>
      <c r="X77" s="409">
        <f>VLOOKUP($P77,ValveActuator!$F$5:$N$562,2,0)</f>
        <v>3</v>
      </c>
      <c r="Y77" s="655">
        <f>VLOOKUP($N77,ControlValve!$F$5:$V$167,16,0)</f>
        <v>64.512239316890003</v>
      </c>
      <c r="Z77" s="655">
        <f>VLOOKUP($N77,ControlValve!$F$5:$Z$167,18,0)*3600</f>
        <v>14.571663278486902</v>
      </c>
      <c r="AA77" s="656">
        <f>VLOOKUP($N77,ControlValve!$F$5:$Z$167,20,0)/100000</f>
        <v>4.0613705708698804</v>
      </c>
    </row>
    <row r="78" spans="1:27" s="132" customFormat="1" ht="13.5" customHeight="1" thickBot="1">
      <c r="A78" s="114"/>
      <c r="B78" s="115"/>
      <c r="C78" s="116"/>
      <c r="D78" s="105"/>
      <c r="E78" s="106"/>
      <c r="F78" s="107"/>
      <c r="G78" s="117"/>
      <c r="H78" s="118"/>
      <c r="I78" s="119"/>
      <c r="J78" s="120"/>
      <c r="K78" s="121"/>
      <c r="L78" s="122"/>
      <c r="M78" s="266"/>
      <c r="N78" s="1058" t="s">
        <v>922</v>
      </c>
      <c r="O78" s="1016"/>
      <c r="P78" s="500" t="s">
        <v>7854</v>
      </c>
      <c r="Q78" s="393" t="s">
        <v>796</v>
      </c>
      <c r="R78" s="393">
        <v>39.299999999999997</v>
      </c>
      <c r="S78" s="409">
        <f>VLOOKUP($N78,ControlValve!$F$5:$Z$150,2,0)</f>
        <v>39.299999999999997</v>
      </c>
      <c r="T78" s="161" t="s">
        <v>923</v>
      </c>
      <c r="U78" s="409" t="str">
        <f>IF(VLOOKUP($P78,ValveActuator!$F$5:$N$575,6,0)=1,"Fail Close","Fail Open")</f>
        <v>Fail Open</v>
      </c>
      <c r="V78" s="779" t="str">
        <f>IF(VLOOKUP($P78,ValveActuator!$F$5:$P$575,10,0)=TRUE,"Yes","None")</f>
        <v>None</v>
      </c>
      <c r="W78" s="409">
        <f>VLOOKUP($P78,ValveActuator!$F$5:$N$562,4,0)</f>
        <v>3</v>
      </c>
      <c r="X78" s="409">
        <f>VLOOKUP($P78,ValveActuator!$F$5:$N$562,2,0)</f>
        <v>3</v>
      </c>
      <c r="Y78" s="655">
        <f>VLOOKUP($N78,ControlValve!$F$5:$V$167,16,0)</f>
        <v>40.649293074733102</v>
      </c>
      <c r="Z78" s="655">
        <f>VLOOKUP($N78,ControlValve!$F$5:$Z$167,18,0)*3600</f>
        <v>9.5119339732765198</v>
      </c>
      <c r="AA78" s="656">
        <f>VLOOKUP($N78,ControlValve!$F$5:$Z$167,20,0)/100000</f>
        <v>8.8837642752014201</v>
      </c>
    </row>
    <row r="79" spans="1:27" ht="13.5" customHeight="1" thickBot="1">
      <c r="A79" s="114"/>
      <c r="B79" s="115"/>
      <c r="C79" s="116"/>
      <c r="D79" s="105"/>
      <c r="E79" s="106"/>
      <c r="F79" s="107"/>
      <c r="G79" s="117"/>
      <c r="H79" s="118"/>
      <c r="I79" s="119"/>
      <c r="J79" s="120"/>
      <c r="K79" s="121"/>
      <c r="L79" s="122"/>
      <c r="N79" s="1059" t="s">
        <v>926</v>
      </c>
      <c r="O79" s="1050" t="s">
        <v>10813</v>
      </c>
      <c r="P79" s="500" t="s">
        <v>7735</v>
      </c>
      <c r="Q79" s="1057" t="s">
        <v>10822</v>
      </c>
      <c r="R79" s="393">
        <v>1750</v>
      </c>
      <c r="S79" s="409">
        <f>VLOOKUP($N79,ControlValve!$F$5:$Z$150,2,0)</f>
        <v>1750</v>
      </c>
      <c r="T79" s="161" t="s">
        <v>927</v>
      </c>
      <c r="U79" s="409" t="str">
        <f>IF(VLOOKUP($P79,ValveActuator!$F$5:$N$575,6,0)=1,"Fail Close","Fail Open")</f>
        <v>Fail Open</v>
      </c>
      <c r="V79" s="779" t="str">
        <f>IF(VLOOKUP($P79,ValveActuator!$F$5:$P$575,10,0)=TRUE,"Yes","None")</f>
        <v>None</v>
      </c>
      <c r="W79" s="409">
        <f>VLOOKUP($P79,ValveActuator!$F$5:$N$562,4,0)</f>
        <v>3</v>
      </c>
      <c r="X79" s="409">
        <f>VLOOKUP($P79,ValveActuator!$F$5:$N$562,2,0)</f>
        <v>3</v>
      </c>
      <c r="Y79" s="655">
        <f>VLOOKUP($N79,ControlValve!$F$5:$V$167,16,0)</f>
        <v>48.857612649670699</v>
      </c>
      <c r="Z79" s="655">
        <f>VLOOKUP($N79,ControlValve!$F$5:$Z$167,18,0)*3600</f>
        <v>323.1734820838376</v>
      </c>
      <c r="AA79" s="656">
        <f>VLOOKUP($N79,ControlValve!$F$5:$Z$167,20,0)/100000</f>
        <v>2.13239130269546</v>
      </c>
    </row>
    <row r="80" spans="1:27" ht="13.5" customHeight="1" thickBot="1">
      <c r="A80" s="114"/>
      <c r="B80" s="115"/>
      <c r="C80" s="116"/>
      <c r="D80" s="105"/>
      <c r="E80" s="106"/>
      <c r="F80" s="107"/>
      <c r="G80" s="117"/>
      <c r="H80" s="118"/>
      <c r="I80" s="119"/>
      <c r="J80" s="120"/>
      <c r="K80" s="121"/>
      <c r="L80" s="122"/>
      <c r="N80" s="1059" t="s">
        <v>929</v>
      </c>
      <c r="O80" s="1050" t="s">
        <v>10814</v>
      </c>
      <c r="P80" s="500" t="s">
        <v>7736</v>
      </c>
      <c r="Q80" s="393" t="s">
        <v>727</v>
      </c>
      <c r="R80" s="393">
        <v>2100</v>
      </c>
      <c r="S80" s="409">
        <f>VLOOKUP($N80,ControlValve!$F$5:$Z$150,2,0)</f>
        <v>2100</v>
      </c>
      <c r="T80" s="161" t="s">
        <v>930</v>
      </c>
      <c r="U80" s="409" t="str">
        <f>IF(VLOOKUP($P80,ValveActuator!$F$5:$N$575,6,0)=1,"Fail Close","Fail Open")</f>
        <v>Fail Close</v>
      </c>
      <c r="V80" s="779" t="str">
        <f>IF(VLOOKUP($P80,ValveActuator!$F$5:$P$575,10,0)=TRUE,"Yes","None")</f>
        <v>Yes</v>
      </c>
      <c r="W80" s="409">
        <f>VLOOKUP($P80,ValveActuator!$F$5:$N$562,4,0)</f>
        <v>3</v>
      </c>
      <c r="X80" s="409">
        <f>VLOOKUP($P80,ValveActuator!$F$5:$N$562,2,0)</f>
        <v>3</v>
      </c>
      <c r="Y80" s="655">
        <f>VLOOKUP($N80,ControlValve!$F$5:$V$167,16,0)</f>
        <v>27.9039650686111</v>
      </c>
      <c r="Z80" s="655">
        <f>VLOOKUP($N80,ControlValve!$F$5:$Z$167,18,0)*3600</f>
        <v>405.38201428182958</v>
      </c>
      <c r="AA80" s="656">
        <f>VLOOKUP($N80,ControlValve!$F$5:$Z$167,20,0)/100000</f>
        <v>0.45399382316147102</v>
      </c>
    </row>
    <row r="81" spans="1:27" ht="13.5" customHeight="1" thickBot="1">
      <c r="A81" s="114"/>
      <c r="B81" s="115"/>
      <c r="C81" s="116"/>
      <c r="D81" s="105"/>
      <c r="E81" s="106"/>
      <c r="F81" s="107"/>
      <c r="G81" s="117"/>
      <c r="H81" s="118"/>
      <c r="I81" s="119"/>
      <c r="J81" s="120"/>
      <c r="K81" s="121"/>
      <c r="L81" s="122"/>
      <c r="N81" s="1059" t="s">
        <v>932</v>
      </c>
      <c r="O81" s="1050" t="s">
        <v>10814</v>
      </c>
      <c r="P81" s="500" t="s">
        <v>7737</v>
      </c>
      <c r="Q81" s="393" t="s">
        <v>727</v>
      </c>
      <c r="R81" s="393">
        <v>2100</v>
      </c>
      <c r="S81" s="409">
        <f>VLOOKUP($N81,ControlValve!$F$5:$Z$150,2,0)</f>
        <v>2100</v>
      </c>
      <c r="T81" s="161" t="s">
        <v>930</v>
      </c>
      <c r="U81" s="409" t="str">
        <f>IF(VLOOKUP($P81,ValveActuator!$F$5:$N$575,6,0)=1,"Fail Close","Fail Open")</f>
        <v>Fail Close</v>
      </c>
      <c r="V81" s="779" t="str">
        <f>IF(VLOOKUP($P81,ValveActuator!$F$5:$P$575,10,0)=TRUE,"Yes","None")</f>
        <v>Yes</v>
      </c>
      <c r="W81" s="409">
        <f>VLOOKUP($P81,ValveActuator!$F$5:$N$562,4,0)</f>
        <v>3</v>
      </c>
      <c r="X81" s="409">
        <f>VLOOKUP($P81,ValveActuator!$F$5:$N$562,2,0)</f>
        <v>3</v>
      </c>
      <c r="Y81" s="655">
        <f>VLOOKUP($N81,ControlValve!$F$5:$V$167,16,0)</f>
        <v>0</v>
      </c>
      <c r="Z81" s="655">
        <f>VLOOKUP($N81,ControlValve!$F$5:$Z$167,18,0)*3600</f>
        <v>0</v>
      </c>
      <c r="AA81" s="656">
        <f>VLOOKUP($N81,ControlValve!$F$5:$Z$167,20,0)/100000</f>
        <v>0.45399382316147102</v>
      </c>
    </row>
    <row r="82" spans="1:27" ht="13.5" customHeight="1" thickBot="1">
      <c r="A82" s="114"/>
      <c r="B82" s="115"/>
      <c r="C82" s="116"/>
      <c r="D82" s="105"/>
      <c r="E82" s="106"/>
      <c r="F82" s="107"/>
      <c r="G82" s="117"/>
      <c r="H82" s="118"/>
      <c r="I82" s="119"/>
      <c r="J82" s="120"/>
      <c r="K82" s="121"/>
      <c r="L82" s="122"/>
      <c r="N82" s="1058" t="s">
        <v>934</v>
      </c>
      <c r="O82" s="1016"/>
      <c r="P82" s="500" t="s">
        <v>7739</v>
      </c>
      <c r="Q82" s="393" t="s">
        <v>727</v>
      </c>
      <c r="R82" s="393">
        <v>2100</v>
      </c>
      <c r="S82" s="409">
        <f>VLOOKUP($N82,ControlValve!$F$5:$Z$150,2,0)</f>
        <v>2100</v>
      </c>
      <c r="T82" s="161" t="s">
        <v>935</v>
      </c>
      <c r="U82" s="409" t="str">
        <f>IF(VLOOKUP($P82,ValveActuator!$F$5:$N$575,6,0)=1,"Fail Close","Fail Open")</f>
        <v>Fail Close</v>
      </c>
      <c r="V82" s="779" t="str">
        <f>IF(VLOOKUP($P82,ValveActuator!$F$5:$P$575,10,0)=TRUE,"Yes","None")</f>
        <v>None</v>
      </c>
      <c r="W82" s="409">
        <f>VLOOKUP($P82,ValveActuator!$F$5:$N$562,4,0)</f>
        <v>3</v>
      </c>
      <c r="X82" s="409">
        <f>VLOOKUP($P82,ValveActuator!$F$5:$N$562,2,0)</f>
        <v>3</v>
      </c>
      <c r="Y82" s="655">
        <f>VLOOKUP($N82,ControlValve!$F$5:$V$167,16,0)</f>
        <v>3.5808900387460998</v>
      </c>
      <c r="Z82" s="655">
        <f>VLOOKUP($N82,ControlValve!$F$5:$Z$167,18,0)*3600</f>
        <v>61.613388597994557</v>
      </c>
      <c r="AA82" s="656">
        <f>VLOOKUP($N82,ControlValve!$F$5:$Z$167,20,0)/100000</f>
        <v>0.63762014677196099</v>
      </c>
    </row>
    <row r="83" spans="1:27" ht="13.5" customHeight="1" thickBot="1">
      <c r="A83" s="114"/>
      <c r="B83" s="115"/>
      <c r="C83" s="116"/>
      <c r="D83" s="105"/>
      <c r="E83" s="106"/>
      <c r="F83" s="107"/>
      <c r="G83" s="117"/>
      <c r="H83" s="118"/>
      <c r="I83" s="119"/>
      <c r="J83" s="120"/>
      <c r="K83" s="121"/>
      <c r="L83" s="122"/>
      <c r="N83" s="1058" t="s">
        <v>8015</v>
      </c>
      <c r="O83" s="1016"/>
      <c r="P83" s="500" t="s">
        <v>7739</v>
      </c>
      <c r="Q83" s="393" t="s">
        <v>938</v>
      </c>
      <c r="R83" s="393">
        <v>7.51</v>
      </c>
      <c r="S83" s="409">
        <f>VLOOKUP($N83,ControlValve!$F$5:$Z$150,2,0)</f>
        <v>7.51</v>
      </c>
      <c r="T83" s="161" t="s">
        <v>937</v>
      </c>
      <c r="U83" s="409" t="str">
        <f>IF(VLOOKUP($P83,ValveActuator!$F$5:$N$575,6,0)=1,"Fail Close","Fail Open")</f>
        <v>Fail Close</v>
      </c>
      <c r="V83" s="779" t="str">
        <f>IF(VLOOKUP($P83,ValveActuator!$F$5:$P$575,10,0)=TRUE,"Yes","None")</f>
        <v>None</v>
      </c>
      <c r="W83" s="409">
        <f>VLOOKUP($P83,ValveActuator!$F$5:$N$562,4,0)</f>
        <v>3</v>
      </c>
      <c r="X83" s="409">
        <f>VLOOKUP($P83,ValveActuator!$F$5:$N$562,2,0)</f>
        <v>3</v>
      </c>
      <c r="Y83" s="655">
        <f>VLOOKUP($N83,ControlValve!$F$5:$V$167,16,0)</f>
        <v>48.373251421723701</v>
      </c>
      <c r="Z83" s="655">
        <f>VLOOKUP($N83,ControlValve!$F$5:$Z$167,18,0)*3600</f>
        <v>1.0518380803115353</v>
      </c>
      <c r="AA83" s="656">
        <f>VLOOKUP($N83,ControlValve!$F$5:$Z$167,20,0)/100000</f>
        <v>1.30979908853939</v>
      </c>
    </row>
    <row r="84" spans="1:27" ht="13.5" customHeight="1" thickBot="1">
      <c r="A84" s="114"/>
      <c r="B84" s="115"/>
      <c r="C84" s="116"/>
      <c r="D84" s="105"/>
      <c r="E84" s="106"/>
      <c r="F84" s="107"/>
      <c r="G84" s="117"/>
      <c r="H84" s="118"/>
      <c r="I84" s="119"/>
      <c r="J84" s="120"/>
      <c r="K84" s="121"/>
      <c r="L84" s="122"/>
      <c r="N84" s="1058" t="s">
        <v>8017</v>
      </c>
      <c r="O84" s="1016"/>
      <c r="P84" s="500" t="s">
        <v>8052</v>
      </c>
      <c r="Q84" s="393" t="s">
        <v>938</v>
      </c>
      <c r="R84" s="393">
        <v>4.62</v>
      </c>
      <c r="S84" s="409">
        <f>VLOOKUP($N84,ControlValve!$F$5:$Z$150,2,0)</f>
        <v>4.62</v>
      </c>
      <c r="T84" s="161" t="s">
        <v>940</v>
      </c>
      <c r="U84" s="409" t="str">
        <f>IF(VLOOKUP($P84,ValveActuator!$F$5:$N$575,6,0)=1,"Fail Close","Fail Open")</f>
        <v>Fail Close</v>
      </c>
      <c r="V84" s="779" t="str">
        <f>IF(VLOOKUP($P84,ValveActuator!$F$5:$P$575,10,0)=TRUE,"Yes","None")</f>
        <v>None</v>
      </c>
      <c r="W84" s="409">
        <f>VLOOKUP($P84,ValveActuator!$F$5:$N$562,4,0)</f>
        <v>3</v>
      </c>
      <c r="X84" s="409">
        <f>VLOOKUP($P84,ValveActuator!$F$5:$N$562,2,0)</f>
        <v>3</v>
      </c>
      <c r="Y84" s="655">
        <f>VLOOKUP($N84,ControlValve!$F$5:$V$167,16,0)</f>
        <v>1.79515675116027</v>
      </c>
      <c r="Z84" s="655">
        <f>VLOOKUP($N84,ControlValve!$F$5:$Z$167,18,0)*3600</f>
        <v>8.9093612321038435E-2</v>
      </c>
      <c r="AA84" s="656">
        <f>VLOOKUP($N84,ControlValve!$F$5:$Z$167,20,0)/100000</f>
        <v>1.18421210112547</v>
      </c>
    </row>
    <row r="85" spans="1:27" ht="13.5" customHeight="1" thickBot="1">
      <c r="A85" s="114"/>
      <c r="B85" s="115"/>
      <c r="C85" s="116"/>
      <c r="D85" s="105"/>
      <c r="E85" s="106"/>
      <c r="F85" s="107"/>
      <c r="G85" s="117"/>
      <c r="H85" s="118"/>
      <c r="I85" s="119"/>
      <c r="J85" s="120"/>
      <c r="K85" s="121"/>
      <c r="L85" s="122"/>
      <c r="N85" s="1058" t="s">
        <v>942</v>
      </c>
      <c r="O85" s="1016"/>
      <c r="P85" s="500" t="s">
        <v>8053</v>
      </c>
      <c r="Q85" s="393" t="s">
        <v>855</v>
      </c>
      <c r="R85" s="393">
        <v>13.2</v>
      </c>
      <c r="S85" s="409">
        <f>VLOOKUP($N85,ControlValve!$F$5:$Z$150,2,0)</f>
        <v>13.2</v>
      </c>
      <c r="T85" s="161" t="s">
        <v>943</v>
      </c>
      <c r="U85" s="409" t="str">
        <f>IF(VLOOKUP($P85,ValveActuator!$F$5:$N$575,6,0)=1,"Fail Close","Fail Open")</f>
        <v>Fail Close</v>
      </c>
      <c r="V85" s="779" t="str">
        <f>IF(VLOOKUP($P85,ValveActuator!$F$5:$P$575,10,0)=TRUE,"Yes","None")</f>
        <v>None</v>
      </c>
      <c r="W85" s="409">
        <f>VLOOKUP($P85,ValveActuator!$F$5:$N$562,4,0)</f>
        <v>3</v>
      </c>
      <c r="X85" s="409">
        <f>VLOOKUP($P85,ValveActuator!$F$5:$N$562,2,0)</f>
        <v>3</v>
      </c>
      <c r="Y85" s="655">
        <f>VLOOKUP($N85,ControlValve!$F$5:$V$167,16,0)</f>
        <v>83.005297990742804</v>
      </c>
      <c r="Z85" s="655">
        <f>VLOOKUP($N85,ControlValve!$F$5:$Z$167,18,0)*3600</f>
        <v>7.0915663428967068</v>
      </c>
      <c r="AA85" s="656">
        <f>VLOOKUP($N85,ControlValve!$F$5:$Z$167,20,0)/100000</f>
        <v>1.4029097836173599</v>
      </c>
    </row>
    <row r="86" spans="1:27" ht="13.5" customHeight="1" thickBot="1">
      <c r="A86" s="114"/>
      <c r="B86" s="115"/>
      <c r="C86" s="116"/>
      <c r="D86" s="105"/>
      <c r="E86" s="106"/>
      <c r="F86" s="107"/>
      <c r="G86" s="117"/>
      <c r="H86" s="118"/>
      <c r="I86" s="119"/>
      <c r="J86" s="120"/>
      <c r="K86" s="121"/>
      <c r="L86" s="122"/>
      <c r="N86" s="1058" t="s">
        <v>950</v>
      </c>
      <c r="O86" s="1016"/>
      <c r="P86" s="500" t="s">
        <v>8054</v>
      </c>
      <c r="Q86" s="393" t="s">
        <v>796</v>
      </c>
      <c r="R86" s="393">
        <v>105</v>
      </c>
      <c r="S86" s="409">
        <f>VLOOKUP($N86,ControlValve!$F$5:$Z$150,2,0)</f>
        <v>105</v>
      </c>
      <c r="T86" s="1065"/>
      <c r="U86" s="409" t="str">
        <f>IF(VLOOKUP($P86,ValveActuator!$F$5:$N$575,6,0)=1,"Fail Close","Fail Open")</f>
        <v>Fail Close</v>
      </c>
      <c r="V86" s="779" t="str">
        <f>IF(VLOOKUP($P86,ValveActuator!$F$5:$P$575,10,0)=TRUE,"Yes","None")</f>
        <v>Yes</v>
      </c>
      <c r="W86" s="409">
        <f>VLOOKUP($P86,ValveActuator!$F$5:$N$562,4,0)</f>
        <v>3</v>
      </c>
      <c r="X86" s="409">
        <f>VLOOKUP($P86,ValveActuator!$F$5:$N$562,2,0)</f>
        <v>3</v>
      </c>
      <c r="Y86" s="655">
        <f>VLOOKUP($N86,ControlValve!$F$5:$V$167,16,0)</f>
        <v>52.7164063630333</v>
      </c>
      <c r="Z86" s="655">
        <f>VLOOKUP($N86,ControlValve!$F$5:$Z$167,18,0)*3600</f>
        <v>11.658472179103224</v>
      </c>
      <c r="AA86" s="656">
        <f>VLOOKUP($N86,ControlValve!$F$5:$Z$167,20,0)/100000</f>
        <v>0.71192192294259493</v>
      </c>
    </row>
    <row r="87" spans="1:27" ht="13.5" customHeight="1" thickBot="1">
      <c r="A87" s="114"/>
      <c r="B87" s="115"/>
      <c r="C87" s="116"/>
      <c r="D87" s="105"/>
      <c r="E87" s="106"/>
      <c r="F87" s="107"/>
      <c r="G87" s="117"/>
      <c r="H87" s="118"/>
      <c r="I87" s="119"/>
      <c r="J87" s="120"/>
      <c r="K87" s="121"/>
      <c r="L87" s="122"/>
      <c r="N87" s="1058" t="s">
        <v>5382</v>
      </c>
      <c r="O87" s="1016"/>
      <c r="P87" s="500" t="s">
        <v>6550</v>
      </c>
      <c r="Q87" s="1057" t="s">
        <v>10818</v>
      </c>
      <c r="R87" s="393">
        <v>100</v>
      </c>
      <c r="S87" s="409">
        <f>VLOOKUP($N87,ControlValve!$F$5:$Z$150,2,0)</f>
        <v>100</v>
      </c>
      <c r="T87" s="1065"/>
      <c r="U87" s="409" t="str">
        <f>IF(VLOOKUP($P87,ValveActuator!$F$5:$N$575,6,0)=1,"Fail Close","Fail Open")</f>
        <v>Fail Close</v>
      </c>
      <c r="V87" s="779" t="str">
        <f>IF(VLOOKUP($P87,ValveActuator!$F$5:$P$575,10,0)=TRUE,"Yes","None")</f>
        <v>None</v>
      </c>
      <c r="W87" s="409">
        <f>VLOOKUP($P87,ValveActuator!$F$5:$N$562,4,0)</f>
        <v>3</v>
      </c>
      <c r="X87" s="409">
        <f>VLOOKUP($P87,ValveActuator!$F$5:$N$562,2,0)</f>
        <v>3</v>
      </c>
      <c r="Y87" s="655">
        <f>VLOOKUP($N87,ControlValve!$F$5:$V$167,16,0)</f>
        <v>68.229785476802405</v>
      </c>
      <c r="Z87" s="655">
        <f>VLOOKUP($N87,ControlValve!$F$5:$Z$167,18,0)*3600</f>
        <v>33.369632380071685</v>
      </c>
      <c r="AA87" s="656">
        <f>VLOOKUP($N87,ControlValve!$F$5:$Z$167,20,0)/100000</f>
        <v>2.0130859150925899</v>
      </c>
    </row>
    <row r="88" spans="1:27" ht="13.5" customHeight="1" thickBot="1">
      <c r="A88" s="114"/>
      <c r="B88" s="115"/>
      <c r="C88" s="116"/>
      <c r="D88" s="105"/>
      <c r="E88" s="106"/>
      <c r="F88" s="107"/>
      <c r="G88" s="117"/>
      <c r="H88" s="118"/>
      <c r="I88" s="119"/>
      <c r="J88" s="120"/>
      <c r="K88" s="121"/>
      <c r="L88" s="122"/>
      <c r="N88" s="1058" t="s">
        <v>5383</v>
      </c>
      <c r="O88" s="1016"/>
      <c r="P88" s="500" t="s">
        <v>6551</v>
      </c>
      <c r="Q88" s="1057" t="s">
        <v>10818</v>
      </c>
      <c r="R88" s="393">
        <v>105</v>
      </c>
      <c r="S88" s="409">
        <f>VLOOKUP($N88,ControlValve!$F$5:$Z$150,2,0)</f>
        <v>105</v>
      </c>
      <c r="T88" s="1065"/>
      <c r="U88" s="409" t="str">
        <f>IF(VLOOKUP($P88,ValveActuator!$F$5:$N$575,6,0)=1,"Fail Close","Fail Open")</f>
        <v>Fail Close</v>
      </c>
      <c r="V88" s="779" t="str">
        <f>IF(VLOOKUP($P88,ValveActuator!$F$5:$P$575,10,0)=TRUE,"Yes","None")</f>
        <v>None</v>
      </c>
      <c r="W88" s="409">
        <f>VLOOKUP($P88,ValveActuator!$F$5:$N$562,4,0)</f>
        <v>3</v>
      </c>
      <c r="X88" s="409">
        <f>VLOOKUP($P88,ValveActuator!$F$5:$N$562,2,0)</f>
        <v>3</v>
      </c>
      <c r="Y88" s="655">
        <f>VLOOKUP($N88,ControlValve!$F$5:$V$167,16,0)</f>
        <v>67.072411389112602</v>
      </c>
      <c r="Z88" s="655">
        <f>VLOOKUP($N88,ControlValve!$F$5:$Z$167,18,0)*3600</f>
        <v>33.455146973861375</v>
      </c>
      <c r="AA88" s="656">
        <f>VLOOKUP($N88,ControlValve!$F$5:$Z$167,20,0)/100000</f>
        <v>2.0122918524434898</v>
      </c>
    </row>
    <row r="89" spans="1:27" ht="13.5" customHeight="1" thickBot="1">
      <c r="A89" s="114"/>
      <c r="B89" s="115"/>
      <c r="C89" s="116"/>
      <c r="D89" s="105"/>
      <c r="E89" s="106"/>
      <c r="F89" s="107"/>
      <c r="G89" s="117"/>
      <c r="H89" s="118"/>
      <c r="I89" s="119"/>
      <c r="J89" s="120"/>
      <c r="K89" s="121"/>
      <c r="L89" s="122"/>
      <c r="N89" s="1058" t="s">
        <v>957</v>
      </c>
      <c r="O89" s="1016"/>
      <c r="P89" s="500" t="s">
        <v>7738</v>
      </c>
      <c r="Q89" s="393" t="s">
        <v>727</v>
      </c>
      <c r="R89" s="393">
        <v>400</v>
      </c>
      <c r="S89" s="409">
        <f>VLOOKUP($N89,ControlValve!$F$5:$Z$150,2,0)</f>
        <v>400</v>
      </c>
      <c r="T89" s="1065"/>
      <c r="U89" s="409" t="str">
        <f>IF(VLOOKUP($P89,ValveActuator!$F$5:$N$575,6,0)=1,"Fail Close","Fail Open")</f>
        <v>Fail Close</v>
      </c>
      <c r="V89" s="779" t="str">
        <f>IF(VLOOKUP($P89,ValveActuator!$F$5:$P$575,10,0)=TRUE,"Yes","None")</f>
        <v>None</v>
      </c>
      <c r="W89" s="409">
        <f>VLOOKUP($P89,ValveActuator!$F$5:$N$562,4,0)</f>
        <v>3</v>
      </c>
      <c r="X89" s="409">
        <f>VLOOKUP($P89,ValveActuator!$F$5:$N$562,2,0)</f>
        <v>3</v>
      </c>
      <c r="Y89" s="655">
        <f>VLOOKUP($N89,ControlValve!$F$5:$V$167,16,0)</f>
        <v>32.1918586027587</v>
      </c>
      <c r="Z89" s="655">
        <f>VLOOKUP($N89,ControlValve!$F$5:$Z$167,18,0)*3600</f>
        <v>45.330405629936763</v>
      </c>
      <c r="AA89" s="656">
        <f>VLOOKUP($N89,ControlValve!$F$5:$Z$167,20,0)/100000</f>
        <v>3.2759800426038002</v>
      </c>
    </row>
    <row r="90" spans="1:27" ht="13.5" customHeight="1" thickBot="1">
      <c r="A90" s="114"/>
      <c r="B90" s="115"/>
      <c r="C90" s="116"/>
      <c r="D90" s="105"/>
      <c r="E90" s="106"/>
      <c r="F90" s="107"/>
      <c r="G90" s="117"/>
      <c r="H90" s="118"/>
      <c r="I90" s="119"/>
      <c r="J90" s="120"/>
      <c r="K90" s="121"/>
      <c r="L90" s="122"/>
      <c r="N90" s="1058" t="s">
        <v>5379</v>
      </c>
      <c r="O90" s="1016"/>
      <c r="P90" s="500" t="s">
        <v>6504</v>
      </c>
      <c r="Q90" s="1057" t="s">
        <v>993</v>
      </c>
      <c r="R90" s="393">
        <v>52</v>
      </c>
      <c r="S90" s="409">
        <f>VLOOKUP($N90,ControlValve!$F$5:$Z$150,2,0)</f>
        <v>52</v>
      </c>
      <c r="T90" s="161" t="s">
        <v>963</v>
      </c>
      <c r="U90" s="409" t="str">
        <f>IF(VLOOKUP($P90,ValveActuator!$F$5:$N$575,6,0)=1,"Fail Close","Fail Open")</f>
        <v>Fail Close</v>
      </c>
      <c r="V90" s="779" t="str">
        <f>IF(VLOOKUP($P90,ValveActuator!$F$5:$P$575,10,0)=TRUE,"Yes","None")</f>
        <v>None</v>
      </c>
      <c r="W90" s="409">
        <f>VLOOKUP($P90,ValveActuator!$F$5:$N$562,4,0)</f>
        <v>3</v>
      </c>
      <c r="X90" s="409">
        <f>VLOOKUP($P90,ValveActuator!$F$5:$N$562,2,0)</f>
        <v>3</v>
      </c>
      <c r="Y90" s="655">
        <f>VLOOKUP($N90,ControlValve!$F$5:$V$167,16,0)</f>
        <v>44.245163696131797</v>
      </c>
      <c r="Z90" s="655">
        <f>VLOOKUP($N90,ControlValve!$F$5:$Z$167,18,0)*3600</f>
        <v>6.2939366132702048</v>
      </c>
      <c r="AA90" s="656">
        <f>VLOOKUP($N90,ControlValve!$F$5:$Z$167,20,0)/100000</f>
        <v>0.98042591856996908</v>
      </c>
    </row>
    <row r="91" spans="1:27" ht="13.5" customHeight="1" thickBot="1">
      <c r="A91" s="114"/>
      <c r="B91" s="115"/>
      <c r="C91" s="116"/>
      <c r="D91" s="105"/>
      <c r="E91" s="106"/>
      <c r="F91" s="107"/>
      <c r="G91" s="117"/>
      <c r="H91" s="118"/>
      <c r="I91" s="119"/>
      <c r="J91" s="120"/>
      <c r="K91" s="121"/>
      <c r="L91" s="122"/>
      <c r="N91" s="1055" t="s">
        <v>8018</v>
      </c>
      <c r="O91" s="1016"/>
      <c r="P91" s="500" t="s">
        <v>6525</v>
      </c>
      <c r="Q91" s="393" t="s">
        <v>968</v>
      </c>
      <c r="R91" s="393">
        <v>67</v>
      </c>
      <c r="S91" s="409">
        <f>VLOOKUP($N91,ControlValve!$F$5:$Z$150,2,0)</f>
        <v>67</v>
      </c>
      <c r="T91" s="1066"/>
      <c r="U91" s="409" t="str">
        <f>IF(VLOOKUP($P91,ValveActuator!$F$5:$N$575,6,0)=1,"Fail Close","Fail Open")</f>
        <v>Fail Close</v>
      </c>
      <c r="V91" s="779" t="str">
        <f>IF(VLOOKUP($P91,ValveActuator!$F$5:$P$575,10,0)=TRUE,"Yes","None")</f>
        <v>None</v>
      </c>
      <c r="W91" s="409">
        <f>VLOOKUP($P91,ValveActuator!$F$5:$N$562,4,0)</f>
        <v>3</v>
      </c>
      <c r="X91" s="409">
        <f>VLOOKUP($P91,ValveActuator!$F$5:$N$562,2,0)</f>
        <v>3</v>
      </c>
      <c r="Y91" s="655">
        <f>VLOOKUP($N91,ControlValve!$F$5:$V$167,16,0)</f>
        <v>88.895042942328004</v>
      </c>
      <c r="Z91" s="655">
        <f>VLOOKUP($N91,ControlValve!$F$5:$Z$167,18,0)*3600</f>
        <v>5.4624950888812203</v>
      </c>
      <c r="AA91" s="656">
        <f>VLOOKUP($N91,ControlValve!$F$5:$Z$167,20,0)/100000</f>
        <v>0.35146633815308398</v>
      </c>
    </row>
    <row r="92" spans="1:27" ht="13.5" customHeight="1" thickBot="1">
      <c r="A92" s="114"/>
      <c r="B92" s="115"/>
      <c r="C92" s="116"/>
      <c r="D92" s="105"/>
      <c r="E92" s="106"/>
      <c r="F92" s="107"/>
      <c r="G92" s="117"/>
      <c r="H92" s="118"/>
      <c r="I92" s="119"/>
      <c r="J92" s="120"/>
      <c r="K92" s="121"/>
      <c r="L92" s="122"/>
      <c r="N92" s="1058" t="s">
        <v>972</v>
      </c>
      <c r="O92" s="1016"/>
      <c r="P92" s="849" t="s">
        <v>6526</v>
      </c>
      <c r="Q92" s="393" t="s">
        <v>968</v>
      </c>
      <c r="R92" s="802" t="s">
        <v>8876</v>
      </c>
      <c r="S92" s="637">
        <f>VLOOKUP($N92,ControlValve!$F$5:$Z$150,2,0)</f>
        <v>600</v>
      </c>
      <c r="T92" s="1066"/>
      <c r="U92" s="409" t="str">
        <f>IF(VLOOKUP($P92,ValveActuator!$F$5:$N$575,6,0)=1,"Fail Close","Fail Open")</f>
        <v>Fail Close</v>
      </c>
      <c r="V92" s="779" t="str">
        <f>IF(VLOOKUP($P92,ValveActuator!$F$5:$P$575,10,0)=TRUE,"Yes","None")</f>
        <v>None</v>
      </c>
      <c r="W92" s="409">
        <f>VLOOKUP($P92,ValveActuator!$F$5:$N$562,4,0)</f>
        <v>3</v>
      </c>
      <c r="X92" s="409">
        <f>VLOOKUP($P92,ValveActuator!$F$5:$N$562,2,0)</f>
        <v>3</v>
      </c>
      <c r="Y92" s="655">
        <f>VLOOKUP($N92,ControlValve!$F$5:$V$167,16,0)</f>
        <v>100</v>
      </c>
      <c r="Z92" s="655">
        <f>VLOOKUP($N92,ControlValve!$F$5:$Z$167,18,0)*3600</f>
        <v>5.4625032549360357</v>
      </c>
      <c r="AA92" s="656">
        <f>VLOOKUP($N92,ControlValve!$F$5:$Z$167,20,0)/100000</f>
        <v>1.73358695978415E-3</v>
      </c>
    </row>
    <row r="93" spans="1:27" ht="13.5" customHeight="1" thickBot="1">
      <c r="A93" s="114"/>
      <c r="B93" s="115"/>
      <c r="C93" s="116"/>
      <c r="D93" s="105"/>
      <c r="E93" s="106"/>
      <c r="F93" s="107"/>
      <c r="G93" s="117"/>
      <c r="H93" s="118"/>
      <c r="I93" s="119"/>
      <c r="J93" s="120"/>
      <c r="K93" s="121"/>
      <c r="L93" s="122"/>
      <c r="N93" s="1058" t="s">
        <v>978</v>
      </c>
      <c r="O93" s="1038"/>
      <c r="P93" s="500" t="s">
        <v>8055</v>
      </c>
      <c r="Q93" s="393" t="s">
        <v>814</v>
      </c>
      <c r="R93" s="393">
        <v>105</v>
      </c>
      <c r="S93" s="409">
        <f>VLOOKUP($N93,ControlValve!$F$5:$Z$150,2,0)</f>
        <v>105</v>
      </c>
      <c r="T93" s="1065" t="s">
        <v>979</v>
      </c>
      <c r="U93" s="409" t="str">
        <f>IF(VLOOKUP($P93,ValveActuator!$F$5:$N$575,6,0)=1,"Fail Close","Fail Open")</f>
        <v>Fail Close</v>
      </c>
      <c r="V93" s="779" t="str">
        <f>IF(VLOOKUP($P93,ValveActuator!$F$5:$P$575,10,0)=TRUE,"Yes","None")</f>
        <v>None</v>
      </c>
      <c r="W93" s="409">
        <f>VLOOKUP($P93,ValveActuator!$F$5:$N$562,4,0)</f>
        <v>3</v>
      </c>
      <c r="X93" s="409">
        <f>VLOOKUP($P93,ValveActuator!$F$5:$N$562,2,0)</f>
        <v>3</v>
      </c>
      <c r="Y93" s="655">
        <f>VLOOKUP($N93,ControlValve!$F$5:$V$167,16,0)</f>
        <v>64.705689882328201</v>
      </c>
      <c r="Z93" s="655">
        <f>VLOOKUP($N93,ControlValve!$F$5:$Z$167,18,0)*3600</f>
        <v>262.48065873836219</v>
      </c>
      <c r="AA93" s="656">
        <f>VLOOKUP($N93,ControlValve!$F$5:$Z$167,20,0)/100000</f>
        <v>2.4638156819174499</v>
      </c>
    </row>
    <row r="94" spans="1:27" ht="13.5" customHeight="1" thickBot="1">
      <c r="A94" s="114"/>
      <c r="B94" s="115"/>
      <c r="C94" s="116"/>
      <c r="D94" s="105"/>
      <c r="E94" s="106"/>
      <c r="F94" s="107"/>
      <c r="G94" s="117"/>
      <c r="H94" s="118"/>
      <c r="I94" s="119"/>
      <c r="J94" s="120"/>
      <c r="K94" s="121"/>
      <c r="L94" s="122"/>
      <c r="M94" s="498"/>
      <c r="N94" s="1060" t="s">
        <v>9179</v>
      </c>
      <c r="O94" s="1048" t="s">
        <v>10817</v>
      </c>
      <c r="P94" s="1012" t="s">
        <v>9180</v>
      </c>
      <c r="Q94" s="1057" t="s">
        <v>10826</v>
      </c>
      <c r="R94" s="1042">
        <v>28.9</v>
      </c>
      <c r="S94" s="1043">
        <f>VLOOKUP($N94,ControlValve!$F$5:$Z$150,2,0)</f>
        <v>28.9</v>
      </c>
      <c r="T94" s="1065"/>
      <c r="U94" s="409" t="str">
        <f>IF(VLOOKUP($P94,ValveActuator!$F$5:$N$575,6,0)=1,"Fail Close","Fail Open")</f>
        <v>Fail Close</v>
      </c>
      <c r="V94" s="779" t="str">
        <f>IF(VLOOKUP($P94,ValveActuator!$F$5:$P$575,10,0)=TRUE,"Yes","None")</f>
        <v>None</v>
      </c>
      <c r="W94" s="409">
        <f>VLOOKUP($P94,ValveActuator!$F$5:$N$562,4,0)</f>
        <v>3</v>
      </c>
      <c r="X94" s="409">
        <f>VLOOKUP($P94,ValveActuator!$F$5:$N$562,2,0)</f>
        <v>3</v>
      </c>
      <c r="Y94" s="655">
        <f>VLOOKUP($N94,ControlValve!$F$5:$V$167,16,0)</f>
        <v>0</v>
      </c>
      <c r="Z94" s="655">
        <f>VLOOKUP($N94,ControlValve!$F$5:$Z$167,18,0)*3600</f>
        <v>0</v>
      </c>
      <c r="AA94" s="656">
        <f>VLOOKUP($N94,ControlValve!$F$5:$Z$167,20,0)/100000</f>
        <v>3.0861288627143599</v>
      </c>
    </row>
    <row r="95" spans="1:27" ht="13.5" customHeight="1" thickBot="1">
      <c r="A95" s="114"/>
      <c r="B95" s="115"/>
      <c r="C95" s="116"/>
      <c r="D95" s="105"/>
      <c r="E95" s="106"/>
      <c r="F95" s="107"/>
      <c r="G95" s="117"/>
      <c r="H95" s="118"/>
      <c r="I95" s="119"/>
      <c r="J95" s="120"/>
      <c r="K95" s="121"/>
      <c r="L95" s="122"/>
      <c r="N95" s="1058" t="s">
        <v>8019</v>
      </c>
      <c r="O95" s="1038"/>
      <c r="P95" s="500" t="s">
        <v>5663</v>
      </c>
      <c r="Q95" s="393" t="s">
        <v>986</v>
      </c>
      <c r="R95" s="393">
        <v>240</v>
      </c>
      <c r="S95" s="409">
        <f>VLOOKUP($N95,ControlValve!$F$5:$Z$150,2,0)</f>
        <v>240</v>
      </c>
      <c r="T95" s="1065"/>
      <c r="U95" s="409" t="str">
        <f>IF(VLOOKUP($P95,ValveActuator!$F$5:$N$575,6,0)=1,"Fail Close","Fail Open")</f>
        <v>Fail Close</v>
      </c>
      <c r="V95" s="779" t="str">
        <f>IF(VLOOKUP($P95,ValveActuator!$F$5:$P$575,10,0)=TRUE,"Yes","None")</f>
        <v>None</v>
      </c>
      <c r="W95" s="409">
        <f>VLOOKUP($P95,ValveActuator!$F$5:$N$562,4,0)</f>
        <v>3</v>
      </c>
      <c r="X95" s="409">
        <f>VLOOKUP($P95,ValveActuator!$F$5:$N$562,2,0)</f>
        <v>3</v>
      </c>
      <c r="Y95" s="655">
        <f>VLOOKUP($N95,ControlValve!$F$5:$V$167,16,0)</f>
        <v>0</v>
      </c>
      <c r="Z95" s="655">
        <f>VLOOKUP($N95,ControlValve!$F$5:$Z$167,18,0)*3600</f>
        <v>0</v>
      </c>
      <c r="AA95" s="656">
        <f>VLOOKUP($N95,ControlValve!$F$5:$Z$167,20,0)/100000</f>
        <v>2.6222271541723496</v>
      </c>
    </row>
    <row r="96" spans="1:27" ht="13.5" customHeight="1" thickBot="1">
      <c r="A96" s="114"/>
      <c r="B96" s="115"/>
      <c r="C96" s="116"/>
      <c r="D96" s="105"/>
      <c r="E96" s="106"/>
      <c r="F96" s="107"/>
      <c r="G96" s="117"/>
      <c r="H96" s="118"/>
      <c r="I96" s="119"/>
      <c r="J96" s="120"/>
      <c r="K96" s="121"/>
      <c r="L96" s="122"/>
      <c r="N96" s="1058" t="s">
        <v>8020</v>
      </c>
      <c r="O96" s="1016"/>
      <c r="P96" s="500" t="s">
        <v>6079</v>
      </c>
      <c r="Q96" s="1057" t="s">
        <v>993</v>
      </c>
      <c r="R96" s="393">
        <v>400</v>
      </c>
      <c r="S96" s="409">
        <f>VLOOKUP($N96,ControlValve!$F$5:$Z$167,2,0)</f>
        <v>400</v>
      </c>
      <c r="T96" s="1065"/>
      <c r="U96" s="409" t="str">
        <f>IF(VLOOKUP($P96,ValveActuator!$F$5:$N$575,6,0)=1,"Fail Close","Fail Open")</f>
        <v>Fail Close</v>
      </c>
      <c r="V96" s="779" t="str">
        <f>IF(VLOOKUP($P96,ValveActuator!$F$5:$P$575,10,0)=TRUE,"Yes","None")</f>
        <v>None</v>
      </c>
      <c r="W96" s="409">
        <f>VLOOKUP($P96,ValveActuator!$F$5:$N$562,4,0)</f>
        <v>3</v>
      </c>
      <c r="X96" s="409">
        <f>VLOOKUP($P96,ValveActuator!$F$5:$N$562,2,0)</f>
        <v>3</v>
      </c>
      <c r="Y96" s="655">
        <f>VLOOKUP($N96,ControlValve!$F$5:$V$167,16,0)</f>
        <v>75</v>
      </c>
      <c r="Z96" s="655">
        <f>VLOOKUP($N96,ControlValve!$F$5:$Z$167,18,0)*3600</f>
        <v>131.77696280357986</v>
      </c>
      <c r="AA96" s="656">
        <f>VLOOKUP($N96,ControlValve!$F$5:$Z$167,20,0)/100000</f>
        <v>0.83506623581727191</v>
      </c>
    </row>
    <row r="97" spans="1:27" ht="13.5" customHeight="1" thickBot="1">
      <c r="A97" s="114"/>
      <c r="B97" s="115"/>
      <c r="C97" s="116"/>
      <c r="D97" s="105"/>
      <c r="E97" s="106"/>
      <c r="F97" s="107"/>
      <c r="G97" s="117"/>
      <c r="H97" s="118"/>
      <c r="I97" s="119"/>
      <c r="J97" s="120"/>
      <c r="K97" s="121"/>
      <c r="L97" s="122"/>
      <c r="N97" s="1058" t="s">
        <v>5388</v>
      </c>
      <c r="O97" s="1037"/>
      <c r="P97" s="849" t="s">
        <v>6592</v>
      </c>
      <c r="Q97" s="393" t="s">
        <v>700</v>
      </c>
      <c r="R97" s="393">
        <v>710</v>
      </c>
      <c r="S97" s="409">
        <f>VLOOKUP($N97,ControlValve!$F$5:$Z$150,2,0)</f>
        <v>710</v>
      </c>
      <c r="T97" s="1065"/>
      <c r="U97" s="409" t="str">
        <f>IF(VLOOKUP($P97,ValveActuator!$F$5:$N$575,6,0)=1,"Fail Close","Fail Open")</f>
        <v>Fail Open</v>
      </c>
      <c r="V97" s="779" t="str">
        <f>IF(VLOOKUP($P97,ValveActuator!$F$5:$P$575,10,0)=TRUE,"Yes","None")</f>
        <v>None</v>
      </c>
      <c r="W97" s="409">
        <f>VLOOKUP($P97,ValveActuator!$F$5:$N$562,4,0)</f>
        <v>3</v>
      </c>
      <c r="X97" s="409">
        <f>VLOOKUP($P97,ValveActuator!$F$5:$N$562,2,0)</f>
        <v>3</v>
      </c>
      <c r="Y97" s="655">
        <f>VLOOKUP($N97,ControlValve!$F$5:$V$167,16,0)</f>
        <v>37.020192546362097</v>
      </c>
      <c r="Z97" s="655">
        <f>VLOOKUP($N97,ControlValve!$F$5:$Z$167,18,0)*3600</f>
        <v>12.952138301567748</v>
      </c>
      <c r="AA97" s="656">
        <f>VLOOKUP($N97,ControlValve!$F$5:$Z$167,20,0)/100000</f>
        <v>7.15686140876403E-2</v>
      </c>
    </row>
    <row r="98" spans="1:27" ht="13.5" customHeight="1" thickBot="1">
      <c r="A98" s="114"/>
      <c r="B98" s="115"/>
      <c r="C98" s="116"/>
      <c r="D98" s="105"/>
      <c r="E98" s="106"/>
      <c r="F98" s="107"/>
      <c r="G98" s="117"/>
      <c r="H98" s="118"/>
      <c r="I98" s="119"/>
      <c r="J98" s="120"/>
      <c r="K98" s="121"/>
      <c r="L98" s="122"/>
      <c r="N98" s="1058" t="s">
        <v>5399</v>
      </c>
      <c r="O98" s="1038"/>
      <c r="P98" s="500" t="s">
        <v>6593</v>
      </c>
      <c r="Q98" s="393" t="s">
        <v>700</v>
      </c>
      <c r="R98" s="393">
        <v>710</v>
      </c>
      <c r="S98" s="409">
        <f>VLOOKUP($N98,ControlValve!$F$5:$Z$150,2,0)</f>
        <v>710</v>
      </c>
      <c r="T98" s="1065"/>
      <c r="U98" s="409" t="str">
        <f>IF(VLOOKUP($P98,ValveActuator!$F$5:$N$575,6,0)=1,"Fail Close","Fail Open")</f>
        <v>Fail Open</v>
      </c>
      <c r="V98" s="779" t="str">
        <f>IF(VLOOKUP($P98,ValveActuator!$F$5:$P$575,10,0)=TRUE,"Yes","None")</f>
        <v>None</v>
      </c>
      <c r="W98" s="409">
        <f>VLOOKUP($P98,ValveActuator!$F$5:$N$562,4,0)</f>
        <v>3</v>
      </c>
      <c r="X98" s="409">
        <f>VLOOKUP($P98,ValveActuator!$F$5:$N$562,2,0)</f>
        <v>3</v>
      </c>
      <c r="Y98" s="655">
        <f>VLOOKUP($N98,ControlValve!$F$5:$V$167,16,0)</f>
        <v>6.68728880025804E-2</v>
      </c>
      <c r="Z98" s="655">
        <f>VLOOKUP($N98,ControlValve!$F$5:$Z$167,18,0)*3600</f>
        <v>0.41830706694481923</v>
      </c>
      <c r="AA98" s="656">
        <f>VLOOKUP($N98,ControlValve!$F$5:$Z$167,20,0)/100000</f>
        <v>1.13259756633515</v>
      </c>
    </row>
    <row r="99" spans="1:27" ht="13.5" customHeight="1" thickBot="1">
      <c r="A99" s="114"/>
      <c r="B99" s="115"/>
      <c r="C99" s="116"/>
      <c r="D99" s="105"/>
      <c r="E99" s="106"/>
      <c r="F99" s="107"/>
      <c r="G99" s="117"/>
      <c r="H99" s="118"/>
      <c r="I99" s="119"/>
      <c r="J99" s="120"/>
      <c r="K99" s="121"/>
      <c r="L99" s="122"/>
      <c r="N99" s="1058" t="s">
        <v>8021</v>
      </c>
      <c r="O99" s="1017"/>
      <c r="P99" s="849" t="s">
        <v>6040</v>
      </c>
      <c r="Q99" s="393" t="s">
        <v>993</v>
      </c>
      <c r="R99" s="393">
        <v>1100</v>
      </c>
      <c r="S99" s="409">
        <f>VLOOKUP($N99,ControlValve!$F$5:$Z$150,2,0)</f>
        <v>1100</v>
      </c>
      <c r="T99" s="1065"/>
      <c r="U99" s="409" t="str">
        <f>IF(VLOOKUP($P99,ValveActuator!$F$5:$N$575,6,0)=1,"Fail Close","Fail Open")</f>
        <v>Fail Open</v>
      </c>
      <c r="V99" s="779" t="str">
        <f>IF(VLOOKUP($P99,ValveActuator!$F$5:$P$575,10,0)=TRUE,"Yes","None")</f>
        <v>None</v>
      </c>
      <c r="W99" s="409">
        <f>VLOOKUP($P99,ValveActuator!$F$5:$N$562,4,0)</f>
        <v>3</v>
      </c>
      <c r="X99" s="409">
        <f>VLOOKUP($P99,ValveActuator!$F$5:$N$562,2,0)</f>
        <v>3</v>
      </c>
      <c r="Y99" s="655">
        <f>VLOOKUP($N99,ControlValve!$F$5:$V$167,16,0)</f>
        <v>77</v>
      </c>
      <c r="Z99" s="655">
        <f>VLOOKUP($N99,ControlValve!$F$5:$Z$167,18,0)*3600</f>
        <v>635.33153250122041</v>
      </c>
      <c r="AA99" s="656">
        <f>VLOOKUP($N99,ControlValve!$F$5:$Z$167,20,0)/100000</f>
        <v>0.54949165325264404</v>
      </c>
    </row>
    <row r="100" spans="1:27" ht="13.5" customHeight="1" thickBot="1">
      <c r="A100" s="114"/>
      <c r="B100" s="115"/>
      <c r="C100" s="116"/>
      <c r="D100" s="105"/>
      <c r="E100" s="106"/>
      <c r="F100" s="107"/>
      <c r="G100" s="117"/>
      <c r="H100" s="118"/>
      <c r="I100" s="119"/>
      <c r="J100" s="120"/>
      <c r="K100" s="121"/>
      <c r="L100" s="122"/>
      <c r="N100" s="1058" t="s">
        <v>8022</v>
      </c>
      <c r="O100" s="1016"/>
      <c r="P100" s="849" t="s">
        <v>8056</v>
      </c>
      <c r="Q100" s="393" t="s">
        <v>993</v>
      </c>
      <c r="R100" s="393">
        <v>1100</v>
      </c>
      <c r="S100" s="409">
        <f>VLOOKUP($N100,ControlValve!$F$5:$Z$150,2,0)</f>
        <v>1100</v>
      </c>
      <c r="T100" s="1065"/>
      <c r="U100" s="409" t="str">
        <f>IF(VLOOKUP($P100,ValveActuator!$F$5:$N$575,6,0)=1,"Fail Close","Fail Open")</f>
        <v>Fail Close</v>
      </c>
      <c r="V100" s="779" t="str">
        <f>IF(VLOOKUP($P100,ValveActuator!$F$5:$P$575,10,0)=TRUE,"Yes","None")</f>
        <v>None</v>
      </c>
      <c r="W100" s="409">
        <f>VLOOKUP($P100,ValveActuator!$F$5:$N$562,4,0)</f>
        <v>3</v>
      </c>
      <c r="X100" s="409">
        <f>VLOOKUP($P100,ValveActuator!$F$5:$N$562,2,0)</f>
        <v>3</v>
      </c>
      <c r="Y100" s="655">
        <f>VLOOKUP($N100,ControlValve!$F$5:$V$167,16,0)</f>
        <v>42.056042132214301</v>
      </c>
      <c r="Z100" s="655">
        <f>VLOOKUP($N100,ControlValve!$F$5:$Z$167,18,0)*3600</f>
        <v>258.23779004692011</v>
      </c>
      <c r="AA100" s="656">
        <f>VLOOKUP($N100,ControlValve!$F$5:$Z$167,20,0)/100000</f>
        <v>0.27713325771915298</v>
      </c>
    </row>
    <row r="101" spans="1:27" ht="13.5" customHeight="1" thickBot="1">
      <c r="A101" s="114"/>
      <c r="B101" s="115"/>
      <c r="C101" s="116"/>
      <c r="D101" s="105"/>
      <c r="E101" s="106"/>
      <c r="F101" s="107"/>
      <c r="G101" s="117"/>
      <c r="H101" s="118"/>
      <c r="I101" s="119"/>
      <c r="J101" s="120"/>
      <c r="K101" s="121"/>
      <c r="L101" s="122"/>
      <c r="N101" s="1058" t="s">
        <v>5392</v>
      </c>
      <c r="O101" s="1016"/>
      <c r="P101" s="849" t="s">
        <v>6043</v>
      </c>
      <c r="Q101" s="1057" t="s">
        <v>993</v>
      </c>
      <c r="R101" s="393">
        <v>190</v>
      </c>
      <c r="S101" s="409">
        <f>VLOOKUP($N101,ControlValve!$F$5:$Z$150,2,0)</f>
        <v>190</v>
      </c>
      <c r="T101" s="1065"/>
      <c r="U101" s="409" t="str">
        <f>IF(VLOOKUP($P101,ValveActuator!$F$5:$N$575,6,0)=1,"Fail Close","Fail Open")</f>
        <v>Fail Close</v>
      </c>
      <c r="V101" s="779" t="str">
        <f>IF(VLOOKUP($P101,ValveActuator!$F$5:$P$575,10,0)=TRUE,"Yes","None")</f>
        <v>None</v>
      </c>
      <c r="W101" s="409">
        <f>VLOOKUP($P101,ValveActuator!$F$5:$N$562,4,0)</f>
        <v>3</v>
      </c>
      <c r="X101" s="409">
        <f>VLOOKUP($P101,ValveActuator!$F$5:$N$562,2,0)</f>
        <v>3</v>
      </c>
      <c r="Y101" s="655">
        <f>VLOOKUP($N101,ControlValve!$F$5:$V$167,16,0)</f>
        <v>0</v>
      </c>
      <c r="Z101" s="655">
        <f>VLOOKUP($N101,ControlValve!$F$5:$Z$167,18,0)*3600</f>
        <v>0</v>
      </c>
      <c r="AA101" s="656">
        <f>VLOOKUP($N101,ControlValve!$F$5:$Z$167,20,0)/100000</f>
        <v>25</v>
      </c>
    </row>
    <row r="102" spans="1:27" ht="13.5" customHeight="1" thickBot="1">
      <c r="A102" s="114"/>
      <c r="B102" s="115"/>
      <c r="C102" s="116"/>
      <c r="D102" s="105"/>
      <c r="E102" s="106"/>
      <c r="F102" s="107"/>
      <c r="G102" s="117"/>
      <c r="H102" s="118"/>
      <c r="I102" s="119"/>
      <c r="J102" s="120"/>
      <c r="K102" s="121"/>
      <c r="L102" s="122"/>
      <c r="N102" s="1058" t="s">
        <v>999</v>
      </c>
      <c r="O102" s="1037"/>
      <c r="P102" s="849" t="s">
        <v>8057</v>
      </c>
      <c r="Q102" s="393" t="s">
        <v>814</v>
      </c>
      <c r="R102" s="393">
        <v>140</v>
      </c>
      <c r="S102" s="409">
        <f>VLOOKUP($N102,ControlValve!$F$5:$Z$150,2,0)</f>
        <v>140</v>
      </c>
      <c r="T102" s="161" t="s">
        <v>1000</v>
      </c>
      <c r="U102" s="409" t="str">
        <f>IF(VLOOKUP($P102,ValveActuator!$F$5:$N$575,6,0)=1,"Fail Close","Fail Open")</f>
        <v>Fail Close</v>
      </c>
      <c r="V102" s="779" t="str">
        <f>IF(VLOOKUP($P102,ValveActuator!$F$5:$P$575,10,0)=TRUE,"Yes","None")</f>
        <v>None</v>
      </c>
      <c r="W102" s="409">
        <f>VLOOKUP($P102,ValveActuator!$F$5:$N$562,4,0)</f>
        <v>3</v>
      </c>
      <c r="X102" s="409">
        <f>VLOOKUP($P102,ValveActuator!$F$5:$N$562,2,0)</f>
        <v>3</v>
      </c>
      <c r="Y102" s="655">
        <f>VLOOKUP($N102,ControlValve!$F$5:$V$167,16,0)</f>
        <v>0</v>
      </c>
      <c r="Z102" s="655">
        <f>VLOOKUP($N102,ControlValve!$F$5:$Z$167,18,0)*3600</f>
        <v>0</v>
      </c>
      <c r="AA102" s="656">
        <f>VLOOKUP($N102,ControlValve!$F$5:$Z$167,20,0)/100000</f>
        <v>2.4638156819174499</v>
      </c>
    </row>
    <row r="103" spans="1:27" ht="13.5" customHeight="1" thickBot="1">
      <c r="A103" s="114"/>
      <c r="B103" s="115"/>
      <c r="C103" s="116"/>
      <c r="D103" s="105"/>
      <c r="E103" s="106"/>
      <c r="F103" s="107"/>
      <c r="G103" s="117"/>
      <c r="H103" s="118"/>
      <c r="I103" s="119"/>
      <c r="J103" s="120"/>
      <c r="K103" s="121"/>
      <c r="L103" s="122"/>
      <c r="N103" s="1058" t="s">
        <v>1002</v>
      </c>
      <c r="O103" s="1016"/>
      <c r="P103" s="849" t="s">
        <v>7868</v>
      </c>
      <c r="Q103" s="393" t="s">
        <v>917</v>
      </c>
      <c r="R103" s="393">
        <v>16</v>
      </c>
      <c r="S103" s="409">
        <f>VLOOKUP($N103,ControlValve!$F$5:$Z$150,2,0)</f>
        <v>16</v>
      </c>
      <c r="T103" s="840" t="s">
        <v>1003</v>
      </c>
      <c r="U103" s="409" t="str">
        <f>IF(VLOOKUP($P103,ValveActuator!$F$5:$N$575,6,0)=1,"Fail Close","Fail Open")</f>
        <v>Fail Close</v>
      </c>
      <c r="V103" s="779" t="str">
        <f>IF(VLOOKUP($P103,ValveActuator!$F$5:$P$575,10,0)=TRUE,"Yes","None")</f>
        <v>None</v>
      </c>
      <c r="W103" s="409">
        <f>VLOOKUP($P103,ValveActuator!$F$5:$N$562,4,0)</f>
        <v>3</v>
      </c>
      <c r="X103" s="409">
        <f>VLOOKUP($P103,ValveActuator!$F$5:$N$562,2,0)</f>
        <v>3</v>
      </c>
      <c r="Y103" s="655">
        <f>VLOOKUP($N103,ControlValve!$F$5:$V$167,16,0)</f>
        <v>80.435013994282102</v>
      </c>
      <c r="Z103" s="655">
        <f>VLOOKUP($N103,ControlValve!$F$5:$Z$167,18,0)*3600</f>
        <v>18.400212419120422</v>
      </c>
      <c r="AA103" s="656">
        <f>VLOOKUP($N103,ControlValve!$F$5:$Z$167,20,0)/100000</f>
        <v>2.2096155591498001</v>
      </c>
    </row>
    <row r="104" spans="1:27" ht="13.5" customHeight="1" thickBot="1">
      <c r="A104" s="114"/>
      <c r="B104" s="115"/>
      <c r="C104" s="116"/>
      <c r="D104" s="105"/>
      <c r="E104" s="106"/>
      <c r="F104" s="107"/>
      <c r="G104" s="117"/>
      <c r="H104" s="118"/>
      <c r="I104" s="119"/>
      <c r="J104" s="120"/>
      <c r="K104" s="121"/>
      <c r="L104" s="122"/>
      <c r="N104" s="1058" t="s">
        <v>8023</v>
      </c>
      <c r="O104" s="1038"/>
      <c r="P104" s="849" t="s">
        <v>8058</v>
      </c>
      <c r="Q104" s="393" t="s">
        <v>986</v>
      </c>
      <c r="R104" s="393">
        <v>350</v>
      </c>
      <c r="S104" s="409">
        <f>VLOOKUP($N104,ControlValve!$F$5:$Z$150,2,0)</f>
        <v>350</v>
      </c>
      <c r="T104" s="161" t="s">
        <v>1013</v>
      </c>
      <c r="U104" s="409" t="str">
        <f>IF(VLOOKUP($P104,ValveActuator!$F$5:$N$575,6,0)=1,"Fail Close","Fail Open")</f>
        <v>Fail Close</v>
      </c>
      <c r="V104" s="779" t="str">
        <f>IF(VLOOKUP($P104,ValveActuator!$F$5:$P$575,10,0)=TRUE,"Yes","None")</f>
        <v>None</v>
      </c>
      <c r="W104" s="409">
        <f>VLOOKUP($P104,ValveActuator!$F$5:$N$562,4,0)</f>
        <v>3</v>
      </c>
      <c r="X104" s="409">
        <f>VLOOKUP($P104,ValveActuator!$F$5:$N$562,2,0)</f>
        <v>3</v>
      </c>
      <c r="Y104" s="655">
        <f>VLOOKUP($N104,ControlValve!$F$5:$V$167,16,0)</f>
        <v>79.3</v>
      </c>
      <c r="Z104" s="655">
        <f>VLOOKUP($N104,ControlValve!$F$5:$Z$167,18,0)*3600</f>
        <v>4.0024432523252154</v>
      </c>
      <c r="AA104" s="656">
        <f>VLOOKUP($N104,ControlValve!$F$5:$Z$167,20,0)/100000</f>
        <v>7.5303352357508305E-2</v>
      </c>
    </row>
    <row r="105" spans="1:27" ht="13.5" customHeight="1" thickBot="1">
      <c r="A105" s="114"/>
      <c r="B105" s="115"/>
      <c r="C105" s="116"/>
      <c r="D105" s="105"/>
      <c r="E105" s="106"/>
      <c r="F105" s="107"/>
      <c r="G105" s="117"/>
      <c r="H105" s="118"/>
      <c r="I105" s="119"/>
      <c r="J105" s="120"/>
      <c r="K105" s="121"/>
      <c r="L105" s="122"/>
      <c r="N105" s="1021" t="s">
        <v>8867</v>
      </c>
      <c r="O105" s="1016"/>
      <c r="P105" s="849" t="s">
        <v>7873</v>
      </c>
      <c r="Q105" s="393" t="s">
        <v>917</v>
      </c>
      <c r="R105" s="393">
        <v>105</v>
      </c>
      <c r="S105" s="409">
        <f>VLOOKUP($N105,ControlValve!$F$5:$Z$150,2,0)</f>
        <v>105</v>
      </c>
      <c r="T105" s="161" t="s">
        <v>1019</v>
      </c>
      <c r="U105" s="409" t="str">
        <f>IF(VLOOKUP($P105,ValveActuator!$F$5:$N$575,6,0)=1,"Fail Close","Fail Open")</f>
        <v>Fail Close</v>
      </c>
      <c r="V105" s="779" t="str">
        <f>IF(VLOOKUP($P105,ValveActuator!$F$5:$P$575,10,0)=TRUE,"Yes","None")</f>
        <v>Yes</v>
      </c>
      <c r="W105" s="409">
        <f>VLOOKUP($P105,ValveActuator!$F$5:$N$562,4,0)</f>
        <v>3</v>
      </c>
      <c r="X105" s="409">
        <f>VLOOKUP($P105,ValveActuator!$F$5:$N$562,2,0)</f>
        <v>3</v>
      </c>
      <c r="Y105" s="655">
        <f>VLOOKUP($N105,ControlValve!$F$5:$V$167,16,0)</f>
        <v>83.038457260905403</v>
      </c>
      <c r="Z105" s="655">
        <f>VLOOKUP($N105,ControlValve!$F$5:$Z$167,18,0)*3600</f>
        <v>15.313727663709011</v>
      </c>
      <c r="AA105" s="656">
        <f>VLOOKUP($N105,ControlValve!$F$5:$Z$167,20,0)/100000</f>
        <v>2.1009460965070001</v>
      </c>
    </row>
    <row r="106" spans="1:27" ht="13.5" customHeight="1" thickBot="1">
      <c r="A106" s="114"/>
      <c r="B106" s="115"/>
      <c r="C106" s="116"/>
      <c r="D106" s="105"/>
      <c r="E106" s="106"/>
      <c r="F106" s="107"/>
      <c r="G106" s="117"/>
      <c r="H106" s="118"/>
      <c r="I106" s="119"/>
      <c r="J106" s="120"/>
      <c r="K106" s="121"/>
      <c r="L106" s="122"/>
      <c r="N106" s="1058" t="s">
        <v>1023</v>
      </c>
      <c r="O106" s="1016"/>
      <c r="P106" s="500" t="s">
        <v>6465</v>
      </c>
      <c r="Q106" s="393" t="s">
        <v>1024</v>
      </c>
      <c r="R106" s="393">
        <v>710</v>
      </c>
      <c r="S106" s="409">
        <f>VLOOKUP($N106,ControlValve!$F$5:$Z$150,2,0)</f>
        <v>710</v>
      </c>
      <c r="T106" s="407" t="s">
        <v>4584</v>
      </c>
      <c r="U106" s="409" t="str">
        <f>IF(VLOOKUP($P106,ValveActuator!$F$5:$N$575,6,0)=1,"Fail Close","Fail Open")</f>
        <v>Fail Close</v>
      </c>
      <c r="V106" s="779" t="str">
        <f>IF(VLOOKUP($P106,ValveActuator!$F$5:$P$575,10,0)=TRUE,"Yes","None")</f>
        <v>Yes</v>
      </c>
      <c r="W106" s="409">
        <f>VLOOKUP($P106,ValveActuator!$F$5:$N$562,4,0)</f>
        <v>3</v>
      </c>
      <c r="X106" s="409">
        <f>VLOOKUP($P106,ValveActuator!$F$5:$N$562,2,0)</f>
        <v>3</v>
      </c>
      <c r="Y106" s="655">
        <f>VLOOKUP($N106,ControlValve!$F$5:$V$167,16,0)</f>
        <v>81.456596076346898</v>
      </c>
      <c r="Z106" s="655">
        <f>VLOOKUP($N106,ControlValve!$F$5:$Z$167,18,0)*3600</f>
        <v>3269.0138427762336</v>
      </c>
      <c r="AA106" s="656">
        <f>VLOOKUP($N106,ControlValve!$F$5:$Z$167,20,0)/100000</f>
        <v>0.176812336817528</v>
      </c>
    </row>
    <row r="107" spans="1:27" ht="13.5" customHeight="1" thickBot="1">
      <c r="A107" s="114"/>
      <c r="B107" s="115"/>
      <c r="C107" s="116"/>
      <c r="D107" s="105"/>
      <c r="E107" s="106"/>
      <c r="F107" s="107"/>
      <c r="G107" s="117"/>
      <c r="H107" s="118"/>
      <c r="I107" s="119"/>
      <c r="J107" s="120"/>
      <c r="K107" s="121"/>
      <c r="L107" s="122"/>
      <c r="N107" s="1058" t="s">
        <v>1027</v>
      </c>
      <c r="O107" s="1016"/>
      <c r="P107" s="500" t="s">
        <v>6467</v>
      </c>
      <c r="Q107" s="393" t="s">
        <v>1024</v>
      </c>
      <c r="R107" s="393">
        <v>400</v>
      </c>
      <c r="S107" s="409">
        <f>VLOOKUP($N107,ControlValve!$F$5:$Z$150,2,0)</f>
        <v>400</v>
      </c>
      <c r="T107" s="407" t="s">
        <v>4584</v>
      </c>
      <c r="U107" s="409" t="str">
        <f>IF(VLOOKUP($P107,ValveActuator!$F$5:$N$575,6,0)=1,"Fail Close","Fail Open")</f>
        <v>Fail Close</v>
      </c>
      <c r="V107" s="779" t="str">
        <f>IF(VLOOKUP($P107,ValveActuator!$F$5:$P$575,10,0)=TRUE,"Yes","None")</f>
        <v>None</v>
      </c>
      <c r="W107" s="409">
        <f>VLOOKUP($P107,ValveActuator!$F$5:$N$562,4,0)</f>
        <v>3</v>
      </c>
      <c r="X107" s="409">
        <f>VLOOKUP($P107,ValveActuator!$F$5:$N$562,2,0)</f>
        <v>3</v>
      </c>
      <c r="Y107" s="655">
        <f>VLOOKUP($N107,ControlValve!$F$5:$V$167,16,0)</f>
        <v>0</v>
      </c>
      <c r="Z107" s="655">
        <f>VLOOKUP($N107,ControlValve!$F$5:$Z$167,18,0)*3600</f>
        <v>0</v>
      </c>
      <c r="AA107" s="656">
        <f>VLOOKUP($N107,ControlValve!$F$5:$Z$167,20,0)/100000</f>
        <v>4.1102085671534798</v>
      </c>
    </row>
    <row r="108" spans="1:27" ht="13.5" customHeight="1" thickBot="1">
      <c r="A108" s="114"/>
      <c r="B108" s="115"/>
      <c r="C108" s="116"/>
      <c r="D108" s="105"/>
      <c r="E108" s="106"/>
      <c r="F108" s="107"/>
      <c r="G108" s="117"/>
      <c r="H108" s="118"/>
      <c r="I108" s="119"/>
      <c r="J108" s="120"/>
      <c r="K108" s="121"/>
      <c r="L108" s="122"/>
      <c r="N108" s="1058" t="s">
        <v>1031</v>
      </c>
      <c r="O108" s="1016"/>
      <c r="P108" s="500" t="s">
        <v>6466</v>
      </c>
      <c r="Q108" s="393" t="s">
        <v>1024</v>
      </c>
      <c r="R108" s="393">
        <v>39.200000000000003</v>
      </c>
      <c r="S108" s="409">
        <f>VLOOKUP($N108,ControlValve!$F$5:$Z$150,2,0)</f>
        <v>39.200000000000003</v>
      </c>
      <c r="T108" s="407" t="s">
        <v>4584</v>
      </c>
      <c r="U108" s="409" t="str">
        <f>IF(VLOOKUP($P108,ValveActuator!$F$5:$N$575,6,0)=1,"Fail Close","Fail Open")</f>
        <v>Fail Close</v>
      </c>
      <c r="V108" s="779" t="str">
        <f>IF(VLOOKUP($P108,ValveActuator!$F$5:$P$575,10,0)=TRUE,"Yes","None")</f>
        <v>Yes</v>
      </c>
      <c r="W108" s="409">
        <f>VLOOKUP($P108,ValveActuator!$F$5:$N$562,4,0)</f>
        <v>3</v>
      </c>
      <c r="X108" s="409">
        <f>VLOOKUP($P108,ValveActuator!$F$5:$N$562,2,0)</f>
        <v>3</v>
      </c>
      <c r="Y108" s="655">
        <f>VLOOKUP($N108,ControlValve!$F$5:$V$167,16,0)</f>
        <v>0</v>
      </c>
      <c r="Z108" s="655">
        <f>VLOOKUP($N108,ControlValve!$F$5:$Z$167,18,0)*3600</f>
        <v>0</v>
      </c>
      <c r="AA108" s="656">
        <f>VLOOKUP($N108,ControlValve!$F$5:$Z$167,20,0)/100000</f>
        <v>4.1102085671534798</v>
      </c>
    </row>
    <row r="109" spans="1:27" ht="13.5" customHeight="1" thickBot="1">
      <c r="A109" s="114"/>
      <c r="B109" s="115"/>
      <c r="C109" s="116"/>
      <c r="D109" s="105"/>
      <c r="E109" s="106"/>
      <c r="F109" s="107"/>
      <c r="G109" s="117"/>
      <c r="H109" s="118"/>
      <c r="I109" s="119"/>
      <c r="J109" s="120"/>
      <c r="K109" s="121"/>
      <c r="L109" s="122"/>
      <c r="N109" s="1058" t="s">
        <v>1034</v>
      </c>
      <c r="O109" s="1038"/>
      <c r="P109" s="849" t="s">
        <v>7874</v>
      </c>
      <c r="Q109" s="393" t="s">
        <v>917</v>
      </c>
      <c r="R109" s="393">
        <f>16800/40/POWER(0.75,0.5)</f>
        <v>484.97422611928567</v>
      </c>
      <c r="S109" s="409">
        <f>VLOOKUP($N109,ControlValve!$F$5:$Z$150,2,0)</f>
        <v>484.97422611928602</v>
      </c>
      <c r="T109" s="161" t="s">
        <v>1035</v>
      </c>
      <c r="U109" s="409" t="str">
        <f>IF(VLOOKUP($P109,ValveActuator!$F$5:$N$575,6,0)=1,"Fail Close","Fail Open")</f>
        <v>Fail Close</v>
      </c>
      <c r="V109" s="779" t="str">
        <f>IF(VLOOKUP($P109,ValveActuator!$F$5:$P$575,10,0)=TRUE,"Yes","None")</f>
        <v>None</v>
      </c>
      <c r="W109" s="409">
        <f>VLOOKUP($P109,ValveActuator!$F$5:$N$562,4,0)</f>
        <v>3</v>
      </c>
      <c r="X109" s="409">
        <f>VLOOKUP($P109,ValveActuator!$F$5:$N$562,2,0)</f>
        <v>3</v>
      </c>
      <c r="Y109" s="655">
        <f>VLOOKUP($N109,ControlValve!$F$5:$V$167,16,0)</f>
        <v>0</v>
      </c>
      <c r="Z109" s="655">
        <f>VLOOKUP($N109,ControlValve!$F$5:$Z$167,18,0)*3600</f>
        <v>0</v>
      </c>
      <c r="AA109" s="656">
        <f>VLOOKUP($N109,ControlValve!$F$5:$Z$167,20,0)/100000</f>
        <v>2.3872421954890002</v>
      </c>
    </row>
    <row r="110" spans="1:27" ht="13.5" customHeight="1" thickBot="1">
      <c r="A110" s="114"/>
      <c r="B110" s="115"/>
      <c r="C110" s="116"/>
      <c r="D110" s="105"/>
      <c r="E110" s="106"/>
      <c r="F110" s="107"/>
      <c r="G110" s="117"/>
      <c r="H110" s="118"/>
      <c r="I110" s="119"/>
      <c r="J110" s="120"/>
      <c r="K110" s="121"/>
      <c r="L110" s="122"/>
      <c r="N110" s="1050" t="s">
        <v>1038</v>
      </c>
      <c r="O110" s="1016"/>
      <c r="P110" s="849" t="s">
        <v>5583</v>
      </c>
      <c r="Q110" s="1057" t="s">
        <v>10837</v>
      </c>
      <c r="R110" s="393">
        <v>1.49</v>
      </c>
      <c r="S110" s="409">
        <f>VLOOKUP($N110,ControlValve!$F$5:$Z$150,2,0)</f>
        <v>1.49</v>
      </c>
      <c r="T110" s="161" t="s">
        <v>1039</v>
      </c>
      <c r="U110" s="409" t="str">
        <f>IF(VLOOKUP($P110,ValveActuator!$F$5:$N$575,6,0)=1,"Fail Close","Fail Open")</f>
        <v>Fail Close</v>
      </c>
      <c r="V110" s="779" t="str">
        <f>IF(VLOOKUP($P110,ValveActuator!$F$5:$P$575,10,0)=TRUE,"Yes","None")</f>
        <v>None</v>
      </c>
      <c r="W110" s="409">
        <f>VLOOKUP($P110,ValveActuator!$F$5:$N$562,4,0)</f>
        <v>3</v>
      </c>
      <c r="X110" s="409">
        <f>VLOOKUP($P110,ValveActuator!$F$5:$N$562,2,0)</f>
        <v>3</v>
      </c>
      <c r="Y110" s="655">
        <f>VLOOKUP($N110,ControlValve!$F$5:$V$167,16,0)</f>
        <v>4.8456719697522201</v>
      </c>
      <c r="Z110" s="655">
        <f>VLOOKUP($N110,ControlValve!$F$5:$Z$167,18,0)*3600</f>
        <v>0.56598789953573636</v>
      </c>
      <c r="AA110" s="656">
        <f>VLOOKUP($N110,ControlValve!$F$5:$Z$167,20,0)/100000</f>
        <v>31.503590603758703</v>
      </c>
    </row>
    <row r="111" spans="1:27" ht="13.5" customHeight="1" thickBot="1">
      <c r="A111" s="114"/>
      <c r="B111" s="115"/>
      <c r="C111" s="116"/>
      <c r="D111" s="105"/>
      <c r="E111" s="106"/>
      <c r="F111" s="107"/>
      <c r="G111" s="117"/>
      <c r="H111" s="118"/>
      <c r="I111" s="119"/>
      <c r="J111" s="120"/>
      <c r="K111" s="121"/>
      <c r="L111" s="122"/>
      <c r="N111" s="1050" t="s">
        <v>8846</v>
      </c>
      <c r="O111" s="1016"/>
      <c r="P111" s="849" t="s">
        <v>5596</v>
      </c>
      <c r="Q111" s="393" t="s">
        <v>1042</v>
      </c>
      <c r="R111" s="802" t="s">
        <v>8876</v>
      </c>
      <c r="S111" s="637">
        <f>VLOOKUP($N111,ControlValve!$F$5:$Z$150,2,0)</f>
        <v>500000</v>
      </c>
      <c r="T111" s="161" t="s">
        <v>1041</v>
      </c>
      <c r="U111" s="409" t="str">
        <f>IF(VLOOKUP($P111,ValveActuator!$F$5:$N$575,6,0)=1,"Fail Close","Fail Open")</f>
        <v>Fail Close</v>
      </c>
      <c r="V111" s="779" t="str">
        <f>IF(VLOOKUP($P111,ValveActuator!$F$5:$P$575,10,0)=TRUE,"Yes","None")</f>
        <v>None</v>
      </c>
      <c r="W111" s="409">
        <f>VLOOKUP($P111,ValveActuator!$F$5:$N$562,4,0)</f>
        <v>3</v>
      </c>
      <c r="X111" s="409">
        <f>VLOOKUP($P111,ValveActuator!$F$5:$N$562,2,0)</f>
        <v>3</v>
      </c>
      <c r="Y111" s="655">
        <f>VLOOKUP($N111,ControlValve!$F$5:$V$167,16,0)</f>
        <v>0</v>
      </c>
      <c r="Z111" s="655">
        <f>VLOOKUP($N111,ControlValve!$F$5:$Z$167,18,0)*3600</f>
        <v>0</v>
      </c>
      <c r="AA111" s="656">
        <f>VLOOKUP($N111,ControlValve!$F$5:$Z$167,20,0)/100000</f>
        <v>5.1265328506519998E-3</v>
      </c>
    </row>
    <row r="112" spans="1:27" ht="13.5" customHeight="1" thickBot="1">
      <c r="A112" s="114"/>
      <c r="B112" s="115"/>
      <c r="C112" s="116"/>
      <c r="D112" s="105"/>
      <c r="E112" s="106"/>
      <c r="F112" s="107"/>
      <c r="G112" s="117"/>
      <c r="H112" s="118"/>
      <c r="I112" s="119"/>
      <c r="J112" s="120"/>
      <c r="K112" s="121"/>
      <c r="L112" s="122"/>
      <c r="N112" s="1058" t="s">
        <v>8024</v>
      </c>
      <c r="O112" s="1037"/>
      <c r="P112" s="849" t="s">
        <v>6042</v>
      </c>
      <c r="Q112" s="393" t="s">
        <v>814</v>
      </c>
      <c r="R112" s="393">
        <v>104</v>
      </c>
      <c r="S112" s="409">
        <f>VLOOKUP($N112,ControlValve!$F$5:$Z$150,2,0)</f>
        <v>104</v>
      </c>
      <c r="T112" s="161" t="s">
        <v>1047</v>
      </c>
      <c r="U112" s="409" t="str">
        <f>IF(VLOOKUP($P112,ValveActuator!$F$5:$N$575,6,0)=1,"Fail Close","Fail Open")</f>
        <v>Fail Close</v>
      </c>
      <c r="V112" s="779" t="str">
        <f>IF(VLOOKUP($P112,ValveActuator!$F$5:$P$575,10,0)=TRUE,"Yes","None")</f>
        <v>None</v>
      </c>
      <c r="W112" s="409">
        <f>VLOOKUP($P112,ValveActuator!$F$5:$N$562,4,0)</f>
        <v>3</v>
      </c>
      <c r="X112" s="409">
        <f>VLOOKUP($P112,ValveActuator!$F$5:$N$562,2,0)</f>
        <v>3</v>
      </c>
      <c r="Y112" s="655">
        <f>VLOOKUP($N112,ControlValve!$F$5:$V$167,16,0)</f>
        <v>0</v>
      </c>
      <c r="Z112" s="655">
        <f>VLOOKUP($N112,ControlValve!$F$5:$Z$167,18,0)*3600</f>
        <v>0</v>
      </c>
      <c r="AA112" s="656">
        <f>VLOOKUP($N112,ControlValve!$F$5:$Z$167,20,0)/100000</f>
        <v>0.71610485558952597</v>
      </c>
    </row>
    <row r="113" spans="1:27" ht="13.5" customHeight="1" thickBot="1">
      <c r="A113" s="114"/>
      <c r="B113" s="115"/>
      <c r="C113" s="116"/>
      <c r="D113" s="105"/>
      <c r="E113" s="106"/>
      <c r="F113" s="107"/>
      <c r="G113" s="117"/>
      <c r="H113" s="118"/>
      <c r="I113" s="119"/>
      <c r="J113" s="120"/>
      <c r="K113" s="121"/>
      <c r="L113" s="122"/>
      <c r="N113" s="1055" t="s">
        <v>9147</v>
      </c>
      <c r="O113" s="1016"/>
      <c r="P113" s="849" t="s">
        <v>9148</v>
      </c>
      <c r="Q113" s="393" t="s">
        <v>709</v>
      </c>
      <c r="R113" s="802" t="s">
        <v>8876</v>
      </c>
      <c r="S113" s="637">
        <f>VLOOKUP($N113,ControlValve!$F$5:$Z$150,2,0)</f>
        <v>500</v>
      </c>
      <c r="T113" s="161"/>
      <c r="U113" s="409" t="str">
        <f>IF(VLOOKUP($P113,ValveActuator!$F$5:$N$575,6,0)=1,"Fail Close","Fail Open")</f>
        <v>Fail Close</v>
      </c>
      <c r="V113" s="779" t="str">
        <f>IF(VLOOKUP($P113,ValveActuator!$F$5:$P$575,10,0)=TRUE,"Yes","None")</f>
        <v>None</v>
      </c>
      <c r="W113" s="409">
        <f>VLOOKUP($P113,ValveActuator!$F$5:$N$562,4,0)</f>
        <v>3</v>
      </c>
      <c r="X113" s="409">
        <f>VLOOKUP($P113,ValveActuator!$F$5:$N$562,2,0)</f>
        <v>3</v>
      </c>
      <c r="Y113" s="655">
        <f>VLOOKUP($N113,ControlValve!$F$5:$V$167,16,0)</f>
        <v>100</v>
      </c>
      <c r="Z113" s="655">
        <f>VLOOKUP($N113,ControlValve!$F$5:$Z$167,18,0)*3600</f>
        <v>0</v>
      </c>
      <c r="AA113" s="656">
        <f>VLOOKUP($N113,ControlValve!$F$5:$Z$167,20,0)/100000</f>
        <v>-1.8686553230509201E-8</v>
      </c>
    </row>
    <row r="114" spans="1:27" ht="13.5" customHeight="1" thickBot="1">
      <c r="A114" s="114"/>
      <c r="B114" s="115"/>
      <c r="C114" s="116"/>
      <c r="D114" s="105"/>
      <c r="E114" s="106"/>
      <c r="F114" s="107"/>
      <c r="G114" s="117"/>
      <c r="H114" s="118"/>
      <c r="I114" s="119"/>
      <c r="J114" s="120"/>
      <c r="K114" s="121"/>
      <c r="L114" s="122"/>
      <c r="N114" s="1058" t="s">
        <v>4588</v>
      </c>
      <c r="O114" s="1015"/>
      <c r="P114" s="849" t="s">
        <v>6474</v>
      </c>
      <c r="Q114" s="393" t="s">
        <v>730</v>
      </c>
      <c r="R114" s="393">
        <v>155</v>
      </c>
      <c r="S114" s="409">
        <f>VLOOKUP($N114,ControlValve!$F$5:$Z$150,2,0)</f>
        <v>155</v>
      </c>
      <c r="T114" s="161" t="s">
        <v>1053</v>
      </c>
      <c r="U114" s="409" t="str">
        <f>IF(VLOOKUP($P114,ValveActuator!$F$5:$N$575,6,0)=1,"Fail Close","Fail Open")</f>
        <v>Fail Close</v>
      </c>
      <c r="V114" s="779" t="str">
        <f>IF(VLOOKUP($P114,ValveActuator!$F$5:$P$575,10,0)=TRUE,"Yes","None")</f>
        <v>Yes</v>
      </c>
      <c r="W114" s="409">
        <f>VLOOKUP($P114,ValveActuator!$F$5:$N$562,4,0)</f>
        <v>3</v>
      </c>
      <c r="X114" s="409">
        <f>VLOOKUP($P114,ValveActuator!$F$5:$N$562,2,0)</f>
        <v>3</v>
      </c>
      <c r="Y114" s="655">
        <f>VLOOKUP($N114,ControlValve!$F$5:$V$167,16,0)</f>
        <v>0</v>
      </c>
      <c r="Z114" s="655">
        <f>VLOOKUP($N114,ControlValve!$F$5:$Z$167,18,0)*3600</f>
        <v>0</v>
      </c>
      <c r="AA114" s="656">
        <f>VLOOKUP($N114,ControlValve!$F$5:$Z$167,20,0)/100000</f>
        <v>18.059961182845701</v>
      </c>
    </row>
    <row r="115" spans="1:27" ht="13.5" customHeight="1" thickBot="1">
      <c r="A115" s="114"/>
      <c r="B115" s="115"/>
      <c r="C115" s="116"/>
      <c r="D115" s="105"/>
      <c r="E115" s="106"/>
      <c r="F115" s="107"/>
      <c r="G115" s="117"/>
      <c r="H115" s="118"/>
      <c r="I115" s="119"/>
      <c r="J115" s="120"/>
      <c r="K115" s="121"/>
      <c r="L115" s="122"/>
      <c r="N115" s="1055" t="s">
        <v>1062</v>
      </c>
      <c r="O115" s="1038"/>
      <c r="P115" s="849" t="s">
        <v>6533</v>
      </c>
      <c r="Q115" s="1057" t="s">
        <v>10827</v>
      </c>
      <c r="R115" s="802" t="s">
        <v>8876</v>
      </c>
      <c r="S115" s="637">
        <f>VLOOKUP($N115,ControlValve!$F$5:$Z$150,2,0)</f>
        <v>100</v>
      </c>
      <c r="T115" s="161"/>
      <c r="U115" s="409" t="str">
        <f>IF(VLOOKUP($P115,ValveActuator!$F$5:$N$575,6,0)=1,"Fail Close","Fail Open")</f>
        <v>Fail Close</v>
      </c>
      <c r="V115" s="779" t="str">
        <f>IF(VLOOKUP($P115,ValveActuator!$F$5:$P$575,10,0)=TRUE,"Yes","None")</f>
        <v>None</v>
      </c>
      <c r="W115" s="409">
        <f>VLOOKUP($P115,ValveActuator!$F$5:$N$562,4,0)</f>
        <v>3</v>
      </c>
      <c r="X115" s="409">
        <f>VLOOKUP($P115,ValveActuator!$F$5:$N$562,2,0)</f>
        <v>3</v>
      </c>
      <c r="Y115" s="655">
        <f>VLOOKUP($N115,ControlValve!$F$5:$V$167,16,0)</f>
        <v>100</v>
      </c>
      <c r="Z115" s="655">
        <f>VLOOKUP($N115,ControlValve!$F$5:$Z$167,18,0)*3600</f>
        <v>0.87951067358708157</v>
      </c>
      <c r="AA115" s="656">
        <f>VLOOKUP($N115,ControlValve!$F$5:$Z$167,20,0)/100000</f>
        <v>1.5538755234977E-3</v>
      </c>
    </row>
    <row r="116" spans="1:27" ht="13.5" customHeight="1" thickBot="1">
      <c r="A116" s="114"/>
      <c r="B116" s="115"/>
      <c r="C116" s="116"/>
      <c r="D116" s="105"/>
      <c r="E116" s="106"/>
      <c r="F116" s="107"/>
      <c r="G116" s="117"/>
      <c r="H116" s="118"/>
      <c r="I116" s="119"/>
      <c r="J116" s="120"/>
      <c r="K116" s="121"/>
      <c r="L116" s="122"/>
      <c r="N116" s="1058" t="s">
        <v>1069</v>
      </c>
      <c r="O116" s="1016"/>
      <c r="P116" s="500" t="s">
        <v>7858</v>
      </c>
      <c r="Q116" s="393" t="s">
        <v>796</v>
      </c>
      <c r="R116" s="802" t="s">
        <v>8876</v>
      </c>
      <c r="S116" s="637">
        <f>VLOOKUP($N116,ControlValve!$F$5:$Z$150,2,0)</f>
        <v>10</v>
      </c>
      <c r="T116" s="161"/>
      <c r="U116" s="409" t="str">
        <f>IF(VLOOKUP($P116,ValveActuator!$F$5:$N$575,6,0)=1,"Fail Close","Fail Open")</f>
        <v>Fail Close</v>
      </c>
      <c r="V116" s="779" t="str">
        <f>IF(VLOOKUP($P116,ValveActuator!$F$5:$P$575,10,0)=TRUE,"Yes","None")</f>
        <v>None</v>
      </c>
      <c r="W116" s="409">
        <f>VLOOKUP($P116,ValveActuator!$F$5:$N$562,4,0)</f>
        <v>3</v>
      </c>
      <c r="X116" s="409">
        <f>VLOOKUP($P116,ValveActuator!$F$5:$N$562,2,0)</f>
        <v>3</v>
      </c>
      <c r="Y116" s="655">
        <f>VLOOKUP($N116,ControlValve!$F$5:$V$167,16,0)</f>
        <v>0</v>
      </c>
      <c r="Z116" s="655">
        <f>VLOOKUP($N116,ControlValve!$F$5:$Z$167,18,0)*3600</f>
        <v>0</v>
      </c>
      <c r="AA116" s="656">
        <f>VLOOKUP($N116,ControlValve!$F$5:$Z$167,20,0)/100000</f>
        <v>2.6924118418567899</v>
      </c>
    </row>
    <row r="117" spans="1:27" ht="13.5" customHeight="1" thickBot="1">
      <c r="A117" s="114"/>
      <c r="B117" s="115"/>
      <c r="C117" s="116"/>
      <c r="D117" s="105"/>
      <c r="E117" s="106"/>
      <c r="F117" s="107"/>
      <c r="G117" s="117"/>
      <c r="H117" s="118"/>
      <c r="I117" s="119"/>
      <c r="J117" s="120"/>
      <c r="K117" s="121"/>
      <c r="L117" s="122"/>
      <c r="N117" s="1059" t="s">
        <v>1074</v>
      </c>
      <c r="O117" s="1050" t="s">
        <v>10813</v>
      </c>
      <c r="P117" s="500" t="s">
        <v>7740</v>
      </c>
      <c r="Q117" s="393" t="s">
        <v>727</v>
      </c>
      <c r="R117" s="393">
        <v>4100</v>
      </c>
      <c r="S117" s="409">
        <f>VLOOKUP($N117,ControlValve!$F$5:$Z$150,2,0)</f>
        <v>4100</v>
      </c>
      <c r="T117" s="161" t="s">
        <v>1075</v>
      </c>
      <c r="U117" s="409" t="str">
        <f>IF(VLOOKUP($P117,ValveActuator!$F$5:$N$575,6,0)=1,"Fail Close","Fail Open")</f>
        <v>Fail Open</v>
      </c>
      <c r="V117" s="779" t="str">
        <f>IF(VLOOKUP($P117,ValveActuator!$F$5:$P$575,10,0)=TRUE,"Yes","None")</f>
        <v>Yes</v>
      </c>
      <c r="W117" s="409">
        <f>VLOOKUP($P117,ValveActuator!$F$5:$N$562,4,0)</f>
        <v>3</v>
      </c>
      <c r="X117" s="409">
        <f>VLOOKUP($P117,ValveActuator!$F$5:$N$562,2,0)</f>
        <v>3</v>
      </c>
      <c r="Y117" s="655">
        <f>VLOOKUP($N117,ControlValve!$F$5:$V$167,16,0)</f>
        <v>22.247269930857001</v>
      </c>
      <c r="Z117" s="655">
        <f>VLOOKUP($N117,ControlValve!$F$5:$Z$167,18,0)*3600</f>
        <v>6727.7267952198117</v>
      </c>
      <c r="AA117" s="656">
        <f>VLOOKUP($N117,ControlValve!$F$5:$Z$167,20,0)/100000</f>
        <v>4.8028530879136895E-2</v>
      </c>
    </row>
    <row r="118" spans="1:27" ht="13.5" customHeight="1" thickBot="1">
      <c r="A118" s="114"/>
      <c r="B118" s="115"/>
      <c r="C118" s="116"/>
      <c r="D118" s="105"/>
      <c r="E118" s="106"/>
      <c r="F118" s="107"/>
      <c r="G118" s="117"/>
      <c r="H118" s="118"/>
      <c r="I118" s="119"/>
      <c r="J118" s="120"/>
      <c r="K118" s="121"/>
      <c r="L118" s="122"/>
      <c r="N118" s="1058" t="s">
        <v>8026</v>
      </c>
      <c r="O118" s="1016"/>
      <c r="P118" s="500" t="s">
        <v>8060</v>
      </c>
      <c r="Q118" s="393" t="s">
        <v>938</v>
      </c>
      <c r="R118" s="393">
        <v>1750</v>
      </c>
      <c r="S118" s="409">
        <f>VLOOKUP($N118,ControlValve!$F$5:$Z$150,2,0)</f>
        <v>1750</v>
      </c>
      <c r="T118" s="161" t="s">
        <v>1078</v>
      </c>
      <c r="U118" s="409" t="str">
        <f>IF(VLOOKUP($P118,ValveActuator!$F$5:$N$575,6,0)=1,"Fail Close","Fail Open")</f>
        <v>Fail Close</v>
      </c>
      <c r="V118" s="779" t="str">
        <f>IF(VLOOKUP($P118,ValveActuator!$F$5:$P$575,10,0)=TRUE,"Yes","None")</f>
        <v>Yes</v>
      </c>
      <c r="W118" s="409">
        <f>VLOOKUP($P118,ValveActuator!$F$5:$N$562,4,0)</f>
        <v>3</v>
      </c>
      <c r="X118" s="409">
        <f>VLOOKUP($P118,ValveActuator!$F$5:$N$562,2,0)</f>
        <v>3</v>
      </c>
      <c r="Y118" s="655">
        <f>VLOOKUP($N118,ControlValve!$F$5:$V$167,16,0)</f>
        <v>0</v>
      </c>
      <c r="Z118" s="655">
        <f>VLOOKUP($N118,ControlValve!$F$5:$Z$167,18,0)*3600</f>
        <v>0</v>
      </c>
      <c r="AA118" s="656">
        <f>VLOOKUP($N118,ControlValve!$F$5:$Z$167,20,0)/100000</f>
        <v>4.3534061340189902</v>
      </c>
    </row>
    <row r="119" spans="1:27" ht="13.5" customHeight="1" thickBot="1">
      <c r="A119" s="114"/>
      <c r="B119" s="115"/>
      <c r="C119" s="116"/>
      <c r="D119" s="105"/>
      <c r="E119" s="106"/>
      <c r="F119" s="107"/>
      <c r="G119" s="117"/>
      <c r="H119" s="118"/>
      <c r="I119" s="119"/>
      <c r="J119" s="120"/>
      <c r="K119" s="121"/>
      <c r="L119" s="122"/>
      <c r="N119" s="1058" t="s">
        <v>9181</v>
      </c>
      <c r="O119" s="1015"/>
      <c r="P119" s="500" t="s">
        <v>9182</v>
      </c>
      <c r="Q119" s="393" t="s">
        <v>938</v>
      </c>
      <c r="R119" s="393">
        <v>500</v>
      </c>
      <c r="S119" s="409">
        <f>VLOOKUP($N119,ControlValve!$F$5:$Z$150,2,0)</f>
        <v>500</v>
      </c>
      <c r="T119" s="161" t="s">
        <v>1080</v>
      </c>
      <c r="U119" s="409" t="str">
        <f>IF(VLOOKUP($P119,ValveActuator!$F$5:$N$575,6,0)=1,"Fail Close","Fail Open")</f>
        <v>Fail Close</v>
      </c>
      <c r="V119" s="779" t="str">
        <f>IF(VLOOKUP($P119,ValveActuator!$F$5:$P$575,10,0)=TRUE,"Yes","None")</f>
        <v>None</v>
      </c>
      <c r="W119" s="409">
        <f>VLOOKUP($P119,ValveActuator!$F$5:$N$562,4,0)</f>
        <v>3</v>
      </c>
      <c r="X119" s="409">
        <f>VLOOKUP($P119,ValveActuator!$F$5:$N$562,2,0)</f>
        <v>3</v>
      </c>
      <c r="Y119" s="655">
        <f>VLOOKUP($N119,ControlValve!$F$5:$V$167,16,0)</f>
        <v>0</v>
      </c>
      <c r="Z119" s="655">
        <f>VLOOKUP($N119,ControlValve!$F$5:$Z$167,18,0)*3600</f>
        <v>0</v>
      </c>
      <c r="AA119" s="656">
        <f>VLOOKUP($N119,ControlValve!$F$5:$Z$167,20,0)/100000</f>
        <v>8.5356171155892806</v>
      </c>
    </row>
    <row r="120" spans="1:27" ht="13.5" customHeight="1" thickBot="1">
      <c r="A120" s="114"/>
      <c r="B120" s="115"/>
      <c r="C120" s="116"/>
      <c r="D120" s="105"/>
      <c r="E120" s="106"/>
      <c r="F120" s="107"/>
      <c r="G120" s="117"/>
      <c r="H120" s="118"/>
      <c r="I120" s="119"/>
      <c r="J120" s="120"/>
      <c r="K120" s="121"/>
      <c r="L120" s="122"/>
      <c r="N120" s="1058" t="s">
        <v>9149</v>
      </c>
      <c r="O120" s="1038"/>
      <c r="P120" s="500" t="s">
        <v>9150</v>
      </c>
      <c r="Q120" s="393" t="s">
        <v>938</v>
      </c>
      <c r="R120" s="802" t="s">
        <v>8876</v>
      </c>
      <c r="S120" s="637">
        <f>VLOOKUP($N120,ControlValve!$F$5:$Z$150,2,0)</f>
        <v>500</v>
      </c>
      <c r="T120" s="161"/>
      <c r="U120" s="409" t="str">
        <f>IF(VLOOKUP($P120,ValveActuator!$F$5:$N$575,6,0)=1,"Fail Close","Fail Open")</f>
        <v>Fail Close</v>
      </c>
      <c r="V120" s="779" t="str">
        <f>IF(VLOOKUP($P120,ValveActuator!$F$5:$P$575,10,0)=TRUE,"Yes","None")</f>
        <v>None</v>
      </c>
      <c r="W120" s="409">
        <f>VLOOKUP($P120,ValveActuator!$F$5:$N$562,4,0)</f>
        <v>3</v>
      </c>
      <c r="X120" s="409">
        <f>VLOOKUP($P120,ValveActuator!$F$5:$N$562,2,0)</f>
        <v>3</v>
      </c>
      <c r="Y120" s="655">
        <f>VLOOKUP($N120,ControlValve!$F$5:$V$167,16,0)</f>
        <v>0</v>
      </c>
      <c r="Z120" s="655">
        <f>VLOOKUP($N120,ControlValve!$F$5:$Z$167,18,0)*3600</f>
        <v>0</v>
      </c>
      <c r="AA120" s="656">
        <f>VLOOKUP($N120,ControlValve!$F$5:$Z$167,20,0)/100000</f>
        <v>-1.99074694841133</v>
      </c>
    </row>
    <row r="121" spans="1:27" ht="13.5" customHeight="1" thickBot="1">
      <c r="A121" s="114"/>
      <c r="B121" s="115"/>
      <c r="C121" s="116"/>
      <c r="D121" s="105"/>
      <c r="E121" s="106"/>
      <c r="F121" s="107"/>
      <c r="G121" s="117"/>
      <c r="H121" s="118"/>
      <c r="I121" s="119"/>
      <c r="J121" s="120"/>
      <c r="K121" s="121"/>
      <c r="L121" s="122"/>
      <c r="N121" s="1051" t="s">
        <v>1086</v>
      </c>
      <c r="O121" s="1014"/>
      <c r="P121" s="849" t="s">
        <v>5606</v>
      </c>
      <c r="Q121" s="393" t="s">
        <v>849</v>
      </c>
      <c r="R121" s="802" t="s">
        <v>8876</v>
      </c>
      <c r="S121" s="637">
        <f>VLOOKUP($N121,ControlValve!$F$5:$Z$150,2,0)</f>
        <v>10</v>
      </c>
      <c r="T121" s="161"/>
      <c r="U121" s="409" t="str">
        <f>IF(VLOOKUP($P121,ValveActuator!$F$5:$N$575,6,0)=1,"Fail Close","Fail Open")</f>
        <v>Fail Close</v>
      </c>
      <c r="V121" s="779" t="str">
        <f>IF(VLOOKUP($P121,ValveActuator!$F$5:$P$575,10,0)=TRUE,"Yes","None")</f>
        <v>None</v>
      </c>
      <c r="W121" s="409">
        <f>VLOOKUP($P121,ValveActuator!$F$5:$N$562,4,0)</f>
        <v>3</v>
      </c>
      <c r="X121" s="409">
        <f>VLOOKUP($P121,ValveActuator!$F$5:$N$562,2,0)</f>
        <v>3</v>
      </c>
      <c r="Y121" s="655">
        <f>VLOOKUP($N121,ControlValve!$F$5:$V$167,16,0)</f>
        <v>100</v>
      </c>
      <c r="Z121" s="655">
        <f>VLOOKUP($N121,ControlValve!$F$5:$Z$167,18,0)*3600</f>
        <v>7.7345425062509757E-2</v>
      </c>
      <c r="AA121" s="656">
        <f>VLOOKUP($N121,ControlValve!$F$5:$Z$167,20,0)/100000</f>
        <v>1.2866041891870599E-3</v>
      </c>
    </row>
    <row r="122" spans="1:27" ht="13.5" customHeight="1" thickBot="1">
      <c r="A122" s="114"/>
      <c r="B122" s="115"/>
      <c r="C122" s="116"/>
      <c r="D122" s="105"/>
      <c r="E122" s="106"/>
      <c r="F122" s="107"/>
      <c r="G122" s="117"/>
      <c r="H122" s="118"/>
      <c r="I122" s="119"/>
      <c r="J122" s="120"/>
      <c r="K122" s="121"/>
      <c r="L122" s="122"/>
      <c r="N122" s="1050" t="s">
        <v>1087</v>
      </c>
      <c r="O122" s="1016"/>
      <c r="P122" s="500" t="s">
        <v>5601</v>
      </c>
      <c r="Q122" s="393" t="s">
        <v>1088</v>
      </c>
      <c r="R122" s="802" t="s">
        <v>8876</v>
      </c>
      <c r="S122" s="637">
        <f>VLOOKUP($N122,ControlValve!$F$5:$Z$150,2,0)</f>
        <v>100000</v>
      </c>
      <c r="T122" s="161"/>
      <c r="U122" s="409" t="str">
        <f>IF(VLOOKUP($P122,ValveActuator!$F$5:$N$575,6,0)=1,"Fail Close","Fail Open")</f>
        <v>Fail Close</v>
      </c>
      <c r="V122" s="779" t="str">
        <f>IF(VLOOKUP($P122,ValveActuator!$F$5:$P$575,10,0)=TRUE,"Yes","None")</f>
        <v>None</v>
      </c>
      <c r="W122" s="409">
        <f>VLOOKUP($P122,ValveActuator!$F$5:$N$562,4,0)</f>
        <v>3</v>
      </c>
      <c r="X122" s="409">
        <f>VLOOKUP($P122,ValveActuator!$F$5:$N$562,2,0)</f>
        <v>3</v>
      </c>
      <c r="Y122" s="655">
        <f>VLOOKUP($N122,ControlValve!$F$5:$V$167,16,0)</f>
        <v>0</v>
      </c>
      <c r="Z122" s="655">
        <f>VLOOKUP($N122,ControlValve!$F$5:$Z$167,18,0)*3600</f>
        <v>0</v>
      </c>
      <c r="AA122" s="656">
        <f>VLOOKUP($N122,ControlValve!$F$5:$Z$167,20,0)/100000</f>
        <v>1.9714988117893501E-3</v>
      </c>
    </row>
    <row r="123" spans="1:27" ht="13.5" customHeight="1" thickBot="1">
      <c r="A123" s="114"/>
      <c r="B123" s="115"/>
      <c r="C123" s="116"/>
      <c r="D123" s="105"/>
      <c r="E123" s="106"/>
      <c r="F123" s="107"/>
      <c r="G123" s="117"/>
      <c r="H123" s="118"/>
      <c r="I123" s="119"/>
      <c r="J123" s="120"/>
      <c r="K123" s="121"/>
      <c r="L123" s="122"/>
      <c r="N123" s="1050" t="s">
        <v>10828</v>
      </c>
      <c r="O123" s="1017"/>
      <c r="P123" s="500" t="s">
        <v>5598</v>
      </c>
      <c r="Q123" s="393" t="s">
        <v>1088</v>
      </c>
      <c r="R123" s="802" t="s">
        <v>8876</v>
      </c>
      <c r="S123" s="637">
        <f>VLOOKUP($N123,ControlValve!$F$5:$Z$150,2,0)</f>
        <v>80000</v>
      </c>
      <c r="T123" s="161"/>
      <c r="U123" s="409" t="str">
        <f>IF(VLOOKUP($P123,ValveActuator!$F$5:$N$575,6,0)=1,"Fail Close","Fail Open")</f>
        <v>Fail Close</v>
      </c>
      <c r="V123" s="779" t="str">
        <f>IF(VLOOKUP($P123,ValveActuator!$F$5:$P$575,10,0)=TRUE,"Yes","None")</f>
        <v>None</v>
      </c>
      <c r="W123" s="409">
        <f>VLOOKUP($P123,ValveActuator!$F$5:$N$562,4,0)</f>
        <v>3</v>
      </c>
      <c r="X123" s="409">
        <f>VLOOKUP($P123,ValveActuator!$F$5:$N$562,2,0)</f>
        <v>3</v>
      </c>
      <c r="Y123" s="655">
        <f>VLOOKUP($N123,ControlValve!$F$5:$V$167,16,0)</f>
        <v>37.3581635876494</v>
      </c>
      <c r="Z123" s="655">
        <f>VLOOKUP($N123,ControlValve!$F$5:$Z$167,18,0)*3600</f>
        <v>63.280134891852839</v>
      </c>
      <c r="AA123" s="656">
        <f>VLOOKUP($N123,ControlValve!$F$5:$Z$167,20,0)/100000</f>
        <v>1.98454093095187E-2</v>
      </c>
    </row>
    <row r="124" spans="1:27" ht="13.5" customHeight="1" thickBot="1">
      <c r="A124" s="114"/>
      <c r="B124" s="115"/>
      <c r="C124" s="116"/>
      <c r="D124" s="105"/>
      <c r="E124" s="106"/>
      <c r="F124" s="107"/>
      <c r="G124" s="117"/>
      <c r="H124" s="118"/>
      <c r="I124" s="119"/>
      <c r="J124" s="120"/>
      <c r="K124" s="121"/>
      <c r="L124" s="122"/>
      <c r="N124" s="1055" t="s">
        <v>8845</v>
      </c>
      <c r="O124" s="1016"/>
      <c r="P124" s="500" t="s">
        <v>8061</v>
      </c>
      <c r="Q124" s="393" t="s">
        <v>1096</v>
      </c>
      <c r="R124" s="802" t="s">
        <v>8876</v>
      </c>
      <c r="S124" s="637">
        <f>VLOOKUP($N124,ControlValve!$F$5:$Z$150,2,0)</f>
        <v>1300</v>
      </c>
      <c r="T124" s="161" t="s">
        <v>1095</v>
      </c>
      <c r="U124" s="409" t="str">
        <f>IF(VLOOKUP($P124,ValveActuator!$F$5:$N$575,6,0)=1,"Fail Close","Fail Open")</f>
        <v>Fail Close</v>
      </c>
      <c r="V124" s="779" t="str">
        <f>IF(VLOOKUP($P124,ValveActuator!$F$5:$P$575,10,0)=TRUE,"Yes","None")</f>
        <v>None</v>
      </c>
      <c r="W124" s="409"/>
      <c r="X124" s="409"/>
      <c r="Y124" s="655">
        <f>VLOOKUP($N124,ControlValve!$F$5:$V$167,16,0)</f>
        <v>50</v>
      </c>
      <c r="Z124" s="655">
        <f>VLOOKUP($N124,ControlValve!$F$5:$Z$167,18,0)*3600</f>
        <v>67.610107826523716</v>
      </c>
      <c r="AA124" s="656">
        <f>VLOOKUP($N124,ControlValve!$F$5:$Z$167,20,0)/100000</f>
        <v>1.4369235130695199E-2</v>
      </c>
    </row>
    <row r="125" spans="1:27" ht="13.5" customHeight="1" thickBot="1">
      <c r="A125" s="114"/>
      <c r="B125" s="115"/>
      <c r="C125" s="116"/>
      <c r="D125" s="105"/>
      <c r="E125" s="106"/>
      <c r="F125" s="107"/>
      <c r="G125" s="117"/>
      <c r="H125" s="118"/>
      <c r="I125" s="119"/>
      <c r="J125" s="120"/>
      <c r="K125" s="121"/>
      <c r="L125" s="122"/>
      <c r="N125" s="1055" t="s">
        <v>8027</v>
      </c>
      <c r="O125" s="1037"/>
      <c r="P125" s="500" t="s">
        <v>6587</v>
      </c>
      <c r="Q125" s="393" t="s">
        <v>700</v>
      </c>
      <c r="R125" s="802" t="s">
        <v>8876</v>
      </c>
      <c r="S125" s="637">
        <f>VLOOKUP($N125,ControlValve!$F$5:$Z$150,2,0)</f>
        <v>120</v>
      </c>
      <c r="T125" s="161"/>
      <c r="U125" s="409" t="str">
        <f>IF(VLOOKUP($P125,ValveActuator!$F$5:$N$575,6,0)=1,"Fail Close","Fail Open")</f>
        <v>Fail Open</v>
      </c>
      <c r="V125" s="779" t="str">
        <f>IF(VLOOKUP($P125,ValveActuator!$F$5:$P$575,10,0)=TRUE,"Yes","None")</f>
        <v>None</v>
      </c>
      <c r="W125" s="409">
        <f>VLOOKUP($P125,ValveActuator!$F$5:$N$562,4,0)</f>
        <v>3</v>
      </c>
      <c r="X125" s="409">
        <f>VLOOKUP($P125,ValveActuator!$F$5:$N$562,2,0)</f>
        <v>3</v>
      </c>
      <c r="Y125" s="655">
        <f>VLOOKUP($N125,ControlValve!$F$5:$V$167,16,0)</f>
        <v>92.707152100253097</v>
      </c>
      <c r="Z125" s="655">
        <f>VLOOKUP($N125,ControlValve!$F$5:$Z$167,18,0)*3600</f>
        <v>273.39440266318678</v>
      </c>
      <c r="AA125" s="656">
        <f>VLOOKUP($N125,ControlValve!$F$5:$Z$167,20,0)/100000</f>
        <v>10.0424203448301</v>
      </c>
    </row>
    <row r="126" spans="1:27" ht="13.5" customHeight="1" thickBot="1">
      <c r="A126" s="114"/>
      <c r="B126" s="115"/>
      <c r="C126" s="116"/>
      <c r="D126" s="105"/>
      <c r="E126" s="106"/>
      <c r="F126" s="107"/>
      <c r="G126" s="117"/>
      <c r="H126" s="118"/>
      <c r="I126" s="119"/>
      <c r="J126" s="120"/>
      <c r="K126" s="121"/>
      <c r="L126" s="122"/>
      <c r="N126" s="1055" t="s">
        <v>8029</v>
      </c>
      <c r="O126" s="1016"/>
      <c r="P126" s="500" t="s">
        <v>6588</v>
      </c>
      <c r="Q126" s="393" t="s">
        <v>700</v>
      </c>
      <c r="R126" s="802" t="s">
        <v>8876</v>
      </c>
      <c r="S126" s="637">
        <f>VLOOKUP($N126,ControlValve!$F$5:$Z$150,2,0)</f>
        <v>120</v>
      </c>
      <c r="T126" s="161"/>
      <c r="U126" s="409" t="str">
        <f>IF(VLOOKUP($P126,ValveActuator!$F$5:$N$575,6,0)=1,"Fail Close","Fail Open")</f>
        <v>Fail Close</v>
      </c>
      <c r="V126" s="779" t="str">
        <f>IF(VLOOKUP($P126,ValveActuator!$F$5:$P$575,10,0)=TRUE,"Yes","None")</f>
        <v>None</v>
      </c>
      <c r="W126" s="409">
        <f>VLOOKUP($P126,ValveActuator!$F$5:$N$562,4,0)</f>
        <v>3</v>
      </c>
      <c r="X126" s="409">
        <f>VLOOKUP($P126,ValveActuator!$F$5:$N$562,2,0)</f>
        <v>3</v>
      </c>
      <c r="Y126" s="655">
        <f>VLOOKUP($N126,ControlValve!$F$5:$V$167,16,0)</f>
        <v>0</v>
      </c>
      <c r="Z126" s="655">
        <f>VLOOKUP($N126,ControlValve!$F$5:$Z$167,18,0)*3600</f>
        <v>0</v>
      </c>
      <c r="AA126" s="656">
        <f>VLOOKUP($N126,ControlValve!$F$5:$Z$167,20,0)/100000</f>
        <v>10.3934713753083</v>
      </c>
    </row>
    <row r="127" spans="1:27" ht="13.5" customHeight="1" thickBot="1">
      <c r="A127" s="114"/>
      <c r="B127" s="115"/>
      <c r="C127" s="116"/>
      <c r="D127" s="105"/>
      <c r="E127" s="106"/>
      <c r="F127" s="107"/>
      <c r="G127" s="117"/>
      <c r="H127" s="118"/>
      <c r="I127" s="119"/>
      <c r="J127" s="120"/>
      <c r="K127" s="121"/>
      <c r="L127" s="122"/>
      <c r="N127" s="1058" t="s">
        <v>8028</v>
      </c>
      <c r="O127" s="1016"/>
      <c r="P127" s="500" t="s">
        <v>6594</v>
      </c>
      <c r="Q127" s="393" t="s">
        <v>700</v>
      </c>
      <c r="R127" s="802" t="s">
        <v>8876</v>
      </c>
      <c r="S127" s="637">
        <f>VLOOKUP($N127,ControlValve!$F$5:$Z$150,2,0)</f>
        <v>1600</v>
      </c>
      <c r="T127" s="161"/>
      <c r="U127" s="409" t="str">
        <f>IF(VLOOKUP($P127,ValveActuator!$F$5:$N$575,6,0)=1,"Fail Close","Fail Open")</f>
        <v>Fail Close</v>
      </c>
      <c r="V127" s="779" t="str">
        <f>IF(VLOOKUP($P127,ValveActuator!$F$5:$P$575,10,0)=TRUE,"Yes","None")</f>
        <v>None</v>
      </c>
      <c r="W127" s="409">
        <f>VLOOKUP($P127,ValveActuator!$F$5:$N$562,4,0)</f>
        <v>3</v>
      </c>
      <c r="X127" s="409">
        <f>VLOOKUP($P127,ValveActuator!$F$5:$N$562,2,0)</f>
        <v>3</v>
      </c>
      <c r="Y127" s="655">
        <f>VLOOKUP($N127,ControlValve!$F$5:$V$167,16,0)</f>
        <v>100</v>
      </c>
      <c r="Z127" s="655">
        <f>VLOOKUP($N127,ControlValve!$F$5:$Z$167,18,0)*3600</f>
        <v>310.59804516187825</v>
      </c>
      <c r="AA127" s="656">
        <f>VLOOKUP($N127,ControlValve!$F$5:$Z$167,20,0)/100000</f>
        <v>5.3091488492954503E-2</v>
      </c>
    </row>
    <row r="128" spans="1:27" ht="13.5" customHeight="1" thickBot="1">
      <c r="A128" s="114"/>
      <c r="B128" s="115"/>
      <c r="C128" s="116"/>
      <c r="D128" s="105"/>
      <c r="E128" s="106"/>
      <c r="F128" s="107"/>
      <c r="G128" s="117"/>
      <c r="H128" s="118"/>
      <c r="I128" s="119"/>
      <c r="J128" s="120"/>
      <c r="K128" s="121"/>
      <c r="L128" s="122"/>
      <c r="N128" s="1058" t="s">
        <v>1101</v>
      </c>
      <c r="O128" s="1016"/>
      <c r="P128" s="500" t="s">
        <v>6595</v>
      </c>
      <c r="Q128" s="393" t="s">
        <v>700</v>
      </c>
      <c r="R128" s="802" t="s">
        <v>8876</v>
      </c>
      <c r="S128" s="637">
        <f>VLOOKUP($N128,ControlValve!$F$5:$Z$150,2,0)</f>
        <v>610</v>
      </c>
      <c r="T128" s="161"/>
      <c r="U128" s="409" t="str">
        <f>IF(VLOOKUP($P128,ValveActuator!$F$5:$N$575,6,0)=1,"Fail Close","Fail Open")</f>
        <v>Fail Close</v>
      </c>
      <c r="V128" s="779" t="str">
        <f>IF(VLOOKUP($P128,ValveActuator!$F$5:$P$575,10,0)=TRUE,"Yes","None")</f>
        <v>None</v>
      </c>
      <c r="W128" s="409">
        <f>VLOOKUP($P128,ValveActuator!$F$5:$N$562,4,0)</f>
        <v>3</v>
      </c>
      <c r="X128" s="409">
        <f>VLOOKUP($P128,ValveActuator!$F$5:$N$562,2,0)</f>
        <v>3</v>
      </c>
      <c r="Y128" s="655">
        <f>VLOOKUP($N128,ControlValve!$F$5:$V$167,16,0)</f>
        <v>100</v>
      </c>
      <c r="Z128" s="655">
        <f>VLOOKUP($N128,ControlValve!$F$5:$Z$167,18,0)*3600</f>
        <v>531.8025140419345</v>
      </c>
      <c r="AA128" s="656">
        <f>VLOOKUP($N128,ControlValve!$F$5:$Z$167,20,0)/100000</f>
        <v>1.1090301584497</v>
      </c>
    </row>
    <row r="129" spans="1:27" ht="13.5" customHeight="1" thickBot="1">
      <c r="A129" s="114"/>
      <c r="B129" s="115"/>
      <c r="C129" s="116"/>
      <c r="D129" s="105"/>
      <c r="E129" s="106"/>
      <c r="F129" s="107"/>
      <c r="G129" s="117"/>
      <c r="H129" s="118"/>
      <c r="I129" s="119"/>
      <c r="J129" s="120"/>
      <c r="K129" s="121"/>
      <c r="L129" s="122"/>
      <c r="N129" s="1058" t="s">
        <v>1102</v>
      </c>
      <c r="O129" s="1016"/>
      <c r="P129" s="500" t="s">
        <v>5668</v>
      </c>
      <c r="Q129" s="393" t="s">
        <v>817</v>
      </c>
      <c r="R129" s="802" t="s">
        <v>8876</v>
      </c>
      <c r="S129" s="637">
        <f>VLOOKUP($N129,ControlValve!$F$5:$Z$150,2,0)</f>
        <v>50</v>
      </c>
      <c r="T129" s="161"/>
      <c r="U129" s="409" t="str">
        <f>IF(VLOOKUP($P129,ValveActuator!$F$5:$N$575,6,0)=1,"Fail Close","Fail Open")</f>
        <v>Fail Close</v>
      </c>
      <c r="V129" s="779" t="str">
        <f>IF(VLOOKUP($P129,ValveActuator!$F$5:$P$575,10,0)=TRUE,"Yes","None")</f>
        <v>None</v>
      </c>
      <c r="W129" s="409">
        <f>VLOOKUP($P129,ValveActuator!$F$5:$N$562,4,0)</f>
        <v>3</v>
      </c>
      <c r="X129" s="409">
        <f>VLOOKUP($P129,ValveActuator!$F$5:$N$562,2,0)</f>
        <v>3</v>
      </c>
      <c r="Y129" s="655">
        <f>VLOOKUP($N129,ControlValve!$F$5:$V$167,16,0)</f>
        <v>0</v>
      </c>
      <c r="Z129" s="655">
        <f>VLOOKUP($N129,ControlValve!$F$5:$Z$167,18,0)*3600</f>
        <v>0</v>
      </c>
      <c r="AA129" s="656">
        <f>VLOOKUP($N129,ControlValve!$F$5:$Z$167,20,0)/100000</f>
        <v>28.125243095946001</v>
      </c>
    </row>
    <row r="130" spans="1:27" ht="13.5" customHeight="1" thickBot="1">
      <c r="A130" s="114"/>
      <c r="B130" s="115"/>
      <c r="C130" s="116"/>
      <c r="D130" s="105"/>
      <c r="E130" s="106"/>
      <c r="F130" s="107"/>
      <c r="G130" s="117"/>
      <c r="H130" s="118"/>
      <c r="I130" s="119"/>
      <c r="J130" s="120"/>
      <c r="K130" s="121"/>
      <c r="L130" s="122"/>
      <c r="N130" s="1058" t="s">
        <v>1103</v>
      </c>
      <c r="O130" s="1016"/>
      <c r="P130" s="500" t="s">
        <v>5666</v>
      </c>
      <c r="Q130" s="393" t="s">
        <v>817</v>
      </c>
      <c r="R130" s="802" t="s">
        <v>8876</v>
      </c>
      <c r="S130" s="637">
        <f>VLOOKUP($N130,ControlValve!$F$5:$Z$150,2,0)</f>
        <v>10</v>
      </c>
      <c r="T130" s="161"/>
      <c r="U130" s="409" t="str">
        <f>IF(VLOOKUP($P130,ValveActuator!$F$5:$N$575,6,0)=1,"Fail Close","Fail Open")</f>
        <v>Fail Close</v>
      </c>
      <c r="V130" s="779" t="str">
        <f>IF(VLOOKUP($P130,ValveActuator!$F$5:$P$575,10,0)=TRUE,"Yes","None")</f>
        <v>None</v>
      </c>
      <c r="W130" s="409">
        <f>VLOOKUP($P130,ValveActuator!$F$5:$N$562,4,0)</f>
        <v>3</v>
      </c>
      <c r="X130" s="409">
        <f>VLOOKUP($P130,ValveActuator!$F$5:$N$562,2,0)</f>
        <v>3</v>
      </c>
      <c r="Y130" s="655">
        <f>VLOOKUP($N130,ControlValve!$F$5:$V$167,16,0)</f>
        <v>100</v>
      </c>
      <c r="Z130" s="655">
        <f>VLOOKUP($N130,ControlValve!$F$5:$Z$167,18,0)*3600</f>
        <v>9.7860608870774038E-3</v>
      </c>
      <c r="AA130" s="656">
        <f>VLOOKUP($N130,ControlValve!$F$5:$Z$167,20,0)/100000</f>
        <v>4.7369535603240402E-4</v>
      </c>
    </row>
    <row r="131" spans="1:27" ht="13.5" customHeight="1" thickBot="1">
      <c r="A131" s="114"/>
      <c r="B131" s="115"/>
      <c r="C131" s="116"/>
      <c r="D131" s="105"/>
      <c r="E131" s="106"/>
      <c r="F131" s="107"/>
      <c r="G131" s="117"/>
      <c r="H131" s="118"/>
      <c r="I131" s="119"/>
      <c r="J131" s="120"/>
      <c r="K131" s="121"/>
      <c r="L131" s="122"/>
      <c r="N131" s="1058" t="s">
        <v>1104</v>
      </c>
      <c r="O131" s="1016"/>
      <c r="P131" s="500" t="s">
        <v>8062</v>
      </c>
      <c r="Q131" s="393" t="s">
        <v>817</v>
      </c>
      <c r="R131" s="802" t="s">
        <v>8876</v>
      </c>
      <c r="S131" s="637">
        <f>VLOOKUP($N131,ControlValve!$F$5:$Z$150,2,0)</f>
        <v>10</v>
      </c>
      <c r="T131" s="161"/>
      <c r="U131" s="409" t="str">
        <f>IF(VLOOKUP($P131,ValveActuator!$F$5:$N$575,6,0)=1,"Fail Close","Fail Open")</f>
        <v>Fail Open</v>
      </c>
      <c r="V131" s="779" t="str">
        <f>IF(VLOOKUP($P131,ValveActuator!$F$5:$P$575,10,0)=TRUE,"Yes","None")</f>
        <v>None</v>
      </c>
      <c r="W131" s="409">
        <f>VLOOKUP($P131,ValveActuator!$F$5:$N$562,4,0)</f>
        <v>3</v>
      </c>
      <c r="X131" s="409">
        <f>VLOOKUP($P131,ValveActuator!$F$5:$N$562,2,0)</f>
        <v>3</v>
      </c>
      <c r="Y131" s="655">
        <f>VLOOKUP($N131,ControlValve!$F$5:$V$167,16,0)</f>
        <v>0</v>
      </c>
      <c r="Z131" s="655">
        <f>VLOOKUP($N131,ControlValve!$F$5:$Z$167,18,0)*3600</f>
        <v>0</v>
      </c>
      <c r="AA131" s="656">
        <f>VLOOKUP($N131,ControlValve!$F$5:$Z$167,20,0)/100000</f>
        <v>1.0699866709310699</v>
      </c>
    </row>
    <row r="132" spans="1:27" ht="13.5" customHeight="1" thickBot="1">
      <c r="A132" s="114"/>
      <c r="B132" s="115"/>
      <c r="C132" s="116"/>
      <c r="D132" s="105"/>
      <c r="E132" s="106"/>
      <c r="F132" s="107"/>
      <c r="G132" s="117"/>
      <c r="H132" s="118"/>
      <c r="I132" s="119"/>
      <c r="J132" s="120"/>
      <c r="K132" s="121"/>
      <c r="L132" s="122"/>
      <c r="N132" s="1058" t="s">
        <v>1105</v>
      </c>
      <c r="O132" s="1016"/>
      <c r="P132" s="500" t="s">
        <v>5665</v>
      </c>
      <c r="Q132" s="393" t="s">
        <v>986</v>
      </c>
      <c r="R132" s="393">
        <v>12.371</v>
      </c>
      <c r="S132" s="409">
        <f>VLOOKUP($N132,ControlValve!$F$5:$Z$150,2,0)</f>
        <v>12.371</v>
      </c>
      <c r="T132" s="161" t="s">
        <v>1106</v>
      </c>
      <c r="U132" s="409" t="str">
        <f>IF(VLOOKUP($P132,ValveActuator!$F$5:$N$575,6,0)=1,"Fail Close","Fail Open")</f>
        <v>Fail Close</v>
      </c>
      <c r="V132" s="779" t="str">
        <f>IF(VLOOKUP($P132,ValveActuator!$F$5:$P$575,10,0)=TRUE,"Yes","None")</f>
        <v>None</v>
      </c>
      <c r="W132" s="409">
        <f>VLOOKUP($P132,ValveActuator!$F$5:$N$562,4,0)</f>
        <v>3</v>
      </c>
      <c r="X132" s="409">
        <f>VLOOKUP($P132,ValveActuator!$F$5:$N$562,2,0)</f>
        <v>3</v>
      </c>
      <c r="Y132" s="655">
        <f>VLOOKUP($N132,ControlValve!$F$5:$V$167,16,0)</f>
        <v>31.0585339117691</v>
      </c>
      <c r="Z132" s="655">
        <f>VLOOKUP($N132,ControlValve!$F$5:$Z$167,18,0)*3600</f>
        <v>1.1342887603959024</v>
      </c>
      <c r="AA132" s="656">
        <f>VLOOKUP($N132,ControlValve!$F$5:$Z$167,20,0)/100000</f>
        <v>2.6222258191585399</v>
      </c>
    </row>
    <row r="133" spans="1:27" ht="13.5" customHeight="1" thickBot="1">
      <c r="A133" s="114"/>
      <c r="B133" s="115"/>
      <c r="C133" s="116"/>
      <c r="D133" s="105"/>
      <c r="E133" s="106"/>
      <c r="F133" s="107"/>
      <c r="G133" s="117"/>
      <c r="H133" s="118"/>
      <c r="I133" s="119"/>
      <c r="J133" s="120"/>
      <c r="K133" s="121"/>
      <c r="L133" s="122"/>
      <c r="N133" s="1058" t="s">
        <v>1108</v>
      </c>
      <c r="O133" s="1016"/>
      <c r="P133" s="500" t="s">
        <v>5728</v>
      </c>
      <c r="Q133" s="393" t="s">
        <v>986</v>
      </c>
      <c r="R133" s="802" t="s">
        <v>8876</v>
      </c>
      <c r="S133" s="637">
        <f>VLOOKUP($N133,ControlValve!$F$5:$Z$150,2,0)</f>
        <v>10</v>
      </c>
      <c r="T133" s="161"/>
      <c r="U133" s="409" t="str">
        <f>IF(VLOOKUP($P133,ValveActuator!$F$5:$N$575,6,0)=1,"Fail Close","Fail Open")</f>
        <v>Fail Close</v>
      </c>
      <c r="V133" s="779" t="str">
        <f>IF(VLOOKUP($P133,ValveActuator!$F$5:$P$575,10,0)=TRUE,"Yes","None")</f>
        <v>None</v>
      </c>
      <c r="W133" s="409">
        <f>VLOOKUP($P133,ValveActuator!$F$5:$N$562,4,0)</f>
        <v>3</v>
      </c>
      <c r="X133" s="409">
        <f>VLOOKUP($P133,ValveActuator!$F$5:$N$562,2,0)</f>
        <v>3</v>
      </c>
      <c r="Y133" s="655">
        <f>VLOOKUP($N133,ControlValve!$F$5:$V$167,16,0)</f>
        <v>100</v>
      </c>
      <c r="Z133" s="655">
        <f>VLOOKUP($N133,ControlValve!$F$5:$Z$167,18,0)*3600</f>
        <v>5.7513076014610441E-2</v>
      </c>
      <c r="AA133" s="656">
        <f>VLOOKUP($N133,ControlValve!$F$5:$Z$167,20,0)/100000</f>
        <v>8.2565915069077211E-4</v>
      </c>
    </row>
    <row r="134" spans="1:27" s="615" customFormat="1" ht="13.5" customHeight="1" thickBot="1">
      <c r="A134" s="114"/>
      <c r="B134" s="115"/>
      <c r="C134" s="116"/>
      <c r="D134" s="105"/>
      <c r="E134" s="106"/>
      <c r="F134" s="107"/>
      <c r="G134" s="117"/>
      <c r="H134" s="118"/>
      <c r="I134" s="119"/>
      <c r="J134" s="120"/>
      <c r="K134" s="121"/>
      <c r="L134" s="122"/>
      <c r="M134" s="621"/>
      <c r="N134" s="1058" t="s">
        <v>9141</v>
      </c>
      <c r="O134" s="1016"/>
      <c r="P134" s="849" t="s">
        <v>9140</v>
      </c>
      <c r="Q134" s="623" t="s">
        <v>9151</v>
      </c>
      <c r="R134" s="623">
        <v>1070</v>
      </c>
      <c r="S134" s="409">
        <f>VLOOKUP($N134,ControlValve!$F$5:$Z$154,2,0)</f>
        <v>1070</v>
      </c>
      <c r="T134" s="161" t="s">
        <v>9366</v>
      </c>
      <c r="U134" s="409" t="str">
        <f>IF(VLOOKUP($P134,ValveActuator!$F$5:$N$575,6,0)=1,"Fail Close","Fail Open")</f>
        <v>Fail Close</v>
      </c>
      <c r="V134" s="779" t="str">
        <f>IF(VLOOKUP($P134,ValveActuator!$F$5:$P$575,10,0)=TRUE,"Yes","None")</f>
        <v>None</v>
      </c>
      <c r="W134" s="409">
        <f>VLOOKUP($P134,ValveActuator!$F$5:$N$566,4,0)</f>
        <v>3</v>
      </c>
      <c r="X134" s="409">
        <f>VLOOKUP($P134,ValveActuator!$F$5:$N$566,2,0)</f>
        <v>3</v>
      </c>
      <c r="Y134" s="655">
        <f>VLOOKUP($N134,ControlValve!$F$5:$V$167,16,0)</f>
        <v>45.694148651526902</v>
      </c>
      <c r="Z134" s="655">
        <f>VLOOKUP($N134,ControlValve!$F$5:$Z$167,18,0)*3600</f>
        <v>155.14683394841137</v>
      </c>
      <c r="AA134" s="656">
        <f>VLOOKUP($N134,ControlValve!$F$5:$Z$167,20,0)/100000</f>
        <v>1.7950596161310701</v>
      </c>
    </row>
    <row r="135" spans="1:27" s="615" customFormat="1" ht="13.5" customHeight="1" thickBot="1">
      <c r="A135" s="114"/>
      <c r="B135" s="115"/>
      <c r="C135" s="116"/>
      <c r="D135" s="105"/>
      <c r="E135" s="106"/>
      <c r="F135" s="107"/>
      <c r="G135" s="117"/>
      <c r="H135" s="118"/>
      <c r="I135" s="119"/>
      <c r="J135" s="120"/>
      <c r="K135" s="121"/>
      <c r="L135" s="122"/>
      <c r="M135" s="621"/>
      <c r="N135" s="1058" t="s">
        <v>9131</v>
      </c>
      <c r="O135" s="1017"/>
      <c r="P135" s="500" t="s">
        <v>9143</v>
      </c>
      <c r="Q135" s="623" t="s">
        <v>9151</v>
      </c>
      <c r="R135" s="802" t="s">
        <v>8876</v>
      </c>
      <c r="S135" s="637">
        <f>VLOOKUP($N135,ControlValve!$F$5:$Z$154,2,0)</f>
        <v>1070</v>
      </c>
      <c r="T135" s="161" t="s">
        <v>9367</v>
      </c>
      <c r="U135" s="409" t="str">
        <f>IF(VLOOKUP($P135,ValveActuator!$F$5:$N$575,6,0)=1,"Fail Close","Fail Open")</f>
        <v>Fail Close</v>
      </c>
      <c r="V135" s="779" t="str">
        <f>IF(VLOOKUP($P135,ValveActuator!$F$5:$P$575,10,0)=TRUE,"Yes","None")</f>
        <v>None</v>
      </c>
      <c r="W135" s="409">
        <f>VLOOKUP($P135,ValveActuator!$F$5:$N$566,4,0)</f>
        <v>3</v>
      </c>
      <c r="X135" s="409">
        <f>VLOOKUP($P135,ValveActuator!$F$5:$N$566,2,0)</f>
        <v>3</v>
      </c>
      <c r="Y135" s="655">
        <f>VLOOKUP($N135,ControlValve!$F$5:$V$167,16,0)</f>
        <v>100</v>
      </c>
      <c r="Z135" s="655">
        <f>VLOOKUP($N135,ControlValve!$F$5:$Z$167,18,0)*3600</f>
        <v>0</v>
      </c>
      <c r="AA135" s="656">
        <f>VLOOKUP($N135,ControlValve!$F$5:$Z$167,20,0)/100000</f>
        <v>-3.1548589849370501</v>
      </c>
    </row>
    <row r="136" spans="1:27" s="615" customFormat="1" ht="13.5" customHeight="1">
      <c r="A136" s="114"/>
      <c r="B136" s="115"/>
      <c r="C136" s="116"/>
      <c r="D136" s="105"/>
      <c r="E136" s="106"/>
      <c r="F136" s="107"/>
      <c r="G136" s="117"/>
      <c r="H136" s="118"/>
      <c r="I136" s="119"/>
      <c r="J136" s="120"/>
      <c r="K136" s="121"/>
      <c r="L136" s="122"/>
      <c r="M136" s="621"/>
      <c r="N136" s="1039" t="s">
        <v>9132</v>
      </c>
      <c r="O136" s="1017"/>
      <c r="P136" s="500" t="s">
        <v>9144</v>
      </c>
      <c r="Q136" s="623" t="s">
        <v>9151</v>
      </c>
      <c r="R136" s="802" t="s">
        <v>8876</v>
      </c>
      <c r="S136" s="637">
        <f>VLOOKUP($N136,ControlValve!$F$5:$Z$154,2,0)</f>
        <v>1070</v>
      </c>
      <c r="T136" s="161" t="s">
        <v>779</v>
      </c>
      <c r="U136" s="409" t="str">
        <f>IF(VLOOKUP($P136,ValveActuator!$F$5:$N$575,6,0)=1,"Fail Close","Fail Open")</f>
        <v>Fail Close</v>
      </c>
      <c r="V136" s="779" t="str">
        <f>IF(VLOOKUP($P136,ValveActuator!$F$5:$P$575,10,0)=TRUE,"Yes","None")</f>
        <v>None</v>
      </c>
      <c r="W136" s="409">
        <f>VLOOKUP($P136,ValveActuator!$F$5:$N$566,4,0)</f>
        <v>3</v>
      </c>
      <c r="X136" s="409">
        <f>VLOOKUP($P136,ValveActuator!$F$5:$N$566,2,0)</f>
        <v>3</v>
      </c>
      <c r="Y136" s="655">
        <f>VLOOKUP($N136,ControlValve!$F$5:$V$167,16,0)</f>
        <v>0</v>
      </c>
      <c r="Z136" s="655">
        <f>VLOOKUP($N136,ControlValve!$F$5:$Z$167,18,0)*3600</f>
        <v>0</v>
      </c>
      <c r="AA136" s="656">
        <f>VLOOKUP($N136,ControlValve!$F$5:$Z$167,20,0)/100000</f>
        <v>-2.27569978315461</v>
      </c>
    </row>
    <row r="137" spans="1:27">
      <c r="N137" s="1058" t="s">
        <v>9220</v>
      </c>
      <c r="O137" s="1038"/>
      <c r="P137" s="1019" t="s">
        <v>9347</v>
      </c>
      <c r="Q137" s="1042" t="s">
        <v>10833</v>
      </c>
      <c r="R137" s="409">
        <f>VLOOKUP($N137,ControlValve!$F$5:$Z$127,2,0)</f>
        <v>17.2</v>
      </c>
      <c r="S137" s="409">
        <f>VLOOKUP($N137,ControlValve!$F$5:$Z$127,2,0)</f>
        <v>17.2</v>
      </c>
      <c r="T137" s="1032" t="s">
        <v>9368</v>
      </c>
      <c r="U137" s="409" t="str">
        <f>IF(VLOOKUP($P137,ValveActuator!$F$5:$N$575,6,0)=1,"Fail Close","Fail Open")</f>
        <v>Fail Close</v>
      </c>
      <c r="V137" s="779" t="str">
        <f>IF(VLOOKUP($P137,ValveActuator!$F$5:$P$575,10,0)=TRUE,"Yes","None")</f>
        <v>None</v>
      </c>
      <c r="W137" s="409">
        <f>VLOOKUP($P137,ValveActuator!$F$5:$N$575,4,0)</f>
        <v>3</v>
      </c>
      <c r="X137" s="409">
        <f>VLOOKUP($P137,ValveActuator!$F$5:$N$575,2,0)</f>
        <v>3</v>
      </c>
      <c r="Y137" s="655">
        <f>VLOOKUP($N137,ControlValve!$F$5:$V$167,16,0)</f>
        <v>65.595079755673794</v>
      </c>
      <c r="Z137" s="655">
        <f>VLOOKUP($N137,ControlValve!$F$5:$Z$167,18,0)*3600</f>
        <v>7.5512505629529354</v>
      </c>
      <c r="AA137" s="656">
        <f>VLOOKUP($N137,ControlValve!$F$5:$Z$167,20,0)/100000</f>
        <v>5.4866914791197399</v>
      </c>
    </row>
    <row r="138" spans="1:27">
      <c r="N138" s="1058" t="s">
        <v>9222</v>
      </c>
      <c r="O138" s="1038"/>
      <c r="P138" s="1019" t="s">
        <v>9349</v>
      </c>
      <c r="Q138" s="1042" t="s">
        <v>10833</v>
      </c>
      <c r="R138" s="409">
        <f>VLOOKUP($N138,ControlValve!$F$5:$Z$127,2,0)</f>
        <v>70.7</v>
      </c>
      <c r="S138" s="409">
        <f>VLOOKUP($N138,ControlValve!$F$5:$Z$127,2,0)</f>
        <v>70.7</v>
      </c>
      <c r="T138" s="1032" t="s">
        <v>9369</v>
      </c>
      <c r="U138" s="409" t="str">
        <f>IF(VLOOKUP($P138,ValveActuator!$F$5:$N$575,6,0)=1,"Fail Close","Fail Open")</f>
        <v>Fail Close</v>
      </c>
      <c r="V138" s="779" t="str">
        <f>IF(VLOOKUP($P138,ValveActuator!$F$5:$P$575,10,0)=TRUE,"Yes","None")</f>
        <v>None</v>
      </c>
      <c r="W138" s="409">
        <f>VLOOKUP($P138,ValveActuator!$F$5:$N$575,4,0)</f>
        <v>3</v>
      </c>
      <c r="X138" s="409">
        <f>VLOOKUP($P138,ValveActuator!$F$5:$N$575,2,0)</f>
        <v>3</v>
      </c>
      <c r="Y138" s="655">
        <f>VLOOKUP($N138,ControlValve!$F$5:$V$167,16,0)</f>
        <v>0</v>
      </c>
      <c r="Z138" s="655">
        <f>VLOOKUP($N138,ControlValve!$F$5:$Z$167,18,0)*3600</f>
        <v>0</v>
      </c>
      <c r="AA138" s="656">
        <f>VLOOKUP($N138,ControlValve!$F$5:$Z$167,20,0)/100000</f>
        <v>5.4866914791197399</v>
      </c>
    </row>
    <row r="139" spans="1:27">
      <c r="N139" s="1058" t="s">
        <v>9219</v>
      </c>
      <c r="O139" s="1038"/>
      <c r="P139" s="1019" t="s">
        <v>9351</v>
      </c>
      <c r="Q139" s="1036" t="s">
        <v>10834</v>
      </c>
      <c r="R139" s="802" t="s">
        <v>8876</v>
      </c>
      <c r="S139" s="637">
        <f>VLOOKUP($N139,ControlValve!$F$5:$Z$167,2,0)</f>
        <v>20</v>
      </c>
      <c r="T139" s="1049" t="s">
        <v>10835</v>
      </c>
      <c r="U139" s="409" t="str">
        <f>IF(VLOOKUP($P139,ValveActuator!$F$5:$N$575,6,0)=1,"Fail Close","Fail Open")</f>
        <v>Fail Close</v>
      </c>
      <c r="V139" s="779" t="str">
        <f>IF(VLOOKUP($P139,ValveActuator!$F$5:$P$575,10,0)=TRUE,"Yes","None")</f>
        <v>None</v>
      </c>
      <c r="W139" s="409">
        <f>VLOOKUP($P139,ValveActuator!$F$5:$N$575,4,0)</f>
        <v>3</v>
      </c>
      <c r="X139" s="409">
        <f>VLOOKUP($P139,ValveActuator!$F$5:$N$575,2,0)</f>
        <v>3</v>
      </c>
      <c r="Y139" s="655">
        <f>VLOOKUP($N139,ControlValve!$F$5:$V$167,16,0)</f>
        <v>100</v>
      </c>
      <c r="Z139" s="655">
        <f>VLOOKUP($N139,ControlValve!$F$5:$Z$167,18,0)*3600</f>
        <v>305.76075080486578</v>
      </c>
      <c r="AA139" s="656">
        <f>VLOOKUP($N139,ControlValve!$F$5:$Z$167,20,0)/100000</f>
        <v>1.99339482799143</v>
      </c>
    </row>
    <row r="140" spans="1:27">
      <c r="N140" s="1058" t="s">
        <v>9221</v>
      </c>
      <c r="O140" s="1038"/>
      <c r="P140" s="1019" t="s">
        <v>9353</v>
      </c>
      <c r="Q140" s="1036" t="s">
        <v>10834</v>
      </c>
      <c r="R140" s="802" t="s">
        <v>8876</v>
      </c>
      <c r="S140" s="637">
        <f>VLOOKUP($N140,ControlValve!$F$5:$Z$167,2,0)</f>
        <v>200</v>
      </c>
      <c r="T140" s="1049" t="s">
        <v>10830</v>
      </c>
      <c r="U140" s="409" t="str">
        <f>IF(VLOOKUP($P140,ValveActuator!$F$5:$N$575,6,0)=1,"Fail Close","Fail Open")</f>
        <v>Fail Close</v>
      </c>
      <c r="V140" s="779" t="str">
        <f>IF(VLOOKUP($P140,ValveActuator!$F$5:$P$575,10,0)=TRUE,"Yes","None")</f>
        <v>None</v>
      </c>
      <c r="W140" s="409">
        <f>VLOOKUP($P140,ValveActuator!$F$5:$N$575,4,0)</f>
        <v>3</v>
      </c>
      <c r="X140" s="409">
        <f>VLOOKUP($P140,ValveActuator!$F$5:$N$575,2,0)</f>
        <v>3</v>
      </c>
      <c r="Y140" s="655">
        <f>VLOOKUP($N140,ControlValve!$F$5:$V$167,16,0)</f>
        <v>88.180372450722203</v>
      </c>
      <c r="Z140" s="655">
        <f>VLOOKUP($N140,ControlValve!$F$5:$Z$167,18,0)*3600</f>
        <v>1881.98084977038</v>
      </c>
      <c r="AA140" s="656">
        <f>VLOOKUP($N140,ControlValve!$F$5:$Z$167,20,0)/100000</f>
        <v>1.9000000000000201</v>
      </c>
    </row>
    <row r="141" spans="1:27">
      <c r="N141" s="1058" t="s">
        <v>9224</v>
      </c>
      <c r="O141" s="1038"/>
      <c r="P141" s="1019" t="s">
        <v>9355</v>
      </c>
      <c r="Q141" s="1036" t="s">
        <v>10834</v>
      </c>
      <c r="R141" s="802" t="s">
        <v>8876</v>
      </c>
      <c r="S141" s="637">
        <f>VLOOKUP($N141,ControlValve!$F$5:$Z$167,2,0)</f>
        <v>50</v>
      </c>
      <c r="T141" s="1049" t="s">
        <v>10830</v>
      </c>
      <c r="U141" s="409" t="str">
        <f>IF(VLOOKUP($P141,ValveActuator!$F$5:$N$575,6,0)=1,"Fail Close","Fail Open")</f>
        <v>Fail Close</v>
      </c>
      <c r="V141" s="779" t="str">
        <f>IF(VLOOKUP($P141,ValveActuator!$F$5:$P$575,10,0)=TRUE,"Yes","None")</f>
        <v>None</v>
      </c>
      <c r="W141" s="409">
        <f>VLOOKUP($P141,ValveActuator!$F$5:$N$575,4,0)</f>
        <v>3</v>
      </c>
      <c r="X141" s="409">
        <f>VLOOKUP($P141,ValveActuator!$F$5:$N$575,2,0)</f>
        <v>3</v>
      </c>
      <c r="Y141" s="655">
        <f>VLOOKUP($N141,ControlValve!$F$5:$V$167,16,0)</f>
        <v>0</v>
      </c>
      <c r="Z141" s="655">
        <f>VLOOKUP($N141,ControlValve!$F$5:$Z$167,18,0)*3600</f>
        <v>0</v>
      </c>
      <c r="AA141" s="656">
        <f>VLOOKUP($N141,ControlValve!$F$5:$Z$167,20,0)/100000</f>
        <v>1.89609542181627</v>
      </c>
    </row>
    <row r="142" spans="1:27" s="1035" customFormat="1" ht="12.75" customHeight="1">
      <c r="N142" s="1059" t="s">
        <v>10829</v>
      </c>
      <c r="O142" s="1049" t="s">
        <v>10815</v>
      </c>
      <c r="P142" s="1018"/>
      <c r="Q142" s="1042" t="s">
        <v>10834</v>
      </c>
      <c r="R142" s="1042"/>
      <c r="S142" s="1043"/>
      <c r="T142" s="1049" t="s">
        <v>10830</v>
      </c>
      <c r="U142" s="1043" t="s">
        <v>10831</v>
      </c>
      <c r="V142" s="1043"/>
      <c r="W142" s="1043"/>
      <c r="X142" s="1043"/>
      <c r="Y142" s="1052"/>
      <c r="Z142" s="1052"/>
      <c r="AA142" s="1053"/>
    </row>
    <row r="143" spans="1:27" s="1035" customFormat="1" ht="12.75" customHeight="1">
      <c r="N143" s="1059" t="s">
        <v>3756</v>
      </c>
      <c r="O143" s="1049" t="s">
        <v>10816</v>
      </c>
      <c r="P143" s="1018"/>
      <c r="Q143" s="1042" t="s">
        <v>10834</v>
      </c>
      <c r="R143" s="1042"/>
      <c r="S143" s="1043"/>
      <c r="T143" s="1049" t="s">
        <v>10832</v>
      </c>
      <c r="U143" s="1043" t="s">
        <v>10831</v>
      </c>
      <c r="V143" s="1043"/>
      <c r="W143" s="1043"/>
      <c r="X143" s="1043"/>
      <c r="Y143" s="1052"/>
      <c r="Z143" s="1052"/>
      <c r="AA143" s="1053"/>
    </row>
    <row r="144" spans="1:27">
      <c r="N144" s="1058" t="s">
        <v>9225</v>
      </c>
      <c r="O144" s="1038"/>
      <c r="P144" s="1019" t="s">
        <v>9357</v>
      </c>
      <c r="Q144" s="1036" t="s">
        <v>10834</v>
      </c>
      <c r="R144" s="802" t="s">
        <v>8876</v>
      </c>
      <c r="S144" s="637">
        <f>VLOOKUP($N144,ControlValve!$F$5:$Z$167,2,0)</f>
        <v>85</v>
      </c>
      <c r="T144" s="1049" t="s">
        <v>10832</v>
      </c>
      <c r="U144" s="409" t="str">
        <f>IF(VLOOKUP($P144,ValveActuator!$F$5:$N$575,6,0)=1,"Fail Close","Fail Open")</f>
        <v>Fail Close</v>
      </c>
      <c r="V144" s="779" t="str">
        <f>IF(VLOOKUP($P144,ValveActuator!$F$5:$P$575,10,0)=TRUE,"Yes","None")</f>
        <v>Yes</v>
      </c>
      <c r="W144" s="409">
        <f>VLOOKUP($P144,ValveActuator!$F$5:$N$575,4,0)</f>
        <v>3</v>
      </c>
      <c r="X144" s="409">
        <f>VLOOKUP($P144,ValveActuator!$F$5:$N$575,2,0)</f>
        <v>3</v>
      </c>
      <c r="Y144" s="655">
        <f>VLOOKUP($N144,ControlValve!$F$5:$V$167,16,0)</f>
        <v>0</v>
      </c>
      <c r="Z144" s="655">
        <f>VLOOKUP($N144,ControlValve!$F$5:$Z$167,18,0)*3600</f>
        <v>0</v>
      </c>
      <c r="AA144" s="656">
        <f>VLOOKUP($N144,ControlValve!$F$5:$Z$167,20,0)/100000</f>
        <v>1.9043336270484501</v>
      </c>
    </row>
    <row r="145" spans="13:27">
      <c r="N145" s="1058" t="s">
        <v>9223</v>
      </c>
      <c r="O145" s="1038"/>
      <c r="P145" s="1019" t="s">
        <v>9359</v>
      </c>
      <c r="Q145" s="1036" t="s">
        <v>10834</v>
      </c>
      <c r="R145" s="802" t="s">
        <v>8876</v>
      </c>
      <c r="S145" s="637">
        <f>VLOOKUP($N145,ControlValve!$F$5:$Z$167,2,0)</f>
        <v>500</v>
      </c>
      <c r="T145" s="1049" t="s">
        <v>10832</v>
      </c>
      <c r="U145" s="409" t="str">
        <f>IF(VLOOKUP($P145,ValveActuator!$F$5:$N$575,6,0)=1,"Fail Close","Fail Open")</f>
        <v>Fail Close</v>
      </c>
      <c r="V145" s="779" t="str">
        <f>IF(VLOOKUP($P145,ValveActuator!$F$5:$P$575,10,0)=TRUE,"Yes","None")</f>
        <v>None</v>
      </c>
      <c r="W145" s="409">
        <f>VLOOKUP($P145,ValveActuator!$F$5:$N$575,4,0)</f>
        <v>3</v>
      </c>
      <c r="X145" s="409">
        <f>VLOOKUP($P145,ValveActuator!$F$5:$N$575,2,0)</f>
        <v>3</v>
      </c>
      <c r="Y145" s="655">
        <f>VLOOKUP($N145,ControlValve!$F$5:$V$167,16,0)</f>
        <v>0</v>
      </c>
      <c r="Z145" s="655">
        <f>VLOOKUP($N145,ControlValve!$F$5:$Z$167,18,0)*3600</f>
        <v>0</v>
      </c>
      <c r="AA145" s="656">
        <f>VLOOKUP($N145,ControlValve!$F$5:$Z$167,20,0)/100000</f>
        <v>1.8829702071834202</v>
      </c>
    </row>
    <row r="146" spans="13:27">
      <c r="N146" s="1058" t="s">
        <v>9218</v>
      </c>
      <c r="O146" s="1038"/>
      <c r="P146" s="1019" t="s">
        <v>9361</v>
      </c>
      <c r="Q146" s="1036" t="s">
        <v>10834</v>
      </c>
      <c r="R146" s="802" t="s">
        <v>8876</v>
      </c>
      <c r="S146" s="637">
        <f>VLOOKUP($N146,ControlValve!$F$5:$Z$167,2,0)</f>
        <v>39.200000000000003</v>
      </c>
      <c r="T146" s="1049" t="s">
        <v>10835</v>
      </c>
      <c r="U146" s="409" t="str">
        <f>IF(VLOOKUP($P146,ValveActuator!$F$5:$N$575,6,0)=1,"Fail Close","Fail Open")</f>
        <v>Fail Close</v>
      </c>
      <c r="V146" s="779" t="str">
        <f>IF(VLOOKUP($P146,ValveActuator!$F$5:$P$575,10,0)=TRUE,"Yes","None")</f>
        <v>None</v>
      </c>
      <c r="W146" s="409">
        <f>VLOOKUP($P146,ValveActuator!$F$5:$N$575,4,0)</f>
        <v>3</v>
      </c>
      <c r="X146" s="409">
        <f>VLOOKUP($P146,ValveActuator!$F$5:$N$575,2,0)</f>
        <v>3</v>
      </c>
      <c r="Y146" s="655">
        <f>VLOOKUP($N146,ControlValve!$F$5:$V$167,16,0)</f>
        <v>0</v>
      </c>
      <c r="Z146" s="655">
        <f>VLOOKUP($N146,ControlValve!$F$5:$Z$167,18,0)*3600</f>
        <v>0</v>
      </c>
      <c r="AA146" s="656">
        <f>VLOOKUP($N146,ControlValve!$F$5:$Z$167,20,0)/100000</f>
        <v>3.5039045781837501</v>
      </c>
    </row>
    <row r="147" spans="13:27">
      <c r="N147" s="1058" t="s">
        <v>9226</v>
      </c>
      <c r="O147" s="1016"/>
      <c r="P147" s="1019" t="s">
        <v>9363</v>
      </c>
      <c r="Q147" s="623" t="s">
        <v>9365</v>
      </c>
      <c r="R147" s="802" t="s">
        <v>8876</v>
      </c>
      <c r="S147" s="637">
        <f>VLOOKUP($N147,ControlValve!$F$5:$Z$167,2,0)</f>
        <v>500</v>
      </c>
      <c r="T147" s="1049" t="s">
        <v>10835</v>
      </c>
      <c r="U147" s="409" t="str">
        <f>IF(VLOOKUP($P147,ValveActuator!$F$5:$N$575,6,0)=1,"Fail Close","Fail Open")</f>
        <v>Fail Close</v>
      </c>
      <c r="V147" s="779" t="str">
        <f>IF(VLOOKUP($P147,ValveActuator!$F$5:$P$575,10,0)=TRUE,"Yes","None")</f>
        <v>None</v>
      </c>
      <c r="W147" s="409">
        <f>VLOOKUP($P147,ValveActuator!$F$5:$N$575,4,0)</f>
        <v>3</v>
      </c>
      <c r="X147" s="409">
        <f>VLOOKUP($P147,ValveActuator!$F$5:$N$575,2,0)</f>
        <v>3</v>
      </c>
      <c r="Y147" s="655">
        <f>VLOOKUP($N147,ControlValve!$F$5:$V$167,16,0)</f>
        <v>100</v>
      </c>
      <c r="Z147" s="655">
        <f>VLOOKUP($N147,ControlValve!$F$5:$Z$167,18,0)*3600</f>
        <v>305.63295901739349</v>
      </c>
      <c r="AA147" s="656">
        <f>VLOOKUP($N147,ControlValve!$F$5:$Z$167,20,0)/100000</f>
        <v>2.7005938248196599E-3</v>
      </c>
    </row>
    <row r="148" spans="13:27">
      <c r="N148" s="1058" t="s">
        <v>10535</v>
      </c>
      <c r="O148" s="1016"/>
      <c r="P148" s="1019" t="s">
        <v>10536</v>
      </c>
      <c r="Q148" s="844" t="s">
        <v>1088</v>
      </c>
      <c r="R148" s="845" t="s">
        <v>10573</v>
      </c>
      <c r="S148" s="637">
        <f>VLOOKUP($N148,ControlValve!$F$5:$Z$167,2,0)</f>
        <v>80000</v>
      </c>
      <c r="T148" s="775"/>
      <c r="U148" s="779" t="str">
        <f>IF(VLOOKUP($P148,ValveActuator!$F$5:$N$575,6,0)=1,"Fail Close","Fail Open")</f>
        <v>Fail Close</v>
      </c>
      <c r="V148" s="779" t="str">
        <f>IF(VLOOKUP($P148,ValveActuator!$F$5:$P$575,10,0)=TRUE,"Yes","None")</f>
        <v>None</v>
      </c>
      <c r="W148" s="779">
        <f>VLOOKUP($P148,ValveActuator!$F$5:$N$575,4,0)</f>
        <v>3</v>
      </c>
      <c r="X148" s="779">
        <f>VLOOKUP($P148,ValveActuator!$F$5:$N$575,2,0)</f>
        <v>3</v>
      </c>
      <c r="Y148" s="655">
        <f>VLOOKUP($N148,ControlValve!$F$5:$V$167,16,0)</f>
        <v>37.358163587163801</v>
      </c>
      <c r="Z148" s="655">
        <f>VLOOKUP($N148,ControlValve!$F$5:$Z$167,18,0)*3600</f>
        <v>63.280134892445403</v>
      </c>
      <c r="AA148" s="656">
        <f>VLOOKUP($N148,ControlValve!$F$5:$Z$167,20,0)/100000</f>
        <v>1.9845409309558498E-2</v>
      </c>
    </row>
    <row r="149" spans="13:27">
      <c r="N149" s="1058" t="s">
        <v>10537</v>
      </c>
      <c r="O149" s="1016"/>
      <c r="P149" s="1019" t="s">
        <v>10572</v>
      </c>
      <c r="Q149" s="844" t="s">
        <v>10574</v>
      </c>
      <c r="R149" s="845" t="s">
        <v>10573</v>
      </c>
      <c r="S149" s="637">
        <f>VLOOKUP($N149,ControlValve!$F$5:$Z$167,2,0)</f>
        <v>600</v>
      </c>
      <c r="T149" s="775"/>
      <c r="U149" s="779" t="str">
        <f>IF(VLOOKUP($P149,ValveActuator!$F$5:$N$575,6,0)=1,"Fail Close","Fail Open")</f>
        <v>Fail Close</v>
      </c>
      <c r="V149" s="779" t="str">
        <f>IF(VLOOKUP($P149,ValveActuator!$F$5:$P$575,10,0)=TRUE,"Yes","None")</f>
        <v>None</v>
      </c>
      <c r="W149" s="779">
        <f>VLOOKUP($P149,ValveActuator!$F$5:$N$575,4,0)</f>
        <v>3</v>
      </c>
      <c r="X149" s="779">
        <f>VLOOKUP($P149,ValveActuator!$F$5:$N$575,2,0)</f>
        <v>3</v>
      </c>
      <c r="Y149" s="655">
        <f>VLOOKUP($N149,ControlValve!$F$5:$V$167,16,0)</f>
        <v>53.856155377703203</v>
      </c>
      <c r="Z149" s="655">
        <f>VLOOKUP($N149,ControlValve!$F$5:$Z$167,18,0)*3600</f>
        <v>640.06276301816399</v>
      </c>
      <c r="AA149" s="656">
        <f>VLOOKUP($N149,ControlValve!$F$5:$Z$167,20,0)/100000</f>
        <v>1.6447917815214302E-2</v>
      </c>
    </row>
    <row r="150" spans="13:27">
      <c r="N150" s="1058" t="s">
        <v>10538</v>
      </c>
      <c r="O150" s="1016"/>
      <c r="P150" s="1019" t="s">
        <v>10539</v>
      </c>
      <c r="Q150" s="844" t="s">
        <v>10575</v>
      </c>
      <c r="R150" s="845" t="s">
        <v>10573</v>
      </c>
      <c r="S150" s="637">
        <f>VLOOKUP($N150,ControlValve!$F$5:$Z$167,2,0)</f>
        <v>150</v>
      </c>
      <c r="T150" s="775"/>
      <c r="U150" s="779" t="str">
        <f>IF(VLOOKUP($P150,ValveActuator!$F$5:$N$575,6,0)=1,"Fail Close","Fail Open")</f>
        <v>Fail Close</v>
      </c>
      <c r="V150" s="779" t="str">
        <f>IF(VLOOKUP($P150,ValveActuator!$F$5:$P$575,10,0)=TRUE,"Yes","None")</f>
        <v>None</v>
      </c>
      <c r="W150" s="779">
        <f>VLOOKUP($P150,ValveActuator!$F$5:$N$575,4,0)</f>
        <v>3</v>
      </c>
      <c r="X150" s="779">
        <f>VLOOKUP($P150,ValveActuator!$F$5:$N$575,2,0)</f>
        <v>3</v>
      </c>
      <c r="Y150" s="655">
        <f>VLOOKUP($N150,ControlValve!$F$5:$V$167,16,0)</f>
        <v>100</v>
      </c>
      <c r="Z150" s="655">
        <f>VLOOKUP($N150,ControlValve!$F$5:$Z$167,18,0)*3600</f>
        <v>24.58806008769983</v>
      </c>
      <c r="AA150" s="656">
        <f>VLOOKUP($N150,ControlValve!$F$5:$Z$167,20,0)/100000</f>
        <v>3.4385858624527997E-2</v>
      </c>
    </row>
    <row r="151" spans="13:27">
      <c r="N151" s="1058" t="s">
        <v>10540</v>
      </c>
      <c r="O151" s="1038"/>
      <c r="P151" s="1019" t="s">
        <v>10541</v>
      </c>
      <c r="Q151" s="844" t="s">
        <v>10576</v>
      </c>
      <c r="R151" s="845" t="s">
        <v>10573</v>
      </c>
      <c r="S151" s="637">
        <f>VLOOKUP($N151,ControlValve!$F$5:$Z$167,2,0)</f>
        <v>5</v>
      </c>
      <c r="T151" s="775"/>
      <c r="U151" s="779" t="str">
        <f>IF(VLOOKUP($P151,ValveActuator!$F$5:$N$575,6,0)=1,"Fail Close","Fail Open")</f>
        <v>Fail Close</v>
      </c>
      <c r="V151" s="779" t="str">
        <f>IF(VLOOKUP($P151,ValveActuator!$F$5:$P$575,10,0)=TRUE,"Yes","None")</f>
        <v>None</v>
      </c>
      <c r="W151" s="779">
        <f>VLOOKUP($P151,ValveActuator!$F$5:$N$575,4,0)</f>
        <v>3</v>
      </c>
      <c r="X151" s="779">
        <f>VLOOKUP($P151,ValveActuator!$F$5:$N$575,2,0)</f>
        <v>3</v>
      </c>
      <c r="Y151" s="655">
        <f>VLOOKUP($N151,ControlValve!$F$5:$V$167,16,0)</f>
        <v>28.962469724274399</v>
      </c>
      <c r="Z151" s="655">
        <f>VLOOKUP($N151,ControlValve!$F$5:$Z$167,18,0)*3600</f>
        <v>7.0885354965073555</v>
      </c>
      <c r="AA151" s="656">
        <f>VLOOKUP($N151,ControlValve!$F$5:$Z$167,20,0)/100000</f>
        <v>29.999260660261999</v>
      </c>
    </row>
    <row r="152" spans="13:27">
      <c r="N152" s="1058" t="s">
        <v>10542</v>
      </c>
      <c r="O152" s="1038"/>
      <c r="P152" s="1019" t="s">
        <v>10544</v>
      </c>
      <c r="Q152" s="844" t="s">
        <v>10577</v>
      </c>
      <c r="R152" s="845" t="s">
        <v>10573</v>
      </c>
      <c r="S152" s="637">
        <f>VLOOKUP($N152,ControlValve!$F$5:$Z$167,2,0)</f>
        <v>1</v>
      </c>
      <c r="T152" s="775"/>
      <c r="U152" s="779" t="str">
        <f>IF(VLOOKUP($P152,ValveActuator!$F$5:$N$575,6,0)=1,"Fail Close","Fail Open")</f>
        <v>Fail Close</v>
      </c>
      <c r="V152" s="779" t="str">
        <f>IF(VLOOKUP($P152,ValveActuator!$F$5:$P$575,10,0)=TRUE,"Yes","None")</f>
        <v>None</v>
      </c>
      <c r="W152" s="779">
        <f>VLOOKUP($P152,ValveActuator!$F$5:$N$575,4,0)</f>
        <v>3</v>
      </c>
      <c r="X152" s="779">
        <f>VLOOKUP($P152,ValveActuator!$F$5:$N$575,2,0)</f>
        <v>3</v>
      </c>
      <c r="Y152" s="655">
        <f>VLOOKUP($N152,ControlValve!$F$5:$V$167,16,0)</f>
        <v>69.646136587553301</v>
      </c>
      <c r="Z152" s="655">
        <f>VLOOKUP($N152,ControlValve!$F$5:$Z$167,18,0)*3600</f>
        <v>7.7344270011307434E-2</v>
      </c>
      <c r="AA152" s="656">
        <f>VLOOKUP($N152,ControlValve!$F$5:$Z$167,20,0)/100000</f>
        <v>1.8700767361649899</v>
      </c>
    </row>
    <row r="153" spans="13:27">
      <c r="N153" s="1058" t="s">
        <v>10543</v>
      </c>
      <c r="O153" s="1038"/>
      <c r="P153" s="1019" t="s">
        <v>10545</v>
      </c>
      <c r="Q153" s="844" t="s">
        <v>10577</v>
      </c>
      <c r="R153" s="845" t="s">
        <v>10573</v>
      </c>
      <c r="S153" s="637">
        <f>VLOOKUP($N153,ControlValve!$F$5:$Z$167,2,0)</f>
        <v>60</v>
      </c>
      <c r="T153" s="775"/>
      <c r="U153" s="779" t="str">
        <f>IF(VLOOKUP($P153,ValveActuator!$F$5:$N$575,6,0)=1,"Fail Close","Fail Open")</f>
        <v>Fail Close</v>
      </c>
      <c r="V153" s="779" t="str">
        <f>IF(VLOOKUP($P153,ValveActuator!$F$5:$P$575,10,0)=TRUE,"Yes","None")</f>
        <v>None</v>
      </c>
      <c r="W153" s="779">
        <f>VLOOKUP($P153,ValveActuator!$F$5:$N$575,4,0)</f>
        <v>3</v>
      </c>
      <c r="X153" s="779">
        <f>VLOOKUP($P153,ValveActuator!$F$5:$N$575,2,0)</f>
        <v>3</v>
      </c>
      <c r="Y153" s="655">
        <f>VLOOKUP($N153,ControlValve!$F$5:$V$167,16,0)</f>
        <v>69.202398613046398</v>
      </c>
      <c r="Z153" s="655">
        <f>VLOOKUP($N153,ControlValve!$F$5:$Z$167,18,0)*3600</f>
        <v>0.99382034691174603</v>
      </c>
      <c r="AA153" s="656">
        <f>VLOOKUP($N153,ControlValve!$F$5:$Z$167,20,0)/100000</f>
        <v>0.174198646147672</v>
      </c>
    </row>
    <row r="154" spans="13:27">
      <c r="N154" s="1058" t="s">
        <v>10546</v>
      </c>
      <c r="O154" s="1038"/>
      <c r="P154" s="1019" t="s">
        <v>10547</v>
      </c>
      <c r="Q154" s="844" t="s">
        <v>10575</v>
      </c>
      <c r="R154" s="845" t="s">
        <v>10573</v>
      </c>
      <c r="S154" s="637">
        <f>VLOOKUP($N154,ControlValve!$F$5:$Z$167,2,0)</f>
        <v>100</v>
      </c>
      <c r="T154" s="775"/>
      <c r="U154" s="779" t="str">
        <f>IF(VLOOKUP($P154,ValveActuator!$F$5:$N$575,6,0)=1,"Fail Close","Fail Open")</f>
        <v>Fail Close</v>
      </c>
      <c r="V154" s="779" t="str">
        <f>IF(VLOOKUP($P154,ValveActuator!$F$5:$P$575,10,0)=TRUE,"Yes","None")</f>
        <v>None</v>
      </c>
      <c r="W154" s="779">
        <f>VLOOKUP($P154,ValveActuator!$F$5:$N$575,4,0)</f>
        <v>3</v>
      </c>
      <c r="X154" s="779">
        <f>VLOOKUP($P154,ValveActuator!$F$5:$N$575,2,0)</f>
        <v>3</v>
      </c>
      <c r="Y154" s="655">
        <f>VLOOKUP($N154,ControlValve!$F$5:$V$167,16,0)</f>
        <v>0</v>
      </c>
      <c r="Z154" s="655">
        <f>VLOOKUP($N154,ControlValve!$F$5:$Z$167,18,0)*3600</f>
        <v>0</v>
      </c>
      <c r="AA154" s="656">
        <f>VLOOKUP($N154,ControlValve!$F$5:$Z$167,20,0)/100000</f>
        <v>1.0749923060584701</v>
      </c>
    </row>
    <row r="155" spans="13:27">
      <c r="N155" s="1058" t="s">
        <v>10548</v>
      </c>
      <c r="O155" s="1038"/>
      <c r="P155" s="1019" t="s">
        <v>10551</v>
      </c>
      <c r="Q155" s="844" t="s">
        <v>10578</v>
      </c>
      <c r="R155" s="845" t="s">
        <v>10573</v>
      </c>
      <c r="S155" s="637">
        <f>VLOOKUP($N155,ControlValve!$F$5:$Z$167,2,0)</f>
        <v>40</v>
      </c>
      <c r="T155" s="775"/>
      <c r="U155" s="779" t="str">
        <f>IF(VLOOKUP($P155,ValveActuator!$F$5:$N$575,6,0)=1,"Fail Close","Fail Open")</f>
        <v>Fail Close</v>
      </c>
      <c r="V155" s="779" t="str">
        <f>IF(VLOOKUP($P155,ValveActuator!$F$5:$P$575,10,0)=TRUE,"Yes","None")</f>
        <v>None</v>
      </c>
      <c r="W155" s="779">
        <f>VLOOKUP($P155,ValveActuator!$F$5:$N$575,4,0)</f>
        <v>3</v>
      </c>
      <c r="X155" s="779">
        <f>VLOOKUP($P155,ValveActuator!$F$5:$N$575,2,0)</f>
        <v>3</v>
      </c>
      <c r="Y155" s="655">
        <f>VLOOKUP($N155,ControlValve!$F$5:$V$167,16,0)</f>
        <v>0</v>
      </c>
      <c r="Z155" s="655">
        <f>VLOOKUP($N155,ControlValve!$F$5:$Z$167,18,0)*3600</f>
        <v>0</v>
      </c>
      <c r="AA155" s="656">
        <f>VLOOKUP($N155,ControlValve!$F$5:$Z$167,20,0)/100000</f>
        <v>0.35146633815308398</v>
      </c>
    </row>
    <row r="156" spans="13:27">
      <c r="N156" s="1058" t="s">
        <v>10549</v>
      </c>
      <c r="O156" s="1038"/>
      <c r="P156" s="1019" t="s">
        <v>10552</v>
      </c>
      <c r="Q156" s="844" t="s">
        <v>10578</v>
      </c>
      <c r="R156" s="845" t="s">
        <v>10573</v>
      </c>
      <c r="S156" s="637">
        <f>VLOOKUP($N156,ControlValve!$F$5:$Z$167,2,0)</f>
        <v>20</v>
      </c>
      <c r="T156" s="775"/>
      <c r="U156" s="779" t="str">
        <f>IF(VLOOKUP($P156,ValveActuator!$F$5:$N$575,6,0)=1,"Fail Close","Fail Open")</f>
        <v>Fail Close</v>
      </c>
      <c r="V156" s="779" t="str">
        <f>IF(VLOOKUP($P156,ValveActuator!$F$5:$P$575,10,0)=TRUE,"Yes","None")</f>
        <v>None</v>
      </c>
      <c r="W156" s="779">
        <f>VLOOKUP($P156,ValveActuator!$F$5:$N$575,4,0)</f>
        <v>3</v>
      </c>
      <c r="X156" s="779">
        <f>VLOOKUP($P156,ValveActuator!$F$5:$N$575,2,0)</f>
        <v>3</v>
      </c>
      <c r="Y156" s="655">
        <f>VLOOKUP($N156,ControlValve!$F$5:$V$167,16,0)</f>
        <v>26.419648315013799</v>
      </c>
      <c r="Z156" s="655">
        <f>VLOOKUP($N156,ControlValve!$F$5:$Z$167,18,0)*3600</f>
        <v>11.256130847136852</v>
      </c>
      <c r="AA156" s="656">
        <f>VLOOKUP($N156,ControlValve!$F$5:$Z$167,20,0)/100000</f>
        <v>31.088370640709101</v>
      </c>
    </row>
    <row r="157" spans="13:27">
      <c r="N157" s="1058" t="s">
        <v>10550</v>
      </c>
      <c r="O157" s="1038"/>
      <c r="P157" s="1019" t="s">
        <v>10553</v>
      </c>
      <c r="Q157" s="844" t="s">
        <v>10578</v>
      </c>
      <c r="R157" s="845" t="s">
        <v>10573</v>
      </c>
      <c r="S157" s="637">
        <f>VLOOKUP($N157,ControlValve!$F$5:$Z$167,2,0)</f>
        <v>16</v>
      </c>
      <c r="T157" s="775"/>
      <c r="U157" s="779" t="str">
        <f>IF(VLOOKUP($P157,ValveActuator!$F$5:$N$575,6,0)=1,"Fail Close","Fail Open")</f>
        <v>Fail Close</v>
      </c>
      <c r="V157" s="779" t="str">
        <f>IF(VLOOKUP($P157,ValveActuator!$F$5:$P$575,10,0)=TRUE,"Yes","None")</f>
        <v>None</v>
      </c>
      <c r="W157" s="779">
        <f>VLOOKUP($P157,ValveActuator!$F$5:$N$575,4,0)</f>
        <v>3</v>
      </c>
      <c r="X157" s="779">
        <f>VLOOKUP($P157,ValveActuator!$F$5:$N$575,2,0)</f>
        <v>3</v>
      </c>
      <c r="Y157" s="655">
        <f>VLOOKUP($N157,ControlValve!$F$5:$V$167,16,0)</f>
        <v>18.946865287262799</v>
      </c>
      <c r="Z157" s="655">
        <f>VLOOKUP($N157,ControlValve!$F$5:$Z$167,18,0)*3600</f>
        <v>0.87950185377165002</v>
      </c>
      <c r="AA157" s="656">
        <f>VLOOKUP($N157,ControlValve!$F$5:$Z$167,20,0)/100000</f>
        <v>2.2620275773692398</v>
      </c>
    </row>
    <row r="158" spans="13:27">
      <c r="N158" s="1058" t="s">
        <v>10554</v>
      </c>
      <c r="O158" s="1038"/>
      <c r="P158" s="1019" t="s">
        <v>10555</v>
      </c>
      <c r="Q158" s="844" t="s">
        <v>10579</v>
      </c>
      <c r="R158" s="845" t="s">
        <v>10573</v>
      </c>
      <c r="S158" s="637">
        <f>VLOOKUP($N158,ControlValve!$F$5:$Z$167,2,0)</f>
        <v>0.8</v>
      </c>
      <c r="T158" s="775"/>
      <c r="U158" s="779" t="str">
        <f>IF(VLOOKUP($P158,ValveActuator!$F$5:$N$575,6,0)=1,"Fail Close","Fail Open")</f>
        <v>Fail Close</v>
      </c>
      <c r="V158" s="779" t="str">
        <f>IF(VLOOKUP($P158,ValveActuator!$F$5:$P$575,10,0)=TRUE,"Yes","None")</f>
        <v>None</v>
      </c>
      <c r="W158" s="779">
        <f>VLOOKUP($P158,ValveActuator!$F$5:$N$575,4,0)</f>
        <v>3</v>
      </c>
      <c r="X158" s="779">
        <f>VLOOKUP($P158,ValveActuator!$F$5:$N$575,2,0)</f>
        <v>3</v>
      </c>
      <c r="Y158" s="655">
        <f>VLOOKUP($N158,ControlValve!$F$5:$V$167,16,0)</f>
        <v>71.910337243346206</v>
      </c>
      <c r="Z158" s="655">
        <f>VLOOKUP($N158,ControlValve!$F$5:$Z$167,18,0)*3600</f>
        <v>5.7512139824248916E-2</v>
      </c>
      <c r="AA158" s="656">
        <f>VLOOKUP($N158,ControlValve!$F$5:$Z$167,20,0)/100000</f>
        <v>1.40661129830986</v>
      </c>
    </row>
    <row r="159" spans="13:27" s="615" customFormat="1">
      <c r="M159" s="847"/>
      <c r="N159" s="1058" t="s">
        <v>10582</v>
      </c>
      <c r="O159" s="1038"/>
      <c r="P159" s="1019" t="s">
        <v>10583</v>
      </c>
      <c r="Q159" s="848" t="s">
        <v>10579</v>
      </c>
      <c r="R159" s="845" t="s">
        <v>10573</v>
      </c>
      <c r="S159" s="637">
        <f>VLOOKUP($N159,ControlValve!$F$5:$Z$167,2,0)</f>
        <v>60</v>
      </c>
      <c r="T159" s="775"/>
      <c r="U159" s="779" t="str">
        <f>IF(VLOOKUP($P159,ValveActuator!$F$5:$N$575,6,0)=1,"Fail Close","Fail Open")</f>
        <v>Fail Close</v>
      </c>
      <c r="V159" s="779" t="str">
        <f>IF(VLOOKUP($P159,ValveActuator!$F$5:$P$575,10,0)=TRUE,"Yes","None")</f>
        <v>None</v>
      </c>
      <c r="W159" s="779">
        <f>VLOOKUP($P159,ValveActuator!$F$5:$N$575,4,0)</f>
        <v>3</v>
      </c>
      <c r="X159" s="779">
        <f>VLOOKUP($P159,ValveActuator!$F$5:$N$575,2,0)</f>
        <v>3</v>
      </c>
      <c r="Y159" s="655">
        <f>VLOOKUP($N159,ControlValve!$F$5:$V$167,16,0)</f>
        <v>73.485038067155799</v>
      </c>
      <c r="Z159" s="655">
        <f>VLOOKUP($N159,ControlValve!$F$5:$Z$167,18,0)*3600</f>
        <v>0.78981869052526321</v>
      </c>
      <c r="AA159" s="656">
        <f>VLOOKUP($N159,ControlValve!$F$5:$Z$167,20,0)/100000</f>
        <v>7.6465009525718594E-2</v>
      </c>
    </row>
    <row r="160" spans="13:27">
      <c r="N160" s="1058" t="s">
        <v>10556</v>
      </c>
      <c r="O160" s="1038"/>
      <c r="P160" s="1019" t="s">
        <v>10557</v>
      </c>
      <c r="Q160" s="844" t="s">
        <v>10575</v>
      </c>
      <c r="R160" s="845" t="s">
        <v>10573</v>
      </c>
      <c r="S160" s="637">
        <f>VLOOKUP($N160,ControlValve!$F$5:$Z$167,2,0)</f>
        <v>400</v>
      </c>
      <c r="T160" s="775"/>
      <c r="U160" s="779" t="str">
        <f>IF(VLOOKUP($P160,ValveActuator!$F$5:$N$575,6,0)=1,"Fail Close","Fail Open")</f>
        <v>Fail Close</v>
      </c>
      <c r="V160" s="779" t="str">
        <f>IF(VLOOKUP($P160,ValveActuator!$F$5:$P$575,10,0)=TRUE,"Yes","None")</f>
        <v>None</v>
      </c>
      <c r="W160" s="779">
        <f>VLOOKUP($P160,ValveActuator!$F$5:$N$575,4,0)</f>
        <v>3</v>
      </c>
      <c r="X160" s="779">
        <f>VLOOKUP($P160,ValveActuator!$F$5:$N$575,2,0)</f>
        <v>3</v>
      </c>
      <c r="Y160" s="655">
        <f>VLOOKUP($N160,ControlValve!$F$5:$V$167,16,0)</f>
        <v>54.949198019079702</v>
      </c>
      <c r="Z160" s="655">
        <f>VLOOKUP($N160,ControlValve!$F$5:$Z$167,18,0)*3600</f>
        <v>11.027116003105693</v>
      </c>
      <c r="AA160" s="656">
        <f>VLOOKUP($N160,ControlValve!$F$5:$Z$167,20,0)/100000</f>
        <v>3.2363350602431502E-3</v>
      </c>
    </row>
    <row r="161" spans="14:27">
      <c r="N161" s="1058" t="s">
        <v>10558</v>
      </c>
      <c r="O161" s="1038"/>
      <c r="P161" s="1019" t="s">
        <v>10559</v>
      </c>
      <c r="Q161" s="844" t="s">
        <v>10580</v>
      </c>
      <c r="R161" s="845" t="s">
        <v>10573</v>
      </c>
      <c r="S161" s="637">
        <f>VLOOKUP($N161,ControlValve!$F$5:$Z$167,2,0)</f>
        <v>8000</v>
      </c>
      <c r="T161" s="775"/>
      <c r="U161" s="779" t="str">
        <f>IF(VLOOKUP($P161,ValveActuator!$F$5:$N$575,6,0)=1,"Fail Close","Fail Open")</f>
        <v>Fail Close</v>
      </c>
      <c r="V161" s="779" t="str">
        <f>IF(VLOOKUP($P161,ValveActuator!$F$5:$P$575,10,0)=TRUE,"Yes","None")</f>
        <v>None</v>
      </c>
      <c r="W161" s="779">
        <f>VLOOKUP($P161,ValveActuator!$F$5:$N$575,4,0)</f>
        <v>3</v>
      </c>
      <c r="X161" s="779">
        <f>VLOOKUP($P161,ValveActuator!$F$5:$N$575,2,0)</f>
        <v>3</v>
      </c>
      <c r="Y161" s="655">
        <f>VLOOKUP($N161,ControlValve!$F$5:$V$167,16,0)</f>
        <v>100</v>
      </c>
      <c r="Z161" s="655">
        <f>VLOOKUP($N161,ControlValve!$F$5:$Z$167,18,0)*3600</f>
        <v>1179.9654743518524</v>
      </c>
      <c r="AA161" s="656">
        <f>VLOOKUP($N161,ControlValve!$F$5:$Z$167,20,0)/100000</f>
        <v>2.4303320119387899E-2</v>
      </c>
    </row>
    <row r="162" spans="14:27">
      <c r="N162" s="1058" t="s">
        <v>10560</v>
      </c>
      <c r="O162" s="1038"/>
      <c r="P162" s="1019" t="s">
        <v>10561</v>
      </c>
      <c r="Q162" s="844" t="s">
        <v>10574</v>
      </c>
      <c r="R162" s="845" t="s">
        <v>10573</v>
      </c>
      <c r="S162" s="637">
        <f>VLOOKUP($N162,ControlValve!$F$5:$Z$167,2,0)</f>
        <v>1000</v>
      </c>
      <c r="T162" s="775"/>
      <c r="U162" s="779" t="str">
        <f>IF(VLOOKUP($P162,ValveActuator!$F$5:$N$575,6,0)=1,"Fail Close","Fail Open")</f>
        <v>Fail Close</v>
      </c>
      <c r="V162" s="779" t="str">
        <f>IF(VLOOKUP($P162,ValveActuator!$F$5:$P$575,10,0)=TRUE,"Yes","None")</f>
        <v>None</v>
      </c>
      <c r="W162" s="779">
        <f>VLOOKUP($P162,ValveActuator!$F$5:$N$575,4,0)</f>
        <v>3</v>
      </c>
      <c r="X162" s="779">
        <f>VLOOKUP($P162,ValveActuator!$F$5:$N$575,2,0)</f>
        <v>3</v>
      </c>
      <c r="Y162" s="655">
        <f>VLOOKUP($N162,ControlValve!$F$5:$V$167,16,0)</f>
        <v>0</v>
      </c>
      <c r="Z162" s="655">
        <f>VLOOKUP($N162,ControlValve!$F$5:$Z$167,18,0)*3600</f>
        <v>0</v>
      </c>
      <c r="AA162" s="656">
        <f>VLOOKUP($N162,ControlValve!$F$5:$Z$167,20,0)/100000</f>
        <v>1.4603407431145998</v>
      </c>
    </row>
    <row r="163" spans="14:27">
      <c r="N163" s="1058" t="s">
        <v>10562</v>
      </c>
      <c r="O163" s="1038"/>
      <c r="P163" s="1019" t="s">
        <v>10563</v>
      </c>
      <c r="Q163" s="844" t="s">
        <v>10581</v>
      </c>
      <c r="R163" s="845" t="s">
        <v>10573</v>
      </c>
      <c r="S163" s="637">
        <f>VLOOKUP($N163,ControlValve!$F$5:$Z$167,2,0)</f>
        <v>600</v>
      </c>
      <c r="T163" s="775"/>
      <c r="U163" s="779" t="str">
        <f>IF(VLOOKUP($P163,ValveActuator!$F$5:$N$575,6,0)=1,"Fail Close","Fail Open")</f>
        <v>Fail Close</v>
      </c>
      <c r="V163" s="779" t="str">
        <f>IF(VLOOKUP($P163,ValveActuator!$F$5:$P$575,10,0)=TRUE,"Yes","None")</f>
        <v>None</v>
      </c>
      <c r="W163" s="779">
        <f>VLOOKUP($P163,ValveActuator!$F$5:$N$575,4,0)</f>
        <v>3</v>
      </c>
      <c r="X163" s="779">
        <f>VLOOKUP($P163,ValveActuator!$F$5:$N$575,2,0)</f>
        <v>3</v>
      </c>
      <c r="Y163" s="655">
        <f>VLOOKUP($N163,ControlValve!$F$5:$V$167,16,0)</f>
        <v>100</v>
      </c>
      <c r="Z163" s="655">
        <f>VLOOKUP($N163,ControlValve!$F$5:$Z$167,18,0)*3600</f>
        <v>5.0794811067975481</v>
      </c>
      <c r="AA163" s="656">
        <f>VLOOKUP($N163,ControlValve!$F$5:$Z$167,20,0)/100000</f>
        <v>4.3440122249070598E-4</v>
      </c>
    </row>
    <row r="164" spans="14:27">
      <c r="N164" s="1058" t="s">
        <v>10564</v>
      </c>
      <c r="O164" s="1038"/>
      <c r="P164" s="1019" t="s">
        <v>10565</v>
      </c>
      <c r="Q164" s="844" t="s">
        <v>10578</v>
      </c>
      <c r="R164" s="845" t="s">
        <v>10573</v>
      </c>
      <c r="S164" s="637">
        <f>VLOOKUP($N164,ControlValve!$F$5:$Z$167,2,0)</f>
        <v>300000</v>
      </c>
      <c r="T164" s="775"/>
      <c r="U164" s="779" t="str">
        <f>IF(VLOOKUP($P164,ValveActuator!$F$5:$N$575,6,0)=1,"Fail Close","Fail Open")</f>
        <v>Fail Close</v>
      </c>
      <c r="V164" s="779" t="str">
        <f>IF(VLOOKUP($P164,ValveActuator!$F$5:$P$575,10,0)=TRUE,"Yes","None")</f>
        <v>None</v>
      </c>
      <c r="W164" s="779">
        <f>VLOOKUP($P164,ValveActuator!$F$5:$N$575,4,0)</f>
        <v>3</v>
      </c>
      <c r="X164" s="779">
        <f>VLOOKUP($P164,ValveActuator!$F$5:$N$575,2,0)</f>
        <v>3</v>
      </c>
      <c r="Y164" s="655">
        <f>VLOOKUP($N164,ControlValve!$F$5:$V$167,16,0)</f>
        <v>61.375184897207902</v>
      </c>
      <c r="Z164" s="655">
        <f>VLOOKUP($N164,ControlValve!$F$5:$Z$167,18,0)*3600</f>
        <v>79.176964615620477</v>
      </c>
      <c r="AA164" s="656">
        <f>VLOOKUP($N164,ControlValve!$F$5:$Z$167,20,0)/100000</f>
        <v>7.0503530029745901E-4</v>
      </c>
    </row>
    <row r="165" spans="14:27">
      <c r="N165" s="1058" t="s">
        <v>10566</v>
      </c>
      <c r="O165" s="1038"/>
      <c r="P165" s="1019" t="s">
        <v>10567</v>
      </c>
      <c r="Q165" s="844" t="s">
        <v>10579</v>
      </c>
      <c r="R165" s="845" t="s">
        <v>10573</v>
      </c>
      <c r="S165" s="637">
        <f>VLOOKUP($N165,ControlValve!$F$5:$Z$167,2,0)</f>
        <v>1000000</v>
      </c>
      <c r="T165" s="775"/>
      <c r="U165" s="779" t="str">
        <f>IF(VLOOKUP($P165,ValveActuator!$F$5:$N$575,6,0)=1,"Fail Close","Fail Open")</f>
        <v>Fail Close</v>
      </c>
      <c r="V165" s="779" t="str">
        <f>IF(VLOOKUP($P165,ValveActuator!$F$5:$P$575,10,0)=TRUE,"Yes","None")</f>
        <v>None</v>
      </c>
      <c r="W165" s="779">
        <f>VLOOKUP($P165,ValveActuator!$F$5:$N$575,4,0)</f>
        <v>3</v>
      </c>
      <c r="X165" s="779">
        <f>VLOOKUP($P165,ValveActuator!$F$5:$N$575,2,0)</f>
        <v>3</v>
      </c>
      <c r="Y165" s="655">
        <f>VLOOKUP($N165,ControlValve!$F$5:$V$167,16,0)</f>
        <v>100</v>
      </c>
      <c r="Z165" s="655">
        <f>VLOOKUP($N165,ControlValve!$F$5:$Z$167,18,0)*3600</f>
        <v>116.15342200942644</v>
      </c>
      <c r="AA165" s="656">
        <f>VLOOKUP($N165,ControlValve!$F$5:$Z$167,20,0)/100000</f>
        <v>2.2526548290610702E-4</v>
      </c>
    </row>
    <row r="166" spans="14:27">
      <c r="N166" s="1058" t="s">
        <v>10568</v>
      </c>
      <c r="O166" s="1038"/>
      <c r="P166" s="1019" t="s">
        <v>10569</v>
      </c>
      <c r="Q166" s="848" t="s">
        <v>1088</v>
      </c>
      <c r="R166" s="845" t="s">
        <v>10573</v>
      </c>
      <c r="S166" s="637">
        <f>VLOOKUP($N166,ControlValve!$F$5:$Z$167,2,0)</f>
        <v>100000</v>
      </c>
      <c r="T166" s="775"/>
      <c r="U166" s="779" t="str">
        <f>IF(VLOOKUP($P166,ValveActuator!$F$5:$N$575,6,0)=1,"Fail Close","Fail Open")</f>
        <v>Fail Close</v>
      </c>
      <c r="V166" s="779" t="str">
        <f>IF(VLOOKUP($P166,ValveActuator!$F$5:$P$575,10,0)=TRUE,"Yes","None")</f>
        <v>None</v>
      </c>
      <c r="W166" s="779">
        <f>VLOOKUP($P166,ValveActuator!$F$5:$N$575,4,0)</f>
        <v>3</v>
      </c>
      <c r="X166" s="779">
        <f>VLOOKUP($P166,ValveActuator!$F$5:$N$575,2,0)</f>
        <v>3</v>
      </c>
      <c r="Y166" s="655">
        <f>VLOOKUP($N166,ControlValve!$F$5:$V$167,16,0)</f>
        <v>100</v>
      </c>
      <c r="Z166" s="655">
        <f>VLOOKUP($N166,ControlValve!$F$5:$Z$167,18,0)*3600</f>
        <v>63.280081831192923</v>
      </c>
      <c r="AA166" s="656">
        <f>VLOOKUP($N166,ControlValve!$F$5:$Z$167,20,0)/100000</f>
        <v>4.2003389500067003E-4</v>
      </c>
    </row>
    <row r="167" spans="14:27">
      <c r="N167" s="1058" t="s">
        <v>10571</v>
      </c>
      <c r="O167" s="1038"/>
      <c r="P167" s="1019" t="s">
        <v>10570</v>
      </c>
      <c r="Q167" s="848" t="s">
        <v>1088</v>
      </c>
      <c r="R167" s="845" t="s">
        <v>10573</v>
      </c>
      <c r="S167" s="637">
        <f>VLOOKUP($N167,ControlValve!$F$5:$Z$167,2,0)</f>
        <v>100000</v>
      </c>
      <c r="T167" s="775"/>
      <c r="U167" s="779" t="str">
        <f>IF(VLOOKUP($P167,ValveActuator!$F$5:$N$575,6,0)=1,"Fail Close","Fail Open")</f>
        <v>Fail Close</v>
      </c>
      <c r="V167" s="779" t="str">
        <f>IF(VLOOKUP($P167,ValveActuator!$F$5:$P$575,10,0)=TRUE,"Yes","None")</f>
        <v>None</v>
      </c>
      <c r="W167" s="779">
        <f>VLOOKUP($P167,ValveActuator!$F$5:$N$575,4,0)</f>
        <v>3</v>
      </c>
      <c r="X167" s="779">
        <f>VLOOKUP($P167,ValveActuator!$F$5:$N$575,2,0)</f>
        <v>3</v>
      </c>
      <c r="Y167" s="655">
        <f>VLOOKUP($N167,ControlValve!$F$5:$V$167,16,0)</f>
        <v>100</v>
      </c>
      <c r="Z167" s="655">
        <f>VLOOKUP($N167,ControlValve!$F$5:$Z$167,18,0)*3600</f>
        <v>63.280081830473279</v>
      </c>
      <c r="AA167" s="656">
        <f>VLOOKUP($N167,ControlValve!$F$5:$Z$167,20,0)/100000</f>
        <v>4.2003389499877799E-4</v>
      </c>
    </row>
  </sheetData>
  <autoFilter ref="N2:W167"/>
  <mergeCells count="8">
    <mergeCell ref="T86:T89"/>
    <mergeCell ref="T91:T92"/>
    <mergeCell ref="T93:T101"/>
    <mergeCell ref="T40:T41"/>
    <mergeCell ref="T23:T28"/>
    <mergeCell ref="T42:T54"/>
    <mergeCell ref="T55:T63"/>
    <mergeCell ref="T64:T66"/>
  </mergeCells>
  <phoneticPr fontId="14" type="noConversion"/>
  <pageMargins left="0.7" right="0.7" top="0.75" bottom="0.75" header="0.3" footer="0.3"/>
  <pageSetup paperSize="9" orientation="portrait" r:id="rId1"/>
  <ignoredErrors>
    <ignoredError sqref="S57" formula="1"/>
  </ignoredErrors>
  <legacyDrawing r:id="rId2"/>
</worksheet>
</file>

<file path=xl/worksheets/sheet2.xml><?xml version="1.0" encoding="utf-8"?>
<worksheet xmlns="http://schemas.openxmlformats.org/spreadsheetml/2006/main" xmlns:r="http://schemas.openxmlformats.org/officeDocument/2006/relationships">
  <sheetPr>
    <tabColor rgb="FF00B0F0"/>
  </sheetPr>
  <dimension ref="A1:AI85"/>
  <sheetViews>
    <sheetView topLeftCell="F1" zoomScaleNormal="100" workbookViewId="0">
      <selection activeCell="F1" sqref="F1"/>
    </sheetView>
  </sheetViews>
  <sheetFormatPr defaultRowHeight="12.75"/>
  <cols>
    <col min="1" max="1" width="14.375" style="52" hidden="1" customWidth="1"/>
    <col min="2" max="2" width="0" style="52" hidden="1" customWidth="1"/>
    <col min="3" max="3" width="25.125" style="52" hidden="1" customWidth="1"/>
    <col min="4" max="4" width="24.375" style="52" hidden="1" customWidth="1"/>
    <col min="5" max="5" width="0" style="52" hidden="1" customWidth="1"/>
    <col min="6" max="6" width="12.625" style="52" customWidth="1"/>
    <col min="7" max="7" width="12.625" style="605" customWidth="1"/>
    <col min="8" max="9" width="18.625" style="602" customWidth="1"/>
    <col min="10" max="11" width="18.625" style="601" customWidth="1"/>
    <col min="12" max="13" width="18.625" style="661" customWidth="1"/>
    <col min="14" max="15" width="18.625" style="52" customWidth="1"/>
    <col min="16" max="254" width="9" style="52"/>
    <col min="255" max="255" width="14.375" style="52" bestFit="1" customWidth="1"/>
    <col min="256" max="256" width="9" style="52"/>
    <col min="257" max="257" width="25.125" style="52" customWidth="1"/>
    <col min="258" max="258" width="24.375" style="52" customWidth="1"/>
    <col min="259" max="259" width="9" style="52"/>
    <col min="260" max="260" width="10.375" style="52" bestFit="1" customWidth="1"/>
    <col min="261" max="261" width="20.625" style="52" customWidth="1"/>
    <col min="262" max="264" width="11.625" style="52" customWidth="1"/>
    <col min="265" max="265" width="10.875" style="52" customWidth="1"/>
    <col min="266" max="266" width="20.125" style="52" bestFit="1" customWidth="1"/>
    <col min="267" max="510" width="9" style="52"/>
    <col min="511" max="511" width="14.375" style="52" bestFit="1" customWidth="1"/>
    <col min="512" max="512" width="9" style="52"/>
    <col min="513" max="513" width="25.125" style="52" customWidth="1"/>
    <col min="514" max="514" width="24.375" style="52" customWidth="1"/>
    <col min="515" max="515" width="9" style="52"/>
    <col min="516" max="516" width="10.375" style="52" bestFit="1" customWidth="1"/>
    <col min="517" max="517" width="20.625" style="52" customWidth="1"/>
    <col min="518" max="520" width="11.625" style="52" customWidth="1"/>
    <col min="521" max="521" width="10.875" style="52" customWidth="1"/>
    <col min="522" max="522" width="20.125" style="52" bestFit="1" customWidth="1"/>
    <col min="523" max="766" width="9" style="52"/>
    <col min="767" max="767" width="14.375" style="52" bestFit="1" customWidth="1"/>
    <col min="768" max="768" width="9" style="52"/>
    <col min="769" max="769" width="25.125" style="52" customWidth="1"/>
    <col min="770" max="770" width="24.375" style="52" customWidth="1"/>
    <col min="771" max="771" width="9" style="52"/>
    <col min="772" max="772" width="10.375" style="52" bestFit="1" customWidth="1"/>
    <col min="773" max="773" width="20.625" style="52" customWidth="1"/>
    <col min="774" max="776" width="11.625" style="52" customWidth="1"/>
    <col min="777" max="777" width="10.875" style="52" customWidth="1"/>
    <col min="778" max="778" width="20.125" style="52" bestFit="1" customWidth="1"/>
    <col min="779" max="1022" width="9" style="52"/>
    <col min="1023" max="1023" width="14.375" style="52" bestFit="1" customWidth="1"/>
    <col min="1024" max="1024" width="9" style="52"/>
    <col min="1025" max="1025" width="25.125" style="52" customWidth="1"/>
    <col min="1026" max="1026" width="24.375" style="52" customWidth="1"/>
    <col min="1027" max="1027" width="9" style="52"/>
    <col min="1028" max="1028" width="10.375" style="52" bestFit="1" customWidth="1"/>
    <col min="1029" max="1029" width="20.625" style="52" customWidth="1"/>
    <col min="1030" max="1032" width="11.625" style="52" customWidth="1"/>
    <col min="1033" max="1033" width="10.875" style="52" customWidth="1"/>
    <col min="1034" max="1034" width="20.125" style="52" bestFit="1" customWidth="1"/>
    <col min="1035" max="1278" width="9" style="52"/>
    <col min="1279" max="1279" width="14.375" style="52" bestFit="1" customWidth="1"/>
    <col min="1280" max="1280" width="9" style="52"/>
    <col min="1281" max="1281" width="25.125" style="52" customWidth="1"/>
    <col min="1282" max="1282" width="24.375" style="52" customWidth="1"/>
    <col min="1283" max="1283" width="9" style="52"/>
    <col min="1284" max="1284" width="10.375" style="52" bestFit="1" customWidth="1"/>
    <col min="1285" max="1285" width="20.625" style="52" customWidth="1"/>
    <col min="1286" max="1288" width="11.625" style="52" customWidth="1"/>
    <col min="1289" max="1289" width="10.875" style="52" customWidth="1"/>
    <col min="1290" max="1290" width="20.125" style="52" bestFit="1" customWidth="1"/>
    <col min="1291" max="1534" width="9" style="52"/>
    <col min="1535" max="1535" width="14.375" style="52" bestFit="1" customWidth="1"/>
    <col min="1536" max="1536" width="9" style="52"/>
    <col min="1537" max="1537" width="25.125" style="52" customWidth="1"/>
    <col min="1538" max="1538" width="24.375" style="52" customWidth="1"/>
    <col min="1539" max="1539" width="9" style="52"/>
    <col min="1540" max="1540" width="10.375" style="52" bestFit="1" customWidth="1"/>
    <col min="1541" max="1541" width="20.625" style="52" customWidth="1"/>
    <col min="1542" max="1544" width="11.625" style="52" customWidth="1"/>
    <col min="1545" max="1545" width="10.875" style="52" customWidth="1"/>
    <col min="1546" max="1546" width="20.125" style="52" bestFit="1" customWidth="1"/>
    <col min="1547" max="1790" width="9" style="52"/>
    <col min="1791" max="1791" width="14.375" style="52" bestFit="1" customWidth="1"/>
    <col min="1792" max="1792" width="9" style="52"/>
    <col min="1793" max="1793" width="25.125" style="52" customWidth="1"/>
    <col min="1794" max="1794" width="24.375" style="52" customWidth="1"/>
    <col min="1795" max="1795" width="9" style="52"/>
    <col min="1796" max="1796" width="10.375" style="52" bestFit="1" customWidth="1"/>
    <col min="1797" max="1797" width="20.625" style="52" customWidth="1"/>
    <col min="1798" max="1800" width="11.625" style="52" customWidth="1"/>
    <col min="1801" max="1801" width="10.875" style="52" customWidth="1"/>
    <col min="1802" max="1802" width="20.125" style="52" bestFit="1" customWidth="1"/>
    <col min="1803" max="2046" width="9" style="52"/>
    <col min="2047" max="2047" width="14.375" style="52" bestFit="1" customWidth="1"/>
    <col min="2048" max="2048" width="9" style="52"/>
    <col min="2049" max="2049" width="25.125" style="52" customWidth="1"/>
    <col min="2050" max="2050" width="24.375" style="52" customWidth="1"/>
    <col min="2051" max="2051" width="9" style="52"/>
    <col min="2052" max="2052" width="10.375" style="52" bestFit="1" customWidth="1"/>
    <col min="2053" max="2053" width="20.625" style="52" customWidth="1"/>
    <col min="2054" max="2056" width="11.625" style="52" customWidth="1"/>
    <col min="2057" max="2057" width="10.875" style="52" customWidth="1"/>
    <col min="2058" max="2058" width="20.125" style="52" bestFit="1" customWidth="1"/>
    <col min="2059" max="2302" width="9" style="52"/>
    <col min="2303" max="2303" width="14.375" style="52" bestFit="1" customWidth="1"/>
    <col min="2304" max="2304" width="9" style="52"/>
    <col min="2305" max="2305" width="25.125" style="52" customWidth="1"/>
    <col min="2306" max="2306" width="24.375" style="52" customWidth="1"/>
    <col min="2307" max="2307" width="9" style="52"/>
    <col min="2308" max="2308" width="10.375" style="52" bestFit="1" customWidth="1"/>
    <col min="2309" max="2309" width="20.625" style="52" customWidth="1"/>
    <col min="2310" max="2312" width="11.625" style="52" customWidth="1"/>
    <col min="2313" max="2313" width="10.875" style="52" customWidth="1"/>
    <col min="2314" max="2314" width="20.125" style="52" bestFit="1" customWidth="1"/>
    <col min="2315" max="2558" width="9" style="52"/>
    <col min="2559" max="2559" width="14.375" style="52" bestFit="1" customWidth="1"/>
    <col min="2560" max="2560" width="9" style="52"/>
    <col min="2561" max="2561" width="25.125" style="52" customWidth="1"/>
    <col min="2562" max="2562" width="24.375" style="52" customWidth="1"/>
    <col min="2563" max="2563" width="9" style="52"/>
    <col min="2564" max="2564" width="10.375" style="52" bestFit="1" customWidth="1"/>
    <col min="2565" max="2565" width="20.625" style="52" customWidth="1"/>
    <col min="2566" max="2568" width="11.625" style="52" customWidth="1"/>
    <col min="2569" max="2569" width="10.875" style="52" customWidth="1"/>
    <col min="2570" max="2570" width="20.125" style="52" bestFit="1" customWidth="1"/>
    <col min="2571" max="2814" width="9" style="52"/>
    <col min="2815" max="2815" width="14.375" style="52" bestFit="1" customWidth="1"/>
    <col min="2816" max="2816" width="9" style="52"/>
    <col min="2817" max="2817" width="25.125" style="52" customWidth="1"/>
    <col min="2818" max="2818" width="24.375" style="52" customWidth="1"/>
    <col min="2819" max="2819" width="9" style="52"/>
    <col min="2820" max="2820" width="10.375" style="52" bestFit="1" customWidth="1"/>
    <col min="2821" max="2821" width="20.625" style="52" customWidth="1"/>
    <col min="2822" max="2824" width="11.625" style="52" customWidth="1"/>
    <col min="2825" max="2825" width="10.875" style="52" customWidth="1"/>
    <col min="2826" max="2826" width="20.125" style="52" bestFit="1" customWidth="1"/>
    <col min="2827" max="3070" width="9" style="52"/>
    <col min="3071" max="3071" width="14.375" style="52" bestFit="1" customWidth="1"/>
    <col min="3072" max="3072" width="9" style="52"/>
    <col min="3073" max="3073" width="25.125" style="52" customWidth="1"/>
    <col min="3074" max="3074" width="24.375" style="52" customWidth="1"/>
    <col min="3075" max="3075" width="9" style="52"/>
    <col min="3076" max="3076" width="10.375" style="52" bestFit="1" customWidth="1"/>
    <col min="3077" max="3077" width="20.625" style="52" customWidth="1"/>
    <col min="3078" max="3080" width="11.625" style="52" customWidth="1"/>
    <col min="3081" max="3081" width="10.875" style="52" customWidth="1"/>
    <col min="3082" max="3082" width="20.125" style="52" bestFit="1" customWidth="1"/>
    <col min="3083" max="3326" width="9" style="52"/>
    <col min="3327" max="3327" width="14.375" style="52" bestFit="1" customWidth="1"/>
    <col min="3328" max="3328" width="9" style="52"/>
    <col min="3329" max="3329" width="25.125" style="52" customWidth="1"/>
    <col min="3330" max="3330" width="24.375" style="52" customWidth="1"/>
    <col min="3331" max="3331" width="9" style="52"/>
    <col min="3332" max="3332" width="10.375" style="52" bestFit="1" customWidth="1"/>
    <col min="3333" max="3333" width="20.625" style="52" customWidth="1"/>
    <col min="3334" max="3336" width="11.625" style="52" customWidth="1"/>
    <col min="3337" max="3337" width="10.875" style="52" customWidth="1"/>
    <col min="3338" max="3338" width="20.125" style="52" bestFit="1" customWidth="1"/>
    <col min="3339" max="3582" width="9" style="52"/>
    <col min="3583" max="3583" width="14.375" style="52" bestFit="1" customWidth="1"/>
    <col min="3584" max="3584" width="9" style="52"/>
    <col min="3585" max="3585" width="25.125" style="52" customWidth="1"/>
    <col min="3586" max="3586" width="24.375" style="52" customWidth="1"/>
    <col min="3587" max="3587" width="9" style="52"/>
    <col min="3588" max="3588" width="10.375" style="52" bestFit="1" customWidth="1"/>
    <col min="3589" max="3589" width="20.625" style="52" customWidth="1"/>
    <col min="3590" max="3592" width="11.625" style="52" customWidth="1"/>
    <col min="3593" max="3593" width="10.875" style="52" customWidth="1"/>
    <col min="3594" max="3594" width="20.125" style="52" bestFit="1" customWidth="1"/>
    <col min="3595" max="3838" width="9" style="52"/>
    <col min="3839" max="3839" width="14.375" style="52" bestFit="1" customWidth="1"/>
    <col min="3840" max="3840" width="9" style="52"/>
    <col min="3841" max="3841" width="25.125" style="52" customWidth="1"/>
    <col min="3842" max="3842" width="24.375" style="52" customWidth="1"/>
    <col min="3843" max="3843" width="9" style="52"/>
    <col min="3844" max="3844" width="10.375" style="52" bestFit="1" customWidth="1"/>
    <col min="3845" max="3845" width="20.625" style="52" customWidth="1"/>
    <col min="3846" max="3848" width="11.625" style="52" customWidth="1"/>
    <col min="3849" max="3849" width="10.875" style="52" customWidth="1"/>
    <col min="3850" max="3850" width="20.125" style="52" bestFit="1" customWidth="1"/>
    <col min="3851" max="4094" width="9" style="52"/>
    <col min="4095" max="4095" width="14.375" style="52" bestFit="1" customWidth="1"/>
    <col min="4096" max="4096" width="9" style="52"/>
    <col min="4097" max="4097" width="25.125" style="52" customWidth="1"/>
    <col min="4098" max="4098" width="24.375" style="52" customWidth="1"/>
    <col min="4099" max="4099" width="9" style="52"/>
    <col min="4100" max="4100" width="10.375" style="52" bestFit="1" customWidth="1"/>
    <col min="4101" max="4101" width="20.625" style="52" customWidth="1"/>
    <col min="4102" max="4104" width="11.625" style="52" customWidth="1"/>
    <col min="4105" max="4105" width="10.875" style="52" customWidth="1"/>
    <col min="4106" max="4106" width="20.125" style="52" bestFit="1" customWidth="1"/>
    <col min="4107" max="4350" width="9" style="52"/>
    <col min="4351" max="4351" width="14.375" style="52" bestFit="1" customWidth="1"/>
    <col min="4352" max="4352" width="9" style="52"/>
    <col min="4353" max="4353" width="25.125" style="52" customWidth="1"/>
    <col min="4354" max="4354" width="24.375" style="52" customWidth="1"/>
    <col min="4355" max="4355" width="9" style="52"/>
    <col min="4356" max="4356" width="10.375" style="52" bestFit="1" customWidth="1"/>
    <col min="4357" max="4357" width="20.625" style="52" customWidth="1"/>
    <col min="4358" max="4360" width="11.625" style="52" customWidth="1"/>
    <col min="4361" max="4361" width="10.875" style="52" customWidth="1"/>
    <col min="4362" max="4362" width="20.125" style="52" bestFit="1" customWidth="1"/>
    <col min="4363" max="4606" width="9" style="52"/>
    <col min="4607" max="4607" width="14.375" style="52" bestFit="1" customWidth="1"/>
    <col min="4608" max="4608" width="9" style="52"/>
    <col min="4609" max="4609" width="25.125" style="52" customWidth="1"/>
    <col min="4610" max="4610" width="24.375" style="52" customWidth="1"/>
    <col min="4611" max="4611" width="9" style="52"/>
    <col min="4612" max="4612" width="10.375" style="52" bestFit="1" customWidth="1"/>
    <col min="4613" max="4613" width="20.625" style="52" customWidth="1"/>
    <col min="4614" max="4616" width="11.625" style="52" customWidth="1"/>
    <col min="4617" max="4617" width="10.875" style="52" customWidth="1"/>
    <col min="4618" max="4618" width="20.125" style="52" bestFit="1" customWidth="1"/>
    <col min="4619" max="4862" width="9" style="52"/>
    <col min="4863" max="4863" width="14.375" style="52" bestFit="1" customWidth="1"/>
    <col min="4864" max="4864" width="9" style="52"/>
    <col min="4865" max="4865" width="25.125" style="52" customWidth="1"/>
    <col min="4866" max="4866" width="24.375" style="52" customWidth="1"/>
    <col min="4867" max="4867" width="9" style="52"/>
    <col min="4868" max="4868" width="10.375" style="52" bestFit="1" customWidth="1"/>
    <col min="4869" max="4869" width="20.625" style="52" customWidth="1"/>
    <col min="4870" max="4872" width="11.625" style="52" customWidth="1"/>
    <col min="4873" max="4873" width="10.875" style="52" customWidth="1"/>
    <col min="4874" max="4874" width="20.125" style="52" bestFit="1" customWidth="1"/>
    <col min="4875" max="5118" width="9" style="52"/>
    <col min="5119" max="5119" width="14.375" style="52" bestFit="1" customWidth="1"/>
    <col min="5120" max="5120" width="9" style="52"/>
    <col min="5121" max="5121" width="25.125" style="52" customWidth="1"/>
    <col min="5122" max="5122" width="24.375" style="52" customWidth="1"/>
    <col min="5123" max="5123" width="9" style="52"/>
    <col min="5124" max="5124" width="10.375" style="52" bestFit="1" customWidth="1"/>
    <col min="5125" max="5125" width="20.625" style="52" customWidth="1"/>
    <col min="5126" max="5128" width="11.625" style="52" customWidth="1"/>
    <col min="5129" max="5129" width="10.875" style="52" customWidth="1"/>
    <col min="5130" max="5130" width="20.125" style="52" bestFit="1" customWidth="1"/>
    <col min="5131" max="5374" width="9" style="52"/>
    <col min="5375" max="5375" width="14.375" style="52" bestFit="1" customWidth="1"/>
    <col min="5376" max="5376" width="9" style="52"/>
    <col min="5377" max="5377" width="25.125" style="52" customWidth="1"/>
    <col min="5378" max="5378" width="24.375" style="52" customWidth="1"/>
    <col min="5379" max="5379" width="9" style="52"/>
    <col min="5380" max="5380" width="10.375" style="52" bestFit="1" customWidth="1"/>
    <col min="5381" max="5381" width="20.625" style="52" customWidth="1"/>
    <col min="5382" max="5384" width="11.625" style="52" customWidth="1"/>
    <col min="5385" max="5385" width="10.875" style="52" customWidth="1"/>
    <col min="5386" max="5386" width="20.125" style="52" bestFit="1" customWidth="1"/>
    <col min="5387" max="5630" width="9" style="52"/>
    <col min="5631" max="5631" width="14.375" style="52" bestFit="1" customWidth="1"/>
    <col min="5632" max="5632" width="9" style="52"/>
    <col min="5633" max="5633" width="25.125" style="52" customWidth="1"/>
    <col min="5634" max="5634" width="24.375" style="52" customWidth="1"/>
    <col min="5635" max="5635" width="9" style="52"/>
    <col min="5636" max="5636" width="10.375" style="52" bestFit="1" customWidth="1"/>
    <col min="5637" max="5637" width="20.625" style="52" customWidth="1"/>
    <col min="5638" max="5640" width="11.625" style="52" customWidth="1"/>
    <col min="5641" max="5641" width="10.875" style="52" customWidth="1"/>
    <col min="5642" max="5642" width="20.125" style="52" bestFit="1" customWidth="1"/>
    <col min="5643" max="5886" width="9" style="52"/>
    <col min="5887" max="5887" width="14.375" style="52" bestFit="1" customWidth="1"/>
    <col min="5888" max="5888" width="9" style="52"/>
    <col min="5889" max="5889" width="25.125" style="52" customWidth="1"/>
    <col min="5890" max="5890" width="24.375" style="52" customWidth="1"/>
    <col min="5891" max="5891" width="9" style="52"/>
    <col min="5892" max="5892" width="10.375" style="52" bestFit="1" customWidth="1"/>
    <col min="5893" max="5893" width="20.625" style="52" customWidth="1"/>
    <col min="5894" max="5896" width="11.625" style="52" customWidth="1"/>
    <col min="5897" max="5897" width="10.875" style="52" customWidth="1"/>
    <col min="5898" max="5898" width="20.125" style="52" bestFit="1" customWidth="1"/>
    <col min="5899" max="6142" width="9" style="52"/>
    <col min="6143" max="6143" width="14.375" style="52" bestFit="1" customWidth="1"/>
    <col min="6144" max="6144" width="9" style="52"/>
    <col min="6145" max="6145" width="25.125" style="52" customWidth="1"/>
    <col min="6146" max="6146" width="24.375" style="52" customWidth="1"/>
    <col min="6147" max="6147" width="9" style="52"/>
    <col min="6148" max="6148" width="10.375" style="52" bestFit="1" customWidth="1"/>
    <col min="6149" max="6149" width="20.625" style="52" customWidth="1"/>
    <col min="6150" max="6152" width="11.625" style="52" customWidth="1"/>
    <col min="6153" max="6153" width="10.875" style="52" customWidth="1"/>
    <col min="6154" max="6154" width="20.125" style="52" bestFit="1" customWidth="1"/>
    <col min="6155" max="6398" width="9" style="52"/>
    <col min="6399" max="6399" width="14.375" style="52" bestFit="1" customWidth="1"/>
    <col min="6400" max="6400" width="9" style="52"/>
    <col min="6401" max="6401" width="25.125" style="52" customWidth="1"/>
    <col min="6402" max="6402" width="24.375" style="52" customWidth="1"/>
    <col min="6403" max="6403" width="9" style="52"/>
    <col min="6404" max="6404" width="10.375" style="52" bestFit="1" customWidth="1"/>
    <col min="6405" max="6405" width="20.625" style="52" customWidth="1"/>
    <col min="6406" max="6408" width="11.625" style="52" customWidth="1"/>
    <col min="6409" max="6409" width="10.875" style="52" customWidth="1"/>
    <col min="6410" max="6410" width="20.125" style="52" bestFit="1" customWidth="1"/>
    <col min="6411" max="6654" width="9" style="52"/>
    <col min="6655" max="6655" width="14.375" style="52" bestFit="1" customWidth="1"/>
    <col min="6656" max="6656" width="9" style="52"/>
    <col min="6657" max="6657" width="25.125" style="52" customWidth="1"/>
    <col min="6658" max="6658" width="24.375" style="52" customWidth="1"/>
    <col min="6659" max="6659" width="9" style="52"/>
    <col min="6660" max="6660" width="10.375" style="52" bestFit="1" customWidth="1"/>
    <col min="6661" max="6661" width="20.625" style="52" customWidth="1"/>
    <col min="6662" max="6664" width="11.625" style="52" customWidth="1"/>
    <col min="6665" max="6665" width="10.875" style="52" customWidth="1"/>
    <col min="6666" max="6666" width="20.125" style="52" bestFit="1" customWidth="1"/>
    <col min="6667" max="6910" width="9" style="52"/>
    <col min="6911" max="6911" width="14.375" style="52" bestFit="1" customWidth="1"/>
    <col min="6912" max="6912" width="9" style="52"/>
    <col min="6913" max="6913" width="25.125" style="52" customWidth="1"/>
    <col min="6914" max="6914" width="24.375" style="52" customWidth="1"/>
    <col min="6915" max="6915" width="9" style="52"/>
    <col min="6916" max="6916" width="10.375" style="52" bestFit="1" customWidth="1"/>
    <col min="6917" max="6917" width="20.625" style="52" customWidth="1"/>
    <col min="6918" max="6920" width="11.625" style="52" customWidth="1"/>
    <col min="6921" max="6921" width="10.875" style="52" customWidth="1"/>
    <col min="6922" max="6922" width="20.125" style="52" bestFit="1" customWidth="1"/>
    <col min="6923" max="7166" width="9" style="52"/>
    <col min="7167" max="7167" width="14.375" style="52" bestFit="1" customWidth="1"/>
    <col min="7168" max="7168" width="9" style="52"/>
    <col min="7169" max="7169" width="25.125" style="52" customWidth="1"/>
    <col min="7170" max="7170" width="24.375" style="52" customWidth="1"/>
    <col min="7171" max="7171" width="9" style="52"/>
    <col min="7172" max="7172" width="10.375" style="52" bestFit="1" customWidth="1"/>
    <col min="7173" max="7173" width="20.625" style="52" customWidth="1"/>
    <col min="7174" max="7176" width="11.625" style="52" customWidth="1"/>
    <col min="7177" max="7177" width="10.875" style="52" customWidth="1"/>
    <col min="7178" max="7178" width="20.125" style="52" bestFit="1" customWidth="1"/>
    <col min="7179" max="7422" width="9" style="52"/>
    <col min="7423" max="7423" width="14.375" style="52" bestFit="1" customWidth="1"/>
    <col min="7424" max="7424" width="9" style="52"/>
    <col min="7425" max="7425" width="25.125" style="52" customWidth="1"/>
    <col min="7426" max="7426" width="24.375" style="52" customWidth="1"/>
    <col min="7427" max="7427" width="9" style="52"/>
    <col min="7428" max="7428" width="10.375" style="52" bestFit="1" customWidth="1"/>
    <col min="7429" max="7429" width="20.625" style="52" customWidth="1"/>
    <col min="7430" max="7432" width="11.625" style="52" customWidth="1"/>
    <col min="7433" max="7433" width="10.875" style="52" customWidth="1"/>
    <col min="7434" max="7434" width="20.125" style="52" bestFit="1" customWidth="1"/>
    <col min="7435" max="7678" width="9" style="52"/>
    <col min="7679" max="7679" width="14.375" style="52" bestFit="1" customWidth="1"/>
    <col min="7680" max="7680" width="9" style="52"/>
    <col min="7681" max="7681" width="25.125" style="52" customWidth="1"/>
    <col min="7682" max="7682" width="24.375" style="52" customWidth="1"/>
    <col min="7683" max="7683" width="9" style="52"/>
    <col min="7684" max="7684" width="10.375" style="52" bestFit="1" customWidth="1"/>
    <col min="7685" max="7685" width="20.625" style="52" customWidth="1"/>
    <col min="7686" max="7688" width="11.625" style="52" customWidth="1"/>
    <col min="7689" max="7689" width="10.875" style="52" customWidth="1"/>
    <col min="7690" max="7690" width="20.125" style="52" bestFit="1" customWidth="1"/>
    <col min="7691" max="7934" width="9" style="52"/>
    <col min="7935" max="7935" width="14.375" style="52" bestFit="1" customWidth="1"/>
    <col min="7936" max="7936" width="9" style="52"/>
    <col min="7937" max="7937" width="25.125" style="52" customWidth="1"/>
    <col min="7938" max="7938" width="24.375" style="52" customWidth="1"/>
    <col min="7939" max="7939" width="9" style="52"/>
    <col min="7940" max="7940" width="10.375" style="52" bestFit="1" customWidth="1"/>
    <col min="7941" max="7941" width="20.625" style="52" customWidth="1"/>
    <col min="7942" max="7944" width="11.625" style="52" customWidth="1"/>
    <col min="7945" max="7945" width="10.875" style="52" customWidth="1"/>
    <col min="7946" max="7946" width="20.125" style="52" bestFit="1" customWidth="1"/>
    <col min="7947" max="8190" width="9" style="52"/>
    <col min="8191" max="8191" width="14.375" style="52" bestFit="1" customWidth="1"/>
    <col min="8192" max="8192" width="9" style="52"/>
    <col min="8193" max="8193" width="25.125" style="52" customWidth="1"/>
    <col min="8194" max="8194" width="24.375" style="52" customWidth="1"/>
    <col min="8195" max="8195" width="9" style="52"/>
    <col min="8196" max="8196" width="10.375" style="52" bestFit="1" customWidth="1"/>
    <col min="8197" max="8197" width="20.625" style="52" customWidth="1"/>
    <col min="8198" max="8200" width="11.625" style="52" customWidth="1"/>
    <col min="8201" max="8201" width="10.875" style="52" customWidth="1"/>
    <col min="8202" max="8202" width="20.125" style="52" bestFit="1" customWidth="1"/>
    <col min="8203" max="8446" width="9" style="52"/>
    <col min="8447" max="8447" width="14.375" style="52" bestFit="1" customWidth="1"/>
    <col min="8448" max="8448" width="9" style="52"/>
    <col min="8449" max="8449" width="25.125" style="52" customWidth="1"/>
    <col min="8450" max="8450" width="24.375" style="52" customWidth="1"/>
    <col min="8451" max="8451" width="9" style="52"/>
    <col min="8452" max="8452" width="10.375" style="52" bestFit="1" customWidth="1"/>
    <col min="8453" max="8453" width="20.625" style="52" customWidth="1"/>
    <col min="8454" max="8456" width="11.625" style="52" customWidth="1"/>
    <col min="8457" max="8457" width="10.875" style="52" customWidth="1"/>
    <col min="8458" max="8458" width="20.125" style="52" bestFit="1" customWidth="1"/>
    <col min="8459" max="8702" width="9" style="52"/>
    <col min="8703" max="8703" width="14.375" style="52" bestFit="1" customWidth="1"/>
    <col min="8704" max="8704" width="9" style="52"/>
    <col min="8705" max="8705" width="25.125" style="52" customWidth="1"/>
    <col min="8706" max="8706" width="24.375" style="52" customWidth="1"/>
    <col min="8707" max="8707" width="9" style="52"/>
    <col min="8708" max="8708" width="10.375" style="52" bestFit="1" customWidth="1"/>
    <col min="8709" max="8709" width="20.625" style="52" customWidth="1"/>
    <col min="8710" max="8712" width="11.625" style="52" customWidth="1"/>
    <col min="8713" max="8713" width="10.875" style="52" customWidth="1"/>
    <col min="8714" max="8714" width="20.125" style="52" bestFit="1" customWidth="1"/>
    <col min="8715" max="8958" width="9" style="52"/>
    <col min="8959" max="8959" width="14.375" style="52" bestFit="1" customWidth="1"/>
    <col min="8960" max="8960" width="9" style="52"/>
    <col min="8961" max="8961" width="25.125" style="52" customWidth="1"/>
    <col min="8962" max="8962" width="24.375" style="52" customWidth="1"/>
    <col min="8963" max="8963" width="9" style="52"/>
    <col min="8964" max="8964" width="10.375" style="52" bestFit="1" customWidth="1"/>
    <col min="8965" max="8965" width="20.625" style="52" customWidth="1"/>
    <col min="8966" max="8968" width="11.625" style="52" customWidth="1"/>
    <col min="8969" max="8969" width="10.875" style="52" customWidth="1"/>
    <col min="8970" max="8970" width="20.125" style="52" bestFit="1" customWidth="1"/>
    <col min="8971" max="9214" width="9" style="52"/>
    <col min="9215" max="9215" width="14.375" style="52" bestFit="1" customWidth="1"/>
    <col min="9216" max="9216" width="9" style="52"/>
    <col min="9217" max="9217" width="25.125" style="52" customWidth="1"/>
    <col min="9218" max="9218" width="24.375" style="52" customWidth="1"/>
    <col min="9219" max="9219" width="9" style="52"/>
    <col min="9220" max="9220" width="10.375" style="52" bestFit="1" customWidth="1"/>
    <col min="9221" max="9221" width="20.625" style="52" customWidth="1"/>
    <col min="9222" max="9224" width="11.625" style="52" customWidth="1"/>
    <col min="9225" max="9225" width="10.875" style="52" customWidth="1"/>
    <col min="9226" max="9226" width="20.125" style="52" bestFit="1" customWidth="1"/>
    <col min="9227" max="9470" width="9" style="52"/>
    <col min="9471" max="9471" width="14.375" style="52" bestFit="1" customWidth="1"/>
    <col min="9472" max="9472" width="9" style="52"/>
    <col min="9473" max="9473" width="25.125" style="52" customWidth="1"/>
    <col min="9474" max="9474" width="24.375" style="52" customWidth="1"/>
    <col min="9475" max="9475" width="9" style="52"/>
    <col min="9476" max="9476" width="10.375" style="52" bestFit="1" customWidth="1"/>
    <col min="9477" max="9477" width="20.625" style="52" customWidth="1"/>
    <col min="9478" max="9480" width="11.625" style="52" customWidth="1"/>
    <col min="9481" max="9481" width="10.875" style="52" customWidth="1"/>
    <col min="9482" max="9482" width="20.125" style="52" bestFit="1" customWidth="1"/>
    <col min="9483" max="9726" width="9" style="52"/>
    <col min="9727" max="9727" width="14.375" style="52" bestFit="1" customWidth="1"/>
    <col min="9728" max="9728" width="9" style="52"/>
    <col min="9729" max="9729" width="25.125" style="52" customWidth="1"/>
    <col min="9730" max="9730" width="24.375" style="52" customWidth="1"/>
    <col min="9731" max="9731" width="9" style="52"/>
    <col min="9732" max="9732" width="10.375" style="52" bestFit="1" customWidth="1"/>
    <col min="9733" max="9733" width="20.625" style="52" customWidth="1"/>
    <col min="9734" max="9736" width="11.625" style="52" customWidth="1"/>
    <col min="9737" max="9737" width="10.875" style="52" customWidth="1"/>
    <col min="9738" max="9738" width="20.125" style="52" bestFit="1" customWidth="1"/>
    <col min="9739" max="9982" width="9" style="52"/>
    <col min="9983" max="9983" width="14.375" style="52" bestFit="1" customWidth="1"/>
    <col min="9984" max="9984" width="9" style="52"/>
    <col min="9985" max="9985" width="25.125" style="52" customWidth="1"/>
    <col min="9986" max="9986" width="24.375" style="52" customWidth="1"/>
    <col min="9987" max="9987" width="9" style="52"/>
    <col min="9988" max="9988" width="10.375" style="52" bestFit="1" customWidth="1"/>
    <col min="9989" max="9989" width="20.625" style="52" customWidth="1"/>
    <col min="9990" max="9992" width="11.625" style="52" customWidth="1"/>
    <col min="9993" max="9993" width="10.875" style="52" customWidth="1"/>
    <col min="9994" max="9994" width="20.125" style="52" bestFit="1" customWidth="1"/>
    <col min="9995" max="10238" width="9" style="52"/>
    <col min="10239" max="10239" width="14.375" style="52" bestFit="1" customWidth="1"/>
    <col min="10240" max="10240" width="9" style="52"/>
    <col min="10241" max="10241" width="25.125" style="52" customWidth="1"/>
    <col min="10242" max="10242" width="24.375" style="52" customWidth="1"/>
    <col min="10243" max="10243" width="9" style="52"/>
    <col min="10244" max="10244" width="10.375" style="52" bestFit="1" customWidth="1"/>
    <col min="10245" max="10245" width="20.625" style="52" customWidth="1"/>
    <col min="10246" max="10248" width="11.625" style="52" customWidth="1"/>
    <col min="10249" max="10249" width="10.875" style="52" customWidth="1"/>
    <col min="10250" max="10250" width="20.125" style="52" bestFit="1" customWidth="1"/>
    <col min="10251" max="10494" width="9" style="52"/>
    <col min="10495" max="10495" width="14.375" style="52" bestFit="1" customWidth="1"/>
    <col min="10496" max="10496" width="9" style="52"/>
    <col min="10497" max="10497" width="25.125" style="52" customWidth="1"/>
    <col min="10498" max="10498" width="24.375" style="52" customWidth="1"/>
    <col min="10499" max="10499" width="9" style="52"/>
    <col min="10500" max="10500" width="10.375" style="52" bestFit="1" customWidth="1"/>
    <col min="10501" max="10501" width="20.625" style="52" customWidth="1"/>
    <col min="10502" max="10504" width="11.625" style="52" customWidth="1"/>
    <col min="10505" max="10505" width="10.875" style="52" customWidth="1"/>
    <col min="10506" max="10506" width="20.125" style="52" bestFit="1" customWidth="1"/>
    <col min="10507" max="10750" width="9" style="52"/>
    <col min="10751" max="10751" width="14.375" style="52" bestFit="1" customWidth="1"/>
    <col min="10752" max="10752" width="9" style="52"/>
    <col min="10753" max="10753" width="25.125" style="52" customWidth="1"/>
    <col min="10754" max="10754" width="24.375" style="52" customWidth="1"/>
    <col min="10755" max="10755" width="9" style="52"/>
    <col min="10756" max="10756" width="10.375" style="52" bestFit="1" customWidth="1"/>
    <col min="10757" max="10757" width="20.625" style="52" customWidth="1"/>
    <col min="10758" max="10760" width="11.625" style="52" customWidth="1"/>
    <col min="10761" max="10761" width="10.875" style="52" customWidth="1"/>
    <col min="10762" max="10762" width="20.125" style="52" bestFit="1" customWidth="1"/>
    <col min="10763" max="11006" width="9" style="52"/>
    <col min="11007" max="11007" width="14.375" style="52" bestFit="1" customWidth="1"/>
    <col min="11008" max="11008" width="9" style="52"/>
    <col min="11009" max="11009" width="25.125" style="52" customWidth="1"/>
    <col min="11010" max="11010" width="24.375" style="52" customWidth="1"/>
    <col min="11011" max="11011" width="9" style="52"/>
    <col min="11012" max="11012" width="10.375" style="52" bestFit="1" customWidth="1"/>
    <col min="11013" max="11013" width="20.625" style="52" customWidth="1"/>
    <col min="11014" max="11016" width="11.625" style="52" customWidth="1"/>
    <col min="11017" max="11017" width="10.875" style="52" customWidth="1"/>
    <col min="11018" max="11018" width="20.125" style="52" bestFit="1" customWidth="1"/>
    <col min="11019" max="11262" width="9" style="52"/>
    <col min="11263" max="11263" width="14.375" style="52" bestFit="1" customWidth="1"/>
    <col min="11264" max="11264" width="9" style="52"/>
    <col min="11265" max="11265" width="25.125" style="52" customWidth="1"/>
    <col min="11266" max="11266" width="24.375" style="52" customWidth="1"/>
    <col min="11267" max="11267" width="9" style="52"/>
    <col min="11268" max="11268" width="10.375" style="52" bestFit="1" customWidth="1"/>
    <col min="11269" max="11269" width="20.625" style="52" customWidth="1"/>
    <col min="11270" max="11272" width="11.625" style="52" customWidth="1"/>
    <col min="11273" max="11273" width="10.875" style="52" customWidth="1"/>
    <col min="11274" max="11274" width="20.125" style="52" bestFit="1" customWidth="1"/>
    <col min="11275" max="11518" width="9" style="52"/>
    <col min="11519" max="11519" width="14.375" style="52" bestFit="1" customWidth="1"/>
    <col min="11520" max="11520" width="9" style="52"/>
    <col min="11521" max="11521" width="25.125" style="52" customWidth="1"/>
    <col min="11522" max="11522" width="24.375" style="52" customWidth="1"/>
    <col min="11523" max="11523" width="9" style="52"/>
    <col min="11524" max="11524" width="10.375" style="52" bestFit="1" customWidth="1"/>
    <col min="11525" max="11525" width="20.625" style="52" customWidth="1"/>
    <col min="11526" max="11528" width="11.625" style="52" customWidth="1"/>
    <col min="11529" max="11529" width="10.875" style="52" customWidth="1"/>
    <col min="11530" max="11530" width="20.125" style="52" bestFit="1" customWidth="1"/>
    <col min="11531" max="11774" width="9" style="52"/>
    <col min="11775" max="11775" width="14.375" style="52" bestFit="1" customWidth="1"/>
    <col min="11776" max="11776" width="9" style="52"/>
    <col min="11777" max="11777" width="25.125" style="52" customWidth="1"/>
    <col min="11778" max="11778" width="24.375" style="52" customWidth="1"/>
    <col min="11779" max="11779" width="9" style="52"/>
    <col min="11780" max="11780" width="10.375" style="52" bestFit="1" customWidth="1"/>
    <col min="11781" max="11781" width="20.625" style="52" customWidth="1"/>
    <col min="11782" max="11784" width="11.625" style="52" customWidth="1"/>
    <col min="11785" max="11785" width="10.875" style="52" customWidth="1"/>
    <col min="11786" max="11786" width="20.125" style="52" bestFit="1" customWidth="1"/>
    <col min="11787" max="12030" width="9" style="52"/>
    <col min="12031" max="12031" width="14.375" style="52" bestFit="1" customWidth="1"/>
    <col min="12032" max="12032" width="9" style="52"/>
    <col min="12033" max="12033" width="25.125" style="52" customWidth="1"/>
    <col min="12034" max="12034" width="24.375" style="52" customWidth="1"/>
    <col min="12035" max="12035" width="9" style="52"/>
    <col min="12036" max="12036" width="10.375" style="52" bestFit="1" customWidth="1"/>
    <col min="12037" max="12037" width="20.625" style="52" customWidth="1"/>
    <col min="12038" max="12040" width="11.625" style="52" customWidth="1"/>
    <col min="12041" max="12041" width="10.875" style="52" customWidth="1"/>
    <col min="12042" max="12042" width="20.125" style="52" bestFit="1" customWidth="1"/>
    <col min="12043" max="12286" width="9" style="52"/>
    <col min="12287" max="12287" width="14.375" style="52" bestFit="1" customWidth="1"/>
    <col min="12288" max="12288" width="9" style="52"/>
    <col min="12289" max="12289" width="25.125" style="52" customWidth="1"/>
    <col min="12290" max="12290" width="24.375" style="52" customWidth="1"/>
    <col min="12291" max="12291" width="9" style="52"/>
    <col min="12292" max="12292" width="10.375" style="52" bestFit="1" customWidth="1"/>
    <col min="12293" max="12293" width="20.625" style="52" customWidth="1"/>
    <col min="12294" max="12296" width="11.625" style="52" customWidth="1"/>
    <col min="12297" max="12297" width="10.875" style="52" customWidth="1"/>
    <col min="12298" max="12298" width="20.125" style="52" bestFit="1" customWidth="1"/>
    <col min="12299" max="12542" width="9" style="52"/>
    <col min="12543" max="12543" width="14.375" style="52" bestFit="1" customWidth="1"/>
    <col min="12544" max="12544" width="9" style="52"/>
    <col min="12545" max="12545" width="25.125" style="52" customWidth="1"/>
    <col min="12546" max="12546" width="24.375" style="52" customWidth="1"/>
    <col min="12547" max="12547" width="9" style="52"/>
    <col min="12548" max="12548" width="10.375" style="52" bestFit="1" customWidth="1"/>
    <col min="12549" max="12549" width="20.625" style="52" customWidth="1"/>
    <col min="12550" max="12552" width="11.625" style="52" customWidth="1"/>
    <col min="12553" max="12553" width="10.875" style="52" customWidth="1"/>
    <col min="12554" max="12554" width="20.125" style="52" bestFit="1" customWidth="1"/>
    <col min="12555" max="12798" width="9" style="52"/>
    <col min="12799" max="12799" width="14.375" style="52" bestFit="1" customWidth="1"/>
    <col min="12800" max="12800" width="9" style="52"/>
    <col min="12801" max="12801" width="25.125" style="52" customWidth="1"/>
    <col min="12802" max="12802" width="24.375" style="52" customWidth="1"/>
    <col min="12803" max="12803" width="9" style="52"/>
    <col min="12804" max="12804" width="10.375" style="52" bestFit="1" customWidth="1"/>
    <col min="12805" max="12805" width="20.625" style="52" customWidth="1"/>
    <col min="12806" max="12808" width="11.625" style="52" customWidth="1"/>
    <col min="12809" max="12809" width="10.875" style="52" customWidth="1"/>
    <col min="12810" max="12810" width="20.125" style="52" bestFit="1" customWidth="1"/>
    <col min="12811" max="13054" width="9" style="52"/>
    <col min="13055" max="13055" width="14.375" style="52" bestFit="1" customWidth="1"/>
    <col min="13056" max="13056" width="9" style="52"/>
    <col min="13057" max="13057" width="25.125" style="52" customWidth="1"/>
    <col min="13058" max="13058" width="24.375" style="52" customWidth="1"/>
    <col min="13059" max="13059" width="9" style="52"/>
    <col min="13060" max="13060" width="10.375" style="52" bestFit="1" customWidth="1"/>
    <col min="13061" max="13061" width="20.625" style="52" customWidth="1"/>
    <col min="13062" max="13064" width="11.625" style="52" customWidth="1"/>
    <col min="13065" max="13065" width="10.875" style="52" customWidth="1"/>
    <col min="13066" max="13066" width="20.125" style="52" bestFit="1" customWidth="1"/>
    <col min="13067" max="13310" width="9" style="52"/>
    <col min="13311" max="13311" width="14.375" style="52" bestFit="1" customWidth="1"/>
    <col min="13312" max="13312" width="9" style="52"/>
    <col min="13313" max="13313" width="25.125" style="52" customWidth="1"/>
    <col min="13314" max="13314" width="24.375" style="52" customWidth="1"/>
    <col min="13315" max="13315" width="9" style="52"/>
    <col min="13316" max="13316" width="10.375" style="52" bestFit="1" customWidth="1"/>
    <col min="13317" max="13317" width="20.625" style="52" customWidth="1"/>
    <col min="13318" max="13320" width="11.625" style="52" customWidth="1"/>
    <col min="13321" max="13321" width="10.875" style="52" customWidth="1"/>
    <col min="13322" max="13322" width="20.125" style="52" bestFit="1" customWidth="1"/>
    <col min="13323" max="13566" width="9" style="52"/>
    <col min="13567" max="13567" width="14.375" style="52" bestFit="1" customWidth="1"/>
    <col min="13568" max="13568" width="9" style="52"/>
    <col min="13569" max="13569" width="25.125" style="52" customWidth="1"/>
    <col min="13570" max="13570" width="24.375" style="52" customWidth="1"/>
    <col min="13571" max="13571" width="9" style="52"/>
    <col min="13572" max="13572" width="10.375" style="52" bestFit="1" customWidth="1"/>
    <col min="13573" max="13573" width="20.625" style="52" customWidth="1"/>
    <col min="13574" max="13576" width="11.625" style="52" customWidth="1"/>
    <col min="13577" max="13577" width="10.875" style="52" customWidth="1"/>
    <col min="13578" max="13578" width="20.125" style="52" bestFit="1" customWidth="1"/>
    <col min="13579" max="13822" width="9" style="52"/>
    <col min="13823" max="13823" width="14.375" style="52" bestFit="1" customWidth="1"/>
    <col min="13824" max="13824" width="9" style="52"/>
    <col min="13825" max="13825" width="25.125" style="52" customWidth="1"/>
    <col min="13826" max="13826" width="24.375" style="52" customWidth="1"/>
    <col min="13827" max="13827" width="9" style="52"/>
    <col min="13828" max="13828" width="10.375" style="52" bestFit="1" customWidth="1"/>
    <col min="13829" max="13829" width="20.625" style="52" customWidth="1"/>
    <col min="13830" max="13832" width="11.625" style="52" customWidth="1"/>
    <col min="13833" max="13833" width="10.875" style="52" customWidth="1"/>
    <col min="13834" max="13834" width="20.125" style="52" bestFit="1" customWidth="1"/>
    <col min="13835" max="14078" width="9" style="52"/>
    <col min="14079" max="14079" width="14.375" style="52" bestFit="1" customWidth="1"/>
    <col min="14080" max="14080" width="9" style="52"/>
    <col min="14081" max="14081" width="25.125" style="52" customWidth="1"/>
    <col min="14082" max="14082" width="24.375" style="52" customWidth="1"/>
    <col min="14083" max="14083" width="9" style="52"/>
    <col min="14084" max="14084" width="10.375" style="52" bestFit="1" customWidth="1"/>
    <col min="14085" max="14085" width="20.625" style="52" customWidth="1"/>
    <col min="14086" max="14088" width="11.625" style="52" customWidth="1"/>
    <col min="14089" max="14089" width="10.875" style="52" customWidth="1"/>
    <col min="14090" max="14090" width="20.125" style="52" bestFit="1" customWidth="1"/>
    <col min="14091" max="14334" width="9" style="52"/>
    <col min="14335" max="14335" width="14.375" style="52" bestFit="1" customWidth="1"/>
    <col min="14336" max="14336" width="9" style="52"/>
    <col min="14337" max="14337" width="25.125" style="52" customWidth="1"/>
    <col min="14338" max="14338" width="24.375" style="52" customWidth="1"/>
    <col min="14339" max="14339" width="9" style="52"/>
    <col min="14340" max="14340" width="10.375" style="52" bestFit="1" customWidth="1"/>
    <col min="14341" max="14341" width="20.625" style="52" customWidth="1"/>
    <col min="14342" max="14344" width="11.625" style="52" customWidth="1"/>
    <col min="14345" max="14345" width="10.875" style="52" customWidth="1"/>
    <col min="14346" max="14346" width="20.125" style="52" bestFit="1" customWidth="1"/>
    <col min="14347" max="14590" width="9" style="52"/>
    <col min="14591" max="14591" width="14.375" style="52" bestFit="1" customWidth="1"/>
    <col min="14592" max="14592" width="9" style="52"/>
    <col min="14593" max="14593" width="25.125" style="52" customWidth="1"/>
    <col min="14594" max="14594" width="24.375" style="52" customWidth="1"/>
    <col min="14595" max="14595" width="9" style="52"/>
    <col min="14596" max="14596" width="10.375" style="52" bestFit="1" customWidth="1"/>
    <col min="14597" max="14597" width="20.625" style="52" customWidth="1"/>
    <col min="14598" max="14600" width="11.625" style="52" customWidth="1"/>
    <col min="14601" max="14601" width="10.875" style="52" customWidth="1"/>
    <col min="14602" max="14602" width="20.125" style="52" bestFit="1" customWidth="1"/>
    <col min="14603" max="14846" width="9" style="52"/>
    <col min="14847" max="14847" width="14.375" style="52" bestFit="1" customWidth="1"/>
    <col min="14848" max="14848" width="9" style="52"/>
    <col min="14849" max="14849" width="25.125" style="52" customWidth="1"/>
    <col min="14850" max="14850" width="24.375" style="52" customWidth="1"/>
    <col min="14851" max="14851" width="9" style="52"/>
    <col min="14852" max="14852" width="10.375" style="52" bestFit="1" customWidth="1"/>
    <col min="14853" max="14853" width="20.625" style="52" customWidth="1"/>
    <col min="14854" max="14856" width="11.625" style="52" customWidth="1"/>
    <col min="14857" max="14857" width="10.875" style="52" customWidth="1"/>
    <col min="14858" max="14858" width="20.125" style="52" bestFit="1" customWidth="1"/>
    <col min="14859" max="15102" width="9" style="52"/>
    <col min="15103" max="15103" width="14.375" style="52" bestFit="1" customWidth="1"/>
    <col min="15104" max="15104" width="9" style="52"/>
    <col min="15105" max="15105" width="25.125" style="52" customWidth="1"/>
    <col min="15106" max="15106" width="24.375" style="52" customWidth="1"/>
    <col min="15107" max="15107" width="9" style="52"/>
    <col min="15108" max="15108" width="10.375" style="52" bestFit="1" customWidth="1"/>
    <col min="15109" max="15109" width="20.625" style="52" customWidth="1"/>
    <col min="15110" max="15112" width="11.625" style="52" customWidth="1"/>
    <col min="15113" max="15113" width="10.875" style="52" customWidth="1"/>
    <col min="15114" max="15114" width="20.125" style="52" bestFit="1" customWidth="1"/>
    <col min="15115" max="15358" width="9" style="52"/>
    <col min="15359" max="15359" width="14.375" style="52" bestFit="1" customWidth="1"/>
    <col min="15360" max="15360" width="9" style="52"/>
    <col min="15361" max="15361" width="25.125" style="52" customWidth="1"/>
    <col min="15362" max="15362" width="24.375" style="52" customWidth="1"/>
    <col min="15363" max="15363" width="9" style="52"/>
    <col min="15364" max="15364" width="10.375" style="52" bestFit="1" customWidth="1"/>
    <col min="15365" max="15365" width="20.625" style="52" customWidth="1"/>
    <col min="15366" max="15368" width="11.625" style="52" customWidth="1"/>
    <col min="15369" max="15369" width="10.875" style="52" customWidth="1"/>
    <col min="15370" max="15370" width="20.125" style="52" bestFit="1" customWidth="1"/>
    <col min="15371" max="15614" width="9" style="52"/>
    <col min="15615" max="15615" width="14.375" style="52" bestFit="1" customWidth="1"/>
    <col min="15616" max="15616" width="9" style="52"/>
    <col min="15617" max="15617" width="25.125" style="52" customWidth="1"/>
    <col min="15618" max="15618" width="24.375" style="52" customWidth="1"/>
    <col min="15619" max="15619" width="9" style="52"/>
    <col min="15620" max="15620" width="10.375" style="52" bestFit="1" customWidth="1"/>
    <col min="15621" max="15621" width="20.625" style="52" customWidth="1"/>
    <col min="15622" max="15624" width="11.625" style="52" customWidth="1"/>
    <col min="15625" max="15625" width="10.875" style="52" customWidth="1"/>
    <col min="15626" max="15626" width="20.125" style="52" bestFit="1" customWidth="1"/>
    <col min="15627" max="15870" width="9" style="52"/>
    <col min="15871" max="15871" width="14.375" style="52" bestFit="1" customWidth="1"/>
    <col min="15872" max="15872" width="9" style="52"/>
    <col min="15873" max="15873" width="25.125" style="52" customWidth="1"/>
    <col min="15874" max="15874" width="24.375" style="52" customWidth="1"/>
    <col min="15875" max="15875" width="9" style="52"/>
    <col min="15876" max="15876" width="10.375" style="52" bestFit="1" customWidth="1"/>
    <col min="15877" max="15877" width="20.625" style="52" customWidth="1"/>
    <col min="15878" max="15880" width="11.625" style="52" customWidth="1"/>
    <col min="15881" max="15881" width="10.875" style="52" customWidth="1"/>
    <col min="15882" max="15882" width="20.125" style="52" bestFit="1" customWidth="1"/>
    <col min="15883" max="16126" width="9" style="52"/>
    <col min="16127" max="16127" width="14.375" style="52" bestFit="1" customWidth="1"/>
    <col min="16128" max="16128" width="9" style="52"/>
    <col min="16129" max="16129" width="25.125" style="52" customWidth="1"/>
    <col min="16130" max="16130" width="24.375" style="52" customWidth="1"/>
    <col min="16131" max="16131" width="9" style="52"/>
    <col min="16132" max="16132" width="10.375" style="52" bestFit="1" customWidth="1"/>
    <col min="16133" max="16133" width="20.625" style="52" customWidth="1"/>
    <col min="16134" max="16136" width="11.625" style="52" customWidth="1"/>
    <col min="16137" max="16137" width="10.875" style="52" customWidth="1"/>
    <col min="16138" max="16138" width="20.125" style="52" bestFit="1" customWidth="1"/>
    <col min="16139" max="16384" width="9" style="52"/>
  </cols>
  <sheetData>
    <row r="1" spans="1:35" ht="13.5" customHeight="1">
      <c r="A1" s="323" t="s">
        <v>466</v>
      </c>
      <c r="B1" s="323" t="s">
        <v>1109</v>
      </c>
      <c r="C1" s="323" t="s">
        <v>1110</v>
      </c>
      <c r="D1" s="323" t="s">
        <v>1111</v>
      </c>
      <c r="F1" s="219" t="s">
        <v>466</v>
      </c>
      <c r="G1" s="680" t="s">
        <v>8923</v>
      </c>
      <c r="H1" s="681" t="s">
        <v>8925</v>
      </c>
      <c r="I1" s="681" t="s">
        <v>8924</v>
      </c>
      <c r="J1" s="682" t="s">
        <v>8926</v>
      </c>
      <c r="K1" s="682" t="s">
        <v>8927</v>
      </c>
      <c r="L1" s="683" t="s">
        <v>9910</v>
      </c>
      <c r="M1" s="683" t="s">
        <v>8928</v>
      </c>
      <c r="N1" s="638" t="s">
        <v>8838</v>
      </c>
      <c r="O1" s="638" t="s">
        <v>8830</v>
      </c>
    </row>
    <row r="2" spans="1:35" ht="12.75" customHeight="1" thickBot="1">
      <c r="A2" s="338"/>
      <c r="B2" s="338"/>
      <c r="C2" s="339"/>
      <c r="D2" s="339"/>
      <c r="F2" s="98"/>
      <c r="G2" s="684"/>
      <c r="H2" s="685" t="s">
        <v>1118</v>
      </c>
      <c r="I2" s="685" t="s">
        <v>1118</v>
      </c>
      <c r="J2" s="686" t="s">
        <v>7913</v>
      </c>
      <c r="K2" s="686" t="s">
        <v>7913</v>
      </c>
      <c r="L2" s="687" t="s">
        <v>7913</v>
      </c>
      <c r="M2" s="687" t="s">
        <v>7913</v>
      </c>
      <c r="N2" s="688"/>
      <c r="O2" s="689"/>
    </row>
    <row r="3" spans="1:35" ht="12.75" customHeight="1">
      <c r="A3" s="258"/>
      <c r="B3" s="135"/>
      <c r="C3" s="117"/>
      <c r="D3" s="117"/>
      <c r="F3" s="340" t="s">
        <v>8087</v>
      </c>
      <c r="G3" s="607" t="s">
        <v>1137</v>
      </c>
      <c r="H3" s="603">
        <v>11.05</v>
      </c>
      <c r="I3" s="604">
        <f>VLOOKUP($F3,PressureSafetyValve!$F$5:$R$54,8,0)/645.16</f>
        <v>11.05</v>
      </c>
      <c r="J3" s="600">
        <v>3.5</v>
      </c>
      <c r="K3" s="600">
        <f>(VLOOKUP($F3,PressureSafetyValve!$F$5:$R$54,10,0)-101325)/100000</f>
        <v>3.5</v>
      </c>
      <c r="L3" s="658">
        <f t="shared" ref="L3:L54" si="0">(J3+1.01325)*0.8-1.01325</f>
        <v>2.5973500000000005</v>
      </c>
      <c r="M3" s="658">
        <f>(VLOOKUP($F3,PressureSafetyValve!$F$5:$R$54,12,0)-101325)/100000</f>
        <v>2.59735</v>
      </c>
      <c r="N3" s="675">
        <v>1</v>
      </c>
      <c r="O3" s="675">
        <v>1</v>
      </c>
    </row>
    <row r="4" spans="1:35" ht="12.75" customHeight="1">
      <c r="A4" s="258"/>
      <c r="B4" s="135"/>
      <c r="C4" s="117"/>
      <c r="D4" s="117"/>
      <c r="F4" s="340" t="s">
        <v>1138</v>
      </c>
      <c r="G4" s="607" t="s">
        <v>1137</v>
      </c>
      <c r="H4" s="603">
        <v>11.05</v>
      </c>
      <c r="I4" s="604">
        <f>VLOOKUP($F4,PressureSafetyValve!$F$5:$R$54,8,0)/645.16</f>
        <v>11.05</v>
      </c>
      <c r="J4" s="600">
        <v>3.5</v>
      </c>
      <c r="K4" s="600">
        <f>(VLOOKUP($F4,PressureSafetyValve!$F$5:$R$54,10,0)-101325)/100000</f>
        <v>3.5</v>
      </c>
      <c r="L4" s="658">
        <f t="shared" si="0"/>
        <v>2.5973500000000005</v>
      </c>
      <c r="M4" s="658">
        <f>(VLOOKUP($F4,PressureSafetyValve!$F$5:$R$54,12,0)-101325)/100000</f>
        <v>2.59735</v>
      </c>
      <c r="N4" s="676">
        <v>1</v>
      </c>
      <c r="O4" s="676">
        <v>1</v>
      </c>
    </row>
    <row r="5" spans="1:35" ht="12.75" customHeight="1">
      <c r="A5" s="258"/>
      <c r="B5" s="135"/>
      <c r="C5" s="117"/>
      <c r="D5" s="117"/>
      <c r="F5" s="340" t="s">
        <v>1157</v>
      </c>
      <c r="G5" s="607" t="s">
        <v>1159</v>
      </c>
      <c r="H5" s="603">
        <v>26</v>
      </c>
      <c r="I5" s="604">
        <f>VLOOKUP($F5,PressureSafetyValve!$F$5:$R$54,8,0)/645.16</f>
        <v>26</v>
      </c>
      <c r="J5" s="600">
        <v>2.9</v>
      </c>
      <c r="K5" s="600">
        <f>(VLOOKUP($F5,PressureSafetyValve!$F$5:$R$54,10,0)-101325)/100000</f>
        <v>2.9</v>
      </c>
      <c r="L5" s="658">
        <f t="shared" si="0"/>
        <v>2.1173500000000001</v>
      </c>
      <c r="M5" s="658">
        <f>(VLOOKUP($F5,PressureSafetyValve!$F$5:$R$54,12,0)-101325)/100000</f>
        <v>2.1173500000000001</v>
      </c>
      <c r="N5" s="676">
        <v>1</v>
      </c>
      <c r="O5" s="676">
        <v>0</v>
      </c>
    </row>
    <row r="6" spans="1:35" ht="12.75" customHeight="1">
      <c r="A6" s="258"/>
      <c r="B6" s="135"/>
      <c r="C6" s="117"/>
      <c r="D6" s="117"/>
      <c r="F6" s="340" t="s">
        <v>1160</v>
      </c>
      <c r="G6" s="607" t="s">
        <v>1159</v>
      </c>
      <c r="H6" s="603">
        <v>26</v>
      </c>
      <c r="I6" s="604">
        <f>VLOOKUP($F6,PressureSafetyValve!$F$5:$R$54,8,0)/645.16</f>
        <v>26</v>
      </c>
      <c r="J6" s="600">
        <v>2.9</v>
      </c>
      <c r="K6" s="600">
        <f>(VLOOKUP($F6,PressureSafetyValve!$F$5:$R$54,10,0)-101325)/100000</f>
        <v>2.9</v>
      </c>
      <c r="L6" s="658">
        <f t="shared" si="0"/>
        <v>2.1173500000000001</v>
      </c>
      <c r="M6" s="658">
        <f>(VLOOKUP($F6,PressureSafetyValve!$F$5:$R$54,12,0)-101325)/100000</f>
        <v>2.1173500000000001</v>
      </c>
      <c r="N6" s="676">
        <v>1</v>
      </c>
      <c r="O6" s="676">
        <v>0</v>
      </c>
    </row>
    <row r="7" spans="1:35" ht="12.75" customHeight="1">
      <c r="A7" s="258"/>
      <c r="B7" s="135"/>
      <c r="C7" s="117"/>
      <c r="D7" s="117"/>
      <c r="F7" s="363" t="s">
        <v>1161</v>
      </c>
      <c r="G7" s="607" t="s">
        <v>1159</v>
      </c>
      <c r="H7" s="603">
        <v>26</v>
      </c>
      <c r="I7" s="604">
        <f>VLOOKUP($F7,PressureSafetyValve!$F$5:$R$54,8,0)/645.16</f>
        <v>26</v>
      </c>
      <c r="J7" s="600">
        <v>3.3</v>
      </c>
      <c r="K7" s="600">
        <f>(VLOOKUP($F7,PressureSafetyValve!$F$5:$R$54,10,0)-101325)/100000</f>
        <v>3.3</v>
      </c>
      <c r="L7" s="658">
        <f t="shared" si="0"/>
        <v>2.4373500000000003</v>
      </c>
      <c r="M7" s="658">
        <f>(VLOOKUP($F7,PressureSafetyValve!$F$5:$R$54,12,0)-101325)/100000</f>
        <v>2.4373499999999999</v>
      </c>
      <c r="N7" s="676">
        <v>1</v>
      </c>
      <c r="O7" s="676">
        <v>0</v>
      </c>
    </row>
    <row r="8" spans="1:35" ht="12.75" customHeight="1">
      <c r="A8" s="258"/>
      <c r="B8" s="135"/>
      <c r="C8" s="117"/>
      <c r="D8" s="117"/>
      <c r="F8" s="363" t="s">
        <v>1162</v>
      </c>
      <c r="G8" s="607" t="s">
        <v>1159</v>
      </c>
      <c r="H8" s="603">
        <v>26</v>
      </c>
      <c r="I8" s="604">
        <f>VLOOKUP($F8,PressureSafetyValve!$F$5:$R$54,8,0)/645.16</f>
        <v>26</v>
      </c>
      <c r="J8" s="600">
        <v>3.3</v>
      </c>
      <c r="K8" s="600">
        <f>(VLOOKUP($F8,PressureSafetyValve!$F$5:$R$54,10,0)-101325)/100000</f>
        <v>3.3</v>
      </c>
      <c r="L8" s="658">
        <f t="shared" si="0"/>
        <v>2.4373500000000003</v>
      </c>
      <c r="M8" s="658">
        <f>(VLOOKUP($F8,PressureSafetyValve!$F$5:$R$54,12,0)-101325)/100000</f>
        <v>2.4373499999999999</v>
      </c>
      <c r="N8" s="676">
        <v>1</v>
      </c>
      <c r="O8" s="676">
        <v>0</v>
      </c>
    </row>
    <row r="9" spans="1:35" ht="12.75" customHeight="1">
      <c r="A9" s="258"/>
      <c r="B9" s="135"/>
      <c r="C9" s="117"/>
      <c r="D9" s="117"/>
      <c r="F9" s="363" t="s">
        <v>1164</v>
      </c>
      <c r="G9" s="607" t="s">
        <v>1159</v>
      </c>
      <c r="H9" s="603">
        <v>26</v>
      </c>
      <c r="I9" s="604">
        <f>VLOOKUP($F9,PressureSafetyValve!$F$5:$R$54,8,0)/645.16</f>
        <v>26</v>
      </c>
      <c r="J9" s="600">
        <v>3.3</v>
      </c>
      <c r="K9" s="600">
        <f>(VLOOKUP($F9,PressureSafetyValve!$F$5:$R$54,10,0)-101325)/100000</f>
        <v>3.3</v>
      </c>
      <c r="L9" s="658">
        <f t="shared" si="0"/>
        <v>2.4373500000000003</v>
      </c>
      <c r="M9" s="658">
        <f>(VLOOKUP($F9,PressureSafetyValve!$F$5:$R$54,12,0)-101325)/100000</f>
        <v>2.4373499999999999</v>
      </c>
      <c r="N9" s="676">
        <v>1</v>
      </c>
      <c r="O9" s="676">
        <v>0</v>
      </c>
    </row>
    <row r="10" spans="1:35" ht="12.75" customHeight="1">
      <c r="A10" s="258"/>
      <c r="B10" s="135"/>
      <c r="C10" s="117"/>
      <c r="D10" s="117"/>
      <c r="F10" s="363" t="s">
        <v>1165</v>
      </c>
      <c r="G10" s="607" t="s">
        <v>1159</v>
      </c>
      <c r="H10" s="603">
        <v>26</v>
      </c>
      <c r="I10" s="604">
        <f>VLOOKUP($F10,PressureSafetyValve!$F$5:$R$54,8,0)/645.16</f>
        <v>26</v>
      </c>
      <c r="J10" s="600">
        <v>3.3</v>
      </c>
      <c r="K10" s="600">
        <f>(VLOOKUP($F10,PressureSafetyValve!$F$5:$R$54,10,0)-101325)/100000</f>
        <v>3.3</v>
      </c>
      <c r="L10" s="658">
        <f t="shared" si="0"/>
        <v>2.4373500000000003</v>
      </c>
      <c r="M10" s="658">
        <f>(VLOOKUP($F10,PressureSafetyValve!$F$5:$R$54,12,0)-101325)/100000</f>
        <v>2.4373499999999999</v>
      </c>
      <c r="N10" s="676">
        <v>1</v>
      </c>
      <c r="O10" s="676">
        <v>0</v>
      </c>
    </row>
    <row r="11" spans="1:35" ht="12.75" customHeight="1">
      <c r="A11" s="258"/>
      <c r="B11" s="135"/>
      <c r="C11" s="117"/>
      <c r="D11" s="117"/>
      <c r="F11" s="363" t="s">
        <v>1166</v>
      </c>
      <c r="G11" s="607" t="s">
        <v>1159</v>
      </c>
      <c r="H11" s="603">
        <v>26</v>
      </c>
      <c r="I11" s="604">
        <f>VLOOKUP($F11,PressureSafetyValve!$F$5:$R$54,8,0)/645.16</f>
        <v>26</v>
      </c>
      <c r="J11" s="600">
        <v>3.3</v>
      </c>
      <c r="K11" s="600">
        <f>(VLOOKUP($F11,PressureSafetyValve!$F$5:$R$54,10,0)-101325)/100000</f>
        <v>3.3</v>
      </c>
      <c r="L11" s="658">
        <f t="shared" si="0"/>
        <v>2.4373500000000003</v>
      </c>
      <c r="M11" s="658">
        <f>(VLOOKUP($F11,PressureSafetyValve!$F$5:$R$54,12,0)-101325)/100000</f>
        <v>2.4373499999999999</v>
      </c>
      <c r="N11" s="676">
        <v>1</v>
      </c>
      <c r="O11" s="676">
        <v>0</v>
      </c>
    </row>
    <row r="12" spans="1:35" s="511" customFormat="1" ht="12.75" customHeight="1">
      <c r="A12" s="254"/>
      <c r="B12" s="512"/>
      <c r="C12" s="324"/>
      <c r="D12" s="324"/>
      <c r="F12" s="363" t="s">
        <v>1167</v>
      </c>
      <c r="G12" s="607" t="s">
        <v>1159</v>
      </c>
      <c r="H12" s="603">
        <v>26</v>
      </c>
      <c r="I12" s="604">
        <f>VLOOKUP($F12,PressureSafetyValve!$F$5:$R$54,8,0)/645.16</f>
        <v>26</v>
      </c>
      <c r="J12" s="600">
        <v>3.3</v>
      </c>
      <c r="K12" s="600">
        <f>(VLOOKUP($F12,PressureSafetyValve!$F$5:$R$54,10,0)-101325)/100000</f>
        <v>3.3</v>
      </c>
      <c r="L12" s="658">
        <f t="shared" si="0"/>
        <v>2.4373500000000003</v>
      </c>
      <c r="M12" s="658">
        <f>(VLOOKUP($F12,PressureSafetyValve!$F$5:$R$54,12,0)-101325)/100000</f>
        <v>2.4373499999999999</v>
      </c>
      <c r="N12" s="676">
        <v>1</v>
      </c>
      <c r="O12" s="676">
        <v>0</v>
      </c>
      <c r="P12" s="621"/>
      <c r="Q12" s="621"/>
      <c r="R12" s="621"/>
      <c r="S12" s="621"/>
      <c r="T12" s="621"/>
      <c r="U12" s="621"/>
      <c r="V12" s="621"/>
      <c r="W12" s="621"/>
      <c r="X12" s="621"/>
      <c r="Y12" s="621"/>
      <c r="Z12" s="621"/>
      <c r="AA12" s="621"/>
      <c r="AB12" s="621"/>
      <c r="AC12" s="621"/>
      <c r="AD12" s="621"/>
      <c r="AE12" s="621"/>
      <c r="AF12" s="621"/>
      <c r="AG12" s="621"/>
      <c r="AH12" s="621"/>
      <c r="AI12" s="621"/>
    </row>
    <row r="13" spans="1:35" ht="12.75" customHeight="1">
      <c r="A13" s="258"/>
      <c r="B13" s="135"/>
      <c r="C13" s="117"/>
      <c r="D13" s="117"/>
      <c r="F13" s="363" t="s">
        <v>8090</v>
      </c>
      <c r="G13" s="607" t="s">
        <v>1159</v>
      </c>
      <c r="H13" s="603">
        <v>26</v>
      </c>
      <c r="I13" s="604">
        <f>VLOOKUP($F13,PressureSafetyValve!$F$5:$R$54,8,0)/645.16</f>
        <v>26</v>
      </c>
      <c r="J13" s="600">
        <v>3.3</v>
      </c>
      <c r="K13" s="600">
        <f>(VLOOKUP($F13,PressureSafetyValve!$F$5:$R$54,10,0)-101325)/100000</f>
        <v>3.3</v>
      </c>
      <c r="L13" s="658">
        <f t="shared" si="0"/>
        <v>2.4373500000000003</v>
      </c>
      <c r="M13" s="658">
        <f>(VLOOKUP($F13,PressureSafetyValve!$F$5:$R$54,12,0)-101325)/100000</f>
        <v>2.4373499999999999</v>
      </c>
      <c r="N13" s="676">
        <v>1</v>
      </c>
      <c r="O13" s="676">
        <v>0</v>
      </c>
    </row>
    <row r="14" spans="1:35" ht="12.75" customHeight="1">
      <c r="A14" s="258"/>
      <c r="B14" s="135"/>
      <c r="C14" s="117"/>
      <c r="D14" s="117"/>
      <c r="F14" s="363" t="s">
        <v>1169</v>
      </c>
      <c r="G14" s="607" t="s">
        <v>1159</v>
      </c>
      <c r="H14" s="603">
        <v>26</v>
      </c>
      <c r="I14" s="604">
        <f>VLOOKUP($F14,PressureSafetyValve!$F$5:$R$54,8,0)/645.16</f>
        <v>26</v>
      </c>
      <c r="J14" s="600">
        <v>3.3</v>
      </c>
      <c r="K14" s="600">
        <f>(VLOOKUP($F14,PressureSafetyValve!$F$5:$R$54,10,0)-101325)/100000</f>
        <v>3.3</v>
      </c>
      <c r="L14" s="658">
        <f t="shared" si="0"/>
        <v>2.4373500000000003</v>
      </c>
      <c r="M14" s="658">
        <f>(VLOOKUP($F14,PressureSafetyValve!$F$5:$R$54,12,0)-101325)/100000</f>
        <v>2.4373499999999999</v>
      </c>
      <c r="N14" s="676">
        <v>1</v>
      </c>
      <c r="O14" s="676">
        <v>0</v>
      </c>
    </row>
    <row r="15" spans="1:35" ht="12.75" customHeight="1">
      <c r="A15" s="258"/>
      <c r="B15" s="135"/>
      <c r="C15" s="117"/>
      <c r="D15" s="117"/>
      <c r="F15" s="363" t="s">
        <v>1170</v>
      </c>
      <c r="G15" s="607" t="s">
        <v>1172</v>
      </c>
      <c r="H15" s="603">
        <v>16</v>
      </c>
      <c r="I15" s="604">
        <f>VLOOKUP($F15,PressureSafetyValve!$F$5:$R$54,8,0)/645.16</f>
        <v>16</v>
      </c>
      <c r="J15" s="600">
        <v>9.9</v>
      </c>
      <c r="K15" s="600">
        <f>(VLOOKUP($F15,PressureSafetyValve!$F$5:$R$54,10,0)-101325)/100000</f>
        <v>9.9</v>
      </c>
      <c r="L15" s="658">
        <f t="shared" si="0"/>
        <v>7.7173500000000006</v>
      </c>
      <c r="M15" s="658">
        <f>(VLOOKUP($F15,PressureSafetyValve!$F$5:$R$54,12,0)-101325)/100000</f>
        <v>7.7173499999999997</v>
      </c>
      <c r="N15" s="676">
        <v>1</v>
      </c>
      <c r="O15" s="676">
        <v>0</v>
      </c>
    </row>
    <row r="16" spans="1:35" ht="12.75" customHeight="1">
      <c r="A16" s="258"/>
      <c r="B16" s="135"/>
      <c r="C16" s="117"/>
      <c r="D16" s="117"/>
      <c r="F16" s="363" t="s">
        <v>1173</v>
      </c>
      <c r="G16" s="607" t="s">
        <v>1172</v>
      </c>
      <c r="H16" s="603">
        <v>16</v>
      </c>
      <c r="I16" s="604">
        <f>VLOOKUP($F16,PressureSafetyValve!$F$5:$R$54,8,0)/645.16</f>
        <v>16</v>
      </c>
      <c r="J16" s="600">
        <v>9.9</v>
      </c>
      <c r="K16" s="600">
        <f>(VLOOKUP($F16,PressureSafetyValve!$F$5:$R$54,10,0)-101325)/100000</f>
        <v>9.9</v>
      </c>
      <c r="L16" s="658">
        <f t="shared" si="0"/>
        <v>7.7173500000000006</v>
      </c>
      <c r="M16" s="658">
        <f>(VLOOKUP($F16,PressureSafetyValve!$F$5:$R$54,12,0)-101325)/100000</f>
        <v>7.7173499999999997</v>
      </c>
      <c r="N16" s="676">
        <v>1</v>
      </c>
      <c r="O16" s="676">
        <v>0</v>
      </c>
    </row>
    <row r="17" spans="1:15" ht="12.75" customHeight="1">
      <c r="A17" s="258"/>
      <c r="B17" s="135"/>
      <c r="C17" s="117"/>
      <c r="D17" s="117"/>
      <c r="F17" s="363" t="s">
        <v>1174</v>
      </c>
      <c r="G17" s="607" t="s">
        <v>1172</v>
      </c>
      <c r="H17" s="603">
        <v>16</v>
      </c>
      <c r="I17" s="604">
        <f>VLOOKUP($F17,PressureSafetyValve!$F$5:$R$54,8,0)/645.16</f>
        <v>16</v>
      </c>
      <c r="J17" s="600">
        <v>9.9</v>
      </c>
      <c r="K17" s="600">
        <f>(VLOOKUP($F17,PressureSafetyValve!$F$5:$R$54,10,0)-101325)/100000</f>
        <v>9.9</v>
      </c>
      <c r="L17" s="658">
        <f t="shared" si="0"/>
        <v>7.7173500000000006</v>
      </c>
      <c r="M17" s="658">
        <f>(VLOOKUP($F17,PressureSafetyValve!$F$5:$R$54,12,0)-101325)/100000</f>
        <v>7.7173499999999997</v>
      </c>
      <c r="N17" s="676">
        <v>1</v>
      </c>
      <c r="O17" s="676">
        <v>0</v>
      </c>
    </row>
    <row r="18" spans="1:15" ht="12.75" customHeight="1">
      <c r="A18" s="258"/>
      <c r="B18" s="135"/>
      <c r="C18" s="117"/>
      <c r="D18" s="117"/>
      <c r="F18" s="363" t="s">
        <v>1175</v>
      </c>
      <c r="G18" s="607" t="s">
        <v>1172</v>
      </c>
      <c r="H18" s="603">
        <v>16</v>
      </c>
      <c r="I18" s="604">
        <f>VLOOKUP($F18,PressureSafetyValve!$F$5:$R$54,8,0)/645.16</f>
        <v>16</v>
      </c>
      <c r="J18" s="600">
        <v>9.9</v>
      </c>
      <c r="K18" s="600">
        <f>(VLOOKUP($F18,PressureSafetyValve!$F$5:$R$54,10,0)-101325)/100000</f>
        <v>9.9</v>
      </c>
      <c r="L18" s="658">
        <f t="shared" si="0"/>
        <v>7.7173500000000006</v>
      </c>
      <c r="M18" s="658">
        <f>(VLOOKUP($F18,PressureSafetyValve!$F$5:$R$54,12,0)-101325)/100000</f>
        <v>7.7173499999999997</v>
      </c>
      <c r="N18" s="676">
        <v>1</v>
      </c>
      <c r="O18" s="676">
        <v>0</v>
      </c>
    </row>
    <row r="19" spans="1:15" ht="12.75" customHeight="1">
      <c r="A19" s="258"/>
      <c r="B19" s="135"/>
      <c r="C19" s="117"/>
      <c r="D19" s="117"/>
      <c r="F19" s="363" t="s">
        <v>1177</v>
      </c>
      <c r="G19" s="607" t="s">
        <v>1172</v>
      </c>
      <c r="H19" s="603">
        <v>16</v>
      </c>
      <c r="I19" s="604">
        <f>VLOOKUP($F19,PressureSafetyValve!$F$5:$R$54,8,0)/645.16</f>
        <v>16</v>
      </c>
      <c r="J19" s="600">
        <v>9.9</v>
      </c>
      <c r="K19" s="600">
        <f>(VLOOKUP($F19,PressureSafetyValve!$F$5:$R$54,10,0)-101325)/100000</f>
        <v>9.9</v>
      </c>
      <c r="L19" s="658">
        <f t="shared" si="0"/>
        <v>7.7173500000000006</v>
      </c>
      <c r="M19" s="658">
        <f>(VLOOKUP($F19,PressureSafetyValve!$F$5:$R$54,12,0)-101325)/100000</f>
        <v>7.7173499999999997</v>
      </c>
      <c r="N19" s="676">
        <v>1</v>
      </c>
      <c r="O19" s="676">
        <v>0</v>
      </c>
    </row>
    <row r="20" spans="1:15" ht="12.75" customHeight="1" thickBot="1">
      <c r="A20" s="259"/>
      <c r="B20" s="334"/>
      <c r="C20" s="335"/>
      <c r="D20" s="335"/>
      <c r="F20" s="363" t="s">
        <v>1179</v>
      </c>
      <c r="G20" s="607" t="s">
        <v>1172</v>
      </c>
      <c r="H20" s="603">
        <v>16</v>
      </c>
      <c r="I20" s="604">
        <f>VLOOKUP($F20,PressureSafetyValve!$F$5:$R$54,8,0)/645.16</f>
        <v>16</v>
      </c>
      <c r="J20" s="600">
        <v>9.9</v>
      </c>
      <c r="K20" s="600">
        <f>(VLOOKUP($F20,PressureSafetyValve!$F$5:$R$54,10,0)-101325)/100000</f>
        <v>9.9</v>
      </c>
      <c r="L20" s="658">
        <f t="shared" si="0"/>
        <v>7.7173500000000006</v>
      </c>
      <c r="M20" s="658">
        <f>(VLOOKUP($F20,PressureSafetyValve!$F$5:$R$54,12,0)-101325)/100000</f>
        <v>7.7173499999999997</v>
      </c>
      <c r="N20" s="676">
        <v>1</v>
      </c>
      <c r="O20" s="676">
        <v>0</v>
      </c>
    </row>
    <row r="21" spans="1:15" ht="12.75" customHeight="1" thickBot="1">
      <c r="A21" s="141" t="s">
        <v>1195</v>
      </c>
      <c r="B21" s="142">
        <v>1.5500030999999999E-3</v>
      </c>
      <c r="C21" s="143" t="s">
        <v>1196</v>
      </c>
      <c r="F21" s="340" t="s">
        <v>8101</v>
      </c>
      <c r="G21" s="606" t="s">
        <v>1156</v>
      </c>
      <c r="H21" s="603">
        <v>1.8380000000000001</v>
      </c>
      <c r="I21" s="604">
        <f>VLOOKUP($F21,PressureSafetyValve!$F$5:$R$54,8,0)/645.16</f>
        <v>1.8380000000000003</v>
      </c>
      <c r="J21" s="600">
        <v>3.2</v>
      </c>
      <c r="K21" s="600">
        <f>(VLOOKUP($F21,PressureSafetyValve!$F$5:$R$54,10,0)-101325)/100000</f>
        <v>3.2</v>
      </c>
      <c r="L21" s="658">
        <f t="shared" si="0"/>
        <v>2.3573500000000003</v>
      </c>
      <c r="M21" s="658">
        <f>(VLOOKUP($F21,PressureSafetyValve!$F$5:$R$54,12,0)-101325)/100000</f>
        <v>2.3573499999999998</v>
      </c>
      <c r="N21" s="676">
        <v>1</v>
      </c>
      <c r="O21" s="676">
        <v>0</v>
      </c>
    </row>
    <row r="22" spans="1:15" s="1026" customFormat="1" ht="12.75" customHeight="1" thickBot="1">
      <c r="A22" s="1029" t="s">
        <v>1195</v>
      </c>
      <c r="B22" s="1030">
        <v>1.5500030999999999E-3</v>
      </c>
      <c r="C22" s="1031" t="s">
        <v>1196</v>
      </c>
      <c r="F22" s="1047" t="s">
        <v>1214</v>
      </c>
      <c r="G22" s="1046" t="s">
        <v>10838</v>
      </c>
      <c r="H22" s="1042" t="s">
        <v>10839</v>
      </c>
      <c r="I22" s="1043" t="s">
        <v>10840</v>
      </c>
      <c r="J22" s="1043">
        <v>4.5</v>
      </c>
      <c r="K22" s="1043"/>
      <c r="L22" s="1044">
        <f t="shared" ref="L22" si="1">(J22+1.01325)*0.8-1.01325</f>
        <v>3.3973500000000003</v>
      </c>
      <c r="M22" s="1044"/>
      <c r="N22" s="1045"/>
      <c r="O22" s="1045"/>
    </row>
    <row r="23" spans="1:15" ht="12.75" customHeight="1">
      <c r="F23" s="373" t="s">
        <v>1259</v>
      </c>
      <c r="G23" s="606" t="s">
        <v>1156</v>
      </c>
      <c r="H23" s="603">
        <v>1.8380000000000001</v>
      </c>
      <c r="I23" s="604">
        <f>VLOOKUP($F23,PressureSafetyValve!$F$5:$R$54,8,0)/645.16</f>
        <v>1.8380000000000003</v>
      </c>
      <c r="J23" s="600">
        <v>48</v>
      </c>
      <c r="K23" s="600">
        <f>(VLOOKUP($F23,PressureSafetyValve!$F$5:$R$54,10,0)-101325)/100000</f>
        <v>48</v>
      </c>
      <c r="L23" s="658">
        <f t="shared" si="0"/>
        <v>38.19735</v>
      </c>
      <c r="M23" s="658">
        <f>(VLOOKUP($F23,PressureSafetyValve!$F$5:$R$54,12,0)-101325)/100000</f>
        <v>38.19735</v>
      </c>
      <c r="N23" s="676">
        <v>1</v>
      </c>
      <c r="O23" s="676">
        <v>0</v>
      </c>
    </row>
    <row r="24" spans="1:15" ht="12.75" customHeight="1">
      <c r="F24" s="373" t="s">
        <v>1261</v>
      </c>
      <c r="G24" s="606" t="s">
        <v>1156</v>
      </c>
      <c r="H24" s="603">
        <v>1.8380000000000001</v>
      </c>
      <c r="I24" s="604">
        <f>VLOOKUP($F24,PressureSafetyValve!$F$5:$R$54,8,0)/645.16</f>
        <v>1.8380000000000003</v>
      </c>
      <c r="J24" s="600">
        <v>48</v>
      </c>
      <c r="K24" s="600">
        <f>(VLOOKUP($F24,PressureSafetyValve!$F$5:$R$54,10,0)-101325)/100000</f>
        <v>48</v>
      </c>
      <c r="L24" s="658">
        <f t="shared" si="0"/>
        <v>38.19735</v>
      </c>
      <c r="M24" s="658">
        <f>(VLOOKUP($F24,PressureSafetyValve!$F$5:$R$54,12,0)-101325)/100000</f>
        <v>38.19735</v>
      </c>
      <c r="N24" s="676">
        <v>1</v>
      </c>
      <c r="O24" s="676">
        <v>0</v>
      </c>
    </row>
    <row r="25" spans="1:15" ht="12.75" customHeight="1">
      <c r="F25" s="373" t="s">
        <v>1262</v>
      </c>
      <c r="G25" s="607" t="s">
        <v>1159</v>
      </c>
      <c r="H25" s="603">
        <v>26</v>
      </c>
      <c r="I25" s="604">
        <f>VLOOKUP($F25,PressureSafetyValve!$F$5:$R$54,8,0)/645.16</f>
        <v>26</v>
      </c>
      <c r="J25" s="600">
        <v>8.8000000000000007</v>
      </c>
      <c r="K25" s="600">
        <f>(VLOOKUP($F25,PressureSafetyValve!$F$5:$R$54,10,0)-101325)/100000</f>
        <v>8.8000000000000007</v>
      </c>
      <c r="L25" s="658">
        <f t="shared" si="0"/>
        <v>6.8373499999999998</v>
      </c>
      <c r="M25" s="658">
        <f>(VLOOKUP($F25,PressureSafetyValve!$F$5:$R$54,12,0)-101325)/100000</f>
        <v>6.8373499999999998</v>
      </c>
      <c r="N25" s="676">
        <v>1</v>
      </c>
      <c r="O25" s="676">
        <v>1</v>
      </c>
    </row>
    <row r="26" spans="1:15" s="1026" customFormat="1" ht="12.75" customHeight="1">
      <c r="F26" s="1041" t="s">
        <v>10841</v>
      </c>
      <c r="G26" s="1042"/>
      <c r="H26" s="1042"/>
      <c r="I26" s="1043"/>
      <c r="J26" s="1043"/>
      <c r="K26" s="1043"/>
      <c r="L26" s="1044"/>
      <c r="M26" s="1044"/>
      <c r="N26" s="1045"/>
      <c r="O26" s="1045"/>
    </row>
    <row r="27" spans="1:15" ht="12.75" customHeight="1">
      <c r="F27" s="373" t="s">
        <v>1264</v>
      </c>
      <c r="G27" s="607" t="s">
        <v>1159</v>
      </c>
      <c r="H27" s="603">
        <v>26</v>
      </c>
      <c r="I27" s="604">
        <f>VLOOKUP($F27,PressureSafetyValve!$F$5:$R$54,8,0)/645.16</f>
        <v>26</v>
      </c>
      <c r="J27" s="600">
        <v>8.8000000000000007</v>
      </c>
      <c r="K27" s="600">
        <f>(VLOOKUP($F27,PressureSafetyValve!$F$5:$R$54,10,0)-101325)/100000</f>
        <v>8.8000000000000007</v>
      </c>
      <c r="L27" s="658">
        <f t="shared" si="0"/>
        <v>6.8373499999999998</v>
      </c>
      <c r="M27" s="658">
        <f>(VLOOKUP($F27,PressureSafetyValve!$F$5:$R$54,12,0)-101325)/100000</f>
        <v>6.8373499999999998</v>
      </c>
      <c r="N27" s="676">
        <v>1</v>
      </c>
      <c r="O27" s="676">
        <v>1</v>
      </c>
    </row>
    <row r="28" spans="1:15" ht="12.75" customHeight="1">
      <c r="F28" s="373" t="s">
        <v>1265</v>
      </c>
      <c r="G28" s="607" t="s">
        <v>1185</v>
      </c>
      <c r="H28" s="603">
        <v>4.34</v>
      </c>
      <c r="I28" s="604">
        <f>VLOOKUP($F28,PressureSafetyValve!$F$5:$R$54,8,0)/645.16</f>
        <v>4.34</v>
      </c>
      <c r="J28" s="600">
        <v>35.4</v>
      </c>
      <c r="K28" s="600">
        <f>(VLOOKUP($F28,PressureSafetyValve!$F$5:$R$54,10,0)-101325)/100000</f>
        <v>35.4</v>
      </c>
      <c r="L28" s="658">
        <f t="shared" si="0"/>
        <v>28.117350000000002</v>
      </c>
      <c r="M28" s="658">
        <f>(VLOOKUP($F28,PressureSafetyValve!$F$5:$R$54,12,0)-101325)/100000</f>
        <v>28.117349999999998</v>
      </c>
      <c r="N28" s="676">
        <v>1</v>
      </c>
      <c r="O28" s="676">
        <v>0</v>
      </c>
    </row>
    <row r="29" spans="1:15" ht="12.75" customHeight="1">
      <c r="F29" s="373" t="s">
        <v>1267</v>
      </c>
      <c r="G29" s="607" t="s">
        <v>1185</v>
      </c>
      <c r="H29" s="603">
        <v>4.34</v>
      </c>
      <c r="I29" s="604">
        <f>VLOOKUP($F29,PressureSafetyValve!$F$5:$R$54,8,0)/645.16</f>
        <v>4.34</v>
      </c>
      <c r="J29" s="600">
        <v>35.4</v>
      </c>
      <c r="K29" s="600">
        <f>(VLOOKUP($F29,PressureSafetyValve!$F$5:$R$54,10,0)-101325)/100000</f>
        <v>35.4</v>
      </c>
      <c r="L29" s="658">
        <f t="shared" si="0"/>
        <v>28.117350000000002</v>
      </c>
      <c r="M29" s="658">
        <f>(VLOOKUP($F29,PressureSafetyValve!$F$5:$R$54,12,0)-101325)/100000</f>
        <v>28.117349999999998</v>
      </c>
      <c r="N29" s="676">
        <v>1</v>
      </c>
      <c r="O29" s="676">
        <v>0</v>
      </c>
    </row>
    <row r="30" spans="1:15" ht="12.75" customHeight="1">
      <c r="F30" s="373" t="s">
        <v>1269</v>
      </c>
      <c r="G30" s="607" t="s">
        <v>1185</v>
      </c>
      <c r="H30" s="603">
        <v>4.34</v>
      </c>
      <c r="I30" s="604">
        <f>VLOOKUP($F30,PressureSafetyValve!$F$5:$R$54,8,0)/645.16</f>
        <v>4.34</v>
      </c>
      <c r="J30" s="600">
        <v>35.4</v>
      </c>
      <c r="K30" s="600">
        <f>(VLOOKUP($F30,PressureSafetyValve!$F$5:$R$54,10,0)-101325)/100000</f>
        <v>35.4</v>
      </c>
      <c r="L30" s="658">
        <f t="shared" si="0"/>
        <v>28.117350000000002</v>
      </c>
      <c r="M30" s="658">
        <f>(VLOOKUP($F30,PressureSafetyValve!$F$5:$R$54,12,0)-101325)/100000</f>
        <v>28.117349999999998</v>
      </c>
      <c r="N30" s="676">
        <v>1</v>
      </c>
      <c r="O30" s="676">
        <v>1</v>
      </c>
    </row>
    <row r="31" spans="1:15" ht="12.75" customHeight="1">
      <c r="F31" s="373" t="s">
        <v>1270</v>
      </c>
      <c r="G31" s="607" t="s">
        <v>1185</v>
      </c>
      <c r="H31" s="603">
        <v>4.34</v>
      </c>
      <c r="I31" s="604">
        <f>VLOOKUP($F31,PressureSafetyValve!$F$5:$R$54,8,0)/645.16</f>
        <v>4.34</v>
      </c>
      <c r="J31" s="600">
        <v>48.2</v>
      </c>
      <c r="K31" s="600">
        <f>(VLOOKUP($F31,PressureSafetyValve!$F$5:$R$54,10,0)-101325)/100000</f>
        <v>48.2</v>
      </c>
      <c r="L31" s="658">
        <f t="shared" si="0"/>
        <v>38.357350000000004</v>
      </c>
      <c r="M31" s="658">
        <f>(VLOOKUP($F31,PressureSafetyValve!$F$5:$R$54,12,0)-101325)/100000</f>
        <v>38.357349999999997</v>
      </c>
      <c r="N31" s="676">
        <v>1</v>
      </c>
      <c r="O31" s="676">
        <v>0</v>
      </c>
    </row>
    <row r="32" spans="1:15" ht="12.75" customHeight="1">
      <c r="F32" s="373" t="s">
        <v>1272</v>
      </c>
      <c r="G32" s="607" t="s">
        <v>1185</v>
      </c>
      <c r="H32" s="603">
        <v>4.34</v>
      </c>
      <c r="I32" s="604">
        <f>VLOOKUP($F32,PressureSafetyValve!$F$5:$R$54,8,0)/645.16</f>
        <v>4.34</v>
      </c>
      <c r="J32" s="600">
        <v>48.2</v>
      </c>
      <c r="K32" s="600">
        <f>(VLOOKUP($F32,PressureSafetyValve!$F$5:$R$54,10,0)-101325)/100000</f>
        <v>48.2</v>
      </c>
      <c r="L32" s="658">
        <f t="shared" si="0"/>
        <v>38.357350000000004</v>
      </c>
      <c r="M32" s="658">
        <f>(VLOOKUP($F32,PressureSafetyValve!$F$5:$R$54,12,0)-101325)/100000</f>
        <v>38.357349999999997</v>
      </c>
      <c r="N32" s="676">
        <v>1</v>
      </c>
      <c r="O32" s="676">
        <v>0</v>
      </c>
    </row>
    <row r="33" spans="6:15" ht="12.75" customHeight="1">
      <c r="F33" s="373" t="s">
        <v>8089</v>
      </c>
      <c r="G33" s="607" t="s">
        <v>1137</v>
      </c>
      <c r="H33" s="603">
        <v>11.05</v>
      </c>
      <c r="I33" s="604">
        <f>VLOOKUP($F33,PressureSafetyValve!$F$5:$R$54,8,0)/645.16</f>
        <v>11.05</v>
      </c>
      <c r="J33" s="600">
        <v>22.1</v>
      </c>
      <c r="K33" s="600">
        <f>(VLOOKUP($F33,PressureSafetyValve!$F$5:$R$54,10,0)-101325)/100000</f>
        <v>22.1</v>
      </c>
      <c r="L33" s="658">
        <f t="shared" si="0"/>
        <v>17.477350000000001</v>
      </c>
      <c r="M33" s="658">
        <f>(VLOOKUP($F33,PressureSafetyValve!$F$5:$R$54,12,0)-101325)/100000</f>
        <v>17.477350000000001</v>
      </c>
      <c r="N33" s="676">
        <v>1</v>
      </c>
      <c r="O33" s="676">
        <v>0</v>
      </c>
    </row>
    <row r="34" spans="6:15" s="1026" customFormat="1" ht="12.75" customHeight="1">
      <c r="F34" s="1041" t="s">
        <v>10842</v>
      </c>
      <c r="G34" s="1042"/>
      <c r="H34" s="1042"/>
      <c r="I34" s="1043"/>
      <c r="J34" s="1043"/>
      <c r="K34" s="1043"/>
      <c r="L34" s="1044"/>
      <c r="M34" s="1044"/>
      <c r="N34" s="1045"/>
      <c r="O34" s="1045"/>
    </row>
    <row r="35" spans="6:15" ht="12.75" customHeight="1">
      <c r="F35" s="373" t="s">
        <v>8104</v>
      </c>
      <c r="G35" s="607" t="s">
        <v>1137</v>
      </c>
      <c r="H35" s="603">
        <v>11.05</v>
      </c>
      <c r="I35" s="604">
        <f>VLOOKUP($F35,PressureSafetyValve!$F$5:$R$54,8,0)/645.16</f>
        <v>11.05</v>
      </c>
      <c r="J35" s="600">
        <v>9.9</v>
      </c>
      <c r="K35" s="600">
        <f>(VLOOKUP($F35,PressureSafetyValve!$F$5:$R$54,10,0)-101325)/100000</f>
        <v>9.9</v>
      </c>
      <c r="L35" s="658">
        <f t="shared" si="0"/>
        <v>7.7173500000000006</v>
      </c>
      <c r="M35" s="658">
        <f>(VLOOKUP($F35,PressureSafetyValve!$F$5:$R$54,12,0)-101325)/100000</f>
        <v>7.7173499999999997</v>
      </c>
      <c r="N35" s="676">
        <v>1</v>
      </c>
      <c r="O35" s="676">
        <v>0</v>
      </c>
    </row>
    <row r="36" spans="6:15" ht="12.75" customHeight="1">
      <c r="F36" s="373" t="s">
        <v>1282</v>
      </c>
      <c r="G36" s="607" t="s">
        <v>1137</v>
      </c>
      <c r="H36" s="603">
        <v>11.05</v>
      </c>
      <c r="I36" s="604">
        <f>VLOOKUP($F36,PressureSafetyValve!$F$5:$R$54,8,0)/645.16</f>
        <v>11.05</v>
      </c>
      <c r="J36" s="600">
        <v>9.9</v>
      </c>
      <c r="K36" s="600">
        <f>(VLOOKUP($F36,PressureSafetyValve!$F$5:$R$54,10,0)-101325)/100000</f>
        <v>9.9</v>
      </c>
      <c r="L36" s="658">
        <f t="shared" si="0"/>
        <v>7.7173500000000006</v>
      </c>
      <c r="M36" s="658">
        <f>(VLOOKUP($F36,PressureSafetyValve!$F$5:$R$54,12,0)-101325)/100000</f>
        <v>7.7173499999999997</v>
      </c>
      <c r="N36" s="676">
        <v>1</v>
      </c>
      <c r="O36" s="676">
        <v>0</v>
      </c>
    </row>
    <row r="37" spans="6:15" s="1026" customFormat="1" ht="12.75" customHeight="1">
      <c r="F37" s="1041" t="s">
        <v>10843</v>
      </c>
      <c r="G37" s="1042"/>
      <c r="H37" s="1042"/>
      <c r="I37" s="1043"/>
      <c r="J37" s="1043"/>
      <c r="K37" s="1043"/>
      <c r="L37" s="1044"/>
      <c r="M37" s="1044"/>
      <c r="N37" s="1045"/>
      <c r="O37" s="1045"/>
    </row>
    <row r="38" spans="6:15" ht="12.75" customHeight="1">
      <c r="F38" s="340" t="s">
        <v>1284</v>
      </c>
      <c r="G38" s="607" t="s">
        <v>1172</v>
      </c>
      <c r="H38" s="603">
        <v>16</v>
      </c>
      <c r="I38" s="604">
        <f>VLOOKUP($F38,PressureSafetyValve!$F$5:$R$54,8,0)/645.16</f>
        <v>16</v>
      </c>
      <c r="J38" s="600">
        <v>14.1</v>
      </c>
      <c r="K38" s="600">
        <f>(VLOOKUP($F38,PressureSafetyValve!$F$5:$R$54,10,0)-101325)/100000</f>
        <v>14.1</v>
      </c>
      <c r="L38" s="658">
        <f t="shared" si="0"/>
        <v>11.077350000000001</v>
      </c>
      <c r="M38" s="658">
        <f>(VLOOKUP($F38,PressureSafetyValve!$F$5:$R$54,12,0)-101325)/100000</f>
        <v>11.077349999999999</v>
      </c>
      <c r="N38" s="676">
        <v>1</v>
      </c>
      <c r="O38" s="676">
        <v>0</v>
      </c>
    </row>
    <row r="39" spans="6:15" ht="12.75" customHeight="1">
      <c r="F39" s="340" t="s">
        <v>1286</v>
      </c>
      <c r="G39" s="607" t="s">
        <v>1172</v>
      </c>
      <c r="H39" s="603">
        <v>16</v>
      </c>
      <c r="I39" s="604">
        <f>VLOOKUP($F39,PressureSafetyValve!$F$5:$R$54,8,0)/645.16</f>
        <v>16</v>
      </c>
      <c r="J39" s="600">
        <v>14.1</v>
      </c>
      <c r="K39" s="600">
        <f>(VLOOKUP($F39,PressureSafetyValve!$F$5:$R$54,10,0)-101325)/100000</f>
        <v>14.1</v>
      </c>
      <c r="L39" s="658">
        <f t="shared" si="0"/>
        <v>11.077350000000001</v>
      </c>
      <c r="M39" s="658">
        <f>(VLOOKUP($F39,PressureSafetyValve!$F$5:$R$54,12,0)-101325)/100000</f>
        <v>11.077349999999999</v>
      </c>
      <c r="N39" s="676">
        <v>1</v>
      </c>
      <c r="O39" s="676">
        <v>0</v>
      </c>
    </row>
    <row r="40" spans="6:15" s="266" customFormat="1" ht="12.75" customHeight="1">
      <c r="F40" s="340" t="s">
        <v>1288</v>
      </c>
      <c r="G40" s="607" t="s">
        <v>1159</v>
      </c>
      <c r="H40" s="603">
        <v>26</v>
      </c>
      <c r="I40" s="604">
        <f>VLOOKUP($F40,PressureSafetyValve!$F$5:$R$54,8,0)/645.16</f>
        <v>26</v>
      </c>
      <c r="J40" s="600">
        <v>3.3</v>
      </c>
      <c r="K40" s="600">
        <f>(VLOOKUP($F40,PressureSafetyValve!$F$5:$R$54,10,0)-101325)/100000</f>
        <v>3.3</v>
      </c>
      <c r="L40" s="659">
        <f>(J40+1.01325)*0.93-1.01325</f>
        <v>2.9980725000000001</v>
      </c>
      <c r="M40" s="658">
        <f>(VLOOKUP($F40,PressureSafetyValve!$F$5:$R$54,12,0)-101325)/100000</f>
        <v>2.9980725000000001</v>
      </c>
      <c r="N40" s="676">
        <v>1</v>
      </c>
      <c r="O40" s="676">
        <v>0</v>
      </c>
    </row>
    <row r="41" spans="6:15" ht="12.75" customHeight="1">
      <c r="F41" s="340" t="s">
        <v>1290</v>
      </c>
      <c r="G41" s="607" t="s">
        <v>1159</v>
      </c>
      <c r="H41" s="603">
        <v>26</v>
      </c>
      <c r="I41" s="604">
        <f>VLOOKUP($F41,PressureSafetyValve!$F$5:$R$54,8,0)/645.16</f>
        <v>26</v>
      </c>
      <c r="J41" s="600">
        <v>3.3</v>
      </c>
      <c r="K41" s="600">
        <f>(VLOOKUP($F41,PressureSafetyValve!$F$5:$R$54,10,0)-101325)/100000</f>
        <v>3.3</v>
      </c>
      <c r="L41" s="659">
        <f t="shared" ref="L41:L50" si="2">(J41+1.01325)*0.93-1.01325</f>
        <v>2.9980725000000001</v>
      </c>
      <c r="M41" s="658">
        <f>(VLOOKUP($F41,PressureSafetyValve!$F$5:$R$54,12,0)-101325)/100000</f>
        <v>2.9980725000000001</v>
      </c>
      <c r="N41" s="676">
        <v>1</v>
      </c>
      <c r="O41" s="676">
        <v>0</v>
      </c>
    </row>
    <row r="42" spans="6:15" ht="12.75" customHeight="1">
      <c r="F42" s="340" t="s">
        <v>1291</v>
      </c>
      <c r="G42" s="607" t="s">
        <v>1159</v>
      </c>
      <c r="H42" s="603">
        <v>26</v>
      </c>
      <c r="I42" s="604">
        <f>VLOOKUP($F42,PressureSafetyValve!$F$5:$R$54,8,0)/645.16</f>
        <v>26</v>
      </c>
      <c r="J42" s="600">
        <v>3.3</v>
      </c>
      <c r="K42" s="600">
        <f>(VLOOKUP($F42,PressureSafetyValve!$F$5:$R$54,10,0)-101325)/100000</f>
        <v>3.3</v>
      </c>
      <c r="L42" s="659">
        <f t="shared" si="2"/>
        <v>2.9980725000000001</v>
      </c>
      <c r="M42" s="658">
        <f>(VLOOKUP($F42,PressureSafetyValve!$F$5:$R$54,12,0)-101325)/100000</f>
        <v>2.9980725000000001</v>
      </c>
      <c r="N42" s="676">
        <v>1</v>
      </c>
      <c r="O42" s="676">
        <v>0</v>
      </c>
    </row>
    <row r="43" spans="6:15" ht="12.75" customHeight="1">
      <c r="F43" s="340" t="s">
        <v>1292</v>
      </c>
      <c r="G43" s="607" t="s">
        <v>1159</v>
      </c>
      <c r="H43" s="603">
        <v>26</v>
      </c>
      <c r="I43" s="604">
        <f>VLOOKUP($F43,PressureSafetyValve!$F$5:$R$54,8,0)/645.16</f>
        <v>26</v>
      </c>
      <c r="J43" s="600">
        <v>3.3</v>
      </c>
      <c r="K43" s="600">
        <f>(VLOOKUP($F43,PressureSafetyValve!$F$5:$R$54,10,0)-101325)/100000</f>
        <v>3.3</v>
      </c>
      <c r="L43" s="659">
        <f t="shared" si="2"/>
        <v>2.9980725000000001</v>
      </c>
      <c r="M43" s="658">
        <f>(VLOOKUP($F43,PressureSafetyValve!$F$5:$R$54,12,0)-101325)/100000</f>
        <v>2.9980725000000001</v>
      </c>
      <c r="N43" s="676">
        <v>1</v>
      </c>
      <c r="O43" s="676">
        <v>0</v>
      </c>
    </row>
    <row r="44" spans="6:15" ht="12.75" customHeight="1">
      <c r="F44" s="340" t="s">
        <v>1293</v>
      </c>
      <c r="G44" s="607" t="s">
        <v>1159</v>
      </c>
      <c r="H44" s="603">
        <v>26</v>
      </c>
      <c r="I44" s="604">
        <f>VLOOKUP($F44,PressureSafetyValve!$F$5:$R$54,8,0)/645.16</f>
        <v>26</v>
      </c>
      <c r="J44" s="600">
        <v>3.3</v>
      </c>
      <c r="K44" s="600">
        <f>(VLOOKUP($F44,PressureSafetyValve!$F$5:$R$54,10,0)-101325)/100000</f>
        <v>3.3</v>
      </c>
      <c r="L44" s="659">
        <f t="shared" si="2"/>
        <v>2.9980725000000001</v>
      </c>
      <c r="M44" s="658">
        <f>(VLOOKUP($F44,PressureSafetyValve!$F$5:$R$54,12,0)-101325)/100000</f>
        <v>2.9980725000000001</v>
      </c>
      <c r="N44" s="676">
        <v>1</v>
      </c>
      <c r="O44" s="676">
        <v>0</v>
      </c>
    </row>
    <row r="45" spans="6:15" ht="12.75" customHeight="1">
      <c r="F45" s="340" t="s">
        <v>1294</v>
      </c>
      <c r="G45" s="607" t="s">
        <v>1159</v>
      </c>
      <c r="H45" s="603">
        <v>26</v>
      </c>
      <c r="I45" s="604">
        <f>VLOOKUP($F45,PressureSafetyValve!$F$5:$R$54,8,0)/645.16</f>
        <v>26</v>
      </c>
      <c r="J45" s="600">
        <v>3.3</v>
      </c>
      <c r="K45" s="600">
        <f>(VLOOKUP($F45,PressureSafetyValve!$F$5:$R$54,10,0)-101325)/100000</f>
        <v>3.3</v>
      </c>
      <c r="L45" s="659">
        <f t="shared" si="2"/>
        <v>2.9980725000000001</v>
      </c>
      <c r="M45" s="658">
        <f>(VLOOKUP($F45,PressureSafetyValve!$F$5:$R$54,12,0)-101325)/100000</f>
        <v>2.9980725000000001</v>
      </c>
      <c r="N45" s="676">
        <v>1</v>
      </c>
      <c r="O45" s="676">
        <v>0</v>
      </c>
    </row>
    <row r="46" spans="6:15" ht="12.75" customHeight="1">
      <c r="F46" s="340" t="s">
        <v>1295</v>
      </c>
      <c r="G46" s="607" t="s">
        <v>1159</v>
      </c>
      <c r="H46" s="603">
        <v>26</v>
      </c>
      <c r="I46" s="604">
        <f>VLOOKUP($F46,PressureSafetyValve!$F$5:$R$54,8,0)/645.16</f>
        <v>26</v>
      </c>
      <c r="J46" s="600">
        <v>3.3</v>
      </c>
      <c r="K46" s="600">
        <f>(VLOOKUP($F46,PressureSafetyValve!$F$5:$R$54,10,0)-101325)/100000</f>
        <v>3.3</v>
      </c>
      <c r="L46" s="659">
        <f t="shared" si="2"/>
        <v>2.9980725000000001</v>
      </c>
      <c r="M46" s="658">
        <f>(VLOOKUP($F46,PressureSafetyValve!$F$5:$R$54,12,0)-101325)/100000</f>
        <v>2.9980725000000001</v>
      </c>
      <c r="N46" s="676">
        <v>1</v>
      </c>
      <c r="O46" s="676">
        <v>0</v>
      </c>
    </row>
    <row r="47" spans="6:15" ht="12.75" customHeight="1">
      <c r="F47" s="340" t="s">
        <v>1296</v>
      </c>
      <c r="G47" s="607" t="s">
        <v>1159</v>
      </c>
      <c r="H47" s="603">
        <v>26</v>
      </c>
      <c r="I47" s="604">
        <f>VLOOKUP($F47,PressureSafetyValve!$F$5:$R$54,8,0)/645.16</f>
        <v>26</v>
      </c>
      <c r="J47" s="600">
        <v>3.3</v>
      </c>
      <c r="K47" s="600">
        <f>(VLOOKUP($F47,PressureSafetyValve!$F$5:$R$54,10,0)-101325)/100000</f>
        <v>3.3</v>
      </c>
      <c r="L47" s="659">
        <f t="shared" si="2"/>
        <v>2.9980725000000001</v>
      </c>
      <c r="M47" s="658">
        <f>(VLOOKUP($F47,PressureSafetyValve!$F$5:$R$54,12,0)-101325)/100000</f>
        <v>2.9980725000000001</v>
      </c>
      <c r="N47" s="676">
        <v>1</v>
      </c>
      <c r="O47" s="676">
        <v>0</v>
      </c>
    </row>
    <row r="48" spans="6:15" ht="12.75" customHeight="1">
      <c r="F48" s="340" t="s">
        <v>1297</v>
      </c>
      <c r="G48" s="607" t="s">
        <v>1159</v>
      </c>
      <c r="H48" s="603">
        <v>26</v>
      </c>
      <c r="I48" s="604">
        <f>VLOOKUP($F48,PressureSafetyValve!$F$5:$R$54,8,0)/645.16</f>
        <v>26</v>
      </c>
      <c r="J48" s="600">
        <v>3.3</v>
      </c>
      <c r="K48" s="600">
        <f>(VLOOKUP($F48,PressureSafetyValve!$F$5:$R$54,10,0)-101325)/100000</f>
        <v>3.3</v>
      </c>
      <c r="L48" s="659">
        <f t="shared" si="2"/>
        <v>2.9980725000000001</v>
      </c>
      <c r="M48" s="658">
        <f>(VLOOKUP($F48,PressureSafetyValve!$F$5:$R$54,12,0)-101325)/100000</f>
        <v>2.9980725000000001</v>
      </c>
      <c r="N48" s="676">
        <v>1</v>
      </c>
      <c r="O48" s="676">
        <v>0</v>
      </c>
    </row>
    <row r="49" spans="1:15" ht="12.75" customHeight="1">
      <c r="F49" s="340" t="s">
        <v>1298</v>
      </c>
      <c r="G49" s="607" t="s">
        <v>1159</v>
      </c>
      <c r="H49" s="603">
        <v>26</v>
      </c>
      <c r="I49" s="604">
        <f>VLOOKUP($F49,PressureSafetyValve!$F$5:$R$54,8,0)/645.16</f>
        <v>26</v>
      </c>
      <c r="J49" s="600">
        <v>3.3</v>
      </c>
      <c r="K49" s="600">
        <f>(VLOOKUP($F49,PressureSafetyValve!$F$5:$R$54,10,0)-101325)/100000</f>
        <v>3.3</v>
      </c>
      <c r="L49" s="659">
        <f t="shared" si="2"/>
        <v>2.9980725000000001</v>
      </c>
      <c r="M49" s="658">
        <f>(VLOOKUP($F49,PressureSafetyValve!$F$5:$R$54,12,0)-101325)/100000</f>
        <v>2.9980725000000001</v>
      </c>
      <c r="N49" s="676">
        <v>1</v>
      </c>
      <c r="O49" s="676">
        <v>0</v>
      </c>
    </row>
    <row r="50" spans="1:15" ht="12.75" customHeight="1">
      <c r="F50" s="340" t="s">
        <v>6037</v>
      </c>
      <c r="G50" s="607" t="s">
        <v>1159</v>
      </c>
      <c r="H50" s="603">
        <v>26</v>
      </c>
      <c r="I50" s="604">
        <f>VLOOKUP($F50,PressureSafetyValve!$F$5:$R$54,8,0)/645.16</f>
        <v>52</v>
      </c>
      <c r="J50" s="600">
        <v>2.8</v>
      </c>
      <c r="K50" s="600">
        <f>(VLOOKUP($F50,PressureSafetyValve!$F$5:$R$54,10,0)-101325)/100000</f>
        <v>2.8</v>
      </c>
      <c r="L50" s="659">
        <f t="shared" si="2"/>
        <v>2.5330725000000003</v>
      </c>
      <c r="M50" s="658">
        <f>(VLOOKUP($F50,PressureSafetyValve!$F$5:$R$54,12,0)-101325)/100000</f>
        <v>2.5330724999999998</v>
      </c>
      <c r="N50" s="676">
        <v>1</v>
      </c>
      <c r="O50" s="676">
        <v>0</v>
      </c>
    </row>
    <row r="51" spans="1:15" ht="12.75" customHeight="1">
      <c r="F51" s="340" t="s">
        <v>1315</v>
      </c>
      <c r="G51" s="607" t="s">
        <v>1185</v>
      </c>
      <c r="H51" s="603">
        <v>4.34</v>
      </c>
      <c r="I51" s="604">
        <f>VLOOKUP($F51,PressureSafetyValve!$F$5:$R$54,8,0)/645.16</f>
        <v>4.34</v>
      </c>
      <c r="J51" s="600">
        <v>6.2</v>
      </c>
      <c r="K51" s="600">
        <f>(VLOOKUP($F51,PressureSafetyValve!$F$5:$R$54,10,0)-101325)/100000</f>
        <v>6.2</v>
      </c>
      <c r="L51" s="658">
        <f t="shared" si="0"/>
        <v>4.7573500000000006</v>
      </c>
      <c r="M51" s="658">
        <f>(VLOOKUP($F51,PressureSafetyValve!$F$5:$R$54,12,0)-101325)/100000</f>
        <v>4.7573499999999997</v>
      </c>
      <c r="N51" s="676">
        <v>1</v>
      </c>
      <c r="O51" s="676">
        <v>1</v>
      </c>
    </row>
    <row r="52" spans="1:15" ht="12.75" customHeight="1">
      <c r="F52" s="340" t="s">
        <v>1317</v>
      </c>
      <c r="G52" s="607" t="s">
        <v>1185</v>
      </c>
      <c r="H52" s="603">
        <v>4.34</v>
      </c>
      <c r="I52" s="604">
        <f>VLOOKUP($F52,PressureSafetyValve!$F$5:$R$54,8,0)/645.16</f>
        <v>4.34</v>
      </c>
      <c r="J52" s="600">
        <v>6.2</v>
      </c>
      <c r="K52" s="600">
        <f>(VLOOKUP($F52,PressureSafetyValve!$F$5:$R$54,10,0)-101325)/100000</f>
        <v>6.2</v>
      </c>
      <c r="L52" s="658">
        <f t="shared" si="0"/>
        <v>4.7573500000000006</v>
      </c>
      <c r="M52" s="658">
        <f>(VLOOKUP($F52,PressureSafetyValve!$F$5:$R$54,12,0)-101325)/100000</f>
        <v>4.7573499999999997</v>
      </c>
      <c r="N52" s="676">
        <v>1</v>
      </c>
      <c r="O52" s="676">
        <v>1</v>
      </c>
    </row>
    <row r="53" spans="1:15" ht="12.75" customHeight="1">
      <c r="F53" s="340" t="s">
        <v>1523</v>
      </c>
      <c r="G53" s="607" t="s">
        <v>1137</v>
      </c>
      <c r="H53" s="603">
        <v>11.05</v>
      </c>
      <c r="I53" s="604">
        <f>VLOOKUP($F53,PressureSafetyValve!$F$5:$R$54,8,0)/645.16</f>
        <v>11.05</v>
      </c>
      <c r="J53" s="600">
        <v>4.3</v>
      </c>
      <c r="K53" s="600">
        <f>(VLOOKUP($F53,PressureSafetyValve!$F$5:$R$54,10,0)-101325)/100000</f>
        <v>4.3</v>
      </c>
      <c r="L53" s="658">
        <f t="shared" si="0"/>
        <v>3.2373500000000002</v>
      </c>
      <c r="M53" s="658">
        <f>(VLOOKUP($F53,PressureSafetyValve!$F$5:$R$54,12,0)-101325)/100000</f>
        <v>3.2373500000000002</v>
      </c>
      <c r="N53" s="676">
        <v>1</v>
      </c>
      <c r="O53" s="676">
        <v>0</v>
      </c>
    </row>
    <row r="54" spans="1:15" ht="14.25">
      <c r="F54" s="340" t="s">
        <v>465</v>
      </c>
      <c r="G54" s="607" t="s">
        <v>1137</v>
      </c>
      <c r="H54" s="603">
        <v>11.05</v>
      </c>
      <c r="I54" s="604">
        <f>VLOOKUP($F54,PressureSafetyValve!$F$5:$R$54,8,0)/645.16</f>
        <v>11.05</v>
      </c>
      <c r="J54" s="600">
        <v>4.3</v>
      </c>
      <c r="K54" s="600">
        <f>(VLOOKUP($F54,PressureSafetyValve!$F$5:$R$54,10,0)-101325)/100000</f>
        <v>4.3</v>
      </c>
      <c r="L54" s="658">
        <f t="shared" si="0"/>
        <v>3.2373500000000002</v>
      </c>
      <c r="M54" s="658">
        <f>(VLOOKUP($F54,PressureSafetyValve!$F$5:$R$54,12,0)-101325)/100000</f>
        <v>3.2373500000000002</v>
      </c>
      <c r="N54" s="676">
        <v>1</v>
      </c>
      <c r="O54" s="676">
        <v>0</v>
      </c>
    </row>
    <row r="55" spans="1:15" ht="12.75" customHeight="1">
      <c r="F55" s="363" t="s">
        <v>1218</v>
      </c>
      <c r="G55" s="607" t="s">
        <v>1220</v>
      </c>
      <c r="H55" s="603">
        <v>0.19600000000000001</v>
      </c>
      <c r="I55" s="604">
        <f>VLOOKUP($F55,PressureSafetyValve!$F$5:$R$54,8,0)/645.16</f>
        <v>0.19600000000000001</v>
      </c>
      <c r="J55" s="600">
        <v>7.1</v>
      </c>
      <c r="K55" s="600">
        <f>(VLOOKUP($F55,PressureSafetyValve!$F$5:$R$54,10,0)-101325)/100000</f>
        <v>7.1</v>
      </c>
      <c r="L55" s="658">
        <f>(J55+1.01325)*0.8-1.01325</f>
        <v>5.4773499999999995</v>
      </c>
      <c r="M55" s="658">
        <f>(VLOOKUP($F55,PressureSafetyValve!$F$5:$R$54,12,0)-101325)/100000</f>
        <v>5.4773500000000004</v>
      </c>
      <c r="N55" s="676">
        <v>0</v>
      </c>
      <c r="O55" s="676">
        <v>0</v>
      </c>
    </row>
    <row r="56" spans="1:15" ht="15" thickBot="1">
      <c r="A56" s="134"/>
      <c r="B56" s="134"/>
      <c r="C56" s="134"/>
      <c r="D56" s="134"/>
      <c r="F56" s="340" t="s">
        <v>8877</v>
      </c>
      <c r="G56" s="607" t="s">
        <v>8878</v>
      </c>
      <c r="H56" s="603">
        <v>0.78500000000000003</v>
      </c>
      <c r="I56" s="604">
        <f>VLOOKUP($F56,PressureSafetyValve!$F$5:$R$54,8,0)/645.16</f>
        <v>0.78500000000000003</v>
      </c>
      <c r="J56" s="600">
        <v>9.8000000000000007</v>
      </c>
      <c r="K56" s="600">
        <f>(VLOOKUP($F56,PressureSafetyValve!$F$5:$R$54,10,0)-101325)/100000</f>
        <v>9.8000000000000007</v>
      </c>
      <c r="L56" s="658">
        <f>(J56+1.01325)*0.8-1.01325</f>
        <v>7.6373500000000005</v>
      </c>
      <c r="M56" s="658">
        <f>(VLOOKUP($F56,PressureSafetyValve!$F$5:$R$54,12,0)-101325)/100000</f>
        <v>7.6373499999999996</v>
      </c>
      <c r="N56" s="598">
        <v>0</v>
      </c>
      <c r="O56" s="598">
        <v>0</v>
      </c>
    </row>
    <row r="57" spans="1:15">
      <c r="A57" s="134"/>
      <c r="B57" s="134"/>
      <c r="C57" s="134"/>
      <c r="D57" s="134"/>
      <c r="G57" s="621"/>
      <c r="H57" s="621"/>
      <c r="I57" s="621"/>
      <c r="J57" s="621"/>
      <c r="K57" s="621"/>
      <c r="L57" s="660"/>
      <c r="M57" s="660"/>
    </row>
    <row r="58" spans="1:15">
      <c r="A58" s="134"/>
      <c r="B58" s="134"/>
      <c r="C58" s="134"/>
      <c r="G58" s="621"/>
      <c r="H58" s="621"/>
      <c r="I58" s="621"/>
      <c r="J58" s="621"/>
      <c r="K58" s="621"/>
      <c r="L58" s="660"/>
      <c r="M58" s="660"/>
    </row>
    <row r="59" spans="1:15">
      <c r="A59" s="134"/>
      <c r="B59" s="134"/>
      <c r="C59" s="134"/>
      <c r="G59" s="621"/>
      <c r="H59" s="621"/>
      <c r="I59" s="621"/>
      <c r="J59" s="621"/>
      <c r="K59" s="621"/>
      <c r="L59" s="660"/>
      <c r="M59" s="660"/>
    </row>
    <row r="60" spans="1:15">
      <c r="A60" s="134"/>
      <c r="B60" s="134"/>
      <c r="C60" s="134"/>
      <c r="G60" s="621"/>
      <c r="H60" s="621"/>
      <c r="I60" s="621"/>
      <c r="J60" s="621"/>
      <c r="K60" s="621"/>
      <c r="L60" s="660"/>
      <c r="M60" s="660"/>
    </row>
    <row r="61" spans="1:15">
      <c r="A61" s="134"/>
      <c r="B61" s="134"/>
      <c r="C61" s="134"/>
      <c r="G61" s="621"/>
      <c r="H61" s="621"/>
      <c r="I61" s="621"/>
      <c r="J61" s="621"/>
      <c r="K61" s="621"/>
      <c r="L61" s="660"/>
      <c r="M61" s="660"/>
    </row>
    <row r="62" spans="1:15">
      <c r="G62" s="621"/>
      <c r="H62" s="621"/>
      <c r="I62" s="621"/>
      <c r="J62" s="621"/>
      <c r="K62" s="621"/>
      <c r="L62" s="660"/>
      <c r="M62" s="660"/>
    </row>
    <row r="63" spans="1:15">
      <c r="G63" s="621"/>
      <c r="H63" s="621"/>
      <c r="I63" s="621"/>
      <c r="J63" s="621"/>
      <c r="K63" s="621"/>
      <c r="L63" s="660"/>
      <c r="M63" s="660"/>
    </row>
    <row r="64" spans="1:15">
      <c r="G64" s="621"/>
      <c r="H64" s="621"/>
      <c r="I64" s="621"/>
      <c r="J64" s="621"/>
      <c r="K64" s="621"/>
      <c r="L64" s="660"/>
      <c r="M64" s="660"/>
    </row>
    <row r="65" spans="7:13">
      <c r="G65" s="621"/>
      <c r="H65" s="621"/>
      <c r="I65" s="621"/>
      <c r="J65" s="621"/>
      <c r="K65" s="621"/>
      <c r="L65" s="660"/>
      <c r="M65" s="660"/>
    </row>
    <row r="66" spans="7:13">
      <c r="G66" s="621"/>
      <c r="H66" s="621"/>
      <c r="I66" s="621"/>
      <c r="J66" s="621"/>
      <c r="K66" s="621"/>
      <c r="L66" s="660"/>
      <c r="M66" s="660"/>
    </row>
    <row r="67" spans="7:13">
      <c r="G67" s="621"/>
      <c r="H67" s="621"/>
      <c r="I67" s="621"/>
      <c r="J67" s="621"/>
      <c r="K67" s="621"/>
      <c r="L67" s="660"/>
      <c r="M67" s="660"/>
    </row>
    <row r="68" spans="7:13">
      <c r="G68" s="621"/>
      <c r="H68" s="621"/>
      <c r="I68" s="621"/>
      <c r="J68" s="621"/>
      <c r="K68" s="621"/>
      <c r="L68" s="660"/>
      <c r="M68" s="660"/>
    </row>
    <row r="69" spans="7:13">
      <c r="G69" s="621"/>
      <c r="H69" s="621"/>
      <c r="I69" s="621"/>
      <c r="J69" s="621"/>
      <c r="K69" s="621"/>
      <c r="L69" s="660"/>
      <c r="M69" s="660"/>
    </row>
    <row r="70" spans="7:13">
      <c r="G70" s="621"/>
      <c r="H70" s="621"/>
      <c r="I70" s="621"/>
      <c r="J70" s="621"/>
      <c r="K70" s="621"/>
      <c r="L70" s="660"/>
      <c r="M70" s="660"/>
    </row>
    <row r="71" spans="7:13">
      <c r="G71" s="621"/>
      <c r="H71" s="621"/>
      <c r="I71" s="621"/>
      <c r="J71" s="621"/>
      <c r="K71" s="621"/>
      <c r="L71" s="660"/>
      <c r="M71" s="660"/>
    </row>
    <row r="72" spans="7:13">
      <c r="G72" s="621"/>
      <c r="H72" s="621"/>
      <c r="I72" s="621"/>
      <c r="J72" s="621"/>
      <c r="K72" s="621"/>
      <c r="L72" s="660"/>
      <c r="M72" s="660"/>
    </row>
    <row r="73" spans="7:13">
      <c r="G73" s="621"/>
      <c r="H73" s="621"/>
      <c r="I73" s="621"/>
      <c r="J73" s="621"/>
      <c r="K73" s="621"/>
      <c r="L73" s="660"/>
      <c r="M73" s="660"/>
    </row>
    <row r="74" spans="7:13">
      <c r="G74" s="621"/>
      <c r="H74" s="621"/>
      <c r="I74" s="621"/>
      <c r="J74" s="621"/>
      <c r="K74" s="621"/>
      <c r="L74" s="660"/>
      <c r="M74" s="660"/>
    </row>
    <row r="75" spans="7:13">
      <c r="G75" s="621"/>
      <c r="H75" s="621"/>
      <c r="I75" s="621"/>
      <c r="J75" s="621"/>
      <c r="K75" s="621"/>
      <c r="L75" s="660"/>
      <c r="M75" s="660"/>
    </row>
    <row r="76" spans="7:13">
      <c r="G76" s="621"/>
      <c r="H76" s="621"/>
      <c r="I76" s="621"/>
      <c r="J76" s="621"/>
      <c r="K76" s="621"/>
      <c r="L76" s="660"/>
      <c r="M76" s="660"/>
    </row>
    <row r="77" spans="7:13">
      <c r="G77" s="621"/>
      <c r="H77" s="621"/>
      <c r="I77" s="621"/>
      <c r="J77" s="621"/>
      <c r="K77" s="621"/>
      <c r="L77" s="660"/>
      <c r="M77" s="660"/>
    </row>
    <row r="78" spans="7:13">
      <c r="G78" s="621"/>
      <c r="H78" s="621"/>
      <c r="I78" s="621"/>
      <c r="J78" s="621"/>
      <c r="K78" s="621"/>
      <c r="L78" s="660"/>
      <c r="M78" s="660"/>
    </row>
    <row r="79" spans="7:13">
      <c r="G79" s="621"/>
      <c r="H79" s="621"/>
      <c r="I79" s="621"/>
      <c r="J79" s="621"/>
      <c r="K79" s="621"/>
      <c r="L79" s="660"/>
      <c r="M79" s="660"/>
    </row>
    <row r="80" spans="7:13">
      <c r="G80" s="621"/>
      <c r="H80" s="621"/>
      <c r="I80" s="621"/>
      <c r="J80" s="621"/>
      <c r="K80" s="621"/>
      <c r="L80" s="660"/>
      <c r="M80" s="660"/>
    </row>
    <row r="81" spans="7:13">
      <c r="G81" s="621"/>
      <c r="H81" s="621"/>
      <c r="I81" s="621"/>
      <c r="J81" s="621"/>
      <c r="K81" s="621"/>
      <c r="L81" s="660"/>
      <c r="M81" s="660"/>
    </row>
    <row r="82" spans="7:13">
      <c r="G82" s="621"/>
      <c r="H82" s="621"/>
      <c r="I82" s="621"/>
      <c r="J82" s="621"/>
      <c r="K82" s="621"/>
      <c r="L82" s="660"/>
      <c r="M82" s="660"/>
    </row>
    <row r="83" spans="7:13">
      <c r="G83" s="621"/>
      <c r="H83" s="621"/>
      <c r="I83" s="621"/>
      <c r="J83" s="621"/>
      <c r="K83" s="621"/>
      <c r="L83" s="660"/>
      <c r="M83" s="660"/>
    </row>
    <row r="84" spans="7:13">
      <c r="G84" s="621"/>
      <c r="H84" s="621"/>
      <c r="I84" s="621"/>
      <c r="J84" s="621"/>
      <c r="K84" s="621"/>
      <c r="L84" s="660"/>
      <c r="M84" s="660"/>
    </row>
    <row r="85" spans="7:13">
      <c r="G85" s="621"/>
      <c r="H85" s="621"/>
      <c r="I85" s="621"/>
      <c r="J85" s="621"/>
      <c r="K85" s="621"/>
      <c r="L85" s="660"/>
      <c r="M85" s="660"/>
    </row>
  </sheetData>
  <phoneticPr fontId="1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tabColor rgb="FF00B0F0"/>
  </sheetPr>
  <dimension ref="A1:I59"/>
  <sheetViews>
    <sheetView workbookViewId="0"/>
  </sheetViews>
  <sheetFormatPr defaultRowHeight="12.75"/>
  <cols>
    <col min="1" max="1" width="9" style="52"/>
    <col min="2" max="7" width="16.625" style="52" customWidth="1"/>
    <col min="8" max="8" width="11.375" style="924" bestFit="1" customWidth="1"/>
    <col min="9" max="9" width="37.125" style="923" bestFit="1" customWidth="1"/>
    <col min="10" max="255" width="9" style="52"/>
    <col min="256" max="256" width="16.625" style="52" bestFit="1" customWidth="1"/>
    <col min="257" max="257" width="60.375" style="52" bestFit="1" customWidth="1"/>
    <col min="258" max="258" width="16.625" style="52" bestFit="1" customWidth="1"/>
    <col min="259" max="259" width="19" style="52" bestFit="1" customWidth="1"/>
    <col min="260" max="260" width="17.875" style="52" bestFit="1" customWidth="1"/>
    <col min="261" max="261" width="16.625" style="52" bestFit="1" customWidth="1"/>
    <col min="262" max="262" width="19" style="52" bestFit="1" customWidth="1"/>
    <col min="263" max="263" width="17.875" style="52" bestFit="1" customWidth="1"/>
    <col min="264" max="264" width="19" style="52" bestFit="1" customWidth="1"/>
    <col min="265" max="265" width="17.875" style="52" bestFit="1" customWidth="1"/>
    <col min="266" max="511" width="9" style="52"/>
    <col min="512" max="512" width="16.625" style="52" bestFit="1" customWidth="1"/>
    <col min="513" max="513" width="60.375" style="52" bestFit="1" customWidth="1"/>
    <col min="514" max="514" width="16.625" style="52" bestFit="1" customWidth="1"/>
    <col min="515" max="515" width="19" style="52" bestFit="1" customWidth="1"/>
    <col min="516" max="516" width="17.875" style="52" bestFit="1" customWidth="1"/>
    <col min="517" max="517" width="16.625" style="52" bestFit="1" customWidth="1"/>
    <col min="518" max="518" width="19" style="52" bestFit="1" customWidth="1"/>
    <col min="519" max="519" width="17.875" style="52" bestFit="1" customWidth="1"/>
    <col min="520" max="520" width="19" style="52" bestFit="1" customWidth="1"/>
    <col min="521" max="521" width="17.875" style="52" bestFit="1" customWidth="1"/>
    <col min="522" max="767" width="9" style="52"/>
    <col min="768" max="768" width="16.625" style="52" bestFit="1" customWidth="1"/>
    <col min="769" max="769" width="60.375" style="52" bestFit="1" customWidth="1"/>
    <col min="770" max="770" width="16.625" style="52" bestFit="1" customWidth="1"/>
    <col min="771" max="771" width="19" style="52" bestFit="1" customWidth="1"/>
    <col min="772" max="772" width="17.875" style="52" bestFit="1" customWidth="1"/>
    <col min="773" max="773" width="16.625" style="52" bestFit="1" customWidth="1"/>
    <col min="774" max="774" width="19" style="52" bestFit="1" customWidth="1"/>
    <col min="775" max="775" width="17.875" style="52" bestFit="1" customWidth="1"/>
    <col min="776" max="776" width="19" style="52" bestFit="1" customWidth="1"/>
    <col min="777" max="777" width="17.875" style="52" bestFit="1" customWidth="1"/>
    <col min="778" max="1023" width="9" style="52"/>
    <col min="1024" max="1024" width="16.625" style="52" bestFit="1" customWidth="1"/>
    <col min="1025" max="1025" width="60.375" style="52" bestFit="1" customWidth="1"/>
    <col min="1026" max="1026" width="16.625" style="52" bestFit="1" customWidth="1"/>
    <col min="1027" max="1027" width="19" style="52" bestFit="1" customWidth="1"/>
    <col min="1028" max="1028" width="17.875" style="52" bestFit="1" customWidth="1"/>
    <col min="1029" max="1029" width="16.625" style="52" bestFit="1" customWidth="1"/>
    <col min="1030" max="1030" width="19" style="52" bestFit="1" customWidth="1"/>
    <col min="1031" max="1031" width="17.875" style="52" bestFit="1" customWidth="1"/>
    <col min="1032" max="1032" width="19" style="52" bestFit="1" customWidth="1"/>
    <col min="1033" max="1033" width="17.875" style="52" bestFit="1" customWidth="1"/>
    <col min="1034" max="1279" width="9" style="52"/>
    <col min="1280" max="1280" width="16.625" style="52" bestFit="1" customWidth="1"/>
    <col min="1281" max="1281" width="60.375" style="52" bestFit="1" customWidth="1"/>
    <col min="1282" max="1282" width="16.625" style="52" bestFit="1" customWidth="1"/>
    <col min="1283" max="1283" width="19" style="52" bestFit="1" customWidth="1"/>
    <col min="1284" max="1284" width="17.875" style="52" bestFit="1" customWidth="1"/>
    <col min="1285" max="1285" width="16.625" style="52" bestFit="1" customWidth="1"/>
    <col min="1286" max="1286" width="19" style="52" bestFit="1" customWidth="1"/>
    <col min="1287" max="1287" width="17.875" style="52" bestFit="1" customWidth="1"/>
    <col min="1288" max="1288" width="19" style="52" bestFit="1" customWidth="1"/>
    <col min="1289" max="1289" width="17.875" style="52" bestFit="1" customWidth="1"/>
    <col min="1290" max="1535" width="9" style="52"/>
    <col min="1536" max="1536" width="16.625" style="52" bestFit="1" customWidth="1"/>
    <col min="1537" max="1537" width="60.375" style="52" bestFit="1" customWidth="1"/>
    <col min="1538" max="1538" width="16.625" style="52" bestFit="1" customWidth="1"/>
    <col min="1539" max="1539" width="19" style="52" bestFit="1" customWidth="1"/>
    <col min="1540" max="1540" width="17.875" style="52" bestFit="1" customWidth="1"/>
    <col min="1541" max="1541" width="16.625" style="52" bestFit="1" customWidth="1"/>
    <col min="1542" max="1542" width="19" style="52" bestFit="1" customWidth="1"/>
    <col min="1543" max="1543" width="17.875" style="52" bestFit="1" customWidth="1"/>
    <col min="1544" max="1544" width="19" style="52" bestFit="1" customWidth="1"/>
    <col min="1545" max="1545" width="17.875" style="52" bestFit="1" customWidth="1"/>
    <col min="1546" max="1791" width="9" style="52"/>
    <col min="1792" max="1792" width="16.625" style="52" bestFit="1" customWidth="1"/>
    <col min="1793" max="1793" width="60.375" style="52" bestFit="1" customWidth="1"/>
    <col min="1794" max="1794" width="16.625" style="52" bestFit="1" customWidth="1"/>
    <col min="1795" max="1795" width="19" style="52" bestFit="1" customWidth="1"/>
    <col min="1796" max="1796" width="17.875" style="52" bestFit="1" customWidth="1"/>
    <col min="1797" max="1797" width="16.625" style="52" bestFit="1" customWidth="1"/>
    <col min="1798" max="1798" width="19" style="52" bestFit="1" customWidth="1"/>
    <col min="1799" max="1799" width="17.875" style="52" bestFit="1" customWidth="1"/>
    <col min="1800" max="1800" width="19" style="52" bestFit="1" customWidth="1"/>
    <col min="1801" max="1801" width="17.875" style="52" bestFit="1" customWidth="1"/>
    <col min="1802" max="2047" width="9" style="52"/>
    <col min="2048" max="2048" width="16.625" style="52" bestFit="1" customWidth="1"/>
    <col min="2049" max="2049" width="60.375" style="52" bestFit="1" customWidth="1"/>
    <col min="2050" max="2050" width="16.625" style="52" bestFit="1" customWidth="1"/>
    <col min="2051" max="2051" width="19" style="52" bestFit="1" customWidth="1"/>
    <col min="2052" max="2052" width="17.875" style="52" bestFit="1" customWidth="1"/>
    <col min="2053" max="2053" width="16.625" style="52" bestFit="1" customWidth="1"/>
    <col min="2054" max="2054" width="19" style="52" bestFit="1" customWidth="1"/>
    <col min="2055" max="2055" width="17.875" style="52" bestFit="1" customWidth="1"/>
    <col min="2056" max="2056" width="19" style="52" bestFit="1" customWidth="1"/>
    <col min="2057" max="2057" width="17.875" style="52" bestFit="1" customWidth="1"/>
    <col min="2058" max="2303" width="9" style="52"/>
    <col min="2304" max="2304" width="16.625" style="52" bestFit="1" customWidth="1"/>
    <col min="2305" max="2305" width="60.375" style="52" bestFit="1" customWidth="1"/>
    <col min="2306" max="2306" width="16.625" style="52" bestFit="1" customWidth="1"/>
    <col min="2307" max="2307" width="19" style="52" bestFit="1" customWidth="1"/>
    <col min="2308" max="2308" width="17.875" style="52" bestFit="1" customWidth="1"/>
    <col min="2309" max="2309" width="16.625" style="52" bestFit="1" customWidth="1"/>
    <col min="2310" max="2310" width="19" style="52" bestFit="1" customWidth="1"/>
    <col min="2311" max="2311" width="17.875" style="52" bestFit="1" customWidth="1"/>
    <col min="2312" max="2312" width="19" style="52" bestFit="1" customWidth="1"/>
    <col min="2313" max="2313" width="17.875" style="52" bestFit="1" customWidth="1"/>
    <col min="2314" max="2559" width="9" style="52"/>
    <col min="2560" max="2560" width="16.625" style="52" bestFit="1" customWidth="1"/>
    <col min="2561" max="2561" width="60.375" style="52" bestFit="1" customWidth="1"/>
    <col min="2562" max="2562" width="16.625" style="52" bestFit="1" customWidth="1"/>
    <col min="2563" max="2563" width="19" style="52" bestFit="1" customWidth="1"/>
    <col min="2564" max="2564" width="17.875" style="52" bestFit="1" customWidth="1"/>
    <col min="2565" max="2565" width="16.625" style="52" bestFit="1" customWidth="1"/>
    <col min="2566" max="2566" width="19" style="52" bestFit="1" customWidth="1"/>
    <col min="2567" max="2567" width="17.875" style="52" bestFit="1" customWidth="1"/>
    <col min="2568" max="2568" width="19" style="52" bestFit="1" customWidth="1"/>
    <col min="2569" max="2569" width="17.875" style="52" bestFit="1" customWidth="1"/>
    <col min="2570" max="2815" width="9" style="52"/>
    <col min="2816" max="2816" width="16.625" style="52" bestFit="1" customWidth="1"/>
    <col min="2817" max="2817" width="60.375" style="52" bestFit="1" customWidth="1"/>
    <col min="2818" max="2818" width="16.625" style="52" bestFit="1" customWidth="1"/>
    <col min="2819" max="2819" width="19" style="52" bestFit="1" customWidth="1"/>
    <col min="2820" max="2820" width="17.875" style="52" bestFit="1" customWidth="1"/>
    <col min="2821" max="2821" width="16.625" style="52" bestFit="1" customWidth="1"/>
    <col min="2822" max="2822" width="19" style="52" bestFit="1" customWidth="1"/>
    <col min="2823" max="2823" width="17.875" style="52" bestFit="1" customWidth="1"/>
    <col min="2824" max="2824" width="19" style="52" bestFit="1" customWidth="1"/>
    <col min="2825" max="2825" width="17.875" style="52" bestFit="1" customWidth="1"/>
    <col min="2826" max="3071" width="9" style="52"/>
    <col min="3072" max="3072" width="16.625" style="52" bestFit="1" customWidth="1"/>
    <col min="3073" max="3073" width="60.375" style="52" bestFit="1" customWidth="1"/>
    <col min="3074" max="3074" width="16.625" style="52" bestFit="1" customWidth="1"/>
    <col min="3075" max="3075" width="19" style="52" bestFit="1" customWidth="1"/>
    <col min="3076" max="3076" width="17.875" style="52" bestFit="1" customWidth="1"/>
    <col min="3077" max="3077" width="16.625" style="52" bestFit="1" customWidth="1"/>
    <col min="3078" max="3078" width="19" style="52" bestFit="1" customWidth="1"/>
    <col min="3079" max="3079" width="17.875" style="52" bestFit="1" customWidth="1"/>
    <col min="3080" max="3080" width="19" style="52" bestFit="1" customWidth="1"/>
    <col min="3081" max="3081" width="17.875" style="52" bestFit="1" customWidth="1"/>
    <col min="3082" max="3327" width="9" style="52"/>
    <col min="3328" max="3328" width="16.625" style="52" bestFit="1" customWidth="1"/>
    <col min="3329" max="3329" width="60.375" style="52" bestFit="1" customWidth="1"/>
    <col min="3330" max="3330" width="16.625" style="52" bestFit="1" customWidth="1"/>
    <col min="3331" max="3331" width="19" style="52" bestFit="1" customWidth="1"/>
    <col min="3332" max="3332" width="17.875" style="52" bestFit="1" customWidth="1"/>
    <col min="3333" max="3333" width="16.625" style="52" bestFit="1" customWidth="1"/>
    <col min="3334" max="3334" width="19" style="52" bestFit="1" customWidth="1"/>
    <col min="3335" max="3335" width="17.875" style="52" bestFit="1" customWidth="1"/>
    <col min="3336" max="3336" width="19" style="52" bestFit="1" customWidth="1"/>
    <col min="3337" max="3337" width="17.875" style="52" bestFit="1" customWidth="1"/>
    <col min="3338" max="3583" width="9" style="52"/>
    <col min="3584" max="3584" width="16.625" style="52" bestFit="1" customWidth="1"/>
    <col min="3585" max="3585" width="60.375" style="52" bestFit="1" customWidth="1"/>
    <col min="3586" max="3586" width="16.625" style="52" bestFit="1" customWidth="1"/>
    <col min="3587" max="3587" width="19" style="52" bestFit="1" customWidth="1"/>
    <col min="3588" max="3588" width="17.875" style="52" bestFit="1" customWidth="1"/>
    <col min="3589" max="3589" width="16.625" style="52" bestFit="1" customWidth="1"/>
    <col min="3590" max="3590" width="19" style="52" bestFit="1" customWidth="1"/>
    <col min="3591" max="3591" width="17.875" style="52" bestFit="1" customWidth="1"/>
    <col min="3592" max="3592" width="19" style="52" bestFit="1" customWidth="1"/>
    <col min="3593" max="3593" width="17.875" style="52" bestFit="1" customWidth="1"/>
    <col min="3594" max="3839" width="9" style="52"/>
    <col min="3840" max="3840" width="16.625" style="52" bestFit="1" customWidth="1"/>
    <col min="3841" max="3841" width="60.375" style="52" bestFit="1" customWidth="1"/>
    <col min="3842" max="3842" width="16.625" style="52" bestFit="1" customWidth="1"/>
    <col min="3843" max="3843" width="19" style="52" bestFit="1" customWidth="1"/>
    <col min="3844" max="3844" width="17.875" style="52" bestFit="1" customWidth="1"/>
    <col min="3845" max="3845" width="16.625" style="52" bestFit="1" customWidth="1"/>
    <col min="3846" max="3846" width="19" style="52" bestFit="1" customWidth="1"/>
    <col min="3847" max="3847" width="17.875" style="52" bestFit="1" customWidth="1"/>
    <col min="3848" max="3848" width="19" style="52" bestFit="1" customWidth="1"/>
    <col min="3849" max="3849" width="17.875" style="52" bestFit="1" customWidth="1"/>
    <col min="3850" max="4095" width="9" style="52"/>
    <col min="4096" max="4096" width="16.625" style="52" bestFit="1" customWidth="1"/>
    <col min="4097" max="4097" width="60.375" style="52" bestFit="1" customWidth="1"/>
    <col min="4098" max="4098" width="16.625" style="52" bestFit="1" customWidth="1"/>
    <col min="4099" max="4099" width="19" style="52" bestFit="1" customWidth="1"/>
    <col min="4100" max="4100" width="17.875" style="52" bestFit="1" customWidth="1"/>
    <col min="4101" max="4101" width="16.625" style="52" bestFit="1" customWidth="1"/>
    <col min="4102" max="4102" width="19" style="52" bestFit="1" customWidth="1"/>
    <col min="4103" max="4103" width="17.875" style="52" bestFit="1" customWidth="1"/>
    <col min="4104" max="4104" width="19" style="52" bestFit="1" customWidth="1"/>
    <col min="4105" max="4105" width="17.875" style="52" bestFit="1" customWidth="1"/>
    <col min="4106" max="4351" width="9" style="52"/>
    <col min="4352" max="4352" width="16.625" style="52" bestFit="1" customWidth="1"/>
    <col min="4353" max="4353" width="60.375" style="52" bestFit="1" customWidth="1"/>
    <col min="4354" max="4354" width="16.625" style="52" bestFit="1" customWidth="1"/>
    <col min="4355" max="4355" width="19" style="52" bestFit="1" customWidth="1"/>
    <col min="4356" max="4356" width="17.875" style="52" bestFit="1" customWidth="1"/>
    <col min="4357" max="4357" width="16.625" style="52" bestFit="1" customWidth="1"/>
    <col min="4358" max="4358" width="19" style="52" bestFit="1" customWidth="1"/>
    <col min="4359" max="4359" width="17.875" style="52" bestFit="1" customWidth="1"/>
    <col min="4360" max="4360" width="19" style="52" bestFit="1" customWidth="1"/>
    <col min="4361" max="4361" width="17.875" style="52" bestFit="1" customWidth="1"/>
    <col min="4362" max="4607" width="9" style="52"/>
    <col min="4608" max="4608" width="16.625" style="52" bestFit="1" customWidth="1"/>
    <col min="4609" max="4609" width="60.375" style="52" bestFit="1" customWidth="1"/>
    <col min="4610" max="4610" width="16.625" style="52" bestFit="1" customWidth="1"/>
    <col min="4611" max="4611" width="19" style="52" bestFit="1" customWidth="1"/>
    <col min="4612" max="4612" width="17.875" style="52" bestFit="1" customWidth="1"/>
    <col min="4613" max="4613" width="16.625" style="52" bestFit="1" customWidth="1"/>
    <col min="4614" max="4614" width="19" style="52" bestFit="1" customWidth="1"/>
    <col min="4615" max="4615" width="17.875" style="52" bestFit="1" customWidth="1"/>
    <col min="4616" max="4616" width="19" style="52" bestFit="1" customWidth="1"/>
    <col min="4617" max="4617" width="17.875" style="52" bestFit="1" customWidth="1"/>
    <col min="4618" max="4863" width="9" style="52"/>
    <col min="4864" max="4864" width="16.625" style="52" bestFit="1" customWidth="1"/>
    <col min="4865" max="4865" width="60.375" style="52" bestFit="1" customWidth="1"/>
    <col min="4866" max="4866" width="16.625" style="52" bestFit="1" customWidth="1"/>
    <col min="4867" max="4867" width="19" style="52" bestFit="1" customWidth="1"/>
    <col min="4868" max="4868" width="17.875" style="52" bestFit="1" customWidth="1"/>
    <col min="4869" max="4869" width="16.625" style="52" bestFit="1" customWidth="1"/>
    <col min="4870" max="4870" width="19" style="52" bestFit="1" customWidth="1"/>
    <col min="4871" max="4871" width="17.875" style="52" bestFit="1" customWidth="1"/>
    <col min="4872" max="4872" width="19" style="52" bestFit="1" customWidth="1"/>
    <col min="4873" max="4873" width="17.875" style="52" bestFit="1" customWidth="1"/>
    <col min="4874" max="5119" width="9" style="52"/>
    <col min="5120" max="5120" width="16.625" style="52" bestFit="1" customWidth="1"/>
    <col min="5121" max="5121" width="60.375" style="52" bestFit="1" customWidth="1"/>
    <col min="5122" max="5122" width="16.625" style="52" bestFit="1" customWidth="1"/>
    <col min="5123" max="5123" width="19" style="52" bestFit="1" customWidth="1"/>
    <col min="5124" max="5124" width="17.875" style="52" bestFit="1" customWidth="1"/>
    <col min="5125" max="5125" width="16.625" style="52" bestFit="1" customWidth="1"/>
    <col min="5126" max="5126" width="19" style="52" bestFit="1" customWidth="1"/>
    <col min="5127" max="5127" width="17.875" style="52" bestFit="1" customWidth="1"/>
    <col min="5128" max="5128" width="19" style="52" bestFit="1" customWidth="1"/>
    <col min="5129" max="5129" width="17.875" style="52" bestFit="1" customWidth="1"/>
    <col min="5130" max="5375" width="9" style="52"/>
    <col min="5376" max="5376" width="16.625" style="52" bestFit="1" customWidth="1"/>
    <col min="5377" max="5377" width="60.375" style="52" bestFit="1" customWidth="1"/>
    <col min="5378" max="5378" width="16.625" style="52" bestFit="1" customWidth="1"/>
    <col min="5379" max="5379" width="19" style="52" bestFit="1" customWidth="1"/>
    <col min="5380" max="5380" width="17.875" style="52" bestFit="1" customWidth="1"/>
    <col min="5381" max="5381" width="16.625" style="52" bestFit="1" customWidth="1"/>
    <col min="5382" max="5382" width="19" style="52" bestFit="1" customWidth="1"/>
    <col min="5383" max="5383" width="17.875" style="52" bestFit="1" customWidth="1"/>
    <col min="5384" max="5384" width="19" style="52" bestFit="1" customWidth="1"/>
    <col min="5385" max="5385" width="17.875" style="52" bestFit="1" customWidth="1"/>
    <col min="5386" max="5631" width="9" style="52"/>
    <col min="5632" max="5632" width="16.625" style="52" bestFit="1" customWidth="1"/>
    <col min="5633" max="5633" width="60.375" style="52" bestFit="1" customWidth="1"/>
    <col min="5634" max="5634" width="16.625" style="52" bestFit="1" customWidth="1"/>
    <col min="5635" max="5635" width="19" style="52" bestFit="1" customWidth="1"/>
    <col min="5636" max="5636" width="17.875" style="52" bestFit="1" customWidth="1"/>
    <col min="5637" max="5637" width="16.625" style="52" bestFit="1" customWidth="1"/>
    <col min="5638" max="5638" width="19" style="52" bestFit="1" customWidth="1"/>
    <col min="5639" max="5639" width="17.875" style="52" bestFit="1" customWidth="1"/>
    <col min="5640" max="5640" width="19" style="52" bestFit="1" customWidth="1"/>
    <col min="5641" max="5641" width="17.875" style="52" bestFit="1" customWidth="1"/>
    <col min="5642" max="5887" width="9" style="52"/>
    <col min="5888" max="5888" width="16.625" style="52" bestFit="1" customWidth="1"/>
    <col min="5889" max="5889" width="60.375" style="52" bestFit="1" customWidth="1"/>
    <col min="5890" max="5890" width="16.625" style="52" bestFit="1" customWidth="1"/>
    <col min="5891" max="5891" width="19" style="52" bestFit="1" customWidth="1"/>
    <col min="5892" max="5892" width="17.875" style="52" bestFit="1" customWidth="1"/>
    <col min="5893" max="5893" width="16.625" style="52" bestFit="1" customWidth="1"/>
    <col min="5894" max="5894" width="19" style="52" bestFit="1" customWidth="1"/>
    <col min="5895" max="5895" width="17.875" style="52" bestFit="1" customWidth="1"/>
    <col min="5896" max="5896" width="19" style="52" bestFit="1" customWidth="1"/>
    <col min="5897" max="5897" width="17.875" style="52" bestFit="1" customWidth="1"/>
    <col min="5898" max="6143" width="9" style="52"/>
    <col min="6144" max="6144" width="16.625" style="52" bestFit="1" customWidth="1"/>
    <col min="6145" max="6145" width="60.375" style="52" bestFit="1" customWidth="1"/>
    <col min="6146" max="6146" width="16.625" style="52" bestFit="1" customWidth="1"/>
    <col min="6147" max="6147" width="19" style="52" bestFit="1" customWidth="1"/>
    <col min="6148" max="6148" width="17.875" style="52" bestFit="1" customWidth="1"/>
    <col min="6149" max="6149" width="16.625" style="52" bestFit="1" customWidth="1"/>
    <col min="6150" max="6150" width="19" style="52" bestFit="1" customWidth="1"/>
    <col min="6151" max="6151" width="17.875" style="52" bestFit="1" customWidth="1"/>
    <col min="6152" max="6152" width="19" style="52" bestFit="1" customWidth="1"/>
    <col min="6153" max="6153" width="17.875" style="52" bestFit="1" customWidth="1"/>
    <col min="6154" max="6399" width="9" style="52"/>
    <col min="6400" max="6400" width="16.625" style="52" bestFit="1" customWidth="1"/>
    <col min="6401" max="6401" width="60.375" style="52" bestFit="1" customWidth="1"/>
    <col min="6402" max="6402" width="16.625" style="52" bestFit="1" customWidth="1"/>
    <col min="6403" max="6403" width="19" style="52" bestFit="1" customWidth="1"/>
    <col min="6404" max="6404" width="17.875" style="52" bestFit="1" customWidth="1"/>
    <col min="6405" max="6405" width="16.625" style="52" bestFit="1" customWidth="1"/>
    <col min="6406" max="6406" width="19" style="52" bestFit="1" customWidth="1"/>
    <col min="6407" max="6407" width="17.875" style="52" bestFit="1" customWidth="1"/>
    <col min="6408" max="6408" width="19" style="52" bestFit="1" customWidth="1"/>
    <col min="6409" max="6409" width="17.875" style="52" bestFit="1" customWidth="1"/>
    <col min="6410" max="6655" width="9" style="52"/>
    <col min="6656" max="6656" width="16.625" style="52" bestFit="1" customWidth="1"/>
    <col min="6657" max="6657" width="60.375" style="52" bestFit="1" customWidth="1"/>
    <col min="6658" max="6658" width="16.625" style="52" bestFit="1" customWidth="1"/>
    <col min="6659" max="6659" width="19" style="52" bestFit="1" customWidth="1"/>
    <col min="6660" max="6660" width="17.875" style="52" bestFit="1" customWidth="1"/>
    <col min="6661" max="6661" width="16.625" style="52" bestFit="1" customWidth="1"/>
    <col min="6662" max="6662" width="19" style="52" bestFit="1" customWidth="1"/>
    <col min="6663" max="6663" width="17.875" style="52" bestFit="1" customWidth="1"/>
    <col min="6664" max="6664" width="19" style="52" bestFit="1" customWidth="1"/>
    <col min="6665" max="6665" width="17.875" style="52" bestFit="1" customWidth="1"/>
    <col min="6666" max="6911" width="9" style="52"/>
    <col min="6912" max="6912" width="16.625" style="52" bestFit="1" customWidth="1"/>
    <col min="6913" max="6913" width="60.375" style="52" bestFit="1" customWidth="1"/>
    <col min="6914" max="6914" width="16.625" style="52" bestFit="1" customWidth="1"/>
    <col min="6915" max="6915" width="19" style="52" bestFit="1" customWidth="1"/>
    <col min="6916" max="6916" width="17.875" style="52" bestFit="1" customWidth="1"/>
    <col min="6917" max="6917" width="16.625" style="52" bestFit="1" customWidth="1"/>
    <col min="6918" max="6918" width="19" style="52" bestFit="1" customWidth="1"/>
    <col min="6919" max="6919" width="17.875" style="52" bestFit="1" customWidth="1"/>
    <col min="6920" max="6920" width="19" style="52" bestFit="1" customWidth="1"/>
    <col min="6921" max="6921" width="17.875" style="52" bestFit="1" customWidth="1"/>
    <col min="6922" max="7167" width="9" style="52"/>
    <col min="7168" max="7168" width="16.625" style="52" bestFit="1" customWidth="1"/>
    <col min="7169" max="7169" width="60.375" style="52" bestFit="1" customWidth="1"/>
    <col min="7170" max="7170" width="16.625" style="52" bestFit="1" customWidth="1"/>
    <col min="7171" max="7171" width="19" style="52" bestFit="1" customWidth="1"/>
    <col min="7172" max="7172" width="17.875" style="52" bestFit="1" customWidth="1"/>
    <col min="7173" max="7173" width="16.625" style="52" bestFit="1" customWidth="1"/>
    <col min="7174" max="7174" width="19" style="52" bestFit="1" customWidth="1"/>
    <col min="7175" max="7175" width="17.875" style="52" bestFit="1" customWidth="1"/>
    <col min="7176" max="7176" width="19" style="52" bestFit="1" customWidth="1"/>
    <col min="7177" max="7177" width="17.875" style="52" bestFit="1" customWidth="1"/>
    <col min="7178" max="7423" width="9" style="52"/>
    <col min="7424" max="7424" width="16.625" style="52" bestFit="1" customWidth="1"/>
    <col min="7425" max="7425" width="60.375" style="52" bestFit="1" customWidth="1"/>
    <col min="7426" max="7426" width="16.625" style="52" bestFit="1" customWidth="1"/>
    <col min="7427" max="7427" width="19" style="52" bestFit="1" customWidth="1"/>
    <col min="7428" max="7428" width="17.875" style="52" bestFit="1" customWidth="1"/>
    <col min="7429" max="7429" width="16.625" style="52" bestFit="1" customWidth="1"/>
    <col min="7430" max="7430" width="19" style="52" bestFit="1" customWidth="1"/>
    <col min="7431" max="7431" width="17.875" style="52" bestFit="1" customWidth="1"/>
    <col min="7432" max="7432" width="19" style="52" bestFit="1" customWidth="1"/>
    <col min="7433" max="7433" width="17.875" style="52" bestFit="1" customWidth="1"/>
    <col min="7434" max="7679" width="9" style="52"/>
    <col min="7680" max="7680" width="16.625" style="52" bestFit="1" customWidth="1"/>
    <col min="7681" max="7681" width="60.375" style="52" bestFit="1" customWidth="1"/>
    <col min="7682" max="7682" width="16.625" style="52" bestFit="1" customWidth="1"/>
    <col min="7683" max="7683" width="19" style="52" bestFit="1" customWidth="1"/>
    <col min="7684" max="7684" width="17.875" style="52" bestFit="1" customWidth="1"/>
    <col min="7685" max="7685" width="16.625" style="52" bestFit="1" customWidth="1"/>
    <col min="7686" max="7686" width="19" style="52" bestFit="1" customWidth="1"/>
    <col min="7687" max="7687" width="17.875" style="52" bestFit="1" customWidth="1"/>
    <col min="7688" max="7688" width="19" style="52" bestFit="1" customWidth="1"/>
    <col min="7689" max="7689" width="17.875" style="52" bestFit="1" customWidth="1"/>
    <col min="7690" max="7935" width="9" style="52"/>
    <col min="7936" max="7936" width="16.625" style="52" bestFit="1" customWidth="1"/>
    <col min="7937" max="7937" width="60.375" style="52" bestFit="1" customWidth="1"/>
    <col min="7938" max="7938" width="16.625" style="52" bestFit="1" customWidth="1"/>
    <col min="7939" max="7939" width="19" style="52" bestFit="1" customWidth="1"/>
    <col min="7940" max="7940" width="17.875" style="52" bestFit="1" customWidth="1"/>
    <col min="7941" max="7941" width="16.625" style="52" bestFit="1" customWidth="1"/>
    <col min="7942" max="7942" width="19" style="52" bestFit="1" customWidth="1"/>
    <col min="7943" max="7943" width="17.875" style="52" bestFit="1" customWidth="1"/>
    <col min="7944" max="7944" width="19" style="52" bestFit="1" customWidth="1"/>
    <col min="7945" max="7945" width="17.875" style="52" bestFit="1" customWidth="1"/>
    <col min="7946" max="8191" width="9" style="52"/>
    <col min="8192" max="8192" width="16.625" style="52" bestFit="1" customWidth="1"/>
    <col min="8193" max="8193" width="60.375" style="52" bestFit="1" customWidth="1"/>
    <col min="8194" max="8194" width="16.625" style="52" bestFit="1" customWidth="1"/>
    <col min="8195" max="8195" width="19" style="52" bestFit="1" customWidth="1"/>
    <col min="8196" max="8196" width="17.875" style="52" bestFit="1" customWidth="1"/>
    <col min="8197" max="8197" width="16.625" style="52" bestFit="1" customWidth="1"/>
    <col min="8198" max="8198" width="19" style="52" bestFit="1" customWidth="1"/>
    <col min="8199" max="8199" width="17.875" style="52" bestFit="1" customWidth="1"/>
    <col min="8200" max="8200" width="19" style="52" bestFit="1" customWidth="1"/>
    <col min="8201" max="8201" width="17.875" style="52" bestFit="1" customWidth="1"/>
    <col min="8202" max="8447" width="9" style="52"/>
    <col min="8448" max="8448" width="16.625" style="52" bestFit="1" customWidth="1"/>
    <col min="8449" max="8449" width="60.375" style="52" bestFit="1" customWidth="1"/>
    <col min="8450" max="8450" width="16.625" style="52" bestFit="1" customWidth="1"/>
    <col min="8451" max="8451" width="19" style="52" bestFit="1" customWidth="1"/>
    <col min="8452" max="8452" width="17.875" style="52" bestFit="1" customWidth="1"/>
    <col min="8453" max="8453" width="16.625" style="52" bestFit="1" customWidth="1"/>
    <col min="8454" max="8454" width="19" style="52" bestFit="1" customWidth="1"/>
    <col min="8455" max="8455" width="17.875" style="52" bestFit="1" customWidth="1"/>
    <col min="8456" max="8456" width="19" style="52" bestFit="1" customWidth="1"/>
    <col min="8457" max="8457" width="17.875" style="52" bestFit="1" customWidth="1"/>
    <col min="8458" max="8703" width="9" style="52"/>
    <col min="8704" max="8704" width="16.625" style="52" bestFit="1" customWidth="1"/>
    <col min="8705" max="8705" width="60.375" style="52" bestFit="1" customWidth="1"/>
    <col min="8706" max="8706" width="16.625" style="52" bestFit="1" customWidth="1"/>
    <col min="8707" max="8707" width="19" style="52" bestFit="1" customWidth="1"/>
    <col min="8708" max="8708" width="17.875" style="52" bestFit="1" customWidth="1"/>
    <col min="8709" max="8709" width="16.625" style="52" bestFit="1" customWidth="1"/>
    <col min="8710" max="8710" width="19" style="52" bestFit="1" customWidth="1"/>
    <col min="8711" max="8711" width="17.875" style="52" bestFit="1" customWidth="1"/>
    <col min="8712" max="8712" width="19" style="52" bestFit="1" customWidth="1"/>
    <col min="8713" max="8713" width="17.875" style="52" bestFit="1" customWidth="1"/>
    <col min="8714" max="8959" width="9" style="52"/>
    <col min="8960" max="8960" width="16.625" style="52" bestFit="1" customWidth="1"/>
    <col min="8961" max="8961" width="60.375" style="52" bestFit="1" customWidth="1"/>
    <col min="8962" max="8962" width="16.625" style="52" bestFit="1" customWidth="1"/>
    <col min="8963" max="8963" width="19" style="52" bestFit="1" customWidth="1"/>
    <col min="8964" max="8964" width="17.875" style="52" bestFit="1" customWidth="1"/>
    <col min="8965" max="8965" width="16.625" style="52" bestFit="1" customWidth="1"/>
    <col min="8966" max="8966" width="19" style="52" bestFit="1" customWidth="1"/>
    <col min="8967" max="8967" width="17.875" style="52" bestFit="1" customWidth="1"/>
    <col min="8968" max="8968" width="19" style="52" bestFit="1" customWidth="1"/>
    <col min="8969" max="8969" width="17.875" style="52" bestFit="1" customWidth="1"/>
    <col min="8970" max="9215" width="9" style="52"/>
    <col min="9216" max="9216" width="16.625" style="52" bestFit="1" customWidth="1"/>
    <col min="9217" max="9217" width="60.375" style="52" bestFit="1" customWidth="1"/>
    <col min="9218" max="9218" width="16.625" style="52" bestFit="1" customWidth="1"/>
    <col min="9219" max="9219" width="19" style="52" bestFit="1" customWidth="1"/>
    <col min="9220" max="9220" width="17.875" style="52" bestFit="1" customWidth="1"/>
    <col min="9221" max="9221" width="16.625" style="52" bestFit="1" customWidth="1"/>
    <col min="9222" max="9222" width="19" style="52" bestFit="1" customWidth="1"/>
    <col min="9223" max="9223" width="17.875" style="52" bestFit="1" customWidth="1"/>
    <col min="9224" max="9224" width="19" style="52" bestFit="1" customWidth="1"/>
    <col min="9225" max="9225" width="17.875" style="52" bestFit="1" customWidth="1"/>
    <col min="9226" max="9471" width="9" style="52"/>
    <col min="9472" max="9472" width="16.625" style="52" bestFit="1" customWidth="1"/>
    <col min="9473" max="9473" width="60.375" style="52" bestFit="1" customWidth="1"/>
    <col min="9474" max="9474" width="16.625" style="52" bestFit="1" customWidth="1"/>
    <col min="9475" max="9475" width="19" style="52" bestFit="1" customWidth="1"/>
    <col min="9476" max="9476" width="17.875" style="52" bestFit="1" customWidth="1"/>
    <col min="9477" max="9477" width="16.625" style="52" bestFit="1" customWidth="1"/>
    <col min="9478" max="9478" width="19" style="52" bestFit="1" customWidth="1"/>
    <col min="9479" max="9479" width="17.875" style="52" bestFit="1" customWidth="1"/>
    <col min="9480" max="9480" width="19" style="52" bestFit="1" customWidth="1"/>
    <col min="9481" max="9481" width="17.875" style="52" bestFit="1" customWidth="1"/>
    <col min="9482" max="9727" width="9" style="52"/>
    <col min="9728" max="9728" width="16.625" style="52" bestFit="1" customWidth="1"/>
    <col min="9729" max="9729" width="60.375" style="52" bestFit="1" customWidth="1"/>
    <col min="9730" max="9730" width="16.625" style="52" bestFit="1" customWidth="1"/>
    <col min="9731" max="9731" width="19" style="52" bestFit="1" customWidth="1"/>
    <col min="9732" max="9732" width="17.875" style="52" bestFit="1" customWidth="1"/>
    <col min="9733" max="9733" width="16.625" style="52" bestFit="1" customWidth="1"/>
    <col min="9734" max="9734" width="19" style="52" bestFit="1" customWidth="1"/>
    <col min="9735" max="9735" width="17.875" style="52" bestFit="1" customWidth="1"/>
    <col min="9736" max="9736" width="19" style="52" bestFit="1" customWidth="1"/>
    <col min="9737" max="9737" width="17.875" style="52" bestFit="1" customWidth="1"/>
    <col min="9738" max="9983" width="9" style="52"/>
    <col min="9984" max="9984" width="16.625" style="52" bestFit="1" customWidth="1"/>
    <col min="9985" max="9985" width="60.375" style="52" bestFit="1" customWidth="1"/>
    <col min="9986" max="9986" width="16.625" style="52" bestFit="1" customWidth="1"/>
    <col min="9987" max="9987" width="19" style="52" bestFit="1" customWidth="1"/>
    <col min="9988" max="9988" width="17.875" style="52" bestFit="1" customWidth="1"/>
    <col min="9989" max="9989" width="16.625" style="52" bestFit="1" customWidth="1"/>
    <col min="9990" max="9990" width="19" style="52" bestFit="1" customWidth="1"/>
    <col min="9991" max="9991" width="17.875" style="52" bestFit="1" customWidth="1"/>
    <col min="9992" max="9992" width="19" style="52" bestFit="1" customWidth="1"/>
    <col min="9993" max="9993" width="17.875" style="52" bestFit="1" customWidth="1"/>
    <col min="9994" max="10239" width="9" style="52"/>
    <col min="10240" max="10240" width="16.625" style="52" bestFit="1" customWidth="1"/>
    <col min="10241" max="10241" width="60.375" style="52" bestFit="1" customWidth="1"/>
    <col min="10242" max="10242" width="16.625" style="52" bestFit="1" customWidth="1"/>
    <col min="10243" max="10243" width="19" style="52" bestFit="1" customWidth="1"/>
    <col min="10244" max="10244" width="17.875" style="52" bestFit="1" customWidth="1"/>
    <col min="10245" max="10245" width="16.625" style="52" bestFit="1" customWidth="1"/>
    <col min="10246" max="10246" width="19" style="52" bestFit="1" customWidth="1"/>
    <col min="10247" max="10247" width="17.875" style="52" bestFit="1" customWidth="1"/>
    <col min="10248" max="10248" width="19" style="52" bestFit="1" customWidth="1"/>
    <col min="10249" max="10249" width="17.875" style="52" bestFit="1" customWidth="1"/>
    <col min="10250" max="10495" width="9" style="52"/>
    <col min="10496" max="10496" width="16.625" style="52" bestFit="1" customWidth="1"/>
    <col min="10497" max="10497" width="60.375" style="52" bestFit="1" customWidth="1"/>
    <col min="10498" max="10498" width="16.625" style="52" bestFit="1" customWidth="1"/>
    <col min="10499" max="10499" width="19" style="52" bestFit="1" customWidth="1"/>
    <col min="10500" max="10500" width="17.875" style="52" bestFit="1" customWidth="1"/>
    <col min="10501" max="10501" width="16.625" style="52" bestFit="1" customWidth="1"/>
    <col min="10502" max="10502" width="19" style="52" bestFit="1" customWidth="1"/>
    <col min="10503" max="10503" width="17.875" style="52" bestFit="1" customWidth="1"/>
    <col min="10504" max="10504" width="19" style="52" bestFit="1" customWidth="1"/>
    <col min="10505" max="10505" width="17.875" style="52" bestFit="1" customWidth="1"/>
    <col min="10506" max="10751" width="9" style="52"/>
    <col min="10752" max="10752" width="16.625" style="52" bestFit="1" customWidth="1"/>
    <col min="10753" max="10753" width="60.375" style="52" bestFit="1" customWidth="1"/>
    <col min="10754" max="10754" width="16.625" style="52" bestFit="1" customWidth="1"/>
    <col min="10755" max="10755" width="19" style="52" bestFit="1" customWidth="1"/>
    <col min="10756" max="10756" width="17.875" style="52" bestFit="1" customWidth="1"/>
    <col min="10757" max="10757" width="16.625" style="52" bestFit="1" customWidth="1"/>
    <col min="10758" max="10758" width="19" style="52" bestFit="1" customWidth="1"/>
    <col min="10759" max="10759" width="17.875" style="52" bestFit="1" customWidth="1"/>
    <col min="10760" max="10760" width="19" style="52" bestFit="1" customWidth="1"/>
    <col min="10761" max="10761" width="17.875" style="52" bestFit="1" customWidth="1"/>
    <col min="10762" max="11007" width="9" style="52"/>
    <col min="11008" max="11008" width="16.625" style="52" bestFit="1" customWidth="1"/>
    <col min="11009" max="11009" width="60.375" style="52" bestFit="1" customWidth="1"/>
    <col min="11010" max="11010" width="16.625" style="52" bestFit="1" customWidth="1"/>
    <col min="11011" max="11011" width="19" style="52" bestFit="1" customWidth="1"/>
    <col min="11012" max="11012" width="17.875" style="52" bestFit="1" customWidth="1"/>
    <col min="11013" max="11013" width="16.625" style="52" bestFit="1" customWidth="1"/>
    <col min="11014" max="11014" width="19" style="52" bestFit="1" customWidth="1"/>
    <col min="11015" max="11015" width="17.875" style="52" bestFit="1" customWidth="1"/>
    <col min="11016" max="11016" width="19" style="52" bestFit="1" customWidth="1"/>
    <col min="11017" max="11017" width="17.875" style="52" bestFit="1" customWidth="1"/>
    <col min="11018" max="11263" width="9" style="52"/>
    <col min="11264" max="11264" width="16.625" style="52" bestFit="1" customWidth="1"/>
    <col min="11265" max="11265" width="60.375" style="52" bestFit="1" customWidth="1"/>
    <col min="11266" max="11266" width="16.625" style="52" bestFit="1" customWidth="1"/>
    <col min="11267" max="11267" width="19" style="52" bestFit="1" customWidth="1"/>
    <col min="11268" max="11268" width="17.875" style="52" bestFit="1" customWidth="1"/>
    <col min="11269" max="11269" width="16.625" style="52" bestFit="1" customWidth="1"/>
    <col min="11270" max="11270" width="19" style="52" bestFit="1" customWidth="1"/>
    <col min="11271" max="11271" width="17.875" style="52" bestFit="1" customWidth="1"/>
    <col min="11272" max="11272" width="19" style="52" bestFit="1" customWidth="1"/>
    <col min="11273" max="11273" width="17.875" style="52" bestFit="1" customWidth="1"/>
    <col min="11274" max="11519" width="9" style="52"/>
    <col min="11520" max="11520" width="16.625" style="52" bestFit="1" customWidth="1"/>
    <col min="11521" max="11521" width="60.375" style="52" bestFit="1" customWidth="1"/>
    <col min="11522" max="11522" width="16.625" style="52" bestFit="1" customWidth="1"/>
    <col min="11523" max="11523" width="19" style="52" bestFit="1" customWidth="1"/>
    <col min="11524" max="11524" width="17.875" style="52" bestFit="1" customWidth="1"/>
    <col min="11525" max="11525" width="16.625" style="52" bestFit="1" customWidth="1"/>
    <col min="11526" max="11526" width="19" style="52" bestFit="1" customWidth="1"/>
    <col min="11527" max="11527" width="17.875" style="52" bestFit="1" customWidth="1"/>
    <col min="11528" max="11528" width="19" style="52" bestFit="1" customWidth="1"/>
    <col min="11529" max="11529" width="17.875" style="52" bestFit="1" customWidth="1"/>
    <col min="11530" max="11775" width="9" style="52"/>
    <col min="11776" max="11776" width="16.625" style="52" bestFit="1" customWidth="1"/>
    <col min="11777" max="11777" width="60.375" style="52" bestFit="1" customWidth="1"/>
    <col min="11778" max="11778" width="16.625" style="52" bestFit="1" customWidth="1"/>
    <col min="11779" max="11779" width="19" style="52" bestFit="1" customWidth="1"/>
    <col min="11780" max="11780" width="17.875" style="52" bestFit="1" customWidth="1"/>
    <col min="11781" max="11781" width="16.625" style="52" bestFit="1" customWidth="1"/>
    <col min="11782" max="11782" width="19" style="52" bestFit="1" customWidth="1"/>
    <col min="11783" max="11783" width="17.875" style="52" bestFit="1" customWidth="1"/>
    <col min="11784" max="11784" width="19" style="52" bestFit="1" customWidth="1"/>
    <col min="11785" max="11785" width="17.875" style="52" bestFit="1" customWidth="1"/>
    <col min="11786" max="12031" width="9" style="52"/>
    <col min="12032" max="12032" width="16.625" style="52" bestFit="1" customWidth="1"/>
    <col min="12033" max="12033" width="60.375" style="52" bestFit="1" customWidth="1"/>
    <col min="12034" max="12034" width="16.625" style="52" bestFit="1" customWidth="1"/>
    <col min="12035" max="12035" width="19" style="52" bestFit="1" customWidth="1"/>
    <col min="12036" max="12036" width="17.875" style="52" bestFit="1" customWidth="1"/>
    <col min="12037" max="12037" width="16.625" style="52" bestFit="1" customWidth="1"/>
    <col min="12038" max="12038" width="19" style="52" bestFit="1" customWidth="1"/>
    <col min="12039" max="12039" width="17.875" style="52" bestFit="1" customWidth="1"/>
    <col min="12040" max="12040" width="19" style="52" bestFit="1" customWidth="1"/>
    <col min="12041" max="12041" width="17.875" style="52" bestFit="1" customWidth="1"/>
    <col min="12042" max="12287" width="9" style="52"/>
    <col min="12288" max="12288" width="16.625" style="52" bestFit="1" customWidth="1"/>
    <col min="12289" max="12289" width="60.375" style="52" bestFit="1" customWidth="1"/>
    <col min="12290" max="12290" width="16.625" style="52" bestFit="1" customWidth="1"/>
    <col min="12291" max="12291" width="19" style="52" bestFit="1" customWidth="1"/>
    <col min="12292" max="12292" width="17.875" style="52" bestFit="1" customWidth="1"/>
    <col min="12293" max="12293" width="16.625" style="52" bestFit="1" customWidth="1"/>
    <col min="12294" max="12294" width="19" style="52" bestFit="1" customWidth="1"/>
    <col min="12295" max="12295" width="17.875" style="52" bestFit="1" customWidth="1"/>
    <col min="12296" max="12296" width="19" style="52" bestFit="1" customWidth="1"/>
    <col min="12297" max="12297" width="17.875" style="52" bestFit="1" customWidth="1"/>
    <col min="12298" max="12543" width="9" style="52"/>
    <col min="12544" max="12544" width="16.625" style="52" bestFit="1" customWidth="1"/>
    <col min="12545" max="12545" width="60.375" style="52" bestFit="1" customWidth="1"/>
    <col min="12546" max="12546" width="16.625" style="52" bestFit="1" customWidth="1"/>
    <col min="12547" max="12547" width="19" style="52" bestFit="1" customWidth="1"/>
    <col min="12548" max="12548" width="17.875" style="52" bestFit="1" customWidth="1"/>
    <col min="12549" max="12549" width="16.625" style="52" bestFit="1" customWidth="1"/>
    <col min="12550" max="12550" width="19" style="52" bestFit="1" customWidth="1"/>
    <col min="12551" max="12551" width="17.875" style="52" bestFit="1" customWidth="1"/>
    <col min="12552" max="12552" width="19" style="52" bestFit="1" customWidth="1"/>
    <col min="12553" max="12553" width="17.875" style="52" bestFit="1" customWidth="1"/>
    <col min="12554" max="12799" width="9" style="52"/>
    <col min="12800" max="12800" width="16.625" style="52" bestFit="1" customWidth="1"/>
    <col min="12801" max="12801" width="60.375" style="52" bestFit="1" customWidth="1"/>
    <col min="12802" max="12802" width="16.625" style="52" bestFit="1" customWidth="1"/>
    <col min="12803" max="12803" width="19" style="52" bestFit="1" customWidth="1"/>
    <col min="12804" max="12804" width="17.875" style="52" bestFit="1" customWidth="1"/>
    <col min="12805" max="12805" width="16.625" style="52" bestFit="1" customWidth="1"/>
    <col min="12806" max="12806" width="19" style="52" bestFit="1" customWidth="1"/>
    <col min="12807" max="12807" width="17.875" style="52" bestFit="1" customWidth="1"/>
    <col min="12808" max="12808" width="19" style="52" bestFit="1" customWidth="1"/>
    <col min="12809" max="12809" width="17.875" style="52" bestFit="1" customWidth="1"/>
    <col min="12810" max="13055" width="9" style="52"/>
    <col min="13056" max="13056" width="16.625" style="52" bestFit="1" customWidth="1"/>
    <col min="13057" max="13057" width="60.375" style="52" bestFit="1" customWidth="1"/>
    <col min="13058" max="13058" width="16.625" style="52" bestFit="1" customWidth="1"/>
    <col min="13059" max="13059" width="19" style="52" bestFit="1" customWidth="1"/>
    <col min="13060" max="13060" width="17.875" style="52" bestFit="1" customWidth="1"/>
    <col min="13061" max="13061" width="16.625" style="52" bestFit="1" customWidth="1"/>
    <col min="13062" max="13062" width="19" style="52" bestFit="1" customWidth="1"/>
    <col min="13063" max="13063" width="17.875" style="52" bestFit="1" customWidth="1"/>
    <col min="13064" max="13064" width="19" style="52" bestFit="1" customWidth="1"/>
    <col min="13065" max="13065" width="17.875" style="52" bestFit="1" customWidth="1"/>
    <col min="13066" max="13311" width="9" style="52"/>
    <col min="13312" max="13312" width="16.625" style="52" bestFit="1" customWidth="1"/>
    <col min="13313" max="13313" width="60.375" style="52" bestFit="1" customWidth="1"/>
    <col min="13314" max="13314" width="16.625" style="52" bestFit="1" customWidth="1"/>
    <col min="13315" max="13315" width="19" style="52" bestFit="1" customWidth="1"/>
    <col min="13316" max="13316" width="17.875" style="52" bestFit="1" customWidth="1"/>
    <col min="13317" max="13317" width="16.625" style="52" bestFit="1" customWidth="1"/>
    <col min="13318" max="13318" width="19" style="52" bestFit="1" customWidth="1"/>
    <col min="13319" max="13319" width="17.875" style="52" bestFit="1" customWidth="1"/>
    <col min="13320" max="13320" width="19" style="52" bestFit="1" customWidth="1"/>
    <col min="13321" max="13321" width="17.875" style="52" bestFit="1" customWidth="1"/>
    <col min="13322" max="13567" width="9" style="52"/>
    <col min="13568" max="13568" width="16.625" style="52" bestFit="1" customWidth="1"/>
    <col min="13569" max="13569" width="60.375" style="52" bestFit="1" customWidth="1"/>
    <col min="13570" max="13570" width="16.625" style="52" bestFit="1" customWidth="1"/>
    <col min="13571" max="13571" width="19" style="52" bestFit="1" customWidth="1"/>
    <col min="13572" max="13572" width="17.875" style="52" bestFit="1" customWidth="1"/>
    <col min="13573" max="13573" width="16.625" style="52" bestFit="1" customWidth="1"/>
    <col min="13574" max="13574" width="19" style="52" bestFit="1" customWidth="1"/>
    <col min="13575" max="13575" width="17.875" style="52" bestFit="1" customWidth="1"/>
    <col min="13576" max="13576" width="19" style="52" bestFit="1" customWidth="1"/>
    <col min="13577" max="13577" width="17.875" style="52" bestFit="1" customWidth="1"/>
    <col min="13578" max="13823" width="9" style="52"/>
    <col min="13824" max="13824" width="16.625" style="52" bestFit="1" customWidth="1"/>
    <col min="13825" max="13825" width="60.375" style="52" bestFit="1" customWidth="1"/>
    <col min="13826" max="13826" width="16.625" style="52" bestFit="1" customWidth="1"/>
    <col min="13827" max="13827" width="19" style="52" bestFit="1" customWidth="1"/>
    <col min="13828" max="13828" width="17.875" style="52" bestFit="1" customWidth="1"/>
    <col min="13829" max="13829" width="16.625" style="52" bestFit="1" customWidth="1"/>
    <col min="13830" max="13830" width="19" style="52" bestFit="1" customWidth="1"/>
    <col min="13831" max="13831" width="17.875" style="52" bestFit="1" customWidth="1"/>
    <col min="13832" max="13832" width="19" style="52" bestFit="1" customWidth="1"/>
    <col min="13833" max="13833" width="17.875" style="52" bestFit="1" customWidth="1"/>
    <col min="13834" max="14079" width="9" style="52"/>
    <col min="14080" max="14080" width="16.625" style="52" bestFit="1" customWidth="1"/>
    <col min="14081" max="14081" width="60.375" style="52" bestFit="1" customWidth="1"/>
    <col min="14082" max="14082" width="16.625" style="52" bestFit="1" customWidth="1"/>
    <col min="14083" max="14083" width="19" style="52" bestFit="1" customWidth="1"/>
    <col min="14084" max="14084" width="17.875" style="52" bestFit="1" customWidth="1"/>
    <col min="14085" max="14085" width="16.625" style="52" bestFit="1" customWidth="1"/>
    <col min="14086" max="14086" width="19" style="52" bestFit="1" customWidth="1"/>
    <col min="14087" max="14087" width="17.875" style="52" bestFit="1" customWidth="1"/>
    <col min="14088" max="14088" width="19" style="52" bestFit="1" customWidth="1"/>
    <col min="14089" max="14089" width="17.875" style="52" bestFit="1" customWidth="1"/>
    <col min="14090" max="14335" width="9" style="52"/>
    <col min="14336" max="14336" width="16.625" style="52" bestFit="1" customWidth="1"/>
    <col min="14337" max="14337" width="60.375" style="52" bestFit="1" customWidth="1"/>
    <col min="14338" max="14338" width="16.625" style="52" bestFit="1" customWidth="1"/>
    <col min="14339" max="14339" width="19" style="52" bestFit="1" customWidth="1"/>
    <col min="14340" max="14340" width="17.875" style="52" bestFit="1" customWidth="1"/>
    <col min="14341" max="14341" width="16.625" style="52" bestFit="1" customWidth="1"/>
    <col min="14342" max="14342" width="19" style="52" bestFit="1" customWidth="1"/>
    <col min="14343" max="14343" width="17.875" style="52" bestFit="1" customWidth="1"/>
    <col min="14344" max="14344" width="19" style="52" bestFit="1" customWidth="1"/>
    <col min="14345" max="14345" width="17.875" style="52" bestFit="1" customWidth="1"/>
    <col min="14346" max="14591" width="9" style="52"/>
    <col min="14592" max="14592" width="16.625" style="52" bestFit="1" customWidth="1"/>
    <col min="14593" max="14593" width="60.375" style="52" bestFit="1" customWidth="1"/>
    <col min="14594" max="14594" width="16.625" style="52" bestFit="1" customWidth="1"/>
    <col min="14595" max="14595" width="19" style="52" bestFit="1" customWidth="1"/>
    <col min="14596" max="14596" width="17.875" style="52" bestFit="1" customWidth="1"/>
    <col min="14597" max="14597" width="16.625" style="52" bestFit="1" customWidth="1"/>
    <col min="14598" max="14598" width="19" style="52" bestFit="1" customWidth="1"/>
    <col min="14599" max="14599" width="17.875" style="52" bestFit="1" customWidth="1"/>
    <col min="14600" max="14600" width="19" style="52" bestFit="1" customWidth="1"/>
    <col min="14601" max="14601" width="17.875" style="52" bestFit="1" customWidth="1"/>
    <col min="14602" max="14847" width="9" style="52"/>
    <col min="14848" max="14848" width="16.625" style="52" bestFit="1" customWidth="1"/>
    <col min="14849" max="14849" width="60.375" style="52" bestFit="1" customWidth="1"/>
    <col min="14850" max="14850" width="16.625" style="52" bestFit="1" customWidth="1"/>
    <col min="14851" max="14851" width="19" style="52" bestFit="1" customWidth="1"/>
    <col min="14852" max="14852" width="17.875" style="52" bestFit="1" customWidth="1"/>
    <col min="14853" max="14853" width="16.625" style="52" bestFit="1" customWidth="1"/>
    <col min="14854" max="14854" width="19" style="52" bestFit="1" customWidth="1"/>
    <col min="14855" max="14855" width="17.875" style="52" bestFit="1" customWidth="1"/>
    <col min="14856" max="14856" width="19" style="52" bestFit="1" customWidth="1"/>
    <col min="14857" max="14857" width="17.875" style="52" bestFit="1" customWidth="1"/>
    <col min="14858" max="15103" width="9" style="52"/>
    <col min="15104" max="15104" width="16.625" style="52" bestFit="1" customWidth="1"/>
    <col min="15105" max="15105" width="60.375" style="52" bestFit="1" customWidth="1"/>
    <col min="15106" max="15106" width="16.625" style="52" bestFit="1" customWidth="1"/>
    <col min="15107" max="15107" width="19" style="52" bestFit="1" customWidth="1"/>
    <col min="15108" max="15108" width="17.875" style="52" bestFit="1" customWidth="1"/>
    <col min="15109" max="15109" width="16.625" style="52" bestFit="1" customWidth="1"/>
    <col min="15110" max="15110" width="19" style="52" bestFit="1" customWidth="1"/>
    <col min="15111" max="15111" width="17.875" style="52" bestFit="1" customWidth="1"/>
    <col min="15112" max="15112" width="19" style="52" bestFit="1" customWidth="1"/>
    <col min="15113" max="15113" width="17.875" style="52" bestFit="1" customWidth="1"/>
    <col min="15114" max="15359" width="9" style="52"/>
    <col min="15360" max="15360" width="16.625" style="52" bestFit="1" customWidth="1"/>
    <col min="15361" max="15361" width="60.375" style="52" bestFit="1" customWidth="1"/>
    <col min="15362" max="15362" width="16.625" style="52" bestFit="1" customWidth="1"/>
    <col min="15363" max="15363" width="19" style="52" bestFit="1" customWidth="1"/>
    <col min="15364" max="15364" width="17.875" style="52" bestFit="1" customWidth="1"/>
    <col min="15365" max="15365" width="16.625" style="52" bestFit="1" customWidth="1"/>
    <col min="15366" max="15366" width="19" style="52" bestFit="1" customWidth="1"/>
    <col min="15367" max="15367" width="17.875" style="52" bestFit="1" customWidth="1"/>
    <col min="15368" max="15368" width="19" style="52" bestFit="1" customWidth="1"/>
    <col min="15369" max="15369" width="17.875" style="52" bestFit="1" customWidth="1"/>
    <col min="15370" max="15615" width="9" style="52"/>
    <col min="15616" max="15616" width="16.625" style="52" bestFit="1" customWidth="1"/>
    <col min="15617" max="15617" width="60.375" style="52" bestFit="1" customWidth="1"/>
    <col min="15618" max="15618" width="16.625" style="52" bestFit="1" customWidth="1"/>
    <col min="15619" max="15619" width="19" style="52" bestFit="1" customWidth="1"/>
    <col min="15620" max="15620" width="17.875" style="52" bestFit="1" customWidth="1"/>
    <col min="15621" max="15621" width="16.625" style="52" bestFit="1" customWidth="1"/>
    <col min="15622" max="15622" width="19" style="52" bestFit="1" customWidth="1"/>
    <col min="15623" max="15623" width="17.875" style="52" bestFit="1" customWidth="1"/>
    <col min="15624" max="15624" width="19" style="52" bestFit="1" customWidth="1"/>
    <col min="15625" max="15625" width="17.875" style="52" bestFit="1" customWidth="1"/>
    <col min="15626" max="15871" width="9" style="52"/>
    <col min="15872" max="15872" width="16.625" style="52" bestFit="1" customWidth="1"/>
    <col min="15873" max="15873" width="60.375" style="52" bestFit="1" customWidth="1"/>
    <col min="15874" max="15874" width="16.625" style="52" bestFit="1" customWidth="1"/>
    <col min="15875" max="15875" width="19" style="52" bestFit="1" customWidth="1"/>
    <col min="15876" max="15876" width="17.875" style="52" bestFit="1" customWidth="1"/>
    <col min="15877" max="15877" width="16.625" style="52" bestFit="1" customWidth="1"/>
    <col min="15878" max="15878" width="19" style="52" bestFit="1" customWidth="1"/>
    <col min="15879" max="15879" width="17.875" style="52" bestFit="1" customWidth="1"/>
    <col min="15880" max="15880" width="19" style="52" bestFit="1" customWidth="1"/>
    <col min="15881" max="15881" width="17.875" style="52" bestFit="1" customWidth="1"/>
    <col min="15882" max="16127" width="9" style="52"/>
    <col min="16128" max="16128" width="16.625" style="52" bestFit="1" customWidth="1"/>
    <col min="16129" max="16129" width="60.375" style="52" bestFit="1" customWidth="1"/>
    <col min="16130" max="16130" width="16.625" style="52" bestFit="1" customWidth="1"/>
    <col min="16131" max="16131" width="19" style="52" bestFit="1" customWidth="1"/>
    <col min="16132" max="16132" width="17.875" style="52" bestFit="1" customWidth="1"/>
    <col min="16133" max="16133" width="16.625" style="52" bestFit="1" customWidth="1"/>
    <col min="16134" max="16134" width="19" style="52" bestFit="1" customWidth="1"/>
    <col min="16135" max="16135" width="17.875" style="52" bestFit="1" customWidth="1"/>
    <col min="16136" max="16136" width="19" style="52" bestFit="1" customWidth="1"/>
    <col min="16137" max="16137" width="17.875" style="52" bestFit="1" customWidth="1"/>
    <col min="16138" max="16384" width="9" style="52"/>
  </cols>
  <sheetData>
    <row r="1" spans="1:9">
      <c r="A1" s="690" t="s">
        <v>8938</v>
      </c>
      <c r="B1" s="219" t="s">
        <v>8934</v>
      </c>
      <c r="C1" s="219" t="s">
        <v>1400</v>
      </c>
      <c r="D1" s="219" t="s">
        <v>8935</v>
      </c>
      <c r="E1" s="219" t="s">
        <v>8936</v>
      </c>
      <c r="F1" s="219" t="s">
        <v>8871</v>
      </c>
      <c r="G1" s="219" t="s">
        <v>1403</v>
      </c>
      <c r="H1" s="936" t="s">
        <v>10716</v>
      </c>
    </row>
    <row r="2" spans="1:9" ht="13.5" thickBot="1">
      <c r="A2" s="691"/>
      <c r="B2" s="56"/>
      <c r="C2" s="56"/>
      <c r="D2" s="56" t="s">
        <v>7913</v>
      </c>
      <c r="E2" s="56" t="s">
        <v>7913</v>
      </c>
      <c r="F2" s="56" t="s">
        <v>8907</v>
      </c>
      <c r="G2" s="56"/>
      <c r="H2" s="937" t="s">
        <v>10717</v>
      </c>
    </row>
    <row r="3" spans="1:9" ht="15">
      <c r="A3" s="622" t="s">
        <v>8095</v>
      </c>
      <c r="B3" s="597" t="str">
        <f>"M_"&amp;A3</f>
        <v>M_PZ2102A</v>
      </c>
      <c r="C3" s="154" t="s">
        <v>1408</v>
      </c>
      <c r="D3" s="595">
        <f>(VLOOKUP($A3,Pump!$F$5:$Z$103,16,0)-101325)/100000</f>
        <v>7.6811901069202495</v>
      </c>
      <c r="E3" s="595">
        <f>(VLOOKUP($A3,Pump!$F$5:$Z$103,18,0)-101325)/100000</f>
        <v>33.672888255965795</v>
      </c>
      <c r="F3" s="595">
        <f>VLOOKUP($A3,Pump!$F$5:$Z$103,20,0)*3600</f>
        <v>420.29619484348081</v>
      </c>
      <c r="G3" s="328" t="s">
        <v>1409</v>
      </c>
      <c r="H3" s="935">
        <v>508</v>
      </c>
    </row>
    <row r="4" spans="1:9" ht="15">
      <c r="A4" s="258" t="s">
        <v>1410</v>
      </c>
      <c r="B4" s="596" t="str">
        <f t="shared" ref="B4:B48" si="0">"M_"&amp;A4</f>
        <v>M_PZ2102B</v>
      </c>
      <c r="C4" s="116" t="s">
        <v>1408</v>
      </c>
      <c r="D4" s="595">
        <f>(VLOOKUP($A4,Pump!$F$5:$Z$103,16,0)-101325)/100000</f>
        <v>7.6811901069202495</v>
      </c>
      <c r="E4" s="595">
        <f>(VLOOKUP($A4,Pump!$F$5:$Z$103,18,0)-101325)/100000</f>
        <v>33.672888255965795</v>
      </c>
      <c r="F4" s="595">
        <f>VLOOKUP($A4,Pump!$F$5:$Z$103,20,0)*3600</f>
        <v>420.29619484348081</v>
      </c>
      <c r="G4" s="166"/>
      <c r="H4" s="933">
        <v>508</v>
      </c>
      <c r="I4" s="938" t="s">
        <v>10718</v>
      </c>
    </row>
    <row r="5" spans="1:9" ht="15">
      <c r="A5" s="258" t="s">
        <v>1411</v>
      </c>
      <c r="B5" s="596" t="str">
        <f t="shared" si="0"/>
        <v>M_PZ2102C</v>
      </c>
      <c r="C5" s="116" t="s">
        <v>1408</v>
      </c>
      <c r="D5" s="595">
        <f>(VLOOKUP($A5,Pump!$F$5:$Z$103,16,0)-101325)/100000</f>
        <v>7.6811901069202495</v>
      </c>
      <c r="E5" s="595">
        <f>(VLOOKUP($A5,Pump!$F$5:$Z$103,18,0)-101325)/100000</f>
        <v>33.672888255965795</v>
      </c>
      <c r="F5" s="595">
        <f>VLOOKUP($A5,Pump!$F$5:$Z$103,20,0)*3600</f>
        <v>420.29619484348081</v>
      </c>
      <c r="G5" s="166"/>
      <c r="H5" s="933">
        <v>508</v>
      </c>
      <c r="I5" s="925"/>
    </row>
    <row r="6" spans="1:9" ht="15">
      <c r="A6" s="258" t="s">
        <v>1412</v>
      </c>
      <c r="B6" s="596" t="str">
        <f t="shared" si="0"/>
        <v>M_PZ2103A</v>
      </c>
      <c r="C6" s="116" t="s">
        <v>1414</v>
      </c>
      <c r="D6" s="595">
        <f>(VLOOKUP($A6,Pump!$F$5:$Z$103,16,0)-101325)/100000</f>
        <v>2.4645231561972398</v>
      </c>
      <c r="E6" s="595">
        <f>(VLOOKUP($A6,Pump!$F$5:$Z$103,18,0)-101325)/100000</f>
        <v>9.5431267804486009</v>
      </c>
      <c r="F6" s="595">
        <f>VLOOKUP($A6,Pump!$F$5:$Z$103,20,0)*3600</f>
        <v>461.70199523132277</v>
      </c>
      <c r="G6" s="166"/>
      <c r="H6" s="933">
        <v>644</v>
      </c>
      <c r="I6" s="925"/>
    </row>
    <row r="7" spans="1:9" ht="15">
      <c r="A7" s="258" t="s">
        <v>1416</v>
      </c>
      <c r="B7" s="596" t="str">
        <f t="shared" si="0"/>
        <v>M_PZ2103B</v>
      </c>
      <c r="C7" s="116" t="s">
        <v>1414</v>
      </c>
      <c r="D7" s="595">
        <f>(VLOOKUP($A7,Pump!$F$5:$Z$103,16,0)-101325)/100000</f>
        <v>3.32871517322388</v>
      </c>
      <c r="E7" s="595">
        <f>(VLOOKUP($A7,Pump!$F$5:$Z$103,18,0)-101325)/100000</f>
        <v>4.6378804125234296</v>
      </c>
      <c r="F7" s="595">
        <f>VLOOKUP($A7,Pump!$F$5:$Z$103,20,0)*3600</f>
        <v>0</v>
      </c>
      <c r="G7" s="166"/>
      <c r="H7" s="933">
        <v>644</v>
      </c>
      <c r="I7" s="938" t="s">
        <v>10719</v>
      </c>
    </row>
    <row r="8" spans="1:9" ht="15">
      <c r="A8" s="258" t="s">
        <v>1417</v>
      </c>
      <c r="B8" s="596" t="str">
        <f t="shared" si="0"/>
        <v>M_PZ2103C</v>
      </c>
      <c r="C8" s="116" t="s">
        <v>1414</v>
      </c>
      <c r="D8" s="595">
        <f>(VLOOKUP($A8,Pump!$F$5:$Z$103,16,0)-101325)/100000</f>
        <v>2.4720163389747198</v>
      </c>
      <c r="E8" s="595">
        <f>(VLOOKUP($A8,Pump!$F$5:$Z$103,18,0)-101325)/100000</f>
        <v>9.5516154808730001</v>
      </c>
      <c r="F8" s="595">
        <f>VLOOKUP($A8,Pump!$F$5:$Z$103,20,0)*3600</f>
        <v>477.09069167908081</v>
      </c>
      <c r="G8" s="166"/>
      <c r="H8" s="933">
        <v>644</v>
      </c>
      <c r="I8" s="925"/>
    </row>
    <row r="9" spans="1:9" ht="15">
      <c r="A9" s="258" t="s">
        <v>1418</v>
      </c>
      <c r="B9" s="596" t="str">
        <f t="shared" si="0"/>
        <v>M_PZ2104A</v>
      </c>
      <c r="C9" s="116" t="s">
        <v>1420</v>
      </c>
      <c r="D9" s="595">
        <f>(VLOOKUP($A9,Pump!$F$5:$Z$103,16,0)-101325)/100000</f>
        <v>2.9203885557884797</v>
      </c>
      <c r="E9" s="595">
        <f>(VLOOKUP($A9,Pump!$F$5:$Z$103,18,0)-101325)/100000</f>
        <v>11.177313523434201</v>
      </c>
      <c r="F9" s="595">
        <f>VLOOKUP($A9,Pump!$F$5:$Z$103,20,0)*3600</f>
        <v>512.66372490451431</v>
      </c>
      <c r="G9" s="166"/>
      <c r="H9" s="933">
        <v>613</v>
      </c>
      <c r="I9" s="925"/>
    </row>
    <row r="10" spans="1:9" ht="15">
      <c r="A10" s="258" t="s">
        <v>1422</v>
      </c>
      <c r="B10" s="596" t="str">
        <f t="shared" si="0"/>
        <v>M_PZ2104B</v>
      </c>
      <c r="C10" s="116" t="s">
        <v>1420</v>
      </c>
      <c r="D10" s="595">
        <f>(VLOOKUP($A10,Pump!$F$5:$Z$103,16,0)-101325)/100000</f>
        <v>2.9203885557884797</v>
      </c>
      <c r="E10" s="595">
        <f>(VLOOKUP($A10,Pump!$F$5:$Z$103,18,0)-101325)/100000</f>
        <v>11.177313523434201</v>
      </c>
      <c r="F10" s="595">
        <f>VLOOKUP($A10,Pump!$F$5:$Z$103,20,0)*3600</f>
        <v>512.66372490451079</v>
      </c>
      <c r="G10" s="166"/>
      <c r="H10" s="933">
        <v>613</v>
      </c>
      <c r="I10" s="938" t="s">
        <v>10720</v>
      </c>
    </row>
    <row r="11" spans="1:9" ht="15">
      <c r="A11" s="258" t="s">
        <v>1423</v>
      </c>
      <c r="B11" s="596" t="str">
        <f t="shared" si="0"/>
        <v>M_PZ2104C</v>
      </c>
      <c r="C11" s="116" t="s">
        <v>1420</v>
      </c>
      <c r="D11" s="595">
        <f>(VLOOKUP($A11,Pump!$F$5:$Z$103,16,0)-101325)/100000</f>
        <v>2.9203885557884797</v>
      </c>
      <c r="E11" s="595">
        <f>(VLOOKUP($A11,Pump!$F$5:$Z$103,18,0)-101325)/100000</f>
        <v>10.441687420705101</v>
      </c>
      <c r="F11" s="595">
        <f>VLOOKUP($A11,Pump!$F$5:$Z$103,20,0)*3600</f>
        <v>0</v>
      </c>
      <c r="G11" s="166"/>
      <c r="H11" s="933">
        <v>613</v>
      </c>
      <c r="I11" s="925"/>
    </row>
    <row r="12" spans="1:9" ht="15">
      <c r="A12" s="258" t="s">
        <v>1424</v>
      </c>
      <c r="B12" s="596" t="str">
        <f t="shared" si="0"/>
        <v>M_PZ2105A</v>
      </c>
      <c r="C12" s="116" t="s">
        <v>1420</v>
      </c>
      <c r="D12" s="595">
        <f>(VLOOKUP($A12,Pump!$F$5:$Z$103,16,0)-101325)/100000</f>
        <v>2.6367746086775501</v>
      </c>
      <c r="E12" s="595">
        <f>(VLOOKUP($A12,Pump!$F$5:$Z$103,18,0)-101325)/100000</f>
        <v>6.4414854244131803</v>
      </c>
      <c r="F12" s="595">
        <f>VLOOKUP($A12,Pump!$F$5:$Z$103,20,0)*3600</f>
        <v>888.76009517983198</v>
      </c>
      <c r="G12" s="166"/>
      <c r="H12" s="933">
        <v>936</v>
      </c>
      <c r="I12" s="925"/>
    </row>
    <row r="13" spans="1:9" ht="15">
      <c r="A13" s="258" t="s">
        <v>1427</v>
      </c>
      <c r="B13" s="596" t="str">
        <f t="shared" si="0"/>
        <v>M_PZ2105B</v>
      </c>
      <c r="C13" s="116" t="s">
        <v>1420</v>
      </c>
      <c r="D13" s="595">
        <f>(VLOOKUP($A13,Pump!$F$5:$Z$103,16,0)-101325)/100000</f>
        <v>2.6367746086775501</v>
      </c>
      <c r="E13" s="595">
        <f>(VLOOKUP($A13,Pump!$F$5:$Z$103,18,0)-101325)/100000</f>
        <v>5.7793182123807902</v>
      </c>
      <c r="F13" s="595">
        <f>VLOOKUP($A13,Pump!$F$5:$Z$103,20,0)*3600</f>
        <v>0</v>
      </c>
      <c r="G13" s="166"/>
      <c r="H13" s="933">
        <v>936</v>
      </c>
      <c r="I13" s="925"/>
    </row>
    <row r="14" spans="1:9" ht="15">
      <c r="A14" s="258" t="s">
        <v>1428</v>
      </c>
      <c r="B14" s="596" t="str">
        <f t="shared" si="0"/>
        <v>M_PZ2106A</v>
      </c>
      <c r="C14" s="116" t="s">
        <v>1414</v>
      </c>
      <c r="D14" s="595">
        <f>(VLOOKUP($A14,Pump!$F$5:$Z$103,16,0)-101325)/100000</f>
        <v>2.6747723860553196</v>
      </c>
      <c r="E14" s="595">
        <f>(VLOOKUP($A14,Pump!$F$5:$Z$103,18,0)-101325)/100000</f>
        <v>25.206131696123801</v>
      </c>
      <c r="F14" s="595">
        <f>VLOOKUP($A14,Pump!$F$5:$Z$103,20,0)*3600</f>
        <v>304.98944773873177</v>
      </c>
      <c r="G14" s="166"/>
      <c r="H14" s="933">
        <v>418</v>
      </c>
      <c r="I14" s="938" t="s">
        <v>10721</v>
      </c>
    </row>
    <row r="15" spans="1:9" ht="15">
      <c r="A15" s="258" t="s">
        <v>1431</v>
      </c>
      <c r="B15" s="596" t="str">
        <f t="shared" si="0"/>
        <v>M_PZ2106B</v>
      </c>
      <c r="C15" s="116" t="s">
        <v>1414</v>
      </c>
      <c r="D15" s="595">
        <f>(VLOOKUP($A15,Pump!$F$5:$Z$103,16,0)-101325)/100000</f>
        <v>2.6747689104505699</v>
      </c>
      <c r="E15" s="595">
        <f>(VLOOKUP($A15,Pump!$F$5:$Z$103,18,0)-101325)/100000</f>
        <v>25.206131696123801</v>
      </c>
      <c r="F15" s="595">
        <f>VLOOKUP($A15,Pump!$F$5:$Z$103,20,0)*3600</f>
        <v>304.98944773873177</v>
      </c>
      <c r="G15" s="166"/>
      <c r="H15" s="933">
        <v>418</v>
      </c>
      <c r="I15" s="925"/>
    </row>
    <row r="16" spans="1:9" ht="15">
      <c r="A16" s="258" t="s">
        <v>1432</v>
      </c>
      <c r="B16" s="596" t="str">
        <f t="shared" si="0"/>
        <v>M_PZ2106C</v>
      </c>
      <c r="C16" s="116" t="s">
        <v>1414</v>
      </c>
      <c r="D16" s="595">
        <f>(VLOOKUP($A16,Pump!$F$5:$Z$103,16,0)-101325)/100000</f>
        <v>2.6747689104505699</v>
      </c>
      <c r="E16" s="595">
        <f>(VLOOKUP($A16,Pump!$F$5:$Z$103,18,0)-101325)/100000</f>
        <v>23.2182822326684</v>
      </c>
      <c r="F16" s="595">
        <f>VLOOKUP($A16,Pump!$F$5:$Z$103,20,0)*3600</f>
        <v>0</v>
      </c>
      <c r="G16" s="166"/>
      <c r="H16" s="933">
        <v>418</v>
      </c>
      <c r="I16" s="925"/>
    </row>
    <row r="17" spans="1:9" ht="15">
      <c r="A17" s="258" t="s">
        <v>8094</v>
      </c>
      <c r="B17" s="596" t="str">
        <f t="shared" si="0"/>
        <v>M_PZ2107A</v>
      </c>
      <c r="C17" s="116" t="s">
        <v>1435</v>
      </c>
      <c r="D17" s="595">
        <f>(VLOOKUP($A17,Pump!$F$5:$Z$103,16,0)-101325)/100000</f>
        <v>-0.66494089830102898</v>
      </c>
      <c r="E17" s="595">
        <f>(VLOOKUP($A17,Pump!$F$5:$Z$103,18,0)-101325)/100000</f>
        <v>10.9976539170673</v>
      </c>
      <c r="F17" s="595">
        <f>VLOOKUP($A17,Pump!$F$5:$Z$103,20,0)*3600</f>
        <v>189.04881971581597</v>
      </c>
      <c r="G17" s="166"/>
      <c r="H17" s="933">
        <v>268</v>
      </c>
      <c r="I17" s="938" t="s">
        <v>10722</v>
      </c>
    </row>
    <row r="18" spans="1:9" ht="15">
      <c r="A18" s="258" t="s">
        <v>1437</v>
      </c>
      <c r="B18" s="596" t="str">
        <f t="shared" si="0"/>
        <v>M_PZ2107B</v>
      </c>
      <c r="C18" s="116" t="s">
        <v>1435</v>
      </c>
      <c r="D18" s="595">
        <f>(VLOOKUP($A18,Pump!$F$5:$Z$103,16,0)-101325)/100000</f>
        <v>-0.68225160304424903</v>
      </c>
      <c r="E18" s="595">
        <f>(VLOOKUP($A18,Pump!$F$5:$Z$103,18,0)-101325)/100000</f>
        <v>10.982951062399101</v>
      </c>
      <c r="F18" s="595">
        <f>VLOOKUP($A18,Pump!$F$5:$Z$103,20,0)*3600</f>
        <v>127.89794107265362</v>
      </c>
      <c r="G18" s="166"/>
      <c r="H18" s="933">
        <v>268</v>
      </c>
    </row>
    <row r="19" spans="1:9" ht="15">
      <c r="A19" s="258" t="s">
        <v>1439</v>
      </c>
      <c r="B19" s="596" t="str">
        <f t="shared" si="0"/>
        <v>M_PZ2108</v>
      </c>
      <c r="C19" s="116" t="s">
        <v>1435</v>
      </c>
      <c r="D19" s="595">
        <f>(VLOOKUP($A19,Pump!$F$5:$Z$103,16,0)-101325)/100000</f>
        <v>-0.74705919550677502</v>
      </c>
      <c r="E19" s="595">
        <f>(VLOOKUP($A19,Pump!$F$5:$Z$103,18,0)-101325)/100000</f>
        <v>11.804800700358198</v>
      </c>
      <c r="F19" s="595">
        <f>VLOOKUP($A19,Pump!$F$5:$Z$103,20,0)*3600</f>
        <v>45.221465866256281</v>
      </c>
      <c r="G19" s="166"/>
      <c r="H19" s="933">
        <v>153</v>
      </c>
    </row>
    <row r="20" spans="1:9" ht="15">
      <c r="A20" s="258" t="s">
        <v>1442</v>
      </c>
      <c r="B20" s="596" t="str">
        <f t="shared" si="0"/>
        <v>M_PZ2109A</v>
      </c>
      <c r="C20" s="116" t="s">
        <v>1435</v>
      </c>
      <c r="D20" s="595">
        <f>(VLOOKUP($A20,Pump!$F$5:$Z$103,16,0)-101325)/100000</f>
        <v>-0.827034126332582</v>
      </c>
      <c r="E20" s="595">
        <f>(VLOOKUP($A20,Pump!$F$5:$Z$103,18,0)-101325)/100000</f>
        <v>18.578810511823701</v>
      </c>
      <c r="F20" s="595">
        <f>VLOOKUP($A20,Pump!$F$5:$Z$103,20,0)*3600</f>
        <v>4.6930793520604315</v>
      </c>
      <c r="G20" s="166"/>
      <c r="H20" s="933">
        <v>15</v>
      </c>
    </row>
    <row r="21" spans="1:9" ht="15">
      <c r="A21" s="258" t="s">
        <v>1445</v>
      </c>
      <c r="B21" s="596" t="str">
        <f t="shared" si="0"/>
        <v>M_PZ2109B</v>
      </c>
      <c r="C21" s="116" t="s">
        <v>1435</v>
      </c>
      <c r="D21" s="595">
        <f>(VLOOKUP($A21,Pump!$F$5:$Z$103,16,0)-101325)/100000</f>
        <v>-0.827034126332582</v>
      </c>
      <c r="E21" s="595">
        <f>(VLOOKUP($A21,Pump!$F$5:$Z$103,18,0)-101325)/100000</f>
        <v>0.73961643802756993</v>
      </c>
      <c r="F21" s="595">
        <f>VLOOKUP($A21,Pump!$F$5:$Z$103,20,0)*3600</f>
        <v>0</v>
      </c>
      <c r="G21" s="166"/>
      <c r="H21" s="933">
        <v>15</v>
      </c>
    </row>
    <row r="22" spans="1:9" ht="15">
      <c r="A22" s="258" t="s">
        <v>1446</v>
      </c>
      <c r="B22" s="596" t="str">
        <f t="shared" si="0"/>
        <v>M_PZ2110A</v>
      </c>
      <c r="C22" s="116" t="s">
        <v>1435</v>
      </c>
      <c r="D22" s="595">
        <f>(VLOOKUP($A22,Pump!$F$5:$Z$103,16,0)-101325)/100000</f>
        <v>-0.87332682278972595</v>
      </c>
      <c r="E22" s="595">
        <f>(VLOOKUP($A22,Pump!$F$5:$Z$103,18,0)-101325)/100000</f>
        <v>1.5950687162386399</v>
      </c>
      <c r="F22" s="595">
        <f>VLOOKUP($A22,Pump!$F$5:$Z$103,20,0)*3600</f>
        <v>0.51323741193789363</v>
      </c>
      <c r="G22" s="166"/>
      <c r="H22" s="933" t="s">
        <v>10723</v>
      </c>
    </row>
    <row r="23" spans="1:9" ht="15">
      <c r="A23" s="258" t="s">
        <v>1449</v>
      </c>
      <c r="B23" s="596" t="str">
        <f t="shared" si="0"/>
        <v>M_PZ2110B</v>
      </c>
      <c r="C23" s="116" t="s">
        <v>1435</v>
      </c>
      <c r="D23" s="595">
        <f>(VLOOKUP($A23,Pump!$F$5:$Z$103,16,0)-101325)/100000</f>
        <v>-0.87332682278972595</v>
      </c>
      <c r="E23" s="595">
        <f>(VLOOKUP($A23,Pump!$F$5:$Z$103,18,0)-101325)/100000</f>
        <v>0.24995526822112005</v>
      </c>
      <c r="F23" s="595">
        <f>VLOOKUP($A23,Pump!$F$5:$Z$103,20,0)*3600</f>
        <v>0</v>
      </c>
      <c r="G23" s="166"/>
      <c r="H23" s="933" t="s">
        <v>10723</v>
      </c>
    </row>
    <row r="24" spans="1:9" ht="15">
      <c r="A24" s="258" t="s">
        <v>1450</v>
      </c>
      <c r="B24" s="596" t="str">
        <f t="shared" si="0"/>
        <v>M_PZ2111</v>
      </c>
      <c r="C24" s="116" t="s">
        <v>1452</v>
      </c>
      <c r="D24" s="595">
        <f>(VLOOKUP($A24,Pump!$F$5:$Z$103,16,0)-101325)/100000</f>
        <v>0.23560724481601997</v>
      </c>
      <c r="E24" s="595">
        <f>(VLOOKUP($A24,Pump!$F$5:$Z$103,18,0)-101325)/100000</f>
        <v>0.70554944791031016</v>
      </c>
      <c r="F24" s="595">
        <f>VLOOKUP($A24,Pump!$F$5:$Z$103,20,0)*3600</f>
        <v>0</v>
      </c>
      <c r="G24" s="166"/>
      <c r="H24" s="933">
        <v>68</v>
      </c>
    </row>
    <row r="25" spans="1:9">
      <c r="A25" s="258" t="s">
        <v>1454</v>
      </c>
      <c r="B25" s="596" t="str">
        <f t="shared" si="0"/>
        <v>M_PZ2112A</v>
      </c>
      <c r="C25" s="116" t="s">
        <v>1456</v>
      </c>
      <c r="D25" s="595">
        <f>(VLOOKUP($A25,Pump!$F$5:$Z$103,16,0)-101325)/100000</f>
        <v>0.19949884751791994</v>
      </c>
      <c r="E25" s="595">
        <f>(VLOOKUP($A25,Pump!$F$5:$Z$103,18,0)-101325)/100000</f>
        <v>1.7087362036282401</v>
      </c>
      <c r="F25" s="595">
        <f>VLOOKUP($A25,Pump!$F$5:$Z$103,20,0)*3600</f>
        <v>84.691665496877036</v>
      </c>
      <c r="G25" s="166"/>
      <c r="H25" s="934">
        <v>410</v>
      </c>
    </row>
    <row r="26" spans="1:9">
      <c r="A26" s="258" t="s">
        <v>1458</v>
      </c>
      <c r="B26" s="596" t="str">
        <f t="shared" si="0"/>
        <v>M_PZ2112B</v>
      </c>
      <c r="C26" s="116" t="s">
        <v>1456</v>
      </c>
      <c r="D26" s="595">
        <f>(VLOOKUP($A26,Pump!$F$5:$Z$103,16,0)-101325)/100000</f>
        <v>0.19949884751791994</v>
      </c>
      <c r="E26" s="595">
        <f>(VLOOKUP($A26,Pump!$F$5:$Z$103,18,0)-101325)/100000</f>
        <v>1.7087362036310998</v>
      </c>
      <c r="F26" s="595">
        <f>VLOOKUP($A26,Pump!$F$5:$Z$103,20,0)*3600</f>
        <v>84.69166549665421</v>
      </c>
      <c r="G26" s="166"/>
      <c r="H26" s="934">
        <v>410</v>
      </c>
    </row>
    <row r="27" spans="1:9">
      <c r="A27" s="628" t="s">
        <v>1460</v>
      </c>
      <c r="B27" s="596" t="str">
        <f>"M_"&amp;A27</f>
        <v>M_PZ2117A</v>
      </c>
      <c r="C27" s="116" t="s">
        <v>1456</v>
      </c>
      <c r="D27" s="629">
        <v>-1.65E-4</v>
      </c>
      <c r="E27" s="629">
        <v>1.000432</v>
      </c>
      <c r="F27" s="629">
        <f>0.000084*3600</f>
        <v>0.3024</v>
      </c>
      <c r="G27" s="166" t="s">
        <v>10516</v>
      </c>
      <c r="H27" s="934">
        <v>0.8</v>
      </c>
    </row>
    <row r="28" spans="1:9">
      <c r="A28" s="258" t="s">
        <v>1463</v>
      </c>
      <c r="B28" s="596" t="str">
        <f t="shared" si="0"/>
        <v>M_PZ2118A</v>
      </c>
      <c r="C28" s="116" t="s">
        <v>1465</v>
      </c>
      <c r="D28" s="595">
        <f>(VLOOKUP($A28,Pump!$F$5:$Z$103,16,0)-101325)/100000</f>
        <v>3.28558025803857</v>
      </c>
      <c r="E28" s="595">
        <f>(VLOOKUP($A28,Pump!$F$5:$Z$103,18,0)-101325)/100000</f>
        <v>-0.49053788842903295</v>
      </c>
      <c r="F28" s="595">
        <f>VLOOKUP($A28,Pump!$F$5:$Z$103,20,0)*3600</f>
        <v>0</v>
      </c>
      <c r="G28" s="166"/>
      <c r="H28" s="934">
        <v>72</v>
      </c>
    </row>
    <row r="29" spans="1:9">
      <c r="A29" s="258" t="s">
        <v>1467</v>
      </c>
      <c r="B29" s="596" t="str">
        <f>"M_"&amp;A29</f>
        <v>M_PZ2118B</v>
      </c>
      <c r="C29" s="116" t="s">
        <v>1465</v>
      </c>
      <c r="D29" s="595">
        <f>(VLOOKUP($A29,Pump!$F$5:$Z$103,16,0)-101325)/100000</f>
        <v>3.28558025803857</v>
      </c>
      <c r="E29" s="595">
        <f>(VLOOKUP($A29,Pump!$F$5:$Z$103,18,0)-101325)/100000</f>
        <v>4.0285663544150009E-2</v>
      </c>
      <c r="F29" s="595">
        <f>VLOOKUP($A29,Pump!$F$5:$Z$103,20,0)*3600</f>
        <v>0</v>
      </c>
      <c r="G29" s="166"/>
      <c r="H29" s="934">
        <v>72</v>
      </c>
    </row>
    <row r="30" spans="1:9">
      <c r="A30" s="258" t="s">
        <v>1468</v>
      </c>
      <c r="B30" s="596" t="str">
        <f t="shared" si="0"/>
        <v>M_PZ2122</v>
      </c>
      <c r="C30" s="116" t="s">
        <v>1452</v>
      </c>
      <c r="D30" s="595">
        <f>(VLOOKUP($A30,Pump!$F$5:$Z$103,16,0)-101325)/100000</f>
        <v>0.23560724481601997</v>
      </c>
      <c r="E30" s="595">
        <f>(VLOOKUP($A30,Pump!$F$5:$Z$103,18,0)-101325)/100000</f>
        <v>20.468256005531099</v>
      </c>
      <c r="F30" s="595">
        <f>VLOOKUP($A30,Pump!$F$5:$Z$103,20,0)*3600</f>
        <v>21.744394326580139</v>
      </c>
      <c r="G30" s="166"/>
      <c r="H30" s="934">
        <v>68.5</v>
      </c>
    </row>
    <row r="31" spans="1:9">
      <c r="A31" s="258" t="s">
        <v>1472</v>
      </c>
      <c r="B31" s="596" t="str">
        <f t="shared" si="0"/>
        <v>M_PZ2151A</v>
      </c>
      <c r="C31" s="116" t="s">
        <v>1474</v>
      </c>
      <c r="D31" s="595">
        <f>(VLOOKUP($A31,Pump!$F$5:$Z$103,16,0)-101325)/100000</f>
        <v>0.69435683501633993</v>
      </c>
      <c r="E31" s="595">
        <f>(VLOOKUP($A31,Pump!$F$5:$Z$103,18,0)-101325)/100000</f>
        <v>43.577989910794201</v>
      </c>
      <c r="F31" s="595">
        <f>VLOOKUP($A31,Pump!$F$5:$Z$103,20,0)*3600</f>
        <v>579.65961613618799</v>
      </c>
      <c r="G31" s="166"/>
      <c r="H31" s="942">
        <v>478</v>
      </c>
      <c r="I31" s="938" t="s">
        <v>10724</v>
      </c>
    </row>
    <row r="32" spans="1:9">
      <c r="A32" s="258" t="s">
        <v>1476</v>
      </c>
      <c r="B32" s="596" t="str">
        <f t="shared" si="0"/>
        <v>M_PZ2151B</v>
      </c>
      <c r="C32" s="116" t="s">
        <v>1474</v>
      </c>
      <c r="D32" s="595">
        <f>(VLOOKUP($A32,Pump!$F$5:$Z$103,16,0)-101325)/100000</f>
        <v>0.69435683501633993</v>
      </c>
      <c r="E32" s="595">
        <f>(VLOOKUP($A32,Pump!$F$5:$Z$103,18,0)-101325)/100000</f>
        <v>35.028297646044301</v>
      </c>
      <c r="F32" s="595">
        <f>VLOOKUP($A32,Pump!$F$5:$Z$103,20,0)*3600</f>
        <v>0</v>
      </c>
      <c r="G32" s="166"/>
      <c r="H32" s="942">
        <v>478</v>
      </c>
      <c r="I32" s="938" t="s">
        <v>10724</v>
      </c>
    </row>
    <row r="33" spans="1:9">
      <c r="A33" s="258" t="s">
        <v>1477</v>
      </c>
      <c r="B33" s="596" t="str">
        <f t="shared" si="0"/>
        <v>M_PZ2153A</v>
      </c>
      <c r="C33" s="116" t="s">
        <v>1479</v>
      </c>
      <c r="D33" s="595">
        <f>(VLOOKUP($A33,Pump!$F$5:$Z$103,16,0)-101325)/100000</f>
        <v>6.7176092033388102</v>
      </c>
      <c r="E33" s="595">
        <f>(VLOOKUP($A33,Pump!$F$5:$Z$103,18,0)-101325)/100000</f>
        <v>18.050005556697499</v>
      </c>
      <c r="F33" s="595">
        <f>VLOOKUP($A33,Pump!$F$5:$Z$103,20,0)*3600</f>
        <v>582.23523940406994</v>
      </c>
      <c r="G33" s="166"/>
      <c r="H33" s="934">
        <v>617</v>
      </c>
    </row>
    <row r="34" spans="1:9">
      <c r="A34" s="258" t="s">
        <v>1480</v>
      </c>
      <c r="B34" s="596" t="str">
        <f t="shared" si="0"/>
        <v>M_PZ2153B</v>
      </c>
      <c r="C34" s="116" t="s">
        <v>1479</v>
      </c>
      <c r="D34" s="595">
        <f>(VLOOKUP($A34,Pump!$F$5:$Z$103,16,0)-101325)/100000</f>
        <v>6.7176092033388102</v>
      </c>
      <c r="E34" s="595">
        <f>(VLOOKUP($A34,Pump!$F$5:$Z$103,18,0)-101325)/100000</f>
        <v>-0.47137138344765001</v>
      </c>
      <c r="F34" s="595">
        <f>VLOOKUP($A34,Pump!$F$5:$Z$103,20,0)*3600</f>
        <v>0</v>
      </c>
      <c r="G34" s="166"/>
      <c r="H34" s="934">
        <v>617</v>
      </c>
    </row>
    <row r="35" spans="1:9">
      <c r="A35" s="258" t="s">
        <v>1481</v>
      </c>
      <c r="B35" s="596" t="str">
        <f t="shared" si="0"/>
        <v>M_PZ2158</v>
      </c>
      <c r="C35" s="116" t="s">
        <v>1452</v>
      </c>
      <c r="D35" s="595">
        <f>(VLOOKUP($A35,Pump!$F$5:$Z$103,16,0)-101325)/100000</f>
        <v>0.73749145804177996</v>
      </c>
      <c r="E35" s="595">
        <f>(VLOOKUP($A35,Pump!$F$5:$Z$103,18,0)-101325)/100000</f>
        <v>5.69592932553123</v>
      </c>
      <c r="F35" s="595">
        <f>VLOOKUP($A35,Pump!$F$5:$Z$103,20,0)*3600</f>
        <v>0</v>
      </c>
      <c r="G35" s="166"/>
      <c r="H35" s="934" t="s">
        <v>10725</v>
      </c>
    </row>
    <row r="36" spans="1:9">
      <c r="A36" s="258" t="s">
        <v>1483</v>
      </c>
      <c r="B36" s="596" t="str">
        <f t="shared" si="0"/>
        <v>M_PZ2161A</v>
      </c>
      <c r="C36" s="116" t="s">
        <v>1485</v>
      </c>
      <c r="D36" s="595">
        <f>(VLOOKUP($A36,Pump!$F$5:$Z$103,16,0)-101325)/100000</f>
        <v>7.8899791565900399</v>
      </c>
      <c r="E36" s="595">
        <f>(VLOOKUP($A36,Pump!$F$5:$Z$103,18,0)-101325)/100000</f>
        <v>20.018882728684101</v>
      </c>
      <c r="F36" s="595">
        <f>VLOOKUP($A36,Pump!$F$5:$Z$103,20,0)*3600</f>
        <v>62.564210158695843</v>
      </c>
      <c r="G36" s="166"/>
      <c r="H36" s="934">
        <v>75</v>
      </c>
    </row>
    <row r="37" spans="1:9">
      <c r="A37" s="258" t="s">
        <v>1487</v>
      </c>
      <c r="B37" s="596" t="str">
        <f t="shared" si="0"/>
        <v>M_PZ2161B</v>
      </c>
      <c r="C37" s="116" t="s">
        <v>1485</v>
      </c>
      <c r="D37" s="595">
        <f>(VLOOKUP($A37,Pump!$F$5:$Z$103,16,0)-101325)/100000</f>
        <v>7.8899791565900399</v>
      </c>
      <c r="E37" s="595">
        <f>(VLOOKUP($A37,Pump!$F$5:$Z$103,18,0)-101325)/100000</f>
        <v>8.4990994375261497</v>
      </c>
      <c r="F37" s="595">
        <f>VLOOKUP($A37,Pump!$F$5:$Z$103,20,0)*3600</f>
        <v>0</v>
      </c>
      <c r="G37" s="166"/>
      <c r="H37" s="934">
        <v>75</v>
      </c>
    </row>
    <row r="38" spans="1:9">
      <c r="A38" s="258" t="s">
        <v>1488</v>
      </c>
      <c r="B38" s="596" t="str">
        <f t="shared" si="0"/>
        <v>M_PZ2201A</v>
      </c>
      <c r="C38" s="116" t="s">
        <v>1490</v>
      </c>
      <c r="D38" s="595">
        <f>(VLOOKUP($A38,Pump!$F$5:$Z$103,16,0)-101325)/100000</f>
        <v>8.1972527477185295</v>
      </c>
      <c r="E38" s="595">
        <f>(VLOOKUP($A38,Pump!$F$5:$Z$103,18,0)-101325)/100000</f>
        <v>13.024901694371801</v>
      </c>
      <c r="F38" s="595">
        <f>VLOOKUP($A38,Pump!$F$5:$Z$103,20,0)*3600</f>
        <v>122.44825141844652</v>
      </c>
      <c r="G38" s="166"/>
      <c r="H38" s="934">
        <v>260</v>
      </c>
    </row>
    <row r="39" spans="1:9">
      <c r="A39" s="258" t="s">
        <v>1492</v>
      </c>
      <c r="B39" s="596" t="str">
        <f t="shared" si="0"/>
        <v>M_PZ2201B</v>
      </c>
      <c r="C39" s="116" t="s">
        <v>1490</v>
      </c>
      <c r="D39" s="595">
        <f>(VLOOKUP($A39,Pump!$F$5:$Z$103,16,0)-101325)/100000</f>
        <v>8.1972527477185295</v>
      </c>
      <c r="E39" s="595">
        <f>(VLOOKUP($A39,Pump!$F$5:$Z$103,18,0)-101325)/100000</f>
        <v>1.6570981708313199</v>
      </c>
      <c r="F39" s="595">
        <f>VLOOKUP($A39,Pump!$F$5:$Z$103,20,0)*3600</f>
        <v>0</v>
      </c>
      <c r="G39" s="166"/>
      <c r="H39" s="934">
        <v>260</v>
      </c>
    </row>
    <row r="40" spans="1:9">
      <c r="A40" s="258" t="s">
        <v>1493</v>
      </c>
      <c r="B40" s="596" t="str">
        <f t="shared" si="0"/>
        <v>M_PZ2202A</v>
      </c>
      <c r="C40" s="116" t="s">
        <v>1490</v>
      </c>
      <c r="D40" s="595">
        <f>(VLOOKUP($A40,Pump!$F$5:$Z$103,16,0)-101325)/100000</f>
        <v>8.1972527477185295</v>
      </c>
      <c r="E40" s="595">
        <f>(VLOOKUP($A40,Pump!$F$5:$Z$103,18,0)-101325)/100000</f>
        <v>27.361084427323501</v>
      </c>
      <c r="F40" s="595">
        <f>VLOOKUP($A40,Pump!$F$5:$Z$103,20,0)*3600</f>
        <v>24.801760602724752</v>
      </c>
      <c r="G40" s="166"/>
      <c r="H40" s="934">
        <v>38</v>
      </c>
    </row>
    <row r="41" spans="1:9">
      <c r="A41" s="258" t="s">
        <v>1495</v>
      </c>
      <c r="B41" s="596" t="str">
        <f t="shared" si="0"/>
        <v>M_PZ2202B</v>
      </c>
      <c r="C41" s="116" t="s">
        <v>1490</v>
      </c>
      <c r="D41" s="595">
        <f>(VLOOKUP($A41,Pump!$F$5:$Z$103,16,0)-101325)/100000</f>
        <v>8.1972527477185295</v>
      </c>
      <c r="E41" s="595">
        <f>(VLOOKUP($A41,Pump!$F$5:$Z$103,18,0)-101325)/100000</f>
        <v>15.001260953502999</v>
      </c>
      <c r="F41" s="595">
        <f>VLOOKUP($A41,Pump!$F$5:$Z$103,20,0)*3600</f>
        <v>0</v>
      </c>
      <c r="G41" s="166"/>
      <c r="H41" s="934">
        <v>38</v>
      </c>
    </row>
    <row r="42" spans="1:9">
      <c r="A42" s="258" t="s">
        <v>1496</v>
      </c>
      <c r="B42" s="596" t="str">
        <f t="shared" si="0"/>
        <v>M_PZ2203A</v>
      </c>
      <c r="C42" s="116" t="s">
        <v>1498</v>
      </c>
      <c r="D42" s="595">
        <f>(VLOOKUP($A42,Pump!$F$5:$Z$103,16,0)-101325)/100000</f>
        <v>0.63652082155151002</v>
      </c>
      <c r="E42" s="595">
        <f>(VLOOKUP($A42,Pump!$F$5:$Z$103,18,0)-101325)/100000</f>
        <v>5.5564584495244702</v>
      </c>
      <c r="F42" s="595">
        <f>VLOOKUP($A42,Pump!$F$5:$Z$103,20,0)*3600</f>
        <v>452.75837883118203</v>
      </c>
      <c r="G42" s="166"/>
      <c r="H42" s="934">
        <v>902</v>
      </c>
    </row>
    <row r="43" spans="1:9">
      <c r="A43" s="258" t="s">
        <v>1500</v>
      </c>
      <c r="B43" s="596" t="str">
        <f t="shared" si="0"/>
        <v>M_PZ2203B</v>
      </c>
      <c r="C43" s="116" t="s">
        <v>1498</v>
      </c>
      <c r="D43" s="595">
        <f>(VLOOKUP($A43,Pump!$F$5:$Z$103,16,0)-101325)/100000</f>
        <v>-9.2626499827019867E-9</v>
      </c>
      <c r="E43" s="595">
        <f>(VLOOKUP($A43,Pump!$F$5:$Z$103,18,0)-101325)/100000</f>
        <v>-6.8299414124339817E-12</v>
      </c>
      <c r="F43" s="595">
        <f>VLOOKUP($A43,Pump!$F$5:$Z$103,20,0)*3600</f>
        <v>0</v>
      </c>
      <c r="G43" s="166"/>
      <c r="H43" s="934">
        <v>902</v>
      </c>
    </row>
    <row r="44" spans="1:9">
      <c r="A44" s="258" t="s">
        <v>1502</v>
      </c>
      <c r="B44" s="596" t="str">
        <f t="shared" si="0"/>
        <v>M_PZ2204A</v>
      </c>
      <c r="C44" s="116" t="s">
        <v>1504</v>
      </c>
      <c r="D44" s="595">
        <f>(VLOOKUP($A44,Pump!$F$5:$Z$103,16,0)-101325)/100000</f>
        <v>1.30663919212897</v>
      </c>
      <c r="E44" s="595">
        <f>(VLOOKUP($A44,Pump!$F$5:$Z$103,18,0)-101325)/100000</f>
        <v>15.3427451725716</v>
      </c>
      <c r="F44" s="595">
        <f>VLOOKUP($A44,Pump!$F$5:$Z$103,20,0)*3600</f>
        <v>448.34634215551802</v>
      </c>
      <c r="G44" s="166"/>
      <c r="H44" s="934">
        <v>559</v>
      </c>
      <c r="I44" s="938" t="s">
        <v>10726</v>
      </c>
    </row>
    <row r="45" spans="1:9">
      <c r="A45" s="258" t="s">
        <v>1506</v>
      </c>
      <c r="B45" s="596" t="str">
        <f t="shared" si="0"/>
        <v>M_PZ2204B</v>
      </c>
      <c r="C45" s="116" t="s">
        <v>1504</v>
      </c>
      <c r="D45" s="595">
        <f>(VLOOKUP($A45,Pump!$F$5:$Z$103,16,0)-101325)/100000</f>
        <v>1.30663919212897</v>
      </c>
      <c r="E45" s="595">
        <f>(VLOOKUP($A45,Pump!$F$5:$Z$103,18,0)-101325)/100000</f>
        <v>15.3623746854133</v>
      </c>
      <c r="F45" s="595">
        <f>VLOOKUP($A45,Pump!$F$5:$Z$103,20,0)*3600</f>
        <v>443.00962999747082</v>
      </c>
      <c r="G45" s="166"/>
      <c r="H45" s="934">
        <v>559</v>
      </c>
    </row>
    <row r="46" spans="1:9">
      <c r="A46" s="258" t="s">
        <v>1507</v>
      </c>
      <c r="B46" s="596" t="str">
        <f t="shared" si="0"/>
        <v>M_PZ2204C</v>
      </c>
      <c r="C46" s="116" t="s">
        <v>1504</v>
      </c>
      <c r="D46" s="595">
        <f>(VLOOKUP($A46,Pump!$F$5:$Z$103,16,0)-101325)/100000</f>
        <v>1.30663919212897</v>
      </c>
      <c r="E46" s="595">
        <f>(VLOOKUP($A46,Pump!$F$5:$Z$103,18,0)-101325)/100000</f>
        <v>15.3854628206947</v>
      </c>
      <c r="F46" s="595">
        <f>VLOOKUP($A46,Pump!$F$5:$Z$103,20,0)*3600</f>
        <v>436.58778397877279</v>
      </c>
      <c r="G46" s="166"/>
      <c r="H46" s="934">
        <v>559</v>
      </c>
    </row>
    <row r="47" spans="1:9">
      <c r="A47" s="258" t="s">
        <v>1508</v>
      </c>
      <c r="B47" s="596" t="str">
        <f t="shared" si="0"/>
        <v>M_PZ2205A</v>
      </c>
      <c r="C47" s="116" t="s">
        <v>1498</v>
      </c>
      <c r="D47" s="595">
        <f>(VLOOKUP($A47,Pump!$F$5:$Z$103,16,0)-101325)/100000</f>
        <v>0.67958459319640008</v>
      </c>
      <c r="E47" s="595">
        <f>(VLOOKUP($A47,Pump!$F$5:$Z$103,18,0)-101325)/100000</f>
        <v>9.0090902756637004</v>
      </c>
      <c r="F47" s="595">
        <f>VLOOKUP($A47,Pump!$F$5:$Z$103,20,0)*3600</f>
        <v>155.28268309411837</v>
      </c>
      <c r="G47" s="166"/>
      <c r="H47" s="934">
        <v>155</v>
      </c>
    </row>
    <row r="48" spans="1:9">
      <c r="A48" s="258" t="s">
        <v>1511</v>
      </c>
      <c r="B48" s="596" t="str">
        <f t="shared" si="0"/>
        <v>M_PZ2205B</v>
      </c>
      <c r="C48" s="116" t="s">
        <v>1498</v>
      </c>
      <c r="D48" s="595">
        <f>(VLOOKUP($A48,Pump!$F$5:$Z$103,16,0)-101325)/100000</f>
        <v>0.67958459319640008</v>
      </c>
      <c r="E48" s="595">
        <f>(VLOOKUP($A48,Pump!$F$5:$Z$103,18,0)-101325)/100000</f>
        <v>3.5304066754283197</v>
      </c>
      <c r="F48" s="595">
        <f>VLOOKUP($A48,Pump!$F$5:$Z$103,20,0)*3600</f>
        <v>0</v>
      </c>
      <c r="G48" s="166"/>
      <c r="H48" s="934">
        <v>155</v>
      </c>
    </row>
    <row r="49" spans="1:9">
      <c r="A49" s="258" t="s">
        <v>1512</v>
      </c>
      <c r="B49" s="596" t="str">
        <f t="shared" ref="B49:B56" si="1">"M_"&amp;A49</f>
        <v>M_PZ2206A</v>
      </c>
      <c r="C49" s="116" t="s">
        <v>1504</v>
      </c>
      <c r="D49" s="595">
        <f>(VLOOKUP($A49,Pump!$F$5:$Z$103,16,0)-101325)/100000</f>
        <v>1.14187981085403</v>
      </c>
      <c r="E49" s="595">
        <f>(VLOOKUP($A49,Pump!$F$5:$Z$103,18,0)-101325)/100000</f>
        <v>8.1016109326050003</v>
      </c>
      <c r="F49" s="595">
        <f>VLOOKUP($A49,Pump!$F$5:$Z$103,20,0)*3600</f>
        <v>195.72052225590252</v>
      </c>
      <c r="G49" s="166"/>
      <c r="H49" s="934">
        <v>245</v>
      </c>
    </row>
    <row r="50" spans="1:9">
      <c r="A50" s="258" t="s">
        <v>1515</v>
      </c>
      <c r="B50" s="596" t="str">
        <f t="shared" si="1"/>
        <v>M_PZ2206B</v>
      </c>
      <c r="C50" s="116" t="s">
        <v>1504</v>
      </c>
      <c r="D50" s="595">
        <f>(VLOOKUP($A50,Pump!$F$5:$Z$103,16,0)-101325)/100000</f>
        <v>-0.39231689803021103</v>
      </c>
      <c r="E50" s="595">
        <f>(VLOOKUP($A50,Pump!$F$5:$Z$103,18,0)-101325)/100000</f>
        <v>0.74545897678262996</v>
      </c>
      <c r="F50" s="595">
        <f>VLOOKUP($A50,Pump!$F$5:$Z$103,20,0)*3600</f>
        <v>0</v>
      </c>
      <c r="G50" s="166"/>
      <c r="H50" s="934">
        <v>245</v>
      </c>
    </row>
    <row r="51" spans="1:9">
      <c r="A51" s="258" t="s">
        <v>1516</v>
      </c>
      <c r="B51" s="596" t="str">
        <f t="shared" si="1"/>
        <v>M_PZ2207</v>
      </c>
      <c r="C51" s="116" t="s">
        <v>1504</v>
      </c>
      <c r="D51" s="595">
        <f>(VLOOKUP($A51,Pump!$F$5:$Z$103,16,0)-101325)/100000</f>
        <v>1.30663919212897</v>
      </c>
      <c r="E51" s="595">
        <f>(VLOOKUP($A51,Pump!$F$5:$Z$103,18,0)-101325)/100000</f>
        <v>3.0756119996765001</v>
      </c>
      <c r="F51" s="595">
        <f>VLOOKUP($A51,Pump!$F$5:$Z$103,20,0)*3600</f>
        <v>0</v>
      </c>
      <c r="G51" s="166"/>
      <c r="H51" s="934">
        <v>251</v>
      </c>
    </row>
    <row r="52" spans="1:9">
      <c r="A52" s="258" t="s">
        <v>1519</v>
      </c>
      <c r="B52" s="596" t="str">
        <f t="shared" si="1"/>
        <v>M_PZ2855A</v>
      </c>
      <c r="C52" s="116" t="s">
        <v>1521</v>
      </c>
      <c r="D52" s="595">
        <f>(VLOOKUP($A52,Pump!$F$5:$Z$103,16,0)-101325)/100000</f>
        <v>5.6845867939244004</v>
      </c>
      <c r="E52" s="595">
        <f>(VLOOKUP($A52,Pump!$F$5:$Z$103,18,0)-101325)/100000</f>
        <v>8.4829453296087713</v>
      </c>
      <c r="F52" s="595">
        <f>VLOOKUP($A52,Pump!$F$5:$Z$103,20,0)*3600</f>
        <v>15.037861408178326</v>
      </c>
      <c r="G52" s="166"/>
      <c r="H52" s="934">
        <v>21</v>
      </c>
    </row>
    <row r="53" spans="1:9">
      <c r="A53" s="647" t="s">
        <v>1522</v>
      </c>
      <c r="B53" s="749" t="str">
        <f t="shared" si="1"/>
        <v>M_PZ2855B</v>
      </c>
      <c r="C53" s="750" t="s">
        <v>1521</v>
      </c>
      <c r="D53" s="595">
        <f>(VLOOKUP($A53,Pump!$F$5:$Z$103,16,0)-101325)/100000</f>
        <v>5.6845867939244004</v>
      </c>
      <c r="E53" s="595">
        <f>(VLOOKUP($A53,Pump!$F$5:$Z$103,18,0)-101325)/100000</f>
        <v>5.0353904741771496</v>
      </c>
      <c r="F53" s="595">
        <f>VLOOKUP($A53,Pump!$F$5:$Z$103,20,0)*3600</f>
        <v>0</v>
      </c>
      <c r="G53" s="751"/>
      <c r="H53" s="934">
        <v>21</v>
      </c>
    </row>
    <row r="54" spans="1:9" s="615" customFormat="1">
      <c r="A54" s="258" t="s">
        <v>9135</v>
      </c>
      <c r="B54" s="596" t="str">
        <f t="shared" si="1"/>
        <v>M_JZ1601</v>
      </c>
      <c r="C54" s="116" t="s">
        <v>9138</v>
      </c>
      <c r="D54" s="595">
        <f>(VLOOKUP($A54,Pump!$F$5:$Z$103,16,0)-101325)/100000</f>
        <v>0</v>
      </c>
      <c r="E54" s="595">
        <f>(VLOOKUP($A54,Pump!$F$5:$Z$103,18,0)-101325)/100000</f>
        <v>3.9679360571414302</v>
      </c>
      <c r="F54" s="595">
        <f>VLOOKUP($A54,Pump!$F$5:$Z$103,20,0)*3600</f>
        <v>58.370830341306473</v>
      </c>
      <c r="G54" s="166"/>
      <c r="H54" s="934">
        <v>400</v>
      </c>
      <c r="I54" s="923"/>
    </row>
    <row r="55" spans="1:9" s="615" customFormat="1">
      <c r="A55" s="258" t="s">
        <v>9136</v>
      </c>
      <c r="B55" s="596" t="str">
        <f t="shared" si="1"/>
        <v>M_JZ1602</v>
      </c>
      <c r="C55" s="116" t="s">
        <v>9139</v>
      </c>
      <c r="D55" s="595">
        <f>(VLOOKUP($A55,Pump!$F$5:$Z$103,16,0)-101325)/100000</f>
        <v>0</v>
      </c>
      <c r="E55" s="595">
        <f>(VLOOKUP($A55,Pump!$F$5:$Z$103,18,0)-101325)/100000</f>
        <v>3.9474618737773399</v>
      </c>
      <c r="F55" s="595">
        <f>VLOOKUP($A55,Pump!$F$5:$Z$103,20,0)*3600</f>
        <v>154.13082317274132</v>
      </c>
      <c r="G55" s="166"/>
      <c r="H55" s="934">
        <v>400</v>
      </c>
      <c r="I55" s="923"/>
    </row>
    <row r="56" spans="1:9" s="615" customFormat="1">
      <c r="A56" s="926" t="s">
        <v>9137</v>
      </c>
      <c r="B56" s="927" t="str">
        <f t="shared" si="1"/>
        <v>M_JZ3702</v>
      </c>
      <c r="C56" s="928" t="s">
        <v>9138</v>
      </c>
      <c r="D56" s="929">
        <f>(VLOOKUP($A56,Pump!$F$5:$Z$103,16,0)-101325)/100000</f>
        <v>0</v>
      </c>
      <c r="E56" s="929">
        <f>(VLOOKUP($A56,Pump!$F$5:$Z$103,18,0)-101325)/100000</f>
        <v>-0.20074518552010298</v>
      </c>
      <c r="F56" s="929">
        <f>VLOOKUP($A56,Pump!$F$5:$Z$103,20,0)*3600</f>
        <v>0</v>
      </c>
      <c r="G56" s="751"/>
      <c r="H56" s="919">
        <v>150</v>
      </c>
      <c r="I56" s="923"/>
    </row>
    <row r="57" spans="1:9" s="860" customFormat="1">
      <c r="A57" s="994" t="s">
        <v>10749</v>
      </c>
      <c r="B57" s="918" t="str">
        <f>"M_"&amp;A57</f>
        <v>M_Pz2101A</v>
      </c>
      <c r="C57" s="918" t="s">
        <v>9139</v>
      </c>
      <c r="D57" s="918">
        <f>(VLOOKUP($A57,Pump!$D$5:$Z$103,18,0)-101325)/100000</f>
        <v>2.3423128867877896</v>
      </c>
      <c r="E57" s="918">
        <f>(VLOOKUP($A57,Pump!$D$5:$Z$103,20,0)-101325)/100000</f>
        <v>10.1258772859681</v>
      </c>
      <c r="F57" s="918">
        <f>VLOOKUP($A57,Pump!$D$5:$Z$103,22,0)*3600</f>
        <v>392.37626469719521</v>
      </c>
      <c r="G57" s="918"/>
      <c r="H57" s="934">
        <v>480</v>
      </c>
      <c r="I57" s="923"/>
    </row>
    <row r="58" spans="1:9" s="860" customFormat="1">
      <c r="A58" s="994" t="s">
        <v>10750</v>
      </c>
      <c r="B58" s="917" t="str">
        <f>"M_"&amp;A58</f>
        <v>M_Pz2101B</v>
      </c>
      <c r="C58" s="918" t="s">
        <v>10586</v>
      </c>
      <c r="D58" s="917">
        <f>(VLOOKUP($A58,Pump!$D$5:$Z$103,18,0)-101325)/100000</f>
        <v>2.3423128867877896</v>
      </c>
      <c r="E58" s="917">
        <f>(VLOOKUP($A58,Pump!$D$5:$Z$103,20,0)-101325)/100000</f>
        <v>10.125914161155999</v>
      </c>
      <c r="F58" s="917">
        <f>VLOOKUP($A58,Pump!$D$5:$Z$103,22,0)*3600</f>
        <v>392.376076953498</v>
      </c>
      <c r="G58" s="918"/>
      <c r="H58" s="934">
        <v>480</v>
      </c>
      <c r="I58" s="923"/>
    </row>
    <row r="59" spans="1:9" s="860" customFormat="1">
      <c r="A59" s="994" t="s">
        <v>10751</v>
      </c>
      <c r="B59" s="917" t="str">
        <f>"M_"&amp;A59</f>
        <v>M_Pz2101C</v>
      </c>
      <c r="C59" s="918" t="s">
        <v>10586</v>
      </c>
      <c r="D59" s="917">
        <f>(VLOOKUP($A59,Pump!$D$5:$Z$103,18,0)-101325)/100000</f>
        <v>2.3423128867877896</v>
      </c>
      <c r="E59" s="917">
        <f>(VLOOKUP($A59,Pump!$D$5:$Z$103,20,0)-101325)/100000</f>
        <v>10.125914161155999</v>
      </c>
      <c r="F59" s="917">
        <f>VLOOKUP($A59,Pump!$D$5:$Z$103,22,0)*3600</f>
        <v>392.376076953498</v>
      </c>
      <c r="G59" s="918"/>
      <c r="H59" s="934">
        <v>480</v>
      </c>
      <c r="I59" s="923"/>
    </row>
  </sheetData>
  <phoneticPr fontId="14" type="noConversion"/>
  <pageMargins left="0.7" right="0.7" top="0.75" bottom="0.75" header="0.3" footer="0.3"/>
  <pageSetup paperSize="9" orientation="portrait" horizontalDpi="4294967295" verticalDpi="4294967295" r:id="rId1"/>
  <ignoredErrors>
    <ignoredError sqref="F27" formula="1"/>
  </ignoredErrors>
</worksheet>
</file>

<file path=xl/worksheets/sheet4.xml><?xml version="1.0" encoding="utf-8"?>
<worksheet xmlns="http://schemas.openxmlformats.org/spreadsheetml/2006/main" xmlns:r="http://schemas.openxmlformats.org/officeDocument/2006/relationships">
  <sheetPr>
    <tabColor rgb="FF00B0F0"/>
  </sheetPr>
  <dimension ref="A1:K11"/>
  <sheetViews>
    <sheetView workbookViewId="0"/>
  </sheetViews>
  <sheetFormatPr defaultRowHeight="13.5"/>
  <cols>
    <col min="1" max="1" width="12.625" customWidth="1"/>
    <col min="2" max="2" width="12.625" style="608" customWidth="1"/>
    <col min="3" max="3" width="12.625" customWidth="1"/>
    <col min="4" max="4" width="12.625" style="608" customWidth="1"/>
    <col min="5" max="9" width="12.625" customWidth="1"/>
    <col min="10" max="11" width="16.625" customWidth="1"/>
  </cols>
  <sheetData>
    <row r="1" spans="1:11" ht="15" thickTop="1">
      <c r="A1" s="577" t="s">
        <v>8298</v>
      </c>
      <c r="B1" s="578" t="s">
        <v>6322</v>
      </c>
      <c r="C1" s="578" t="s">
        <v>8855</v>
      </c>
      <c r="D1" s="578" t="s">
        <v>8855</v>
      </c>
      <c r="E1" s="578" t="s">
        <v>355</v>
      </c>
      <c r="F1" s="585" t="s">
        <v>356</v>
      </c>
      <c r="G1" s="578" t="s">
        <v>8871</v>
      </c>
      <c r="H1" s="578" t="s">
        <v>8922</v>
      </c>
      <c r="I1" s="585" t="s">
        <v>8299</v>
      </c>
      <c r="J1" s="945" t="s">
        <v>10738</v>
      </c>
      <c r="K1" s="886" t="s">
        <v>10739</v>
      </c>
    </row>
    <row r="2" spans="1:11" ht="15" thickBot="1">
      <c r="A2" s="579"/>
      <c r="B2" s="580"/>
      <c r="C2" s="580"/>
      <c r="D2" s="580"/>
      <c r="E2" s="581" t="s">
        <v>8300</v>
      </c>
      <c r="F2" s="582" t="s">
        <v>8301</v>
      </c>
      <c r="G2" s="581" t="s">
        <v>8304</v>
      </c>
      <c r="H2" s="582" t="s">
        <v>8870</v>
      </c>
      <c r="I2" s="582" t="s">
        <v>8910</v>
      </c>
      <c r="J2" s="944" t="s">
        <v>10740</v>
      </c>
      <c r="K2" s="887" t="s">
        <v>10740</v>
      </c>
    </row>
    <row r="3" spans="1:11">
      <c r="A3" s="632" t="s">
        <v>8303</v>
      </c>
      <c r="B3" s="633" t="s">
        <v>8869</v>
      </c>
      <c r="C3" s="633" t="s">
        <v>8829</v>
      </c>
      <c r="D3" s="633" t="s">
        <v>9185</v>
      </c>
      <c r="E3" s="583">
        <f>VLOOKUP($A3,HDTBed!$F$5:$L$5,2,0)</f>
        <v>3.8</v>
      </c>
      <c r="F3" s="634">
        <f>VLOOKUP($A3,HDTBed!$F$5:$L$5,4,0)</f>
        <v>11.0218104634277</v>
      </c>
      <c r="G3" s="635">
        <f>VLOOKUP($A3,HDTBed!$F$5:$L$5,6,0)*3600/1000</f>
        <v>451.32436126450085</v>
      </c>
      <c r="H3" s="636">
        <f>VLOOKUP($C3,Transmitter!$D$5:$Z$704,22,0)</f>
        <v>4.0171564514289102</v>
      </c>
      <c r="I3" s="584">
        <f>VLOOKUP($D3,Transmitter!$D$5:$Z$704,22,0)</f>
        <v>326.778100065508</v>
      </c>
      <c r="J3" s="889">
        <f>VLOOKUP($A3,HDTBed!$F$5:$N$5,8,0)</f>
        <v>125.00212355664</v>
      </c>
      <c r="K3" s="888">
        <v>125</v>
      </c>
    </row>
    <row r="11" spans="1:11">
      <c r="H11" s="608"/>
    </row>
  </sheetData>
  <phoneticPr fontId="14" type="noConversion"/>
  <pageMargins left="0.7" right="0.7" top="0.75" bottom="0.75" header="0.3" footer="0.3"/>
  <pageSetup paperSize="9" orientation="portrait" r:id="rId1"/>
  <ignoredErrors>
    <ignoredError sqref="I3" formula="1"/>
  </ignoredErrors>
</worksheet>
</file>

<file path=xl/worksheets/sheet5.xml><?xml version="1.0" encoding="utf-8"?>
<worksheet xmlns="http://schemas.openxmlformats.org/spreadsheetml/2006/main" xmlns:r="http://schemas.openxmlformats.org/officeDocument/2006/relationships">
  <sheetPr>
    <tabColor rgb="FF00B0F0"/>
  </sheetPr>
  <dimension ref="A1:W34"/>
  <sheetViews>
    <sheetView zoomScale="80" zoomScaleNormal="80" workbookViewId="0">
      <pane xSplit="1" ySplit="2" topLeftCell="B3" activePane="bottomRight" state="frozen"/>
      <selection activeCell="K51" sqref="K51"/>
      <selection pane="topRight" activeCell="K51" sqref="K51"/>
      <selection pane="bottomLeft" activeCell="K51" sqref="K51"/>
      <selection pane="bottomRight"/>
    </sheetView>
  </sheetViews>
  <sheetFormatPr defaultRowHeight="12.75"/>
  <cols>
    <col min="1" max="1" width="12.625" style="52" customWidth="1"/>
    <col min="2" max="9" width="16.625" style="52" customWidth="1"/>
    <col min="10" max="11" width="22.625" style="52" customWidth="1"/>
    <col min="12" max="21" width="16.625" style="52" customWidth="1"/>
    <col min="22" max="245" width="9" style="52"/>
    <col min="246" max="246" width="10.5" style="52" bestFit="1" customWidth="1"/>
    <col min="247" max="259" width="0" style="52" hidden="1" customWidth="1"/>
    <col min="260" max="260" width="9" style="52"/>
    <col min="261" max="261" width="11.5" style="52" bestFit="1" customWidth="1"/>
    <col min="262" max="262" width="34.5" style="52" bestFit="1" customWidth="1"/>
    <col min="263" max="263" width="51" style="52" bestFit="1" customWidth="1"/>
    <col min="264" max="264" width="9.625" style="52" bestFit="1" customWidth="1"/>
    <col min="265" max="265" width="13" style="52" customWidth="1"/>
    <col min="266" max="266" width="16.625" style="52" customWidth="1"/>
    <col min="267" max="268" width="11.5" style="52" customWidth="1"/>
    <col min="269" max="269" width="11.625" style="52" customWidth="1"/>
    <col min="270" max="270" width="9.375" style="52" customWidth="1"/>
    <col min="271" max="271" width="9.5" style="52" customWidth="1"/>
    <col min="272" max="272" width="8.625" style="52" customWidth="1"/>
    <col min="273" max="273" width="12.375" style="52" bestFit="1" customWidth="1"/>
    <col min="274" max="275" width="9" style="52"/>
    <col min="276" max="276" width="12.375" style="52" bestFit="1" customWidth="1"/>
    <col min="277" max="501" width="9" style="52"/>
    <col min="502" max="502" width="10.5" style="52" bestFit="1" customWidth="1"/>
    <col min="503" max="515" width="0" style="52" hidden="1" customWidth="1"/>
    <col min="516" max="516" width="9" style="52"/>
    <col min="517" max="517" width="11.5" style="52" bestFit="1" customWidth="1"/>
    <col min="518" max="518" width="34.5" style="52" bestFit="1" customWidth="1"/>
    <col min="519" max="519" width="51" style="52" bestFit="1" customWidth="1"/>
    <col min="520" max="520" width="9.625" style="52" bestFit="1" customWidth="1"/>
    <col min="521" max="521" width="13" style="52" customWidth="1"/>
    <col min="522" max="522" width="16.625" style="52" customWidth="1"/>
    <col min="523" max="524" width="11.5" style="52" customWidth="1"/>
    <col min="525" max="525" width="11.625" style="52" customWidth="1"/>
    <col min="526" max="526" width="9.375" style="52" customWidth="1"/>
    <col min="527" max="527" width="9.5" style="52" customWidth="1"/>
    <col min="528" max="528" width="8.625" style="52" customWidth="1"/>
    <col min="529" max="529" width="12.375" style="52" bestFit="1" customWidth="1"/>
    <col min="530" max="531" width="9" style="52"/>
    <col min="532" max="532" width="12.375" style="52" bestFit="1" customWidth="1"/>
    <col min="533" max="757" width="9" style="52"/>
    <col min="758" max="758" width="10.5" style="52" bestFit="1" customWidth="1"/>
    <col min="759" max="771" width="0" style="52" hidden="1" customWidth="1"/>
    <col min="772" max="772" width="9" style="52"/>
    <col min="773" max="773" width="11.5" style="52" bestFit="1" customWidth="1"/>
    <col min="774" max="774" width="34.5" style="52" bestFit="1" customWidth="1"/>
    <col min="775" max="775" width="51" style="52" bestFit="1" customWidth="1"/>
    <col min="776" max="776" width="9.625" style="52" bestFit="1" customWidth="1"/>
    <col min="777" max="777" width="13" style="52" customWidth="1"/>
    <col min="778" max="778" width="16.625" style="52" customWidth="1"/>
    <col min="779" max="780" width="11.5" style="52" customWidth="1"/>
    <col min="781" max="781" width="11.625" style="52" customWidth="1"/>
    <col min="782" max="782" width="9.375" style="52" customWidth="1"/>
    <col min="783" max="783" width="9.5" style="52" customWidth="1"/>
    <col min="784" max="784" width="8.625" style="52" customWidth="1"/>
    <col min="785" max="785" width="12.375" style="52" bestFit="1" customWidth="1"/>
    <col min="786" max="787" width="9" style="52"/>
    <col min="788" max="788" width="12.375" style="52" bestFit="1" customWidth="1"/>
    <col min="789" max="1013" width="9" style="52"/>
    <col min="1014" max="1014" width="10.5" style="52" bestFit="1" customWidth="1"/>
    <col min="1015" max="1027" width="0" style="52" hidden="1" customWidth="1"/>
    <col min="1028" max="1028" width="9" style="52"/>
    <col min="1029" max="1029" width="11.5" style="52" bestFit="1" customWidth="1"/>
    <col min="1030" max="1030" width="34.5" style="52" bestFit="1" customWidth="1"/>
    <col min="1031" max="1031" width="51" style="52" bestFit="1" customWidth="1"/>
    <col min="1032" max="1032" width="9.625" style="52" bestFit="1" customWidth="1"/>
    <col min="1033" max="1033" width="13" style="52" customWidth="1"/>
    <col min="1034" max="1034" width="16.625" style="52" customWidth="1"/>
    <col min="1035" max="1036" width="11.5" style="52" customWidth="1"/>
    <col min="1037" max="1037" width="11.625" style="52" customWidth="1"/>
    <col min="1038" max="1038" width="9.375" style="52" customWidth="1"/>
    <col min="1039" max="1039" width="9.5" style="52" customWidth="1"/>
    <col min="1040" max="1040" width="8.625" style="52" customWidth="1"/>
    <col min="1041" max="1041" width="12.375" style="52" bestFit="1" customWidth="1"/>
    <col min="1042" max="1043" width="9" style="52"/>
    <col min="1044" max="1044" width="12.375" style="52" bestFit="1" customWidth="1"/>
    <col min="1045" max="1269" width="9" style="52"/>
    <col min="1270" max="1270" width="10.5" style="52" bestFit="1" customWidth="1"/>
    <col min="1271" max="1283" width="0" style="52" hidden="1" customWidth="1"/>
    <col min="1284" max="1284" width="9" style="52"/>
    <col min="1285" max="1285" width="11.5" style="52" bestFit="1" customWidth="1"/>
    <col min="1286" max="1286" width="34.5" style="52" bestFit="1" customWidth="1"/>
    <col min="1287" max="1287" width="51" style="52" bestFit="1" customWidth="1"/>
    <col min="1288" max="1288" width="9.625" style="52" bestFit="1" customWidth="1"/>
    <col min="1289" max="1289" width="13" style="52" customWidth="1"/>
    <col min="1290" max="1290" width="16.625" style="52" customWidth="1"/>
    <col min="1291" max="1292" width="11.5" style="52" customWidth="1"/>
    <col min="1293" max="1293" width="11.625" style="52" customWidth="1"/>
    <col min="1294" max="1294" width="9.375" style="52" customWidth="1"/>
    <col min="1295" max="1295" width="9.5" style="52" customWidth="1"/>
    <col min="1296" max="1296" width="8.625" style="52" customWidth="1"/>
    <col min="1297" max="1297" width="12.375" style="52" bestFit="1" customWidth="1"/>
    <col min="1298" max="1299" width="9" style="52"/>
    <col min="1300" max="1300" width="12.375" style="52" bestFit="1" customWidth="1"/>
    <col min="1301" max="1525" width="9" style="52"/>
    <col min="1526" max="1526" width="10.5" style="52" bestFit="1" customWidth="1"/>
    <col min="1527" max="1539" width="0" style="52" hidden="1" customWidth="1"/>
    <col min="1540" max="1540" width="9" style="52"/>
    <col min="1541" max="1541" width="11.5" style="52" bestFit="1" customWidth="1"/>
    <col min="1542" max="1542" width="34.5" style="52" bestFit="1" customWidth="1"/>
    <col min="1543" max="1543" width="51" style="52" bestFit="1" customWidth="1"/>
    <col min="1544" max="1544" width="9.625" style="52" bestFit="1" customWidth="1"/>
    <col min="1545" max="1545" width="13" style="52" customWidth="1"/>
    <col min="1546" max="1546" width="16.625" style="52" customWidth="1"/>
    <col min="1547" max="1548" width="11.5" style="52" customWidth="1"/>
    <col min="1549" max="1549" width="11.625" style="52" customWidth="1"/>
    <col min="1550" max="1550" width="9.375" style="52" customWidth="1"/>
    <col min="1551" max="1551" width="9.5" style="52" customWidth="1"/>
    <col min="1552" max="1552" width="8.625" style="52" customWidth="1"/>
    <col min="1553" max="1553" width="12.375" style="52" bestFit="1" customWidth="1"/>
    <col min="1554" max="1555" width="9" style="52"/>
    <col min="1556" max="1556" width="12.375" style="52" bestFit="1" customWidth="1"/>
    <col min="1557" max="1781" width="9" style="52"/>
    <col min="1782" max="1782" width="10.5" style="52" bestFit="1" customWidth="1"/>
    <col min="1783" max="1795" width="0" style="52" hidden="1" customWidth="1"/>
    <col min="1796" max="1796" width="9" style="52"/>
    <col min="1797" max="1797" width="11.5" style="52" bestFit="1" customWidth="1"/>
    <col min="1798" max="1798" width="34.5" style="52" bestFit="1" customWidth="1"/>
    <col min="1799" max="1799" width="51" style="52" bestFit="1" customWidth="1"/>
    <col min="1800" max="1800" width="9.625" style="52" bestFit="1" customWidth="1"/>
    <col min="1801" max="1801" width="13" style="52" customWidth="1"/>
    <col min="1802" max="1802" width="16.625" style="52" customWidth="1"/>
    <col min="1803" max="1804" width="11.5" style="52" customWidth="1"/>
    <col min="1805" max="1805" width="11.625" style="52" customWidth="1"/>
    <col min="1806" max="1806" width="9.375" style="52" customWidth="1"/>
    <col min="1807" max="1807" width="9.5" style="52" customWidth="1"/>
    <col min="1808" max="1808" width="8.625" style="52" customWidth="1"/>
    <col min="1809" max="1809" width="12.375" style="52" bestFit="1" customWidth="1"/>
    <col min="1810" max="1811" width="9" style="52"/>
    <col min="1812" max="1812" width="12.375" style="52" bestFit="1" customWidth="1"/>
    <col min="1813" max="2037" width="9" style="52"/>
    <col min="2038" max="2038" width="10.5" style="52" bestFit="1" customWidth="1"/>
    <col min="2039" max="2051" width="0" style="52" hidden="1" customWidth="1"/>
    <col min="2052" max="2052" width="9" style="52"/>
    <col min="2053" max="2053" width="11.5" style="52" bestFit="1" customWidth="1"/>
    <col min="2054" max="2054" width="34.5" style="52" bestFit="1" customWidth="1"/>
    <col min="2055" max="2055" width="51" style="52" bestFit="1" customWidth="1"/>
    <col min="2056" max="2056" width="9.625" style="52" bestFit="1" customWidth="1"/>
    <col min="2057" max="2057" width="13" style="52" customWidth="1"/>
    <col min="2058" max="2058" width="16.625" style="52" customWidth="1"/>
    <col min="2059" max="2060" width="11.5" style="52" customWidth="1"/>
    <col min="2061" max="2061" width="11.625" style="52" customWidth="1"/>
    <col min="2062" max="2062" width="9.375" style="52" customWidth="1"/>
    <col min="2063" max="2063" width="9.5" style="52" customWidth="1"/>
    <col min="2064" max="2064" width="8.625" style="52" customWidth="1"/>
    <col min="2065" max="2065" width="12.375" style="52" bestFit="1" customWidth="1"/>
    <col min="2066" max="2067" width="9" style="52"/>
    <col min="2068" max="2068" width="12.375" style="52" bestFit="1" customWidth="1"/>
    <col min="2069" max="2293" width="9" style="52"/>
    <col min="2294" max="2294" width="10.5" style="52" bestFit="1" customWidth="1"/>
    <col min="2295" max="2307" width="0" style="52" hidden="1" customWidth="1"/>
    <col min="2308" max="2308" width="9" style="52"/>
    <col min="2309" max="2309" width="11.5" style="52" bestFit="1" customWidth="1"/>
    <col min="2310" max="2310" width="34.5" style="52" bestFit="1" customWidth="1"/>
    <col min="2311" max="2311" width="51" style="52" bestFit="1" customWidth="1"/>
    <col min="2312" max="2312" width="9.625" style="52" bestFit="1" customWidth="1"/>
    <col min="2313" max="2313" width="13" style="52" customWidth="1"/>
    <col min="2314" max="2314" width="16.625" style="52" customWidth="1"/>
    <col min="2315" max="2316" width="11.5" style="52" customWidth="1"/>
    <col min="2317" max="2317" width="11.625" style="52" customWidth="1"/>
    <col min="2318" max="2318" width="9.375" style="52" customWidth="1"/>
    <col min="2319" max="2319" width="9.5" style="52" customWidth="1"/>
    <col min="2320" max="2320" width="8.625" style="52" customWidth="1"/>
    <col min="2321" max="2321" width="12.375" style="52" bestFit="1" customWidth="1"/>
    <col min="2322" max="2323" width="9" style="52"/>
    <col min="2324" max="2324" width="12.375" style="52" bestFit="1" customWidth="1"/>
    <col min="2325" max="2549" width="9" style="52"/>
    <col min="2550" max="2550" width="10.5" style="52" bestFit="1" customWidth="1"/>
    <col min="2551" max="2563" width="0" style="52" hidden="1" customWidth="1"/>
    <col min="2564" max="2564" width="9" style="52"/>
    <col min="2565" max="2565" width="11.5" style="52" bestFit="1" customWidth="1"/>
    <col min="2566" max="2566" width="34.5" style="52" bestFit="1" customWidth="1"/>
    <col min="2567" max="2567" width="51" style="52" bestFit="1" customWidth="1"/>
    <col min="2568" max="2568" width="9.625" style="52" bestFit="1" customWidth="1"/>
    <col min="2569" max="2569" width="13" style="52" customWidth="1"/>
    <col min="2570" max="2570" width="16.625" style="52" customWidth="1"/>
    <col min="2571" max="2572" width="11.5" style="52" customWidth="1"/>
    <col min="2573" max="2573" width="11.625" style="52" customWidth="1"/>
    <col min="2574" max="2574" width="9.375" style="52" customWidth="1"/>
    <col min="2575" max="2575" width="9.5" style="52" customWidth="1"/>
    <col min="2576" max="2576" width="8.625" style="52" customWidth="1"/>
    <col min="2577" max="2577" width="12.375" style="52" bestFit="1" customWidth="1"/>
    <col min="2578" max="2579" width="9" style="52"/>
    <col min="2580" max="2580" width="12.375" style="52" bestFit="1" customWidth="1"/>
    <col min="2581" max="2805" width="9" style="52"/>
    <col min="2806" max="2806" width="10.5" style="52" bestFit="1" customWidth="1"/>
    <col min="2807" max="2819" width="0" style="52" hidden="1" customWidth="1"/>
    <col min="2820" max="2820" width="9" style="52"/>
    <col min="2821" max="2821" width="11.5" style="52" bestFit="1" customWidth="1"/>
    <col min="2822" max="2822" width="34.5" style="52" bestFit="1" customWidth="1"/>
    <col min="2823" max="2823" width="51" style="52" bestFit="1" customWidth="1"/>
    <col min="2824" max="2824" width="9.625" style="52" bestFit="1" customWidth="1"/>
    <col min="2825" max="2825" width="13" style="52" customWidth="1"/>
    <col min="2826" max="2826" width="16.625" style="52" customWidth="1"/>
    <col min="2827" max="2828" width="11.5" style="52" customWidth="1"/>
    <col min="2829" max="2829" width="11.625" style="52" customWidth="1"/>
    <col min="2830" max="2830" width="9.375" style="52" customWidth="1"/>
    <col min="2831" max="2831" width="9.5" style="52" customWidth="1"/>
    <col min="2832" max="2832" width="8.625" style="52" customWidth="1"/>
    <col min="2833" max="2833" width="12.375" style="52" bestFit="1" customWidth="1"/>
    <col min="2834" max="2835" width="9" style="52"/>
    <col min="2836" max="2836" width="12.375" style="52" bestFit="1" customWidth="1"/>
    <col min="2837" max="3061" width="9" style="52"/>
    <col min="3062" max="3062" width="10.5" style="52" bestFit="1" customWidth="1"/>
    <col min="3063" max="3075" width="0" style="52" hidden="1" customWidth="1"/>
    <col min="3076" max="3076" width="9" style="52"/>
    <col min="3077" max="3077" width="11.5" style="52" bestFit="1" customWidth="1"/>
    <col min="3078" max="3078" width="34.5" style="52" bestFit="1" customWidth="1"/>
    <col min="3079" max="3079" width="51" style="52" bestFit="1" customWidth="1"/>
    <col min="3080" max="3080" width="9.625" style="52" bestFit="1" customWidth="1"/>
    <col min="3081" max="3081" width="13" style="52" customWidth="1"/>
    <col min="3082" max="3082" width="16.625" style="52" customWidth="1"/>
    <col min="3083" max="3084" width="11.5" style="52" customWidth="1"/>
    <col min="3085" max="3085" width="11.625" style="52" customWidth="1"/>
    <col min="3086" max="3086" width="9.375" style="52" customWidth="1"/>
    <col min="3087" max="3087" width="9.5" style="52" customWidth="1"/>
    <col min="3088" max="3088" width="8.625" style="52" customWidth="1"/>
    <col min="3089" max="3089" width="12.375" style="52" bestFit="1" customWidth="1"/>
    <col min="3090" max="3091" width="9" style="52"/>
    <col min="3092" max="3092" width="12.375" style="52" bestFit="1" customWidth="1"/>
    <col min="3093" max="3317" width="9" style="52"/>
    <col min="3318" max="3318" width="10.5" style="52" bestFit="1" customWidth="1"/>
    <col min="3319" max="3331" width="0" style="52" hidden="1" customWidth="1"/>
    <col min="3332" max="3332" width="9" style="52"/>
    <col min="3333" max="3333" width="11.5" style="52" bestFit="1" customWidth="1"/>
    <col min="3334" max="3334" width="34.5" style="52" bestFit="1" customWidth="1"/>
    <col min="3335" max="3335" width="51" style="52" bestFit="1" customWidth="1"/>
    <col min="3336" max="3336" width="9.625" style="52" bestFit="1" customWidth="1"/>
    <col min="3337" max="3337" width="13" style="52" customWidth="1"/>
    <col min="3338" max="3338" width="16.625" style="52" customWidth="1"/>
    <col min="3339" max="3340" width="11.5" style="52" customWidth="1"/>
    <col min="3341" max="3341" width="11.625" style="52" customWidth="1"/>
    <col min="3342" max="3342" width="9.375" style="52" customWidth="1"/>
    <col min="3343" max="3343" width="9.5" style="52" customWidth="1"/>
    <col min="3344" max="3344" width="8.625" style="52" customWidth="1"/>
    <col min="3345" max="3345" width="12.375" style="52" bestFit="1" customWidth="1"/>
    <col min="3346" max="3347" width="9" style="52"/>
    <col min="3348" max="3348" width="12.375" style="52" bestFit="1" customWidth="1"/>
    <col min="3349" max="3573" width="9" style="52"/>
    <col min="3574" max="3574" width="10.5" style="52" bestFit="1" customWidth="1"/>
    <col min="3575" max="3587" width="0" style="52" hidden="1" customWidth="1"/>
    <col min="3588" max="3588" width="9" style="52"/>
    <col min="3589" max="3589" width="11.5" style="52" bestFit="1" customWidth="1"/>
    <col min="3590" max="3590" width="34.5" style="52" bestFit="1" customWidth="1"/>
    <col min="3591" max="3591" width="51" style="52" bestFit="1" customWidth="1"/>
    <col min="3592" max="3592" width="9.625" style="52" bestFit="1" customWidth="1"/>
    <col min="3593" max="3593" width="13" style="52" customWidth="1"/>
    <col min="3594" max="3594" width="16.625" style="52" customWidth="1"/>
    <col min="3595" max="3596" width="11.5" style="52" customWidth="1"/>
    <col min="3597" max="3597" width="11.625" style="52" customWidth="1"/>
    <col min="3598" max="3598" width="9.375" style="52" customWidth="1"/>
    <col min="3599" max="3599" width="9.5" style="52" customWidth="1"/>
    <col min="3600" max="3600" width="8.625" style="52" customWidth="1"/>
    <col min="3601" max="3601" width="12.375" style="52" bestFit="1" customWidth="1"/>
    <col min="3602" max="3603" width="9" style="52"/>
    <col min="3604" max="3604" width="12.375" style="52" bestFit="1" customWidth="1"/>
    <col min="3605" max="3829" width="9" style="52"/>
    <col min="3830" max="3830" width="10.5" style="52" bestFit="1" customWidth="1"/>
    <col min="3831" max="3843" width="0" style="52" hidden="1" customWidth="1"/>
    <col min="3844" max="3844" width="9" style="52"/>
    <col min="3845" max="3845" width="11.5" style="52" bestFit="1" customWidth="1"/>
    <col min="3846" max="3846" width="34.5" style="52" bestFit="1" customWidth="1"/>
    <col min="3847" max="3847" width="51" style="52" bestFit="1" customWidth="1"/>
    <col min="3848" max="3848" width="9.625" style="52" bestFit="1" customWidth="1"/>
    <col min="3849" max="3849" width="13" style="52" customWidth="1"/>
    <col min="3850" max="3850" width="16.625" style="52" customWidth="1"/>
    <col min="3851" max="3852" width="11.5" style="52" customWidth="1"/>
    <col min="3853" max="3853" width="11.625" style="52" customWidth="1"/>
    <col min="3854" max="3854" width="9.375" style="52" customWidth="1"/>
    <col min="3855" max="3855" width="9.5" style="52" customWidth="1"/>
    <col min="3856" max="3856" width="8.625" style="52" customWidth="1"/>
    <col min="3857" max="3857" width="12.375" style="52" bestFit="1" customWidth="1"/>
    <col min="3858" max="3859" width="9" style="52"/>
    <col min="3860" max="3860" width="12.375" style="52" bestFit="1" customWidth="1"/>
    <col min="3861" max="4085" width="9" style="52"/>
    <col min="4086" max="4086" width="10.5" style="52" bestFit="1" customWidth="1"/>
    <col min="4087" max="4099" width="0" style="52" hidden="1" customWidth="1"/>
    <col min="4100" max="4100" width="9" style="52"/>
    <col min="4101" max="4101" width="11.5" style="52" bestFit="1" customWidth="1"/>
    <col min="4102" max="4102" width="34.5" style="52" bestFit="1" customWidth="1"/>
    <col min="4103" max="4103" width="51" style="52" bestFit="1" customWidth="1"/>
    <col min="4104" max="4104" width="9.625" style="52" bestFit="1" customWidth="1"/>
    <col min="4105" max="4105" width="13" style="52" customWidth="1"/>
    <col min="4106" max="4106" width="16.625" style="52" customWidth="1"/>
    <col min="4107" max="4108" width="11.5" style="52" customWidth="1"/>
    <col min="4109" max="4109" width="11.625" style="52" customWidth="1"/>
    <col min="4110" max="4110" width="9.375" style="52" customWidth="1"/>
    <col min="4111" max="4111" width="9.5" style="52" customWidth="1"/>
    <col min="4112" max="4112" width="8.625" style="52" customWidth="1"/>
    <col min="4113" max="4113" width="12.375" style="52" bestFit="1" customWidth="1"/>
    <col min="4114" max="4115" width="9" style="52"/>
    <col min="4116" max="4116" width="12.375" style="52" bestFit="1" customWidth="1"/>
    <col min="4117" max="4341" width="9" style="52"/>
    <col min="4342" max="4342" width="10.5" style="52" bestFit="1" customWidth="1"/>
    <col min="4343" max="4355" width="0" style="52" hidden="1" customWidth="1"/>
    <col min="4356" max="4356" width="9" style="52"/>
    <col min="4357" max="4357" width="11.5" style="52" bestFit="1" customWidth="1"/>
    <col min="4358" max="4358" width="34.5" style="52" bestFit="1" customWidth="1"/>
    <col min="4359" max="4359" width="51" style="52" bestFit="1" customWidth="1"/>
    <col min="4360" max="4360" width="9.625" style="52" bestFit="1" customWidth="1"/>
    <col min="4361" max="4361" width="13" style="52" customWidth="1"/>
    <col min="4362" max="4362" width="16.625" style="52" customWidth="1"/>
    <col min="4363" max="4364" width="11.5" style="52" customWidth="1"/>
    <col min="4365" max="4365" width="11.625" style="52" customWidth="1"/>
    <col min="4366" max="4366" width="9.375" style="52" customWidth="1"/>
    <col min="4367" max="4367" width="9.5" style="52" customWidth="1"/>
    <col min="4368" max="4368" width="8.625" style="52" customWidth="1"/>
    <col min="4369" max="4369" width="12.375" style="52" bestFit="1" customWidth="1"/>
    <col min="4370" max="4371" width="9" style="52"/>
    <col min="4372" max="4372" width="12.375" style="52" bestFit="1" customWidth="1"/>
    <col min="4373" max="4597" width="9" style="52"/>
    <col min="4598" max="4598" width="10.5" style="52" bestFit="1" customWidth="1"/>
    <col min="4599" max="4611" width="0" style="52" hidden="1" customWidth="1"/>
    <col min="4612" max="4612" width="9" style="52"/>
    <col min="4613" max="4613" width="11.5" style="52" bestFit="1" customWidth="1"/>
    <col min="4614" max="4614" width="34.5" style="52" bestFit="1" customWidth="1"/>
    <col min="4615" max="4615" width="51" style="52" bestFit="1" customWidth="1"/>
    <col min="4616" max="4616" width="9.625" style="52" bestFit="1" customWidth="1"/>
    <col min="4617" max="4617" width="13" style="52" customWidth="1"/>
    <col min="4618" max="4618" width="16.625" style="52" customWidth="1"/>
    <col min="4619" max="4620" width="11.5" style="52" customWidth="1"/>
    <col min="4621" max="4621" width="11.625" style="52" customWidth="1"/>
    <col min="4622" max="4622" width="9.375" style="52" customWidth="1"/>
    <col min="4623" max="4623" width="9.5" style="52" customWidth="1"/>
    <col min="4624" max="4624" width="8.625" style="52" customWidth="1"/>
    <col min="4625" max="4625" width="12.375" style="52" bestFit="1" customWidth="1"/>
    <col min="4626" max="4627" width="9" style="52"/>
    <col min="4628" max="4628" width="12.375" style="52" bestFit="1" customWidth="1"/>
    <col min="4629" max="4853" width="9" style="52"/>
    <col min="4854" max="4854" width="10.5" style="52" bestFit="1" customWidth="1"/>
    <col min="4855" max="4867" width="0" style="52" hidden="1" customWidth="1"/>
    <col min="4868" max="4868" width="9" style="52"/>
    <col min="4869" max="4869" width="11.5" style="52" bestFit="1" customWidth="1"/>
    <col min="4870" max="4870" width="34.5" style="52" bestFit="1" customWidth="1"/>
    <col min="4871" max="4871" width="51" style="52" bestFit="1" customWidth="1"/>
    <col min="4872" max="4872" width="9.625" style="52" bestFit="1" customWidth="1"/>
    <col min="4873" max="4873" width="13" style="52" customWidth="1"/>
    <col min="4874" max="4874" width="16.625" style="52" customWidth="1"/>
    <col min="4875" max="4876" width="11.5" style="52" customWidth="1"/>
    <col min="4877" max="4877" width="11.625" style="52" customWidth="1"/>
    <col min="4878" max="4878" width="9.375" style="52" customWidth="1"/>
    <col min="4879" max="4879" width="9.5" style="52" customWidth="1"/>
    <col min="4880" max="4880" width="8.625" style="52" customWidth="1"/>
    <col min="4881" max="4881" width="12.375" style="52" bestFit="1" customWidth="1"/>
    <col min="4882" max="4883" width="9" style="52"/>
    <col min="4884" max="4884" width="12.375" style="52" bestFit="1" customWidth="1"/>
    <col min="4885" max="5109" width="9" style="52"/>
    <col min="5110" max="5110" width="10.5" style="52" bestFit="1" customWidth="1"/>
    <col min="5111" max="5123" width="0" style="52" hidden="1" customWidth="1"/>
    <col min="5124" max="5124" width="9" style="52"/>
    <col min="5125" max="5125" width="11.5" style="52" bestFit="1" customWidth="1"/>
    <col min="5126" max="5126" width="34.5" style="52" bestFit="1" customWidth="1"/>
    <col min="5127" max="5127" width="51" style="52" bestFit="1" customWidth="1"/>
    <col min="5128" max="5128" width="9.625" style="52" bestFit="1" customWidth="1"/>
    <col min="5129" max="5129" width="13" style="52" customWidth="1"/>
    <col min="5130" max="5130" width="16.625" style="52" customWidth="1"/>
    <col min="5131" max="5132" width="11.5" style="52" customWidth="1"/>
    <col min="5133" max="5133" width="11.625" style="52" customWidth="1"/>
    <col min="5134" max="5134" width="9.375" style="52" customWidth="1"/>
    <col min="5135" max="5135" width="9.5" style="52" customWidth="1"/>
    <col min="5136" max="5136" width="8.625" style="52" customWidth="1"/>
    <col min="5137" max="5137" width="12.375" style="52" bestFit="1" customWidth="1"/>
    <col min="5138" max="5139" width="9" style="52"/>
    <col min="5140" max="5140" width="12.375" style="52" bestFit="1" customWidth="1"/>
    <col min="5141" max="5365" width="9" style="52"/>
    <col min="5366" max="5366" width="10.5" style="52" bestFit="1" customWidth="1"/>
    <col min="5367" max="5379" width="0" style="52" hidden="1" customWidth="1"/>
    <col min="5380" max="5380" width="9" style="52"/>
    <col min="5381" max="5381" width="11.5" style="52" bestFit="1" customWidth="1"/>
    <col min="5382" max="5382" width="34.5" style="52" bestFit="1" customWidth="1"/>
    <col min="5383" max="5383" width="51" style="52" bestFit="1" customWidth="1"/>
    <col min="5384" max="5384" width="9.625" style="52" bestFit="1" customWidth="1"/>
    <col min="5385" max="5385" width="13" style="52" customWidth="1"/>
    <col min="5386" max="5386" width="16.625" style="52" customWidth="1"/>
    <col min="5387" max="5388" width="11.5" style="52" customWidth="1"/>
    <col min="5389" max="5389" width="11.625" style="52" customWidth="1"/>
    <col min="5390" max="5390" width="9.375" style="52" customWidth="1"/>
    <col min="5391" max="5391" width="9.5" style="52" customWidth="1"/>
    <col min="5392" max="5392" width="8.625" style="52" customWidth="1"/>
    <col min="5393" max="5393" width="12.375" style="52" bestFit="1" customWidth="1"/>
    <col min="5394" max="5395" width="9" style="52"/>
    <col min="5396" max="5396" width="12.375" style="52" bestFit="1" customWidth="1"/>
    <col min="5397" max="5621" width="9" style="52"/>
    <col min="5622" max="5622" width="10.5" style="52" bestFit="1" customWidth="1"/>
    <col min="5623" max="5635" width="0" style="52" hidden="1" customWidth="1"/>
    <col min="5636" max="5636" width="9" style="52"/>
    <col min="5637" max="5637" width="11.5" style="52" bestFit="1" customWidth="1"/>
    <col min="5638" max="5638" width="34.5" style="52" bestFit="1" customWidth="1"/>
    <col min="5639" max="5639" width="51" style="52" bestFit="1" customWidth="1"/>
    <col min="5640" max="5640" width="9.625" style="52" bestFit="1" customWidth="1"/>
    <col min="5641" max="5641" width="13" style="52" customWidth="1"/>
    <col min="5642" max="5642" width="16.625" style="52" customWidth="1"/>
    <col min="5643" max="5644" width="11.5" style="52" customWidth="1"/>
    <col min="5645" max="5645" width="11.625" style="52" customWidth="1"/>
    <col min="5646" max="5646" width="9.375" style="52" customWidth="1"/>
    <col min="5647" max="5647" width="9.5" style="52" customWidth="1"/>
    <col min="5648" max="5648" width="8.625" style="52" customWidth="1"/>
    <col min="5649" max="5649" width="12.375" style="52" bestFit="1" customWidth="1"/>
    <col min="5650" max="5651" width="9" style="52"/>
    <col min="5652" max="5652" width="12.375" style="52" bestFit="1" customWidth="1"/>
    <col min="5653" max="5877" width="9" style="52"/>
    <col min="5878" max="5878" width="10.5" style="52" bestFit="1" customWidth="1"/>
    <col min="5879" max="5891" width="0" style="52" hidden="1" customWidth="1"/>
    <col min="5892" max="5892" width="9" style="52"/>
    <col min="5893" max="5893" width="11.5" style="52" bestFit="1" customWidth="1"/>
    <col min="5894" max="5894" width="34.5" style="52" bestFit="1" customWidth="1"/>
    <col min="5895" max="5895" width="51" style="52" bestFit="1" customWidth="1"/>
    <col min="5896" max="5896" width="9.625" style="52" bestFit="1" customWidth="1"/>
    <col min="5897" max="5897" width="13" style="52" customWidth="1"/>
    <col min="5898" max="5898" width="16.625" style="52" customWidth="1"/>
    <col min="5899" max="5900" width="11.5" style="52" customWidth="1"/>
    <col min="5901" max="5901" width="11.625" style="52" customWidth="1"/>
    <col min="5902" max="5902" width="9.375" style="52" customWidth="1"/>
    <col min="5903" max="5903" width="9.5" style="52" customWidth="1"/>
    <col min="5904" max="5904" width="8.625" style="52" customWidth="1"/>
    <col min="5905" max="5905" width="12.375" style="52" bestFit="1" customWidth="1"/>
    <col min="5906" max="5907" width="9" style="52"/>
    <col min="5908" max="5908" width="12.375" style="52" bestFit="1" customWidth="1"/>
    <col min="5909" max="6133" width="9" style="52"/>
    <col min="6134" max="6134" width="10.5" style="52" bestFit="1" customWidth="1"/>
    <col min="6135" max="6147" width="0" style="52" hidden="1" customWidth="1"/>
    <col min="6148" max="6148" width="9" style="52"/>
    <col min="6149" max="6149" width="11.5" style="52" bestFit="1" customWidth="1"/>
    <col min="6150" max="6150" width="34.5" style="52" bestFit="1" customWidth="1"/>
    <col min="6151" max="6151" width="51" style="52" bestFit="1" customWidth="1"/>
    <col min="6152" max="6152" width="9.625" style="52" bestFit="1" customWidth="1"/>
    <col min="6153" max="6153" width="13" style="52" customWidth="1"/>
    <col min="6154" max="6154" width="16.625" style="52" customWidth="1"/>
    <col min="6155" max="6156" width="11.5" style="52" customWidth="1"/>
    <col min="6157" max="6157" width="11.625" style="52" customWidth="1"/>
    <col min="6158" max="6158" width="9.375" style="52" customWidth="1"/>
    <col min="6159" max="6159" width="9.5" style="52" customWidth="1"/>
    <col min="6160" max="6160" width="8.625" style="52" customWidth="1"/>
    <col min="6161" max="6161" width="12.375" style="52" bestFit="1" customWidth="1"/>
    <col min="6162" max="6163" width="9" style="52"/>
    <col min="6164" max="6164" width="12.375" style="52" bestFit="1" customWidth="1"/>
    <col min="6165" max="6389" width="9" style="52"/>
    <col min="6390" max="6390" width="10.5" style="52" bestFit="1" customWidth="1"/>
    <col min="6391" max="6403" width="0" style="52" hidden="1" customWidth="1"/>
    <col min="6404" max="6404" width="9" style="52"/>
    <col min="6405" max="6405" width="11.5" style="52" bestFit="1" customWidth="1"/>
    <col min="6406" max="6406" width="34.5" style="52" bestFit="1" customWidth="1"/>
    <col min="6407" max="6407" width="51" style="52" bestFit="1" customWidth="1"/>
    <col min="6408" max="6408" width="9.625" style="52" bestFit="1" customWidth="1"/>
    <col min="6409" max="6409" width="13" style="52" customWidth="1"/>
    <col min="6410" max="6410" width="16.625" style="52" customWidth="1"/>
    <col min="6411" max="6412" width="11.5" style="52" customWidth="1"/>
    <col min="6413" max="6413" width="11.625" style="52" customWidth="1"/>
    <col min="6414" max="6414" width="9.375" style="52" customWidth="1"/>
    <col min="6415" max="6415" width="9.5" style="52" customWidth="1"/>
    <col min="6416" max="6416" width="8.625" style="52" customWidth="1"/>
    <col min="6417" max="6417" width="12.375" style="52" bestFit="1" customWidth="1"/>
    <col min="6418" max="6419" width="9" style="52"/>
    <col min="6420" max="6420" width="12.375" style="52" bestFit="1" customWidth="1"/>
    <col min="6421" max="6645" width="9" style="52"/>
    <col min="6646" max="6646" width="10.5" style="52" bestFit="1" customWidth="1"/>
    <col min="6647" max="6659" width="0" style="52" hidden="1" customWidth="1"/>
    <col min="6660" max="6660" width="9" style="52"/>
    <col min="6661" max="6661" width="11.5" style="52" bestFit="1" customWidth="1"/>
    <col min="6662" max="6662" width="34.5" style="52" bestFit="1" customWidth="1"/>
    <col min="6663" max="6663" width="51" style="52" bestFit="1" customWidth="1"/>
    <col min="6664" max="6664" width="9.625" style="52" bestFit="1" customWidth="1"/>
    <col min="6665" max="6665" width="13" style="52" customWidth="1"/>
    <col min="6666" max="6666" width="16.625" style="52" customWidth="1"/>
    <col min="6667" max="6668" width="11.5" style="52" customWidth="1"/>
    <col min="6669" max="6669" width="11.625" style="52" customWidth="1"/>
    <col min="6670" max="6670" width="9.375" style="52" customWidth="1"/>
    <col min="6671" max="6671" width="9.5" style="52" customWidth="1"/>
    <col min="6672" max="6672" width="8.625" style="52" customWidth="1"/>
    <col min="6673" max="6673" width="12.375" style="52" bestFit="1" customWidth="1"/>
    <col min="6674" max="6675" width="9" style="52"/>
    <col min="6676" max="6676" width="12.375" style="52" bestFit="1" customWidth="1"/>
    <col min="6677" max="6901" width="9" style="52"/>
    <col min="6902" max="6902" width="10.5" style="52" bestFit="1" customWidth="1"/>
    <col min="6903" max="6915" width="0" style="52" hidden="1" customWidth="1"/>
    <col min="6916" max="6916" width="9" style="52"/>
    <col min="6917" max="6917" width="11.5" style="52" bestFit="1" customWidth="1"/>
    <col min="6918" max="6918" width="34.5" style="52" bestFit="1" customWidth="1"/>
    <col min="6919" max="6919" width="51" style="52" bestFit="1" customWidth="1"/>
    <col min="6920" max="6920" width="9.625" style="52" bestFit="1" customWidth="1"/>
    <col min="6921" max="6921" width="13" style="52" customWidth="1"/>
    <col min="6922" max="6922" width="16.625" style="52" customWidth="1"/>
    <col min="6923" max="6924" width="11.5" style="52" customWidth="1"/>
    <col min="6925" max="6925" width="11.625" style="52" customWidth="1"/>
    <col min="6926" max="6926" width="9.375" style="52" customWidth="1"/>
    <col min="6927" max="6927" width="9.5" style="52" customWidth="1"/>
    <col min="6928" max="6928" width="8.625" style="52" customWidth="1"/>
    <col min="6929" max="6929" width="12.375" style="52" bestFit="1" customWidth="1"/>
    <col min="6930" max="6931" width="9" style="52"/>
    <col min="6932" max="6932" width="12.375" style="52" bestFit="1" customWidth="1"/>
    <col min="6933" max="7157" width="9" style="52"/>
    <col min="7158" max="7158" width="10.5" style="52" bestFit="1" customWidth="1"/>
    <col min="7159" max="7171" width="0" style="52" hidden="1" customWidth="1"/>
    <col min="7172" max="7172" width="9" style="52"/>
    <col min="7173" max="7173" width="11.5" style="52" bestFit="1" customWidth="1"/>
    <col min="7174" max="7174" width="34.5" style="52" bestFit="1" customWidth="1"/>
    <col min="7175" max="7175" width="51" style="52" bestFit="1" customWidth="1"/>
    <col min="7176" max="7176" width="9.625" style="52" bestFit="1" customWidth="1"/>
    <col min="7177" max="7177" width="13" style="52" customWidth="1"/>
    <col min="7178" max="7178" width="16.625" style="52" customWidth="1"/>
    <col min="7179" max="7180" width="11.5" style="52" customWidth="1"/>
    <col min="7181" max="7181" width="11.625" style="52" customWidth="1"/>
    <col min="7182" max="7182" width="9.375" style="52" customWidth="1"/>
    <col min="7183" max="7183" width="9.5" style="52" customWidth="1"/>
    <col min="7184" max="7184" width="8.625" style="52" customWidth="1"/>
    <col min="7185" max="7185" width="12.375" style="52" bestFit="1" customWidth="1"/>
    <col min="7186" max="7187" width="9" style="52"/>
    <col min="7188" max="7188" width="12.375" style="52" bestFit="1" customWidth="1"/>
    <col min="7189" max="7413" width="9" style="52"/>
    <col min="7414" max="7414" width="10.5" style="52" bestFit="1" customWidth="1"/>
    <col min="7415" max="7427" width="0" style="52" hidden="1" customWidth="1"/>
    <col min="7428" max="7428" width="9" style="52"/>
    <col min="7429" max="7429" width="11.5" style="52" bestFit="1" customWidth="1"/>
    <col min="7430" max="7430" width="34.5" style="52" bestFit="1" customWidth="1"/>
    <col min="7431" max="7431" width="51" style="52" bestFit="1" customWidth="1"/>
    <col min="7432" max="7432" width="9.625" style="52" bestFit="1" customWidth="1"/>
    <col min="7433" max="7433" width="13" style="52" customWidth="1"/>
    <col min="7434" max="7434" width="16.625" style="52" customWidth="1"/>
    <col min="7435" max="7436" width="11.5" style="52" customWidth="1"/>
    <col min="7437" max="7437" width="11.625" style="52" customWidth="1"/>
    <col min="7438" max="7438" width="9.375" style="52" customWidth="1"/>
    <col min="7439" max="7439" width="9.5" style="52" customWidth="1"/>
    <col min="7440" max="7440" width="8.625" style="52" customWidth="1"/>
    <col min="7441" max="7441" width="12.375" style="52" bestFit="1" customWidth="1"/>
    <col min="7442" max="7443" width="9" style="52"/>
    <col min="7444" max="7444" width="12.375" style="52" bestFit="1" customWidth="1"/>
    <col min="7445" max="7669" width="9" style="52"/>
    <col min="7670" max="7670" width="10.5" style="52" bestFit="1" customWidth="1"/>
    <col min="7671" max="7683" width="0" style="52" hidden="1" customWidth="1"/>
    <col min="7684" max="7684" width="9" style="52"/>
    <col min="7685" max="7685" width="11.5" style="52" bestFit="1" customWidth="1"/>
    <col min="7686" max="7686" width="34.5" style="52" bestFit="1" customWidth="1"/>
    <col min="7687" max="7687" width="51" style="52" bestFit="1" customWidth="1"/>
    <col min="7688" max="7688" width="9.625" style="52" bestFit="1" customWidth="1"/>
    <col min="7689" max="7689" width="13" style="52" customWidth="1"/>
    <col min="7690" max="7690" width="16.625" style="52" customWidth="1"/>
    <col min="7691" max="7692" width="11.5" style="52" customWidth="1"/>
    <col min="7693" max="7693" width="11.625" style="52" customWidth="1"/>
    <col min="7694" max="7694" width="9.375" style="52" customWidth="1"/>
    <col min="7695" max="7695" width="9.5" style="52" customWidth="1"/>
    <col min="7696" max="7696" width="8.625" style="52" customWidth="1"/>
    <col min="7697" max="7697" width="12.375" style="52" bestFit="1" customWidth="1"/>
    <col min="7698" max="7699" width="9" style="52"/>
    <col min="7700" max="7700" width="12.375" style="52" bestFit="1" customWidth="1"/>
    <col min="7701" max="7925" width="9" style="52"/>
    <col min="7926" max="7926" width="10.5" style="52" bestFit="1" customWidth="1"/>
    <col min="7927" max="7939" width="0" style="52" hidden="1" customWidth="1"/>
    <col min="7940" max="7940" width="9" style="52"/>
    <col min="7941" max="7941" width="11.5" style="52" bestFit="1" customWidth="1"/>
    <col min="7942" max="7942" width="34.5" style="52" bestFit="1" customWidth="1"/>
    <col min="7943" max="7943" width="51" style="52" bestFit="1" customWidth="1"/>
    <col min="7944" max="7944" width="9.625" style="52" bestFit="1" customWidth="1"/>
    <col min="7945" max="7945" width="13" style="52" customWidth="1"/>
    <col min="7946" max="7946" width="16.625" style="52" customWidth="1"/>
    <col min="7947" max="7948" width="11.5" style="52" customWidth="1"/>
    <col min="7949" max="7949" width="11.625" style="52" customWidth="1"/>
    <col min="7950" max="7950" width="9.375" style="52" customWidth="1"/>
    <col min="7951" max="7951" width="9.5" style="52" customWidth="1"/>
    <col min="7952" max="7952" width="8.625" style="52" customWidth="1"/>
    <col min="7953" max="7953" width="12.375" style="52" bestFit="1" customWidth="1"/>
    <col min="7954" max="7955" width="9" style="52"/>
    <col min="7956" max="7956" width="12.375" style="52" bestFit="1" customWidth="1"/>
    <col min="7957" max="8181" width="9" style="52"/>
    <col min="8182" max="8182" width="10.5" style="52" bestFit="1" customWidth="1"/>
    <col min="8183" max="8195" width="0" style="52" hidden="1" customWidth="1"/>
    <col min="8196" max="8196" width="9" style="52"/>
    <col min="8197" max="8197" width="11.5" style="52" bestFit="1" customWidth="1"/>
    <col min="8198" max="8198" width="34.5" style="52" bestFit="1" customWidth="1"/>
    <col min="8199" max="8199" width="51" style="52" bestFit="1" customWidth="1"/>
    <col min="8200" max="8200" width="9.625" style="52" bestFit="1" customWidth="1"/>
    <col min="8201" max="8201" width="13" style="52" customWidth="1"/>
    <col min="8202" max="8202" width="16.625" style="52" customWidth="1"/>
    <col min="8203" max="8204" width="11.5" style="52" customWidth="1"/>
    <col min="8205" max="8205" width="11.625" style="52" customWidth="1"/>
    <col min="8206" max="8206" width="9.375" style="52" customWidth="1"/>
    <col min="8207" max="8207" width="9.5" style="52" customWidth="1"/>
    <col min="8208" max="8208" width="8.625" style="52" customWidth="1"/>
    <col min="8209" max="8209" width="12.375" style="52" bestFit="1" customWidth="1"/>
    <col min="8210" max="8211" width="9" style="52"/>
    <col min="8212" max="8212" width="12.375" style="52" bestFit="1" customWidth="1"/>
    <col min="8213" max="8437" width="9" style="52"/>
    <col min="8438" max="8438" width="10.5" style="52" bestFit="1" customWidth="1"/>
    <col min="8439" max="8451" width="0" style="52" hidden="1" customWidth="1"/>
    <col min="8452" max="8452" width="9" style="52"/>
    <col min="8453" max="8453" width="11.5" style="52" bestFit="1" customWidth="1"/>
    <col min="8454" max="8454" width="34.5" style="52" bestFit="1" customWidth="1"/>
    <col min="8455" max="8455" width="51" style="52" bestFit="1" customWidth="1"/>
    <col min="8456" max="8456" width="9.625" style="52" bestFit="1" customWidth="1"/>
    <col min="8457" max="8457" width="13" style="52" customWidth="1"/>
    <col min="8458" max="8458" width="16.625" style="52" customWidth="1"/>
    <col min="8459" max="8460" width="11.5" style="52" customWidth="1"/>
    <col min="8461" max="8461" width="11.625" style="52" customWidth="1"/>
    <col min="8462" max="8462" width="9.375" style="52" customWidth="1"/>
    <col min="8463" max="8463" width="9.5" style="52" customWidth="1"/>
    <col min="8464" max="8464" width="8.625" style="52" customWidth="1"/>
    <col min="8465" max="8465" width="12.375" style="52" bestFit="1" customWidth="1"/>
    <col min="8466" max="8467" width="9" style="52"/>
    <col min="8468" max="8468" width="12.375" style="52" bestFit="1" customWidth="1"/>
    <col min="8469" max="8693" width="9" style="52"/>
    <col min="8694" max="8694" width="10.5" style="52" bestFit="1" customWidth="1"/>
    <col min="8695" max="8707" width="0" style="52" hidden="1" customWidth="1"/>
    <col min="8708" max="8708" width="9" style="52"/>
    <col min="8709" max="8709" width="11.5" style="52" bestFit="1" customWidth="1"/>
    <col min="8710" max="8710" width="34.5" style="52" bestFit="1" customWidth="1"/>
    <col min="8711" max="8711" width="51" style="52" bestFit="1" customWidth="1"/>
    <col min="8712" max="8712" width="9.625" style="52" bestFit="1" customWidth="1"/>
    <col min="8713" max="8713" width="13" style="52" customWidth="1"/>
    <col min="8714" max="8714" width="16.625" style="52" customWidth="1"/>
    <col min="8715" max="8716" width="11.5" style="52" customWidth="1"/>
    <col min="8717" max="8717" width="11.625" style="52" customWidth="1"/>
    <col min="8718" max="8718" width="9.375" style="52" customWidth="1"/>
    <col min="8719" max="8719" width="9.5" style="52" customWidth="1"/>
    <col min="8720" max="8720" width="8.625" style="52" customWidth="1"/>
    <col min="8721" max="8721" width="12.375" style="52" bestFit="1" customWidth="1"/>
    <col min="8722" max="8723" width="9" style="52"/>
    <col min="8724" max="8724" width="12.375" style="52" bestFit="1" customWidth="1"/>
    <col min="8725" max="8949" width="9" style="52"/>
    <col min="8950" max="8950" width="10.5" style="52" bestFit="1" customWidth="1"/>
    <col min="8951" max="8963" width="0" style="52" hidden="1" customWidth="1"/>
    <col min="8964" max="8964" width="9" style="52"/>
    <col min="8965" max="8965" width="11.5" style="52" bestFit="1" customWidth="1"/>
    <col min="8966" max="8966" width="34.5" style="52" bestFit="1" customWidth="1"/>
    <col min="8967" max="8967" width="51" style="52" bestFit="1" customWidth="1"/>
    <col min="8968" max="8968" width="9.625" style="52" bestFit="1" customWidth="1"/>
    <col min="8969" max="8969" width="13" style="52" customWidth="1"/>
    <col min="8970" max="8970" width="16.625" style="52" customWidth="1"/>
    <col min="8971" max="8972" width="11.5" style="52" customWidth="1"/>
    <col min="8973" max="8973" width="11.625" style="52" customWidth="1"/>
    <col min="8974" max="8974" width="9.375" style="52" customWidth="1"/>
    <col min="8975" max="8975" width="9.5" style="52" customWidth="1"/>
    <col min="8976" max="8976" width="8.625" style="52" customWidth="1"/>
    <col min="8977" max="8977" width="12.375" style="52" bestFit="1" customWidth="1"/>
    <col min="8978" max="8979" width="9" style="52"/>
    <col min="8980" max="8980" width="12.375" style="52" bestFit="1" customWidth="1"/>
    <col min="8981" max="9205" width="9" style="52"/>
    <col min="9206" max="9206" width="10.5" style="52" bestFit="1" customWidth="1"/>
    <col min="9207" max="9219" width="0" style="52" hidden="1" customWidth="1"/>
    <col min="9220" max="9220" width="9" style="52"/>
    <col min="9221" max="9221" width="11.5" style="52" bestFit="1" customWidth="1"/>
    <col min="9222" max="9222" width="34.5" style="52" bestFit="1" customWidth="1"/>
    <col min="9223" max="9223" width="51" style="52" bestFit="1" customWidth="1"/>
    <col min="9224" max="9224" width="9.625" style="52" bestFit="1" customWidth="1"/>
    <col min="9225" max="9225" width="13" style="52" customWidth="1"/>
    <col min="9226" max="9226" width="16.625" style="52" customWidth="1"/>
    <col min="9227" max="9228" width="11.5" style="52" customWidth="1"/>
    <col min="9229" max="9229" width="11.625" style="52" customWidth="1"/>
    <col min="9230" max="9230" width="9.375" style="52" customWidth="1"/>
    <col min="9231" max="9231" width="9.5" style="52" customWidth="1"/>
    <col min="9232" max="9232" width="8.625" style="52" customWidth="1"/>
    <col min="9233" max="9233" width="12.375" style="52" bestFit="1" customWidth="1"/>
    <col min="9234" max="9235" width="9" style="52"/>
    <col min="9236" max="9236" width="12.375" style="52" bestFit="1" customWidth="1"/>
    <col min="9237" max="9461" width="9" style="52"/>
    <col min="9462" max="9462" width="10.5" style="52" bestFit="1" customWidth="1"/>
    <col min="9463" max="9475" width="0" style="52" hidden="1" customWidth="1"/>
    <col min="9476" max="9476" width="9" style="52"/>
    <col min="9477" max="9477" width="11.5" style="52" bestFit="1" customWidth="1"/>
    <col min="9478" max="9478" width="34.5" style="52" bestFit="1" customWidth="1"/>
    <col min="9479" max="9479" width="51" style="52" bestFit="1" customWidth="1"/>
    <col min="9480" max="9480" width="9.625" style="52" bestFit="1" customWidth="1"/>
    <col min="9481" max="9481" width="13" style="52" customWidth="1"/>
    <col min="9482" max="9482" width="16.625" style="52" customWidth="1"/>
    <col min="9483" max="9484" width="11.5" style="52" customWidth="1"/>
    <col min="9485" max="9485" width="11.625" style="52" customWidth="1"/>
    <col min="9486" max="9486" width="9.375" style="52" customWidth="1"/>
    <col min="9487" max="9487" width="9.5" style="52" customWidth="1"/>
    <col min="9488" max="9488" width="8.625" style="52" customWidth="1"/>
    <col min="9489" max="9489" width="12.375" style="52" bestFit="1" customWidth="1"/>
    <col min="9490" max="9491" width="9" style="52"/>
    <col min="9492" max="9492" width="12.375" style="52" bestFit="1" customWidth="1"/>
    <col min="9493" max="9717" width="9" style="52"/>
    <col min="9718" max="9718" width="10.5" style="52" bestFit="1" customWidth="1"/>
    <col min="9719" max="9731" width="0" style="52" hidden="1" customWidth="1"/>
    <col min="9732" max="9732" width="9" style="52"/>
    <col min="9733" max="9733" width="11.5" style="52" bestFit="1" customWidth="1"/>
    <col min="9734" max="9734" width="34.5" style="52" bestFit="1" customWidth="1"/>
    <col min="9735" max="9735" width="51" style="52" bestFit="1" customWidth="1"/>
    <col min="9736" max="9736" width="9.625" style="52" bestFit="1" customWidth="1"/>
    <col min="9737" max="9737" width="13" style="52" customWidth="1"/>
    <col min="9738" max="9738" width="16.625" style="52" customWidth="1"/>
    <col min="9739" max="9740" width="11.5" style="52" customWidth="1"/>
    <col min="9741" max="9741" width="11.625" style="52" customWidth="1"/>
    <col min="9742" max="9742" width="9.375" style="52" customWidth="1"/>
    <col min="9743" max="9743" width="9.5" style="52" customWidth="1"/>
    <col min="9744" max="9744" width="8.625" style="52" customWidth="1"/>
    <col min="9745" max="9745" width="12.375" style="52" bestFit="1" customWidth="1"/>
    <col min="9746" max="9747" width="9" style="52"/>
    <col min="9748" max="9748" width="12.375" style="52" bestFit="1" customWidth="1"/>
    <col min="9749" max="9973" width="9" style="52"/>
    <col min="9974" max="9974" width="10.5" style="52" bestFit="1" customWidth="1"/>
    <col min="9975" max="9987" width="0" style="52" hidden="1" customWidth="1"/>
    <col min="9988" max="9988" width="9" style="52"/>
    <col min="9989" max="9989" width="11.5" style="52" bestFit="1" customWidth="1"/>
    <col min="9990" max="9990" width="34.5" style="52" bestFit="1" customWidth="1"/>
    <col min="9991" max="9991" width="51" style="52" bestFit="1" customWidth="1"/>
    <col min="9992" max="9992" width="9.625" style="52" bestFit="1" customWidth="1"/>
    <col min="9993" max="9993" width="13" style="52" customWidth="1"/>
    <col min="9994" max="9994" width="16.625" style="52" customWidth="1"/>
    <col min="9995" max="9996" width="11.5" style="52" customWidth="1"/>
    <col min="9997" max="9997" width="11.625" style="52" customWidth="1"/>
    <col min="9998" max="9998" width="9.375" style="52" customWidth="1"/>
    <col min="9999" max="9999" width="9.5" style="52" customWidth="1"/>
    <col min="10000" max="10000" width="8.625" style="52" customWidth="1"/>
    <col min="10001" max="10001" width="12.375" style="52" bestFit="1" customWidth="1"/>
    <col min="10002" max="10003" width="9" style="52"/>
    <col min="10004" max="10004" width="12.375" style="52" bestFit="1" customWidth="1"/>
    <col min="10005" max="10229" width="9" style="52"/>
    <col min="10230" max="10230" width="10.5" style="52" bestFit="1" customWidth="1"/>
    <col min="10231" max="10243" width="0" style="52" hidden="1" customWidth="1"/>
    <col min="10244" max="10244" width="9" style="52"/>
    <col min="10245" max="10245" width="11.5" style="52" bestFit="1" customWidth="1"/>
    <col min="10246" max="10246" width="34.5" style="52" bestFit="1" customWidth="1"/>
    <col min="10247" max="10247" width="51" style="52" bestFit="1" customWidth="1"/>
    <col min="10248" max="10248" width="9.625" style="52" bestFit="1" customWidth="1"/>
    <col min="10249" max="10249" width="13" style="52" customWidth="1"/>
    <col min="10250" max="10250" width="16.625" style="52" customWidth="1"/>
    <col min="10251" max="10252" width="11.5" style="52" customWidth="1"/>
    <col min="10253" max="10253" width="11.625" style="52" customWidth="1"/>
    <col min="10254" max="10254" width="9.375" style="52" customWidth="1"/>
    <col min="10255" max="10255" width="9.5" style="52" customWidth="1"/>
    <col min="10256" max="10256" width="8.625" style="52" customWidth="1"/>
    <col min="10257" max="10257" width="12.375" style="52" bestFit="1" customWidth="1"/>
    <col min="10258" max="10259" width="9" style="52"/>
    <col min="10260" max="10260" width="12.375" style="52" bestFit="1" customWidth="1"/>
    <col min="10261" max="10485" width="9" style="52"/>
    <col min="10486" max="10486" width="10.5" style="52" bestFit="1" customWidth="1"/>
    <col min="10487" max="10499" width="0" style="52" hidden="1" customWidth="1"/>
    <col min="10500" max="10500" width="9" style="52"/>
    <col min="10501" max="10501" width="11.5" style="52" bestFit="1" customWidth="1"/>
    <col min="10502" max="10502" width="34.5" style="52" bestFit="1" customWidth="1"/>
    <col min="10503" max="10503" width="51" style="52" bestFit="1" customWidth="1"/>
    <col min="10504" max="10504" width="9.625" style="52" bestFit="1" customWidth="1"/>
    <col min="10505" max="10505" width="13" style="52" customWidth="1"/>
    <col min="10506" max="10506" width="16.625" style="52" customWidth="1"/>
    <col min="10507" max="10508" width="11.5" style="52" customWidth="1"/>
    <col min="10509" max="10509" width="11.625" style="52" customWidth="1"/>
    <col min="10510" max="10510" width="9.375" style="52" customWidth="1"/>
    <col min="10511" max="10511" width="9.5" style="52" customWidth="1"/>
    <col min="10512" max="10512" width="8.625" style="52" customWidth="1"/>
    <col min="10513" max="10513" width="12.375" style="52" bestFit="1" customWidth="1"/>
    <col min="10514" max="10515" width="9" style="52"/>
    <col min="10516" max="10516" width="12.375" style="52" bestFit="1" customWidth="1"/>
    <col min="10517" max="10741" width="9" style="52"/>
    <col min="10742" max="10742" width="10.5" style="52" bestFit="1" customWidth="1"/>
    <col min="10743" max="10755" width="0" style="52" hidden="1" customWidth="1"/>
    <col min="10756" max="10756" width="9" style="52"/>
    <col min="10757" max="10757" width="11.5" style="52" bestFit="1" customWidth="1"/>
    <col min="10758" max="10758" width="34.5" style="52" bestFit="1" customWidth="1"/>
    <col min="10759" max="10759" width="51" style="52" bestFit="1" customWidth="1"/>
    <col min="10760" max="10760" width="9.625" style="52" bestFit="1" customWidth="1"/>
    <col min="10761" max="10761" width="13" style="52" customWidth="1"/>
    <col min="10762" max="10762" width="16.625" style="52" customWidth="1"/>
    <col min="10763" max="10764" width="11.5" style="52" customWidth="1"/>
    <col min="10765" max="10765" width="11.625" style="52" customWidth="1"/>
    <col min="10766" max="10766" width="9.375" style="52" customWidth="1"/>
    <col min="10767" max="10767" width="9.5" style="52" customWidth="1"/>
    <col min="10768" max="10768" width="8.625" style="52" customWidth="1"/>
    <col min="10769" max="10769" width="12.375" style="52" bestFit="1" customWidth="1"/>
    <col min="10770" max="10771" width="9" style="52"/>
    <col min="10772" max="10772" width="12.375" style="52" bestFit="1" customWidth="1"/>
    <col min="10773" max="10997" width="9" style="52"/>
    <col min="10998" max="10998" width="10.5" style="52" bestFit="1" customWidth="1"/>
    <col min="10999" max="11011" width="0" style="52" hidden="1" customWidth="1"/>
    <col min="11012" max="11012" width="9" style="52"/>
    <col min="11013" max="11013" width="11.5" style="52" bestFit="1" customWidth="1"/>
    <col min="11014" max="11014" width="34.5" style="52" bestFit="1" customWidth="1"/>
    <col min="11015" max="11015" width="51" style="52" bestFit="1" customWidth="1"/>
    <col min="11016" max="11016" width="9.625" style="52" bestFit="1" customWidth="1"/>
    <col min="11017" max="11017" width="13" style="52" customWidth="1"/>
    <col min="11018" max="11018" width="16.625" style="52" customWidth="1"/>
    <col min="11019" max="11020" width="11.5" style="52" customWidth="1"/>
    <col min="11021" max="11021" width="11.625" style="52" customWidth="1"/>
    <col min="11022" max="11022" width="9.375" style="52" customWidth="1"/>
    <col min="11023" max="11023" width="9.5" style="52" customWidth="1"/>
    <col min="11024" max="11024" width="8.625" style="52" customWidth="1"/>
    <col min="11025" max="11025" width="12.375" style="52" bestFit="1" customWidth="1"/>
    <col min="11026" max="11027" width="9" style="52"/>
    <col min="11028" max="11028" width="12.375" style="52" bestFit="1" customWidth="1"/>
    <col min="11029" max="11253" width="9" style="52"/>
    <col min="11254" max="11254" width="10.5" style="52" bestFit="1" customWidth="1"/>
    <col min="11255" max="11267" width="0" style="52" hidden="1" customWidth="1"/>
    <col min="11268" max="11268" width="9" style="52"/>
    <col min="11269" max="11269" width="11.5" style="52" bestFit="1" customWidth="1"/>
    <col min="11270" max="11270" width="34.5" style="52" bestFit="1" customWidth="1"/>
    <col min="11271" max="11271" width="51" style="52" bestFit="1" customWidth="1"/>
    <col min="11272" max="11272" width="9.625" style="52" bestFit="1" customWidth="1"/>
    <col min="11273" max="11273" width="13" style="52" customWidth="1"/>
    <col min="11274" max="11274" width="16.625" style="52" customWidth="1"/>
    <col min="11275" max="11276" width="11.5" style="52" customWidth="1"/>
    <col min="11277" max="11277" width="11.625" style="52" customWidth="1"/>
    <col min="11278" max="11278" width="9.375" style="52" customWidth="1"/>
    <col min="11279" max="11279" width="9.5" style="52" customWidth="1"/>
    <col min="11280" max="11280" width="8.625" style="52" customWidth="1"/>
    <col min="11281" max="11281" width="12.375" style="52" bestFit="1" customWidth="1"/>
    <col min="11282" max="11283" width="9" style="52"/>
    <col min="11284" max="11284" width="12.375" style="52" bestFit="1" customWidth="1"/>
    <col min="11285" max="11509" width="9" style="52"/>
    <col min="11510" max="11510" width="10.5" style="52" bestFit="1" customWidth="1"/>
    <col min="11511" max="11523" width="0" style="52" hidden="1" customWidth="1"/>
    <col min="11524" max="11524" width="9" style="52"/>
    <col min="11525" max="11525" width="11.5" style="52" bestFit="1" customWidth="1"/>
    <col min="11526" max="11526" width="34.5" style="52" bestFit="1" customWidth="1"/>
    <col min="11527" max="11527" width="51" style="52" bestFit="1" customWidth="1"/>
    <col min="11528" max="11528" width="9.625" style="52" bestFit="1" customWidth="1"/>
    <col min="11529" max="11529" width="13" style="52" customWidth="1"/>
    <col min="11530" max="11530" width="16.625" style="52" customWidth="1"/>
    <col min="11531" max="11532" width="11.5" style="52" customWidth="1"/>
    <col min="11533" max="11533" width="11.625" style="52" customWidth="1"/>
    <col min="11534" max="11534" width="9.375" style="52" customWidth="1"/>
    <col min="11535" max="11535" width="9.5" style="52" customWidth="1"/>
    <col min="11536" max="11536" width="8.625" style="52" customWidth="1"/>
    <col min="11537" max="11537" width="12.375" style="52" bestFit="1" customWidth="1"/>
    <col min="11538" max="11539" width="9" style="52"/>
    <col min="11540" max="11540" width="12.375" style="52" bestFit="1" customWidth="1"/>
    <col min="11541" max="11765" width="9" style="52"/>
    <col min="11766" max="11766" width="10.5" style="52" bestFit="1" customWidth="1"/>
    <col min="11767" max="11779" width="0" style="52" hidden="1" customWidth="1"/>
    <col min="11780" max="11780" width="9" style="52"/>
    <col min="11781" max="11781" width="11.5" style="52" bestFit="1" customWidth="1"/>
    <col min="11782" max="11782" width="34.5" style="52" bestFit="1" customWidth="1"/>
    <col min="11783" max="11783" width="51" style="52" bestFit="1" customWidth="1"/>
    <col min="11784" max="11784" width="9.625" style="52" bestFit="1" customWidth="1"/>
    <col min="11785" max="11785" width="13" style="52" customWidth="1"/>
    <col min="11786" max="11786" width="16.625" style="52" customWidth="1"/>
    <col min="11787" max="11788" width="11.5" style="52" customWidth="1"/>
    <col min="11789" max="11789" width="11.625" style="52" customWidth="1"/>
    <col min="11790" max="11790" width="9.375" style="52" customWidth="1"/>
    <col min="11791" max="11791" width="9.5" style="52" customWidth="1"/>
    <col min="11792" max="11792" width="8.625" style="52" customWidth="1"/>
    <col min="11793" max="11793" width="12.375" style="52" bestFit="1" customWidth="1"/>
    <col min="11794" max="11795" width="9" style="52"/>
    <col min="11796" max="11796" width="12.375" style="52" bestFit="1" customWidth="1"/>
    <col min="11797" max="12021" width="9" style="52"/>
    <col min="12022" max="12022" width="10.5" style="52" bestFit="1" customWidth="1"/>
    <col min="12023" max="12035" width="0" style="52" hidden="1" customWidth="1"/>
    <col min="12036" max="12036" width="9" style="52"/>
    <col min="12037" max="12037" width="11.5" style="52" bestFit="1" customWidth="1"/>
    <col min="12038" max="12038" width="34.5" style="52" bestFit="1" customWidth="1"/>
    <col min="12039" max="12039" width="51" style="52" bestFit="1" customWidth="1"/>
    <col min="12040" max="12040" width="9.625" style="52" bestFit="1" customWidth="1"/>
    <col min="12041" max="12041" width="13" style="52" customWidth="1"/>
    <col min="12042" max="12042" width="16.625" style="52" customWidth="1"/>
    <col min="12043" max="12044" width="11.5" style="52" customWidth="1"/>
    <col min="12045" max="12045" width="11.625" style="52" customWidth="1"/>
    <col min="12046" max="12046" width="9.375" style="52" customWidth="1"/>
    <col min="12047" max="12047" width="9.5" style="52" customWidth="1"/>
    <col min="12048" max="12048" width="8.625" style="52" customWidth="1"/>
    <col min="12049" max="12049" width="12.375" style="52" bestFit="1" customWidth="1"/>
    <col min="12050" max="12051" width="9" style="52"/>
    <col min="12052" max="12052" width="12.375" style="52" bestFit="1" customWidth="1"/>
    <col min="12053" max="12277" width="9" style="52"/>
    <col min="12278" max="12278" width="10.5" style="52" bestFit="1" customWidth="1"/>
    <col min="12279" max="12291" width="0" style="52" hidden="1" customWidth="1"/>
    <col min="12292" max="12292" width="9" style="52"/>
    <col min="12293" max="12293" width="11.5" style="52" bestFit="1" customWidth="1"/>
    <col min="12294" max="12294" width="34.5" style="52" bestFit="1" customWidth="1"/>
    <col min="12295" max="12295" width="51" style="52" bestFit="1" customWidth="1"/>
    <col min="12296" max="12296" width="9.625" style="52" bestFit="1" customWidth="1"/>
    <col min="12297" max="12297" width="13" style="52" customWidth="1"/>
    <col min="12298" max="12298" width="16.625" style="52" customWidth="1"/>
    <col min="12299" max="12300" width="11.5" style="52" customWidth="1"/>
    <col min="12301" max="12301" width="11.625" style="52" customWidth="1"/>
    <col min="12302" max="12302" width="9.375" style="52" customWidth="1"/>
    <col min="12303" max="12303" width="9.5" style="52" customWidth="1"/>
    <col min="12304" max="12304" width="8.625" style="52" customWidth="1"/>
    <col min="12305" max="12305" width="12.375" style="52" bestFit="1" customWidth="1"/>
    <col min="12306" max="12307" width="9" style="52"/>
    <col min="12308" max="12308" width="12.375" style="52" bestFit="1" customWidth="1"/>
    <col min="12309" max="12533" width="9" style="52"/>
    <col min="12534" max="12534" width="10.5" style="52" bestFit="1" customWidth="1"/>
    <col min="12535" max="12547" width="0" style="52" hidden="1" customWidth="1"/>
    <col min="12548" max="12548" width="9" style="52"/>
    <col min="12549" max="12549" width="11.5" style="52" bestFit="1" customWidth="1"/>
    <col min="12550" max="12550" width="34.5" style="52" bestFit="1" customWidth="1"/>
    <col min="12551" max="12551" width="51" style="52" bestFit="1" customWidth="1"/>
    <col min="12552" max="12552" width="9.625" style="52" bestFit="1" customWidth="1"/>
    <col min="12553" max="12553" width="13" style="52" customWidth="1"/>
    <col min="12554" max="12554" width="16.625" style="52" customWidth="1"/>
    <col min="12555" max="12556" width="11.5" style="52" customWidth="1"/>
    <col min="12557" max="12557" width="11.625" style="52" customWidth="1"/>
    <col min="12558" max="12558" width="9.375" style="52" customWidth="1"/>
    <col min="12559" max="12559" width="9.5" style="52" customWidth="1"/>
    <col min="12560" max="12560" width="8.625" style="52" customWidth="1"/>
    <col min="12561" max="12561" width="12.375" style="52" bestFit="1" customWidth="1"/>
    <col min="12562" max="12563" width="9" style="52"/>
    <col min="12564" max="12564" width="12.375" style="52" bestFit="1" customWidth="1"/>
    <col min="12565" max="12789" width="9" style="52"/>
    <col min="12790" max="12790" width="10.5" style="52" bestFit="1" customWidth="1"/>
    <col min="12791" max="12803" width="0" style="52" hidden="1" customWidth="1"/>
    <col min="12804" max="12804" width="9" style="52"/>
    <col min="12805" max="12805" width="11.5" style="52" bestFit="1" customWidth="1"/>
    <col min="12806" max="12806" width="34.5" style="52" bestFit="1" customWidth="1"/>
    <col min="12807" max="12807" width="51" style="52" bestFit="1" customWidth="1"/>
    <col min="12808" max="12808" width="9.625" style="52" bestFit="1" customWidth="1"/>
    <col min="12809" max="12809" width="13" style="52" customWidth="1"/>
    <col min="12810" max="12810" width="16.625" style="52" customWidth="1"/>
    <col min="12811" max="12812" width="11.5" style="52" customWidth="1"/>
    <col min="12813" max="12813" width="11.625" style="52" customWidth="1"/>
    <col min="12814" max="12814" width="9.375" style="52" customWidth="1"/>
    <col min="12815" max="12815" width="9.5" style="52" customWidth="1"/>
    <col min="12816" max="12816" width="8.625" style="52" customWidth="1"/>
    <col min="12817" max="12817" width="12.375" style="52" bestFit="1" customWidth="1"/>
    <col min="12818" max="12819" width="9" style="52"/>
    <col min="12820" max="12820" width="12.375" style="52" bestFit="1" customWidth="1"/>
    <col min="12821" max="13045" width="9" style="52"/>
    <col min="13046" max="13046" width="10.5" style="52" bestFit="1" customWidth="1"/>
    <col min="13047" max="13059" width="0" style="52" hidden="1" customWidth="1"/>
    <col min="13060" max="13060" width="9" style="52"/>
    <col min="13061" max="13061" width="11.5" style="52" bestFit="1" customWidth="1"/>
    <col min="13062" max="13062" width="34.5" style="52" bestFit="1" customWidth="1"/>
    <col min="13063" max="13063" width="51" style="52" bestFit="1" customWidth="1"/>
    <col min="13064" max="13064" width="9.625" style="52" bestFit="1" customWidth="1"/>
    <col min="13065" max="13065" width="13" style="52" customWidth="1"/>
    <col min="13066" max="13066" width="16.625" style="52" customWidth="1"/>
    <col min="13067" max="13068" width="11.5" style="52" customWidth="1"/>
    <col min="13069" max="13069" width="11.625" style="52" customWidth="1"/>
    <col min="13070" max="13070" width="9.375" style="52" customWidth="1"/>
    <col min="13071" max="13071" width="9.5" style="52" customWidth="1"/>
    <col min="13072" max="13072" width="8.625" style="52" customWidth="1"/>
    <col min="13073" max="13073" width="12.375" style="52" bestFit="1" customWidth="1"/>
    <col min="13074" max="13075" width="9" style="52"/>
    <col min="13076" max="13076" width="12.375" style="52" bestFit="1" customWidth="1"/>
    <col min="13077" max="13301" width="9" style="52"/>
    <col min="13302" max="13302" width="10.5" style="52" bestFit="1" customWidth="1"/>
    <col min="13303" max="13315" width="0" style="52" hidden="1" customWidth="1"/>
    <col min="13316" max="13316" width="9" style="52"/>
    <col min="13317" max="13317" width="11.5" style="52" bestFit="1" customWidth="1"/>
    <col min="13318" max="13318" width="34.5" style="52" bestFit="1" customWidth="1"/>
    <col min="13319" max="13319" width="51" style="52" bestFit="1" customWidth="1"/>
    <col min="13320" max="13320" width="9.625" style="52" bestFit="1" customWidth="1"/>
    <col min="13321" max="13321" width="13" style="52" customWidth="1"/>
    <col min="13322" max="13322" width="16.625" style="52" customWidth="1"/>
    <col min="13323" max="13324" width="11.5" style="52" customWidth="1"/>
    <col min="13325" max="13325" width="11.625" style="52" customWidth="1"/>
    <col min="13326" max="13326" width="9.375" style="52" customWidth="1"/>
    <col min="13327" max="13327" width="9.5" style="52" customWidth="1"/>
    <col min="13328" max="13328" width="8.625" style="52" customWidth="1"/>
    <col min="13329" max="13329" width="12.375" style="52" bestFit="1" customWidth="1"/>
    <col min="13330" max="13331" width="9" style="52"/>
    <col min="13332" max="13332" width="12.375" style="52" bestFit="1" customWidth="1"/>
    <col min="13333" max="13557" width="9" style="52"/>
    <col min="13558" max="13558" width="10.5" style="52" bestFit="1" customWidth="1"/>
    <col min="13559" max="13571" width="0" style="52" hidden="1" customWidth="1"/>
    <col min="13572" max="13572" width="9" style="52"/>
    <col min="13573" max="13573" width="11.5" style="52" bestFit="1" customWidth="1"/>
    <col min="13574" max="13574" width="34.5" style="52" bestFit="1" customWidth="1"/>
    <col min="13575" max="13575" width="51" style="52" bestFit="1" customWidth="1"/>
    <col min="13576" max="13576" width="9.625" style="52" bestFit="1" customWidth="1"/>
    <col min="13577" max="13577" width="13" style="52" customWidth="1"/>
    <col min="13578" max="13578" width="16.625" style="52" customWidth="1"/>
    <col min="13579" max="13580" width="11.5" style="52" customWidth="1"/>
    <col min="13581" max="13581" width="11.625" style="52" customWidth="1"/>
    <col min="13582" max="13582" width="9.375" style="52" customWidth="1"/>
    <col min="13583" max="13583" width="9.5" style="52" customWidth="1"/>
    <col min="13584" max="13584" width="8.625" style="52" customWidth="1"/>
    <col min="13585" max="13585" width="12.375" style="52" bestFit="1" customWidth="1"/>
    <col min="13586" max="13587" width="9" style="52"/>
    <col min="13588" max="13588" width="12.375" style="52" bestFit="1" customWidth="1"/>
    <col min="13589" max="13813" width="9" style="52"/>
    <col min="13814" max="13814" width="10.5" style="52" bestFit="1" customWidth="1"/>
    <col min="13815" max="13827" width="0" style="52" hidden="1" customWidth="1"/>
    <col min="13828" max="13828" width="9" style="52"/>
    <col min="13829" max="13829" width="11.5" style="52" bestFit="1" customWidth="1"/>
    <col min="13830" max="13830" width="34.5" style="52" bestFit="1" customWidth="1"/>
    <col min="13831" max="13831" width="51" style="52" bestFit="1" customWidth="1"/>
    <col min="13832" max="13832" width="9.625" style="52" bestFit="1" customWidth="1"/>
    <col min="13833" max="13833" width="13" style="52" customWidth="1"/>
    <col min="13834" max="13834" width="16.625" style="52" customWidth="1"/>
    <col min="13835" max="13836" width="11.5" style="52" customWidth="1"/>
    <col min="13837" max="13837" width="11.625" style="52" customWidth="1"/>
    <col min="13838" max="13838" width="9.375" style="52" customWidth="1"/>
    <col min="13839" max="13839" width="9.5" style="52" customWidth="1"/>
    <col min="13840" max="13840" width="8.625" style="52" customWidth="1"/>
    <col min="13841" max="13841" width="12.375" style="52" bestFit="1" customWidth="1"/>
    <col min="13842" max="13843" width="9" style="52"/>
    <col min="13844" max="13844" width="12.375" style="52" bestFit="1" customWidth="1"/>
    <col min="13845" max="14069" width="9" style="52"/>
    <col min="14070" max="14070" width="10.5" style="52" bestFit="1" customWidth="1"/>
    <col min="14071" max="14083" width="0" style="52" hidden="1" customWidth="1"/>
    <col min="14084" max="14084" width="9" style="52"/>
    <col min="14085" max="14085" width="11.5" style="52" bestFit="1" customWidth="1"/>
    <col min="14086" max="14086" width="34.5" style="52" bestFit="1" customWidth="1"/>
    <col min="14087" max="14087" width="51" style="52" bestFit="1" customWidth="1"/>
    <col min="14088" max="14088" width="9.625" style="52" bestFit="1" customWidth="1"/>
    <col min="14089" max="14089" width="13" style="52" customWidth="1"/>
    <col min="14090" max="14090" width="16.625" style="52" customWidth="1"/>
    <col min="14091" max="14092" width="11.5" style="52" customWidth="1"/>
    <col min="14093" max="14093" width="11.625" style="52" customWidth="1"/>
    <col min="14094" max="14094" width="9.375" style="52" customWidth="1"/>
    <col min="14095" max="14095" width="9.5" style="52" customWidth="1"/>
    <col min="14096" max="14096" width="8.625" style="52" customWidth="1"/>
    <col min="14097" max="14097" width="12.375" style="52" bestFit="1" customWidth="1"/>
    <col min="14098" max="14099" width="9" style="52"/>
    <col min="14100" max="14100" width="12.375" style="52" bestFit="1" customWidth="1"/>
    <col min="14101" max="14325" width="9" style="52"/>
    <col min="14326" max="14326" width="10.5" style="52" bestFit="1" customWidth="1"/>
    <col min="14327" max="14339" width="0" style="52" hidden="1" customWidth="1"/>
    <col min="14340" max="14340" width="9" style="52"/>
    <col min="14341" max="14341" width="11.5" style="52" bestFit="1" customWidth="1"/>
    <col min="14342" max="14342" width="34.5" style="52" bestFit="1" customWidth="1"/>
    <col min="14343" max="14343" width="51" style="52" bestFit="1" customWidth="1"/>
    <col min="14344" max="14344" width="9.625" style="52" bestFit="1" customWidth="1"/>
    <col min="14345" max="14345" width="13" style="52" customWidth="1"/>
    <col min="14346" max="14346" width="16.625" style="52" customWidth="1"/>
    <col min="14347" max="14348" width="11.5" style="52" customWidth="1"/>
    <col min="14349" max="14349" width="11.625" style="52" customWidth="1"/>
    <col min="14350" max="14350" width="9.375" style="52" customWidth="1"/>
    <col min="14351" max="14351" width="9.5" style="52" customWidth="1"/>
    <col min="14352" max="14352" width="8.625" style="52" customWidth="1"/>
    <col min="14353" max="14353" width="12.375" style="52" bestFit="1" customWidth="1"/>
    <col min="14354" max="14355" width="9" style="52"/>
    <col min="14356" max="14356" width="12.375" style="52" bestFit="1" customWidth="1"/>
    <col min="14357" max="14581" width="9" style="52"/>
    <col min="14582" max="14582" width="10.5" style="52" bestFit="1" customWidth="1"/>
    <col min="14583" max="14595" width="0" style="52" hidden="1" customWidth="1"/>
    <col min="14596" max="14596" width="9" style="52"/>
    <col min="14597" max="14597" width="11.5" style="52" bestFit="1" customWidth="1"/>
    <col min="14598" max="14598" width="34.5" style="52" bestFit="1" customWidth="1"/>
    <col min="14599" max="14599" width="51" style="52" bestFit="1" customWidth="1"/>
    <col min="14600" max="14600" width="9.625" style="52" bestFit="1" customWidth="1"/>
    <col min="14601" max="14601" width="13" style="52" customWidth="1"/>
    <col min="14602" max="14602" width="16.625" style="52" customWidth="1"/>
    <col min="14603" max="14604" width="11.5" style="52" customWidth="1"/>
    <col min="14605" max="14605" width="11.625" style="52" customWidth="1"/>
    <col min="14606" max="14606" width="9.375" style="52" customWidth="1"/>
    <col min="14607" max="14607" width="9.5" style="52" customWidth="1"/>
    <col min="14608" max="14608" width="8.625" style="52" customWidth="1"/>
    <col min="14609" max="14609" width="12.375" style="52" bestFit="1" customWidth="1"/>
    <col min="14610" max="14611" width="9" style="52"/>
    <col min="14612" max="14612" width="12.375" style="52" bestFit="1" customWidth="1"/>
    <col min="14613" max="14837" width="9" style="52"/>
    <col min="14838" max="14838" width="10.5" style="52" bestFit="1" customWidth="1"/>
    <col min="14839" max="14851" width="0" style="52" hidden="1" customWidth="1"/>
    <col min="14852" max="14852" width="9" style="52"/>
    <col min="14853" max="14853" width="11.5" style="52" bestFit="1" customWidth="1"/>
    <col min="14854" max="14854" width="34.5" style="52" bestFit="1" customWidth="1"/>
    <col min="14855" max="14855" width="51" style="52" bestFit="1" customWidth="1"/>
    <col min="14856" max="14856" width="9.625" style="52" bestFit="1" customWidth="1"/>
    <col min="14857" max="14857" width="13" style="52" customWidth="1"/>
    <col min="14858" max="14858" width="16.625" style="52" customWidth="1"/>
    <col min="14859" max="14860" width="11.5" style="52" customWidth="1"/>
    <col min="14861" max="14861" width="11.625" style="52" customWidth="1"/>
    <col min="14862" max="14862" width="9.375" style="52" customWidth="1"/>
    <col min="14863" max="14863" width="9.5" style="52" customWidth="1"/>
    <col min="14864" max="14864" width="8.625" style="52" customWidth="1"/>
    <col min="14865" max="14865" width="12.375" style="52" bestFit="1" customWidth="1"/>
    <col min="14866" max="14867" width="9" style="52"/>
    <col min="14868" max="14868" width="12.375" style="52" bestFit="1" customWidth="1"/>
    <col min="14869" max="15093" width="9" style="52"/>
    <col min="15094" max="15094" width="10.5" style="52" bestFit="1" customWidth="1"/>
    <col min="15095" max="15107" width="0" style="52" hidden="1" customWidth="1"/>
    <col min="15108" max="15108" width="9" style="52"/>
    <col min="15109" max="15109" width="11.5" style="52" bestFit="1" customWidth="1"/>
    <col min="15110" max="15110" width="34.5" style="52" bestFit="1" customWidth="1"/>
    <col min="15111" max="15111" width="51" style="52" bestFit="1" customWidth="1"/>
    <col min="15112" max="15112" width="9.625" style="52" bestFit="1" customWidth="1"/>
    <col min="15113" max="15113" width="13" style="52" customWidth="1"/>
    <col min="15114" max="15114" width="16.625" style="52" customWidth="1"/>
    <col min="15115" max="15116" width="11.5" style="52" customWidth="1"/>
    <col min="15117" max="15117" width="11.625" style="52" customWidth="1"/>
    <col min="15118" max="15118" width="9.375" style="52" customWidth="1"/>
    <col min="15119" max="15119" width="9.5" style="52" customWidth="1"/>
    <col min="15120" max="15120" width="8.625" style="52" customWidth="1"/>
    <col min="15121" max="15121" width="12.375" style="52" bestFit="1" customWidth="1"/>
    <col min="15122" max="15123" width="9" style="52"/>
    <col min="15124" max="15124" width="12.375" style="52" bestFit="1" customWidth="1"/>
    <col min="15125" max="15349" width="9" style="52"/>
    <col min="15350" max="15350" width="10.5" style="52" bestFit="1" customWidth="1"/>
    <col min="15351" max="15363" width="0" style="52" hidden="1" customWidth="1"/>
    <col min="15364" max="15364" width="9" style="52"/>
    <col min="15365" max="15365" width="11.5" style="52" bestFit="1" customWidth="1"/>
    <col min="15366" max="15366" width="34.5" style="52" bestFit="1" customWidth="1"/>
    <col min="15367" max="15367" width="51" style="52" bestFit="1" customWidth="1"/>
    <col min="15368" max="15368" width="9.625" style="52" bestFit="1" customWidth="1"/>
    <col min="15369" max="15369" width="13" style="52" customWidth="1"/>
    <col min="15370" max="15370" width="16.625" style="52" customWidth="1"/>
    <col min="15371" max="15372" width="11.5" style="52" customWidth="1"/>
    <col min="15373" max="15373" width="11.625" style="52" customWidth="1"/>
    <col min="15374" max="15374" width="9.375" style="52" customWidth="1"/>
    <col min="15375" max="15375" width="9.5" style="52" customWidth="1"/>
    <col min="15376" max="15376" width="8.625" style="52" customWidth="1"/>
    <col min="15377" max="15377" width="12.375" style="52" bestFit="1" customWidth="1"/>
    <col min="15378" max="15379" width="9" style="52"/>
    <col min="15380" max="15380" width="12.375" style="52" bestFit="1" customWidth="1"/>
    <col min="15381" max="15605" width="9" style="52"/>
    <col min="15606" max="15606" width="10.5" style="52" bestFit="1" customWidth="1"/>
    <col min="15607" max="15619" width="0" style="52" hidden="1" customWidth="1"/>
    <col min="15620" max="15620" width="9" style="52"/>
    <col min="15621" max="15621" width="11.5" style="52" bestFit="1" customWidth="1"/>
    <col min="15622" max="15622" width="34.5" style="52" bestFit="1" customWidth="1"/>
    <col min="15623" max="15623" width="51" style="52" bestFit="1" customWidth="1"/>
    <col min="15624" max="15624" width="9.625" style="52" bestFit="1" customWidth="1"/>
    <col min="15625" max="15625" width="13" style="52" customWidth="1"/>
    <col min="15626" max="15626" width="16.625" style="52" customWidth="1"/>
    <col min="15627" max="15628" width="11.5" style="52" customWidth="1"/>
    <col min="15629" max="15629" width="11.625" style="52" customWidth="1"/>
    <col min="15630" max="15630" width="9.375" style="52" customWidth="1"/>
    <col min="15631" max="15631" width="9.5" style="52" customWidth="1"/>
    <col min="15632" max="15632" width="8.625" style="52" customWidth="1"/>
    <col min="15633" max="15633" width="12.375" style="52" bestFit="1" customWidth="1"/>
    <col min="15634" max="15635" width="9" style="52"/>
    <col min="15636" max="15636" width="12.375" style="52" bestFit="1" customWidth="1"/>
    <col min="15637" max="15861" width="9" style="52"/>
    <col min="15862" max="15862" width="10.5" style="52" bestFit="1" customWidth="1"/>
    <col min="15863" max="15875" width="0" style="52" hidden="1" customWidth="1"/>
    <col min="15876" max="15876" width="9" style="52"/>
    <col min="15877" max="15877" width="11.5" style="52" bestFit="1" customWidth="1"/>
    <col min="15878" max="15878" width="34.5" style="52" bestFit="1" customWidth="1"/>
    <col min="15879" max="15879" width="51" style="52" bestFit="1" customWidth="1"/>
    <col min="15880" max="15880" width="9.625" style="52" bestFit="1" customWidth="1"/>
    <col min="15881" max="15881" width="13" style="52" customWidth="1"/>
    <col min="15882" max="15882" width="16.625" style="52" customWidth="1"/>
    <col min="15883" max="15884" width="11.5" style="52" customWidth="1"/>
    <col min="15885" max="15885" width="11.625" style="52" customWidth="1"/>
    <col min="15886" max="15886" width="9.375" style="52" customWidth="1"/>
    <col min="15887" max="15887" width="9.5" style="52" customWidth="1"/>
    <col min="15888" max="15888" width="8.625" style="52" customWidth="1"/>
    <col min="15889" max="15889" width="12.375" style="52" bestFit="1" customWidth="1"/>
    <col min="15890" max="15891" width="9" style="52"/>
    <col min="15892" max="15892" width="12.375" style="52" bestFit="1" customWidth="1"/>
    <col min="15893" max="16117" width="9" style="52"/>
    <col min="16118" max="16118" width="10.5" style="52" bestFit="1" customWidth="1"/>
    <col min="16119" max="16131" width="0" style="52" hidden="1" customWidth="1"/>
    <col min="16132" max="16132" width="9" style="52"/>
    <col min="16133" max="16133" width="11.5" style="52" bestFit="1" customWidth="1"/>
    <col min="16134" max="16134" width="34.5" style="52" bestFit="1" customWidth="1"/>
    <col min="16135" max="16135" width="51" style="52" bestFit="1" customWidth="1"/>
    <col min="16136" max="16136" width="9.625" style="52" bestFit="1" customWidth="1"/>
    <col min="16137" max="16137" width="13" style="52" customWidth="1"/>
    <col min="16138" max="16138" width="16.625" style="52" customWidth="1"/>
    <col min="16139" max="16140" width="11.5" style="52" customWidth="1"/>
    <col min="16141" max="16141" width="11.625" style="52" customWidth="1"/>
    <col min="16142" max="16142" width="9.375" style="52" customWidth="1"/>
    <col min="16143" max="16143" width="9.5" style="52" customWidth="1"/>
    <col min="16144" max="16144" width="8.625" style="52" customWidth="1"/>
    <col min="16145" max="16145" width="12.375" style="52" bestFit="1" customWidth="1"/>
    <col min="16146" max="16147" width="9" style="52"/>
    <col min="16148" max="16148" width="12.375" style="52" bestFit="1" customWidth="1"/>
    <col min="16149" max="16384" width="9" style="52"/>
  </cols>
  <sheetData>
    <row r="1" spans="1:23" ht="24" customHeight="1">
      <c r="A1" s="303" t="s">
        <v>466</v>
      </c>
      <c r="B1" s="550" t="s">
        <v>8950</v>
      </c>
      <c r="C1" s="550" t="s">
        <v>8951</v>
      </c>
      <c r="D1" s="548" t="s">
        <v>8952</v>
      </c>
      <c r="E1" s="548" t="s">
        <v>8953</v>
      </c>
      <c r="F1" s="548" t="s">
        <v>8954</v>
      </c>
      <c r="G1" s="548" t="s">
        <v>8955</v>
      </c>
      <c r="H1" s="545" t="s">
        <v>8956</v>
      </c>
      <c r="I1" s="545" t="s">
        <v>8948</v>
      </c>
      <c r="J1" s="546" t="s">
        <v>8958</v>
      </c>
      <c r="K1" s="546" t="s">
        <v>8957</v>
      </c>
      <c r="L1" s="543" t="s">
        <v>8945</v>
      </c>
      <c r="M1" s="543" t="s">
        <v>8946</v>
      </c>
      <c r="N1" s="543" t="s">
        <v>8839</v>
      </c>
      <c r="O1" s="543" t="s">
        <v>8971</v>
      </c>
      <c r="P1" s="594" t="s">
        <v>8243</v>
      </c>
      <c r="Q1" s="594" t="s">
        <v>8944</v>
      </c>
      <c r="R1" s="594" t="s">
        <v>8831</v>
      </c>
      <c r="S1" s="594" t="s">
        <v>8959</v>
      </c>
      <c r="T1" s="624" t="s">
        <v>562</v>
      </c>
      <c r="U1" s="624" t="s">
        <v>8949</v>
      </c>
    </row>
    <row r="2" spans="1:23" ht="13.5" thickBot="1">
      <c r="A2" s="306"/>
      <c r="B2" s="551" t="s">
        <v>571</v>
      </c>
      <c r="C2" s="551" t="s">
        <v>8209</v>
      </c>
      <c r="D2" s="549" t="s">
        <v>479</v>
      </c>
      <c r="E2" s="549" t="s">
        <v>8210</v>
      </c>
      <c r="F2" s="549" t="s">
        <v>479</v>
      </c>
      <c r="G2" s="549"/>
      <c r="H2" s="547" t="s">
        <v>577</v>
      </c>
      <c r="I2" s="547" t="s">
        <v>8211</v>
      </c>
      <c r="J2" s="547" t="s">
        <v>577</v>
      </c>
      <c r="K2" s="547" t="s">
        <v>577</v>
      </c>
      <c r="L2" s="544" t="s">
        <v>8911</v>
      </c>
      <c r="M2" s="544" t="s">
        <v>8912</v>
      </c>
      <c r="N2" s="544" t="s">
        <v>8911</v>
      </c>
      <c r="O2" s="544" t="s">
        <v>8972</v>
      </c>
      <c r="P2" s="593" t="s">
        <v>8212</v>
      </c>
      <c r="Q2" s="593" t="s">
        <v>8213</v>
      </c>
      <c r="R2" s="592" t="s">
        <v>574</v>
      </c>
      <c r="S2" s="592" t="s">
        <v>8213</v>
      </c>
      <c r="T2" s="625" t="s">
        <v>8915</v>
      </c>
      <c r="U2" s="625" t="s">
        <v>8915</v>
      </c>
    </row>
    <row r="3" spans="1:23">
      <c r="A3" s="214" t="s">
        <v>580</v>
      </c>
      <c r="B3" s="242">
        <v>3360</v>
      </c>
      <c r="C3" s="735">
        <f>VLOOKUP($A3,HeatExch!$D$5:$AH$76,4,0)*2</f>
        <v>3360</v>
      </c>
      <c r="D3" s="308">
        <v>6.0960000000000001</v>
      </c>
      <c r="E3" s="242">
        <f>VLOOKUP($A3,HeatExch!$D$5:$AH$76,8,0)</f>
        <v>6.0960000000000001</v>
      </c>
      <c r="F3" s="308">
        <v>1.0900000000000001</v>
      </c>
      <c r="G3" s="242">
        <f>VLOOKUP($A3,HeatExch!$D$5:$AH$76,6,0)</f>
        <v>1.0900000000000001</v>
      </c>
      <c r="H3" s="695">
        <v>1.7</v>
      </c>
      <c r="I3" s="695">
        <f>VLOOKUP($A3,HeatExch!$D$5:$AH$76,18,0)*0.00001019716213</f>
        <v>9.9193650739531583E-2</v>
      </c>
      <c r="J3" s="695">
        <v>1.4</v>
      </c>
      <c r="K3" s="695">
        <f>VLOOKUP($A3,HeatExch!$D$5:$AH$76,20,0)*0.00001019716213</f>
        <v>9.9067157756175098E-2</v>
      </c>
      <c r="L3" s="693">
        <f>VLOOKUP($A3,HeatExch!$D$5:$AH$76,24,0)-273.15</f>
        <v>21.113394864409031</v>
      </c>
      <c r="M3" s="693">
        <f>VLOOKUP($A3,HeatExch!$D$5:$AH$76,26,0)-273.15</f>
        <v>48.104340929140051</v>
      </c>
      <c r="N3" s="693">
        <f>VLOOKUP($A3,HeatExch!$D$5:$AH$76,28,0)-273.15</f>
        <v>175.94230325194201</v>
      </c>
      <c r="O3" s="693">
        <f>VLOOKUP($A3,HeatExch!$D$5:$AH$76,30,0)-273.15</f>
        <v>101.263869380176</v>
      </c>
      <c r="P3" s="697">
        <v>1163430</v>
      </c>
      <c r="Q3" s="697">
        <f>VLOOKUP($A3,HeatExch!$D$5:$AH$76,14,0)*3600*2</f>
        <v>1163430</v>
      </c>
      <c r="R3" s="697">
        <v>626055</v>
      </c>
      <c r="S3" s="697">
        <f>VLOOKUP($A3,HeatExch!$D$5:$AH$76,16,0)*3600*2</f>
        <v>626054.99999999977</v>
      </c>
      <c r="T3" s="699">
        <v>30800000</v>
      </c>
      <c r="U3" s="699">
        <f>VLOOKUP($A3,HeatExch!$D$5:$AH$76,22,0)*0.8598452279*2</f>
        <v>12343213.407475924</v>
      </c>
    </row>
    <row r="4" spans="1:23">
      <c r="A4" s="204" t="s">
        <v>582</v>
      </c>
      <c r="B4" s="619">
        <v>3480</v>
      </c>
      <c r="C4" s="736">
        <f>VLOOKUP($A4,HeatExch!$D$5:$AH$76,4,0)*2</f>
        <v>3480</v>
      </c>
      <c r="D4" s="205">
        <v>9.0960000000000001</v>
      </c>
      <c r="E4" s="619">
        <f>VLOOKUP($A4,HeatExch!$D$5:$AH$76,8,0)</f>
        <v>9.0960000000000001</v>
      </c>
      <c r="F4" s="205">
        <v>1.4</v>
      </c>
      <c r="G4" s="619">
        <f>VLOOKUP($A4,HeatExch!$D$5:$AH$76,6,0)</f>
        <v>1.4</v>
      </c>
      <c r="H4" s="696">
        <v>0.18</v>
      </c>
      <c r="I4" s="696">
        <f>VLOOKUP($A4,HeatExch!$D$5:$AH$76,18,0)*0.00001019716213</f>
        <v>0.10087769687672873</v>
      </c>
      <c r="J4" s="696">
        <v>3</v>
      </c>
      <c r="K4" s="696">
        <f>VLOOKUP($A4,HeatExch!$D$5:$AH$76,20,0)*0.00001019716213</f>
        <v>0.59572664591533209</v>
      </c>
      <c r="L4" s="694">
        <f>VLOOKUP($A4,HeatExch!$D$5:$AH$76,24,0)-273.15</f>
        <v>48.10480171444101</v>
      </c>
      <c r="M4" s="694">
        <f>VLOOKUP($A4,HeatExch!$D$5:$AH$76,26,0)-273.15</f>
        <v>116.86999994967101</v>
      </c>
      <c r="N4" s="694">
        <f>VLOOKUP($A4,HeatExch!$D$5:$AH$76,28,0)-273.15</f>
        <v>202.200230662595</v>
      </c>
      <c r="O4" s="694">
        <f>VLOOKUP($A4,HeatExch!$D$5:$AH$76,30,0)-273.15</f>
        <v>119.947736368596</v>
      </c>
      <c r="P4" s="698">
        <v>1161780</v>
      </c>
      <c r="Q4" s="698">
        <f>VLOOKUP($A4,HeatExch!$D$5:$AH$76,14,0)*3600*2</f>
        <v>1161779.9999999977</v>
      </c>
      <c r="R4" s="698">
        <v>328375</v>
      </c>
      <c r="S4" s="698">
        <f>VLOOKUP($A4,HeatExch!$D$5:$AH$76,16,0)*3600*2</f>
        <v>328375.00000000006</v>
      </c>
      <c r="T4" s="700">
        <v>36100000</v>
      </c>
      <c r="U4" s="700">
        <f>VLOOKUP($A4,HeatExch!$D$5:$AH$76,22,0)*0.8598452279*2</f>
        <v>35205420.837389529</v>
      </c>
      <c r="W4" s="615"/>
    </row>
    <row r="5" spans="1:23">
      <c r="A5" s="204" t="s">
        <v>584</v>
      </c>
      <c r="B5" s="619">
        <v>394</v>
      </c>
      <c r="C5" s="736">
        <f>VLOOKUP($A5,HeatExch!$D$5:$AH$76,4,0)*2</f>
        <v>394</v>
      </c>
      <c r="D5" s="205">
        <v>6.3550000000000004</v>
      </c>
      <c r="E5" s="619">
        <f>VLOOKUP($A5,HeatExch!$D$5:$AH$76,8,0)</f>
        <v>6.3550000000000004</v>
      </c>
      <c r="F5" s="205">
        <v>0.8</v>
      </c>
      <c r="G5" s="619">
        <f>VLOOKUP($A5,HeatExch!$D$5:$AH$76,6,0)</f>
        <v>0.8</v>
      </c>
      <c r="H5" s="696">
        <v>1.8</v>
      </c>
      <c r="I5" s="696">
        <f>VLOOKUP($A5,HeatExch!$D$5:$AH$76,18,0)*0.00001019716213</f>
        <v>0.10660408256421391</v>
      </c>
      <c r="J5" s="696">
        <v>0.5</v>
      </c>
      <c r="K5" s="696">
        <f>VLOOKUP($A5,HeatExch!$D$5:$AH$76,20,0)*0.00001019716213</f>
        <v>5.8019561928797037E-2</v>
      </c>
      <c r="L5" s="694">
        <f>VLOOKUP($A5,HeatExch!$D$5:$AH$76,24,0)-273.15</f>
        <v>116.86974374530104</v>
      </c>
      <c r="M5" s="694">
        <f>VLOOKUP($A5,HeatExch!$D$5:$AH$76,26,0)-273.15</f>
        <v>126.01981001739</v>
      </c>
      <c r="N5" s="694">
        <f>VLOOKUP($A5,HeatExch!$D$5:$AH$76,28,0)-273.15</f>
        <v>186.87593783938405</v>
      </c>
      <c r="O5" s="694">
        <f>VLOOKUP($A5,HeatExch!$D$5:$AH$76,30,0)-273.15</f>
        <v>172.97054118160202</v>
      </c>
      <c r="P5" s="698">
        <v>1161780</v>
      </c>
      <c r="Q5" s="698">
        <f>VLOOKUP($A5,HeatExch!$D$5:$AH$76,14,0)*3600*2</f>
        <v>1161779.9999999977</v>
      </c>
      <c r="R5" s="698">
        <v>736365</v>
      </c>
      <c r="S5" s="698">
        <f>VLOOKUP($A5,HeatExch!$D$5:$AH$76,16,0)*3600*2</f>
        <v>736365.00000000244</v>
      </c>
      <c r="T5" s="700">
        <v>7440000</v>
      </c>
      <c r="U5" s="700">
        <f>VLOOKUP($A5,HeatExch!$D$5:$AH$76,22,0)*0.8598452279*2</f>
        <v>5125212.2309868624</v>
      </c>
      <c r="W5" s="615"/>
    </row>
    <row r="6" spans="1:23">
      <c r="A6" s="204" t="s">
        <v>5385</v>
      </c>
      <c r="B6" s="619">
        <v>422</v>
      </c>
      <c r="C6" s="736">
        <f>VLOOKUP($A6,HeatExch!$D$5:$AH$76,4,0)*2</f>
        <v>422</v>
      </c>
      <c r="D6" s="205">
        <v>6.3869999999999996</v>
      </c>
      <c r="E6" s="619">
        <f>VLOOKUP($A6,HeatExch!$D$5:$AH$76,8,0)</f>
        <v>6.3869999999999996</v>
      </c>
      <c r="F6" s="205">
        <v>0.88</v>
      </c>
      <c r="G6" s="619">
        <f>VLOOKUP($A6,HeatExch!$D$5:$AH$76,6,0)</f>
        <v>0.88</v>
      </c>
      <c r="H6" s="696">
        <v>1.3</v>
      </c>
      <c r="I6" s="696">
        <f>VLOOKUP($A6,HeatExch!$D$5:$AH$76,18,0)*0.00001019716213</f>
        <v>1.1111140625913487</v>
      </c>
      <c r="J6" s="696">
        <v>0.5</v>
      </c>
      <c r="K6" s="696">
        <f>VLOOKUP($A6,HeatExch!$D$5:$AH$76,20,0)*0.00001019716213</f>
        <v>0.30603125172478163</v>
      </c>
      <c r="L6" s="694">
        <f>VLOOKUP($A6,HeatExch!$D$5:$AH$76,24,0)-273.15</f>
        <v>121.50163288618802</v>
      </c>
      <c r="M6" s="694">
        <f>VLOOKUP($A6,HeatExch!$D$5:$AH$76,26,0)-273.15</f>
        <v>141.83495306120801</v>
      </c>
      <c r="N6" s="694">
        <f>VLOOKUP($A6,HeatExch!$D$5:$AH$76,28,0)-273.15</f>
        <v>215.22131311883004</v>
      </c>
      <c r="O6" s="694">
        <f>VLOOKUP($A6,HeatExch!$D$5:$AH$76,30,0)-273.15</f>
        <v>186.87479972256</v>
      </c>
      <c r="P6" s="698">
        <v>1163455</v>
      </c>
      <c r="Q6" s="698">
        <f>VLOOKUP($A6,HeatExch!$D$5:$AH$76,14,0)*3600*2</f>
        <v>1163454.9999999984</v>
      </c>
      <c r="R6" s="698">
        <v>736365</v>
      </c>
      <c r="S6" s="698">
        <f>VLOOKUP($A6,HeatExch!$D$5:$AH$76,16,0)*3600*2</f>
        <v>736365.00000000244</v>
      </c>
      <c r="T6" s="700">
        <v>11300000</v>
      </c>
      <c r="U6" s="700">
        <f>VLOOKUP($A6,HeatExch!$D$5:$AH$76,22,0)*0.8598452279*2</f>
        <v>10953781.772961326</v>
      </c>
      <c r="W6" s="615"/>
    </row>
    <row r="7" spans="1:23">
      <c r="A7" s="204" t="s">
        <v>587</v>
      </c>
      <c r="B7" s="619">
        <v>537</v>
      </c>
      <c r="C7" s="736">
        <f>VLOOKUP($A7,HeatExch!$D$5:$AH$76,4,0)</f>
        <v>537</v>
      </c>
      <c r="D7" s="205">
        <v>7.9669999999999996</v>
      </c>
      <c r="E7" s="619">
        <f>VLOOKUP($A7,HeatExch!$D$5:$AH$76,8,0)</f>
        <v>7.9669999999999996</v>
      </c>
      <c r="F7" s="205">
        <v>1.2450000000000001</v>
      </c>
      <c r="G7" s="619">
        <f>VLOOKUP($A7,HeatExch!$D$5:$AH$76,6,0)</f>
        <v>1.2450000000000001</v>
      </c>
      <c r="H7" s="696">
        <v>0.6</v>
      </c>
      <c r="I7" s="696">
        <f>VLOOKUP($A7,HeatExch!$D$5:$AH$76,18,0)*0.00001019716213</f>
        <v>0.42011966079793578</v>
      </c>
      <c r="J7" s="696">
        <v>0.3</v>
      </c>
      <c r="K7" s="696">
        <f>VLOOKUP($A7,HeatExch!$D$5:$AH$76,20,0)*0.00001019716213</f>
        <v>0.10584414306640871</v>
      </c>
      <c r="L7" s="694">
        <f>VLOOKUP($A7,HeatExch!$D$5:$AH$76,24,0)-273.15</f>
        <v>141.83323530183304</v>
      </c>
      <c r="M7" s="694">
        <f>VLOOKUP($A7,HeatExch!$D$5:$AH$76,26,0)-273.15</f>
        <v>173.619937056879</v>
      </c>
      <c r="N7" s="694">
        <f>VLOOKUP($A7,HeatExch!$D$5:$AH$76,28,0)-273.15</f>
        <v>263.48015225032998</v>
      </c>
      <c r="O7" s="694">
        <f>VLOOKUP($A7,HeatExch!$D$5:$AH$76,30,0)-273.15</f>
        <v>176.888057273036</v>
      </c>
      <c r="P7" s="698">
        <v>581730</v>
      </c>
      <c r="Q7" s="698">
        <f>VLOOKUP($A7,HeatExch!$D$5:$AH$76,14,0)*3600</f>
        <v>581730.00000000128</v>
      </c>
      <c r="R7" s="698">
        <v>167430</v>
      </c>
      <c r="S7" s="698">
        <f>VLOOKUP($A7,HeatExch!$D$5:$AH$76,16,0)*3600</f>
        <v>167429.99999999988</v>
      </c>
      <c r="T7" s="700">
        <v>9300000</v>
      </c>
      <c r="U7" s="700">
        <f>VLOOKUP($A7,HeatExch!$D$5:$AH$76,22,0)*0.8598452279</f>
        <v>8973244.0835014544</v>
      </c>
      <c r="W7" s="615"/>
    </row>
    <row r="8" spans="1:23">
      <c r="A8" s="204" t="s">
        <v>589</v>
      </c>
      <c r="B8" s="619">
        <v>280</v>
      </c>
      <c r="C8" s="736">
        <f>VLOOKUP($A8,HeatExch!$D$5:$AH$76,4,0)</f>
        <v>280</v>
      </c>
      <c r="D8" s="205">
        <v>1.62</v>
      </c>
      <c r="E8" s="619">
        <f>VLOOKUP($A8,HeatExch!$D$5:$AH$76,8,0)</f>
        <v>1.62</v>
      </c>
      <c r="F8" s="205">
        <v>0.91600000000000004</v>
      </c>
      <c r="G8" s="619">
        <f>VLOOKUP($A8,HeatExch!$D$5:$AH$76,6,0)</f>
        <v>0.91600000000000004</v>
      </c>
      <c r="H8" s="696">
        <v>1.1000000000000001</v>
      </c>
      <c r="I8" s="696">
        <f>VLOOKUP($A8,HeatExch!$D$5:$AH$76,18,0)*0.00001019716213</f>
        <v>0.41971645253498707</v>
      </c>
      <c r="J8" s="696">
        <v>0.35</v>
      </c>
      <c r="K8" s="696">
        <f>VLOOKUP($A8,HeatExch!$D$5:$AH$76,20,0)*0.00001019716213</f>
        <v>6.2973854653141106E-2</v>
      </c>
      <c r="L8" s="694">
        <f>VLOOKUP($A8,HeatExch!$D$5:$AH$76,24,0)-273.15</f>
        <v>141.83834909303903</v>
      </c>
      <c r="M8" s="694">
        <f>VLOOKUP($A8,HeatExch!$D$5:$AH$76,26,0)-273.15</f>
        <v>156.90915972256403</v>
      </c>
      <c r="N8" s="694">
        <f>VLOOKUP($A8,HeatExch!$D$5:$AH$76,28,0)-273.15</f>
        <v>338.89699331674308</v>
      </c>
      <c r="O8" s="694">
        <f>VLOOKUP($A8,HeatExch!$D$5:$AH$76,30,0)-273.15</f>
        <v>157.53389295314605</v>
      </c>
      <c r="P8" s="698">
        <v>581725</v>
      </c>
      <c r="Q8" s="698">
        <f>VLOOKUP($A8,HeatExch!$D$5:$AH$76,14,0)*3600</f>
        <v>581725.00000000081</v>
      </c>
      <c r="R8" s="698">
        <v>112215</v>
      </c>
      <c r="S8" s="698">
        <f>VLOOKUP($A8,HeatExch!$D$5:$AH$76,16,0)*3600</f>
        <v>112214.99999999987</v>
      </c>
      <c r="T8" s="700">
        <v>7810000</v>
      </c>
      <c r="U8" s="700">
        <f>VLOOKUP($A8,HeatExch!$D$5:$AH$76,22,0)*0.8598452279</f>
        <v>4190850.2802486052</v>
      </c>
      <c r="W8" s="615"/>
    </row>
    <row r="9" spans="1:23" ht="13.5" customHeight="1">
      <c r="A9" s="204" t="s">
        <v>591</v>
      </c>
      <c r="B9" s="619">
        <v>1140</v>
      </c>
      <c r="C9" s="736">
        <f>VLOOKUP($A9,HeatExch!$D$5:$AH$76,4,0)*2</f>
        <v>1140</v>
      </c>
      <c r="D9" s="205">
        <v>6.0960000000000001</v>
      </c>
      <c r="E9" s="619">
        <f>VLOOKUP($A9,HeatExch!$D$5:$AH$76,8,0)</f>
        <v>6.0960000000000001</v>
      </c>
      <c r="F9" s="205">
        <v>1.27</v>
      </c>
      <c r="G9" s="619">
        <f>VLOOKUP($A9,HeatExch!$D$5:$AH$76,6,0)</f>
        <v>1.27</v>
      </c>
      <c r="H9" s="696">
        <v>2</v>
      </c>
      <c r="I9" s="696">
        <f>VLOOKUP($A9,HeatExch!$D$5:$AH$76,18,0)*0.00001019716213</f>
        <v>0.19716337220124108</v>
      </c>
      <c r="J9" s="696">
        <v>0.5</v>
      </c>
      <c r="K9" s="696">
        <f>VLOOKUP($A9,HeatExch!$D$5:$AH$76,20,0)*0.00001019716213</f>
        <v>0.45135296179624906</v>
      </c>
      <c r="L9" s="694">
        <f>VLOOKUP($A9,HeatExch!$D$5:$AH$76,24,0)-273.15</f>
        <v>173.61798687643204</v>
      </c>
      <c r="M9" s="694">
        <f>VLOOKUP($A9,HeatExch!$D$5:$AH$76,26,0)-273.15</f>
        <v>190.012401046798</v>
      </c>
      <c r="N9" s="694">
        <f>VLOOKUP($A9,HeatExch!$D$5:$AH$76,28,0)-273.15</f>
        <v>220.61384939502904</v>
      </c>
      <c r="O9" s="694">
        <f>VLOOKUP($A9,HeatExch!$D$5:$AH$76,30,0)-273.15</f>
        <v>197.732991569918</v>
      </c>
      <c r="P9" s="698">
        <v>1163455</v>
      </c>
      <c r="Q9" s="698">
        <f>VLOOKUP($A9,HeatExch!$D$5:$AH$76,14,0)*3600*2</f>
        <v>1163454.9999999984</v>
      </c>
      <c r="R9" s="698">
        <v>727270</v>
      </c>
      <c r="S9" s="698">
        <f>VLOOKUP($A9,HeatExch!$D$5:$AH$76,16,0)*3600*2</f>
        <v>727269.99999999837</v>
      </c>
      <c r="T9" s="701">
        <v>16100000</v>
      </c>
      <c r="U9" s="701">
        <f>VLOOKUP($A9,HeatExch!$D$5:$AH$76,22,0)*0.8598452279*2</f>
        <v>9650650.9894511346</v>
      </c>
      <c r="W9" s="615"/>
    </row>
    <row r="10" spans="1:23">
      <c r="A10" s="204" t="s">
        <v>593</v>
      </c>
      <c r="B10" s="619">
        <v>1360</v>
      </c>
      <c r="C10" s="736">
        <f>VLOOKUP($A10,HeatExch!$D$5:$AH$76,4,0)*3</f>
        <v>1359.9999999999989</v>
      </c>
      <c r="D10" s="205">
        <v>7.7519999999999998</v>
      </c>
      <c r="E10" s="619">
        <f>VLOOKUP($A10,HeatExch!$D$5:$AH$76,8,0)</f>
        <v>7.7519999999999998</v>
      </c>
      <c r="F10" s="205">
        <v>0.29299999999999998</v>
      </c>
      <c r="G10" s="619">
        <f>VLOOKUP($A10,HeatExch!$D$5:$AH$76,6,0)</f>
        <v>0.29299999999999998</v>
      </c>
      <c r="H10" s="696">
        <v>1.6</v>
      </c>
      <c r="I10" s="696">
        <f>VLOOKUP($A10,HeatExch!$D$5:$AH$76,18,0)*0.00001019716213</f>
        <v>0.20125725164775635</v>
      </c>
      <c r="J10" s="696">
        <v>0.7</v>
      </c>
      <c r="K10" s="696">
        <f>VLOOKUP($A10,HeatExch!$D$5:$AH$76,20,0)*0.00001019716213</f>
        <v>0.28161656505438731</v>
      </c>
      <c r="L10" s="694">
        <f>VLOOKUP($A10,HeatExch!$D$5:$AH$76,24,0)-273.15</f>
        <v>190.09446684691903</v>
      </c>
      <c r="M10" s="694">
        <f>VLOOKUP($A10,HeatExch!$D$5:$AH$76,26,0)-273.15</f>
        <v>194.24764313675604</v>
      </c>
      <c r="N10" s="694">
        <f>VLOOKUP($A10,HeatExch!$D$5:$AH$76,28,0)-273.15</f>
        <v>271.44668220751203</v>
      </c>
      <c r="O10" s="694">
        <f>VLOOKUP($A10,HeatExch!$D$5:$AH$76,30,0)-273.15</f>
        <v>263.84795253249797</v>
      </c>
      <c r="P10" s="698">
        <v>1163455</v>
      </c>
      <c r="Q10" s="698">
        <f>VLOOKUP($A10,HeatExch!$D$5:$AH$76,14,0)*3600</f>
        <v>1163454.9999999984</v>
      </c>
      <c r="R10" s="698">
        <v>626055</v>
      </c>
      <c r="S10" s="698">
        <f>VLOOKUP($A10,HeatExch!$D$5:$AH$76,16,0)*3600</f>
        <v>626055.00000000128</v>
      </c>
      <c r="T10" s="701">
        <v>23200000</v>
      </c>
      <c r="U10" s="701">
        <f>VLOOKUP($A10,HeatExch!$D$5:$AH$76,22,0)*0.8598452279*2</f>
        <v>2359204.1530064465</v>
      </c>
      <c r="W10" s="615"/>
    </row>
    <row r="11" spans="1:23">
      <c r="A11" s="204" t="s">
        <v>8238</v>
      </c>
      <c r="B11" s="619">
        <v>1140</v>
      </c>
      <c r="C11" s="736">
        <f>VLOOKUP($A11,HeatExch!$D$5:$AH$76,4,0)*2</f>
        <v>1140</v>
      </c>
      <c r="D11" s="205">
        <v>6.0960000000000001</v>
      </c>
      <c r="E11" s="619">
        <f>VLOOKUP($A11,HeatExch!$D$5:$AH$76,8,0)</f>
        <v>6.0960000000000001</v>
      </c>
      <c r="F11" s="205">
        <v>1.27</v>
      </c>
      <c r="G11" s="619">
        <f>VLOOKUP($A11,HeatExch!$D$5:$AH$76,6,0)</f>
        <v>1.27</v>
      </c>
      <c r="H11" s="696">
        <v>1.9</v>
      </c>
      <c r="I11" s="696">
        <f>VLOOKUP($A11,HeatExch!$D$5:$AH$76,18,0)*0.00001019716213</f>
        <v>0.1138218842446993</v>
      </c>
      <c r="J11" s="696">
        <v>0.5</v>
      </c>
      <c r="K11" s="696">
        <f>VLOOKUP($A11,HeatExch!$D$5:$AH$76,20,0)*0.00001019716213</f>
        <v>4.1592153576208442E-2</v>
      </c>
      <c r="L11" s="694">
        <f>VLOOKUP($A11,HeatExch!$D$5:$AH$76,24,0)-273.15</f>
        <v>194.295444885145</v>
      </c>
      <c r="M11" s="694">
        <f>VLOOKUP($A11,HeatExch!$D$5:$AH$76,26,0)-273.15</f>
        <v>222.66176176902701</v>
      </c>
      <c r="N11" s="694">
        <f>VLOOKUP($A11,HeatExch!$D$5:$AH$76,28,0)-273.15</f>
        <v>272.00021340656008</v>
      </c>
      <c r="O11" s="694">
        <f>VLOOKUP($A11,HeatExch!$D$5:$AH$76,30,0)-273.15</f>
        <v>233.48458659668302</v>
      </c>
      <c r="P11" s="698">
        <v>1163455</v>
      </c>
      <c r="Q11" s="698">
        <f>VLOOKUP($A11,HeatExch!$D$5:$AH$76,14,0)*3600*2</f>
        <v>1163454.9999999984</v>
      </c>
      <c r="R11" s="698">
        <v>727270</v>
      </c>
      <c r="S11" s="698">
        <f>VLOOKUP($A11,HeatExch!$D$5:$AH$76,16,0)*3600*2</f>
        <v>727269.99999999837</v>
      </c>
      <c r="T11" s="701">
        <v>22600000</v>
      </c>
      <c r="U11" s="701">
        <f>VLOOKUP($A11,HeatExch!$D$5:$AH$76,22,0)*0.8598452279*2</f>
        <v>17706038.046002101</v>
      </c>
      <c r="W11" s="615"/>
    </row>
    <row r="12" spans="1:23">
      <c r="A12" s="204" t="s">
        <v>595</v>
      </c>
      <c r="B12" s="619">
        <v>1088</v>
      </c>
      <c r="C12" s="736">
        <f>VLOOKUP($A12,HeatExch!$D$5:$AH$76,4,0)*2</f>
        <v>1088</v>
      </c>
      <c r="D12" s="205">
        <v>4.875</v>
      </c>
      <c r="E12" s="619">
        <f>VLOOKUP($A12,HeatExch!$D$5:$AH$76,8,0)</f>
        <v>4.875</v>
      </c>
      <c r="F12" s="205">
        <v>0.99099999999999999</v>
      </c>
      <c r="G12" s="619">
        <f>VLOOKUP($A12,HeatExch!$D$5:$AH$76,6,0)</f>
        <v>0.99099999999999999</v>
      </c>
      <c r="H12" s="696"/>
      <c r="I12" s="696">
        <f>VLOOKUP($A12,HeatExch!$D$5:$AH$76,18,0)*0.00001019716213</f>
        <v>0.11857042163071571</v>
      </c>
      <c r="J12" s="696"/>
      <c r="K12" s="696">
        <f>VLOOKUP($A12,HeatExch!$D$5:$AH$76,20,0)*0.00001019716213</f>
        <v>2.1114518537366261E-2</v>
      </c>
      <c r="L12" s="694">
        <f>VLOOKUP($A12,HeatExch!$D$5:$AH$76,24,0)-273.15</f>
        <v>222.82922443394204</v>
      </c>
      <c r="M12" s="694">
        <f>VLOOKUP($A12,HeatExch!$D$5:$AH$76,26,0)-273.15</f>
        <v>250.51637666328406</v>
      </c>
      <c r="N12" s="694">
        <f>VLOOKUP($A12,HeatExch!$D$5:$AH$76,28,0)-273.15</f>
        <v>347.73761040418401</v>
      </c>
      <c r="O12" s="694">
        <f>VLOOKUP($A12,HeatExch!$D$5:$AH$76,30,0)-273.15</f>
        <v>306.94611221537298</v>
      </c>
      <c r="P12" s="698"/>
      <c r="Q12" s="698">
        <f>VLOOKUP($A12,HeatExch!$D$5:$AH$76,14,0)*3600*2</f>
        <v>1000000.0000000008</v>
      </c>
      <c r="R12" s="698"/>
      <c r="S12" s="698">
        <f>VLOOKUP($A12,HeatExch!$D$5:$AH$76,16,0)*3600*2</f>
        <v>699999.99999999988</v>
      </c>
      <c r="T12" s="809" t="s">
        <v>10378</v>
      </c>
      <c r="U12" s="701">
        <f>VLOOKUP($A12,HeatExch!$D$5:$AH$76,22,0)*0.8598452279*2</f>
        <v>17706647.540017091</v>
      </c>
      <c r="W12" s="615"/>
    </row>
    <row r="13" spans="1:23">
      <c r="A13" s="204" t="s">
        <v>597</v>
      </c>
      <c r="B13" s="619">
        <v>632</v>
      </c>
      <c r="C13" s="736">
        <f>VLOOKUP($A13,HeatExch!$D$5:$AH$76,4,0)*2</f>
        <v>632</v>
      </c>
      <c r="D13" s="205">
        <v>7.6870000000000003</v>
      </c>
      <c r="E13" s="619">
        <f>VLOOKUP($A13,HeatExch!$D$5:$AH$76,8,0)</f>
        <v>7.6870000000000003</v>
      </c>
      <c r="F13" s="205">
        <v>1</v>
      </c>
      <c r="G13" s="619">
        <f>VLOOKUP($A13,HeatExch!$D$5:$AH$76,6,0)</f>
        <v>1</v>
      </c>
      <c r="H13" s="696">
        <v>1.7</v>
      </c>
      <c r="I13" s="696">
        <f>VLOOKUP($A13,HeatExch!$D$5:$AH$76,18,0)*0.00001019716213</f>
        <v>1.7332243626339985</v>
      </c>
      <c r="J13" s="696">
        <v>0.45</v>
      </c>
      <c r="K13" s="696">
        <f>VLOOKUP($A13,HeatExch!$D$5:$AH$76,20,0)*0.00001019716213</f>
        <v>0.12428473513658805</v>
      </c>
      <c r="L13" s="694">
        <f>VLOOKUP($A13,HeatExch!$D$5:$AH$76,24,0)-273.15</f>
        <v>328.43845951216906</v>
      </c>
      <c r="M13" s="694">
        <f>VLOOKUP($A13,HeatExch!$D$5:$AH$76,26,0)-273.15</f>
        <v>322.67161116439797</v>
      </c>
      <c r="N13" s="694">
        <f>VLOOKUP($A13,HeatExch!$D$5:$AH$76,28,0)-273.15</f>
        <v>250.51345103355607</v>
      </c>
      <c r="O13" s="694">
        <f>VLOOKUP($A13,HeatExch!$D$5:$AH$76,30,0)-273.15</f>
        <v>253.30233765026401</v>
      </c>
      <c r="P13" s="698">
        <v>626955</v>
      </c>
      <c r="Q13" s="698">
        <f>VLOOKUP($A13,HeatExch!$D$5:$AH$76,14,0)*3600</f>
        <v>626955.00000000128</v>
      </c>
      <c r="R13" s="698">
        <v>1161780</v>
      </c>
      <c r="S13" s="698">
        <f>VLOOKUP($A13,HeatExch!$D$5:$AH$76,16,0)*3600</f>
        <v>1161780.0000000012</v>
      </c>
      <c r="T13" s="701">
        <v>14200000</v>
      </c>
      <c r="U13" s="701">
        <f>-VLOOKUP($A13,HeatExch!$D$5:$AH$76,22,0)*0.8598452279*2</f>
        <v>1949551.9382574474</v>
      </c>
      <c r="W13" s="615"/>
    </row>
    <row r="14" spans="1:23">
      <c r="A14" s="204" t="s">
        <v>8227</v>
      </c>
      <c r="B14" s="619">
        <v>200</v>
      </c>
      <c r="C14" s="736">
        <f>VLOOKUP($A14,HeatExch!$D$5:$AH$76,4,0)</f>
        <v>200</v>
      </c>
      <c r="D14" s="205">
        <v>5.74</v>
      </c>
      <c r="E14" s="619">
        <f>VLOOKUP($A14,HeatExch!$D$5:$AH$76,8,0)</f>
        <v>5.74</v>
      </c>
      <c r="F14" s="205">
        <v>0.85</v>
      </c>
      <c r="G14" s="619">
        <f>VLOOKUP($A14,HeatExch!$D$5:$AH$76,6,0)</f>
        <v>0.85</v>
      </c>
      <c r="H14" s="696">
        <v>0.7</v>
      </c>
      <c r="I14" s="696">
        <f>VLOOKUP($A14,HeatExch!$D$5:$AH$76,18,0)*0.00001019716213</f>
        <v>1.2092844943676169</v>
      </c>
      <c r="J14" s="696">
        <v>5.4000000000000003E-3</v>
      </c>
      <c r="K14" s="696">
        <f>VLOOKUP($A14,HeatExch!$D$5:$AH$76,20,0)*0.00001019716213</f>
        <v>1.588260216651918E-2</v>
      </c>
      <c r="L14" s="694">
        <f>VLOOKUP($A14,HeatExch!$D$5:$AH$76,24,0)-273.15</f>
        <v>20.000667464360049</v>
      </c>
      <c r="M14" s="694">
        <f>VLOOKUP($A14,HeatExch!$D$5:$AH$76,26,0)-273.15</f>
        <v>34.600981886803027</v>
      </c>
      <c r="N14" s="694">
        <f>VLOOKUP($A14,HeatExch!$D$5:$AH$76,28,0)-273.15</f>
        <v>152.21851519531401</v>
      </c>
      <c r="O14" s="694">
        <f>VLOOKUP($A14,HeatExch!$D$5:$AH$76,30,0)-273.15</f>
        <v>43.283308436395032</v>
      </c>
      <c r="P14" s="698">
        <v>29800</v>
      </c>
      <c r="Q14" s="698">
        <f>VLOOKUP($A14,HeatExch!$D$5:$AH$76,14,0)*3600</f>
        <v>29800.000000000011</v>
      </c>
      <c r="R14" s="698">
        <v>13300</v>
      </c>
      <c r="S14" s="698">
        <f>VLOOKUP($A14,HeatExch!$D$5:$AH$76,16,0)*3600</f>
        <v>13299.999999999985</v>
      </c>
      <c r="T14" s="701">
        <v>2147000</v>
      </c>
      <c r="U14" s="701">
        <f>VLOOKUP($A14,HeatExch!$D$5:$AH$76,22,0)*0.8598452279</f>
        <v>494315.79354450916</v>
      </c>
      <c r="W14" s="615"/>
    </row>
    <row r="15" spans="1:23">
      <c r="A15" s="204" t="s">
        <v>612</v>
      </c>
      <c r="B15" s="619">
        <v>2440</v>
      </c>
      <c r="C15" s="736">
        <f>VLOOKUP($A15,HeatExch!$D$5:$AH$76,4,0)*2</f>
        <v>2440</v>
      </c>
      <c r="D15" s="205">
        <v>7.5419999999999998</v>
      </c>
      <c r="E15" s="619">
        <f>VLOOKUP($A15,HeatExch!$D$5:$AH$76,8,0)</f>
        <v>7.5419999999999998</v>
      </c>
      <c r="F15" s="205">
        <v>1.327</v>
      </c>
      <c r="G15" s="619">
        <f>VLOOKUP($A15,HeatExch!$D$5:$AH$76,6,0)</f>
        <v>1.327</v>
      </c>
      <c r="H15" s="696">
        <v>0.5</v>
      </c>
      <c r="I15" s="696">
        <f>VLOOKUP($A15,HeatExch!$D$5:$AH$76,18,0)*0.00001019716213</f>
        <v>0.13645829543101623</v>
      </c>
      <c r="J15" s="696">
        <v>1.9</v>
      </c>
      <c r="K15" s="696">
        <f>VLOOKUP($A15,HeatExch!$D$5:$AH$76,20,0)*0.00001019716213</f>
        <v>2.411771350951511E-2</v>
      </c>
      <c r="L15" s="694">
        <f>VLOOKUP($A15,HeatExch!$D$5:$AH$76,24,0)-273.15</f>
        <v>76.861057568643048</v>
      </c>
      <c r="M15" s="694">
        <f>VLOOKUP($A15,HeatExch!$D$5:$AH$76,26,0)-273.15</f>
        <v>98.93287779193605</v>
      </c>
      <c r="N15" s="694">
        <f>VLOOKUP($A15,HeatExch!$D$5:$AH$76,28,0)-273.15</f>
        <v>101.27003584722104</v>
      </c>
      <c r="O15" s="694">
        <f>VLOOKUP($A15,HeatExch!$D$5:$AH$76,30,0)-273.15</f>
        <v>83.474587700892016</v>
      </c>
      <c r="P15" s="698">
        <v>413635</v>
      </c>
      <c r="Q15" s="698">
        <f>VLOOKUP($A15,HeatExch!$D$5:$AH$76,14,0)*3600*2</f>
        <v>413635.00000000029</v>
      </c>
      <c r="R15" s="698">
        <v>626955</v>
      </c>
      <c r="S15" s="698">
        <f>VLOOKUP($A15,HeatExch!$D$5:$AH$76,16,0)*3600*2</f>
        <v>626954.99999999977</v>
      </c>
      <c r="T15" s="701">
        <v>4000000</v>
      </c>
      <c r="U15" s="701">
        <f>VLOOKUP($A15,HeatExch!$D$5:$AH$76,22,0)*0.8598452279*2</f>
        <v>2779521.9619089547</v>
      </c>
      <c r="W15" s="615"/>
    </row>
    <row r="16" spans="1:23">
      <c r="A16" s="204" t="s">
        <v>8854</v>
      </c>
      <c r="B16" s="619">
        <v>180</v>
      </c>
      <c r="C16" s="736">
        <f>VLOOKUP($A16,HeatExch!$D$5:$AH$76,4,0)*2</f>
        <v>180</v>
      </c>
      <c r="D16" s="205">
        <v>7.0720000000000001</v>
      </c>
      <c r="E16" s="619">
        <f>VLOOKUP($A16,HeatExch!$D$5:$AH$76,8,0)</f>
        <v>7.0720000000000001</v>
      </c>
      <c r="F16" s="205">
        <v>0.78</v>
      </c>
      <c r="G16" s="619">
        <f>VLOOKUP($A16,HeatExch!$D$5:$AH$76,6,0)</f>
        <v>0.78</v>
      </c>
      <c r="H16" s="696">
        <v>2.1</v>
      </c>
      <c r="I16" s="696">
        <f>VLOOKUP($A16,HeatExch!$D$5:$AH$76,18,0)*0.00001019716213</f>
        <v>6.5616838822180378E-3</v>
      </c>
      <c r="J16" s="696">
        <v>0.4</v>
      </c>
      <c r="K16" s="696">
        <f>VLOOKUP($A16,HeatExch!$D$5:$AH$76,20,0)*0.00001019716213</f>
        <v>1.1851750938454081E-2</v>
      </c>
      <c r="L16" s="694">
        <f>VLOOKUP($A16,HeatExch!$D$5:$AH$76,24,0)-273.15</f>
        <v>125.69979789249203</v>
      </c>
      <c r="M16" s="694">
        <f>VLOOKUP($A16,HeatExch!$D$5:$AH$76,26,0)-273.15</f>
        <v>111.66157947260501</v>
      </c>
      <c r="N16" s="694">
        <f>VLOOKUP($A16,HeatExch!$D$5:$AH$76,28,0)-273.15</f>
        <v>62.797136162040033</v>
      </c>
      <c r="O16" s="694">
        <f>VLOOKUP($A16,HeatExch!$D$5:$AH$76,30,0)-273.15</f>
        <v>80.242849418432002</v>
      </c>
      <c r="P16" s="698">
        <v>66365</v>
      </c>
      <c r="Q16" s="698">
        <f>VLOOKUP($A16,HeatExch!$D$5:$AH$76,14,0)*3600</f>
        <v>66364.999999999913</v>
      </c>
      <c r="R16" s="698">
        <v>66365</v>
      </c>
      <c r="S16" s="698">
        <f>VLOOKUP($A16,HeatExch!$D$5:$AH$76,16,0)*3600</f>
        <v>66364.999999999913</v>
      </c>
      <c r="T16" s="701">
        <v>3680000</v>
      </c>
      <c r="U16" s="701">
        <f>-VLOOKUP($A16,HeatExch!$D$5:$AH$76,22,0)*0.8598452279*2</f>
        <v>1045945.9040808443</v>
      </c>
      <c r="W16" s="615"/>
    </row>
    <row r="17" spans="1:23">
      <c r="A17" s="204" t="s">
        <v>618</v>
      </c>
      <c r="B17" s="619">
        <v>33.6</v>
      </c>
      <c r="C17" s="736">
        <f>VLOOKUP($A17,HeatExch!$D$5:$AH$76,4,0)</f>
        <v>33.6</v>
      </c>
      <c r="D17" s="205">
        <v>3.15</v>
      </c>
      <c r="E17" s="619">
        <f>VLOOKUP($A17,HeatExch!$D$5:$AH$76,8,0)</f>
        <v>3.15</v>
      </c>
      <c r="F17" s="205">
        <v>0.6</v>
      </c>
      <c r="G17" s="619">
        <f>VLOOKUP($A17,HeatExch!$D$5:$AH$76,6,0)</f>
        <v>0.6</v>
      </c>
      <c r="H17" s="696">
        <v>0.2</v>
      </c>
      <c r="I17" s="696">
        <f>VLOOKUP($A17,HeatExch!$D$5:$AH$76,18,0)*0.00001019716213</f>
        <v>1.2142679850700644</v>
      </c>
      <c r="J17" s="696">
        <v>5.0000000000000001E-3</v>
      </c>
      <c r="K17" s="696">
        <f>VLOOKUP($A17,HeatExch!$D$5:$AH$76,20,0)*0.00001019716213</f>
        <v>2.8828358629708951E-3</v>
      </c>
      <c r="L17" s="694">
        <f>VLOOKUP($A17,HeatExch!$D$5:$AH$76,24,0)-273.15</f>
        <v>20.000667464360049</v>
      </c>
      <c r="M17" s="694">
        <f>VLOOKUP($A17,HeatExch!$D$5:$AH$76,26,0)-273.15</f>
        <v>32.338631980183038</v>
      </c>
      <c r="N17" s="694">
        <f>VLOOKUP($A17,HeatExch!$D$5:$AH$76,28,0)-273.15</f>
        <v>105.68662100922103</v>
      </c>
      <c r="O17" s="694">
        <f>VLOOKUP($A17,HeatExch!$D$5:$AH$76,30,0)-273.15</f>
        <v>72.643257913996024</v>
      </c>
      <c r="P17" s="698">
        <v>25000</v>
      </c>
      <c r="Q17" s="698">
        <f>VLOOKUP($A17,HeatExch!$D$5:$AH$76,14,0)*3600</f>
        <v>24999.999999999985</v>
      </c>
      <c r="R17" s="698">
        <v>1168</v>
      </c>
      <c r="S17" s="698">
        <f>VLOOKUP($A17,HeatExch!$D$5:$AH$76,16,0)*3600</f>
        <v>1167.9999999999984</v>
      </c>
      <c r="T17" s="701">
        <v>372312.98368070001</v>
      </c>
      <c r="U17" s="701">
        <f>VLOOKUP($A17,HeatExch!$D$5:$AH$76,22,0)*0.8598452279</f>
        <v>286116.59657363308</v>
      </c>
      <c r="W17" s="615"/>
    </row>
    <row r="18" spans="1:23">
      <c r="A18" s="204" t="s">
        <v>619</v>
      </c>
      <c r="B18" s="619">
        <v>11.41</v>
      </c>
      <c r="C18" s="736">
        <f>VLOOKUP($A18,HeatExch!$D$5:$AH$76,4,0)</f>
        <v>11.41</v>
      </c>
      <c r="D18" s="205">
        <v>3.13</v>
      </c>
      <c r="E18" s="619">
        <f>VLOOKUP($A18,HeatExch!$D$5:$AH$76,8,0)</f>
        <v>3.13</v>
      </c>
      <c r="F18" s="205">
        <v>0.4</v>
      </c>
      <c r="G18" s="619">
        <f>VLOOKUP($A18,HeatExch!$D$5:$AH$76,6,0)</f>
        <v>0.4</v>
      </c>
      <c r="H18" s="696">
        <v>0.25</v>
      </c>
      <c r="I18" s="696">
        <f>VLOOKUP($A18,HeatExch!$D$5:$AH$76,18,0)*0.00001019716213</f>
        <v>1.2142679850700644</v>
      </c>
      <c r="J18" s="696">
        <v>6.0000000000000001E-3</v>
      </c>
      <c r="K18" s="696">
        <f>VLOOKUP($A18,HeatExch!$D$5:$AH$76,20,0)*0.00001019716213</f>
        <v>4.8980949194815453E-4</v>
      </c>
      <c r="L18" s="694">
        <f>VLOOKUP($A18,HeatExch!$D$5:$AH$76,24,0)-273.15</f>
        <v>20.000667464360049</v>
      </c>
      <c r="M18" s="694">
        <f>VLOOKUP($A18,HeatExch!$D$5:$AH$76,26,0)-273.15</f>
        <v>20.592731204339998</v>
      </c>
      <c r="N18" s="694">
        <f>VLOOKUP($A18,HeatExch!$D$5:$AH$76,28,0)-273.15</f>
        <v>212.85241267478301</v>
      </c>
      <c r="O18" s="694">
        <f>VLOOKUP($A18,HeatExch!$D$5:$AH$76,30,0)-273.15</f>
        <v>21.157826907870003</v>
      </c>
      <c r="P18" s="698">
        <v>20000</v>
      </c>
      <c r="Q18" s="698">
        <f>VLOOKUP($A18,HeatExch!$D$5:$AH$76,14,0)*3600</f>
        <v>20000.000000000015</v>
      </c>
      <c r="R18" s="698">
        <v>535</v>
      </c>
      <c r="S18" s="698">
        <f>VLOOKUP($A18,HeatExch!$D$5:$AH$76,16,0)*3600</f>
        <v>534.99999999999955</v>
      </c>
      <c r="T18" s="701">
        <v>259673.2588258</v>
      </c>
      <c r="U18" s="701">
        <f>VLOOKUP($A18,HeatExch!$D$5:$AH$76,22,0)*0.8598452279</f>
        <v>65406.130470631993</v>
      </c>
      <c r="W18" s="615"/>
    </row>
    <row r="19" spans="1:23">
      <c r="A19" s="204" t="s">
        <v>620</v>
      </c>
      <c r="B19" s="619">
        <v>2456</v>
      </c>
      <c r="C19" s="736">
        <f>VLOOKUP($A19,HeatExch!$D$5:$AH$76,4,0)*2</f>
        <v>2456</v>
      </c>
      <c r="D19" s="205"/>
      <c r="E19" s="619"/>
      <c r="F19" s="205"/>
      <c r="G19" s="619">
        <f>VLOOKUP($A19,HeatExch!$D$5:$AH$76,6,0)</f>
        <v>2.5</v>
      </c>
      <c r="H19" s="696">
        <v>8.4738417300299993E-3</v>
      </c>
      <c r="I19" s="696">
        <f>VLOOKUP($A19,HeatExch!$D$5:$AH$76,18,0)*0.00001019716213</f>
        <v>1.1368534061521329E-2</v>
      </c>
      <c r="J19" s="696">
        <v>6.8117043028399996E-3</v>
      </c>
      <c r="K19" s="696">
        <f>VLOOKUP($A19,HeatExch!$D$5:$AH$76,20,0)*0.00001019716213</f>
        <v>5.4218056263815838E-3</v>
      </c>
      <c r="L19" s="694">
        <f>VLOOKUP($A19,HeatExch!$D$5:$AH$76,24,0)-273.15</f>
        <v>440.78924606067608</v>
      </c>
      <c r="M19" s="694">
        <f>VLOOKUP($A19,HeatExch!$D$5:$AH$76,26,0)-273.15</f>
        <v>215.607684193328</v>
      </c>
      <c r="N19" s="694">
        <f>VLOOKUP($A19,HeatExch!$D$5:$AH$76,28,0)-273.15</f>
        <v>56.995439454412008</v>
      </c>
      <c r="O19" s="694">
        <f>VLOOKUP($A19,HeatExch!$D$5:$AH$76,30,0)-273.15</f>
        <v>231.940337914341</v>
      </c>
      <c r="P19" s="698"/>
      <c r="Q19" s="698">
        <f>VLOOKUP($A19,HeatExch!$D$5:$AH$76,14,0)*3600*2</f>
        <v>535999.99999999965</v>
      </c>
      <c r="R19" s="698"/>
      <c r="S19" s="698">
        <f>VLOOKUP($A19,HeatExch!$D$5:$AH$76,16,0)*3600*2</f>
        <v>458398.08</v>
      </c>
      <c r="T19" s="701">
        <v>20171969.046534002</v>
      </c>
      <c r="U19" s="701">
        <f>-VLOOKUP($A19,HeatExch!$D$5:$AH$76,22,0)*0.8598452279*2</f>
        <v>13639199.497287372</v>
      </c>
      <c r="W19" s="615"/>
    </row>
    <row r="20" spans="1:23">
      <c r="A20" s="204" t="s">
        <v>621</v>
      </c>
      <c r="B20" s="619">
        <v>147</v>
      </c>
      <c r="C20" s="736">
        <f>VLOOKUP($A20,HeatExch!$D$5:$AH$76,4,0)</f>
        <v>147</v>
      </c>
      <c r="D20" s="205"/>
      <c r="E20" s="619">
        <f>VLOOKUP($A20,HeatExch!$D$5:$AH$76,8,0)</f>
        <v>6.0960000000000001</v>
      </c>
      <c r="F20" s="205"/>
      <c r="G20" s="619">
        <f>VLOOKUP($A20,HeatExch!$D$5:$AH$76,6,0)</f>
        <v>0.70699999999999996</v>
      </c>
      <c r="H20" s="696">
        <v>0.50985810649999996</v>
      </c>
      <c r="I20" s="696">
        <f>VLOOKUP($A20,HeatExch!$D$5:$AH$76,18,0)*0.00001019716213</f>
        <v>2.5352558018098076E-2</v>
      </c>
      <c r="J20" s="696">
        <v>0.50985810649999996</v>
      </c>
      <c r="K20" s="696">
        <f>VLOOKUP($A20,HeatExch!$D$5:$AH$76,20,0)*0.00001019716213</f>
        <v>6.3351598450637009E-2</v>
      </c>
      <c r="L20" s="694">
        <f>VLOOKUP($A20,HeatExch!$D$5:$AH$76,24,0)-273.15</f>
        <v>83.606788269899027</v>
      </c>
      <c r="M20" s="694">
        <f>VLOOKUP($A20,HeatExch!$D$5:$AH$76,26,0)-273.15</f>
        <v>46.383834055054024</v>
      </c>
      <c r="N20" s="694">
        <f>VLOOKUP($A20,HeatExch!$D$5:$AH$76,28,0)-273.15</f>
        <v>22.095567682322041</v>
      </c>
      <c r="O20" s="694">
        <f>VLOOKUP($A20,HeatExch!$D$5:$AH$76,30,0)-273.15</f>
        <v>33.761907924050035</v>
      </c>
      <c r="P20" s="698">
        <v>66384</v>
      </c>
      <c r="Q20" s="698">
        <f>VLOOKUP($A20,HeatExch!$D$5:$AH$76,14,0)*3600</f>
        <v>66384</v>
      </c>
      <c r="R20" s="698">
        <v>248480</v>
      </c>
      <c r="S20" s="698">
        <f>VLOOKUP($A20,HeatExch!$D$5:$AH$76,16,0)*3600</f>
        <v>248479.99999999991</v>
      </c>
      <c r="T20" s="701">
        <v>2480000</v>
      </c>
      <c r="U20" s="701">
        <f>-VLOOKUP($A20,HeatExch!$D$5:$AH$76,22,0)*0.8598452279</f>
        <v>2701919.6503786664</v>
      </c>
      <c r="W20" s="615"/>
    </row>
    <row r="21" spans="1:23">
      <c r="A21" s="204" t="s">
        <v>8239</v>
      </c>
      <c r="B21" s="619">
        <f>4670/5</f>
        <v>934</v>
      </c>
      <c r="C21" s="736">
        <f>VLOOKUP($A21,HeatExch!$F$5:$AH$76,2,0)</f>
        <v>934</v>
      </c>
      <c r="D21" s="205">
        <v>8.3000000000000007</v>
      </c>
      <c r="E21" s="619">
        <f>VLOOKUP($A21,HeatExch!$F$5:$AH$76,6,0)</f>
        <v>8.3000000000000007</v>
      </c>
      <c r="F21" s="205">
        <v>0.8</v>
      </c>
      <c r="G21" s="619">
        <f>VLOOKUP($A21,HeatExch!$F$5:$AH$76,4,0)</f>
        <v>0.8</v>
      </c>
      <c r="H21" s="696">
        <f>1.9/5</f>
        <v>0.38</v>
      </c>
      <c r="I21" s="696">
        <f>VLOOKUP($A21,HeatExch!$F$5:$AH$76,16,0)*0.00001019716213</f>
        <v>0.31564251669290633</v>
      </c>
      <c r="J21" s="1070">
        <v>1.9</v>
      </c>
      <c r="K21" s="696">
        <f>VLOOKUP($A21,HeatExch!$F$5:$AH$76,18,0)*0.00001019716213</f>
        <v>0.21045012328408796</v>
      </c>
      <c r="L21" s="694">
        <f>VLOOKUP($A21,HeatExch!$F$5:$AH$76,22,0)-273.15</f>
        <v>183.03517425362401</v>
      </c>
      <c r="M21" s="694">
        <f>VLOOKUP($A21,HeatExch!$F$5:$AH$76,24,0)-273.15</f>
        <v>113.24593353229903</v>
      </c>
      <c r="N21" s="694">
        <f>VLOOKUP($A21,HeatExch!$F$5:$AH$76,26,0)-273.15</f>
        <v>54.936091336563038</v>
      </c>
      <c r="O21" s="694">
        <f>VLOOKUP($A21,HeatExch!$F$5:$AH$76,28,0)-273.15</f>
        <v>137.81514676572505</v>
      </c>
      <c r="P21" s="698">
        <v>346560</v>
      </c>
      <c r="Q21" s="698">
        <f>VLOOKUP($A21,HeatExch!$F$5:$AH$76,12,0)*3600</f>
        <v>346560.00000000012</v>
      </c>
      <c r="R21" s="698">
        <v>346560</v>
      </c>
      <c r="S21" s="698">
        <f>VLOOKUP($A21,HeatExch!$F$5:$AH$76,14,0)*3600</f>
        <v>346560.00000000012</v>
      </c>
      <c r="T21" s="810">
        <f>68250000/5</f>
        <v>13650000</v>
      </c>
      <c r="U21" s="701">
        <f>-VLOOKUP($A21,HeatExch!$F$5:$AH$76,20,0)*0.8598452279</f>
        <v>21847172.093832307</v>
      </c>
      <c r="V21" s="1068">
        <f>SUM(U21:U25)</f>
        <v>76492855.259187654</v>
      </c>
      <c r="W21" s="615"/>
    </row>
    <row r="22" spans="1:23">
      <c r="A22" s="204" t="s">
        <v>8240</v>
      </c>
      <c r="B22" s="619">
        <f>4670/5</f>
        <v>934</v>
      </c>
      <c r="C22" s="736">
        <f>VLOOKUP($A22,HeatExch!$F$5:$AH$76,2,0)</f>
        <v>934</v>
      </c>
      <c r="D22" s="205">
        <v>8.3000000000000007</v>
      </c>
      <c r="E22" s="619">
        <f>VLOOKUP($A22,HeatExch!$F$5:$AH$76,6,0)</f>
        <v>8.3000000000000007</v>
      </c>
      <c r="F22" s="205">
        <v>0.8</v>
      </c>
      <c r="G22" s="619">
        <f>VLOOKUP($A22,HeatExch!$F$5:$AH$76,4,0)</f>
        <v>0.8</v>
      </c>
      <c r="H22" s="696">
        <f>1.9/5</f>
        <v>0.38</v>
      </c>
      <c r="I22" s="696">
        <f>VLOOKUP($A22,HeatExch!$F$5:$AH$76,16,0)*0.00001019716213</f>
        <v>0.35047676263767891</v>
      </c>
      <c r="J22" s="1071"/>
      <c r="K22" s="696">
        <f>VLOOKUP($A22,HeatExch!$F$5:$AH$76,18,0)*0.00001019716213</f>
        <v>9.6029553737741802E-2</v>
      </c>
      <c r="L22" s="694">
        <f>VLOOKUP($A22,HeatExch!$F$5:$AH$76,22,0)-273.15</f>
        <v>227.649561743687</v>
      </c>
      <c r="M22" s="694">
        <f>VLOOKUP($A22,HeatExch!$F$5:$AH$76,24,0)-273.15</f>
        <v>183.03851865129803</v>
      </c>
      <c r="N22" s="694">
        <f>VLOOKUP($A22,HeatExch!$F$5:$AH$76,26,0)-273.15</f>
        <v>137.812815909579</v>
      </c>
      <c r="O22" s="694">
        <f>VLOOKUP($A22,HeatExch!$F$5:$AH$76,28,0)-273.15</f>
        <v>191.52805849111604</v>
      </c>
      <c r="P22" s="698">
        <v>346560</v>
      </c>
      <c r="Q22" s="698">
        <f>VLOOKUP($A22,HeatExch!$F$5:$AH$76,12,0)*3600</f>
        <v>346560.00000000012</v>
      </c>
      <c r="R22" s="698">
        <v>346560</v>
      </c>
      <c r="S22" s="698">
        <f>VLOOKUP($A22,HeatExch!$F$5:$AH$76,14,0)*3600</f>
        <v>346560.00000000012</v>
      </c>
      <c r="T22" s="810">
        <f t="shared" ref="T22:T25" si="0">68250000/5</f>
        <v>13650000</v>
      </c>
      <c r="U22" s="701">
        <f>-VLOOKUP($A22,HeatExch!$F$5:$AH$76,20,0)*0.8598452279</f>
        <v>17203439.337628514</v>
      </c>
      <c r="V22" s="1069"/>
      <c r="W22" s="615"/>
    </row>
    <row r="23" spans="1:23">
      <c r="A23" s="204" t="s">
        <v>8242</v>
      </c>
      <c r="B23" s="619">
        <f>4670/5</f>
        <v>934</v>
      </c>
      <c r="C23" s="736">
        <f>VLOOKUP($A23,HeatExch!$F$5:$AH$76,2,0)</f>
        <v>934</v>
      </c>
      <c r="D23" s="205">
        <v>8.3000000000000007</v>
      </c>
      <c r="E23" s="619">
        <f>VLOOKUP($A23,HeatExch!$F$5:$AH$76,6,0)</f>
        <v>8.3000000000000007</v>
      </c>
      <c r="F23" s="205">
        <v>0.8</v>
      </c>
      <c r="G23" s="619">
        <f>VLOOKUP($A23,HeatExch!$F$5:$AH$76,4,0)</f>
        <v>0.8</v>
      </c>
      <c r="H23" s="696">
        <f>1.9/5</f>
        <v>0.38</v>
      </c>
      <c r="I23" s="696">
        <f>VLOOKUP($A23,HeatExch!$F$5:$AH$76,16,0)*0.00001019716213</f>
        <v>0.38374137007093706</v>
      </c>
      <c r="J23" s="1071"/>
      <c r="K23" s="696">
        <f>VLOOKUP($A23,HeatExch!$F$5:$AH$76,18,0)*0.00001019716213</f>
        <v>0.28473373080282549</v>
      </c>
      <c r="L23" s="694">
        <f>VLOOKUP($A23,HeatExch!$F$5:$AH$76,22,0)-273.15</f>
        <v>258.70043624113498</v>
      </c>
      <c r="M23" s="694">
        <f>VLOOKUP($A23,HeatExch!$F$5:$AH$76,24,0)-273.15</f>
        <v>227.65274536391405</v>
      </c>
      <c r="N23" s="694">
        <f>VLOOKUP($A23,HeatExch!$F$5:$AH$76,26,0)-273.15</f>
        <v>191.52488870696703</v>
      </c>
      <c r="O23" s="694">
        <f>VLOOKUP($A23,HeatExch!$F$5:$AH$76,28,0)-273.15</f>
        <v>228.75040250543901</v>
      </c>
      <c r="P23" s="698">
        <v>346560</v>
      </c>
      <c r="Q23" s="698">
        <f>VLOOKUP($A23,HeatExch!$F$5:$AH$76,12,0)*3600</f>
        <v>346560.00000000012</v>
      </c>
      <c r="R23" s="698">
        <v>346560</v>
      </c>
      <c r="S23" s="698">
        <f>VLOOKUP($A23,HeatExch!$F$5:$AH$76,14,0)*3600</f>
        <v>346560.00000000012</v>
      </c>
      <c r="T23" s="810">
        <f t="shared" si="0"/>
        <v>13650000</v>
      </c>
      <c r="U23" s="701">
        <f>-VLOOKUP($A23,HeatExch!$F$5:$AH$76,20,0)*0.8598452279</f>
        <v>13996366.212968916</v>
      </c>
      <c r="V23" s="1069"/>
      <c r="W23" s="615"/>
    </row>
    <row r="24" spans="1:23">
      <c r="A24" s="204" t="s">
        <v>8241</v>
      </c>
      <c r="B24" s="619">
        <f>4670/5</f>
        <v>934</v>
      </c>
      <c r="C24" s="736">
        <f>VLOOKUP($A24,HeatExch!$F$5:$AH$76,2,0)</f>
        <v>934</v>
      </c>
      <c r="D24" s="205">
        <v>8.3000000000000007</v>
      </c>
      <c r="E24" s="619">
        <f>VLOOKUP($A24,HeatExch!$F$5:$AH$76,6,0)</f>
        <v>8.3000000000000007</v>
      </c>
      <c r="F24" s="205">
        <v>0.8</v>
      </c>
      <c r="G24" s="619">
        <f>VLOOKUP($A24,HeatExch!$F$5:$AH$76,4,0)</f>
        <v>0.8</v>
      </c>
      <c r="H24" s="696">
        <f>1.9/5</f>
        <v>0.38</v>
      </c>
      <c r="I24" s="696">
        <f>VLOOKUP($A24,HeatExch!$F$5:$AH$76,16,0)*0.00001019716213</f>
        <v>0.41535909422873929</v>
      </c>
      <c r="J24" s="1071"/>
      <c r="K24" s="696">
        <f>VLOOKUP($A24,HeatExch!$F$5:$AH$76,18,0)*0.00001019716213</f>
        <v>0.31830899184744699</v>
      </c>
      <c r="L24" s="694">
        <f>VLOOKUP($A24,HeatExch!$F$5:$AH$76,22,0)-273.15</f>
        <v>282.66293741476306</v>
      </c>
      <c r="M24" s="694">
        <f>VLOOKUP($A24,HeatExch!$F$5:$AH$76,24,0)-273.15</f>
        <v>258.70403690937599</v>
      </c>
      <c r="N24" s="694">
        <f>VLOOKUP($A24,HeatExch!$F$5:$AH$76,26,0)-273.15</f>
        <v>228.74734736928104</v>
      </c>
      <c r="O24" s="694">
        <f>VLOOKUP($A24,HeatExch!$F$5:$AH$76,28,0)-273.15</f>
        <v>256.43609622346708</v>
      </c>
      <c r="P24" s="698">
        <v>346560</v>
      </c>
      <c r="Q24" s="698">
        <f>VLOOKUP($A24,HeatExch!$F$5:$AH$76,12,0)*3600</f>
        <v>346560.00000000012</v>
      </c>
      <c r="R24" s="698">
        <v>346560</v>
      </c>
      <c r="S24" s="698">
        <f>VLOOKUP($A24,HeatExch!$F$5:$AH$76,14,0)*3600</f>
        <v>346560.00000000012</v>
      </c>
      <c r="T24" s="810">
        <f t="shared" si="0"/>
        <v>13650000</v>
      </c>
      <c r="U24" s="701">
        <f>-VLOOKUP($A24,HeatExch!$F$5:$AH$76,20,0)*0.8598452279</f>
        <v>11927594.010920795</v>
      </c>
      <c r="V24" s="1069"/>
      <c r="W24" s="615"/>
    </row>
    <row r="25" spans="1:23">
      <c r="A25" s="204" t="s">
        <v>4910</v>
      </c>
      <c r="B25" s="619">
        <f>4670/5</f>
        <v>934</v>
      </c>
      <c r="C25" s="736">
        <f>VLOOKUP($A25,HeatExch!$F$5:$AH$76,2,0)</f>
        <v>934</v>
      </c>
      <c r="D25" s="205">
        <v>8.3000000000000007</v>
      </c>
      <c r="E25" s="619">
        <f>VLOOKUP($A25,HeatExch!$F$5:$AH$76,6,0)</f>
        <v>8.3000000000000007</v>
      </c>
      <c r="F25" s="205">
        <v>0.8</v>
      </c>
      <c r="G25" s="619">
        <f>VLOOKUP($A25,HeatExch!$F$5:$AH$76,4,0)</f>
        <v>0.8</v>
      </c>
      <c r="H25" s="696">
        <f>1.9/5</f>
        <v>0.38</v>
      </c>
      <c r="I25" s="696">
        <f>VLOOKUP($A25,HeatExch!$F$5:$AH$76,16,0)*0.00001019716213</f>
        <v>0.44177106954650081</v>
      </c>
      <c r="J25" s="1072"/>
      <c r="K25" s="696">
        <f>VLOOKUP($A25,HeatExch!$F$5:$AH$76,18,0)*0.00001019716213</f>
        <v>0.35571776466004562</v>
      </c>
      <c r="L25" s="694">
        <f>VLOOKUP($A25,HeatExch!$F$5:$AH$76,22,0)-273.15</f>
        <v>315.14778879269898</v>
      </c>
      <c r="M25" s="694">
        <f>VLOOKUP($A25,HeatExch!$F$5:$AH$76,24,0)-273.15</f>
        <v>282.66633005336303</v>
      </c>
      <c r="N25" s="694">
        <f>VLOOKUP($A25,HeatExch!$F$5:$AH$76,26,0)-273.15</f>
        <v>256.43270869926005</v>
      </c>
      <c r="O25" s="694">
        <f>VLOOKUP($A25,HeatExch!$F$5:$AH$76,28,0)-273.15</f>
        <v>280.31592769636302</v>
      </c>
      <c r="P25" s="698">
        <v>346560</v>
      </c>
      <c r="Q25" s="698">
        <f>VLOOKUP($A25,HeatExch!$F$5:$AH$76,12,0)*3600</f>
        <v>346560.00000000012</v>
      </c>
      <c r="R25" s="698">
        <v>346560</v>
      </c>
      <c r="S25" s="698">
        <f>VLOOKUP($A25,HeatExch!$F$5:$AH$76,14,0)*3600</f>
        <v>346560.00000000012</v>
      </c>
      <c r="T25" s="810">
        <f t="shared" si="0"/>
        <v>13650000</v>
      </c>
      <c r="U25" s="701">
        <f>-VLOOKUP($A25,HeatExch!$F$5:$AH$76,20,0)*0.8598452279</f>
        <v>11518283.603837127</v>
      </c>
      <c r="V25" s="1069"/>
      <c r="W25" s="615"/>
    </row>
    <row r="26" spans="1:23">
      <c r="A26" s="1004" t="s">
        <v>627</v>
      </c>
      <c r="B26" s="866" t="s">
        <v>10517</v>
      </c>
      <c r="C26" s="736">
        <f>VLOOKUP($A26,HeatExch!$D$5:$AH$76,4,0)</f>
        <v>125</v>
      </c>
      <c r="D26" s="205"/>
      <c r="E26" s="619">
        <f>VLOOKUP($A26,HeatExch!$D$5:$AH$76,8,0)</f>
        <v>8.3000000000000007</v>
      </c>
      <c r="F26" s="205"/>
      <c r="G26" s="619">
        <f>VLOOKUP($A26,HeatExch!$D$5:$AH$76,6,0)</f>
        <v>0.8</v>
      </c>
      <c r="H26" s="696"/>
      <c r="I26" s="696">
        <f>VLOOKUP($A26,HeatExch!$D$5:$AH$76,18,0)*0.00001019716213</f>
        <v>3.292485898309543E-3</v>
      </c>
      <c r="J26" s="696"/>
      <c r="K26" s="696">
        <f>VLOOKUP($A26,HeatExch!$D$5:$AH$76,20,0)*0.00001019716213</f>
        <v>1.2147285972627089</v>
      </c>
      <c r="L26" s="694">
        <f>VLOOKUP($A26,HeatExch!$D$5:$AH$76,24,0)-273.15</f>
        <v>63.297580128494019</v>
      </c>
      <c r="M26" s="694">
        <f>VLOOKUP($A26,HeatExch!$D$5:$AH$76,26,0)-273.15</f>
        <v>29.755630962112036</v>
      </c>
      <c r="N26" s="694">
        <f>VLOOKUP($A26,HeatExch!$D$5:$AH$76,28,0)-273.15</f>
        <v>20.000667464360049</v>
      </c>
      <c r="O26" s="694">
        <f>VLOOKUP($A26,HeatExch!$D$5:$AH$76,30,0)-273.15</f>
        <v>20.510943190470016</v>
      </c>
      <c r="P26" s="698"/>
      <c r="Q26" s="698">
        <f>VLOOKUP($A26,HeatExch!$D$5:$AH$76,14,0)*3600</f>
        <v>100000.00000000007</v>
      </c>
      <c r="R26" s="698"/>
      <c r="S26" s="698">
        <f>VLOOKUP($A26,HeatExch!$D$5:$AH$76,16,0)*3600</f>
        <v>346560.00000000012</v>
      </c>
      <c r="T26" s="809" t="s">
        <v>10378</v>
      </c>
      <c r="U26" s="701">
        <f>-VLOOKUP($A26,HeatExch!$D$5:$AH$76,22,0)*0.8598452279</f>
        <v>197003.0772071752</v>
      </c>
      <c r="W26" s="615"/>
    </row>
    <row r="27" spans="1:23">
      <c r="A27" s="204" t="s">
        <v>8236</v>
      </c>
      <c r="B27" s="619">
        <v>177</v>
      </c>
      <c r="C27" s="736">
        <f>VLOOKUP($A27,HeatExch!$D$5:$AH$76,4,0)</f>
        <v>177</v>
      </c>
      <c r="D27" s="205">
        <f>240*0.0254</f>
        <v>6.0960000000000001</v>
      </c>
      <c r="E27" s="619">
        <f>VLOOKUP($A27,HeatExch!$D$5:$AH$76,8,0)</f>
        <v>6.0960000000000001</v>
      </c>
      <c r="F27" s="205">
        <f>30*0.0254</f>
        <v>0.76200000000000001</v>
      </c>
      <c r="G27" s="619">
        <f>VLOOKUP($A27,HeatExch!$D$5:$AH$76,6,0)</f>
        <v>0.76200000000000001</v>
      </c>
      <c r="H27" s="696">
        <v>0.63500000000000001</v>
      </c>
      <c r="I27" s="696">
        <f>VLOOKUP($A27,HeatExch!$D$5:$AH$76,18,0)*0.00001019716213</f>
        <v>0.15041456664122077</v>
      </c>
      <c r="J27" s="696">
        <v>0.42599999999999999</v>
      </c>
      <c r="K27" s="696">
        <f>VLOOKUP($A27,HeatExch!$D$5:$AH$76,20,0)*0.00001019716213</f>
        <v>7.7440177063333532E-2</v>
      </c>
      <c r="L27" s="694">
        <f>VLOOKUP($A27,HeatExch!$D$5:$AH$76,24,0)-273.15</f>
        <v>204.71866158013</v>
      </c>
      <c r="M27" s="694">
        <f>VLOOKUP($A27,HeatExch!$D$5:$AH$76,26,0)-273.15</f>
        <v>129.08004369749301</v>
      </c>
      <c r="N27" s="694">
        <f>VLOOKUP($A27,HeatExch!$D$5:$AH$76,28,0)-273.15</f>
        <v>54.237504970115026</v>
      </c>
      <c r="O27" s="694">
        <f>VLOOKUP($A27,HeatExch!$D$5:$AH$76,30,0)-273.15</f>
        <v>97.418630821763031</v>
      </c>
      <c r="P27" s="698">
        <v>107910</v>
      </c>
      <c r="Q27" s="698">
        <f>VLOOKUP($A27,HeatExch!$D$5:$AH$76,14,0)*3600</f>
        <v>107910</v>
      </c>
      <c r="R27" s="698">
        <v>337735</v>
      </c>
      <c r="S27" s="698">
        <f>VLOOKUP($A27,HeatExch!$D$5:$AH$76,16,0)*3600</f>
        <v>337735.00000000006</v>
      </c>
      <c r="T27" s="701">
        <v>8300000</v>
      </c>
      <c r="U27" s="701">
        <f>-VLOOKUP($A27,HeatExch!$D$5:$AH$76,22,0)*0.8598452279</f>
        <v>9727614.4517009798</v>
      </c>
      <c r="W27" s="615"/>
    </row>
    <row r="28" spans="1:23">
      <c r="A28" s="204" t="s">
        <v>631</v>
      </c>
      <c r="B28" s="619">
        <v>3000</v>
      </c>
      <c r="C28" s="736">
        <f>VLOOKUP($A28,HeatExch!$D$5:$AH$76,4,0)*4</f>
        <v>6000</v>
      </c>
      <c r="D28" s="205"/>
      <c r="E28" s="619"/>
      <c r="F28" s="205"/>
      <c r="G28" s="619">
        <f>VLOOKUP($A28,HeatExch!$D$5:$AH$76,6,0)</f>
        <v>0.8</v>
      </c>
      <c r="H28" s="696">
        <v>0.4</v>
      </c>
      <c r="I28" s="696">
        <f>VLOOKUP($A28,HeatExch!$D$5:$AH$76,18,0)*0.00001019716213</f>
        <v>4.5711528706574717E-3</v>
      </c>
      <c r="J28" s="696">
        <v>0.7</v>
      </c>
      <c r="K28" s="696">
        <f>VLOOKUP($A28,HeatExch!$D$5:$AH$76,20,0)*0.00001019716213</f>
        <v>3.9991665721382512E-2</v>
      </c>
      <c r="L28" s="694">
        <f>VLOOKUP($A28,HeatExch!$D$5:$AH$76,24,0)-273.15</f>
        <v>263.880080476035</v>
      </c>
      <c r="M28" s="694">
        <f>VLOOKUP($A28,HeatExch!$D$5:$AH$76,26,0)-273.15</f>
        <v>174.246678152421</v>
      </c>
      <c r="N28" s="694">
        <f>VLOOKUP($A28,HeatExch!$D$5:$AH$76,28,0)-273.15</f>
        <v>97.417379288636027</v>
      </c>
      <c r="O28" s="694">
        <f>VLOOKUP($A28,HeatExch!$D$5:$AH$76,30,0)-273.15</f>
        <v>160.13563659649805</v>
      </c>
      <c r="P28" s="698">
        <v>626055</v>
      </c>
      <c r="Q28" s="698">
        <f>VLOOKUP($A28,HeatExch!$D$5:$AH$76,14,0)*3600*2</f>
        <v>626054.99999999977</v>
      </c>
      <c r="R28" s="698">
        <v>332735</v>
      </c>
      <c r="S28" s="698">
        <f>VLOOKUP($A28,HeatExch!$D$5:$AH$76,16,0)*3600*2</f>
        <v>332734.99999999965</v>
      </c>
      <c r="T28" s="701">
        <v>20500000</v>
      </c>
      <c r="U28" s="701">
        <f>-VLOOKUP($A28,HeatExch!$D$5:$AH$76,22,0)*0.8598452279*2</f>
        <v>16355549.31232078</v>
      </c>
      <c r="W28" s="615"/>
    </row>
    <row r="29" spans="1:23">
      <c r="A29" s="204" t="s">
        <v>8237</v>
      </c>
      <c r="B29" s="619">
        <v>670</v>
      </c>
      <c r="C29" s="736">
        <f>VLOOKUP($A29,HeatExch!$D$5:$AH$76,4,0)*2</f>
        <v>670</v>
      </c>
      <c r="D29" s="205"/>
      <c r="E29" s="619"/>
      <c r="F29" s="205"/>
      <c r="G29" s="619">
        <f>VLOOKUP($A29,HeatExch!$D$5:$AH$76,6,0)</f>
        <v>0.8</v>
      </c>
      <c r="H29" s="696">
        <v>1.1000000000000001</v>
      </c>
      <c r="I29" s="696">
        <f>VLOOKUP($A29,HeatExch!$D$5:$AH$76,18,0)*0.00001019716213</f>
        <v>1.3298470191251528E-2</v>
      </c>
      <c r="J29" s="696">
        <v>7.0000000000000007E-2</v>
      </c>
      <c r="K29" s="696">
        <f>VLOOKUP($A29,HeatExch!$D$5:$AH$76,20,0)*0.00001019716213</f>
        <v>0.15923015666025594</v>
      </c>
      <c r="L29" s="694">
        <f>VLOOKUP($A29,HeatExch!$D$5:$AH$76,24,0)-273.15</f>
        <v>322.76755314934599</v>
      </c>
      <c r="M29" s="694">
        <f>VLOOKUP($A29,HeatExch!$D$5:$AH$76,26,0)-273.15</f>
        <v>271.36719711794399</v>
      </c>
      <c r="N29" s="694">
        <f>VLOOKUP($A29,HeatExch!$D$5:$AH$76,28,0)-273.15</f>
        <v>201.918087503631</v>
      </c>
      <c r="O29" s="694">
        <f>VLOOKUP($A29,HeatExch!$D$5:$AH$76,30,0)-273.15</f>
        <v>219.06154118139403</v>
      </c>
      <c r="P29" s="698">
        <v>501565</v>
      </c>
      <c r="Q29" s="698">
        <f>VLOOKUP($A29,HeatExch!$D$5:$AH$76,14,0)*3600*2</f>
        <v>501565.00000000035</v>
      </c>
      <c r="R29" s="698">
        <v>458868</v>
      </c>
      <c r="S29" s="698">
        <f>VLOOKUP($A29,HeatExch!$D$5:$AH$76,16,0)*3600*2</f>
        <v>458868.00000000023</v>
      </c>
      <c r="T29" s="701">
        <v>15300000</v>
      </c>
      <c r="U29" s="701">
        <f>-VLOOKUP($A29,HeatExch!$D$5:$AH$76,22,0)*0.8598452279*2</f>
        <v>17310922.053785834</v>
      </c>
      <c r="W29" s="615"/>
    </row>
    <row r="30" spans="1:23">
      <c r="A30" s="204" t="s">
        <v>636</v>
      </c>
      <c r="B30" s="619">
        <v>146</v>
      </c>
      <c r="C30" s="736">
        <f>VLOOKUP($A30,HeatExch!$D$5:$AH$76,4,0)</f>
        <v>146</v>
      </c>
      <c r="D30" s="205"/>
      <c r="E30" s="619"/>
      <c r="F30" s="205"/>
      <c r="G30" s="619">
        <f>VLOOKUP($A30,HeatExch!$D$5:$AH$76,6,0)</f>
        <v>0.5</v>
      </c>
      <c r="H30" s="696"/>
      <c r="I30" s="696">
        <f>VLOOKUP($A30,HeatExch!$D$5:$AH$76,18,0)*0.00001019716213</f>
        <v>0.3215649409306478</v>
      </c>
      <c r="J30" s="696"/>
      <c r="K30" s="696">
        <f>VLOOKUP($A30,HeatExch!$D$5:$AH$76,20,0)*0.00001019716213</f>
        <v>0.13030962699974</v>
      </c>
      <c r="L30" s="694">
        <f>VLOOKUP($A30,HeatExch!$D$5:$AH$76,24,0)-273.15</f>
        <v>231.97062473840805</v>
      </c>
      <c r="M30" s="694">
        <f>VLOOKUP($A30,HeatExch!$D$5:$AH$76,26,0)-273.15</f>
        <v>190.047132091989</v>
      </c>
      <c r="N30" s="694">
        <f>VLOOKUP($A30,HeatExch!$D$5:$AH$76,28,0)-273.15</f>
        <v>142.97767748699204</v>
      </c>
      <c r="O30" s="694">
        <f>VLOOKUP($A30,HeatExch!$D$5:$AH$76,30,0)-273.15</f>
        <v>143.77327334545805</v>
      </c>
      <c r="P30" s="698">
        <v>572730</v>
      </c>
      <c r="Q30" s="698">
        <f>VLOOKUP($A30,HeatExch!$D$5:$AH$76,14,0)*3600</f>
        <v>572730.00000000128</v>
      </c>
      <c r="R30" s="698">
        <v>165227</v>
      </c>
      <c r="S30" s="698">
        <f>VLOOKUP($A30,HeatExch!$D$5:$AH$76,16,0)*3600</f>
        <v>165227.00000000003</v>
      </c>
      <c r="T30" s="701">
        <v>5570000</v>
      </c>
      <c r="U30" s="701">
        <f>-VLOOKUP($A30,HeatExch!$D$5:$AH$76,22,0)*0.8598452279</f>
        <v>5121114.2231335547</v>
      </c>
      <c r="W30" s="615"/>
    </row>
    <row r="34" spans="1:4">
      <c r="A34" s="995" t="s">
        <v>10748</v>
      </c>
      <c r="B34" s="963">
        <v>525</v>
      </c>
      <c r="C34" s="890">
        <f>VLOOKUP($A34,KettleNode!$F$5:$Z$5,6,0)</f>
        <v>525.16433593737202</v>
      </c>
      <c r="D34" s="963" t="s">
        <v>10741</v>
      </c>
    </row>
  </sheetData>
  <mergeCells count="2">
    <mergeCell ref="V21:V25"/>
    <mergeCell ref="J21:J25"/>
  </mergeCells>
  <phoneticPr fontId="14" type="noConversion"/>
  <pageMargins left="0.7" right="0.7" top="0.75" bottom="0.75" header="0.3" footer="0.3"/>
  <pageSetup paperSize="9" orientation="portrait" r:id="rId1"/>
  <ignoredErrors>
    <ignoredError sqref="C14 C19 C10" formula="1"/>
  </ignoredErrors>
  <legacyDrawing r:id="rId2"/>
</worksheet>
</file>

<file path=xl/worksheets/sheet6.xml><?xml version="1.0" encoding="utf-8"?>
<worksheet xmlns="http://schemas.openxmlformats.org/spreadsheetml/2006/main" xmlns:r="http://schemas.openxmlformats.org/officeDocument/2006/relationships">
  <sheetPr>
    <tabColor rgb="FF00B0F0"/>
  </sheetPr>
  <dimension ref="A1:M20"/>
  <sheetViews>
    <sheetView zoomScale="80" zoomScaleNormal="80" workbookViewId="0"/>
  </sheetViews>
  <sheetFormatPr defaultRowHeight="12.75"/>
  <cols>
    <col min="1" max="1" width="12.625" style="52" customWidth="1"/>
    <col min="2" max="3" width="16.625" style="52" customWidth="1"/>
    <col min="4" max="7" width="12.625" style="52" customWidth="1"/>
    <col min="8" max="9" width="12.625" style="707" customWidth="1"/>
    <col min="10" max="11" width="12.625" style="713" customWidth="1"/>
    <col min="12" max="235" width="9" style="52"/>
    <col min="236" max="236" width="10.5" style="52" bestFit="1" customWidth="1"/>
    <col min="237" max="249" width="0" style="52" hidden="1" customWidth="1"/>
    <col min="250" max="250" width="9" style="52"/>
    <col min="251" max="251" width="11.5" style="52" bestFit="1" customWidth="1"/>
    <col min="252" max="252" width="34.5" style="52" bestFit="1" customWidth="1"/>
    <col min="253" max="253" width="51" style="52" bestFit="1" customWidth="1"/>
    <col min="254" max="254" width="9.625" style="52" bestFit="1" customWidth="1"/>
    <col min="255" max="255" width="13" style="52" customWidth="1"/>
    <col min="256" max="256" width="16.625" style="52" customWidth="1"/>
    <col min="257" max="258" width="11.5" style="52" customWidth="1"/>
    <col min="259" max="259" width="11.625" style="52" customWidth="1"/>
    <col min="260" max="260" width="9.375" style="52" customWidth="1"/>
    <col min="261" max="261" width="9.5" style="52" customWidth="1"/>
    <col min="262" max="262" width="8.625" style="52" customWidth="1"/>
    <col min="263" max="263" width="12.375" style="52" bestFit="1" customWidth="1"/>
    <col min="264" max="265" width="9" style="52"/>
    <col min="266" max="266" width="12.375" style="52" bestFit="1" customWidth="1"/>
    <col min="267" max="491" width="9" style="52"/>
    <col min="492" max="492" width="10.5" style="52" bestFit="1" customWidth="1"/>
    <col min="493" max="505" width="0" style="52" hidden="1" customWidth="1"/>
    <col min="506" max="506" width="9" style="52"/>
    <col min="507" max="507" width="11.5" style="52" bestFit="1" customWidth="1"/>
    <col min="508" max="508" width="34.5" style="52" bestFit="1" customWidth="1"/>
    <col min="509" max="509" width="51" style="52" bestFit="1" customWidth="1"/>
    <col min="510" max="510" width="9.625" style="52" bestFit="1" customWidth="1"/>
    <col min="511" max="511" width="13" style="52" customWidth="1"/>
    <col min="512" max="512" width="16.625" style="52" customWidth="1"/>
    <col min="513" max="514" width="11.5" style="52" customWidth="1"/>
    <col min="515" max="515" width="11.625" style="52" customWidth="1"/>
    <col min="516" max="516" width="9.375" style="52" customWidth="1"/>
    <col min="517" max="517" width="9.5" style="52" customWidth="1"/>
    <col min="518" max="518" width="8.625" style="52" customWidth="1"/>
    <col min="519" max="519" width="12.375" style="52" bestFit="1" customWidth="1"/>
    <col min="520" max="521" width="9" style="52"/>
    <col min="522" max="522" width="12.375" style="52" bestFit="1" customWidth="1"/>
    <col min="523" max="747" width="9" style="52"/>
    <col min="748" max="748" width="10.5" style="52" bestFit="1" customWidth="1"/>
    <col min="749" max="761" width="0" style="52" hidden="1" customWidth="1"/>
    <col min="762" max="762" width="9" style="52"/>
    <col min="763" max="763" width="11.5" style="52" bestFit="1" customWidth="1"/>
    <col min="764" max="764" width="34.5" style="52" bestFit="1" customWidth="1"/>
    <col min="765" max="765" width="51" style="52" bestFit="1" customWidth="1"/>
    <col min="766" max="766" width="9.625" style="52" bestFit="1" customWidth="1"/>
    <col min="767" max="767" width="13" style="52" customWidth="1"/>
    <col min="768" max="768" width="16.625" style="52" customWidth="1"/>
    <col min="769" max="770" width="11.5" style="52" customWidth="1"/>
    <col min="771" max="771" width="11.625" style="52" customWidth="1"/>
    <col min="772" max="772" width="9.375" style="52" customWidth="1"/>
    <col min="773" max="773" width="9.5" style="52" customWidth="1"/>
    <col min="774" max="774" width="8.625" style="52" customWidth="1"/>
    <col min="775" max="775" width="12.375" style="52" bestFit="1" customWidth="1"/>
    <col min="776" max="777" width="9" style="52"/>
    <col min="778" max="778" width="12.375" style="52" bestFit="1" customWidth="1"/>
    <col min="779" max="1003" width="9" style="52"/>
    <col min="1004" max="1004" width="10.5" style="52" bestFit="1" customWidth="1"/>
    <col min="1005" max="1017" width="0" style="52" hidden="1" customWidth="1"/>
    <col min="1018" max="1018" width="9" style="52"/>
    <col min="1019" max="1019" width="11.5" style="52" bestFit="1" customWidth="1"/>
    <col min="1020" max="1020" width="34.5" style="52" bestFit="1" customWidth="1"/>
    <col min="1021" max="1021" width="51" style="52" bestFit="1" customWidth="1"/>
    <col min="1022" max="1022" width="9.625" style="52" bestFit="1" customWidth="1"/>
    <col min="1023" max="1023" width="13" style="52" customWidth="1"/>
    <col min="1024" max="1024" width="16.625" style="52" customWidth="1"/>
    <col min="1025" max="1026" width="11.5" style="52" customWidth="1"/>
    <col min="1027" max="1027" width="11.625" style="52" customWidth="1"/>
    <col min="1028" max="1028" width="9.375" style="52" customWidth="1"/>
    <col min="1029" max="1029" width="9.5" style="52" customWidth="1"/>
    <col min="1030" max="1030" width="8.625" style="52" customWidth="1"/>
    <col min="1031" max="1031" width="12.375" style="52" bestFit="1" customWidth="1"/>
    <col min="1032" max="1033" width="9" style="52"/>
    <col min="1034" max="1034" width="12.375" style="52" bestFit="1" customWidth="1"/>
    <col min="1035" max="1259" width="9" style="52"/>
    <col min="1260" max="1260" width="10.5" style="52" bestFit="1" customWidth="1"/>
    <col min="1261" max="1273" width="0" style="52" hidden="1" customWidth="1"/>
    <col min="1274" max="1274" width="9" style="52"/>
    <col min="1275" max="1275" width="11.5" style="52" bestFit="1" customWidth="1"/>
    <col min="1276" max="1276" width="34.5" style="52" bestFit="1" customWidth="1"/>
    <col min="1277" max="1277" width="51" style="52" bestFit="1" customWidth="1"/>
    <col min="1278" max="1278" width="9.625" style="52" bestFit="1" customWidth="1"/>
    <col min="1279" max="1279" width="13" style="52" customWidth="1"/>
    <col min="1280" max="1280" width="16.625" style="52" customWidth="1"/>
    <col min="1281" max="1282" width="11.5" style="52" customWidth="1"/>
    <col min="1283" max="1283" width="11.625" style="52" customWidth="1"/>
    <col min="1284" max="1284" width="9.375" style="52" customWidth="1"/>
    <col min="1285" max="1285" width="9.5" style="52" customWidth="1"/>
    <col min="1286" max="1286" width="8.625" style="52" customWidth="1"/>
    <col min="1287" max="1287" width="12.375" style="52" bestFit="1" customWidth="1"/>
    <col min="1288" max="1289" width="9" style="52"/>
    <col min="1290" max="1290" width="12.375" style="52" bestFit="1" customWidth="1"/>
    <col min="1291" max="1515" width="9" style="52"/>
    <col min="1516" max="1516" width="10.5" style="52" bestFit="1" customWidth="1"/>
    <col min="1517" max="1529" width="0" style="52" hidden="1" customWidth="1"/>
    <col min="1530" max="1530" width="9" style="52"/>
    <col min="1531" max="1531" width="11.5" style="52" bestFit="1" customWidth="1"/>
    <col min="1532" max="1532" width="34.5" style="52" bestFit="1" customWidth="1"/>
    <col min="1533" max="1533" width="51" style="52" bestFit="1" customWidth="1"/>
    <col min="1534" max="1534" width="9.625" style="52" bestFit="1" customWidth="1"/>
    <col min="1535" max="1535" width="13" style="52" customWidth="1"/>
    <col min="1536" max="1536" width="16.625" style="52" customWidth="1"/>
    <col min="1537" max="1538" width="11.5" style="52" customWidth="1"/>
    <col min="1539" max="1539" width="11.625" style="52" customWidth="1"/>
    <col min="1540" max="1540" width="9.375" style="52" customWidth="1"/>
    <col min="1541" max="1541" width="9.5" style="52" customWidth="1"/>
    <col min="1542" max="1542" width="8.625" style="52" customWidth="1"/>
    <col min="1543" max="1543" width="12.375" style="52" bestFit="1" customWidth="1"/>
    <col min="1544" max="1545" width="9" style="52"/>
    <col min="1546" max="1546" width="12.375" style="52" bestFit="1" customWidth="1"/>
    <col min="1547" max="1771" width="9" style="52"/>
    <col min="1772" max="1772" width="10.5" style="52" bestFit="1" customWidth="1"/>
    <col min="1773" max="1785" width="0" style="52" hidden="1" customWidth="1"/>
    <col min="1786" max="1786" width="9" style="52"/>
    <col min="1787" max="1787" width="11.5" style="52" bestFit="1" customWidth="1"/>
    <col min="1788" max="1788" width="34.5" style="52" bestFit="1" customWidth="1"/>
    <col min="1789" max="1789" width="51" style="52" bestFit="1" customWidth="1"/>
    <col min="1790" max="1790" width="9.625" style="52" bestFit="1" customWidth="1"/>
    <col min="1791" max="1791" width="13" style="52" customWidth="1"/>
    <col min="1792" max="1792" width="16.625" style="52" customWidth="1"/>
    <col min="1793" max="1794" width="11.5" style="52" customWidth="1"/>
    <col min="1795" max="1795" width="11.625" style="52" customWidth="1"/>
    <col min="1796" max="1796" width="9.375" style="52" customWidth="1"/>
    <col min="1797" max="1797" width="9.5" style="52" customWidth="1"/>
    <col min="1798" max="1798" width="8.625" style="52" customWidth="1"/>
    <col min="1799" max="1799" width="12.375" style="52" bestFit="1" customWidth="1"/>
    <col min="1800" max="1801" width="9" style="52"/>
    <col min="1802" max="1802" width="12.375" style="52" bestFit="1" customWidth="1"/>
    <col min="1803" max="2027" width="9" style="52"/>
    <col min="2028" max="2028" width="10.5" style="52" bestFit="1" customWidth="1"/>
    <col min="2029" max="2041" width="0" style="52" hidden="1" customWidth="1"/>
    <col min="2042" max="2042" width="9" style="52"/>
    <col min="2043" max="2043" width="11.5" style="52" bestFit="1" customWidth="1"/>
    <col min="2044" max="2044" width="34.5" style="52" bestFit="1" customWidth="1"/>
    <col min="2045" max="2045" width="51" style="52" bestFit="1" customWidth="1"/>
    <col min="2046" max="2046" width="9.625" style="52" bestFit="1" customWidth="1"/>
    <col min="2047" max="2047" width="13" style="52" customWidth="1"/>
    <col min="2048" max="2048" width="16.625" style="52" customWidth="1"/>
    <col min="2049" max="2050" width="11.5" style="52" customWidth="1"/>
    <col min="2051" max="2051" width="11.625" style="52" customWidth="1"/>
    <col min="2052" max="2052" width="9.375" style="52" customWidth="1"/>
    <col min="2053" max="2053" width="9.5" style="52" customWidth="1"/>
    <col min="2054" max="2054" width="8.625" style="52" customWidth="1"/>
    <col min="2055" max="2055" width="12.375" style="52" bestFit="1" customWidth="1"/>
    <col min="2056" max="2057" width="9" style="52"/>
    <col min="2058" max="2058" width="12.375" style="52" bestFit="1" customWidth="1"/>
    <col min="2059" max="2283" width="9" style="52"/>
    <col min="2284" max="2284" width="10.5" style="52" bestFit="1" customWidth="1"/>
    <col min="2285" max="2297" width="0" style="52" hidden="1" customWidth="1"/>
    <col min="2298" max="2298" width="9" style="52"/>
    <col min="2299" max="2299" width="11.5" style="52" bestFit="1" customWidth="1"/>
    <col min="2300" max="2300" width="34.5" style="52" bestFit="1" customWidth="1"/>
    <col min="2301" max="2301" width="51" style="52" bestFit="1" customWidth="1"/>
    <col min="2302" max="2302" width="9.625" style="52" bestFit="1" customWidth="1"/>
    <col min="2303" max="2303" width="13" style="52" customWidth="1"/>
    <col min="2304" max="2304" width="16.625" style="52" customWidth="1"/>
    <col min="2305" max="2306" width="11.5" style="52" customWidth="1"/>
    <col min="2307" max="2307" width="11.625" style="52" customWidth="1"/>
    <col min="2308" max="2308" width="9.375" style="52" customWidth="1"/>
    <col min="2309" max="2309" width="9.5" style="52" customWidth="1"/>
    <col min="2310" max="2310" width="8.625" style="52" customWidth="1"/>
    <col min="2311" max="2311" width="12.375" style="52" bestFit="1" customWidth="1"/>
    <col min="2312" max="2313" width="9" style="52"/>
    <col min="2314" max="2314" width="12.375" style="52" bestFit="1" customWidth="1"/>
    <col min="2315" max="2539" width="9" style="52"/>
    <col min="2540" max="2540" width="10.5" style="52" bestFit="1" customWidth="1"/>
    <col min="2541" max="2553" width="0" style="52" hidden="1" customWidth="1"/>
    <col min="2554" max="2554" width="9" style="52"/>
    <col min="2555" max="2555" width="11.5" style="52" bestFit="1" customWidth="1"/>
    <col min="2556" max="2556" width="34.5" style="52" bestFit="1" customWidth="1"/>
    <col min="2557" max="2557" width="51" style="52" bestFit="1" customWidth="1"/>
    <col min="2558" max="2558" width="9.625" style="52" bestFit="1" customWidth="1"/>
    <col min="2559" max="2559" width="13" style="52" customWidth="1"/>
    <col min="2560" max="2560" width="16.625" style="52" customWidth="1"/>
    <col min="2561" max="2562" width="11.5" style="52" customWidth="1"/>
    <col min="2563" max="2563" width="11.625" style="52" customWidth="1"/>
    <col min="2564" max="2564" width="9.375" style="52" customWidth="1"/>
    <col min="2565" max="2565" width="9.5" style="52" customWidth="1"/>
    <col min="2566" max="2566" width="8.625" style="52" customWidth="1"/>
    <col min="2567" max="2567" width="12.375" style="52" bestFit="1" customWidth="1"/>
    <col min="2568" max="2569" width="9" style="52"/>
    <col min="2570" max="2570" width="12.375" style="52" bestFit="1" customWidth="1"/>
    <col min="2571" max="2795" width="9" style="52"/>
    <col min="2796" max="2796" width="10.5" style="52" bestFit="1" customWidth="1"/>
    <col min="2797" max="2809" width="0" style="52" hidden="1" customWidth="1"/>
    <col min="2810" max="2810" width="9" style="52"/>
    <col min="2811" max="2811" width="11.5" style="52" bestFit="1" customWidth="1"/>
    <col min="2812" max="2812" width="34.5" style="52" bestFit="1" customWidth="1"/>
    <col min="2813" max="2813" width="51" style="52" bestFit="1" customWidth="1"/>
    <col min="2814" max="2814" width="9.625" style="52" bestFit="1" customWidth="1"/>
    <col min="2815" max="2815" width="13" style="52" customWidth="1"/>
    <col min="2816" max="2816" width="16.625" style="52" customWidth="1"/>
    <col min="2817" max="2818" width="11.5" style="52" customWidth="1"/>
    <col min="2819" max="2819" width="11.625" style="52" customWidth="1"/>
    <col min="2820" max="2820" width="9.375" style="52" customWidth="1"/>
    <col min="2821" max="2821" width="9.5" style="52" customWidth="1"/>
    <col min="2822" max="2822" width="8.625" style="52" customWidth="1"/>
    <col min="2823" max="2823" width="12.375" style="52" bestFit="1" customWidth="1"/>
    <col min="2824" max="2825" width="9" style="52"/>
    <col min="2826" max="2826" width="12.375" style="52" bestFit="1" customWidth="1"/>
    <col min="2827" max="3051" width="9" style="52"/>
    <col min="3052" max="3052" width="10.5" style="52" bestFit="1" customWidth="1"/>
    <col min="3053" max="3065" width="0" style="52" hidden="1" customWidth="1"/>
    <col min="3066" max="3066" width="9" style="52"/>
    <col min="3067" max="3067" width="11.5" style="52" bestFit="1" customWidth="1"/>
    <col min="3068" max="3068" width="34.5" style="52" bestFit="1" customWidth="1"/>
    <col min="3069" max="3069" width="51" style="52" bestFit="1" customWidth="1"/>
    <col min="3070" max="3070" width="9.625" style="52" bestFit="1" customWidth="1"/>
    <col min="3071" max="3071" width="13" style="52" customWidth="1"/>
    <col min="3072" max="3072" width="16.625" style="52" customWidth="1"/>
    <col min="3073" max="3074" width="11.5" style="52" customWidth="1"/>
    <col min="3075" max="3075" width="11.625" style="52" customWidth="1"/>
    <col min="3076" max="3076" width="9.375" style="52" customWidth="1"/>
    <col min="3077" max="3077" width="9.5" style="52" customWidth="1"/>
    <col min="3078" max="3078" width="8.625" style="52" customWidth="1"/>
    <col min="3079" max="3079" width="12.375" style="52" bestFit="1" customWidth="1"/>
    <col min="3080" max="3081" width="9" style="52"/>
    <col min="3082" max="3082" width="12.375" style="52" bestFit="1" customWidth="1"/>
    <col min="3083" max="3307" width="9" style="52"/>
    <col min="3308" max="3308" width="10.5" style="52" bestFit="1" customWidth="1"/>
    <col min="3309" max="3321" width="0" style="52" hidden="1" customWidth="1"/>
    <col min="3322" max="3322" width="9" style="52"/>
    <col min="3323" max="3323" width="11.5" style="52" bestFit="1" customWidth="1"/>
    <col min="3324" max="3324" width="34.5" style="52" bestFit="1" customWidth="1"/>
    <col min="3325" max="3325" width="51" style="52" bestFit="1" customWidth="1"/>
    <col min="3326" max="3326" width="9.625" style="52" bestFit="1" customWidth="1"/>
    <col min="3327" max="3327" width="13" style="52" customWidth="1"/>
    <col min="3328" max="3328" width="16.625" style="52" customWidth="1"/>
    <col min="3329" max="3330" width="11.5" style="52" customWidth="1"/>
    <col min="3331" max="3331" width="11.625" style="52" customWidth="1"/>
    <col min="3332" max="3332" width="9.375" style="52" customWidth="1"/>
    <col min="3333" max="3333" width="9.5" style="52" customWidth="1"/>
    <col min="3334" max="3334" width="8.625" style="52" customWidth="1"/>
    <col min="3335" max="3335" width="12.375" style="52" bestFit="1" customWidth="1"/>
    <col min="3336" max="3337" width="9" style="52"/>
    <col min="3338" max="3338" width="12.375" style="52" bestFit="1" customWidth="1"/>
    <col min="3339" max="3563" width="9" style="52"/>
    <col min="3564" max="3564" width="10.5" style="52" bestFit="1" customWidth="1"/>
    <col min="3565" max="3577" width="0" style="52" hidden="1" customWidth="1"/>
    <col min="3578" max="3578" width="9" style="52"/>
    <col min="3579" max="3579" width="11.5" style="52" bestFit="1" customWidth="1"/>
    <col min="3580" max="3580" width="34.5" style="52" bestFit="1" customWidth="1"/>
    <col min="3581" max="3581" width="51" style="52" bestFit="1" customWidth="1"/>
    <col min="3582" max="3582" width="9.625" style="52" bestFit="1" customWidth="1"/>
    <col min="3583" max="3583" width="13" style="52" customWidth="1"/>
    <col min="3584" max="3584" width="16.625" style="52" customWidth="1"/>
    <col min="3585" max="3586" width="11.5" style="52" customWidth="1"/>
    <col min="3587" max="3587" width="11.625" style="52" customWidth="1"/>
    <col min="3588" max="3588" width="9.375" style="52" customWidth="1"/>
    <col min="3589" max="3589" width="9.5" style="52" customWidth="1"/>
    <col min="3590" max="3590" width="8.625" style="52" customWidth="1"/>
    <col min="3591" max="3591" width="12.375" style="52" bestFit="1" customWidth="1"/>
    <col min="3592" max="3593" width="9" style="52"/>
    <col min="3594" max="3594" width="12.375" style="52" bestFit="1" customWidth="1"/>
    <col min="3595" max="3819" width="9" style="52"/>
    <col min="3820" max="3820" width="10.5" style="52" bestFit="1" customWidth="1"/>
    <col min="3821" max="3833" width="0" style="52" hidden="1" customWidth="1"/>
    <col min="3834" max="3834" width="9" style="52"/>
    <col min="3835" max="3835" width="11.5" style="52" bestFit="1" customWidth="1"/>
    <col min="3836" max="3836" width="34.5" style="52" bestFit="1" customWidth="1"/>
    <col min="3837" max="3837" width="51" style="52" bestFit="1" customWidth="1"/>
    <col min="3838" max="3838" width="9.625" style="52" bestFit="1" customWidth="1"/>
    <col min="3839" max="3839" width="13" style="52" customWidth="1"/>
    <col min="3840" max="3840" width="16.625" style="52" customWidth="1"/>
    <col min="3841" max="3842" width="11.5" style="52" customWidth="1"/>
    <col min="3843" max="3843" width="11.625" style="52" customWidth="1"/>
    <col min="3844" max="3844" width="9.375" style="52" customWidth="1"/>
    <col min="3845" max="3845" width="9.5" style="52" customWidth="1"/>
    <col min="3846" max="3846" width="8.625" style="52" customWidth="1"/>
    <col min="3847" max="3847" width="12.375" style="52" bestFit="1" customWidth="1"/>
    <col min="3848" max="3849" width="9" style="52"/>
    <col min="3850" max="3850" width="12.375" style="52" bestFit="1" customWidth="1"/>
    <col min="3851" max="4075" width="9" style="52"/>
    <col min="4076" max="4076" width="10.5" style="52" bestFit="1" customWidth="1"/>
    <col min="4077" max="4089" width="0" style="52" hidden="1" customWidth="1"/>
    <col min="4090" max="4090" width="9" style="52"/>
    <col min="4091" max="4091" width="11.5" style="52" bestFit="1" customWidth="1"/>
    <col min="4092" max="4092" width="34.5" style="52" bestFit="1" customWidth="1"/>
    <col min="4093" max="4093" width="51" style="52" bestFit="1" customWidth="1"/>
    <col min="4094" max="4094" width="9.625" style="52" bestFit="1" customWidth="1"/>
    <col min="4095" max="4095" width="13" style="52" customWidth="1"/>
    <col min="4096" max="4096" width="16.625" style="52" customWidth="1"/>
    <col min="4097" max="4098" width="11.5" style="52" customWidth="1"/>
    <col min="4099" max="4099" width="11.625" style="52" customWidth="1"/>
    <col min="4100" max="4100" width="9.375" style="52" customWidth="1"/>
    <col min="4101" max="4101" width="9.5" style="52" customWidth="1"/>
    <col min="4102" max="4102" width="8.625" style="52" customWidth="1"/>
    <col min="4103" max="4103" width="12.375" style="52" bestFit="1" customWidth="1"/>
    <col min="4104" max="4105" width="9" style="52"/>
    <col min="4106" max="4106" width="12.375" style="52" bestFit="1" customWidth="1"/>
    <col min="4107" max="4331" width="9" style="52"/>
    <col min="4332" max="4332" width="10.5" style="52" bestFit="1" customWidth="1"/>
    <col min="4333" max="4345" width="0" style="52" hidden="1" customWidth="1"/>
    <col min="4346" max="4346" width="9" style="52"/>
    <col min="4347" max="4347" width="11.5" style="52" bestFit="1" customWidth="1"/>
    <col min="4348" max="4348" width="34.5" style="52" bestFit="1" customWidth="1"/>
    <col min="4349" max="4349" width="51" style="52" bestFit="1" customWidth="1"/>
    <col min="4350" max="4350" width="9.625" style="52" bestFit="1" customWidth="1"/>
    <col min="4351" max="4351" width="13" style="52" customWidth="1"/>
    <col min="4352" max="4352" width="16.625" style="52" customWidth="1"/>
    <col min="4353" max="4354" width="11.5" style="52" customWidth="1"/>
    <col min="4355" max="4355" width="11.625" style="52" customWidth="1"/>
    <col min="4356" max="4356" width="9.375" style="52" customWidth="1"/>
    <col min="4357" max="4357" width="9.5" style="52" customWidth="1"/>
    <col min="4358" max="4358" width="8.625" style="52" customWidth="1"/>
    <col min="4359" max="4359" width="12.375" style="52" bestFit="1" customWidth="1"/>
    <col min="4360" max="4361" width="9" style="52"/>
    <col min="4362" max="4362" width="12.375" style="52" bestFit="1" customWidth="1"/>
    <col min="4363" max="4587" width="9" style="52"/>
    <col min="4588" max="4588" width="10.5" style="52" bestFit="1" customWidth="1"/>
    <col min="4589" max="4601" width="0" style="52" hidden="1" customWidth="1"/>
    <col min="4602" max="4602" width="9" style="52"/>
    <col min="4603" max="4603" width="11.5" style="52" bestFit="1" customWidth="1"/>
    <col min="4604" max="4604" width="34.5" style="52" bestFit="1" customWidth="1"/>
    <col min="4605" max="4605" width="51" style="52" bestFit="1" customWidth="1"/>
    <col min="4606" max="4606" width="9.625" style="52" bestFit="1" customWidth="1"/>
    <col min="4607" max="4607" width="13" style="52" customWidth="1"/>
    <col min="4608" max="4608" width="16.625" style="52" customWidth="1"/>
    <col min="4609" max="4610" width="11.5" style="52" customWidth="1"/>
    <col min="4611" max="4611" width="11.625" style="52" customWidth="1"/>
    <col min="4612" max="4612" width="9.375" style="52" customWidth="1"/>
    <col min="4613" max="4613" width="9.5" style="52" customWidth="1"/>
    <col min="4614" max="4614" width="8.625" style="52" customWidth="1"/>
    <col min="4615" max="4615" width="12.375" style="52" bestFit="1" customWidth="1"/>
    <col min="4616" max="4617" width="9" style="52"/>
    <col min="4618" max="4618" width="12.375" style="52" bestFit="1" customWidth="1"/>
    <col min="4619" max="4843" width="9" style="52"/>
    <col min="4844" max="4844" width="10.5" style="52" bestFit="1" customWidth="1"/>
    <col min="4845" max="4857" width="0" style="52" hidden="1" customWidth="1"/>
    <col min="4858" max="4858" width="9" style="52"/>
    <col min="4859" max="4859" width="11.5" style="52" bestFit="1" customWidth="1"/>
    <col min="4860" max="4860" width="34.5" style="52" bestFit="1" customWidth="1"/>
    <col min="4861" max="4861" width="51" style="52" bestFit="1" customWidth="1"/>
    <col min="4862" max="4862" width="9.625" style="52" bestFit="1" customWidth="1"/>
    <col min="4863" max="4863" width="13" style="52" customWidth="1"/>
    <col min="4864" max="4864" width="16.625" style="52" customWidth="1"/>
    <col min="4865" max="4866" width="11.5" style="52" customWidth="1"/>
    <col min="4867" max="4867" width="11.625" style="52" customWidth="1"/>
    <col min="4868" max="4868" width="9.375" style="52" customWidth="1"/>
    <col min="4869" max="4869" width="9.5" style="52" customWidth="1"/>
    <col min="4870" max="4870" width="8.625" style="52" customWidth="1"/>
    <col min="4871" max="4871" width="12.375" style="52" bestFit="1" customWidth="1"/>
    <col min="4872" max="4873" width="9" style="52"/>
    <col min="4874" max="4874" width="12.375" style="52" bestFit="1" customWidth="1"/>
    <col min="4875" max="5099" width="9" style="52"/>
    <col min="5100" max="5100" width="10.5" style="52" bestFit="1" customWidth="1"/>
    <col min="5101" max="5113" width="0" style="52" hidden="1" customWidth="1"/>
    <col min="5114" max="5114" width="9" style="52"/>
    <col min="5115" max="5115" width="11.5" style="52" bestFit="1" customWidth="1"/>
    <col min="5116" max="5116" width="34.5" style="52" bestFit="1" customWidth="1"/>
    <col min="5117" max="5117" width="51" style="52" bestFit="1" customWidth="1"/>
    <col min="5118" max="5118" width="9.625" style="52" bestFit="1" customWidth="1"/>
    <col min="5119" max="5119" width="13" style="52" customWidth="1"/>
    <col min="5120" max="5120" width="16.625" style="52" customWidth="1"/>
    <col min="5121" max="5122" width="11.5" style="52" customWidth="1"/>
    <col min="5123" max="5123" width="11.625" style="52" customWidth="1"/>
    <col min="5124" max="5124" width="9.375" style="52" customWidth="1"/>
    <col min="5125" max="5125" width="9.5" style="52" customWidth="1"/>
    <col min="5126" max="5126" width="8.625" style="52" customWidth="1"/>
    <col min="5127" max="5127" width="12.375" style="52" bestFit="1" customWidth="1"/>
    <col min="5128" max="5129" width="9" style="52"/>
    <col min="5130" max="5130" width="12.375" style="52" bestFit="1" customWidth="1"/>
    <col min="5131" max="5355" width="9" style="52"/>
    <col min="5356" max="5356" width="10.5" style="52" bestFit="1" customWidth="1"/>
    <col min="5357" max="5369" width="0" style="52" hidden="1" customWidth="1"/>
    <col min="5370" max="5370" width="9" style="52"/>
    <col min="5371" max="5371" width="11.5" style="52" bestFit="1" customWidth="1"/>
    <col min="5372" max="5372" width="34.5" style="52" bestFit="1" customWidth="1"/>
    <col min="5373" max="5373" width="51" style="52" bestFit="1" customWidth="1"/>
    <col min="5374" max="5374" width="9.625" style="52" bestFit="1" customWidth="1"/>
    <col min="5375" max="5375" width="13" style="52" customWidth="1"/>
    <col min="5376" max="5376" width="16.625" style="52" customWidth="1"/>
    <col min="5377" max="5378" width="11.5" style="52" customWidth="1"/>
    <col min="5379" max="5379" width="11.625" style="52" customWidth="1"/>
    <col min="5380" max="5380" width="9.375" style="52" customWidth="1"/>
    <col min="5381" max="5381" width="9.5" style="52" customWidth="1"/>
    <col min="5382" max="5382" width="8.625" style="52" customWidth="1"/>
    <col min="5383" max="5383" width="12.375" style="52" bestFit="1" customWidth="1"/>
    <col min="5384" max="5385" width="9" style="52"/>
    <col min="5386" max="5386" width="12.375" style="52" bestFit="1" customWidth="1"/>
    <col min="5387" max="5611" width="9" style="52"/>
    <col min="5612" max="5612" width="10.5" style="52" bestFit="1" customWidth="1"/>
    <col min="5613" max="5625" width="0" style="52" hidden="1" customWidth="1"/>
    <col min="5626" max="5626" width="9" style="52"/>
    <col min="5627" max="5627" width="11.5" style="52" bestFit="1" customWidth="1"/>
    <col min="5628" max="5628" width="34.5" style="52" bestFit="1" customWidth="1"/>
    <col min="5629" max="5629" width="51" style="52" bestFit="1" customWidth="1"/>
    <col min="5630" max="5630" width="9.625" style="52" bestFit="1" customWidth="1"/>
    <col min="5631" max="5631" width="13" style="52" customWidth="1"/>
    <col min="5632" max="5632" width="16.625" style="52" customWidth="1"/>
    <col min="5633" max="5634" width="11.5" style="52" customWidth="1"/>
    <col min="5635" max="5635" width="11.625" style="52" customWidth="1"/>
    <col min="5636" max="5636" width="9.375" style="52" customWidth="1"/>
    <col min="5637" max="5637" width="9.5" style="52" customWidth="1"/>
    <col min="5638" max="5638" width="8.625" style="52" customWidth="1"/>
    <col min="5639" max="5639" width="12.375" style="52" bestFit="1" customWidth="1"/>
    <col min="5640" max="5641" width="9" style="52"/>
    <col min="5642" max="5642" width="12.375" style="52" bestFit="1" customWidth="1"/>
    <col min="5643" max="5867" width="9" style="52"/>
    <col min="5868" max="5868" width="10.5" style="52" bestFit="1" customWidth="1"/>
    <col min="5869" max="5881" width="0" style="52" hidden="1" customWidth="1"/>
    <col min="5882" max="5882" width="9" style="52"/>
    <col min="5883" max="5883" width="11.5" style="52" bestFit="1" customWidth="1"/>
    <col min="5884" max="5884" width="34.5" style="52" bestFit="1" customWidth="1"/>
    <col min="5885" max="5885" width="51" style="52" bestFit="1" customWidth="1"/>
    <col min="5886" max="5886" width="9.625" style="52" bestFit="1" customWidth="1"/>
    <col min="5887" max="5887" width="13" style="52" customWidth="1"/>
    <col min="5888" max="5888" width="16.625" style="52" customWidth="1"/>
    <col min="5889" max="5890" width="11.5" style="52" customWidth="1"/>
    <col min="5891" max="5891" width="11.625" style="52" customWidth="1"/>
    <col min="5892" max="5892" width="9.375" style="52" customWidth="1"/>
    <col min="5893" max="5893" width="9.5" style="52" customWidth="1"/>
    <col min="5894" max="5894" width="8.625" style="52" customWidth="1"/>
    <col min="5895" max="5895" width="12.375" style="52" bestFit="1" customWidth="1"/>
    <col min="5896" max="5897" width="9" style="52"/>
    <col min="5898" max="5898" width="12.375" style="52" bestFit="1" customWidth="1"/>
    <col min="5899" max="6123" width="9" style="52"/>
    <col min="6124" max="6124" width="10.5" style="52" bestFit="1" customWidth="1"/>
    <col min="6125" max="6137" width="0" style="52" hidden="1" customWidth="1"/>
    <col min="6138" max="6138" width="9" style="52"/>
    <col min="6139" max="6139" width="11.5" style="52" bestFit="1" customWidth="1"/>
    <col min="6140" max="6140" width="34.5" style="52" bestFit="1" customWidth="1"/>
    <col min="6141" max="6141" width="51" style="52" bestFit="1" customWidth="1"/>
    <col min="6142" max="6142" width="9.625" style="52" bestFit="1" customWidth="1"/>
    <col min="6143" max="6143" width="13" style="52" customWidth="1"/>
    <col min="6144" max="6144" width="16.625" style="52" customWidth="1"/>
    <col min="6145" max="6146" width="11.5" style="52" customWidth="1"/>
    <col min="6147" max="6147" width="11.625" style="52" customWidth="1"/>
    <col min="6148" max="6148" width="9.375" style="52" customWidth="1"/>
    <col min="6149" max="6149" width="9.5" style="52" customWidth="1"/>
    <col min="6150" max="6150" width="8.625" style="52" customWidth="1"/>
    <col min="6151" max="6151" width="12.375" style="52" bestFit="1" customWidth="1"/>
    <col min="6152" max="6153" width="9" style="52"/>
    <col min="6154" max="6154" width="12.375" style="52" bestFit="1" customWidth="1"/>
    <col min="6155" max="6379" width="9" style="52"/>
    <col min="6380" max="6380" width="10.5" style="52" bestFit="1" customWidth="1"/>
    <col min="6381" max="6393" width="0" style="52" hidden="1" customWidth="1"/>
    <col min="6394" max="6394" width="9" style="52"/>
    <col min="6395" max="6395" width="11.5" style="52" bestFit="1" customWidth="1"/>
    <col min="6396" max="6396" width="34.5" style="52" bestFit="1" customWidth="1"/>
    <col min="6397" max="6397" width="51" style="52" bestFit="1" customWidth="1"/>
    <col min="6398" max="6398" width="9.625" style="52" bestFit="1" customWidth="1"/>
    <col min="6399" max="6399" width="13" style="52" customWidth="1"/>
    <col min="6400" max="6400" width="16.625" style="52" customWidth="1"/>
    <col min="6401" max="6402" width="11.5" style="52" customWidth="1"/>
    <col min="6403" max="6403" width="11.625" style="52" customWidth="1"/>
    <col min="6404" max="6404" width="9.375" style="52" customWidth="1"/>
    <col min="6405" max="6405" width="9.5" style="52" customWidth="1"/>
    <col min="6406" max="6406" width="8.625" style="52" customWidth="1"/>
    <col min="6407" max="6407" width="12.375" style="52" bestFit="1" customWidth="1"/>
    <col min="6408" max="6409" width="9" style="52"/>
    <col min="6410" max="6410" width="12.375" style="52" bestFit="1" customWidth="1"/>
    <col min="6411" max="6635" width="9" style="52"/>
    <col min="6636" max="6636" width="10.5" style="52" bestFit="1" customWidth="1"/>
    <col min="6637" max="6649" width="0" style="52" hidden="1" customWidth="1"/>
    <col min="6650" max="6650" width="9" style="52"/>
    <col min="6651" max="6651" width="11.5" style="52" bestFit="1" customWidth="1"/>
    <col min="6652" max="6652" width="34.5" style="52" bestFit="1" customWidth="1"/>
    <col min="6653" max="6653" width="51" style="52" bestFit="1" customWidth="1"/>
    <col min="6654" max="6654" width="9.625" style="52" bestFit="1" customWidth="1"/>
    <col min="6655" max="6655" width="13" style="52" customWidth="1"/>
    <col min="6656" max="6656" width="16.625" style="52" customWidth="1"/>
    <col min="6657" max="6658" width="11.5" style="52" customWidth="1"/>
    <col min="6659" max="6659" width="11.625" style="52" customWidth="1"/>
    <col min="6660" max="6660" width="9.375" style="52" customWidth="1"/>
    <col min="6661" max="6661" width="9.5" style="52" customWidth="1"/>
    <col min="6662" max="6662" width="8.625" style="52" customWidth="1"/>
    <col min="6663" max="6663" width="12.375" style="52" bestFit="1" customWidth="1"/>
    <col min="6664" max="6665" width="9" style="52"/>
    <col min="6666" max="6666" width="12.375" style="52" bestFit="1" customWidth="1"/>
    <col min="6667" max="6891" width="9" style="52"/>
    <col min="6892" max="6892" width="10.5" style="52" bestFit="1" customWidth="1"/>
    <col min="6893" max="6905" width="0" style="52" hidden="1" customWidth="1"/>
    <col min="6906" max="6906" width="9" style="52"/>
    <col min="6907" max="6907" width="11.5" style="52" bestFit="1" customWidth="1"/>
    <col min="6908" max="6908" width="34.5" style="52" bestFit="1" customWidth="1"/>
    <col min="6909" max="6909" width="51" style="52" bestFit="1" customWidth="1"/>
    <col min="6910" max="6910" width="9.625" style="52" bestFit="1" customWidth="1"/>
    <col min="6911" max="6911" width="13" style="52" customWidth="1"/>
    <col min="6912" max="6912" width="16.625" style="52" customWidth="1"/>
    <col min="6913" max="6914" width="11.5" style="52" customWidth="1"/>
    <col min="6915" max="6915" width="11.625" style="52" customWidth="1"/>
    <col min="6916" max="6916" width="9.375" style="52" customWidth="1"/>
    <col min="6917" max="6917" width="9.5" style="52" customWidth="1"/>
    <col min="6918" max="6918" width="8.625" style="52" customWidth="1"/>
    <col min="6919" max="6919" width="12.375" style="52" bestFit="1" customWidth="1"/>
    <col min="6920" max="6921" width="9" style="52"/>
    <col min="6922" max="6922" width="12.375" style="52" bestFit="1" customWidth="1"/>
    <col min="6923" max="7147" width="9" style="52"/>
    <col min="7148" max="7148" width="10.5" style="52" bestFit="1" customWidth="1"/>
    <col min="7149" max="7161" width="0" style="52" hidden="1" customWidth="1"/>
    <col min="7162" max="7162" width="9" style="52"/>
    <col min="7163" max="7163" width="11.5" style="52" bestFit="1" customWidth="1"/>
    <col min="7164" max="7164" width="34.5" style="52" bestFit="1" customWidth="1"/>
    <col min="7165" max="7165" width="51" style="52" bestFit="1" customWidth="1"/>
    <col min="7166" max="7166" width="9.625" style="52" bestFit="1" customWidth="1"/>
    <col min="7167" max="7167" width="13" style="52" customWidth="1"/>
    <col min="7168" max="7168" width="16.625" style="52" customWidth="1"/>
    <col min="7169" max="7170" width="11.5" style="52" customWidth="1"/>
    <col min="7171" max="7171" width="11.625" style="52" customWidth="1"/>
    <col min="7172" max="7172" width="9.375" style="52" customWidth="1"/>
    <col min="7173" max="7173" width="9.5" style="52" customWidth="1"/>
    <col min="7174" max="7174" width="8.625" style="52" customWidth="1"/>
    <col min="7175" max="7175" width="12.375" style="52" bestFit="1" customWidth="1"/>
    <col min="7176" max="7177" width="9" style="52"/>
    <col min="7178" max="7178" width="12.375" style="52" bestFit="1" customWidth="1"/>
    <col min="7179" max="7403" width="9" style="52"/>
    <col min="7404" max="7404" width="10.5" style="52" bestFit="1" customWidth="1"/>
    <col min="7405" max="7417" width="0" style="52" hidden="1" customWidth="1"/>
    <col min="7418" max="7418" width="9" style="52"/>
    <col min="7419" max="7419" width="11.5" style="52" bestFit="1" customWidth="1"/>
    <col min="7420" max="7420" width="34.5" style="52" bestFit="1" customWidth="1"/>
    <col min="7421" max="7421" width="51" style="52" bestFit="1" customWidth="1"/>
    <col min="7422" max="7422" width="9.625" style="52" bestFit="1" customWidth="1"/>
    <col min="7423" max="7423" width="13" style="52" customWidth="1"/>
    <col min="7424" max="7424" width="16.625" style="52" customWidth="1"/>
    <col min="7425" max="7426" width="11.5" style="52" customWidth="1"/>
    <col min="7427" max="7427" width="11.625" style="52" customWidth="1"/>
    <col min="7428" max="7428" width="9.375" style="52" customWidth="1"/>
    <col min="7429" max="7429" width="9.5" style="52" customWidth="1"/>
    <col min="7430" max="7430" width="8.625" style="52" customWidth="1"/>
    <col min="7431" max="7431" width="12.375" style="52" bestFit="1" customWidth="1"/>
    <col min="7432" max="7433" width="9" style="52"/>
    <col min="7434" max="7434" width="12.375" style="52" bestFit="1" customWidth="1"/>
    <col min="7435" max="7659" width="9" style="52"/>
    <col min="7660" max="7660" width="10.5" style="52" bestFit="1" customWidth="1"/>
    <col min="7661" max="7673" width="0" style="52" hidden="1" customWidth="1"/>
    <col min="7674" max="7674" width="9" style="52"/>
    <col min="7675" max="7675" width="11.5" style="52" bestFit="1" customWidth="1"/>
    <col min="7676" max="7676" width="34.5" style="52" bestFit="1" customWidth="1"/>
    <col min="7677" max="7677" width="51" style="52" bestFit="1" customWidth="1"/>
    <col min="7678" max="7678" width="9.625" style="52" bestFit="1" customWidth="1"/>
    <col min="7679" max="7679" width="13" style="52" customWidth="1"/>
    <col min="7680" max="7680" width="16.625" style="52" customWidth="1"/>
    <col min="7681" max="7682" width="11.5" style="52" customWidth="1"/>
    <col min="7683" max="7683" width="11.625" style="52" customWidth="1"/>
    <col min="7684" max="7684" width="9.375" style="52" customWidth="1"/>
    <col min="7685" max="7685" width="9.5" style="52" customWidth="1"/>
    <col min="7686" max="7686" width="8.625" style="52" customWidth="1"/>
    <col min="7687" max="7687" width="12.375" style="52" bestFit="1" customWidth="1"/>
    <col min="7688" max="7689" width="9" style="52"/>
    <col min="7690" max="7690" width="12.375" style="52" bestFit="1" customWidth="1"/>
    <col min="7691" max="7915" width="9" style="52"/>
    <col min="7916" max="7916" width="10.5" style="52" bestFit="1" customWidth="1"/>
    <col min="7917" max="7929" width="0" style="52" hidden="1" customWidth="1"/>
    <col min="7930" max="7930" width="9" style="52"/>
    <col min="7931" max="7931" width="11.5" style="52" bestFit="1" customWidth="1"/>
    <col min="7932" max="7932" width="34.5" style="52" bestFit="1" customWidth="1"/>
    <col min="7933" max="7933" width="51" style="52" bestFit="1" customWidth="1"/>
    <col min="7934" max="7934" width="9.625" style="52" bestFit="1" customWidth="1"/>
    <col min="7935" max="7935" width="13" style="52" customWidth="1"/>
    <col min="7936" max="7936" width="16.625" style="52" customWidth="1"/>
    <col min="7937" max="7938" width="11.5" style="52" customWidth="1"/>
    <col min="7939" max="7939" width="11.625" style="52" customWidth="1"/>
    <col min="7940" max="7940" width="9.375" style="52" customWidth="1"/>
    <col min="7941" max="7941" width="9.5" style="52" customWidth="1"/>
    <col min="7942" max="7942" width="8.625" style="52" customWidth="1"/>
    <col min="7943" max="7943" width="12.375" style="52" bestFit="1" customWidth="1"/>
    <col min="7944" max="7945" width="9" style="52"/>
    <col min="7946" max="7946" width="12.375" style="52" bestFit="1" customWidth="1"/>
    <col min="7947" max="8171" width="9" style="52"/>
    <col min="8172" max="8172" width="10.5" style="52" bestFit="1" customWidth="1"/>
    <col min="8173" max="8185" width="0" style="52" hidden="1" customWidth="1"/>
    <col min="8186" max="8186" width="9" style="52"/>
    <col min="8187" max="8187" width="11.5" style="52" bestFit="1" customWidth="1"/>
    <col min="8188" max="8188" width="34.5" style="52" bestFit="1" customWidth="1"/>
    <col min="8189" max="8189" width="51" style="52" bestFit="1" customWidth="1"/>
    <col min="8190" max="8190" width="9.625" style="52" bestFit="1" customWidth="1"/>
    <col min="8191" max="8191" width="13" style="52" customWidth="1"/>
    <col min="8192" max="8192" width="16.625" style="52" customWidth="1"/>
    <col min="8193" max="8194" width="11.5" style="52" customWidth="1"/>
    <col min="8195" max="8195" width="11.625" style="52" customWidth="1"/>
    <col min="8196" max="8196" width="9.375" style="52" customWidth="1"/>
    <col min="8197" max="8197" width="9.5" style="52" customWidth="1"/>
    <col min="8198" max="8198" width="8.625" style="52" customWidth="1"/>
    <col min="8199" max="8199" width="12.375" style="52" bestFit="1" customWidth="1"/>
    <col min="8200" max="8201" width="9" style="52"/>
    <col min="8202" max="8202" width="12.375" style="52" bestFit="1" customWidth="1"/>
    <col min="8203" max="8427" width="9" style="52"/>
    <col min="8428" max="8428" width="10.5" style="52" bestFit="1" customWidth="1"/>
    <col min="8429" max="8441" width="0" style="52" hidden="1" customWidth="1"/>
    <col min="8442" max="8442" width="9" style="52"/>
    <col min="8443" max="8443" width="11.5" style="52" bestFit="1" customWidth="1"/>
    <col min="8444" max="8444" width="34.5" style="52" bestFit="1" customWidth="1"/>
    <col min="8445" max="8445" width="51" style="52" bestFit="1" customWidth="1"/>
    <col min="8446" max="8446" width="9.625" style="52" bestFit="1" customWidth="1"/>
    <col min="8447" max="8447" width="13" style="52" customWidth="1"/>
    <col min="8448" max="8448" width="16.625" style="52" customWidth="1"/>
    <col min="8449" max="8450" width="11.5" style="52" customWidth="1"/>
    <col min="8451" max="8451" width="11.625" style="52" customWidth="1"/>
    <col min="8452" max="8452" width="9.375" style="52" customWidth="1"/>
    <col min="8453" max="8453" width="9.5" style="52" customWidth="1"/>
    <col min="8454" max="8454" width="8.625" style="52" customWidth="1"/>
    <col min="8455" max="8455" width="12.375" style="52" bestFit="1" customWidth="1"/>
    <col min="8456" max="8457" width="9" style="52"/>
    <col min="8458" max="8458" width="12.375" style="52" bestFit="1" customWidth="1"/>
    <col min="8459" max="8683" width="9" style="52"/>
    <col min="8684" max="8684" width="10.5" style="52" bestFit="1" customWidth="1"/>
    <col min="8685" max="8697" width="0" style="52" hidden="1" customWidth="1"/>
    <col min="8698" max="8698" width="9" style="52"/>
    <col min="8699" max="8699" width="11.5" style="52" bestFit="1" customWidth="1"/>
    <col min="8700" max="8700" width="34.5" style="52" bestFit="1" customWidth="1"/>
    <col min="8701" max="8701" width="51" style="52" bestFit="1" customWidth="1"/>
    <col min="8702" max="8702" width="9.625" style="52" bestFit="1" customWidth="1"/>
    <col min="8703" max="8703" width="13" style="52" customWidth="1"/>
    <col min="8704" max="8704" width="16.625" style="52" customWidth="1"/>
    <col min="8705" max="8706" width="11.5" style="52" customWidth="1"/>
    <col min="8707" max="8707" width="11.625" style="52" customWidth="1"/>
    <col min="8708" max="8708" width="9.375" style="52" customWidth="1"/>
    <col min="8709" max="8709" width="9.5" style="52" customWidth="1"/>
    <col min="8710" max="8710" width="8.625" style="52" customWidth="1"/>
    <col min="8711" max="8711" width="12.375" style="52" bestFit="1" customWidth="1"/>
    <col min="8712" max="8713" width="9" style="52"/>
    <col min="8714" max="8714" width="12.375" style="52" bestFit="1" customWidth="1"/>
    <col min="8715" max="8939" width="9" style="52"/>
    <col min="8940" max="8940" width="10.5" style="52" bestFit="1" customWidth="1"/>
    <col min="8941" max="8953" width="0" style="52" hidden="1" customWidth="1"/>
    <col min="8954" max="8954" width="9" style="52"/>
    <col min="8955" max="8955" width="11.5" style="52" bestFit="1" customWidth="1"/>
    <col min="8956" max="8956" width="34.5" style="52" bestFit="1" customWidth="1"/>
    <col min="8957" max="8957" width="51" style="52" bestFit="1" customWidth="1"/>
    <col min="8958" max="8958" width="9.625" style="52" bestFit="1" customWidth="1"/>
    <col min="8959" max="8959" width="13" style="52" customWidth="1"/>
    <col min="8960" max="8960" width="16.625" style="52" customWidth="1"/>
    <col min="8961" max="8962" width="11.5" style="52" customWidth="1"/>
    <col min="8963" max="8963" width="11.625" style="52" customWidth="1"/>
    <col min="8964" max="8964" width="9.375" style="52" customWidth="1"/>
    <col min="8965" max="8965" width="9.5" style="52" customWidth="1"/>
    <col min="8966" max="8966" width="8.625" style="52" customWidth="1"/>
    <col min="8967" max="8967" width="12.375" style="52" bestFit="1" customWidth="1"/>
    <col min="8968" max="8969" width="9" style="52"/>
    <col min="8970" max="8970" width="12.375" style="52" bestFit="1" customWidth="1"/>
    <col min="8971" max="9195" width="9" style="52"/>
    <col min="9196" max="9196" width="10.5" style="52" bestFit="1" customWidth="1"/>
    <col min="9197" max="9209" width="0" style="52" hidden="1" customWidth="1"/>
    <col min="9210" max="9210" width="9" style="52"/>
    <col min="9211" max="9211" width="11.5" style="52" bestFit="1" customWidth="1"/>
    <col min="9212" max="9212" width="34.5" style="52" bestFit="1" customWidth="1"/>
    <col min="9213" max="9213" width="51" style="52" bestFit="1" customWidth="1"/>
    <col min="9214" max="9214" width="9.625" style="52" bestFit="1" customWidth="1"/>
    <col min="9215" max="9215" width="13" style="52" customWidth="1"/>
    <col min="9216" max="9216" width="16.625" style="52" customWidth="1"/>
    <col min="9217" max="9218" width="11.5" style="52" customWidth="1"/>
    <col min="9219" max="9219" width="11.625" style="52" customWidth="1"/>
    <col min="9220" max="9220" width="9.375" style="52" customWidth="1"/>
    <col min="9221" max="9221" width="9.5" style="52" customWidth="1"/>
    <col min="9222" max="9222" width="8.625" style="52" customWidth="1"/>
    <col min="9223" max="9223" width="12.375" style="52" bestFit="1" customWidth="1"/>
    <col min="9224" max="9225" width="9" style="52"/>
    <col min="9226" max="9226" width="12.375" style="52" bestFit="1" customWidth="1"/>
    <col min="9227" max="9451" width="9" style="52"/>
    <col min="9452" max="9452" width="10.5" style="52" bestFit="1" customWidth="1"/>
    <col min="9453" max="9465" width="0" style="52" hidden="1" customWidth="1"/>
    <col min="9466" max="9466" width="9" style="52"/>
    <col min="9467" max="9467" width="11.5" style="52" bestFit="1" customWidth="1"/>
    <col min="9468" max="9468" width="34.5" style="52" bestFit="1" customWidth="1"/>
    <col min="9469" max="9469" width="51" style="52" bestFit="1" customWidth="1"/>
    <col min="9470" max="9470" width="9.625" style="52" bestFit="1" customWidth="1"/>
    <col min="9471" max="9471" width="13" style="52" customWidth="1"/>
    <col min="9472" max="9472" width="16.625" style="52" customWidth="1"/>
    <col min="9473" max="9474" width="11.5" style="52" customWidth="1"/>
    <col min="9475" max="9475" width="11.625" style="52" customWidth="1"/>
    <col min="9476" max="9476" width="9.375" style="52" customWidth="1"/>
    <col min="9477" max="9477" width="9.5" style="52" customWidth="1"/>
    <col min="9478" max="9478" width="8.625" style="52" customWidth="1"/>
    <col min="9479" max="9479" width="12.375" style="52" bestFit="1" customWidth="1"/>
    <col min="9480" max="9481" width="9" style="52"/>
    <col min="9482" max="9482" width="12.375" style="52" bestFit="1" customWidth="1"/>
    <col min="9483" max="9707" width="9" style="52"/>
    <col min="9708" max="9708" width="10.5" style="52" bestFit="1" customWidth="1"/>
    <col min="9709" max="9721" width="0" style="52" hidden="1" customWidth="1"/>
    <col min="9722" max="9722" width="9" style="52"/>
    <col min="9723" max="9723" width="11.5" style="52" bestFit="1" customWidth="1"/>
    <col min="9724" max="9724" width="34.5" style="52" bestFit="1" customWidth="1"/>
    <col min="9725" max="9725" width="51" style="52" bestFit="1" customWidth="1"/>
    <col min="9726" max="9726" width="9.625" style="52" bestFit="1" customWidth="1"/>
    <col min="9727" max="9727" width="13" style="52" customWidth="1"/>
    <col min="9728" max="9728" width="16.625" style="52" customWidth="1"/>
    <col min="9729" max="9730" width="11.5" style="52" customWidth="1"/>
    <col min="9731" max="9731" width="11.625" style="52" customWidth="1"/>
    <col min="9732" max="9732" width="9.375" style="52" customWidth="1"/>
    <col min="9733" max="9733" width="9.5" style="52" customWidth="1"/>
    <col min="9734" max="9734" width="8.625" style="52" customWidth="1"/>
    <col min="9735" max="9735" width="12.375" style="52" bestFit="1" customWidth="1"/>
    <col min="9736" max="9737" width="9" style="52"/>
    <col min="9738" max="9738" width="12.375" style="52" bestFit="1" customWidth="1"/>
    <col min="9739" max="9963" width="9" style="52"/>
    <col min="9964" max="9964" width="10.5" style="52" bestFit="1" customWidth="1"/>
    <col min="9965" max="9977" width="0" style="52" hidden="1" customWidth="1"/>
    <col min="9978" max="9978" width="9" style="52"/>
    <col min="9979" max="9979" width="11.5" style="52" bestFit="1" customWidth="1"/>
    <col min="9980" max="9980" width="34.5" style="52" bestFit="1" customWidth="1"/>
    <col min="9981" max="9981" width="51" style="52" bestFit="1" customWidth="1"/>
    <col min="9982" max="9982" width="9.625" style="52" bestFit="1" customWidth="1"/>
    <col min="9983" max="9983" width="13" style="52" customWidth="1"/>
    <col min="9984" max="9984" width="16.625" style="52" customWidth="1"/>
    <col min="9985" max="9986" width="11.5" style="52" customWidth="1"/>
    <col min="9987" max="9987" width="11.625" style="52" customWidth="1"/>
    <col min="9988" max="9988" width="9.375" style="52" customWidth="1"/>
    <col min="9989" max="9989" width="9.5" style="52" customWidth="1"/>
    <col min="9990" max="9990" width="8.625" style="52" customWidth="1"/>
    <col min="9991" max="9991" width="12.375" style="52" bestFit="1" customWidth="1"/>
    <col min="9992" max="9993" width="9" style="52"/>
    <col min="9994" max="9994" width="12.375" style="52" bestFit="1" customWidth="1"/>
    <col min="9995" max="10219" width="9" style="52"/>
    <col min="10220" max="10220" width="10.5" style="52" bestFit="1" customWidth="1"/>
    <col min="10221" max="10233" width="0" style="52" hidden="1" customWidth="1"/>
    <col min="10234" max="10234" width="9" style="52"/>
    <col min="10235" max="10235" width="11.5" style="52" bestFit="1" customWidth="1"/>
    <col min="10236" max="10236" width="34.5" style="52" bestFit="1" customWidth="1"/>
    <col min="10237" max="10237" width="51" style="52" bestFit="1" customWidth="1"/>
    <col min="10238" max="10238" width="9.625" style="52" bestFit="1" customWidth="1"/>
    <col min="10239" max="10239" width="13" style="52" customWidth="1"/>
    <col min="10240" max="10240" width="16.625" style="52" customWidth="1"/>
    <col min="10241" max="10242" width="11.5" style="52" customWidth="1"/>
    <col min="10243" max="10243" width="11.625" style="52" customWidth="1"/>
    <col min="10244" max="10244" width="9.375" style="52" customWidth="1"/>
    <col min="10245" max="10245" width="9.5" style="52" customWidth="1"/>
    <col min="10246" max="10246" width="8.625" style="52" customWidth="1"/>
    <col min="10247" max="10247" width="12.375" style="52" bestFit="1" customWidth="1"/>
    <col min="10248" max="10249" width="9" style="52"/>
    <col min="10250" max="10250" width="12.375" style="52" bestFit="1" customWidth="1"/>
    <col min="10251" max="10475" width="9" style="52"/>
    <col min="10476" max="10476" width="10.5" style="52" bestFit="1" customWidth="1"/>
    <col min="10477" max="10489" width="0" style="52" hidden="1" customWidth="1"/>
    <col min="10490" max="10490" width="9" style="52"/>
    <col min="10491" max="10491" width="11.5" style="52" bestFit="1" customWidth="1"/>
    <col min="10492" max="10492" width="34.5" style="52" bestFit="1" customWidth="1"/>
    <col min="10493" max="10493" width="51" style="52" bestFit="1" customWidth="1"/>
    <col min="10494" max="10494" width="9.625" style="52" bestFit="1" customWidth="1"/>
    <col min="10495" max="10495" width="13" style="52" customWidth="1"/>
    <col min="10496" max="10496" width="16.625" style="52" customWidth="1"/>
    <col min="10497" max="10498" width="11.5" style="52" customWidth="1"/>
    <col min="10499" max="10499" width="11.625" style="52" customWidth="1"/>
    <col min="10500" max="10500" width="9.375" style="52" customWidth="1"/>
    <col min="10501" max="10501" width="9.5" style="52" customWidth="1"/>
    <col min="10502" max="10502" width="8.625" style="52" customWidth="1"/>
    <col min="10503" max="10503" width="12.375" style="52" bestFit="1" customWidth="1"/>
    <col min="10504" max="10505" width="9" style="52"/>
    <col min="10506" max="10506" width="12.375" style="52" bestFit="1" customWidth="1"/>
    <col min="10507" max="10731" width="9" style="52"/>
    <col min="10732" max="10732" width="10.5" style="52" bestFit="1" customWidth="1"/>
    <col min="10733" max="10745" width="0" style="52" hidden="1" customWidth="1"/>
    <col min="10746" max="10746" width="9" style="52"/>
    <col min="10747" max="10747" width="11.5" style="52" bestFit="1" customWidth="1"/>
    <col min="10748" max="10748" width="34.5" style="52" bestFit="1" customWidth="1"/>
    <col min="10749" max="10749" width="51" style="52" bestFit="1" customWidth="1"/>
    <col min="10750" max="10750" width="9.625" style="52" bestFit="1" customWidth="1"/>
    <col min="10751" max="10751" width="13" style="52" customWidth="1"/>
    <col min="10752" max="10752" width="16.625" style="52" customWidth="1"/>
    <col min="10753" max="10754" width="11.5" style="52" customWidth="1"/>
    <col min="10755" max="10755" width="11.625" style="52" customWidth="1"/>
    <col min="10756" max="10756" width="9.375" style="52" customWidth="1"/>
    <col min="10757" max="10757" width="9.5" style="52" customWidth="1"/>
    <col min="10758" max="10758" width="8.625" style="52" customWidth="1"/>
    <col min="10759" max="10759" width="12.375" style="52" bestFit="1" customWidth="1"/>
    <col min="10760" max="10761" width="9" style="52"/>
    <col min="10762" max="10762" width="12.375" style="52" bestFit="1" customWidth="1"/>
    <col min="10763" max="10987" width="9" style="52"/>
    <col min="10988" max="10988" width="10.5" style="52" bestFit="1" customWidth="1"/>
    <col min="10989" max="11001" width="0" style="52" hidden="1" customWidth="1"/>
    <col min="11002" max="11002" width="9" style="52"/>
    <col min="11003" max="11003" width="11.5" style="52" bestFit="1" customWidth="1"/>
    <col min="11004" max="11004" width="34.5" style="52" bestFit="1" customWidth="1"/>
    <col min="11005" max="11005" width="51" style="52" bestFit="1" customWidth="1"/>
    <col min="11006" max="11006" width="9.625" style="52" bestFit="1" customWidth="1"/>
    <col min="11007" max="11007" width="13" style="52" customWidth="1"/>
    <col min="11008" max="11008" width="16.625" style="52" customWidth="1"/>
    <col min="11009" max="11010" width="11.5" style="52" customWidth="1"/>
    <col min="11011" max="11011" width="11.625" style="52" customWidth="1"/>
    <col min="11012" max="11012" width="9.375" style="52" customWidth="1"/>
    <col min="11013" max="11013" width="9.5" style="52" customWidth="1"/>
    <col min="11014" max="11014" width="8.625" style="52" customWidth="1"/>
    <col min="11015" max="11015" width="12.375" style="52" bestFit="1" customWidth="1"/>
    <col min="11016" max="11017" width="9" style="52"/>
    <col min="11018" max="11018" width="12.375" style="52" bestFit="1" customWidth="1"/>
    <col min="11019" max="11243" width="9" style="52"/>
    <col min="11244" max="11244" width="10.5" style="52" bestFit="1" customWidth="1"/>
    <col min="11245" max="11257" width="0" style="52" hidden="1" customWidth="1"/>
    <col min="11258" max="11258" width="9" style="52"/>
    <col min="11259" max="11259" width="11.5" style="52" bestFit="1" customWidth="1"/>
    <col min="11260" max="11260" width="34.5" style="52" bestFit="1" customWidth="1"/>
    <col min="11261" max="11261" width="51" style="52" bestFit="1" customWidth="1"/>
    <col min="11262" max="11262" width="9.625" style="52" bestFit="1" customWidth="1"/>
    <col min="11263" max="11263" width="13" style="52" customWidth="1"/>
    <col min="11264" max="11264" width="16.625" style="52" customWidth="1"/>
    <col min="11265" max="11266" width="11.5" style="52" customWidth="1"/>
    <col min="11267" max="11267" width="11.625" style="52" customWidth="1"/>
    <col min="11268" max="11268" width="9.375" style="52" customWidth="1"/>
    <col min="11269" max="11269" width="9.5" style="52" customWidth="1"/>
    <col min="11270" max="11270" width="8.625" style="52" customWidth="1"/>
    <col min="11271" max="11271" width="12.375" style="52" bestFit="1" customWidth="1"/>
    <col min="11272" max="11273" width="9" style="52"/>
    <col min="11274" max="11274" width="12.375" style="52" bestFit="1" customWidth="1"/>
    <col min="11275" max="11499" width="9" style="52"/>
    <col min="11500" max="11500" width="10.5" style="52" bestFit="1" customWidth="1"/>
    <col min="11501" max="11513" width="0" style="52" hidden="1" customWidth="1"/>
    <col min="11514" max="11514" width="9" style="52"/>
    <col min="11515" max="11515" width="11.5" style="52" bestFit="1" customWidth="1"/>
    <col min="11516" max="11516" width="34.5" style="52" bestFit="1" customWidth="1"/>
    <col min="11517" max="11517" width="51" style="52" bestFit="1" customWidth="1"/>
    <col min="11518" max="11518" width="9.625" style="52" bestFit="1" customWidth="1"/>
    <col min="11519" max="11519" width="13" style="52" customWidth="1"/>
    <col min="11520" max="11520" width="16.625" style="52" customWidth="1"/>
    <col min="11521" max="11522" width="11.5" style="52" customWidth="1"/>
    <col min="11523" max="11523" width="11.625" style="52" customWidth="1"/>
    <col min="11524" max="11524" width="9.375" style="52" customWidth="1"/>
    <col min="11525" max="11525" width="9.5" style="52" customWidth="1"/>
    <col min="11526" max="11526" width="8.625" style="52" customWidth="1"/>
    <col min="11527" max="11527" width="12.375" style="52" bestFit="1" customWidth="1"/>
    <col min="11528" max="11529" width="9" style="52"/>
    <col min="11530" max="11530" width="12.375" style="52" bestFit="1" customWidth="1"/>
    <col min="11531" max="11755" width="9" style="52"/>
    <col min="11756" max="11756" width="10.5" style="52" bestFit="1" customWidth="1"/>
    <col min="11757" max="11769" width="0" style="52" hidden="1" customWidth="1"/>
    <col min="11770" max="11770" width="9" style="52"/>
    <col min="11771" max="11771" width="11.5" style="52" bestFit="1" customWidth="1"/>
    <col min="11772" max="11772" width="34.5" style="52" bestFit="1" customWidth="1"/>
    <col min="11773" max="11773" width="51" style="52" bestFit="1" customWidth="1"/>
    <col min="11774" max="11774" width="9.625" style="52" bestFit="1" customWidth="1"/>
    <col min="11775" max="11775" width="13" style="52" customWidth="1"/>
    <col min="11776" max="11776" width="16.625" style="52" customWidth="1"/>
    <col min="11777" max="11778" width="11.5" style="52" customWidth="1"/>
    <col min="11779" max="11779" width="11.625" style="52" customWidth="1"/>
    <col min="11780" max="11780" width="9.375" style="52" customWidth="1"/>
    <col min="11781" max="11781" width="9.5" style="52" customWidth="1"/>
    <col min="11782" max="11782" width="8.625" style="52" customWidth="1"/>
    <col min="11783" max="11783" width="12.375" style="52" bestFit="1" customWidth="1"/>
    <col min="11784" max="11785" width="9" style="52"/>
    <col min="11786" max="11786" width="12.375" style="52" bestFit="1" customWidth="1"/>
    <col min="11787" max="12011" width="9" style="52"/>
    <col min="12012" max="12012" width="10.5" style="52" bestFit="1" customWidth="1"/>
    <col min="12013" max="12025" width="0" style="52" hidden="1" customWidth="1"/>
    <col min="12026" max="12026" width="9" style="52"/>
    <col min="12027" max="12027" width="11.5" style="52" bestFit="1" customWidth="1"/>
    <col min="12028" max="12028" width="34.5" style="52" bestFit="1" customWidth="1"/>
    <col min="12029" max="12029" width="51" style="52" bestFit="1" customWidth="1"/>
    <col min="12030" max="12030" width="9.625" style="52" bestFit="1" customWidth="1"/>
    <col min="12031" max="12031" width="13" style="52" customWidth="1"/>
    <col min="12032" max="12032" width="16.625" style="52" customWidth="1"/>
    <col min="12033" max="12034" width="11.5" style="52" customWidth="1"/>
    <col min="12035" max="12035" width="11.625" style="52" customWidth="1"/>
    <col min="12036" max="12036" width="9.375" style="52" customWidth="1"/>
    <col min="12037" max="12037" width="9.5" style="52" customWidth="1"/>
    <col min="12038" max="12038" width="8.625" style="52" customWidth="1"/>
    <col min="12039" max="12039" width="12.375" style="52" bestFit="1" customWidth="1"/>
    <col min="12040" max="12041" width="9" style="52"/>
    <col min="12042" max="12042" width="12.375" style="52" bestFit="1" customWidth="1"/>
    <col min="12043" max="12267" width="9" style="52"/>
    <col min="12268" max="12268" width="10.5" style="52" bestFit="1" customWidth="1"/>
    <col min="12269" max="12281" width="0" style="52" hidden="1" customWidth="1"/>
    <col min="12282" max="12282" width="9" style="52"/>
    <col min="12283" max="12283" width="11.5" style="52" bestFit="1" customWidth="1"/>
    <col min="12284" max="12284" width="34.5" style="52" bestFit="1" customWidth="1"/>
    <col min="12285" max="12285" width="51" style="52" bestFit="1" customWidth="1"/>
    <col min="12286" max="12286" width="9.625" style="52" bestFit="1" customWidth="1"/>
    <col min="12287" max="12287" width="13" style="52" customWidth="1"/>
    <col min="12288" max="12288" width="16.625" style="52" customWidth="1"/>
    <col min="12289" max="12290" width="11.5" style="52" customWidth="1"/>
    <col min="12291" max="12291" width="11.625" style="52" customWidth="1"/>
    <col min="12292" max="12292" width="9.375" style="52" customWidth="1"/>
    <col min="12293" max="12293" width="9.5" style="52" customWidth="1"/>
    <col min="12294" max="12294" width="8.625" style="52" customWidth="1"/>
    <col min="12295" max="12295" width="12.375" style="52" bestFit="1" customWidth="1"/>
    <col min="12296" max="12297" width="9" style="52"/>
    <col min="12298" max="12298" width="12.375" style="52" bestFit="1" customWidth="1"/>
    <col min="12299" max="12523" width="9" style="52"/>
    <col min="12524" max="12524" width="10.5" style="52" bestFit="1" customWidth="1"/>
    <col min="12525" max="12537" width="0" style="52" hidden="1" customWidth="1"/>
    <col min="12538" max="12538" width="9" style="52"/>
    <col min="12539" max="12539" width="11.5" style="52" bestFit="1" customWidth="1"/>
    <col min="12540" max="12540" width="34.5" style="52" bestFit="1" customWidth="1"/>
    <col min="12541" max="12541" width="51" style="52" bestFit="1" customWidth="1"/>
    <col min="12542" max="12542" width="9.625" style="52" bestFit="1" customWidth="1"/>
    <col min="12543" max="12543" width="13" style="52" customWidth="1"/>
    <col min="12544" max="12544" width="16.625" style="52" customWidth="1"/>
    <col min="12545" max="12546" width="11.5" style="52" customWidth="1"/>
    <col min="12547" max="12547" width="11.625" style="52" customWidth="1"/>
    <col min="12548" max="12548" width="9.375" style="52" customWidth="1"/>
    <col min="12549" max="12549" width="9.5" style="52" customWidth="1"/>
    <col min="12550" max="12550" width="8.625" style="52" customWidth="1"/>
    <col min="12551" max="12551" width="12.375" style="52" bestFit="1" customWidth="1"/>
    <col min="12552" max="12553" width="9" style="52"/>
    <col min="12554" max="12554" width="12.375" style="52" bestFit="1" customWidth="1"/>
    <col min="12555" max="12779" width="9" style="52"/>
    <col min="12780" max="12780" width="10.5" style="52" bestFit="1" customWidth="1"/>
    <col min="12781" max="12793" width="0" style="52" hidden="1" customWidth="1"/>
    <col min="12794" max="12794" width="9" style="52"/>
    <col min="12795" max="12795" width="11.5" style="52" bestFit="1" customWidth="1"/>
    <col min="12796" max="12796" width="34.5" style="52" bestFit="1" customWidth="1"/>
    <col min="12797" max="12797" width="51" style="52" bestFit="1" customWidth="1"/>
    <col min="12798" max="12798" width="9.625" style="52" bestFit="1" customWidth="1"/>
    <col min="12799" max="12799" width="13" style="52" customWidth="1"/>
    <col min="12800" max="12800" width="16.625" style="52" customWidth="1"/>
    <col min="12801" max="12802" width="11.5" style="52" customWidth="1"/>
    <col min="12803" max="12803" width="11.625" style="52" customWidth="1"/>
    <col min="12804" max="12804" width="9.375" style="52" customWidth="1"/>
    <col min="12805" max="12805" width="9.5" style="52" customWidth="1"/>
    <col min="12806" max="12806" width="8.625" style="52" customWidth="1"/>
    <col min="12807" max="12807" width="12.375" style="52" bestFit="1" customWidth="1"/>
    <col min="12808" max="12809" width="9" style="52"/>
    <col min="12810" max="12810" width="12.375" style="52" bestFit="1" customWidth="1"/>
    <col min="12811" max="13035" width="9" style="52"/>
    <col min="13036" max="13036" width="10.5" style="52" bestFit="1" customWidth="1"/>
    <col min="13037" max="13049" width="0" style="52" hidden="1" customWidth="1"/>
    <col min="13050" max="13050" width="9" style="52"/>
    <col min="13051" max="13051" width="11.5" style="52" bestFit="1" customWidth="1"/>
    <col min="13052" max="13052" width="34.5" style="52" bestFit="1" customWidth="1"/>
    <col min="13053" max="13053" width="51" style="52" bestFit="1" customWidth="1"/>
    <col min="13054" max="13054" width="9.625" style="52" bestFit="1" customWidth="1"/>
    <col min="13055" max="13055" width="13" style="52" customWidth="1"/>
    <col min="13056" max="13056" width="16.625" style="52" customWidth="1"/>
    <col min="13057" max="13058" width="11.5" style="52" customWidth="1"/>
    <col min="13059" max="13059" width="11.625" style="52" customWidth="1"/>
    <col min="13060" max="13060" width="9.375" style="52" customWidth="1"/>
    <col min="13061" max="13061" width="9.5" style="52" customWidth="1"/>
    <col min="13062" max="13062" width="8.625" style="52" customWidth="1"/>
    <col min="13063" max="13063" width="12.375" style="52" bestFit="1" customWidth="1"/>
    <col min="13064" max="13065" width="9" style="52"/>
    <col min="13066" max="13066" width="12.375" style="52" bestFit="1" customWidth="1"/>
    <col min="13067" max="13291" width="9" style="52"/>
    <col min="13292" max="13292" width="10.5" style="52" bestFit="1" customWidth="1"/>
    <col min="13293" max="13305" width="0" style="52" hidden="1" customWidth="1"/>
    <col min="13306" max="13306" width="9" style="52"/>
    <col min="13307" max="13307" width="11.5" style="52" bestFit="1" customWidth="1"/>
    <col min="13308" max="13308" width="34.5" style="52" bestFit="1" customWidth="1"/>
    <col min="13309" max="13309" width="51" style="52" bestFit="1" customWidth="1"/>
    <col min="13310" max="13310" width="9.625" style="52" bestFit="1" customWidth="1"/>
    <col min="13311" max="13311" width="13" style="52" customWidth="1"/>
    <col min="13312" max="13312" width="16.625" style="52" customWidth="1"/>
    <col min="13313" max="13314" width="11.5" style="52" customWidth="1"/>
    <col min="13315" max="13315" width="11.625" style="52" customWidth="1"/>
    <col min="13316" max="13316" width="9.375" style="52" customWidth="1"/>
    <col min="13317" max="13317" width="9.5" style="52" customWidth="1"/>
    <col min="13318" max="13318" width="8.625" style="52" customWidth="1"/>
    <col min="13319" max="13319" width="12.375" style="52" bestFit="1" customWidth="1"/>
    <col min="13320" max="13321" width="9" style="52"/>
    <col min="13322" max="13322" width="12.375" style="52" bestFit="1" customWidth="1"/>
    <col min="13323" max="13547" width="9" style="52"/>
    <col min="13548" max="13548" width="10.5" style="52" bestFit="1" customWidth="1"/>
    <col min="13549" max="13561" width="0" style="52" hidden="1" customWidth="1"/>
    <col min="13562" max="13562" width="9" style="52"/>
    <col min="13563" max="13563" width="11.5" style="52" bestFit="1" customWidth="1"/>
    <col min="13564" max="13564" width="34.5" style="52" bestFit="1" customWidth="1"/>
    <col min="13565" max="13565" width="51" style="52" bestFit="1" customWidth="1"/>
    <col min="13566" max="13566" width="9.625" style="52" bestFit="1" customWidth="1"/>
    <col min="13567" max="13567" width="13" style="52" customWidth="1"/>
    <col min="13568" max="13568" width="16.625" style="52" customWidth="1"/>
    <col min="13569" max="13570" width="11.5" style="52" customWidth="1"/>
    <col min="13571" max="13571" width="11.625" style="52" customWidth="1"/>
    <col min="13572" max="13572" width="9.375" style="52" customWidth="1"/>
    <col min="13573" max="13573" width="9.5" style="52" customWidth="1"/>
    <col min="13574" max="13574" width="8.625" style="52" customWidth="1"/>
    <col min="13575" max="13575" width="12.375" style="52" bestFit="1" customWidth="1"/>
    <col min="13576" max="13577" width="9" style="52"/>
    <col min="13578" max="13578" width="12.375" style="52" bestFit="1" customWidth="1"/>
    <col min="13579" max="13803" width="9" style="52"/>
    <col min="13804" max="13804" width="10.5" style="52" bestFit="1" customWidth="1"/>
    <col min="13805" max="13817" width="0" style="52" hidden="1" customWidth="1"/>
    <col min="13818" max="13818" width="9" style="52"/>
    <col min="13819" max="13819" width="11.5" style="52" bestFit="1" customWidth="1"/>
    <col min="13820" max="13820" width="34.5" style="52" bestFit="1" customWidth="1"/>
    <col min="13821" max="13821" width="51" style="52" bestFit="1" customWidth="1"/>
    <col min="13822" max="13822" width="9.625" style="52" bestFit="1" customWidth="1"/>
    <col min="13823" max="13823" width="13" style="52" customWidth="1"/>
    <col min="13824" max="13824" width="16.625" style="52" customWidth="1"/>
    <col min="13825" max="13826" width="11.5" style="52" customWidth="1"/>
    <col min="13827" max="13827" width="11.625" style="52" customWidth="1"/>
    <col min="13828" max="13828" width="9.375" style="52" customWidth="1"/>
    <col min="13829" max="13829" width="9.5" style="52" customWidth="1"/>
    <col min="13830" max="13830" width="8.625" style="52" customWidth="1"/>
    <col min="13831" max="13831" width="12.375" style="52" bestFit="1" customWidth="1"/>
    <col min="13832" max="13833" width="9" style="52"/>
    <col min="13834" max="13834" width="12.375" style="52" bestFit="1" customWidth="1"/>
    <col min="13835" max="14059" width="9" style="52"/>
    <col min="14060" max="14060" width="10.5" style="52" bestFit="1" customWidth="1"/>
    <col min="14061" max="14073" width="0" style="52" hidden="1" customWidth="1"/>
    <col min="14074" max="14074" width="9" style="52"/>
    <col min="14075" max="14075" width="11.5" style="52" bestFit="1" customWidth="1"/>
    <col min="14076" max="14076" width="34.5" style="52" bestFit="1" customWidth="1"/>
    <col min="14077" max="14077" width="51" style="52" bestFit="1" customWidth="1"/>
    <col min="14078" max="14078" width="9.625" style="52" bestFit="1" customWidth="1"/>
    <col min="14079" max="14079" width="13" style="52" customWidth="1"/>
    <col min="14080" max="14080" width="16.625" style="52" customWidth="1"/>
    <col min="14081" max="14082" width="11.5" style="52" customWidth="1"/>
    <col min="14083" max="14083" width="11.625" style="52" customWidth="1"/>
    <col min="14084" max="14084" width="9.375" style="52" customWidth="1"/>
    <col min="14085" max="14085" width="9.5" style="52" customWidth="1"/>
    <col min="14086" max="14086" width="8.625" style="52" customWidth="1"/>
    <col min="14087" max="14087" width="12.375" style="52" bestFit="1" customWidth="1"/>
    <col min="14088" max="14089" width="9" style="52"/>
    <col min="14090" max="14090" width="12.375" style="52" bestFit="1" customWidth="1"/>
    <col min="14091" max="14315" width="9" style="52"/>
    <col min="14316" max="14316" width="10.5" style="52" bestFit="1" customWidth="1"/>
    <col min="14317" max="14329" width="0" style="52" hidden="1" customWidth="1"/>
    <col min="14330" max="14330" width="9" style="52"/>
    <col min="14331" max="14331" width="11.5" style="52" bestFit="1" customWidth="1"/>
    <col min="14332" max="14332" width="34.5" style="52" bestFit="1" customWidth="1"/>
    <col min="14333" max="14333" width="51" style="52" bestFit="1" customWidth="1"/>
    <col min="14334" max="14334" width="9.625" style="52" bestFit="1" customWidth="1"/>
    <col min="14335" max="14335" width="13" style="52" customWidth="1"/>
    <col min="14336" max="14336" width="16.625" style="52" customWidth="1"/>
    <col min="14337" max="14338" width="11.5" style="52" customWidth="1"/>
    <col min="14339" max="14339" width="11.625" style="52" customWidth="1"/>
    <col min="14340" max="14340" width="9.375" style="52" customWidth="1"/>
    <col min="14341" max="14341" width="9.5" style="52" customWidth="1"/>
    <col min="14342" max="14342" width="8.625" style="52" customWidth="1"/>
    <col min="14343" max="14343" width="12.375" style="52" bestFit="1" customWidth="1"/>
    <col min="14344" max="14345" width="9" style="52"/>
    <col min="14346" max="14346" width="12.375" style="52" bestFit="1" customWidth="1"/>
    <col min="14347" max="14571" width="9" style="52"/>
    <col min="14572" max="14572" width="10.5" style="52" bestFit="1" customWidth="1"/>
    <col min="14573" max="14585" width="0" style="52" hidden="1" customWidth="1"/>
    <col min="14586" max="14586" width="9" style="52"/>
    <col min="14587" max="14587" width="11.5" style="52" bestFit="1" customWidth="1"/>
    <col min="14588" max="14588" width="34.5" style="52" bestFit="1" customWidth="1"/>
    <col min="14589" max="14589" width="51" style="52" bestFit="1" customWidth="1"/>
    <col min="14590" max="14590" width="9.625" style="52" bestFit="1" customWidth="1"/>
    <col min="14591" max="14591" width="13" style="52" customWidth="1"/>
    <col min="14592" max="14592" width="16.625" style="52" customWidth="1"/>
    <col min="14593" max="14594" width="11.5" style="52" customWidth="1"/>
    <col min="14595" max="14595" width="11.625" style="52" customWidth="1"/>
    <col min="14596" max="14596" width="9.375" style="52" customWidth="1"/>
    <col min="14597" max="14597" width="9.5" style="52" customWidth="1"/>
    <col min="14598" max="14598" width="8.625" style="52" customWidth="1"/>
    <col min="14599" max="14599" width="12.375" style="52" bestFit="1" customWidth="1"/>
    <col min="14600" max="14601" width="9" style="52"/>
    <col min="14602" max="14602" width="12.375" style="52" bestFit="1" customWidth="1"/>
    <col min="14603" max="14827" width="9" style="52"/>
    <col min="14828" max="14828" width="10.5" style="52" bestFit="1" customWidth="1"/>
    <col min="14829" max="14841" width="0" style="52" hidden="1" customWidth="1"/>
    <col min="14842" max="14842" width="9" style="52"/>
    <col min="14843" max="14843" width="11.5" style="52" bestFit="1" customWidth="1"/>
    <col min="14844" max="14844" width="34.5" style="52" bestFit="1" customWidth="1"/>
    <col min="14845" max="14845" width="51" style="52" bestFit="1" customWidth="1"/>
    <col min="14846" max="14846" width="9.625" style="52" bestFit="1" customWidth="1"/>
    <col min="14847" max="14847" width="13" style="52" customWidth="1"/>
    <col min="14848" max="14848" width="16.625" style="52" customWidth="1"/>
    <col min="14849" max="14850" width="11.5" style="52" customWidth="1"/>
    <col min="14851" max="14851" width="11.625" style="52" customWidth="1"/>
    <col min="14852" max="14852" width="9.375" style="52" customWidth="1"/>
    <col min="14853" max="14853" width="9.5" style="52" customWidth="1"/>
    <col min="14854" max="14854" width="8.625" style="52" customWidth="1"/>
    <col min="14855" max="14855" width="12.375" style="52" bestFit="1" customWidth="1"/>
    <col min="14856" max="14857" width="9" style="52"/>
    <col min="14858" max="14858" width="12.375" style="52" bestFit="1" customWidth="1"/>
    <col min="14859" max="15083" width="9" style="52"/>
    <col min="15084" max="15084" width="10.5" style="52" bestFit="1" customWidth="1"/>
    <col min="15085" max="15097" width="0" style="52" hidden="1" customWidth="1"/>
    <col min="15098" max="15098" width="9" style="52"/>
    <col min="15099" max="15099" width="11.5" style="52" bestFit="1" customWidth="1"/>
    <col min="15100" max="15100" width="34.5" style="52" bestFit="1" customWidth="1"/>
    <col min="15101" max="15101" width="51" style="52" bestFit="1" customWidth="1"/>
    <col min="15102" max="15102" width="9.625" style="52" bestFit="1" customWidth="1"/>
    <col min="15103" max="15103" width="13" style="52" customWidth="1"/>
    <col min="15104" max="15104" width="16.625" style="52" customWidth="1"/>
    <col min="15105" max="15106" width="11.5" style="52" customWidth="1"/>
    <col min="15107" max="15107" width="11.625" style="52" customWidth="1"/>
    <col min="15108" max="15108" width="9.375" style="52" customWidth="1"/>
    <col min="15109" max="15109" width="9.5" style="52" customWidth="1"/>
    <col min="15110" max="15110" width="8.625" style="52" customWidth="1"/>
    <col min="15111" max="15111" width="12.375" style="52" bestFit="1" customWidth="1"/>
    <col min="15112" max="15113" width="9" style="52"/>
    <col min="15114" max="15114" width="12.375" style="52" bestFit="1" customWidth="1"/>
    <col min="15115" max="15339" width="9" style="52"/>
    <col min="15340" max="15340" width="10.5" style="52" bestFit="1" customWidth="1"/>
    <col min="15341" max="15353" width="0" style="52" hidden="1" customWidth="1"/>
    <col min="15354" max="15354" width="9" style="52"/>
    <col min="15355" max="15355" width="11.5" style="52" bestFit="1" customWidth="1"/>
    <col min="15356" max="15356" width="34.5" style="52" bestFit="1" customWidth="1"/>
    <col min="15357" max="15357" width="51" style="52" bestFit="1" customWidth="1"/>
    <col min="15358" max="15358" width="9.625" style="52" bestFit="1" customWidth="1"/>
    <col min="15359" max="15359" width="13" style="52" customWidth="1"/>
    <col min="15360" max="15360" width="16.625" style="52" customWidth="1"/>
    <col min="15361" max="15362" width="11.5" style="52" customWidth="1"/>
    <col min="15363" max="15363" width="11.625" style="52" customWidth="1"/>
    <col min="15364" max="15364" width="9.375" style="52" customWidth="1"/>
    <col min="15365" max="15365" width="9.5" style="52" customWidth="1"/>
    <col min="15366" max="15366" width="8.625" style="52" customWidth="1"/>
    <col min="15367" max="15367" width="12.375" style="52" bestFit="1" customWidth="1"/>
    <col min="15368" max="15369" width="9" style="52"/>
    <col min="15370" max="15370" width="12.375" style="52" bestFit="1" customWidth="1"/>
    <col min="15371" max="15595" width="9" style="52"/>
    <col min="15596" max="15596" width="10.5" style="52" bestFit="1" customWidth="1"/>
    <col min="15597" max="15609" width="0" style="52" hidden="1" customWidth="1"/>
    <col min="15610" max="15610" width="9" style="52"/>
    <col min="15611" max="15611" width="11.5" style="52" bestFit="1" customWidth="1"/>
    <col min="15612" max="15612" width="34.5" style="52" bestFit="1" customWidth="1"/>
    <col min="15613" max="15613" width="51" style="52" bestFit="1" customWidth="1"/>
    <col min="15614" max="15614" width="9.625" style="52" bestFit="1" customWidth="1"/>
    <col min="15615" max="15615" width="13" style="52" customWidth="1"/>
    <col min="15616" max="15616" width="16.625" style="52" customWidth="1"/>
    <col min="15617" max="15618" width="11.5" style="52" customWidth="1"/>
    <col min="15619" max="15619" width="11.625" style="52" customWidth="1"/>
    <col min="15620" max="15620" width="9.375" style="52" customWidth="1"/>
    <col min="15621" max="15621" width="9.5" style="52" customWidth="1"/>
    <col min="15622" max="15622" width="8.625" style="52" customWidth="1"/>
    <col min="15623" max="15623" width="12.375" style="52" bestFit="1" customWidth="1"/>
    <col min="15624" max="15625" width="9" style="52"/>
    <col min="15626" max="15626" width="12.375" style="52" bestFit="1" customWidth="1"/>
    <col min="15627" max="15851" width="9" style="52"/>
    <col min="15852" max="15852" width="10.5" style="52" bestFit="1" customWidth="1"/>
    <col min="15853" max="15865" width="0" style="52" hidden="1" customWidth="1"/>
    <col min="15866" max="15866" width="9" style="52"/>
    <col min="15867" max="15867" width="11.5" style="52" bestFit="1" customWidth="1"/>
    <col min="15868" max="15868" width="34.5" style="52" bestFit="1" customWidth="1"/>
    <col min="15869" max="15869" width="51" style="52" bestFit="1" customWidth="1"/>
    <col min="15870" max="15870" width="9.625" style="52" bestFit="1" customWidth="1"/>
    <col min="15871" max="15871" width="13" style="52" customWidth="1"/>
    <col min="15872" max="15872" width="16.625" style="52" customWidth="1"/>
    <col min="15873" max="15874" width="11.5" style="52" customWidth="1"/>
    <col min="15875" max="15875" width="11.625" style="52" customWidth="1"/>
    <col min="15876" max="15876" width="9.375" style="52" customWidth="1"/>
    <col min="15877" max="15877" width="9.5" style="52" customWidth="1"/>
    <col min="15878" max="15878" width="8.625" style="52" customWidth="1"/>
    <col min="15879" max="15879" width="12.375" style="52" bestFit="1" customWidth="1"/>
    <col min="15880" max="15881" width="9" style="52"/>
    <col min="15882" max="15882" width="12.375" style="52" bestFit="1" customWidth="1"/>
    <col min="15883" max="16107" width="9" style="52"/>
    <col min="16108" max="16108" width="10.5" style="52" bestFit="1" customWidth="1"/>
    <col min="16109" max="16121" width="0" style="52" hidden="1" customWidth="1"/>
    <col min="16122" max="16122" width="9" style="52"/>
    <col min="16123" max="16123" width="11.5" style="52" bestFit="1" customWidth="1"/>
    <col min="16124" max="16124" width="34.5" style="52" bestFit="1" customWidth="1"/>
    <col min="16125" max="16125" width="51" style="52" bestFit="1" customWidth="1"/>
    <col min="16126" max="16126" width="9.625" style="52" bestFit="1" customWidth="1"/>
    <col min="16127" max="16127" width="13" style="52" customWidth="1"/>
    <col min="16128" max="16128" width="16.625" style="52" customWidth="1"/>
    <col min="16129" max="16130" width="11.5" style="52" customWidth="1"/>
    <col min="16131" max="16131" width="11.625" style="52" customWidth="1"/>
    <col min="16132" max="16132" width="9.375" style="52" customWidth="1"/>
    <col min="16133" max="16133" width="9.5" style="52" customWidth="1"/>
    <col min="16134" max="16134" width="8.625" style="52" customWidth="1"/>
    <col min="16135" max="16135" width="12.375" style="52" bestFit="1" customWidth="1"/>
    <col min="16136" max="16137" width="9" style="52"/>
    <col min="16138" max="16138" width="12.375" style="52" bestFit="1" customWidth="1"/>
    <col min="16139" max="16384" width="9" style="52"/>
  </cols>
  <sheetData>
    <row r="1" spans="1:13" ht="25.5">
      <c r="A1" s="303" t="s">
        <v>466</v>
      </c>
      <c r="B1" s="631" t="s">
        <v>8950</v>
      </c>
      <c r="C1" s="631" t="s">
        <v>8951</v>
      </c>
      <c r="D1" s="545" t="s">
        <v>8947</v>
      </c>
      <c r="E1" s="545" t="s">
        <v>8948</v>
      </c>
      <c r="F1" s="543" t="s">
        <v>8945</v>
      </c>
      <c r="G1" s="543" t="s">
        <v>8946</v>
      </c>
      <c r="H1" s="704" t="s">
        <v>8243</v>
      </c>
      <c r="I1" s="704" t="s">
        <v>8944</v>
      </c>
      <c r="J1" s="708" t="s">
        <v>8833</v>
      </c>
      <c r="K1" s="708" t="s">
        <v>8949</v>
      </c>
    </row>
    <row r="2" spans="1:13" ht="13.5" thickBot="1">
      <c r="A2" s="306"/>
      <c r="B2" s="591" t="s">
        <v>571</v>
      </c>
      <c r="C2" s="591" t="s">
        <v>8209</v>
      </c>
      <c r="D2" s="547" t="s">
        <v>577</v>
      </c>
      <c r="E2" s="547" t="s">
        <v>8211</v>
      </c>
      <c r="F2" s="544" t="s">
        <v>8913</v>
      </c>
      <c r="G2" s="544" t="s">
        <v>8910</v>
      </c>
      <c r="H2" s="705" t="s">
        <v>8212</v>
      </c>
      <c r="I2" s="705" t="s">
        <v>8213</v>
      </c>
      <c r="J2" s="709" t="s">
        <v>8914</v>
      </c>
      <c r="K2" s="709" t="s">
        <v>8914</v>
      </c>
    </row>
    <row r="3" spans="1:13">
      <c r="A3" s="564" t="s">
        <v>8251</v>
      </c>
      <c r="B3" s="630"/>
      <c r="C3" s="630">
        <f>VLOOKUP($A3,AirCoolerV2!$D$5:$X$100,6,0)*2</f>
        <v>28000</v>
      </c>
      <c r="D3" s="702"/>
      <c r="E3" s="702">
        <f>VLOOKUP($A3,AirCoolerV2!$D$5:$X$100,14,0)*0.00001019716213</f>
        <v>0.22351184231312463</v>
      </c>
      <c r="F3" s="703">
        <f>VLOOKUP($A3,AirCoolerV2!$D$5:$X$100,16,0)-273.15</f>
        <v>115.64794141679801</v>
      </c>
      <c r="G3" s="703">
        <f>VLOOKUP($A3,AirCoolerV2!$D$5:$X$100,18,0)-273.15</f>
        <v>53.731187831315026</v>
      </c>
      <c r="H3" s="698">
        <v>354829</v>
      </c>
      <c r="I3" s="706">
        <f>VLOOKUP($A3,AirCoolerV2!$D$5:$X$100,4,0)*3600*2</f>
        <v>354829.00000000035</v>
      </c>
      <c r="J3" s="784" t="s">
        <v>10377</v>
      </c>
      <c r="K3" s="711">
        <f>-VLOOKUP($A3,AirCoolerV2!$D$5:$X$100,20,0)*0.8598452279*2</f>
        <v>28763660.067216221</v>
      </c>
    </row>
    <row r="4" spans="1:13">
      <c r="A4" s="564" t="s">
        <v>600</v>
      </c>
      <c r="B4" s="630">
        <v>4980</v>
      </c>
      <c r="C4" s="630">
        <f>VLOOKUP($A4,AirCoolerV2!$D$5:$X$100,6,0)</f>
        <v>4980</v>
      </c>
      <c r="D4" s="702"/>
      <c r="E4" s="702">
        <f>VLOOKUP($A4,AirCoolerV2!$D$5:$X$100,14,0)*0.00001019716213</f>
        <v>6.5436975792005622E-2</v>
      </c>
      <c r="F4" s="703">
        <f>VLOOKUP($A4,AirCoolerV2!$D$5:$X$100,16,0)-273.15</f>
        <v>173.00206571299901</v>
      </c>
      <c r="G4" s="703">
        <f>VLOOKUP($A4,AirCoolerV2!$D$5:$X$100,18,0)-273.15</f>
        <v>162.40742965271903</v>
      </c>
      <c r="H4" s="706">
        <v>735000</v>
      </c>
      <c r="I4" s="706">
        <f>VLOOKUP($A4,AirCoolerV2!$D$5:$X$100,4,0)*3600</f>
        <v>735000.00000000116</v>
      </c>
      <c r="J4" s="710">
        <v>14350000</v>
      </c>
      <c r="K4" s="711">
        <f>-VLOOKUP($A4,AirCoolerV2!$D$5:$X$100,20,0)*0.8598452279</f>
        <v>3867224.2958523771</v>
      </c>
    </row>
    <row r="5" spans="1:13">
      <c r="A5" s="564" t="s">
        <v>8252</v>
      </c>
      <c r="B5" s="630">
        <v>2700</v>
      </c>
      <c r="C5" s="630">
        <f>VLOOKUP($A5,AirCoolerV2!$D$5:$X$100,6,0)</f>
        <v>2700</v>
      </c>
      <c r="D5" s="702"/>
      <c r="E5" s="702">
        <f>VLOOKUP($A5,AirCoolerV2!$D$5:$X$100,14,0)*0.00001019716213</f>
        <v>0.15404898427497965</v>
      </c>
      <c r="F5" s="703">
        <f>VLOOKUP($A5,AirCoolerV2!$D$5:$X$100,16,0)-273.15</f>
        <v>186.15217395245901</v>
      </c>
      <c r="G5" s="703">
        <f>VLOOKUP($A5,AirCoolerV2!$D$5:$X$100,18,0)-273.15</f>
        <v>183.72358485526303</v>
      </c>
      <c r="H5" s="706">
        <v>727500</v>
      </c>
      <c r="I5" s="706">
        <f>VLOOKUP($A5,AirCoolerV2!$D$5:$X$100,4,0)*3600</f>
        <v>727499.99999999884</v>
      </c>
      <c r="J5" s="710">
        <v>8550000</v>
      </c>
      <c r="K5" s="711">
        <f>-VLOOKUP($A5,AirCoolerV2!$D$5:$X$100,20,0)*0.8598452279</f>
        <v>998455.43599711033</v>
      </c>
      <c r="M5" s="615"/>
    </row>
    <row r="6" spans="1:13">
      <c r="A6" s="564" t="s">
        <v>8253</v>
      </c>
      <c r="B6" s="630">
        <v>1670</v>
      </c>
      <c r="C6" s="630">
        <f>VLOOKUP($A6,AirCoolerV2!$D$5:$X$100,6,0)</f>
        <v>1670</v>
      </c>
      <c r="D6" s="702"/>
      <c r="E6" s="702">
        <f>VLOOKUP($A6,AirCoolerV2!$D$5:$X$100,14,0)*0.00001019716213</f>
        <v>2.8674025112060842E-2</v>
      </c>
      <c r="F6" s="703">
        <f>VLOOKUP($A6,AirCoolerV2!$D$5:$X$100,16,0)-273.15</f>
        <v>184.03932028106902</v>
      </c>
      <c r="G6" s="703">
        <f>VLOOKUP($A6,AirCoolerV2!$D$5:$X$100,18,0)-273.15</f>
        <v>158.472109751441</v>
      </c>
      <c r="H6" s="706">
        <v>202000</v>
      </c>
      <c r="I6" s="706">
        <f>VLOOKUP($A6,AirCoolerV2!$D$5:$X$100,4,0)*3600</f>
        <v>201999.99999999997</v>
      </c>
      <c r="J6" s="710">
        <v>4660000</v>
      </c>
      <c r="K6" s="711">
        <f>-VLOOKUP($A6,AirCoolerV2!$D$5:$X$100,20,0)*0.8598452279</f>
        <v>3728217.0909873717</v>
      </c>
      <c r="M6" s="615"/>
    </row>
    <row r="7" spans="1:13">
      <c r="A7" s="564" t="s">
        <v>8254</v>
      </c>
      <c r="B7" s="630">
        <v>7680</v>
      </c>
      <c r="C7" s="630">
        <f>VLOOKUP($A7,AirCoolerV2!$D$5:$X$100,6,0)*3</f>
        <v>7680</v>
      </c>
      <c r="D7" s="702"/>
      <c r="E7" s="702">
        <f>VLOOKUP($A7,AirCoolerV2!$D$5:$X$100,14,0)*0.00001019716213</f>
        <v>1.2015465477835087E-2</v>
      </c>
      <c r="F7" s="703">
        <f>VLOOKUP($A7,AirCoolerV2!$D$5:$X$100,16,0)-273.15</f>
        <v>156.973323736498</v>
      </c>
      <c r="G7" s="703">
        <f>VLOOKUP($A7,AirCoolerV2!$D$5:$X$100,18,0)-273.15</f>
        <v>78.257348736875031</v>
      </c>
      <c r="H7" s="698">
        <v>192500</v>
      </c>
      <c r="I7" s="706">
        <f>VLOOKUP($A7,AirCoolerV2!$D$5:$X$100,4,0)*3600</f>
        <v>192499.99999999991</v>
      </c>
      <c r="J7" s="710">
        <v>9700000</v>
      </c>
      <c r="K7" s="711">
        <f>-VLOOKUP($A7,AirCoolerV2!$D$5:$X$100,20,0)*0.8598452279</f>
        <v>10051872.77154078</v>
      </c>
      <c r="M7" s="615"/>
    </row>
    <row r="8" spans="1:13">
      <c r="A8" s="564" t="s">
        <v>8255</v>
      </c>
      <c r="B8" s="630">
        <v>5130</v>
      </c>
      <c r="C8" s="630">
        <f>VLOOKUP($A8,AirCoolerV2!$D$5:$X$100,6,0)*3</f>
        <v>5130</v>
      </c>
      <c r="D8" s="702"/>
      <c r="E8" s="702">
        <f>VLOOKUP($A8,AirCoolerV2!$D$5:$X$100,14,0)*0.00001019716213</f>
        <v>2.6295672164290521E-2</v>
      </c>
      <c r="F8" s="703">
        <f>VLOOKUP($A8,AirCoolerV2!$D$5:$X$100,16,0)-273.15</f>
        <v>166.41625132835202</v>
      </c>
      <c r="G8" s="703">
        <f>VLOOKUP($A8,AirCoolerV2!$D$5:$X$100,18,0)-273.15</f>
        <v>70.744665217035049</v>
      </c>
      <c r="H8" s="698">
        <v>112000</v>
      </c>
      <c r="I8" s="706">
        <f>VLOOKUP($A8,AirCoolerV2!$D$5:$X$100,4,0)*3600</f>
        <v>111999.99999999996</v>
      </c>
      <c r="J8" s="710">
        <v>9000000</v>
      </c>
      <c r="K8" s="711">
        <f>-VLOOKUP($A8,AirCoolerV2!$D$5:$X$100,20,0)*0.8598452279</f>
        <v>1903319.897432697</v>
      </c>
      <c r="M8" s="615"/>
    </row>
    <row r="9" spans="1:13">
      <c r="A9" s="564" t="s">
        <v>8256</v>
      </c>
      <c r="B9" s="630">
        <v>14040</v>
      </c>
      <c r="C9" s="630">
        <f>VLOOKUP($A9,AirCoolerV2!$D$5:$X$100,6,0)</f>
        <v>14040</v>
      </c>
      <c r="D9" s="702"/>
      <c r="E9" s="702">
        <f>VLOOKUP($A9,AirCoolerV2!$D$5:$X$100,14,0)*0.00001019716213</f>
        <v>3.8689854269382255E-2</v>
      </c>
      <c r="F9" s="703">
        <f>VLOOKUP($A9,AirCoolerV2!$D$5:$X$100,16,0)-273.15</f>
        <v>91.796355356068034</v>
      </c>
      <c r="G9" s="703">
        <f>VLOOKUP($A9,AirCoolerV2!$D$5:$X$100,18,0)-273.15</f>
        <v>76.186741671494019</v>
      </c>
      <c r="H9" s="698">
        <v>43000</v>
      </c>
      <c r="I9" s="706">
        <f>VLOOKUP($A9,AirCoolerV2!$D$5:$X$100,4,0)*3600</f>
        <v>42999.99999999984</v>
      </c>
      <c r="J9" s="809" t="s">
        <v>10377</v>
      </c>
      <c r="K9" s="711">
        <f>-VLOOKUP($A9,AirCoolerV2!$D$5:$X$100,20,0)*0.8598452279</f>
        <v>2785228.5428229412</v>
      </c>
      <c r="M9" s="615"/>
    </row>
    <row r="10" spans="1:13">
      <c r="A10" s="564" t="s">
        <v>8257</v>
      </c>
      <c r="B10" s="630">
        <v>1750</v>
      </c>
      <c r="C10" s="630">
        <f>VLOOKUP($A10,AirCoolerV2!$D$5:$X$100,6,0)/2</f>
        <v>1750</v>
      </c>
      <c r="D10" s="702"/>
      <c r="E10" s="702">
        <f>VLOOKUP($A10,AirCoolerV2!$D$5:$X$100,14,0)*0.00001019716213</f>
        <v>2.1865661367520949E-2</v>
      </c>
      <c r="F10" s="703">
        <f>VLOOKUP($A10,AirCoolerV2!$D$5:$X$100,16,0)-273.15</f>
        <v>111.36868627902504</v>
      </c>
      <c r="G10" s="703">
        <f>VLOOKUP($A10,AirCoolerV2!$D$5:$X$100,18,0)-273.15</f>
        <v>35.270386728390008</v>
      </c>
      <c r="H10" s="698">
        <v>60000</v>
      </c>
      <c r="I10" s="706">
        <f>VLOOKUP($A10,AirCoolerV2!$D$5:$X$100,4,0)*3600</f>
        <v>75000.999999999956</v>
      </c>
      <c r="J10" s="710">
        <v>1918000</v>
      </c>
      <c r="K10" s="711">
        <f>-VLOOKUP($A10,AirCoolerV2!$D$5:$X$100,20,0)*0.8598452279</f>
        <v>2039536.8914892375</v>
      </c>
      <c r="M10" s="615"/>
    </row>
    <row r="11" spans="1:13">
      <c r="A11" s="564" t="s">
        <v>8990</v>
      </c>
      <c r="B11" s="630">
        <v>16440</v>
      </c>
      <c r="C11" s="630">
        <f>VLOOKUP($A11,AirCoolerV2!$D$5:$X$100,6,0)</f>
        <v>16440</v>
      </c>
      <c r="D11" s="702"/>
      <c r="E11" s="702">
        <f>VLOOKUP($A11,AirCoolerV2!$D$5:$X$100,14,0)*0.00001019716213</f>
        <v>0.32483339197203032</v>
      </c>
      <c r="F11" s="703">
        <f>VLOOKUP($A11,AirCoolerV2!$D$5:$X$100,16,0)-273.15</f>
        <v>107.75181290630604</v>
      </c>
      <c r="G11" s="703">
        <f>VLOOKUP($A11,AirCoolerV2!$D$5:$X$100,18,0)-273.15</f>
        <v>52.441569684234025</v>
      </c>
      <c r="H11" s="698">
        <v>347000</v>
      </c>
      <c r="I11" s="706">
        <f>VLOOKUP($A11,AirCoolerV2!$D$5:$X$100,4,0)*3600</f>
        <v>347000.00000000006</v>
      </c>
      <c r="J11" s="710">
        <v>14200000</v>
      </c>
      <c r="K11" s="711">
        <f>-VLOOKUP($A11,AirCoolerV2!$D$5:$X$100,20,0)*0.8598452279</f>
        <v>15540034.104001792</v>
      </c>
      <c r="M11" s="615"/>
    </row>
    <row r="12" spans="1:13">
      <c r="A12" s="564" t="s">
        <v>8258</v>
      </c>
      <c r="B12" s="630">
        <v>14850</v>
      </c>
      <c r="C12" s="630">
        <f>VLOOKUP($A12,AirCoolerV2!$D$5:$X$100,6,0)</f>
        <v>14850</v>
      </c>
      <c r="D12" s="702"/>
      <c r="E12" s="702">
        <f>VLOOKUP($A12,AirCoolerV2!$D$5:$X$100,14,0)*0.00001019716213</f>
        <v>0.1057935131961512</v>
      </c>
      <c r="F12" s="703">
        <f>VLOOKUP($A12,AirCoolerV2!$D$5:$X$100,16,0)-273.15</f>
        <v>68.744132031177003</v>
      </c>
      <c r="G12" s="703">
        <f>VLOOKUP($A12,AirCoolerV2!$D$5:$X$100,18,0)-273.15</f>
        <v>41.603229792198022</v>
      </c>
      <c r="H12" s="698">
        <v>115300</v>
      </c>
      <c r="I12" s="706">
        <f>VLOOKUP($A12,AirCoolerV2!$D$5:$X$100,4,0)*3600</f>
        <v>115300.00000000007</v>
      </c>
      <c r="J12" s="710">
        <v>10200000</v>
      </c>
      <c r="K12" s="711">
        <f>-VLOOKUP($A12,AirCoolerV2!$D$5:$X$100,20,0)*0.8598452279</f>
        <v>8113929.6147983661</v>
      </c>
      <c r="M12" s="615"/>
    </row>
    <row r="13" spans="1:13">
      <c r="A13" s="564" t="s">
        <v>8259</v>
      </c>
      <c r="B13" s="630">
        <v>77800</v>
      </c>
      <c r="C13" s="630">
        <f>VLOOKUP($A13,AirCoolerV2!$D$5:$X$100,6,0)*2</f>
        <v>77800</v>
      </c>
      <c r="D13" s="702"/>
      <c r="E13" s="702">
        <f>VLOOKUP($A13,AirCoolerV2!$D$5:$X$100,14,0)*0.00001019716213</f>
        <v>7.8317874594991177E-2</v>
      </c>
      <c r="F13" s="703">
        <f>VLOOKUP($A13,AirCoolerV2!$D$5:$X$100,16,0)-273.15</f>
        <v>91.537257948357023</v>
      </c>
      <c r="G13" s="703">
        <f>VLOOKUP($A13,AirCoolerV2!$D$5:$X$100,18,0)-273.15</f>
        <v>63.36409709548002</v>
      </c>
      <c r="H13" s="698">
        <v>500000</v>
      </c>
      <c r="I13" s="706">
        <f>VLOOKUP($A13,AirCoolerV2!$D$5:$X$100,4,0)*3600*2</f>
        <v>499999.99999999971</v>
      </c>
      <c r="J13" s="710">
        <v>46000000</v>
      </c>
      <c r="K13" s="711">
        <f>-VLOOKUP($A13,AirCoolerV2!$D$5:$X$100,20,0)*0.8598452279*2</f>
        <v>37640132.287092254</v>
      </c>
      <c r="M13" s="615"/>
    </row>
    <row r="14" spans="1:13">
      <c r="A14" s="564" t="s">
        <v>8260</v>
      </c>
      <c r="B14" s="630">
        <v>3383</v>
      </c>
      <c r="C14" s="630">
        <f>VLOOKUP($A14,AirCoolerV2!$D$5:$X$100,6,0)</f>
        <v>3383</v>
      </c>
      <c r="D14" s="702">
        <v>0.65</v>
      </c>
      <c r="E14" s="702">
        <f>VLOOKUP($A14,AirCoolerV2!$D$5:$X$100,14,0)*0.00001019716213</f>
        <v>0.62273057879384641</v>
      </c>
      <c r="F14" s="703">
        <f>VLOOKUP($A14,AirCoolerV2!$D$5:$X$100,16,0)-273.15</f>
        <v>63.843766799782998</v>
      </c>
      <c r="G14" s="703">
        <f>VLOOKUP($A14,AirCoolerV2!$D$5:$X$100,18,0)-273.15</f>
        <v>39.612931484699004</v>
      </c>
      <c r="H14" s="698">
        <v>135000</v>
      </c>
      <c r="I14" s="706">
        <f>VLOOKUP($A14,AirCoolerV2!$D$5:$X$100,4,0)*3600</f>
        <v>135000</v>
      </c>
      <c r="J14" s="710">
        <v>2940000</v>
      </c>
      <c r="K14" s="711">
        <f>-VLOOKUP($A14,AirCoolerV2!$D$5:$X$100,20,0)*0.8598452279</f>
        <v>1468634.7296647055</v>
      </c>
      <c r="M14" s="615"/>
    </row>
    <row r="15" spans="1:13">
      <c r="A15" s="564" t="s">
        <v>8261</v>
      </c>
      <c r="B15" s="630">
        <v>8920</v>
      </c>
      <c r="C15" s="630">
        <f>VLOOKUP($A15,AirCoolerV2!$D$5:$X$100,6,0)</f>
        <v>8920</v>
      </c>
      <c r="D15" s="702"/>
      <c r="E15" s="702">
        <f>VLOOKUP($A15,AirCoolerV2!$D$5:$X$100,14,0)*0.00001019716213</f>
        <v>0.73218962380675645</v>
      </c>
      <c r="F15" s="703">
        <f>VLOOKUP($A15,AirCoolerV2!$D$5:$X$100,16,0)-273.15</f>
        <v>142.99543278858704</v>
      </c>
      <c r="G15" s="703">
        <f>VLOOKUP($A15,AirCoolerV2!$D$5:$X$100,18,0)-273.15</f>
        <v>40.326302816776035</v>
      </c>
      <c r="H15" s="698">
        <v>154000</v>
      </c>
      <c r="I15" s="706">
        <f>VLOOKUP($A15,AirCoolerV2!$D$5:$X$100,4,0)*3600</f>
        <v>154000.00000000009</v>
      </c>
      <c r="J15" s="712">
        <v>8000000</v>
      </c>
      <c r="K15" s="711">
        <f>-VLOOKUP($A15,AirCoolerV2!$D$5:$X$100,20,0)*0.8598452279</f>
        <v>5487238.0458222562</v>
      </c>
      <c r="M15" s="615"/>
    </row>
    <row r="16" spans="1:13">
      <c r="A16" s="564" t="s">
        <v>8262</v>
      </c>
      <c r="B16" s="630">
        <v>8240</v>
      </c>
      <c r="C16" s="630">
        <f>VLOOKUP($A16,AirCoolerV2!$D$5:$X$100,6,0)</f>
        <v>8240</v>
      </c>
      <c r="D16" s="702"/>
      <c r="E16" s="702">
        <f>VLOOKUP($A16,AirCoolerV2!$D$5:$X$100,14,0)*0.00001019716213</f>
        <v>6.9608673440036857E-3</v>
      </c>
      <c r="F16" s="703">
        <f>VLOOKUP($A16,AirCoolerV2!$D$5:$X$100,16,0)-273.15</f>
        <v>128.57499597754901</v>
      </c>
      <c r="G16" s="703">
        <f>VLOOKUP($A16,AirCoolerV2!$D$5:$X$100,18,0)-273.15</f>
        <v>35.891053780844004</v>
      </c>
      <c r="H16" s="698">
        <v>162000</v>
      </c>
      <c r="I16" s="706">
        <f>VLOOKUP($A16,AirCoolerV2!$D$5:$X$100,4,0)*3600</f>
        <v>162000</v>
      </c>
      <c r="J16" s="710">
        <v>8500000</v>
      </c>
      <c r="K16" s="711">
        <f>-VLOOKUP($A16,AirCoolerV2!$D$5:$X$100,20,0)*0.8598452279</f>
        <v>7896397.9539270876</v>
      </c>
      <c r="M16" s="615"/>
    </row>
    <row r="19" spans="1:11" ht="15">
      <c r="A19" s="1002" t="s">
        <v>10752</v>
      </c>
      <c r="B19" s="1010" t="s">
        <v>10753</v>
      </c>
      <c r="C19" s="1010"/>
      <c r="D19" s="1003"/>
      <c r="E19" s="1003"/>
      <c r="F19" s="1003"/>
      <c r="G19" s="1003"/>
      <c r="H19" s="1007"/>
      <c r="I19" s="1007"/>
      <c r="J19" s="1008"/>
    </row>
    <row r="20" spans="1:11">
      <c r="A20" s="1003"/>
      <c r="B20" s="1010" t="s">
        <v>10754</v>
      </c>
      <c r="C20" s="1010"/>
      <c r="D20" s="1010"/>
      <c r="E20" s="1010"/>
      <c r="F20" s="1010"/>
      <c r="G20" s="1010"/>
      <c r="H20" s="1001"/>
      <c r="I20" s="1001"/>
      <c r="J20" s="1000"/>
      <c r="K20" s="999" t="s">
        <v>10755</v>
      </c>
    </row>
  </sheetData>
  <phoneticPr fontId="14" type="noConversion"/>
  <pageMargins left="0.7" right="0.7" top="0.75" bottom="0.75" header="0.3" footer="0.3"/>
  <pageSetup paperSize="9" orientation="portrait" r:id="rId1"/>
  <ignoredErrors>
    <ignoredError sqref="C10 C13 I13 K13" formula="1"/>
  </ignoredErrors>
  <legacyDrawing r:id="rId2"/>
</worksheet>
</file>

<file path=xl/worksheets/sheet7.xml><?xml version="1.0" encoding="utf-8"?>
<worksheet xmlns="http://schemas.openxmlformats.org/spreadsheetml/2006/main" xmlns:r="http://schemas.openxmlformats.org/officeDocument/2006/relationships">
  <sheetPr>
    <tabColor rgb="FF00B0F0"/>
  </sheetPr>
  <dimension ref="A1:H12"/>
  <sheetViews>
    <sheetView workbookViewId="0"/>
  </sheetViews>
  <sheetFormatPr defaultRowHeight="12.75"/>
  <cols>
    <col min="1" max="3" width="12.625" style="52" customWidth="1"/>
    <col min="4" max="6" width="16.625" style="52" customWidth="1"/>
    <col min="7" max="7" width="20.625" style="52" customWidth="1"/>
    <col min="8" max="256" width="9" style="52"/>
    <col min="257" max="257" width="11.125" style="52" bestFit="1" customWidth="1"/>
    <col min="258" max="258" width="23.875" style="52" bestFit="1" customWidth="1"/>
    <col min="259" max="259" width="25.625" style="52" bestFit="1" customWidth="1"/>
    <col min="260" max="260" width="16.875" style="52" bestFit="1" customWidth="1"/>
    <col min="261" max="261" width="17.625" style="52" bestFit="1" customWidth="1"/>
    <col min="262" max="262" width="9" style="52"/>
    <col min="263" max="263" width="20.625" style="52" bestFit="1" customWidth="1"/>
    <col min="264" max="512" width="9" style="52"/>
    <col min="513" max="513" width="11.125" style="52" bestFit="1" customWidth="1"/>
    <col min="514" max="514" width="23.875" style="52" bestFit="1" customWidth="1"/>
    <col min="515" max="515" width="25.625" style="52" bestFit="1" customWidth="1"/>
    <col min="516" max="516" width="16.875" style="52" bestFit="1" customWidth="1"/>
    <col min="517" max="517" width="17.625" style="52" bestFit="1" customWidth="1"/>
    <col min="518" max="518" width="9" style="52"/>
    <col min="519" max="519" width="20.625" style="52" bestFit="1" customWidth="1"/>
    <col min="520" max="768" width="9" style="52"/>
    <col min="769" max="769" width="11.125" style="52" bestFit="1" customWidth="1"/>
    <col min="770" max="770" width="23.875" style="52" bestFit="1" customWidth="1"/>
    <col min="771" max="771" width="25.625" style="52" bestFit="1" customWidth="1"/>
    <col min="772" max="772" width="16.875" style="52" bestFit="1" customWidth="1"/>
    <col min="773" max="773" width="17.625" style="52" bestFit="1" customWidth="1"/>
    <col min="774" max="774" width="9" style="52"/>
    <col min="775" max="775" width="20.625" style="52" bestFit="1" customWidth="1"/>
    <col min="776" max="1024" width="9" style="52"/>
    <col min="1025" max="1025" width="11.125" style="52" bestFit="1" customWidth="1"/>
    <col min="1026" max="1026" width="23.875" style="52" bestFit="1" customWidth="1"/>
    <col min="1027" max="1027" width="25.625" style="52" bestFit="1" customWidth="1"/>
    <col min="1028" max="1028" width="16.875" style="52" bestFit="1" customWidth="1"/>
    <col min="1029" max="1029" width="17.625" style="52" bestFit="1" customWidth="1"/>
    <col min="1030" max="1030" width="9" style="52"/>
    <col min="1031" max="1031" width="20.625" style="52" bestFit="1" customWidth="1"/>
    <col min="1032" max="1280" width="9" style="52"/>
    <col min="1281" max="1281" width="11.125" style="52" bestFit="1" customWidth="1"/>
    <col min="1282" max="1282" width="23.875" style="52" bestFit="1" customWidth="1"/>
    <col min="1283" max="1283" width="25.625" style="52" bestFit="1" customWidth="1"/>
    <col min="1284" max="1284" width="16.875" style="52" bestFit="1" customWidth="1"/>
    <col min="1285" max="1285" width="17.625" style="52" bestFit="1" customWidth="1"/>
    <col min="1286" max="1286" width="9" style="52"/>
    <col min="1287" max="1287" width="20.625" style="52" bestFit="1" customWidth="1"/>
    <col min="1288" max="1536" width="9" style="52"/>
    <col min="1537" max="1537" width="11.125" style="52" bestFit="1" customWidth="1"/>
    <col min="1538" max="1538" width="23.875" style="52" bestFit="1" customWidth="1"/>
    <col min="1539" max="1539" width="25.625" style="52" bestFit="1" customWidth="1"/>
    <col min="1540" max="1540" width="16.875" style="52" bestFit="1" customWidth="1"/>
    <col min="1541" max="1541" width="17.625" style="52" bestFit="1" customWidth="1"/>
    <col min="1542" max="1542" width="9" style="52"/>
    <col min="1543" max="1543" width="20.625" style="52" bestFit="1" customWidth="1"/>
    <col min="1544" max="1792" width="9" style="52"/>
    <col min="1793" max="1793" width="11.125" style="52" bestFit="1" customWidth="1"/>
    <col min="1794" max="1794" width="23.875" style="52" bestFit="1" customWidth="1"/>
    <col min="1795" max="1795" width="25.625" style="52" bestFit="1" customWidth="1"/>
    <col min="1796" max="1796" width="16.875" style="52" bestFit="1" customWidth="1"/>
    <col min="1797" max="1797" width="17.625" style="52" bestFit="1" customWidth="1"/>
    <col min="1798" max="1798" width="9" style="52"/>
    <col min="1799" max="1799" width="20.625" style="52" bestFit="1" customWidth="1"/>
    <col min="1800" max="2048" width="9" style="52"/>
    <col min="2049" max="2049" width="11.125" style="52" bestFit="1" customWidth="1"/>
    <col min="2050" max="2050" width="23.875" style="52" bestFit="1" customWidth="1"/>
    <col min="2051" max="2051" width="25.625" style="52" bestFit="1" customWidth="1"/>
    <col min="2052" max="2052" width="16.875" style="52" bestFit="1" customWidth="1"/>
    <col min="2053" max="2053" width="17.625" style="52" bestFit="1" customWidth="1"/>
    <col min="2054" max="2054" width="9" style="52"/>
    <col min="2055" max="2055" width="20.625" style="52" bestFit="1" customWidth="1"/>
    <col min="2056" max="2304" width="9" style="52"/>
    <col min="2305" max="2305" width="11.125" style="52" bestFit="1" customWidth="1"/>
    <col min="2306" max="2306" width="23.875" style="52" bestFit="1" customWidth="1"/>
    <col min="2307" max="2307" width="25.625" style="52" bestFit="1" customWidth="1"/>
    <col min="2308" max="2308" width="16.875" style="52" bestFit="1" customWidth="1"/>
    <col min="2309" max="2309" width="17.625" style="52" bestFit="1" customWidth="1"/>
    <col min="2310" max="2310" width="9" style="52"/>
    <col min="2311" max="2311" width="20.625" style="52" bestFit="1" customWidth="1"/>
    <col min="2312" max="2560" width="9" style="52"/>
    <col min="2561" max="2561" width="11.125" style="52" bestFit="1" customWidth="1"/>
    <col min="2562" max="2562" width="23.875" style="52" bestFit="1" customWidth="1"/>
    <col min="2563" max="2563" width="25.625" style="52" bestFit="1" customWidth="1"/>
    <col min="2564" max="2564" width="16.875" style="52" bestFit="1" customWidth="1"/>
    <col min="2565" max="2565" width="17.625" style="52" bestFit="1" customWidth="1"/>
    <col min="2566" max="2566" width="9" style="52"/>
    <col min="2567" max="2567" width="20.625" style="52" bestFit="1" customWidth="1"/>
    <col min="2568" max="2816" width="9" style="52"/>
    <col min="2817" max="2817" width="11.125" style="52" bestFit="1" customWidth="1"/>
    <col min="2818" max="2818" width="23.875" style="52" bestFit="1" customWidth="1"/>
    <col min="2819" max="2819" width="25.625" style="52" bestFit="1" customWidth="1"/>
    <col min="2820" max="2820" width="16.875" style="52" bestFit="1" customWidth="1"/>
    <col min="2821" max="2821" width="17.625" style="52" bestFit="1" customWidth="1"/>
    <col min="2822" max="2822" width="9" style="52"/>
    <col min="2823" max="2823" width="20.625" style="52" bestFit="1" customWidth="1"/>
    <col min="2824" max="3072" width="9" style="52"/>
    <col min="3073" max="3073" width="11.125" style="52" bestFit="1" customWidth="1"/>
    <col min="3074" max="3074" width="23.875" style="52" bestFit="1" customWidth="1"/>
    <col min="3075" max="3075" width="25.625" style="52" bestFit="1" customWidth="1"/>
    <col min="3076" max="3076" width="16.875" style="52" bestFit="1" customWidth="1"/>
    <col min="3077" max="3077" width="17.625" style="52" bestFit="1" customWidth="1"/>
    <col min="3078" max="3078" width="9" style="52"/>
    <col min="3079" max="3079" width="20.625" style="52" bestFit="1" customWidth="1"/>
    <col min="3080" max="3328" width="9" style="52"/>
    <col min="3329" max="3329" width="11.125" style="52" bestFit="1" customWidth="1"/>
    <col min="3330" max="3330" width="23.875" style="52" bestFit="1" customWidth="1"/>
    <col min="3331" max="3331" width="25.625" style="52" bestFit="1" customWidth="1"/>
    <col min="3332" max="3332" width="16.875" style="52" bestFit="1" customWidth="1"/>
    <col min="3333" max="3333" width="17.625" style="52" bestFit="1" customWidth="1"/>
    <col min="3334" max="3334" width="9" style="52"/>
    <col min="3335" max="3335" width="20.625" style="52" bestFit="1" customWidth="1"/>
    <col min="3336" max="3584" width="9" style="52"/>
    <col min="3585" max="3585" width="11.125" style="52" bestFit="1" customWidth="1"/>
    <col min="3586" max="3586" width="23.875" style="52" bestFit="1" customWidth="1"/>
    <col min="3587" max="3587" width="25.625" style="52" bestFit="1" customWidth="1"/>
    <col min="3588" max="3588" width="16.875" style="52" bestFit="1" customWidth="1"/>
    <col min="3589" max="3589" width="17.625" style="52" bestFit="1" customWidth="1"/>
    <col min="3590" max="3590" width="9" style="52"/>
    <col min="3591" max="3591" width="20.625" style="52" bestFit="1" customWidth="1"/>
    <col min="3592" max="3840" width="9" style="52"/>
    <col min="3841" max="3841" width="11.125" style="52" bestFit="1" customWidth="1"/>
    <col min="3842" max="3842" width="23.875" style="52" bestFit="1" customWidth="1"/>
    <col min="3843" max="3843" width="25.625" style="52" bestFit="1" customWidth="1"/>
    <col min="3844" max="3844" width="16.875" style="52" bestFit="1" customWidth="1"/>
    <col min="3845" max="3845" width="17.625" style="52" bestFit="1" customWidth="1"/>
    <col min="3846" max="3846" width="9" style="52"/>
    <col min="3847" max="3847" width="20.625" style="52" bestFit="1" customWidth="1"/>
    <col min="3848" max="4096" width="9" style="52"/>
    <col min="4097" max="4097" width="11.125" style="52" bestFit="1" customWidth="1"/>
    <col min="4098" max="4098" width="23.875" style="52" bestFit="1" customWidth="1"/>
    <col min="4099" max="4099" width="25.625" style="52" bestFit="1" customWidth="1"/>
    <col min="4100" max="4100" width="16.875" style="52" bestFit="1" customWidth="1"/>
    <col min="4101" max="4101" width="17.625" style="52" bestFit="1" customWidth="1"/>
    <col min="4102" max="4102" width="9" style="52"/>
    <col min="4103" max="4103" width="20.625" style="52" bestFit="1" customWidth="1"/>
    <col min="4104" max="4352" width="9" style="52"/>
    <col min="4353" max="4353" width="11.125" style="52" bestFit="1" customWidth="1"/>
    <col min="4354" max="4354" width="23.875" style="52" bestFit="1" customWidth="1"/>
    <col min="4355" max="4355" width="25.625" style="52" bestFit="1" customWidth="1"/>
    <col min="4356" max="4356" width="16.875" style="52" bestFit="1" customWidth="1"/>
    <col min="4357" max="4357" width="17.625" style="52" bestFit="1" customWidth="1"/>
    <col min="4358" max="4358" width="9" style="52"/>
    <col min="4359" max="4359" width="20.625" style="52" bestFit="1" customWidth="1"/>
    <col min="4360" max="4608" width="9" style="52"/>
    <col min="4609" max="4609" width="11.125" style="52" bestFit="1" customWidth="1"/>
    <col min="4610" max="4610" width="23.875" style="52" bestFit="1" customWidth="1"/>
    <col min="4611" max="4611" width="25.625" style="52" bestFit="1" customWidth="1"/>
    <col min="4612" max="4612" width="16.875" style="52" bestFit="1" customWidth="1"/>
    <col min="4613" max="4613" width="17.625" style="52" bestFit="1" customWidth="1"/>
    <col min="4614" max="4614" width="9" style="52"/>
    <col min="4615" max="4615" width="20.625" style="52" bestFit="1" customWidth="1"/>
    <col min="4616" max="4864" width="9" style="52"/>
    <col min="4865" max="4865" width="11.125" style="52" bestFit="1" customWidth="1"/>
    <col min="4866" max="4866" width="23.875" style="52" bestFit="1" customWidth="1"/>
    <col min="4867" max="4867" width="25.625" style="52" bestFit="1" customWidth="1"/>
    <col min="4868" max="4868" width="16.875" style="52" bestFit="1" customWidth="1"/>
    <col min="4869" max="4869" width="17.625" style="52" bestFit="1" customWidth="1"/>
    <col min="4870" max="4870" width="9" style="52"/>
    <col min="4871" max="4871" width="20.625" style="52" bestFit="1" customWidth="1"/>
    <col min="4872" max="5120" width="9" style="52"/>
    <col min="5121" max="5121" width="11.125" style="52" bestFit="1" customWidth="1"/>
    <col min="5122" max="5122" width="23.875" style="52" bestFit="1" customWidth="1"/>
    <col min="5123" max="5123" width="25.625" style="52" bestFit="1" customWidth="1"/>
    <col min="5124" max="5124" width="16.875" style="52" bestFit="1" customWidth="1"/>
    <col min="5125" max="5125" width="17.625" style="52" bestFit="1" customWidth="1"/>
    <col min="5126" max="5126" width="9" style="52"/>
    <col min="5127" max="5127" width="20.625" style="52" bestFit="1" customWidth="1"/>
    <col min="5128" max="5376" width="9" style="52"/>
    <col min="5377" max="5377" width="11.125" style="52" bestFit="1" customWidth="1"/>
    <col min="5378" max="5378" width="23.875" style="52" bestFit="1" customWidth="1"/>
    <col min="5379" max="5379" width="25.625" style="52" bestFit="1" customWidth="1"/>
    <col min="5380" max="5380" width="16.875" style="52" bestFit="1" customWidth="1"/>
    <col min="5381" max="5381" width="17.625" style="52" bestFit="1" customWidth="1"/>
    <col min="5382" max="5382" width="9" style="52"/>
    <col min="5383" max="5383" width="20.625" style="52" bestFit="1" customWidth="1"/>
    <col min="5384" max="5632" width="9" style="52"/>
    <col min="5633" max="5633" width="11.125" style="52" bestFit="1" customWidth="1"/>
    <col min="5634" max="5634" width="23.875" style="52" bestFit="1" customWidth="1"/>
    <col min="5635" max="5635" width="25.625" style="52" bestFit="1" customWidth="1"/>
    <col min="5636" max="5636" width="16.875" style="52" bestFit="1" customWidth="1"/>
    <col min="5637" max="5637" width="17.625" style="52" bestFit="1" customWidth="1"/>
    <col min="5638" max="5638" width="9" style="52"/>
    <col min="5639" max="5639" width="20.625" style="52" bestFit="1" customWidth="1"/>
    <col min="5640" max="5888" width="9" style="52"/>
    <col min="5889" max="5889" width="11.125" style="52" bestFit="1" customWidth="1"/>
    <col min="5890" max="5890" width="23.875" style="52" bestFit="1" customWidth="1"/>
    <col min="5891" max="5891" width="25.625" style="52" bestFit="1" customWidth="1"/>
    <col min="5892" max="5892" width="16.875" style="52" bestFit="1" customWidth="1"/>
    <col min="5893" max="5893" width="17.625" style="52" bestFit="1" customWidth="1"/>
    <col min="5894" max="5894" width="9" style="52"/>
    <col min="5895" max="5895" width="20.625" style="52" bestFit="1" customWidth="1"/>
    <col min="5896" max="6144" width="9" style="52"/>
    <col min="6145" max="6145" width="11.125" style="52" bestFit="1" customWidth="1"/>
    <col min="6146" max="6146" width="23.875" style="52" bestFit="1" customWidth="1"/>
    <col min="6147" max="6147" width="25.625" style="52" bestFit="1" customWidth="1"/>
    <col min="6148" max="6148" width="16.875" style="52" bestFit="1" customWidth="1"/>
    <col min="6149" max="6149" width="17.625" style="52" bestFit="1" customWidth="1"/>
    <col min="6150" max="6150" width="9" style="52"/>
    <col min="6151" max="6151" width="20.625" style="52" bestFit="1" customWidth="1"/>
    <col min="6152" max="6400" width="9" style="52"/>
    <col min="6401" max="6401" width="11.125" style="52" bestFit="1" customWidth="1"/>
    <col min="6402" max="6402" width="23.875" style="52" bestFit="1" customWidth="1"/>
    <col min="6403" max="6403" width="25.625" style="52" bestFit="1" customWidth="1"/>
    <col min="6404" max="6404" width="16.875" style="52" bestFit="1" customWidth="1"/>
    <col min="6405" max="6405" width="17.625" style="52" bestFit="1" customWidth="1"/>
    <col min="6406" max="6406" width="9" style="52"/>
    <col min="6407" max="6407" width="20.625" style="52" bestFit="1" customWidth="1"/>
    <col min="6408" max="6656" width="9" style="52"/>
    <col min="6657" max="6657" width="11.125" style="52" bestFit="1" customWidth="1"/>
    <col min="6658" max="6658" width="23.875" style="52" bestFit="1" customWidth="1"/>
    <col min="6659" max="6659" width="25.625" style="52" bestFit="1" customWidth="1"/>
    <col min="6660" max="6660" width="16.875" style="52" bestFit="1" customWidth="1"/>
    <col min="6661" max="6661" width="17.625" style="52" bestFit="1" customWidth="1"/>
    <col min="6662" max="6662" width="9" style="52"/>
    <col min="6663" max="6663" width="20.625" style="52" bestFit="1" customWidth="1"/>
    <col min="6664" max="6912" width="9" style="52"/>
    <col min="6913" max="6913" width="11.125" style="52" bestFit="1" customWidth="1"/>
    <col min="6914" max="6914" width="23.875" style="52" bestFit="1" customWidth="1"/>
    <col min="6915" max="6915" width="25.625" style="52" bestFit="1" customWidth="1"/>
    <col min="6916" max="6916" width="16.875" style="52" bestFit="1" customWidth="1"/>
    <col min="6917" max="6917" width="17.625" style="52" bestFit="1" customWidth="1"/>
    <col min="6918" max="6918" width="9" style="52"/>
    <col min="6919" max="6919" width="20.625" style="52" bestFit="1" customWidth="1"/>
    <col min="6920" max="7168" width="9" style="52"/>
    <col min="7169" max="7169" width="11.125" style="52" bestFit="1" customWidth="1"/>
    <col min="7170" max="7170" width="23.875" style="52" bestFit="1" customWidth="1"/>
    <col min="7171" max="7171" width="25.625" style="52" bestFit="1" customWidth="1"/>
    <col min="7172" max="7172" width="16.875" style="52" bestFit="1" customWidth="1"/>
    <col min="7173" max="7173" width="17.625" style="52" bestFit="1" customWidth="1"/>
    <col min="7174" max="7174" width="9" style="52"/>
    <col min="7175" max="7175" width="20.625" style="52" bestFit="1" customWidth="1"/>
    <col min="7176" max="7424" width="9" style="52"/>
    <col min="7425" max="7425" width="11.125" style="52" bestFit="1" customWidth="1"/>
    <col min="7426" max="7426" width="23.875" style="52" bestFit="1" customWidth="1"/>
    <col min="7427" max="7427" width="25.625" style="52" bestFit="1" customWidth="1"/>
    <col min="7428" max="7428" width="16.875" style="52" bestFit="1" customWidth="1"/>
    <col min="7429" max="7429" width="17.625" style="52" bestFit="1" customWidth="1"/>
    <col min="7430" max="7430" width="9" style="52"/>
    <col min="7431" max="7431" width="20.625" style="52" bestFit="1" customWidth="1"/>
    <col min="7432" max="7680" width="9" style="52"/>
    <col min="7681" max="7681" width="11.125" style="52" bestFit="1" customWidth="1"/>
    <col min="7682" max="7682" width="23.875" style="52" bestFit="1" customWidth="1"/>
    <col min="7683" max="7683" width="25.625" style="52" bestFit="1" customWidth="1"/>
    <col min="7684" max="7684" width="16.875" style="52" bestFit="1" customWidth="1"/>
    <col min="7685" max="7685" width="17.625" style="52" bestFit="1" customWidth="1"/>
    <col min="7686" max="7686" width="9" style="52"/>
    <col min="7687" max="7687" width="20.625" style="52" bestFit="1" customWidth="1"/>
    <col min="7688" max="7936" width="9" style="52"/>
    <col min="7937" max="7937" width="11.125" style="52" bestFit="1" customWidth="1"/>
    <col min="7938" max="7938" width="23.875" style="52" bestFit="1" customWidth="1"/>
    <col min="7939" max="7939" width="25.625" style="52" bestFit="1" customWidth="1"/>
    <col min="7940" max="7940" width="16.875" style="52" bestFit="1" customWidth="1"/>
    <col min="7941" max="7941" width="17.625" style="52" bestFit="1" customWidth="1"/>
    <col min="7942" max="7942" width="9" style="52"/>
    <col min="7943" max="7943" width="20.625" style="52" bestFit="1" customWidth="1"/>
    <col min="7944" max="8192" width="9" style="52"/>
    <col min="8193" max="8193" width="11.125" style="52" bestFit="1" customWidth="1"/>
    <col min="8194" max="8194" width="23.875" style="52" bestFit="1" customWidth="1"/>
    <col min="8195" max="8195" width="25.625" style="52" bestFit="1" customWidth="1"/>
    <col min="8196" max="8196" width="16.875" style="52" bestFit="1" customWidth="1"/>
    <col min="8197" max="8197" width="17.625" style="52" bestFit="1" customWidth="1"/>
    <col min="8198" max="8198" width="9" style="52"/>
    <col min="8199" max="8199" width="20.625" style="52" bestFit="1" customWidth="1"/>
    <col min="8200" max="8448" width="9" style="52"/>
    <col min="8449" max="8449" width="11.125" style="52" bestFit="1" customWidth="1"/>
    <col min="8450" max="8450" width="23.875" style="52" bestFit="1" customWidth="1"/>
    <col min="8451" max="8451" width="25.625" style="52" bestFit="1" customWidth="1"/>
    <col min="8452" max="8452" width="16.875" style="52" bestFit="1" customWidth="1"/>
    <col min="8453" max="8453" width="17.625" style="52" bestFit="1" customWidth="1"/>
    <col min="8454" max="8454" width="9" style="52"/>
    <col min="8455" max="8455" width="20.625" style="52" bestFit="1" customWidth="1"/>
    <col min="8456" max="8704" width="9" style="52"/>
    <col min="8705" max="8705" width="11.125" style="52" bestFit="1" customWidth="1"/>
    <col min="8706" max="8706" width="23.875" style="52" bestFit="1" customWidth="1"/>
    <col min="8707" max="8707" width="25.625" style="52" bestFit="1" customWidth="1"/>
    <col min="8708" max="8708" width="16.875" style="52" bestFit="1" customWidth="1"/>
    <col min="8709" max="8709" width="17.625" style="52" bestFit="1" customWidth="1"/>
    <col min="8710" max="8710" width="9" style="52"/>
    <col min="8711" max="8711" width="20.625" style="52" bestFit="1" customWidth="1"/>
    <col min="8712" max="8960" width="9" style="52"/>
    <col min="8961" max="8961" width="11.125" style="52" bestFit="1" customWidth="1"/>
    <col min="8962" max="8962" width="23.875" style="52" bestFit="1" customWidth="1"/>
    <col min="8963" max="8963" width="25.625" style="52" bestFit="1" customWidth="1"/>
    <col min="8964" max="8964" width="16.875" style="52" bestFit="1" customWidth="1"/>
    <col min="8965" max="8965" width="17.625" style="52" bestFit="1" customWidth="1"/>
    <col min="8966" max="8966" width="9" style="52"/>
    <col min="8967" max="8967" width="20.625" style="52" bestFit="1" customWidth="1"/>
    <col min="8968" max="9216" width="9" style="52"/>
    <col min="9217" max="9217" width="11.125" style="52" bestFit="1" customWidth="1"/>
    <col min="9218" max="9218" width="23.875" style="52" bestFit="1" customWidth="1"/>
    <col min="9219" max="9219" width="25.625" style="52" bestFit="1" customWidth="1"/>
    <col min="9220" max="9220" width="16.875" style="52" bestFit="1" customWidth="1"/>
    <col min="9221" max="9221" width="17.625" style="52" bestFit="1" customWidth="1"/>
    <col min="9222" max="9222" width="9" style="52"/>
    <col min="9223" max="9223" width="20.625" style="52" bestFit="1" customWidth="1"/>
    <col min="9224" max="9472" width="9" style="52"/>
    <col min="9473" max="9473" width="11.125" style="52" bestFit="1" customWidth="1"/>
    <col min="9474" max="9474" width="23.875" style="52" bestFit="1" customWidth="1"/>
    <col min="9475" max="9475" width="25.625" style="52" bestFit="1" customWidth="1"/>
    <col min="9476" max="9476" width="16.875" style="52" bestFit="1" customWidth="1"/>
    <col min="9477" max="9477" width="17.625" style="52" bestFit="1" customWidth="1"/>
    <col min="9478" max="9478" width="9" style="52"/>
    <col min="9479" max="9479" width="20.625" style="52" bestFit="1" customWidth="1"/>
    <col min="9480" max="9728" width="9" style="52"/>
    <col min="9729" max="9729" width="11.125" style="52" bestFit="1" customWidth="1"/>
    <col min="9730" max="9730" width="23.875" style="52" bestFit="1" customWidth="1"/>
    <col min="9731" max="9731" width="25.625" style="52" bestFit="1" customWidth="1"/>
    <col min="9732" max="9732" width="16.875" style="52" bestFit="1" customWidth="1"/>
    <col min="9733" max="9733" width="17.625" style="52" bestFit="1" customWidth="1"/>
    <col min="9734" max="9734" width="9" style="52"/>
    <col min="9735" max="9735" width="20.625" style="52" bestFit="1" customWidth="1"/>
    <col min="9736" max="9984" width="9" style="52"/>
    <col min="9985" max="9985" width="11.125" style="52" bestFit="1" customWidth="1"/>
    <col min="9986" max="9986" width="23.875" style="52" bestFit="1" customWidth="1"/>
    <col min="9987" max="9987" width="25.625" style="52" bestFit="1" customWidth="1"/>
    <col min="9988" max="9988" width="16.875" style="52" bestFit="1" customWidth="1"/>
    <col min="9989" max="9989" width="17.625" style="52" bestFit="1" customWidth="1"/>
    <col min="9990" max="9990" width="9" style="52"/>
    <col min="9991" max="9991" width="20.625" style="52" bestFit="1" customWidth="1"/>
    <col min="9992" max="10240" width="9" style="52"/>
    <col min="10241" max="10241" width="11.125" style="52" bestFit="1" customWidth="1"/>
    <col min="10242" max="10242" width="23.875" style="52" bestFit="1" customWidth="1"/>
    <col min="10243" max="10243" width="25.625" style="52" bestFit="1" customWidth="1"/>
    <col min="10244" max="10244" width="16.875" style="52" bestFit="1" customWidth="1"/>
    <col min="10245" max="10245" width="17.625" style="52" bestFit="1" customWidth="1"/>
    <col min="10246" max="10246" width="9" style="52"/>
    <col min="10247" max="10247" width="20.625" style="52" bestFit="1" customWidth="1"/>
    <col min="10248" max="10496" width="9" style="52"/>
    <col min="10497" max="10497" width="11.125" style="52" bestFit="1" customWidth="1"/>
    <col min="10498" max="10498" width="23.875" style="52" bestFit="1" customWidth="1"/>
    <col min="10499" max="10499" width="25.625" style="52" bestFit="1" customWidth="1"/>
    <col min="10500" max="10500" width="16.875" style="52" bestFit="1" customWidth="1"/>
    <col min="10501" max="10501" width="17.625" style="52" bestFit="1" customWidth="1"/>
    <col min="10502" max="10502" width="9" style="52"/>
    <col min="10503" max="10503" width="20.625" style="52" bestFit="1" customWidth="1"/>
    <col min="10504" max="10752" width="9" style="52"/>
    <col min="10753" max="10753" width="11.125" style="52" bestFit="1" customWidth="1"/>
    <col min="10754" max="10754" width="23.875" style="52" bestFit="1" customWidth="1"/>
    <col min="10755" max="10755" width="25.625" style="52" bestFit="1" customWidth="1"/>
    <col min="10756" max="10756" width="16.875" style="52" bestFit="1" customWidth="1"/>
    <col min="10757" max="10757" width="17.625" style="52" bestFit="1" customWidth="1"/>
    <col min="10758" max="10758" width="9" style="52"/>
    <col min="10759" max="10759" width="20.625" style="52" bestFit="1" customWidth="1"/>
    <col min="10760" max="11008" width="9" style="52"/>
    <col min="11009" max="11009" width="11.125" style="52" bestFit="1" customWidth="1"/>
    <col min="11010" max="11010" width="23.875" style="52" bestFit="1" customWidth="1"/>
    <col min="11011" max="11011" width="25.625" style="52" bestFit="1" customWidth="1"/>
    <col min="11012" max="11012" width="16.875" style="52" bestFit="1" customWidth="1"/>
    <col min="11013" max="11013" width="17.625" style="52" bestFit="1" customWidth="1"/>
    <col min="11014" max="11014" width="9" style="52"/>
    <col min="11015" max="11015" width="20.625" style="52" bestFit="1" customWidth="1"/>
    <col min="11016" max="11264" width="9" style="52"/>
    <col min="11265" max="11265" width="11.125" style="52" bestFit="1" customWidth="1"/>
    <col min="11266" max="11266" width="23.875" style="52" bestFit="1" customWidth="1"/>
    <col min="11267" max="11267" width="25.625" style="52" bestFit="1" customWidth="1"/>
    <col min="11268" max="11268" width="16.875" style="52" bestFit="1" customWidth="1"/>
    <col min="11269" max="11269" width="17.625" style="52" bestFit="1" customWidth="1"/>
    <col min="11270" max="11270" width="9" style="52"/>
    <col min="11271" max="11271" width="20.625" style="52" bestFit="1" customWidth="1"/>
    <col min="11272" max="11520" width="9" style="52"/>
    <col min="11521" max="11521" width="11.125" style="52" bestFit="1" customWidth="1"/>
    <col min="11522" max="11522" width="23.875" style="52" bestFit="1" customWidth="1"/>
    <col min="11523" max="11523" width="25.625" style="52" bestFit="1" customWidth="1"/>
    <col min="11524" max="11524" width="16.875" style="52" bestFit="1" customWidth="1"/>
    <col min="11525" max="11525" width="17.625" style="52" bestFit="1" customWidth="1"/>
    <col min="11526" max="11526" width="9" style="52"/>
    <col min="11527" max="11527" width="20.625" style="52" bestFit="1" customWidth="1"/>
    <col min="11528" max="11776" width="9" style="52"/>
    <col min="11777" max="11777" width="11.125" style="52" bestFit="1" customWidth="1"/>
    <col min="11778" max="11778" width="23.875" style="52" bestFit="1" customWidth="1"/>
    <col min="11779" max="11779" width="25.625" style="52" bestFit="1" customWidth="1"/>
    <col min="11780" max="11780" width="16.875" style="52" bestFit="1" customWidth="1"/>
    <col min="11781" max="11781" width="17.625" style="52" bestFit="1" customWidth="1"/>
    <col min="11782" max="11782" width="9" style="52"/>
    <col min="11783" max="11783" width="20.625" style="52" bestFit="1" customWidth="1"/>
    <col min="11784" max="12032" width="9" style="52"/>
    <col min="12033" max="12033" width="11.125" style="52" bestFit="1" customWidth="1"/>
    <col min="12034" max="12034" width="23.875" style="52" bestFit="1" customWidth="1"/>
    <col min="12035" max="12035" width="25.625" style="52" bestFit="1" customWidth="1"/>
    <col min="12036" max="12036" width="16.875" style="52" bestFit="1" customWidth="1"/>
    <col min="12037" max="12037" width="17.625" style="52" bestFit="1" customWidth="1"/>
    <col min="12038" max="12038" width="9" style="52"/>
    <col min="12039" max="12039" width="20.625" style="52" bestFit="1" customWidth="1"/>
    <col min="12040" max="12288" width="9" style="52"/>
    <col min="12289" max="12289" width="11.125" style="52" bestFit="1" customWidth="1"/>
    <col min="12290" max="12290" width="23.875" style="52" bestFit="1" customWidth="1"/>
    <col min="12291" max="12291" width="25.625" style="52" bestFit="1" customWidth="1"/>
    <col min="12292" max="12292" width="16.875" style="52" bestFit="1" customWidth="1"/>
    <col min="12293" max="12293" width="17.625" style="52" bestFit="1" customWidth="1"/>
    <col min="12294" max="12294" width="9" style="52"/>
    <col min="12295" max="12295" width="20.625" style="52" bestFit="1" customWidth="1"/>
    <col min="12296" max="12544" width="9" style="52"/>
    <col min="12545" max="12545" width="11.125" style="52" bestFit="1" customWidth="1"/>
    <col min="12546" max="12546" width="23.875" style="52" bestFit="1" customWidth="1"/>
    <col min="12547" max="12547" width="25.625" style="52" bestFit="1" customWidth="1"/>
    <col min="12548" max="12548" width="16.875" style="52" bestFit="1" customWidth="1"/>
    <col min="12549" max="12549" width="17.625" style="52" bestFit="1" customWidth="1"/>
    <col min="12550" max="12550" width="9" style="52"/>
    <col min="12551" max="12551" width="20.625" style="52" bestFit="1" customWidth="1"/>
    <col min="12552" max="12800" width="9" style="52"/>
    <col min="12801" max="12801" width="11.125" style="52" bestFit="1" customWidth="1"/>
    <col min="12802" max="12802" width="23.875" style="52" bestFit="1" customWidth="1"/>
    <col min="12803" max="12803" width="25.625" style="52" bestFit="1" customWidth="1"/>
    <col min="12804" max="12804" width="16.875" style="52" bestFit="1" customWidth="1"/>
    <col min="12805" max="12805" width="17.625" style="52" bestFit="1" customWidth="1"/>
    <col min="12806" max="12806" width="9" style="52"/>
    <col min="12807" max="12807" width="20.625" style="52" bestFit="1" customWidth="1"/>
    <col min="12808" max="13056" width="9" style="52"/>
    <col min="13057" max="13057" width="11.125" style="52" bestFit="1" customWidth="1"/>
    <col min="13058" max="13058" width="23.875" style="52" bestFit="1" customWidth="1"/>
    <col min="13059" max="13059" width="25.625" style="52" bestFit="1" customWidth="1"/>
    <col min="13060" max="13060" width="16.875" style="52" bestFit="1" customWidth="1"/>
    <col min="13061" max="13061" width="17.625" style="52" bestFit="1" customWidth="1"/>
    <col min="13062" max="13062" width="9" style="52"/>
    <col min="13063" max="13063" width="20.625" style="52" bestFit="1" customWidth="1"/>
    <col min="13064" max="13312" width="9" style="52"/>
    <col min="13313" max="13313" width="11.125" style="52" bestFit="1" customWidth="1"/>
    <col min="13314" max="13314" width="23.875" style="52" bestFit="1" customWidth="1"/>
    <col min="13315" max="13315" width="25.625" style="52" bestFit="1" customWidth="1"/>
    <col min="13316" max="13316" width="16.875" style="52" bestFit="1" customWidth="1"/>
    <col min="13317" max="13317" width="17.625" style="52" bestFit="1" customWidth="1"/>
    <col min="13318" max="13318" width="9" style="52"/>
    <col min="13319" max="13319" width="20.625" style="52" bestFit="1" customWidth="1"/>
    <col min="13320" max="13568" width="9" style="52"/>
    <col min="13569" max="13569" width="11.125" style="52" bestFit="1" customWidth="1"/>
    <col min="13570" max="13570" width="23.875" style="52" bestFit="1" customWidth="1"/>
    <col min="13571" max="13571" width="25.625" style="52" bestFit="1" customWidth="1"/>
    <col min="13572" max="13572" width="16.875" style="52" bestFit="1" customWidth="1"/>
    <col min="13573" max="13573" width="17.625" style="52" bestFit="1" customWidth="1"/>
    <col min="13574" max="13574" width="9" style="52"/>
    <col min="13575" max="13575" width="20.625" style="52" bestFit="1" customWidth="1"/>
    <col min="13576" max="13824" width="9" style="52"/>
    <col min="13825" max="13825" width="11.125" style="52" bestFit="1" customWidth="1"/>
    <col min="13826" max="13826" width="23.875" style="52" bestFit="1" customWidth="1"/>
    <col min="13827" max="13827" width="25.625" style="52" bestFit="1" customWidth="1"/>
    <col min="13828" max="13828" width="16.875" style="52" bestFit="1" customWidth="1"/>
    <col min="13829" max="13829" width="17.625" style="52" bestFit="1" customWidth="1"/>
    <col min="13830" max="13830" width="9" style="52"/>
    <col min="13831" max="13831" width="20.625" style="52" bestFit="1" customWidth="1"/>
    <col min="13832" max="14080" width="9" style="52"/>
    <col min="14081" max="14081" width="11.125" style="52" bestFit="1" customWidth="1"/>
    <col min="14082" max="14082" width="23.875" style="52" bestFit="1" customWidth="1"/>
    <col min="14083" max="14083" width="25.625" style="52" bestFit="1" customWidth="1"/>
    <col min="14084" max="14084" width="16.875" style="52" bestFit="1" customWidth="1"/>
    <col min="14085" max="14085" width="17.625" style="52" bestFit="1" customWidth="1"/>
    <col min="14086" max="14086" width="9" style="52"/>
    <col min="14087" max="14087" width="20.625" style="52" bestFit="1" customWidth="1"/>
    <col min="14088" max="14336" width="9" style="52"/>
    <col min="14337" max="14337" width="11.125" style="52" bestFit="1" customWidth="1"/>
    <col min="14338" max="14338" width="23.875" style="52" bestFit="1" customWidth="1"/>
    <col min="14339" max="14339" width="25.625" style="52" bestFit="1" customWidth="1"/>
    <col min="14340" max="14340" width="16.875" style="52" bestFit="1" customWidth="1"/>
    <col min="14341" max="14341" width="17.625" style="52" bestFit="1" customWidth="1"/>
    <col min="14342" max="14342" width="9" style="52"/>
    <col min="14343" max="14343" width="20.625" style="52" bestFit="1" customWidth="1"/>
    <col min="14344" max="14592" width="9" style="52"/>
    <col min="14593" max="14593" width="11.125" style="52" bestFit="1" customWidth="1"/>
    <col min="14594" max="14594" width="23.875" style="52" bestFit="1" customWidth="1"/>
    <col min="14595" max="14595" width="25.625" style="52" bestFit="1" customWidth="1"/>
    <col min="14596" max="14596" width="16.875" style="52" bestFit="1" customWidth="1"/>
    <col min="14597" max="14597" width="17.625" style="52" bestFit="1" customWidth="1"/>
    <col min="14598" max="14598" width="9" style="52"/>
    <col min="14599" max="14599" width="20.625" style="52" bestFit="1" customWidth="1"/>
    <col min="14600" max="14848" width="9" style="52"/>
    <col min="14849" max="14849" width="11.125" style="52" bestFit="1" customWidth="1"/>
    <col min="14850" max="14850" width="23.875" style="52" bestFit="1" customWidth="1"/>
    <col min="14851" max="14851" width="25.625" style="52" bestFit="1" customWidth="1"/>
    <col min="14852" max="14852" width="16.875" style="52" bestFit="1" customWidth="1"/>
    <col min="14853" max="14853" width="17.625" style="52" bestFit="1" customWidth="1"/>
    <col min="14854" max="14854" width="9" style="52"/>
    <col min="14855" max="14855" width="20.625" style="52" bestFit="1" customWidth="1"/>
    <col min="14856" max="15104" width="9" style="52"/>
    <col min="15105" max="15105" width="11.125" style="52" bestFit="1" customWidth="1"/>
    <col min="15106" max="15106" width="23.875" style="52" bestFit="1" customWidth="1"/>
    <col min="15107" max="15107" width="25.625" style="52" bestFit="1" customWidth="1"/>
    <col min="15108" max="15108" width="16.875" style="52" bestFit="1" customWidth="1"/>
    <col min="15109" max="15109" width="17.625" style="52" bestFit="1" customWidth="1"/>
    <col min="15110" max="15110" width="9" style="52"/>
    <col min="15111" max="15111" width="20.625" style="52" bestFit="1" customWidth="1"/>
    <col min="15112" max="15360" width="9" style="52"/>
    <col min="15361" max="15361" width="11.125" style="52" bestFit="1" customWidth="1"/>
    <col min="15362" max="15362" width="23.875" style="52" bestFit="1" customWidth="1"/>
    <col min="15363" max="15363" width="25.625" style="52" bestFit="1" customWidth="1"/>
    <col min="15364" max="15364" width="16.875" style="52" bestFit="1" customWidth="1"/>
    <col min="15365" max="15365" width="17.625" style="52" bestFit="1" customWidth="1"/>
    <col min="15366" max="15366" width="9" style="52"/>
    <col min="15367" max="15367" width="20.625" style="52" bestFit="1" customWidth="1"/>
    <col min="15368" max="15616" width="9" style="52"/>
    <col min="15617" max="15617" width="11.125" style="52" bestFit="1" customWidth="1"/>
    <col min="15618" max="15618" width="23.875" style="52" bestFit="1" customWidth="1"/>
    <col min="15619" max="15619" width="25.625" style="52" bestFit="1" customWidth="1"/>
    <col min="15620" max="15620" width="16.875" style="52" bestFit="1" customWidth="1"/>
    <col min="15621" max="15621" width="17.625" style="52" bestFit="1" customWidth="1"/>
    <col min="15622" max="15622" width="9" style="52"/>
    <col min="15623" max="15623" width="20.625" style="52" bestFit="1" customWidth="1"/>
    <col min="15624" max="15872" width="9" style="52"/>
    <col min="15873" max="15873" width="11.125" style="52" bestFit="1" customWidth="1"/>
    <col min="15874" max="15874" width="23.875" style="52" bestFit="1" customWidth="1"/>
    <col min="15875" max="15875" width="25.625" style="52" bestFit="1" customWidth="1"/>
    <col min="15876" max="15876" width="16.875" style="52" bestFit="1" customWidth="1"/>
    <col min="15877" max="15877" width="17.625" style="52" bestFit="1" customWidth="1"/>
    <col min="15878" max="15878" width="9" style="52"/>
    <col min="15879" max="15879" width="20.625" style="52" bestFit="1" customWidth="1"/>
    <col min="15880" max="16128" width="9" style="52"/>
    <col min="16129" max="16129" width="11.125" style="52" bestFit="1" customWidth="1"/>
    <col min="16130" max="16130" width="23.875" style="52" bestFit="1" customWidth="1"/>
    <col min="16131" max="16131" width="25.625" style="52" bestFit="1" customWidth="1"/>
    <col min="16132" max="16132" width="16.875" style="52" bestFit="1" customWidth="1"/>
    <col min="16133" max="16133" width="17.625" style="52" bestFit="1" customWidth="1"/>
    <col min="16134" max="16134" width="9" style="52"/>
    <col min="16135" max="16135" width="20.625" style="52" bestFit="1" customWidth="1"/>
    <col min="16136" max="16384" width="9" style="52"/>
  </cols>
  <sheetData>
    <row r="1" spans="1:8">
      <c r="A1" s="219" t="s">
        <v>466</v>
      </c>
      <c r="B1" s="219" t="s">
        <v>654</v>
      </c>
      <c r="C1" s="219" t="s">
        <v>654</v>
      </c>
      <c r="D1" s="219" t="s">
        <v>1339</v>
      </c>
      <c r="E1" s="219" t="s">
        <v>1340</v>
      </c>
      <c r="F1" s="219" t="s">
        <v>8286</v>
      </c>
      <c r="G1" s="219" t="s">
        <v>1342</v>
      </c>
    </row>
    <row r="2" spans="1:8" ht="13.5" thickBot="1">
      <c r="A2" s="98"/>
      <c r="B2" s="98"/>
      <c r="C2" s="98"/>
      <c r="D2" s="101" t="s">
        <v>8294</v>
      </c>
      <c r="E2" s="101" t="s">
        <v>8294</v>
      </c>
      <c r="F2" s="101" t="s">
        <v>483</v>
      </c>
      <c r="G2" s="616" t="s">
        <v>8909</v>
      </c>
    </row>
    <row r="3" spans="1:8">
      <c r="A3" s="647" t="s">
        <v>8900</v>
      </c>
      <c r="B3" s="649" t="s">
        <v>8901</v>
      </c>
      <c r="C3" s="649" t="s">
        <v>8836</v>
      </c>
      <c r="D3" s="587">
        <v>125040000</v>
      </c>
      <c r="E3" s="662">
        <f>VLOOKUP($A3,Furnace!$F$5:$N$7,8,0)*0.8598452279</f>
        <v>129393169.07106715</v>
      </c>
      <c r="F3" s="648">
        <f>VLOOKUP($B3,Transmitter!$D$5:$Z$704,22,0)</f>
        <v>2.8361932969775601</v>
      </c>
      <c r="G3" s="651">
        <f>VLOOKUP($C3,Transmitter!$D$5:$Z$704,22,0)*1000</f>
        <v>9870.9348710827799</v>
      </c>
    </row>
    <row r="4" spans="1:8">
      <c r="A4" s="258" t="s">
        <v>1345</v>
      </c>
      <c r="B4" s="650" t="s">
        <v>8835</v>
      </c>
      <c r="C4" s="650" t="s">
        <v>8834</v>
      </c>
      <c r="D4" s="256">
        <v>13735000</v>
      </c>
      <c r="E4" s="663">
        <f>VLOOKUP($A4,Furnace!$F$5:$N$7,8,0)*0.8598452279</f>
        <v>18047302.725483298</v>
      </c>
      <c r="F4" s="617">
        <f>VLOOKUP($B4,Transmitter!$D$5:$Z$704,22,0)</f>
        <v>3.7122003857080399</v>
      </c>
      <c r="G4" s="652">
        <f>VLOOKUP($C4,Transmitter!$D$5:$Z$704,22,0)</f>
        <v>920.607346235313</v>
      </c>
    </row>
    <row r="5" spans="1:8">
      <c r="A5" s="1073" t="s">
        <v>1351</v>
      </c>
      <c r="B5" s="1075" t="s">
        <v>8837</v>
      </c>
      <c r="C5" s="650" t="s">
        <v>8902</v>
      </c>
      <c r="D5" s="1066">
        <v>30200000</v>
      </c>
      <c r="E5" s="1077">
        <f>VLOOKUP($A5,Furnace!$F$5:$N$7,8,0)*0.8598452279</f>
        <v>23840587.044465657</v>
      </c>
      <c r="F5" s="1079">
        <f>VLOOKUP($B5,Transmitter!$D$5:$Z$704,22,0)</f>
        <v>3.7562483226227101</v>
      </c>
      <c r="G5" s="652">
        <f>VLOOKUP($C5,Transmitter!$D$5:$Z$704,22,0)</f>
        <v>189.124137537422</v>
      </c>
    </row>
    <row r="6" spans="1:8">
      <c r="A6" s="1074"/>
      <c r="B6" s="1076"/>
      <c r="C6" s="650" t="s">
        <v>5984</v>
      </c>
      <c r="D6" s="1074"/>
      <c r="E6" s="1078"/>
      <c r="F6" s="1074"/>
      <c r="G6" s="652">
        <f>VLOOKUP($C6,Transmitter!$D$5:$Z$704,22,0)</f>
        <v>951.43787841043695</v>
      </c>
      <c r="H6" s="615" t="s">
        <v>8903</v>
      </c>
    </row>
    <row r="12" spans="1:8">
      <c r="D12" s="615"/>
    </row>
  </sheetData>
  <mergeCells count="5">
    <mergeCell ref="A5:A6"/>
    <mergeCell ref="B5:B6"/>
    <mergeCell ref="D5:D6"/>
    <mergeCell ref="E5:E6"/>
    <mergeCell ref="F5:F6"/>
  </mergeCells>
  <phoneticPr fontId="14"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sheetPr>
    <tabColor rgb="FF00B0F0"/>
  </sheetPr>
  <dimension ref="A1:U28"/>
  <sheetViews>
    <sheetView topLeftCell="J1" zoomScaleNormal="100" workbookViewId="0">
      <selection activeCell="J1" sqref="J1"/>
    </sheetView>
  </sheetViews>
  <sheetFormatPr defaultRowHeight="12.75"/>
  <cols>
    <col min="1" max="1" width="0" style="52" hidden="1" customWidth="1"/>
    <col min="2" max="2" width="18.625" style="52" hidden="1" customWidth="1"/>
    <col min="3" max="3" width="13.125" style="52" hidden="1" customWidth="1"/>
    <col min="4" max="4" width="9.375" style="52" hidden="1" customWidth="1"/>
    <col min="5" max="5" width="10.875" style="52" hidden="1" customWidth="1"/>
    <col min="6" max="6" width="14.5" style="52" hidden="1" customWidth="1"/>
    <col min="7" max="7" width="17.375" style="52" hidden="1" customWidth="1"/>
    <col min="8" max="8" width="14.625" style="52" hidden="1" customWidth="1"/>
    <col min="9" max="9" width="6.375" style="52" hidden="1" customWidth="1"/>
    <col min="10" max="11" width="16.625" style="52" customWidth="1"/>
    <col min="12" max="12" width="20.625" style="52" customWidth="1"/>
    <col min="13" max="18" width="16.625" style="52" customWidth="1"/>
    <col min="19" max="20" width="16.625" style="615" customWidth="1"/>
    <col min="21" max="21" width="40.625" style="52" customWidth="1"/>
    <col min="22" max="254" width="9" style="52"/>
    <col min="255" max="261" width="0" style="52" hidden="1" customWidth="1"/>
    <col min="262" max="262" width="6.375" style="52" customWidth="1"/>
    <col min="263" max="263" width="9" style="52"/>
    <col min="264" max="264" width="41.875" style="52" customWidth="1"/>
    <col min="265" max="265" width="13.125" style="52" bestFit="1" customWidth="1"/>
    <col min="266" max="266" width="9.375" style="52" bestFit="1" customWidth="1"/>
    <col min="267" max="267" width="10.875" style="52" bestFit="1" customWidth="1"/>
    <col min="268" max="268" width="9.875" style="52" customWidth="1"/>
    <col min="269" max="269" width="14" style="52" customWidth="1"/>
    <col min="270" max="270" width="12.125" style="52" customWidth="1"/>
    <col min="271" max="271" width="11.875" style="52" customWidth="1"/>
    <col min="272" max="272" width="11.5" style="52" customWidth="1"/>
    <col min="273" max="273" width="11.875" style="52" customWidth="1"/>
    <col min="274" max="274" width="11.5" style="52" customWidth="1"/>
    <col min="275" max="275" width="11.875" style="52" customWidth="1"/>
    <col min="276" max="276" width="11.5" style="52" customWidth="1"/>
    <col min="277" max="277" width="18" style="52" bestFit="1" customWidth="1"/>
    <col min="278" max="510" width="9" style="52"/>
    <col min="511" max="517" width="0" style="52" hidden="1" customWidth="1"/>
    <col min="518" max="518" width="6.375" style="52" customWidth="1"/>
    <col min="519" max="519" width="9" style="52"/>
    <col min="520" max="520" width="41.875" style="52" customWidth="1"/>
    <col min="521" max="521" width="13.125" style="52" bestFit="1" customWidth="1"/>
    <col min="522" max="522" width="9.375" style="52" bestFit="1" customWidth="1"/>
    <col min="523" max="523" width="10.875" style="52" bestFit="1" customWidth="1"/>
    <col min="524" max="524" width="9.875" style="52" customWidth="1"/>
    <col min="525" max="525" width="14" style="52" customWidth="1"/>
    <col min="526" max="526" width="12.125" style="52" customWidth="1"/>
    <col min="527" max="527" width="11.875" style="52" customWidth="1"/>
    <col min="528" max="528" width="11.5" style="52" customWidth="1"/>
    <col min="529" max="529" width="11.875" style="52" customWidth="1"/>
    <col min="530" max="530" width="11.5" style="52" customWidth="1"/>
    <col min="531" max="531" width="11.875" style="52" customWidth="1"/>
    <col min="532" max="532" width="11.5" style="52" customWidth="1"/>
    <col min="533" max="533" width="18" style="52" bestFit="1" customWidth="1"/>
    <col min="534" max="766" width="9" style="52"/>
    <col min="767" max="773" width="0" style="52" hidden="1" customWidth="1"/>
    <col min="774" max="774" width="6.375" style="52" customWidth="1"/>
    <col min="775" max="775" width="9" style="52"/>
    <col min="776" max="776" width="41.875" style="52" customWidth="1"/>
    <col min="777" max="777" width="13.125" style="52" bestFit="1" customWidth="1"/>
    <col min="778" max="778" width="9.375" style="52" bestFit="1" customWidth="1"/>
    <col min="779" max="779" width="10.875" style="52" bestFit="1" customWidth="1"/>
    <col min="780" max="780" width="9.875" style="52" customWidth="1"/>
    <col min="781" max="781" width="14" style="52" customWidth="1"/>
    <col min="782" max="782" width="12.125" style="52" customWidth="1"/>
    <col min="783" max="783" width="11.875" style="52" customWidth="1"/>
    <col min="784" max="784" width="11.5" style="52" customWidth="1"/>
    <col min="785" max="785" width="11.875" style="52" customWidth="1"/>
    <col min="786" max="786" width="11.5" style="52" customWidth="1"/>
    <col min="787" max="787" width="11.875" style="52" customWidth="1"/>
    <col min="788" max="788" width="11.5" style="52" customWidth="1"/>
    <col min="789" max="789" width="18" style="52" bestFit="1" customWidth="1"/>
    <col min="790" max="1022" width="9" style="52"/>
    <col min="1023" max="1029" width="0" style="52" hidden="1" customWidth="1"/>
    <col min="1030" max="1030" width="6.375" style="52" customWidth="1"/>
    <col min="1031" max="1031" width="9" style="52"/>
    <col min="1032" max="1032" width="41.875" style="52" customWidth="1"/>
    <col min="1033" max="1033" width="13.125" style="52" bestFit="1" customWidth="1"/>
    <col min="1034" max="1034" width="9.375" style="52" bestFit="1" customWidth="1"/>
    <col min="1035" max="1035" width="10.875" style="52" bestFit="1" customWidth="1"/>
    <col min="1036" max="1036" width="9.875" style="52" customWidth="1"/>
    <col min="1037" max="1037" width="14" style="52" customWidth="1"/>
    <col min="1038" max="1038" width="12.125" style="52" customWidth="1"/>
    <col min="1039" max="1039" width="11.875" style="52" customWidth="1"/>
    <col min="1040" max="1040" width="11.5" style="52" customWidth="1"/>
    <col min="1041" max="1041" width="11.875" style="52" customWidth="1"/>
    <col min="1042" max="1042" width="11.5" style="52" customWidth="1"/>
    <col min="1043" max="1043" width="11.875" style="52" customWidth="1"/>
    <col min="1044" max="1044" width="11.5" style="52" customWidth="1"/>
    <col min="1045" max="1045" width="18" style="52" bestFit="1" customWidth="1"/>
    <col min="1046" max="1278" width="9" style="52"/>
    <col min="1279" max="1285" width="0" style="52" hidden="1" customWidth="1"/>
    <col min="1286" max="1286" width="6.375" style="52" customWidth="1"/>
    <col min="1287" max="1287" width="9" style="52"/>
    <col min="1288" max="1288" width="41.875" style="52" customWidth="1"/>
    <col min="1289" max="1289" width="13.125" style="52" bestFit="1" customWidth="1"/>
    <col min="1290" max="1290" width="9.375" style="52" bestFit="1" customWidth="1"/>
    <col min="1291" max="1291" width="10.875" style="52" bestFit="1" customWidth="1"/>
    <col min="1292" max="1292" width="9.875" style="52" customWidth="1"/>
    <col min="1293" max="1293" width="14" style="52" customWidth="1"/>
    <col min="1294" max="1294" width="12.125" style="52" customWidth="1"/>
    <col min="1295" max="1295" width="11.875" style="52" customWidth="1"/>
    <col min="1296" max="1296" width="11.5" style="52" customWidth="1"/>
    <col min="1297" max="1297" width="11.875" style="52" customWidth="1"/>
    <col min="1298" max="1298" width="11.5" style="52" customWidth="1"/>
    <col min="1299" max="1299" width="11.875" style="52" customWidth="1"/>
    <col min="1300" max="1300" width="11.5" style="52" customWidth="1"/>
    <col min="1301" max="1301" width="18" style="52" bestFit="1" customWidth="1"/>
    <col min="1302" max="1534" width="9" style="52"/>
    <col min="1535" max="1541" width="0" style="52" hidden="1" customWidth="1"/>
    <col min="1542" max="1542" width="6.375" style="52" customWidth="1"/>
    <col min="1543" max="1543" width="9" style="52"/>
    <col min="1544" max="1544" width="41.875" style="52" customWidth="1"/>
    <col min="1545" max="1545" width="13.125" style="52" bestFit="1" customWidth="1"/>
    <col min="1546" max="1546" width="9.375" style="52" bestFit="1" customWidth="1"/>
    <col min="1547" max="1547" width="10.875" style="52" bestFit="1" customWidth="1"/>
    <col min="1548" max="1548" width="9.875" style="52" customWidth="1"/>
    <col min="1549" max="1549" width="14" style="52" customWidth="1"/>
    <col min="1550" max="1550" width="12.125" style="52" customWidth="1"/>
    <col min="1551" max="1551" width="11.875" style="52" customWidth="1"/>
    <col min="1552" max="1552" width="11.5" style="52" customWidth="1"/>
    <col min="1553" max="1553" width="11.875" style="52" customWidth="1"/>
    <col min="1554" max="1554" width="11.5" style="52" customWidth="1"/>
    <col min="1555" max="1555" width="11.875" style="52" customWidth="1"/>
    <col min="1556" max="1556" width="11.5" style="52" customWidth="1"/>
    <col min="1557" max="1557" width="18" style="52" bestFit="1" customWidth="1"/>
    <col min="1558" max="1790" width="9" style="52"/>
    <col min="1791" max="1797" width="0" style="52" hidden="1" customWidth="1"/>
    <col min="1798" max="1798" width="6.375" style="52" customWidth="1"/>
    <col min="1799" max="1799" width="9" style="52"/>
    <col min="1800" max="1800" width="41.875" style="52" customWidth="1"/>
    <col min="1801" max="1801" width="13.125" style="52" bestFit="1" customWidth="1"/>
    <col min="1802" max="1802" width="9.375" style="52" bestFit="1" customWidth="1"/>
    <col min="1803" max="1803" width="10.875" style="52" bestFit="1" customWidth="1"/>
    <col min="1804" max="1804" width="9.875" style="52" customWidth="1"/>
    <col min="1805" max="1805" width="14" style="52" customWidth="1"/>
    <col min="1806" max="1806" width="12.125" style="52" customWidth="1"/>
    <col min="1807" max="1807" width="11.875" style="52" customWidth="1"/>
    <col min="1808" max="1808" width="11.5" style="52" customWidth="1"/>
    <col min="1809" max="1809" width="11.875" style="52" customWidth="1"/>
    <col min="1810" max="1810" width="11.5" style="52" customWidth="1"/>
    <col min="1811" max="1811" width="11.875" style="52" customWidth="1"/>
    <col min="1812" max="1812" width="11.5" style="52" customWidth="1"/>
    <col min="1813" max="1813" width="18" style="52" bestFit="1" customWidth="1"/>
    <col min="1814" max="2046" width="9" style="52"/>
    <col min="2047" max="2053" width="0" style="52" hidden="1" customWidth="1"/>
    <col min="2054" max="2054" width="6.375" style="52" customWidth="1"/>
    <col min="2055" max="2055" width="9" style="52"/>
    <col min="2056" max="2056" width="41.875" style="52" customWidth="1"/>
    <col min="2057" max="2057" width="13.125" style="52" bestFit="1" customWidth="1"/>
    <col min="2058" max="2058" width="9.375" style="52" bestFit="1" customWidth="1"/>
    <col min="2059" max="2059" width="10.875" style="52" bestFit="1" customWidth="1"/>
    <col min="2060" max="2060" width="9.875" style="52" customWidth="1"/>
    <col min="2061" max="2061" width="14" style="52" customWidth="1"/>
    <col min="2062" max="2062" width="12.125" style="52" customWidth="1"/>
    <col min="2063" max="2063" width="11.875" style="52" customWidth="1"/>
    <col min="2064" max="2064" width="11.5" style="52" customWidth="1"/>
    <col min="2065" max="2065" width="11.875" style="52" customWidth="1"/>
    <col min="2066" max="2066" width="11.5" style="52" customWidth="1"/>
    <col min="2067" max="2067" width="11.875" style="52" customWidth="1"/>
    <col min="2068" max="2068" width="11.5" style="52" customWidth="1"/>
    <col min="2069" max="2069" width="18" style="52" bestFit="1" customWidth="1"/>
    <col min="2070" max="2302" width="9" style="52"/>
    <col min="2303" max="2309" width="0" style="52" hidden="1" customWidth="1"/>
    <col min="2310" max="2310" width="6.375" style="52" customWidth="1"/>
    <col min="2311" max="2311" width="9" style="52"/>
    <col min="2312" max="2312" width="41.875" style="52" customWidth="1"/>
    <col min="2313" max="2313" width="13.125" style="52" bestFit="1" customWidth="1"/>
    <col min="2314" max="2314" width="9.375" style="52" bestFit="1" customWidth="1"/>
    <col min="2315" max="2315" width="10.875" style="52" bestFit="1" customWidth="1"/>
    <col min="2316" max="2316" width="9.875" style="52" customWidth="1"/>
    <col min="2317" max="2317" width="14" style="52" customWidth="1"/>
    <col min="2318" max="2318" width="12.125" style="52" customWidth="1"/>
    <col min="2319" max="2319" width="11.875" style="52" customWidth="1"/>
    <col min="2320" max="2320" width="11.5" style="52" customWidth="1"/>
    <col min="2321" max="2321" width="11.875" style="52" customWidth="1"/>
    <col min="2322" max="2322" width="11.5" style="52" customWidth="1"/>
    <col min="2323" max="2323" width="11.875" style="52" customWidth="1"/>
    <col min="2324" max="2324" width="11.5" style="52" customWidth="1"/>
    <col min="2325" max="2325" width="18" style="52" bestFit="1" customWidth="1"/>
    <col min="2326" max="2558" width="9" style="52"/>
    <col min="2559" max="2565" width="0" style="52" hidden="1" customWidth="1"/>
    <col min="2566" max="2566" width="6.375" style="52" customWidth="1"/>
    <col min="2567" max="2567" width="9" style="52"/>
    <col min="2568" max="2568" width="41.875" style="52" customWidth="1"/>
    <col min="2569" max="2569" width="13.125" style="52" bestFit="1" customWidth="1"/>
    <col min="2570" max="2570" width="9.375" style="52" bestFit="1" customWidth="1"/>
    <col min="2571" max="2571" width="10.875" style="52" bestFit="1" customWidth="1"/>
    <col min="2572" max="2572" width="9.875" style="52" customWidth="1"/>
    <col min="2573" max="2573" width="14" style="52" customWidth="1"/>
    <col min="2574" max="2574" width="12.125" style="52" customWidth="1"/>
    <col min="2575" max="2575" width="11.875" style="52" customWidth="1"/>
    <col min="2576" max="2576" width="11.5" style="52" customWidth="1"/>
    <col min="2577" max="2577" width="11.875" style="52" customWidth="1"/>
    <col min="2578" max="2578" width="11.5" style="52" customWidth="1"/>
    <col min="2579" max="2579" width="11.875" style="52" customWidth="1"/>
    <col min="2580" max="2580" width="11.5" style="52" customWidth="1"/>
    <col min="2581" max="2581" width="18" style="52" bestFit="1" customWidth="1"/>
    <col min="2582" max="2814" width="9" style="52"/>
    <col min="2815" max="2821" width="0" style="52" hidden="1" customWidth="1"/>
    <col min="2822" max="2822" width="6.375" style="52" customWidth="1"/>
    <col min="2823" max="2823" width="9" style="52"/>
    <col min="2824" max="2824" width="41.875" style="52" customWidth="1"/>
    <col min="2825" max="2825" width="13.125" style="52" bestFit="1" customWidth="1"/>
    <col min="2826" max="2826" width="9.375" style="52" bestFit="1" customWidth="1"/>
    <col min="2827" max="2827" width="10.875" style="52" bestFit="1" customWidth="1"/>
    <col min="2828" max="2828" width="9.875" style="52" customWidth="1"/>
    <col min="2829" max="2829" width="14" style="52" customWidth="1"/>
    <col min="2830" max="2830" width="12.125" style="52" customWidth="1"/>
    <col min="2831" max="2831" width="11.875" style="52" customWidth="1"/>
    <col min="2832" max="2832" width="11.5" style="52" customWidth="1"/>
    <col min="2833" max="2833" width="11.875" style="52" customWidth="1"/>
    <col min="2834" max="2834" width="11.5" style="52" customWidth="1"/>
    <col min="2835" max="2835" width="11.875" style="52" customWidth="1"/>
    <col min="2836" max="2836" width="11.5" style="52" customWidth="1"/>
    <col min="2837" max="2837" width="18" style="52" bestFit="1" customWidth="1"/>
    <col min="2838" max="3070" width="9" style="52"/>
    <col min="3071" max="3077" width="0" style="52" hidden="1" customWidth="1"/>
    <col min="3078" max="3078" width="6.375" style="52" customWidth="1"/>
    <col min="3079" max="3079" width="9" style="52"/>
    <col min="3080" max="3080" width="41.875" style="52" customWidth="1"/>
    <col min="3081" max="3081" width="13.125" style="52" bestFit="1" customWidth="1"/>
    <col min="3082" max="3082" width="9.375" style="52" bestFit="1" customWidth="1"/>
    <col min="3083" max="3083" width="10.875" style="52" bestFit="1" customWidth="1"/>
    <col min="3084" max="3084" width="9.875" style="52" customWidth="1"/>
    <col min="3085" max="3085" width="14" style="52" customWidth="1"/>
    <col min="3086" max="3086" width="12.125" style="52" customWidth="1"/>
    <col min="3087" max="3087" width="11.875" style="52" customWidth="1"/>
    <col min="3088" max="3088" width="11.5" style="52" customWidth="1"/>
    <col min="3089" max="3089" width="11.875" style="52" customWidth="1"/>
    <col min="3090" max="3090" width="11.5" style="52" customWidth="1"/>
    <col min="3091" max="3091" width="11.875" style="52" customWidth="1"/>
    <col min="3092" max="3092" width="11.5" style="52" customWidth="1"/>
    <col min="3093" max="3093" width="18" style="52" bestFit="1" customWidth="1"/>
    <col min="3094" max="3326" width="9" style="52"/>
    <col min="3327" max="3333" width="0" style="52" hidden="1" customWidth="1"/>
    <col min="3334" max="3334" width="6.375" style="52" customWidth="1"/>
    <col min="3335" max="3335" width="9" style="52"/>
    <col min="3336" max="3336" width="41.875" style="52" customWidth="1"/>
    <col min="3337" max="3337" width="13.125" style="52" bestFit="1" customWidth="1"/>
    <col min="3338" max="3338" width="9.375" style="52" bestFit="1" customWidth="1"/>
    <col min="3339" max="3339" width="10.875" style="52" bestFit="1" customWidth="1"/>
    <col min="3340" max="3340" width="9.875" style="52" customWidth="1"/>
    <col min="3341" max="3341" width="14" style="52" customWidth="1"/>
    <col min="3342" max="3342" width="12.125" style="52" customWidth="1"/>
    <col min="3343" max="3343" width="11.875" style="52" customWidth="1"/>
    <col min="3344" max="3344" width="11.5" style="52" customWidth="1"/>
    <col min="3345" max="3345" width="11.875" style="52" customWidth="1"/>
    <col min="3346" max="3346" width="11.5" style="52" customWidth="1"/>
    <col min="3347" max="3347" width="11.875" style="52" customWidth="1"/>
    <col min="3348" max="3348" width="11.5" style="52" customWidth="1"/>
    <col min="3349" max="3349" width="18" style="52" bestFit="1" customWidth="1"/>
    <col min="3350" max="3582" width="9" style="52"/>
    <col min="3583" max="3589" width="0" style="52" hidden="1" customWidth="1"/>
    <col min="3590" max="3590" width="6.375" style="52" customWidth="1"/>
    <col min="3591" max="3591" width="9" style="52"/>
    <col min="3592" max="3592" width="41.875" style="52" customWidth="1"/>
    <col min="3593" max="3593" width="13.125" style="52" bestFit="1" customWidth="1"/>
    <col min="3594" max="3594" width="9.375" style="52" bestFit="1" customWidth="1"/>
    <col min="3595" max="3595" width="10.875" style="52" bestFit="1" customWidth="1"/>
    <col min="3596" max="3596" width="9.875" style="52" customWidth="1"/>
    <col min="3597" max="3597" width="14" style="52" customWidth="1"/>
    <col min="3598" max="3598" width="12.125" style="52" customWidth="1"/>
    <col min="3599" max="3599" width="11.875" style="52" customWidth="1"/>
    <col min="3600" max="3600" width="11.5" style="52" customWidth="1"/>
    <col min="3601" max="3601" width="11.875" style="52" customWidth="1"/>
    <col min="3602" max="3602" width="11.5" style="52" customWidth="1"/>
    <col min="3603" max="3603" width="11.875" style="52" customWidth="1"/>
    <col min="3604" max="3604" width="11.5" style="52" customWidth="1"/>
    <col min="3605" max="3605" width="18" style="52" bestFit="1" customWidth="1"/>
    <col min="3606" max="3838" width="9" style="52"/>
    <col min="3839" max="3845" width="0" style="52" hidden="1" customWidth="1"/>
    <col min="3846" max="3846" width="6.375" style="52" customWidth="1"/>
    <col min="3847" max="3847" width="9" style="52"/>
    <col min="3848" max="3848" width="41.875" style="52" customWidth="1"/>
    <col min="3849" max="3849" width="13.125" style="52" bestFit="1" customWidth="1"/>
    <col min="3850" max="3850" width="9.375" style="52" bestFit="1" customWidth="1"/>
    <col min="3851" max="3851" width="10.875" style="52" bestFit="1" customWidth="1"/>
    <col min="3852" max="3852" width="9.875" style="52" customWidth="1"/>
    <col min="3853" max="3853" width="14" style="52" customWidth="1"/>
    <col min="3854" max="3854" width="12.125" style="52" customWidth="1"/>
    <col min="3855" max="3855" width="11.875" style="52" customWidth="1"/>
    <col min="3856" max="3856" width="11.5" style="52" customWidth="1"/>
    <col min="3857" max="3857" width="11.875" style="52" customWidth="1"/>
    <col min="3858" max="3858" width="11.5" style="52" customWidth="1"/>
    <col min="3859" max="3859" width="11.875" style="52" customWidth="1"/>
    <col min="3860" max="3860" width="11.5" style="52" customWidth="1"/>
    <col min="3861" max="3861" width="18" style="52" bestFit="1" customWidth="1"/>
    <col min="3862" max="4094" width="9" style="52"/>
    <col min="4095" max="4101" width="0" style="52" hidden="1" customWidth="1"/>
    <col min="4102" max="4102" width="6.375" style="52" customWidth="1"/>
    <col min="4103" max="4103" width="9" style="52"/>
    <col min="4104" max="4104" width="41.875" style="52" customWidth="1"/>
    <col min="4105" max="4105" width="13.125" style="52" bestFit="1" customWidth="1"/>
    <col min="4106" max="4106" width="9.375" style="52" bestFit="1" customWidth="1"/>
    <col min="4107" max="4107" width="10.875" style="52" bestFit="1" customWidth="1"/>
    <col min="4108" max="4108" width="9.875" style="52" customWidth="1"/>
    <col min="4109" max="4109" width="14" style="52" customWidth="1"/>
    <col min="4110" max="4110" width="12.125" style="52" customWidth="1"/>
    <col min="4111" max="4111" width="11.875" style="52" customWidth="1"/>
    <col min="4112" max="4112" width="11.5" style="52" customWidth="1"/>
    <col min="4113" max="4113" width="11.875" style="52" customWidth="1"/>
    <col min="4114" max="4114" width="11.5" style="52" customWidth="1"/>
    <col min="4115" max="4115" width="11.875" style="52" customWidth="1"/>
    <col min="4116" max="4116" width="11.5" style="52" customWidth="1"/>
    <col min="4117" max="4117" width="18" style="52" bestFit="1" customWidth="1"/>
    <col min="4118" max="4350" width="9" style="52"/>
    <col min="4351" max="4357" width="0" style="52" hidden="1" customWidth="1"/>
    <col min="4358" max="4358" width="6.375" style="52" customWidth="1"/>
    <col min="4359" max="4359" width="9" style="52"/>
    <col min="4360" max="4360" width="41.875" style="52" customWidth="1"/>
    <col min="4361" max="4361" width="13.125" style="52" bestFit="1" customWidth="1"/>
    <col min="4362" max="4362" width="9.375" style="52" bestFit="1" customWidth="1"/>
    <col min="4363" max="4363" width="10.875" style="52" bestFit="1" customWidth="1"/>
    <col min="4364" max="4364" width="9.875" style="52" customWidth="1"/>
    <col min="4365" max="4365" width="14" style="52" customWidth="1"/>
    <col min="4366" max="4366" width="12.125" style="52" customWidth="1"/>
    <col min="4367" max="4367" width="11.875" style="52" customWidth="1"/>
    <col min="4368" max="4368" width="11.5" style="52" customWidth="1"/>
    <col min="4369" max="4369" width="11.875" style="52" customWidth="1"/>
    <col min="4370" max="4370" width="11.5" style="52" customWidth="1"/>
    <col min="4371" max="4371" width="11.875" style="52" customWidth="1"/>
    <col min="4372" max="4372" width="11.5" style="52" customWidth="1"/>
    <col min="4373" max="4373" width="18" style="52" bestFit="1" customWidth="1"/>
    <col min="4374" max="4606" width="9" style="52"/>
    <col min="4607" max="4613" width="0" style="52" hidden="1" customWidth="1"/>
    <col min="4614" max="4614" width="6.375" style="52" customWidth="1"/>
    <col min="4615" max="4615" width="9" style="52"/>
    <col min="4616" max="4616" width="41.875" style="52" customWidth="1"/>
    <col min="4617" max="4617" width="13.125" style="52" bestFit="1" customWidth="1"/>
    <col min="4618" max="4618" width="9.375" style="52" bestFit="1" customWidth="1"/>
    <col min="4619" max="4619" width="10.875" style="52" bestFit="1" customWidth="1"/>
    <col min="4620" max="4620" width="9.875" style="52" customWidth="1"/>
    <col min="4621" max="4621" width="14" style="52" customWidth="1"/>
    <col min="4622" max="4622" width="12.125" style="52" customWidth="1"/>
    <col min="4623" max="4623" width="11.875" style="52" customWidth="1"/>
    <col min="4624" max="4624" width="11.5" style="52" customWidth="1"/>
    <col min="4625" max="4625" width="11.875" style="52" customWidth="1"/>
    <col min="4626" max="4626" width="11.5" style="52" customWidth="1"/>
    <col min="4627" max="4627" width="11.875" style="52" customWidth="1"/>
    <col min="4628" max="4628" width="11.5" style="52" customWidth="1"/>
    <col min="4629" max="4629" width="18" style="52" bestFit="1" customWidth="1"/>
    <col min="4630" max="4862" width="9" style="52"/>
    <col min="4863" max="4869" width="0" style="52" hidden="1" customWidth="1"/>
    <col min="4870" max="4870" width="6.375" style="52" customWidth="1"/>
    <col min="4871" max="4871" width="9" style="52"/>
    <col min="4872" max="4872" width="41.875" style="52" customWidth="1"/>
    <col min="4873" max="4873" width="13.125" style="52" bestFit="1" customWidth="1"/>
    <col min="4874" max="4874" width="9.375" style="52" bestFit="1" customWidth="1"/>
    <col min="4875" max="4875" width="10.875" style="52" bestFit="1" customWidth="1"/>
    <col min="4876" max="4876" width="9.875" style="52" customWidth="1"/>
    <col min="4877" max="4877" width="14" style="52" customWidth="1"/>
    <col min="4878" max="4878" width="12.125" style="52" customWidth="1"/>
    <col min="4879" max="4879" width="11.875" style="52" customWidth="1"/>
    <col min="4880" max="4880" width="11.5" style="52" customWidth="1"/>
    <col min="4881" max="4881" width="11.875" style="52" customWidth="1"/>
    <col min="4882" max="4882" width="11.5" style="52" customWidth="1"/>
    <col min="4883" max="4883" width="11.875" style="52" customWidth="1"/>
    <col min="4884" max="4884" width="11.5" style="52" customWidth="1"/>
    <col min="4885" max="4885" width="18" style="52" bestFit="1" customWidth="1"/>
    <col min="4886" max="5118" width="9" style="52"/>
    <col min="5119" max="5125" width="0" style="52" hidden="1" customWidth="1"/>
    <col min="5126" max="5126" width="6.375" style="52" customWidth="1"/>
    <col min="5127" max="5127" width="9" style="52"/>
    <col min="5128" max="5128" width="41.875" style="52" customWidth="1"/>
    <col min="5129" max="5129" width="13.125" style="52" bestFit="1" customWidth="1"/>
    <col min="5130" max="5130" width="9.375" style="52" bestFit="1" customWidth="1"/>
    <col min="5131" max="5131" width="10.875" style="52" bestFit="1" customWidth="1"/>
    <col min="5132" max="5132" width="9.875" style="52" customWidth="1"/>
    <col min="5133" max="5133" width="14" style="52" customWidth="1"/>
    <col min="5134" max="5134" width="12.125" style="52" customWidth="1"/>
    <col min="5135" max="5135" width="11.875" style="52" customWidth="1"/>
    <col min="5136" max="5136" width="11.5" style="52" customWidth="1"/>
    <col min="5137" max="5137" width="11.875" style="52" customWidth="1"/>
    <col min="5138" max="5138" width="11.5" style="52" customWidth="1"/>
    <col min="5139" max="5139" width="11.875" style="52" customWidth="1"/>
    <col min="5140" max="5140" width="11.5" style="52" customWidth="1"/>
    <col min="5141" max="5141" width="18" style="52" bestFit="1" customWidth="1"/>
    <col min="5142" max="5374" width="9" style="52"/>
    <col min="5375" max="5381" width="0" style="52" hidden="1" customWidth="1"/>
    <col min="5382" max="5382" width="6.375" style="52" customWidth="1"/>
    <col min="5383" max="5383" width="9" style="52"/>
    <col min="5384" max="5384" width="41.875" style="52" customWidth="1"/>
    <col min="5385" max="5385" width="13.125" style="52" bestFit="1" customWidth="1"/>
    <col min="5386" max="5386" width="9.375" style="52" bestFit="1" customWidth="1"/>
    <col min="5387" max="5387" width="10.875" style="52" bestFit="1" customWidth="1"/>
    <col min="5388" max="5388" width="9.875" style="52" customWidth="1"/>
    <col min="5389" max="5389" width="14" style="52" customWidth="1"/>
    <col min="5390" max="5390" width="12.125" style="52" customWidth="1"/>
    <col min="5391" max="5391" width="11.875" style="52" customWidth="1"/>
    <col min="5392" max="5392" width="11.5" style="52" customWidth="1"/>
    <col min="5393" max="5393" width="11.875" style="52" customWidth="1"/>
    <col min="5394" max="5394" width="11.5" style="52" customWidth="1"/>
    <col min="5395" max="5395" width="11.875" style="52" customWidth="1"/>
    <col min="5396" max="5396" width="11.5" style="52" customWidth="1"/>
    <col min="5397" max="5397" width="18" style="52" bestFit="1" customWidth="1"/>
    <col min="5398" max="5630" width="9" style="52"/>
    <col min="5631" max="5637" width="0" style="52" hidden="1" customWidth="1"/>
    <col min="5638" max="5638" width="6.375" style="52" customWidth="1"/>
    <col min="5639" max="5639" width="9" style="52"/>
    <col min="5640" max="5640" width="41.875" style="52" customWidth="1"/>
    <col min="5641" max="5641" width="13.125" style="52" bestFit="1" customWidth="1"/>
    <col min="5642" max="5642" width="9.375" style="52" bestFit="1" customWidth="1"/>
    <col min="5643" max="5643" width="10.875" style="52" bestFit="1" customWidth="1"/>
    <col min="5644" max="5644" width="9.875" style="52" customWidth="1"/>
    <col min="5645" max="5645" width="14" style="52" customWidth="1"/>
    <col min="5646" max="5646" width="12.125" style="52" customWidth="1"/>
    <col min="5647" max="5647" width="11.875" style="52" customWidth="1"/>
    <col min="5648" max="5648" width="11.5" style="52" customWidth="1"/>
    <col min="5649" max="5649" width="11.875" style="52" customWidth="1"/>
    <col min="5650" max="5650" width="11.5" style="52" customWidth="1"/>
    <col min="5651" max="5651" width="11.875" style="52" customWidth="1"/>
    <col min="5652" max="5652" width="11.5" style="52" customWidth="1"/>
    <col min="5653" max="5653" width="18" style="52" bestFit="1" customWidth="1"/>
    <col min="5654" max="5886" width="9" style="52"/>
    <col min="5887" max="5893" width="0" style="52" hidden="1" customWidth="1"/>
    <col min="5894" max="5894" width="6.375" style="52" customWidth="1"/>
    <col min="5895" max="5895" width="9" style="52"/>
    <col min="5896" max="5896" width="41.875" style="52" customWidth="1"/>
    <col min="5897" max="5897" width="13.125" style="52" bestFit="1" customWidth="1"/>
    <col min="5898" max="5898" width="9.375" style="52" bestFit="1" customWidth="1"/>
    <col min="5899" max="5899" width="10.875" style="52" bestFit="1" customWidth="1"/>
    <col min="5900" max="5900" width="9.875" style="52" customWidth="1"/>
    <col min="5901" max="5901" width="14" style="52" customWidth="1"/>
    <col min="5902" max="5902" width="12.125" style="52" customWidth="1"/>
    <col min="5903" max="5903" width="11.875" style="52" customWidth="1"/>
    <col min="5904" max="5904" width="11.5" style="52" customWidth="1"/>
    <col min="5905" max="5905" width="11.875" style="52" customWidth="1"/>
    <col min="5906" max="5906" width="11.5" style="52" customWidth="1"/>
    <col min="5907" max="5907" width="11.875" style="52" customWidth="1"/>
    <col min="5908" max="5908" width="11.5" style="52" customWidth="1"/>
    <col min="5909" max="5909" width="18" style="52" bestFit="1" customWidth="1"/>
    <col min="5910" max="6142" width="9" style="52"/>
    <col min="6143" max="6149" width="0" style="52" hidden="1" customWidth="1"/>
    <col min="6150" max="6150" width="6.375" style="52" customWidth="1"/>
    <col min="6151" max="6151" width="9" style="52"/>
    <col min="6152" max="6152" width="41.875" style="52" customWidth="1"/>
    <col min="6153" max="6153" width="13.125" style="52" bestFit="1" customWidth="1"/>
    <col min="6154" max="6154" width="9.375" style="52" bestFit="1" customWidth="1"/>
    <col min="6155" max="6155" width="10.875" style="52" bestFit="1" customWidth="1"/>
    <col min="6156" max="6156" width="9.875" style="52" customWidth="1"/>
    <col min="6157" max="6157" width="14" style="52" customWidth="1"/>
    <col min="6158" max="6158" width="12.125" style="52" customWidth="1"/>
    <col min="6159" max="6159" width="11.875" style="52" customWidth="1"/>
    <col min="6160" max="6160" width="11.5" style="52" customWidth="1"/>
    <col min="6161" max="6161" width="11.875" style="52" customWidth="1"/>
    <col min="6162" max="6162" width="11.5" style="52" customWidth="1"/>
    <col min="6163" max="6163" width="11.875" style="52" customWidth="1"/>
    <col min="6164" max="6164" width="11.5" style="52" customWidth="1"/>
    <col min="6165" max="6165" width="18" style="52" bestFit="1" customWidth="1"/>
    <col min="6166" max="6398" width="9" style="52"/>
    <col min="6399" max="6405" width="0" style="52" hidden="1" customWidth="1"/>
    <col min="6406" max="6406" width="6.375" style="52" customWidth="1"/>
    <col min="6407" max="6407" width="9" style="52"/>
    <col min="6408" max="6408" width="41.875" style="52" customWidth="1"/>
    <col min="6409" max="6409" width="13.125" style="52" bestFit="1" customWidth="1"/>
    <col min="6410" max="6410" width="9.375" style="52" bestFit="1" customWidth="1"/>
    <col min="6411" max="6411" width="10.875" style="52" bestFit="1" customWidth="1"/>
    <col min="6412" max="6412" width="9.875" style="52" customWidth="1"/>
    <col min="6413" max="6413" width="14" style="52" customWidth="1"/>
    <col min="6414" max="6414" width="12.125" style="52" customWidth="1"/>
    <col min="6415" max="6415" width="11.875" style="52" customWidth="1"/>
    <col min="6416" max="6416" width="11.5" style="52" customWidth="1"/>
    <col min="6417" max="6417" width="11.875" style="52" customWidth="1"/>
    <col min="6418" max="6418" width="11.5" style="52" customWidth="1"/>
    <col min="6419" max="6419" width="11.875" style="52" customWidth="1"/>
    <col min="6420" max="6420" width="11.5" style="52" customWidth="1"/>
    <col min="6421" max="6421" width="18" style="52" bestFit="1" customWidth="1"/>
    <col min="6422" max="6654" width="9" style="52"/>
    <col min="6655" max="6661" width="0" style="52" hidden="1" customWidth="1"/>
    <col min="6662" max="6662" width="6.375" style="52" customWidth="1"/>
    <col min="6663" max="6663" width="9" style="52"/>
    <col min="6664" max="6664" width="41.875" style="52" customWidth="1"/>
    <col min="6665" max="6665" width="13.125" style="52" bestFit="1" customWidth="1"/>
    <col min="6666" max="6666" width="9.375" style="52" bestFit="1" customWidth="1"/>
    <col min="6667" max="6667" width="10.875" style="52" bestFit="1" customWidth="1"/>
    <col min="6668" max="6668" width="9.875" style="52" customWidth="1"/>
    <col min="6669" max="6669" width="14" style="52" customWidth="1"/>
    <col min="6670" max="6670" width="12.125" style="52" customWidth="1"/>
    <col min="6671" max="6671" width="11.875" style="52" customWidth="1"/>
    <col min="6672" max="6672" width="11.5" style="52" customWidth="1"/>
    <col min="6673" max="6673" width="11.875" style="52" customWidth="1"/>
    <col min="6674" max="6674" width="11.5" style="52" customWidth="1"/>
    <col min="6675" max="6675" width="11.875" style="52" customWidth="1"/>
    <col min="6676" max="6676" width="11.5" style="52" customWidth="1"/>
    <col min="6677" max="6677" width="18" style="52" bestFit="1" customWidth="1"/>
    <col min="6678" max="6910" width="9" style="52"/>
    <col min="6911" max="6917" width="0" style="52" hidden="1" customWidth="1"/>
    <col min="6918" max="6918" width="6.375" style="52" customWidth="1"/>
    <col min="6919" max="6919" width="9" style="52"/>
    <col min="6920" max="6920" width="41.875" style="52" customWidth="1"/>
    <col min="6921" max="6921" width="13.125" style="52" bestFit="1" customWidth="1"/>
    <col min="6922" max="6922" width="9.375" style="52" bestFit="1" customWidth="1"/>
    <col min="6923" max="6923" width="10.875" style="52" bestFit="1" customWidth="1"/>
    <col min="6924" max="6924" width="9.875" style="52" customWidth="1"/>
    <col min="6925" max="6925" width="14" style="52" customWidth="1"/>
    <col min="6926" max="6926" width="12.125" style="52" customWidth="1"/>
    <col min="6927" max="6927" width="11.875" style="52" customWidth="1"/>
    <col min="6928" max="6928" width="11.5" style="52" customWidth="1"/>
    <col min="6929" max="6929" width="11.875" style="52" customWidth="1"/>
    <col min="6930" max="6930" width="11.5" style="52" customWidth="1"/>
    <col min="6931" max="6931" width="11.875" style="52" customWidth="1"/>
    <col min="6932" max="6932" width="11.5" style="52" customWidth="1"/>
    <col min="6933" max="6933" width="18" style="52" bestFit="1" customWidth="1"/>
    <col min="6934" max="7166" width="9" style="52"/>
    <col min="7167" max="7173" width="0" style="52" hidden="1" customWidth="1"/>
    <col min="7174" max="7174" width="6.375" style="52" customWidth="1"/>
    <col min="7175" max="7175" width="9" style="52"/>
    <col min="7176" max="7176" width="41.875" style="52" customWidth="1"/>
    <col min="7177" max="7177" width="13.125" style="52" bestFit="1" customWidth="1"/>
    <col min="7178" max="7178" width="9.375" style="52" bestFit="1" customWidth="1"/>
    <col min="7179" max="7179" width="10.875" style="52" bestFit="1" customWidth="1"/>
    <col min="7180" max="7180" width="9.875" style="52" customWidth="1"/>
    <col min="7181" max="7181" width="14" style="52" customWidth="1"/>
    <col min="7182" max="7182" width="12.125" style="52" customWidth="1"/>
    <col min="7183" max="7183" width="11.875" style="52" customWidth="1"/>
    <col min="7184" max="7184" width="11.5" style="52" customWidth="1"/>
    <col min="7185" max="7185" width="11.875" style="52" customWidth="1"/>
    <col min="7186" max="7186" width="11.5" style="52" customWidth="1"/>
    <col min="7187" max="7187" width="11.875" style="52" customWidth="1"/>
    <col min="7188" max="7188" width="11.5" style="52" customWidth="1"/>
    <col min="7189" max="7189" width="18" style="52" bestFit="1" customWidth="1"/>
    <col min="7190" max="7422" width="9" style="52"/>
    <col min="7423" max="7429" width="0" style="52" hidden="1" customWidth="1"/>
    <col min="7430" max="7430" width="6.375" style="52" customWidth="1"/>
    <col min="7431" max="7431" width="9" style="52"/>
    <col min="7432" max="7432" width="41.875" style="52" customWidth="1"/>
    <col min="7433" max="7433" width="13.125" style="52" bestFit="1" customWidth="1"/>
    <col min="7434" max="7434" width="9.375" style="52" bestFit="1" customWidth="1"/>
    <col min="7435" max="7435" width="10.875" style="52" bestFit="1" customWidth="1"/>
    <col min="7436" max="7436" width="9.875" style="52" customWidth="1"/>
    <col min="7437" max="7437" width="14" style="52" customWidth="1"/>
    <col min="7438" max="7438" width="12.125" style="52" customWidth="1"/>
    <col min="7439" max="7439" width="11.875" style="52" customWidth="1"/>
    <col min="7440" max="7440" width="11.5" style="52" customWidth="1"/>
    <col min="7441" max="7441" width="11.875" style="52" customWidth="1"/>
    <col min="7442" max="7442" width="11.5" style="52" customWidth="1"/>
    <col min="7443" max="7443" width="11.875" style="52" customWidth="1"/>
    <col min="7444" max="7444" width="11.5" style="52" customWidth="1"/>
    <col min="7445" max="7445" width="18" style="52" bestFit="1" customWidth="1"/>
    <col min="7446" max="7678" width="9" style="52"/>
    <col min="7679" max="7685" width="0" style="52" hidden="1" customWidth="1"/>
    <col min="7686" max="7686" width="6.375" style="52" customWidth="1"/>
    <col min="7687" max="7687" width="9" style="52"/>
    <col min="7688" max="7688" width="41.875" style="52" customWidth="1"/>
    <col min="7689" max="7689" width="13.125" style="52" bestFit="1" customWidth="1"/>
    <col min="7690" max="7690" width="9.375" style="52" bestFit="1" customWidth="1"/>
    <col min="7691" max="7691" width="10.875" style="52" bestFit="1" customWidth="1"/>
    <col min="7692" max="7692" width="9.875" style="52" customWidth="1"/>
    <col min="7693" max="7693" width="14" style="52" customWidth="1"/>
    <col min="7694" max="7694" width="12.125" style="52" customWidth="1"/>
    <col min="7695" max="7695" width="11.875" style="52" customWidth="1"/>
    <col min="7696" max="7696" width="11.5" style="52" customWidth="1"/>
    <col min="7697" max="7697" width="11.875" style="52" customWidth="1"/>
    <col min="7698" max="7698" width="11.5" style="52" customWidth="1"/>
    <col min="7699" max="7699" width="11.875" style="52" customWidth="1"/>
    <col min="7700" max="7700" width="11.5" style="52" customWidth="1"/>
    <col min="7701" max="7701" width="18" style="52" bestFit="1" customWidth="1"/>
    <col min="7702" max="7934" width="9" style="52"/>
    <col min="7935" max="7941" width="0" style="52" hidden="1" customWidth="1"/>
    <col min="7942" max="7942" width="6.375" style="52" customWidth="1"/>
    <col min="7943" max="7943" width="9" style="52"/>
    <col min="7944" max="7944" width="41.875" style="52" customWidth="1"/>
    <col min="7945" max="7945" width="13.125" style="52" bestFit="1" customWidth="1"/>
    <col min="7946" max="7946" width="9.375" style="52" bestFit="1" customWidth="1"/>
    <col min="7947" max="7947" width="10.875" style="52" bestFit="1" customWidth="1"/>
    <col min="7948" max="7948" width="9.875" style="52" customWidth="1"/>
    <col min="7949" max="7949" width="14" style="52" customWidth="1"/>
    <col min="7950" max="7950" width="12.125" style="52" customWidth="1"/>
    <col min="7951" max="7951" width="11.875" style="52" customWidth="1"/>
    <col min="7952" max="7952" width="11.5" style="52" customWidth="1"/>
    <col min="7953" max="7953" width="11.875" style="52" customWidth="1"/>
    <col min="7954" max="7954" width="11.5" style="52" customWidth="1"/>
    <col min="7955" max="7955" width="11.875" style="52" customWidth="1"/>
    <col min="7956" max="7956" width="11.5" style="52" customWidth="1"/>
    <col min="7957" max="7957" width="18" style="52" bestFit="1" customWidth="1"/>
    <col min="7958" max="8190" width="9" style="52"/>
    <col min="8191" max="8197" width="0" style="52" hidden="1" customWidth="1"/>
    <col min="8198" max="8198" width="6.375" style="52" customWidth="1"/>
    <col min="8199" max="8199" width="9" style="52"/>
    <col min="8200" max="8200" width="41.875" style="52" customWidth="1"/>
    <col min="8201" max="8201" width="13.125" style="52" bestFit="1" customWidth="1"/>
    <col min="8202" max="8202" width="9.375" style="52" bestFit="1" customWidth="1"/>
    <col min="8203" max="8203" width="10.875" style="52" bestFit="1" customWidth="1"/>
    <col min="8204" max="8204" width="9.875" style="52" customWidth="1"/>
    <col min="8205" max="8205" width="14" style="52" customWidth="1"/>
    <col min="8206" max="8206" width="12.125" style="52" customWidth="1"/>
    <col min="8207" max="8207" width="11.875" style="52" customWidth="1"/>
    <col min="8208" max="8208" width="11.5" style="52" customWidth="1"/>
    <col min="8209" max="8209" width="11.875" style="52" customWidth="1"/>
    <col min="8210" max="8210" width="11.5" style="52" customWidth="1"/>
    <col min="8211" max="8211" width="11.875" style="52" customWidth="1"/>
    <col min="8212" max="8212" width="11.5" style="52" customWidth="1"/>
    <col min="8213" max="8213" width="18" style="52" bestFit="1" customWidth="1"/>
    <col min="8214" max="8446" width="9" style="52"/>
    <col min="8447" max="8453" width="0" style="52" hidden="1" customWidth="1"/>
    <col min="8454" max="8454" width="6.375" style="52" customWidth="1"/>
    <col min="8455" max="8455" width="9" style="52"/>
    <col min="8456" max="8456" width="41.875" style="52" customWidth="1"/>
    <col min="8457" max="8457" width="13.125" style="52" bestFit="1" customWidth="1"/>
    <col min="8458" max="8458" width="9.375" style="52" bestFit="1" customWidth="1"/>
    <col min="8459" max="8459" width="10.875" style="52" bestFit="1" customWidth="1"/>
    <col min="8460" max="8460" width="9.875" style="52" customWidth="1"/>
    <col min="8461" max="8461" width="14" style="52" customWidth="1"/>
    <col min="8462" max="8462" width="12.125" style="52" customWidth="1"/>
    <col min="8463" max="8463" width="11.875" style="52" customWidth="1"/>
    <col min="8464" max="8464" width="11.5" style="52" customWidth="1"/>
    <col min="8465" max="8465" width="11.875" style="52" customWidth="1"/>
    <col min="8466" max="8466" width="11.5" style="52" customWidth="1"/>
    <col min="8467" max="8467" width="11.875" style="52" customWidth="1"/>
    <col min="8468" max="8468" width="11.5" style="52" customWidth="1"/>
    <col min="8469" max="8469" width="18" style="52" bestFit="1" customWidth="1"/>
    <col min="8470" max="8702" width="9" style="52"/>
    <col min="8703" max="8709" width="0" style="52" hidden="1" customWidth="1"/>
    <col min="8710" max="8710" width="6.375" style="52" customWidth="1"/>
    <col min="8711" max="8711" width="9" style="52"/>
    <col min="8712" max="8712" width="41.875" style="52" customWidth="1"/>
    <col min="8713" max="8713" width="13.125" style="52" bestFit="1" customWidth="1"/>
    <col min="8714" max="8714" width="9.375" style="52" bestFit="1" customWidth="1"/>
    <col min="8715" max="8715" width="10.875" style="52" bestFit="1" customWidth="1"/>
    <col min="8716" max="8716" width="9.875" style="52" customWidth="1"/>
    <col min="8717" max="8717" width="14" style="52" customWidth="1"/>
    <col min="8718" max="8718" width="12.125" style="52" customWidth="1"/>
    <col min="8719" max="8719" width="11.875" style="52" customWidth="1"/>
    <col min="8720" max="8720" width="11.5" style="52" customWidth="1"/>
    <col min="8721" max="8721" width="11.875" style="52" customWidth="1"/>
    <col min="8722" max="8722" width="11.5" style="52" customWidth="1"/>
    <col min="8723" max="8723" width="11.875" style="52" customWidth="1"/>
    <col min="8724" max="8724" width="11.5" style="52" customWidth="1"/>
    <col min="8725" max="8725" width="18" style="52" bestFit="1" customWidth="1"/>
    <col min="8726" max="8958" width="9" style="52"/>
    <col min="8959" max="8965" width="0" style="52" hidden="1" customWidth="1"/>
    <col min="8966" max="8966" width="6.375" style="52" customWidth="1"/>
    <col min="8967" max="8967" width="9" style="52"/>
    <col min="8968" max="8968" width="41.875" style="52" customWidth="1"/>
    <col min="8969" max="8969" width="13.125" style="52" bestFit="1" customWidth="1"/>
    <col min="8970" max="8970" width="9.375" style="52" bestFit="1" customWidth="1"/>
    <col min="8971" max="8971" width="10.875" style="52" bestFit="1" customWidth="1"/>
    <col min="8972" max="8972" width="9.875" style="52" customWidth="1"/>
    <col min="8973" max="8973" width="14" style="52" customWidth="1"/>
    <col min="8974" max="8974" width="12.125" style="52" customWidth="1"/>
    <col min="8975" max="8975" width="11.875" style="52" customWidth="1"/>
    <col min="8976" max="8976" width="11.5" style="52" customWidth="1"/>
    <col min="8977" max="8977" width="11.875" style="52" customWidth="1"/>
    <col min="8978" max="8978" width="11.5" style="52" customWidth="1"/>
    <col min="8979" max="8979" width="11.875" style="52" customWidth="1"/>
    <col min="8980" max="8980" width="11.5" style="52" customWidth="1"/>
    <col min="8981" max="8981" width="18" style="52" bestFit="1" customWidth="1"/>
    <col min="8982" max="9214" width="9" style="52"/>
    <col min="9215" max="9221" width="0" style="52" hidden="1" customWidth="1"/>
    <col min="9222" max="9222" width="6.375" style="52" customWidth="1"/>
    <col min="9223" max="9223" width="9" style="52"/>
    <col min="9224" max="9224" width="41.875" style="52" customWidth="1"/>
    <col min="9225" max="9225" width="13.125" style="52" bestFit="1" customWidth="1"/>
    <col min="9226" max="9226" width="9.375" style="52" bestFit="1" customWidth="1"/>
    <col min="9227" max="9227" width="10.875" style="52" bestFit="1" customWidth="1"/>
    <col min="9228" max="9228" width="9.875" style="52" customWidth="1"/>
    <col min="9229" max="9229" width="14" style="52" customWidth="1"/>
    <col min="9230" max="9230" width="12.125" style="52" customWidth="1"/>
    <col min="9231" max="9231" width="11.875" style="52" customWidth="1"/>
    <col min="9232" max="9232" width="11.5" style="52" customWidth="1"/>
    <col min="9233" max="9233" width="11.875" style="52" customWidth="1"/>
    <col min="9234" max="9234" width="11.5" style="52" customWidth="1"/>
    <col min="9235" max="9235" width="11.875" style="52" customWidth="1"/>
    <col min="9236" max="9236" width="11.5" style="52" customWidth="1"/>
    <col min="9237" max="9237" width="18" style="52" bestFit="1" customWidth="1"/>
    <col min="9238" max="9470" width="9" style="52"/>
    <col min="9471" max="9477" width="0" style="52" hidden="1" customWidth="1"/>
    <col min="9478" max="9478" width="6.375" style="52" customWidth="1"/>
    <col min="9479" max="9479" width="9" style="52"/>
    <col min="9480" max="9480" width="41.875" style="52" customWidth="1"/>
    <col min="9481" max="9481" width="13.125" style="52" bestFit="1" customWidth="1"/>
    <col min="9482" max="9482" width="9.375" style="52" bestFit="1" customWidth="1"/>
    <col min="9483" max="9483" width="10.875" style="52" bestFit="1" customWidth="1"/>
    <col min="9484" max="9484" width="9.875" style="52" customWidth="1"/>
    <col min="9485" max="9485" width="14" style="52" customWidth="1"/>
    <col min="9486" max="9486" width="12.125" style="52" customWidth="1"/>
    <col min="9487" max="9487" width="11.875" style="52" customWidth="1"/>
    <col min="9488" max="9488" width="11.5" style="52" customWidth="1"/>
    <col min="9489" max="9489" width="11.875" style="52" customWidth="1"/>
    <col min="9490" max="9490" width="11.5" style="52" customWidth="1"/>
    <col min="9491" max="9491" width="11.875" style="52" customWidth="1"/>
    <col min="9492" max="9492" width="11.5" style="52" customWidth="1"/>
    <col min="9493" max="9493" width="18" style="52" bestFit="1" customWidth="1"/>
    <col min="9494" max="9726" width="9" style="52"/>
    <col min="9727" max="9733" width="0" style="52" hidden="1" customWidth="1"/>
    <col min="9734" max="9734" width="6.375" style="52" customWidth="1"/>
    <col min="9735" max="9735" width="9" style="52"/>
    <col min="9736" max="9736" width="41.875" style="52" customWidth="1"/>
    <col min="9737" max="9737" width="13.125" style="52" bestFit="1" customWidth="1"/>
    <col min="9738" max="9738" width="9.375" style="52" bestFit="1" customWidth="1"/>
    <col min="9739" max="9739" width="10.875" style="52" bestFit="1" customWidth="1"/>
    <col min="9740" max="9740" width="9.875" style="52" customWidth="1"/>
    <col min="9741" max="9741" width="14" style="52" customWidth="1"/>
    <col min="9742" max="9742" width="12.125" style="52" customWidth="1"/>
    <col min="9743" max="9743" width="11.875" style="52" customWidth="1"/>
    <col min="9744" max="9744" width="11.5" style="52" customWidth="1"/>
    <col min="9745" max="9745" width="11.875" style="52" customWidth="1"/>
    <col min="9746" max="9746" width="11.5" style="52" customWidth="1"/>
    <col min="9747" max="9747" width="11.875" style="52" customWidth="1"/>
    <col min="9748" max="9748" width="11.5" style="52" customWidth="1"/>
    <col min="9749" max="9749" width="18" style="52" bestFit="1" customWidth="1"/>
    <col min="9750" max="9982" width="9" style="52"/>
    <col min="9983" max="9989" width="0" style="52" hidden="1" customWidth="1"/>
    <col min="9990" max="9990" width="6.375" style="52" customWidth="1"/>
    <col min="9991" max="9991" width="9" style="52"/>
    <col min="9992" max="9992" width="41.875" style="52" customWidth="1"/>
    <col min="9993" max="9993" width="13.125" style="52" bestFit="1" customWidth="1"/>
    <col min="9994" max="9994" width="9.375" style="52" bestFit="1" customWidth="1"/>
    <col min="9995" max="9995" width="10.875" style="52" bestFit="1" customWidth="1"/>
    <col min="9996" max="9996" width="9.875" style="52" customWidth="1"/>
    <col min="9997" max="9997" width="14" style="52" customWidth="1"/>
    <col min="9998" max="9998" width="12.125" style="52" customWidth="1"/>
    <col min="9999" max="9999" width="11.875" style="52" customWidth="1"/>
    <col min="10000" max="10000" width="11.5" style="52" customWidth="1"/>
    <col min="10001" max="10001" width="11.875" style="52" customWidth="1"/>
    <col min="10002" max="10002" width="11.5" style="52" customWidth="1"/>
    <col min="10003" max="10003" width="11.875" style="52" customWidth="1"/>
    <col min="10004" max="10004" width="11.5" style="52" customWidth="1"/>
    <col min="10005" max="10005" width="18" style="52" bestFit="1" customWidth="1"/>
    <col min="10006" max="10238" width="9" style="52"/>
    <col min="10239" max="10245" width="0" style="52" hidden="1" customWidth="1"/>
    <col min="10246" max="10246" width="6.375" style="52" customWidth="1"/>
    <col min="10247" max="10247" width="9" style="52"/>
    <col min="10248" max="10248" width="41.875" style="52" customWidth="1"/>
    <col min="10249" max="10249" width="13.125" style="52" bestFit="1" customWidth="1"/>
    <col min="10250" max="10250" width="9.375" style="52" bestFit="1" customWidth="1"/>
    <col min="10251" max="10251" width="10.875" style="52" bestFit="1" customWidth="1"/>
    <col min="10252" max="10252" width="9.875" style="52" customWidth="1"/>
    <col min="10253" max="10253" width="14" style="52" customWidth="1"/>
    <col min="10254" max="10254" width="12.125" style="52" customWidth="1"/>
    <col min="10255" max="10255" width="11.875" style="52" customWidth="1"/>
    <col min="10256" max="10256" width="11.5" style="52" customWidth="1"/>
    <col min="10257" max="10257" width="11.875" style="52" customWidth="1"/>
    <col min="10258" max="10258" width="11.5" style="52" customWidth="1"/>
    <col min="10259" max="10259" width="11.875" style="52" customWidth="1"/>
    <col min="10260" max="10260" width="11.5" style="52" customWidth="1"/>
    <col min="10261" max="10261" width="18" style="52" bestFit="1" customWidth="1"/>
    <col min="10262" max="10494" width="9" style="52"/>
    <col min="10495" max="10501" width="0" style="52" hidden="1" customWidth="1"/>
    <col min="10502" max="10502" width="6.375" style="52" customWidth="1"/>
    <col min="10503" max="10503" width="9" style="52"/>
    <col min="10504" max="10504" width="41.875" style="52" customWidth="1"/>
    <col min="10505" max="10505" width="13.125" style="52" bestFit="1" customWidth="1"/>
    <col min="10506" max="10506" width="9.375" style="52" bestFit="1" customWidth="1"/>
    <col min="10507" max="10507" width="10.875" style="52" bestFit="1" customWidth="1"/>
    <col min="10508" max="10508" width="9.875" style="52" customWidth="1"/>
    <col min="10509" max="10509" width="14" style="52" customWidth="1"/>
    <col min="10510" max="10510" width="12.125" style="52" customWidth="1"/>
    <col min="10511" max="10511" width="11.875" style="52" customWidth="1"/>
    <col min="10512" max="10512" width="11.5" style="52" customWidth="1"/>
    <col min="10513" max="10513" width="11.875" style="52" customWidth="1"/>
    <col min="10514" max="10514" width="11.5" style="52" customWidth="1"/>
    <col min="10515" max="10515" width="11.875" style="52" customWidth="1"/>
    <col min="10516" max="10516" width="11.5" style="52" customWidth="1"/>
    <col min="10517" max="10517" width="18" style="52" bestFit="1" customWidth="1"/>
    <col min="10518" max="10750" width="9" style="52"/>
    <col min="10751" max="10757" width="0" style="52" hidden="1" customWidth="1"/>
    <col min="10758" max="10758" width="6.375" style="52" customWidth="1"/>
    <col min="10759" max="10759" width="9" style="52"/>
    <col min="10760" max="10760" width="41.875" style="52" customWidth="1"/>
    <col min="10761" max="10761" width="13.125" style="52" bestFit="1" customWidth="1"/>
    <col min="10762" max="10762" width="9.375" style="52" bestFit="1" customWidth="1"/>
    <col min="10763" max="10763" width="10.875" style="52" bestFit="1" customWidth="1"/>
    <col min="10764" max="10764" width="9.875" style="52" customWidth="1"/>
    <col min="10765" max="10765" width="14" style="52" customWidth="1"/>
    <col min="10766" max="10766" width="12.125" style="52" customWidth="1"/>
    <col min="10767" max="10767" width="11.875" style="52" customWidth="1"/>
    <col min="10768" max="10768" width="11.5" style="52" customWidth="1"/>
    <col min="10769" max="10769" width="11.875" style="52" customWidth="1"/>
    <col min="10770" max="10770" width="11.5" style="52" customWidth="1"/>
    <col min="10771" max="10771" width="11.875" style="52" customWidth="1"/>
    <col min="10772" max="10772" width="11.5" style="52" customWidth="1"/>
    <col min="10773" max="10773" width="18" style="52" bestFit="1" customWidth="1"/>
    <col min="10774" max="11006" width="9" style="52"/>
    <col min="11007" max="11013" width="0" style="52" hidden="1" customWidth="1"/>
    <col min="11014" max="11014" width="6.375" style="52" customWidth="1"/>
    <col min="11015" max="11015" width="9" style="52"/>
    <col min="11016" max="11016" width="41.875" style="52" customWidth="1"/>
    <col min="11017" max="11017" width="13.125" style="52" bestFit="1" customWidth="1"/>
    <col min="11018" max="11018" width="9.375" style="52" bestFit="1" customWidth="1"/>
    <col min="11019" max="11019" width="10.875" style="52" bestFit="1" customWidth="1"/>
    <col min="11020" max="11020" width="9.875" style="52" customWidth="1"/>
    <col min="11021" max="11021" width="14" style="52" customWidth="1"/>
    <col min="11022" max="11022" width="12.125" style="52" customWidth="1"/>
    <col min="11023" max="11023" width="11.875" style="52" customWidth="1"/>
    <col min="11024" max="11024" width="11.5" style="52" customWidth="1"/>
    <col min="11025" max="11025" width="11.875" style="52" customWidth="1"/>
    <col min="11026" max="11026" width="11.5" style="52" customWidth="1"/>
    <col min="11027" max="11027" width="11.875" style="52" customWidth="1"/>
    <col min="11028" max="11028" width="11.5" style="52" customWidth="1"/>
    <col min="11029" max="11029" width="18" style="52" bestFit="1" customWidth="1"/>
    <col min="11030" max="11262" width="9" style="52"/>
    <col min="11263" max="11269" width="0" style="52" hidden="1" customWidth="1"/>
    <col min="11270" max="11270" width="6.375" style="52" customWidth="1"/>
    <col min="11271" max="11271" width="9" style="52"/>
    <col min="11272" max="11272" width="41.875" style="52" customWidth="1"/>
    <col min="11273" max="11273" width="13.125" style="52" bestFit="1" customWidth="1"/>
    <col min="11274" max="11274" width="9.375" style="52" bestFit="1" customWidth="1"/>
    <col min="11275" max="11275" width="10.875" style="52" bestFit="1" customWidth="1"/>
    <col min="11276" max="11276" width="9.875" style="52" customWidth="1"/>
    <col min="11277" max="11277" width="14" style="52" customWidth="1"/>
    <col min="11278" max="11278" width="12.125" style="52" customWidth="1"/>
    <col min="11279" max="11279" width="11.875" style="52" customWidth="1"/>
    <col min="11280" max="11280" width="11.5" style="52" customWidth="1"/>
    <col min="11281" max="11281" width="11.875" style="52" customWidth="1"/>
    <col min="11282" max="11282" width="11.5" style="52" customWidth="1"/>
    <col min="11283" max="11283" width="11.875" style="52" customWidth="1"/>
    <col min="11284" max="11284" width="11.5" style="52" customWidth="1"/>
    <col min="11285" max="11285" width="18" style="52" bestFit="1" customWidth="1"/>
    <col min="11286" max="11518" width="9" style="52"/>
    <col min="11519" max="11525" width="0" style="52" hidden="1" customWidth="1"/>
    <col min="11526" max="11526" width="6.375" style="52" customWidth="1"/>
    <col min="11527" max="11527" width="9" style="52"/>
    <col min="11528" max="11528" width="41.875" style="52" customWidth="1"/>
    <col min="11529" max="11529" width="13.125" style="52" bestFit="1" customWidth="1"/>
    <col min="11530" max="11530" width="9.375" style="52" bestFit="1" customWidth="1"/>
    <col min="11531" max="11531" width="10.875" style="52" bestFit="1" customWidth="1"/>
    <col min="11532" max="11532" width="9.875" style="52" customWidth="1"/>
    <col min="11533" max="11533" width="14" style="52" customWidth="1"/>
    <col min="11534" max="11534" width="12.125" style="52" customWidth="1"/>
    <col min="11535" max="11535" width="11.875" style="52" customWidth="1"/>
    <col min="11536" max="11536" width="11.5" style="52" customWidth="1"/>
    <col min="11537" max="11537" width="11.875" style="52" customWidth="1"/>
    <col min="11538" max="11538" width="11.5" style="52" customWidth="1"/>
    <col min="11539" max="11539" width="11.875" style="52" customWidth="1"/>
    <col min="11540" max="11540" width="11.5" style="52" customWidth="1"/>
    <col min="11541" max="11541" width="18" style="52" bestFit="1" customWidth="1"/>
    <col min="11542" max="11774" width="9" style="52"/>
    <col min="11775" max="11781" width="0" style="52" hidden="1" customWidth="1"/>
    <col min="11782" max="11782" width="6.375" style="52" customWidth="1"/>
    <col min="11783" max="11783" width="9" style="52"/>
    <col min="11784" max="11784" width="41.875" style="52" customWidth="1"/>
    <col min="11785" max="11785" width="13.125" style="52" bestFit="1" customWidth="1"/>
    <col min="11786" max="11786" width="9.375" style="52" bestFit="1" customWidth="1"/>
    <col min="11787" max="11787" width="10.875" style="52" bestFit="1" customWidth="1"/>
    <col min="11788" max="11788" width="9.875" style="52" customWidth="1"/>
    <col min="11789" max="11789" width="14" style="52" customWidth="1"/>
    <col min="11790" max="11790" width="12.125" style="52" customWidth="1"/>
    <col min="11791" max="11791" width="11.875" style="52" customWidth="1"/>
    <col min="11792" max="11792" width="11.5" style="52" customWidth="1"/>
    <col min="11793" max="11793" width="11.875" style="52" customWidth="1"/>
    <col min="11794" max="11794" width="11.5" style="52" customWidth="1"/>
    <col min="11795" max="11795" width="11.875" style="52" customWidth="1"/>
    <col min="11796" max="11796" width="11.5" style="52" customWidth="1"/>
    <col min="11797" max="11797" width="18" style="52" bestFit="1" customWidth="1"/>
    <col min="11798" max="12030" width="9" style="52"/>
    <col min="12031" max="12037" width="0" style="52" hidden="1" customWidth="1"/>
    <col min="12038" max="12038" width="6.375" style="52" customWidth="1"/>
    <col min="12039" max="12039" width="9" style="52"/>
    <col min="12040" max="12040" width="41.875" style="52" customWidth="1"/>
    <col min="12041" max="12041" width="13.125" style="52" bestFit="1" customWidth="1"/>
    <col min="12042" max="12042" width="9.375" style="52" bestFit="1" customWidth="1"/>
    <col min="12043" max="12043" width="10.875" style="52" bestFit="1" customWidth="1"/>
    <col min="12044" max="12044" width="9.875" style="52" customWidth="1"/>
    <col min="12045" max="12045" width="14" style="52" customWidth="1"/>
    <col min="12046" max="12046" width="12.125" style="52" customWidth="1"/>
    <col min="12047" max="12047" width="11.875" style="52" customWidth="1"/>
    <col min="12048" max="12048" width="11.5" style="52" customWidth="1"/>
    <col min="12049" max="12049" width="11.875" style="52" customWidth="1"/>
    <col min="12050" max="12050" width="11.5" style="52" customWidth="1"/>
    <col min="12051" max="12051" width="11.875" style="52" customWidth="1"/>
    <col min="12052" max="12052" width="11.5" style="52" customWidth="1"/>
    <col min="12053" max="12053" width="18" style="52" bestFit="1" customWidth="1"/>
    <col min="12054" max="12286" width="9" style="52"/>
    <col min="12287" max="12293" width="0" style="52" hidden="1" customWidth="1"/>
    <col min="12294" max="12294" width="6.375" style="52" customWidth="1"/>
    <col min="12295" max="12295" width="9" style="52"/>
    <col min="12296" max="12296" width="41.875" style="52" customWidth="1"/>
    <col min="12297" max="12297" width="13.125" style="52" bestFit="1" customWidth="1"/>
    <col min="12298" max="12298" width="9.375" style="52" bestFit="1" customWidth="1"/>
    <col min="12299" max="12299" width="10.875" style="52" bestFit="1" customWidth="1"/>
    <col min="12300" max="12300" width="9.875" style="52" customWidth="1"/>
    <col min="12301" max="12301" width="14" style="52" customWidth="1"/>
    <col min="12302" max="12302" width="12.125" style="52" customWidth="1"/>
    <col min="12303" max="12303" width="11.875" style="52" customWidth="1"/>
    <col min="12304" max="12304" width="11.5" style="52" customWidth="1"/>
    <col min="12305" max="12305" width="11.875" style="52" customWidth="1"/>
    <col min="12306" max="12306" width="11.5" style="52" customWidth="1"/>
    <col min="12307" max="12307" width="11.875" style="52" customWidth="1"/>
    <col min="12308" max="12308" width="11.5" style="52" customWidth="1"/>
    <col min="12309" max="12309" width="18" style="52" bestFit="1" customWidth="1"/>
    <col min="12310" max="12542" width="9" style="52"/>
    <col min="12543" max="12549" width="0" style="52" hidden="1" customWidth="1"/>
    <col min="12550" max="12550" width="6.375" style="52" customWidth="1"/>
    <col min="12551" max="12551" width="9" style="52"/>
    <col min="12552" max="12552" width="41.875" style="52" customWidth="1"/>
    <col min="12553" max="12553" width="13.125" style="52" bestFit="1" customWidth="1"/>
    <col min="12554" max="12554" width="9.375" style="52" bestFit="1" customWidth="1"/>
    <col min="12555" max="12555" width="10.875" style="52" bestFit="1" customWidth="1"/>
    <col min="12556" max="12556" width="9.875" style="52" customWidth="1"/>
    <col min="12557" max="12557" width="14" style="52" customWidth="1"/>
    <col min="12558" max="12558" width="12.125" style="52" customWidth="1"/>
    <col min="12559" max="12559" width="11.875" style="52" customWidth="1"/>
    <col min="12560" max="12560" width="11.5" style="52" customWidth="1"/>
    <col min="12561" max="12561" width="11.875" style="52" customWidth="1"/>
    <col min="12562" max="12562" width="11.5" style="52" customWidth="1"/>
    <col min="12563" max="12563" width="11.875" style="52" customWidth="1"/>
    <col min="12564" max="12564" width="11.5" style="52" customWidth="1"/>
    <col min="12565" max="12565" width="18" style="52" bestFit="1" customWidth="1"/>
    <col min="12566" max="12798" width="9" style="52"/>
    <col min="12799" max="12805" width="0" style="52" hidden="1" customWidth="1"/>
    <col min="12806" max="12806" width="6.375" style="52" customWidth="1"/>
    <col min="12807" max="12807" width="9" style="52"/>
    <col min="12808" max="12808" width="41.875" style="52" customWidth="1"/>
    <col min="12809" max="12809" width="13.125" style="52" bestFit="1" customWidth="1"/>
    <col min="12810" max="12810" width="9.375" style="52" bestFit="1" customWidth="1"/>
    <col min="12811" max="12811" width="10.875" style="52" bestFit="1" customWidth="1"/>
    <col min="12812" max="12812" width="9.875" style="52" customWidth="1"/>
    <col min="12813" max="12813" width="14" style="52" customWidth="1"/>
    <col min="12814" max="12814" width="12.125" style="52" customWidth="1"/>
    <col min="12815" max="12815" width="11.875" style="52" customWidth="1"/>
    <col min="12816" max="12816" width="11.5" style="52" customWidth="1"/>
    <col min="12817" max="12817" width="11.875" style="52" customWidth="1"/>
    <col min="12818" max="12818" width="11.5" style="52" customWidth="1"/>
    <col min="12819" max="12819" width="11.875" style="52" customWidth="1"/>
    <col min="12820" max="12820" width="11.5" style="52" customWidth="1"/>
    <col min="12821" max="12821" width="18" style="52" bestFit="1" customWidth="1"/>
    <col min="12822" max="13054" width="9" style="52"/>
    <col min="13055" max="13061" width="0" style="52" hidden="1" customWidth="1"/>
    <col min="13062" max="13062" width="6.375" style="52" customWidth="1"/>
    <col min="13063" max="13063" width="9" style="52"/>
    <col min="13064" max="13064" width="41.875" style="52" customWidth="1"/>
    <col min="13065" max="13065" width="13.125" style="52" bestFit="1" customWidth="1"/>
    <col min="13066" max="13066" width="9.375" style="52" bestFit="1" customWidth="1"/>
    <col min="13067" max="13067" width="10.875" style="52" bestFit="1" customWidth="1"/>
    <col min="13068" max="13068" width="9.875" style="52" customWidth="1"/>
    <col min="13069" max="13069" width="14" style="52" customWidth="1"/>
    <col min="13070" max="13070" width="12.125" style="52" customWidth="1"/>
    <col min="13071" max="13071" width="11.875" style="52" customWidth="1"/>
    <col min="13072" max="13072" width="11.5" style="52" customWidth="1"/>
    <col min="13073" max="13073" width="11.875" style="52" customWidth="1"/>
    <col min="13074" max="13074" width="11.5" style="52" customWidth="1"/>
    <col min="13075" max="13075" width="11.875" style="52" customWidth="1"/>
    <col min="13076" max="13076" width="11.5" style="52" customWidth="1"/>
    <col min="13077" max="13077" width="18" style="52" bestFit="1" customWidth="1"/>
    <col min="13078" max="13310" width="9" style="52"/>
    <col min="13311" max="13317" width="0" style="52" hidden="1" customWidth="1"/>
    <col min="13318" max="13318" width="6.375" style="52" customWidth="1"/>
    <col min="13319" max="13319" width="9" style="52"/>
    <col min="13320" max="13320" width="41.875" style="52" customWidth="1"/>
    <col min="13321" max="13321" width="13.125" style="52" bestFit="1" customWidth="1"/>
    <col min="13322" max="13322" width="9.375" style="52" bestFit="1" customWidth="1"/>
    <col min="13323" max="13323" width="10.875" style="52" bestFit="1" customWidth="1"/>
    <col min="13324" max="13324" width="9.875" style="52" customWidth="1"/>
    <col min="13325" max="13325" width="14" style="52" customWidth="1"/>
    <col min="13326" max="13326" width="12.125" style="52" customWidth="1"/>
    <col min="13327" max="13327" width="11.875" style="52" customWidth="1"/>
    <col min="13328" max="13328" width="11.5" style="52" customWidth="1"/>
    <col min="13329" max="13329" width="11.875" style="52" customWidth="1"/>
    <col min="13330" max="13330" width="11.5" style="52" customWidth="1"/>
    <col min="13331" max="13331" width="11.875" style="52" customWidth="1"/>
    <col min="13332" max="13332" width="11.5" style="52" customWidth="1"/>
    <col min="13333" max="13333" width="18" style="52" bestFit="1" customWidth="1"/>
    <col min="13334" max="13566" width="9" style="52"/>
    <col min="13567" max="13573" width="0" style="52" hidden="1" customWidth="1"/>
    <col min="13574" max="13574" width="6.375" style="52" customWidth="1"/>
    <col min="13575" max="13575" width="9" style="52"/>
    <col min="13576" max="13576" width="41.875" style="52" customWidth="1"/>
    <col min="13577" max="13577" width="13.125" style="52" bestFit="1" customWidth="1"/>
    <col min="13578" max="13578" width="9.375" style="52" bestFit="1" customWidth="1"/>
    <col min="13579" max="13579" width="10.875" style="52" bestFit="1" customWidth="1"/>
    <col min="13580" max="13580" width="9.875" style="52" customWidth="1"/>
    <col min="13581" max="13581" width="14" style="52" customWidth="1"/>
    <col min="13582" max="13582" width="12.125" style="52" customWidth="1"/>
    <col min="13583" max="13583" width="11.875" style="52" customWidth="1"/>
    <col min="13584" max="13584" width="11.5" style="52" customWidth="1"/>
    <col min="13585" max="13585" width="11.875" style="52" customWidth="1"/>
    <col min="13586" max="13586" width="11.5" style="52" customWidth="1"/>
    <col min="13587" max="13587" width="11.875" style="52" customWidth="1"/>
    <col min="13588" max="13588" width="11.5" style="52" customWidth="1"/>
    <col min="13589" max="13589" width="18" style="52" bestFit="1" customWidth="1"/>
    <col min="13590" max="13822" width="9" style="52"/>
    <col min="13823" max="13829" width="0" style="52" hidden="1" customWidth="1"/>
    <col min="13830" max="13830" width="6.375" style="52" customWidth="1"/>
    <col min="13831" max="13831" width="9" style="52"/>
    <col min="13832" max="13832" width="41.875" style="52" customWidth="1"/>
    <col min="13833" max="13833" width="13.125" style="52" bestFit="1" customWidth="1"/>
    <col min="13834" max="13834" width="9.375" style="52" bestFit="1" customWidth="1"/>
    <col min="13835" max="13835" width="10.875" style="52" bestFit="1" customWidth="1"/>
    <col min="13836" max="13836" width="9.875" style="52" customWidth="1"/>
    <col min="13837" max="13837" width="14" style="52" customWidth="1"/>
    <col min="13838" max="13838" width="12.125" style="52" customWidth="1"/>
    <col min="13839" max="13839" width="11.875" style="52" customWidth="1"/>
    <col min="13840" max="13840" width="11.5" style="52" customWidth="1"/>
    <col min="13841" max="13841" width="11.875" style="52" customWidth="1"/>
    <col min="13842" max="13842" width="11.5" style="52" customWidth="1"/>
    <col min="13843" max="13843" width="11.875" style="52" customWidth="1"/>
    <col min="13844" max="13844" width="11.5" style="52" customWidth="1"/>
    <col min="13845" max="13845" width="18" style="52" bestFit="1" customWidth="1"/>
    <col min="13846" max="14078" width="9" style="52"/>
    <col min="14079" max="14085" width="0" style="52" hidden="1" customWidth="1"/>
    <col min="14086" max="14086" width="6.375" style="52" customWidth="1"/>
    <col min="14087" max="14087" width="9" style="52"/>
    <col min="14088" max="14088" width="41.875" style="52" customWidth="1"/>
    <col min="14089" max="14089" width="13.125" style="52" bestFit="1" customWidth="1"/>
    <col min="14090" max="14090" width="9.375" style="52" bestFit="1" customWidth="1"/>
    <col min="14091" max="14091" width="10.875" style="52" bestFit="1" customWidth="1"/>
    <col min="14092" max="14092" width="9.875" style="52" customWidth="1"/>
    <col min="14093" max="14093" width="14" style="52" customWidth="1"/>
    <col min="14094" max="14094" width="12.125" style="52" customWidth="1"/>
    <col min="14095" max="14095" width="11.875" style="52" customWidth="1"/>
    <col min="14096" max="14096" width="11.5" style="52" customWidth="1"/>
    <col min="14097" max="14097" width="11.875" style="52" customWidth="1"/>
    <col min="14098" max="14098" width="11.5" style="52" customWidth="1"/>
    <col min="14099" max="14099" width="11.875" style="52" customWidth="1"/>
    <col min="14100" max="14100" width="11.5" style="52" customWidth="1"/>
    <col min="14101" max="14101" width="18" style="52" bestFit="1" customWidth="1"/>
    <col min="14102" max="14334" width="9" style="52"/>
    <col min="14335" max="14341" width="0" style="52" hidden="1" customWidth="1"/>
    <col min="14342" max="14342" width="6.375" style="52" customWidth="1"/>
    <col min="14343" max="14343" width="9" style="52"/>
    <col min="14344" max="14344" width="41.875" style="52" customWidth="1"/>
    <col min="14345" max="14345" width="13.125" style="52" bestFit="1" customWidth="1"/>
    <col min="14346" max="14346" width="9.375" style="52" bestFit="1" customWidth="1"/>
    <col min="14347" max="14347" width="10.875" style="52" bestFit="1" customWidth="1"/>
    <col min="14348" max="14348" width="9.875" style="52" customWidth="1"/>
    <col min="14349" max="14349" width="14" style="52" customWidth="1"/>
    <col min="14350" max="14350" width="12.125" style="52" customWidth="1"/>
    <col min="14351" max="14351" width="11.875" style="52" customWidth="1"/>
    <col min="14352" max="14352" width="11.5" style="52" customWidth="1"/>
    <col min="14353" max="14353" width="11.875" style="52" customWidth="1"/>
    <col min="14354" max="14354" width="11.5" style="52" customWidth="1"/>
    <col min="14355" max="14355" width="11.875" style="52" customWidth="1"/>
    <col min="14356" max="14356" width="11.5" style="52" customWidth="1"/>
    <col min="14357" max="14357" width="18" style="52" bestFit="1" customWidth="1"/>
    <col min="14358" max="14590" width="9" style="52"/>
    <col min="14591" max="14597" width="0" style="52" hidden="1" customWidth="1"/>
    <col min="14598" max="14598" width="6.375" style="52" customWidth="1"/>
    <col min="14599" max="14599" width="9" style="52"/>
    <col min="14600" max="14600" width="41.875" style="52" customWidth="1"/>
    <col min="14601" max="14601" width="13.125" style="52" bestFit="1" customWidth="1"/>
    <col min="14602" max="14602" width="9.375" style="52" bestFit="1" customWidth="1"/>
    <col min="14603" max="14603" width="10.875" style="52" bestFit="1" customWidth="1"/>
    <col min="14604" max="14604" width="9.875" style="52" customWidth="1"/>
    <col min="14605" max="14605" width="14" style="52" customWidth="1"/>
    <col min="14606" max="14606" width="12.125" style="52" customWidth="1"/>
    <col min="14607" max="14607" width="11.875" style="52" customWidth="1"/>
    <col min="14608" max="14608" width="11.5" style="52" customWidth="1"/>
    <col min="14609" max="14609" width="11.875" style="52" customWidth="1"/>
    <col min="14610" max="14610" width="11.5" style="52" customWidth="1"/>
    <col min="14611" max="14611" width="11.875" style="52" customWidth="1"/>
    <col min="14612" max="14612" width="11.5" style="52" customWidth="1"/>
    <col min="14613" max="14613" width="18" style="52" bestFit="1" customWidth="1"/>
    <col min="14614" max="14846" width="9" style="52"/>
    <col min="14847" max="14853" width="0" style="52" hidden="1" customWidth="1"/>
    <col min="14854" max="14854" width="6.375" style="52" customWidth="1"/>
    <col min="14855" max="14855" width="9" style="52"/>
    <col min="14856" max="14856" width="41.875" style="52" customWidth="1"/>
    <col min="14857" max="14857" width="13.125" style="52" bestFit="1" customWidth="1"/>
    <col min="14858" max="14858" width="9.375" style="52" bestFit="1" customWidth="1"/>
    <col min="14859" max="14859" width="10.875" style="52" bestFit="1" customWidth="1"/>
    <col min="14860" max="14860" width="9.875" style="52" customWidth="1"/>
    <col min="14861" max="14861" width="14" style="52" customWidth="1"/>
    <col min="14862" max="14862" width="12.125" style="52" customWidth="1"/>
    <col min="14863" max="14863" width="11.875" style="52" customWidth="1"/>
    <col min="14864" max="14864" width="11.5" style="52" customWidth="1"/>
    <col min="14865" max="14865" width="11.875" style="52" customWidth="1"/>
    <col min="14866" max="14866" width="11.5" style="52" customWidth="1"/>
    <col min="14867" max="14867" width="11.875" style="52" customWidth="1"/>
    <col min="14868" max="14868" width="11.5" style="52" customWidth="1"/>
    <col min="14869" max="14869" width="18" style="52" bestFit="1" customWidth="1"/>
    <col min="14870" max="15102" width="9" style="52"/>
    <col min="15103" max="15109" width="0" style="52" hidden="1" customWidth="1"/>
    <col min="15110" max="15110" width="6.375" style="52" customWidth="1"/>
    <col min="15111" max="15111" width="9" style="52"/>
    <col min="15112" max="15112" width="41.875" style="52" customWidth="1"/>
    <col min="15113" max="15113" width="13.125" style="52" bestFit="1" customWidth="1"/>
    <col min="15114" max="15114" width="9.375" style="52" bestFit="1" customWidth="1"/>
    <col min="15115" max="15115" width="10.875" style="52" bestFit="1" customWidth="1"/>
    <col min="15116" max="15116" width="9.875" style="52" customWidth="1"/>
    <col min="15117" max="15117" width="14" style="52" customWidth="1"/>
    <col min="15118" max="15118" width="12.125" style="52" customWidth="1"/>
    <col min="15119" max="15119" width="11.875" style="52" customWidth="1"/>
    <col min="15120" max="15120" width="11.5" style="52" customWidth="1"/>
    <col min="15121" max="15121" width="11.875" style="52" customWidth="1"/>
    <col min="15122" max="15122" width="11.5" style="52" customWidth="1"/>
    <col min="15123" max="15123" width="11.875" style="52" customWidth="1"/>
    <col min="15124" max="15124" width="11.5" style="52" customWidth="1"/>
    <col min="15125" max="15125" width="18" style="52" bestFit="1" customWidth="1"/>
    <col min="15126" max="15358" width="9" style="52"/>
    <col min="15359" max="15365" width="0" style="52" hidden="1" customWidth="1"/>
    <col min="15366" max="15366" width="6.375" style="52" customWidth="1"/>
    <col min="15367" max="15367" width="9" style="52"/>
    <col min="15368" max="15368" width="41.875" style="52" customWidth="1"/>
    <col min="15369" max="15369" width="13.125" style="52" bestFit="1" customWidth="1"/>
    <col min="15370" max="15370" width="9.375" style="52" bestFit="1" customWidth="1"/>
    <col min="15371" max="15371" width="10.875" style="52" bestFit="1" customWidth="1"/>
    <col min="15372" max="15372" width="9.875" style="52" customWidth="1"/>
    <col min="15373" max="15373" width="14" style="52" customWidth="1"/>
    <col min="15374" max="15374" width="12.125" style="52" customWidth="1"/>
    <col min="15375" max="15375" width="11.875" style="52" customWidth="1"/>
    <col min="15376" max="15376" width="11.5" style="52" customWidth="1"/>
    <col min="15377" max="15377" width="11.875" style="52" customWidth="1"/>
    <col min="15378" max="15378" width="11.5" style="52" customWidth="1"/>
    <col min="15379" max="15379" width="11.875" style="52" customWidth="1"/>
    <col min="15380" max="15380" width="11.5" style="52" customWidth="1"/>
    <col min="15381" max="15381" width="18" style="52" bestFit="1" customWidth="1"/>
    <col min="15382" max="15614" width="9" style="52"/>
    <col min="15615" max="15621" width="0" style="52" hidden="1" customWidth="1"/>
    <col min="15622" max="15622" width="6.375" style="52" customWidth="1"/>
    <col min="15623" max="15623" width="9" style="52"/>
    <col min="15624" max="15624" width="41.875" style="52" customWidth="1"/>
    <col min="15625" max="15625" width="13.125" style="52" bestFit="1" customWidth="1"/>
    <col min="15626" max="15626" width="9.375" style="52" bestFit="1" customWidth="1"/>
    <col min="15627" max="15627" width="10.875" style="52" bestFit="1" customWidth="1"/>
    <col min="15628" max="15628" width="9.875" style="52" customWidth="1"/>
    <col min="15629" max="15629" width="14" style="52" customWidth="1"/>
    <col min="15630" max="15630" width="12.125" style="52" customWidth="1"/>
    <col min="15631" max="15631" width="11.875" style="52" customWidth="1"/>
    <col min="15632" max="15632" width="11.5" style="52" customWidth="1"/>
    <col min="15633" max="15633" width="11.875" style="52" customWidth="1"/>
    <col min="15634" max="15634" width="11.5" style="52" customWidth="1"/>
    <col min="15635" max="15635" width="11.875" style="52" customWidth="1"/>
    <col min="15636" max="15636" width="11.5" style="52" customWidth="1"/>
    <col min="15637" max="15637" width="18" style="52" bestFit="1" customWidth="1"/>
    <col min="15638" max="15870" width="9" style="52"/>
    <col min="15871" max="15877" width="0" style="52" hidden="1" customWidth="1"/>
    <col min="15878" max="15878" width="6.375" style="52" customWidth="1"/>
    <col min="15879" max="15879" width="9" style="52"/>
    <col min="15880" max="15880" width="41.875" style="52" customWidth="1"/>
    <col min="15881" max="15881" width="13.125" style="52" bestFit="1" customWidth="1"/>
    <col min="15882" max="15882" width="9.375" style="52" bestFit="1" customWidth="1"/>
    <col min="15883" max="15883" width="10.875" style="52" bestFit="1" customWidth="1"/>
    <col min="15884" max="15884" width="9.875" style="52" customWidth="1"/>
    <col min="15885" max="15885" width="14" style="52" customWidth="1"/>
    <col min="15886" max="15886" width="12.125" style="52" customWidth="1"/>
    <col min="15887" max="15887" width="11.875" style="52" customWidth="1"/>
    <col min="15888" max="15888" width="11.5" style="52" customWidth="1"/>
    <col min="15889" max="15889" width="11.875" style="52" customWidth="1"/>
    <col min="15890" max="15890" width="11.5" style="52" customWidth="1"/>
    <col min="15891" max="15891" width="11.875" style="52" customWidth="1"/>
    <col min="15892" max="15892" width="11.5" style="52" customWidth="1"/>
    <col min="15893" max="15893" width="18" style="52" bestFit="1" customWidth="1"/>
    <col min="15894" max="16126" width="9" style="52"/>
    <col min="16127" max="16133" width="0" style="52" hidden="1" customWidth="1"/>
    <col min="16134" max="16134" width="6.375" style="52" customWidth="1"/>
    <col min="16135" max="16135" width="9" style="52"/>
    <col min="16136" max="16136" width="41.875" style="52" customWidth="1"/>
    <col min="16137" max="16137" width="13.125" style="52" bestFit="1" customWidth="1"/>
    <col min="16138" max="16138" width="9.375" style="52" bestFit="1" customWidth="1"/>
    <col min="16139" max="16139" width="10.875" style="52" bestFit="1" customWidth="1"/>
    <col min="16140" max="16140" width="9.875" style="52" customWidth="1"/>
    <col min="16141" max="16141" width="14" style="52" customWidth="1"/>
    <col min="16142" max="16142" width="12.125" style="52" customWidth="1"/>
    <col min="16143" max="16143" width="11.875" style="52" customWidth="1"/>
    <col min="16144" max="16144" width="11.5" style="52" customWidth="1"/>
    <col min="16145" max="16145" width="11.875" style="52" customWidth="1"/>
    <col min="16146" max="16146" width="11.5" style="52" customWidth="1"/>
    <col min="16147" max="16147" width="11.875" style="52" customWidth="1"/>
    <col min="16148" max="16148" width="11.5" style="52" customWidth="1"/>
    <col min="16149" max="16149" width="18" style="52" bestFit="1" customWidth="1"/>
    <col min="16150" max="16384" width="9" style="52"/>
  </cols>
  <sheetData>
    <row r="1" spans="1:21" ht="12.75" customHeight="1">
      <c r="A1" s="97"/>
      <c r="B1" s="97" t="s">
        <v>467</v>
      </c>
      <c r="C1" s="97" t="s">
        <v>468</v>
      </c>
      <c r="D1" s="97" t="s">
        <v>469</v>
      </c>
      <c r="E1" s="97" t="s">
        <v>470</v>
      </c>
      <c r="F1" s="97" t="s">
        <v>471</v>
      </c>
      <c r="G1" s="97" t="s">
        <v>472</v>
      </c>
      <c r="H1" s="97" t="s">
        <v>473</v>
      </c>
      <c r="I1" s="300"/>
      <c r="J1" s="219" t="s">
        <v>466</v>
      </c>
      <c r="K1" s="1080" t="s">
        <v>8939</v>
      </c>
      <c r="L1" s="219" t="s">
        <v>8961</v>
      </c>
      <c r="M1" s="219" t="s">
        <v>8940</v>
      </c>
      <c r="N1" s="219" t="s">
        <v>8942</v>
      </c>
      <c r="O1" s="219" t="s">
        <v>471</v>
      </c>
      <c r="P1" s="219" t="s">
        <v>8266</v>
      </c>
      <c r="Q1" s="219" t="s">
        <v>8943</v>
      </c>
      <c r="R1" s="219" t="s">
        <v>8267</v>
      </c>
      <c r="S1" s="219" t="s">
        <v>10529</v>
      </c>
      <c r="T1" s="219" t="s">
        <v>10530</v>
      </c>
      <c r="U1" s="964"/>
    </row>
    <row r="2" spans="1:21" ht="12.75" customHeight="1" thickBot="1">
      <c r="A2" s="301"/>
      <c r="B2" s="301"/>
      <c r="C2" s="275" t="s">
        <v>479</v>
      </c>
      <c r="D2" s="275" t="s">
        <v>479</v>
      </c>
      <c r="E2" s="275" t="s">
        <v>479</v>
      </c>
      <c r="F2" s="275" t="s">
        <v>479</v>
      </c>
      <c r="G2" s="275"/>
      <c r="H2" s="275"/>
      <c r="I2" s="302"/>
      <c r="J2" s="98"/>
      <c r="K2" s="1081"/>
      <c r="L2" s="56" t="s">
        <v>479</v>
      </c>
      <c r="M2" s="56" t="s">
        <v>479</v>
      </c>
      <c r="N2" s="56" t="s">
        <v>479</v>
      </c>
      <c r="O2" s="56" t="s">
        <v>479</v>
      </c>
      <c r="P2" s="56" t="s">
        <v>8268</v>
      </c>
      <c r="Q2" s="56" t="s">
        <v>8941</v>
      </c>
      <c r="R2" s="56" t="s">
        <v>8913</v>
      </c>
      <c r="S2" s="56" t="s">
        <v>10531</v>
      </c>
      <c r="T2" s="56" t="s">
        <v>10531</v>
      </c>
      <c r="U2" s="964"/>
    </row>
    <row r="3" spans="1:21" ht="12.75" customHeight="1">
      <c r="A3" s="276"/>
      <c r="B3" s="293"/>
      <c r="C3" s="294"/>
      <c r="D3" s="295"/>
      <c r="E3" s="296"/>
      <c r="F3" s="297"/>
      <c r="G3" s="298"/>
      <c r="H3" s="299"/>
      <c r="I3" s="266"/>
      <c r="J3" s="307" t="s">
        <v>484</v>
      </c>
      <c r="K3" s="644" t="s">
        <v>8840</v>
      </c>
      <c r="L3" s="841">
        <f>VLOOKUP($J3,Desalter!$F$5:$AT$14,4,0)</f>
        <v>24.056000000000001</v>
      </c>
      <c r="M3" s="841">
        <f>VLOOKUP($J3,Desalter!$F$5:$AT$14,2,0)</f>
        <v>4.2670000000000003</v>
      </c>
      <c r="N3" s="645"/>
      <c r="O3" s="645"/>
      <c r="P3" s="646"/>
      <c r="Q3" s="653">
        <f>(VLOOKUP($J3,Desalter!$F$5:$AT$14,40,0)-101325)/100000</f>
        <v>8.7865293494531702</v>
      </c>
      <c r="R3" s="653">
        <f>VLOOKUP($J3,Desalter!$F$5:$AT$14,38,0)-273.15</f>
        <v>126.49137764205801</v>
      </c>
      <c r="S3" s="892">
        <f>VLOOKUP($J3,Desalter!$F$5:$AV$14,42,0)</f>
        <v>344.00011058023898</v>
      </c>
      <c r="T3" s="939">
        <v>344</v>
      </c>
      <c r="U3" s="965" t="s">
        <v>10690</v>
      </c>
    </row>
    <row r="4" spans="1:21" ht="12.75" customHeight="1">
      <c r="A4" s="276"/>
      <c r="B4" s="290"/>
      <c r="C4" s="278"/>
      <c r="D4" s="279"/>
      <c r="E4" s="280"/>
      <c r="F4" s="281"/>
      <c r="G4" s="282"/>
      <c r="H4" s="283"/>
      <c r="I4" s="266"/>
      <c r="J4" s="204" t="s">
        <v>488</v>
      </c>
      <c r="K4" s="565" t="s">
        <v>8840</v>
      </c>
      <c r="L4" s="842">
        <f>VLOOKUP($J4,Desalter!$F$5:$AT$14,4,0)</f>
        <v>24.056000000000001</v>
      </c>
      <c r="M4" s="842">
        <f>VLOOKUP($J4,Desalter!$F$5:$AT$14,2,0)</f>
        <v>4.2670000000000003</v>
      </c>
      <c r="N4" s="395"/>
      <c r="O4" s="395"/>
      <c r="P4" s="566"/>
      <c r="Q4" s="654">
        <f>(VLOOKUP($J4,Desalter!$F$5:$AT$14,40,0)-101325)/100000</f>
        <v>8.7864817719186394</v>
      </c>
      <c r="R4" s="654">
        <f>VLOOKUP($J4,Desalter!$F$5:$AT$14,38,0)-273.15</f>
        <v>126.39467819182101</v>
      </c>
      <c r="S4" s="892">
        <f>VLOOKUP($J4,Desalter!$F$5:$AV$14,42,0)</f>
        <v>344.00011058023898</v>
      </c>
      <c r="T4" s="939">
        <v>344</v>
      </c>
      <c r="U4" s="965" t="s">
        <v>10691</v>
      </c>
    </row>
    <row r="5" spans="1:21" ht="12.75" customHeight="1">
      <c r="A5" s="276"/>
      <c r="B5" s="290"/>
      <c r="C5" s="278"/>
      <c r="D5" s="279"/>
      <c r="E5" s="280"/>
      <c r="F5" s="281"/>
      <c r="G5" s="282"/>
      <c r="H5" s="283"/>
      <c r="I5" s="266"/>
      <c r="J5" s="204" t="s">
        <v>490</v>
      </c>
      <c r="K5" s="643" t="s">
        <v>8840</v>
      </c>
      <c r="L5" s="842">
        <f>VLOOKUP($J5,Desalter!$F$5:$AT$14,4,0)</f>
        <v>22.986000000000001</v>
      </c>
      <c r="M5" s="842">
        <f>VLOOKUP($J5,Desalter!$F$5:$AT$14,2,0)</f>
        <v>4.5999999999999996</v>
      </c>
      <c r="N5" s="641"/>
      <c r="O5" s="641"/>
      <c r="P5" s="642"/>
      <c r="Q5" s="654">
        <f>(VLOOKUP($J5,Desalter!$F$5:$AT$14,40,0)-101325)/100000</f>
        <v>7.8889386155355803</v>
      </c>
      <c r="R5" s="654">
        <f>VLOOKUP($J5,Desalter!$F$5:$AT$14,38,0)-273.15</f>
        <v>121.25727578683404</v>
      </c>
      <c r="S5" s="998">
        <f>VLOOKUP($J5,Desalter!$F$5:$AV$14,42,0)</f>
        <v>382.00491181037</v>
      </c>
      <c r="T5" s="939">
        <v>494.5</v>
      </c>
      <c r="U5" s="966" t="s">
        <v>10692</v>
      </c>
    </row>
    <row r="6" spans="1:21" ht="12.75" customHeight="1">
      <c r="A6" s="276"/>
      <c r="B6" s="290"/>
      <c r="C6" s="278"/>
      <c r="D6" s="279"/>
      <c r="E6" s="280"/>
      <c r="F6" s="281"/>
      <c r="G6" s="282"/>
      <c r="H6" s="283"/>
      <c r="I6" s="266"/>
      <c r="J6" s="204" t="s">
        <v>492</v>
      </c>
      <c r="K6" s="565" t="s">
        <v>8269</v>
      </c>
      <c r="L6" s="842">
        <f>VLOOKUP($J6,DrumSeparatorV2!$F$5:$Z$14,4,0)</f>
        <v>17.716000000000001</v>
      </c>
      <c r="M6" s="842">
        <f>VLOOKUP($J6,DrumSeparatorV2!$F$5:$Z$14,2,0)</f>
        <v>4.5999999999999996</v>
      </c>
      <c r="N6" s="395">
        <f>VLOOKUP($J6,DrumSeparatorV2!$F$5:$Z$14,8,0)</f>
        <v>2</v>
      </c>
      <c r="O6" s="395">
        <f>VLOOKUP($J6,DrumSeparatorV2!$F$5:$Z$14,6,0)</f>
        <v>1</v>
      </c>
      <c r="P6" s="566"/>
      <c r="Q6" s="654">
        <f>(VLOOKUP($J6,DrumSeparatorV2!$F$5:$Z$14,18,0)-101325)/100000</f>
        <v>0.69012918954974012</v>
      </c>
      <c r="R6" s="654">
        <f>VLOOKUP($J6,DrumSeparatorV2!$F$5:$Z$14,20,0)-273.15</f>
        <v>51.556451985467049</v>
      </c>
      <c r="S6" s="891">
        <f>VLOOKUP($J6,DrumSeparatorV2!$F$5:$AB$14,22,0)</f>
        <v>295.99344566258702</v>
      </c>
      <c r="T6" s="939">
        <v>296</v>
      </c>
      <c r="U6" s="965" t="s">
        <v>10693</v>
      </c>
    </row>
    <row r="7" spans="1:21" ht="12.75" customHeight="1">
      <c r="A7" s="276"/>
      <c r="B7" s="290"/>
      <c r="C7" s="278"/>
      <c r="D7" s="279"/>
      <c r="E7" s="280"/>
      <c r="F7" s="281"/>
      <c r="G7" s="282"/>
      <c r="H7" s="283"/>
      <c r="I7" s="266"/>
      <c r="J7" s="204" t="s">
        <v>494</v>
      </c>
      <c r="K7" s="565" t="s">
        <v>8283</v>
      </c>
      <c r="L7" s="842">
        <f>VLOOKUP($J7,AtmosphericTank!$F$5:$N$14,4,0)</f>
        <v>1.25</v>
      </c>
      <c r="M7" s="842">
        <f>VLOOKUP($J7,AtmosphericTank!$F$5:$N$14,2,0)</f>
        <v>2.6890000000000001</v>
      </c>
      <c r="N7" s="395"/>
      <c r="O7" s="395"/>
      <c r="P7" s="566"/>
      <c r="Q7" s="654">
        <f>(VLOOKUP($J7,AtmosphericTank!$F$5:$N$14,8,0)-101325)/100000</f>
        <v>0.69012946804857001</v>
      </c>
      <c r="R7" s="654">
        <f>VLOOKUP($J7,AtmosphericTank!$F$5:$N$14,6,0)-273.15</f>
        <v>51.465479048697034</v>
      </c>
      <c r="S7" s="1005">
        <f>VLOOKUP($J7,AtmosphericTank!$F$5:$P$14,10,0)</f>
        <v>3.2998994708998102</v>
      </c>
      <c r="T7" s="939" t="s">
        <v>10694</v>
      </c>
      <c r="U7" s="965" t="s">
        <v>10695</v>
      </c>
    </row>
    <row r="8" spans="1:21" ht="12.75" customHeight="1">
      <c r="A8" s="276"/>
      <c r="B8" s="290"/>
      <c r="C8" s="278"/>
      <c r="D8" s="279"/>
      <c r="E8" s="280"/>
      <c r="F8" s="281"/>
      <c r="G8" s="282"/>
      <c r="H8" s="283"/>
      <c r="I8" s="266"/>
      <c r="J8" s="204" t="s">
        <v>496</v>
      </c>
      <c r="K8" s="565" t="s">
        <v>8283</v>
      </c>
      <c r="L8" s="842">
        <f>VLOOKUP($J8,AtmosphericTank!$F$5:$N$14,4,0)</f>
        <v>2.8</v>
      </c>
      <c r="M8" s="842">
        <f>VLOOKUP($J8,AtmosphericTank!$F$5:$N$14,2,0)</f>
        <v>6.9829999999999997</v>
      </c>
      <c r="N8" s="395"/>
      <c r="O8" s="395"/>
      <c r="P8" s="566"/>
      <c r="Q8" s="654">
        <f>(VLOOKUP($J8,AtmosphericTank!$F$5:$N$14,8,0)-101325)/100000</f>
        <v>0.10025448110437996</v>
      </c>
      <c r="R8" s="654">
        <f>VLOOKUP($J8,AtmosphericTank!$F$5:$N$14,6,0)-273.15</f>
        <v>50.281348917855041</v>
      </c>
      <c r="S8" s="1009">
        <f>VLOOKUP($J8,AtmosphericTank!$F$5:$P$14,10,0)</f>
        <v>42.997973340037198</v>
      </c>
      <c r="T8" s="939">
        <v>43</v>
      </c>
      <c r="U8" s="965" t="s">
        <v>10696</v>
      </c>
    </row>
    <row r="9" spans="1:21" ht="12.75" customHeight="1">
      <c r="A9" s="276"/>
      <c r="B9" s="290"/>
      <c r="C9" s="278"/>
      <c r="D9" s="279"/>
      <c r="E9" s="280"/>
      <c r="F9" s="281"/>
      <c r="G9" s="282"/>
      <c r="H9" s="283"/>
      <c r="I9" s="266"/>
      <c r="J9" s="204" t="s">
        <v>8282</v>
      </c>
      <c r="K9" s="565" t="s">
        <v>8280</v>
      </c>
      <c r="L9" s="842">
        <f>VLOOKUP($J9,ScrubberThreePhase!$F$5:$T$14,2,0)</f>
        <v>1.8480000000000001</v>
      </c>
      <c r="M9" s="842">
        <f>VLOOKUP($J9,ScrubberThreePhase!$F$5:$T$14,4,0)</f>
        <v>5.1020000000000003</v>
      </c>
      <c r="N9" s="395"/>
      <c r="O9" s="395"/>
      <c r="P9" s="395">
        <f>VLOOKUP($J9,ScrubberThreePhase!$F$5:$T$14,8,0)</f>
        <v>1</v>
      </c>
      <c r="Q9" s="654">
        <f>(VLOOKUP($J9,ScrubberThreePhase!$F$5:$T$14,14,0)-101325)/100000</f>
        <v>-0.87056673146851304</v>
      </c>
      <c r="R9" s="654">
        <f>VLOOKUP($J9,ScrubberThreePhase!$F$5:$T$14,12,0)-273.15</f>
        <v>39.666612858356018</v>
      </c>
      <c r="S9" s="566">
        <f>VLOOKUP($J9,ScrubberThreePhase!$F$5:$V$14,16,0)+3.8</f>
        <v>17.484668120816298</v>
      </c>
      <c r="T9" s="939">
        <v>17.5</v>
      </c>
      <c r="U9" s="965" t="s">
        <v>10697</v>
      </c>
    </row>
    <row r="10" spans="1:21" ht="12.75" customHeight="1">
      <c r="A10" s="276"/>
      <c r="B10" s="290"/>
      <c r="C10" s="278"/>
      <c r="D10" s="279"/>
      <c r="E10" s="280"/>
      <c r="F10" s="281"/>
      <c r="G10" s="282"/>
      <c r="H10" s="283"/>
      <c r="I10" s="266"/>
      <c r="J10" s="204" t="s">
        <v>500</v>
      </c>
      <c r="K10" s="565" t="s">
        <v>8274</v>
      </c>
      <c r="L10" s="842">
        <f>VLOOKUP($J10,Scrubber!$F$5:$N$14,4,0)</f>
        <v>2.96266265256935</v>
      </c>
      <c r="M10" s="842">
        <f>VLOOKUP($J10,Scrubber!$F$5:$N$14,2,0)</f>
        <v>0.95</v>
      </c>
      <c r="N10" s="395"/>
      <c r="O10" s="395"/>
      <c r="P10" s="566"/>
      <c r="Q10" s="654">
        <f>(VLOOKUP($J10,Scrubber!$F$5:$N$14,6,0)-101325)/100000</f>
        <v>0.6833273989693599</v>
      </c>
      <c r="R10" s="654">
        <f>VLOOKUP($J10,Scrubber!$F$5:$N$14,8,0)-273.15</f>
        <v>51.551203430831038</v>
      </c>
      <c r="S10" s="566">
        <f>VLOOKUP($J10,Scrubber!$F$5:$P$14,10,0)</f>
        <v>2.0999995631074002</v>
      </c>
      <c r="T10" s="939" t="s">
        <v>10698</v>
      </c>
      <c r="U10" s="965" t="s">
        <v>10699</v>
      </c>
    </row>
    <row r="11" spans="1:21" ht="12.75" customHeight="1">
      <c r="A11" s="276"/>
      <c r="B11" s="291"/>
      <c r="C11" s="267"/>
      <c r="D11" s="268"/>
      <c r="E11" s="269"/>
      <c r="F11" s="270"/>
      <c r="G11" s="271"/>
      <c r="H11" s="272"/>
      <c r="I11" s="266"/>
      <c r="J11" s="204" t="s">
        <v>502</v>
      </c>
      <c r="K11" s="565" t="s">
        <v>8283</v>
      </c>
      <c r="L11" s="842">
        <f>VLOOKUP($J11,AtmosphericTank!$F$5:$N$14,4,0)</f>
        <v>4.5</v>
      </c>
      <c r="M11" s="842">
        <f>VLOOKUP($J11,AtmosphericTank!$F$5:$N$14,2,0)</f>
        <v>6.28760269005019</v>
      </c>
      <c r="N11" s="395"/>
      <c r="O11" s="395"/>
      <c r="P11" s="566"/>
      <c r="Q11" s="654">
        <f>(VLOOKUP($J11,AtmosphericTank!$F$5:$N$14,8,0)-101325)/100000</f>
        <v>0</v>
      </c>
      <c r="R11" s="654">
        <f>VLOOKUP($J11,AtmosphericTank!$F$5:$N$14,6,0)-273.15</f>
        <v>75.76421480956202</v>
      </c>
      <c r="S11" s="891">
        <f>VLOOKUP($J11,AtmosphericTank!$F$5:$P$14,10,0)</f>
        <v>100.00000000000701</v>
      </c>
      <c r="T11" s="939">
        <v>100</v>
      </c>
      <c r="U11" s="965" t="s">
        <v>10700</v>
      </c>
    </row>
    <row r="12" spans="1:21" ht="12.75" customHeight="1" thickBot="1">
      <c r="A12" s="276"/>
      <c r="B12" s="292"/>
      <c r="C12" s="284"/>
      <c r="D12" s="285"/>
      <c r="E12" s="286"/>
      <c r="F12" s="287"/>
      <c r="G12" s="288"/>
      <c r="H12" s="289"/>
      <c r="I12" s="266"/>
      <c r="J12" s="204" t="s">
        <v>510</v>
      </c>
      <c r="K12" s="565" t="s">
        <v>4914</v>
      </c>
      <c r="L12" s="842">
        <f>VLOOKUP($J12,Scrubber!$F$5:$N$14,4,0)</f>
        <v>1.3750987083139801</v>
      </c>
      <c r="M12" s="842">
        <f>VLOOKUP($J12,Scrubber!$F$5:$N$14,2,0)</f>
        <v>0.5</v>
      </c>
      <c r="N12" s="395"/>
      <c r="O12" s="395"/>
      <c r="P12" s="566"/>
      <c r="Q12" s="654">
        <f>(VLOOKUP($J12,Scrubber!$F$5:$N$14,6,0)-101325)/100000</f>
        <v>-0.41202476185804904</v>
      </c>
      <c r="R12" s="654">
        <f>VLOOKUP($J12,Scrubber!$F$5:$N$14,8,0)-273.15</f>
        <v>33.989541133510045</v>
      </c>
      <c r="S12" s="920">
        <f>VLOOKUP($J12,Scrubber!$F$5:$P$14,10,0)</f>
        <v>0.269999943828096</v>
      </c>
      <c r="T12" s="939">
        <v>0.27</v>
      </c>
      <c r="U12" s="965" t="s">
        <v>10701</v>
      </c>
    </row>
    <row r="13" spans="1:21" ht="12.75" customHeight="1" thickTop="1">
      <c r="J13" s="204" t="s">
        <v>512</v>
      </c>
      <c r="K13" s="565" t="s">
        <v>4914</v>
      </c>
      <c r="L13" s="842">
        <f>VLOOKUP($J13,Scrubber!$F$5:$N$14,4,0)</f>
        <v>1.3750987083139801</v>
      </c>
      <c r="M13" s="842">
        <f>VLOOKUP($J13,Scrubber!$F$5:$N$14,2,0)</f>
        <v>0.5</v>
      </c>
      <c r="N13" s="395"/>
      <c r="O13" s="395"/>
      <c r="P13" s="566"/>
      <c r="Q13" s="654">
        <f>(VLOOKUP($J13,Scrubber!$F$5:$N$14,6,0)-101325)/100000</f>
        <v>-9.6165873293818011E-2</v>
      </c>
      <c r="R13" s="654">
        <f>VLOOKUP($J13,Scrubber!$F$5:$N$14,8,0)-273.15</f>
        <v>24.904205804596018</v>
      </c>
      <c r="S13" s="920">
        <f>VLOOKUP($J13,Scrubber!$F$5:$P$14,10,0)</f>
        <v>0.269999943828096</v>
      </c>
      <c r="T13" s="939">
        <v>0.27</v>
      </c>
      <c r="U13" s="965" t="s">
        <v>10701</v>
      </c>
    </row>
    <row r="14" spans="1:21" ht="12.75" customHeight="1">
      <c r="J14" s="204" t="s">
        <v>513</v>
      </c>
      <c r="K14" s="565" t="s">
        <v>8269</v>
      </c>
      <c r="L14" s="842">
        <f>VLOOKUP($J14,DrumSeparatorV2!$F$5:$Z$14,4,0)</f>
        <v>11.614000000000001</v>
      </c>
      <c r="M14" s="842">
        <f>VLOOKUP($J14,DrumSeparatorV2!$F$5:$Z$14,2,0)</f>
        <v>2.94</v>
      </c>
      <c r="N14" s="395">
        <f>VLOOKUP($J14,DrumSeparatorV2!$F$5:$Z$14,8,0)</f>
        <v>1</v>
      </c>
      <c r="O14" s="395">
        <f>VLOOKUP($J14,DrumSeparatorV2!$F$5:$Z$14,6,0)</f>
        <v>1.1599999999999999</v>
      </c>
      <c r="P14" s="566"/>
      <c r="Q14" s="654">
        <f>(VLOOKUP($J14,DrumSeparatorV2!$F$5:$Z$14,18,0)-101325)/100000</f>
        <v>27.082760602526903</v>
      </c>
      <c r="R14" s="654">
        <f>VLOOKUP($J14,DrumSeparatorV2!$F$5:$Z$14,20,0)-273.15</f>
        <v>53.130114250172028</v>
      </c>
      <c r="S14" s="1005">
        <f>VLOOKUP($J14,DrumSeparatorV2!$F$5:$AB$14,22,0)</f>
        <v>79.900416870234196</v>
      </c>
      <c r="T14" s="939" t="s">
        <v>10702</v>
      </c>
      <c r="U14" s="965" t="s">
        <v>10703</v>
      </c>
    </row>
    <row r="15" spans="1:21" ht="12.75" customHeight="1">
      <c r="J15" s="204" t="s">
        <v>515</v>
      </c>
      <c r="K15" s="565" t="s">
        <v>8269</v>
      </c>
      <c r="L15" s="842">
        <f>VLOOKUP($J15,DrumSeparatorV2!$F$5:$Z$14,4,0)</f>
        <v>11.723000000000001</v>
      </c>
      <c r="M15" s="842">
        <f>VLOOKUP($J15,DrumSeparatorV2!$F$5:$Z$14,2,0)</f>
        <v>3.05</v>
      </c>
      <c r="N15" s="395">
        <f>VLOOKUP($J15,DrumSeparatorV2!$F$5:$Z$14,8,0)</f>
        <v>1.35</v>
      </c>
      <c r="O15" s="395">
        <f>VLOOKUP($J15,DrumSeparatorV2!$F$5:$Z$14,6,0)</f>
        <v>1.04</v>
      </c>
      <c r="P15" s="566"/>
      <c r="Q15" s="654">
        <f>(VLOOKUP($J15,DrumSeparatorV2!$F$5:$Z$14,18,0)-101325)/100000</f>
        <v>6.6387274174693598</v>
      </c>
      <c r="R15" s="654">
        <f>VLOOKUP($J15,DrumSeparatorV2!$F$5:$Z$14,20,0)-273.15</f>
        <v>53.745648925876026</v>
      </c>
      <c r="S15" s="566">
        <f>VLOOKUP($J15,DrumSeparatorV2!$F$5:$AB$14,22,0)</f>
        <v>86.796995865373006</v>
      </c>
      <c r="T15" s="939" t="s">
        <v>10704</v>
      </c>
      <c r="U15" s="965" t="s">
        <v>10705</v>
      </c>
    </row>
    <row r="16" spans="1:21" ht="12.75" customHeight="1">
      <c r="J16" s="204" t="s">
        <v>517</v>
      </c>
      <c r="K16" s="565" t="s">
        <v>4914</v>
      </c>
      <c r="L16" s="842">
        <f>VLOOKUP($J16,Scrubber!$F$5:$N$14,4,0)</f>
        <v>3.8976720757198899</v>
      </c>
      <c r="M16" s="842">
        <f>VLOOKUP($J16,Scrubber!$F$5:$N$14,2,0)</f>
        <v>1.4</v>
      </c>
      <c r="N16" s="395"/>
      <c r="O16" s="395"/>
      <c r="P16" s="566"/>
      <c r="Q16" s="654">
        <f>(VLOOKUP($J16,Scrubber!$F$5:$N$14,6,0)-101325)/100000</f>
        <v>26.994626051532901</v>
      </c>
      <c r="R16" s="654">
        <f>VLOOKUP($J16,Scrubber!$F$5:$N$14,8,0)-273.15</f>
        <v>47.93505119082505</v>
      </c>
      <c r="S16" s="891">
        <f>VLOOKUP($J16,Scrubber!$F$5:$P$14,10,0)</f>
        <v>5.9999987517354496</v>
      </c>
      <c r="T16" s="939">
        <v>6</v>
      </c>
      <c r="U16" s="965" t="s">
        <v>10706</v>
      </c>
    </row>
    <row r="17" spans="1:21" ht="12.75" customHeight="1">
      <c r="J17" s="204" t="s">
        <v>521</v>
      </c>
      <c r="K17" s="565" t="s">
        <v>8269</v>
      </c>
      <c r="L17" s="842">
        <f>VLOOKUP($J17,DrumSeparatorV2!$F$5:$Z$14,4,0)</f>
        <v>9.8260000000000005</v>
      </c>
      <c r="M17" s="842">
        <f>VLOOKUP($J17,DrumSeparatorV2!$F$5:$Z$14,2,0)</f>
        <v>2.5030000000000001</v>
      </c>
      <c r="N17" s="395">
        <f>VLOOKUP($J17,DrumSeparatorV2!$F$5:$Z$14,8,0)</f>
        <v>1.2350000000000001</v>
      </c>
      <c r="O17" s="395">
        <f>VLOOKUP($J17,DrumSeparatorV2!$F$5:$Z$14,6,0)</f>
        <v>0.6</v>
      </c>
      <c r="P17" s="566"/>
      <c r="Q17" s="654">
        <f>(VLOOKUP($J17,DrumSeparatorV2!$F$5:$Z$14,18,0)-101325)/100000</f>
        <v>8.1522372802252594</v>
      </c>
      <c r="R17" s="654">
        <f>VLOOKUP($J17,DrumSeparatorV2!$F$5:$Z$14,20,0)-273.15</f>
        <v>41.877085778490027</v>
      </c>
      <c r="S17" s="566">
        <f>VLOOKUP($J17,DrumSeparatorV2!$F$5:$AB$14,22,0)</f>
        <v>48.6982820242998</v>
      </c>
      <c r="T17" s="939">
        <v>48.7</v>
      </c>
      <c r="U17" s="965" t="s">
        <v>10707</v>
      </c>
    </row>
    <row r="18" spans="1:21" ht="12.75" customHeight="1">
      <c r="J18" s="204" t="s">
        <v>523</v>
      </c>
      <c r="K18" s="565" t="s">
        <v>8269</v>
      </c>
      <c r="L18" s="842">
        <f>VLOOKUP($J18,DrumSeparatorV2!$F$5:$Z$14,4,0)</f>
        <v>14.509</v>
      </c>
      <c r="M18" s="842">
        <f>VLOOKUP($J18,DrumSeparatorV2!$F$5:$Z$14,2,0)</f>
        <v>3.7</v>
      </c>
      <c r="N18" s="395">
        <f>VLOOKUP($J18,DrumSeparatorV2!$F$5:$Z$14,8,0)</f>
        <v>0</v>
      </c>
      <c r="O18" s="395">
        <f>VLOOKUP($J18,DrumSeparatorV2!$F$5:$Z$14,6,0)</f>
        <v>0.75</v>
      </c>
      <c r="P18" s="566"/>
      <c r="Q18" s="654">
        <f>(VLOOKUP($J18,DrumSeparatorV2!$F$5:$Z$14,18,0)-101325)/100000</f>
        <v>0.64984988410838007</v>
      </c>
      <c r="R18" s="654">
        <f>VLOOKUP($J18,DrumSeparatorV2!$F$5:$Z$14,20,0)-273.15</f>
        <v>62.464743068978009</v>
      </c>
      <c r="S18" s="891">
        <f>VLOOKUP($J18,DrumSeparatorV2!$F$5:$AB$14,22,0)</f>
        <v>156.00223133293301</v>
      </c>
      <c r="T18" s="939">
        <v>156</v>
      </c>
      <c r="U18" s="965" t="s">
        <v>10708</v>
      </c>
    </row>
    <row r="19" spans="1:21" ht="12.75" customHeight="1">
      <c r="J19" s="204" t="s">
        <v>525</v>
      </c>
      <c r="K19" s="565" t="s">
        <v>4914</v>
      </c>
      <c r="L19" s="842">
        <f>VLOOKUP($J19,Scrubber!$F$5:$N$14,4,0)</f>
        <v>2.0787584403839401</v>
      </c>
      <c r="M19" s="842">
        <f>VLOOKUP($J19,Scrubber!$F$5:$N$14,2,0)</f>
        <v>0.7</v>
      </c>
      <c r="N19" s="395"/>
      <c r="O19" s="395"/>
      <c r="P19" s="566"/>
      <c r="Q19" s="654">
        <f>(VLOOKUP($J19,Scrubber!$F$5:$N$14,6,0)-101325)/100000</f>
        <v>5.7154249896400593</v>
      </c>
      <c r="R19" s="654">
        <f>VLOOKUP($J19,Scrubber!$F$5:$N$14,8,0)-273.15</f>
        <v>41.855029084838009</v>
      </c>
      <c r="S19" s="566">
        <f>VLOOKUP($J19,Scrubber!$F$5:$P$14,10,0)</f>
        <v>0.79999983356472604</v>
      </c>
      <c r="T19" s="939">
        <v>0.8</v>
      </c>
      <c r="U19" s="965" t="s">
        <v>10709</v>
      </c>
    </row>
    <row r="20" spans="1:21" ht="12.75" customHeight="1">
      <c r="J20" s="204" t="s">
        <v>527</v>
      </c>
      <c r="K20" s="565" t="s">
        <v>4914</v>
      </c>
      <c r="L20" s="842">
        <f>VLOOKUP($J20,Scrubber!$F$5:$N$14,4,0)</f>
        <v>3.5807710290010002</v>
      </c>
      <c r="M20" s="842">
        <f>VLOOKUP($J20,Scrubber!$F$5:$N$14,2,0)</f>
        <v>2.15</v>
      </c>
      <c r="N20" s="395"/>
      <c r="O20" s="395"/>
      <c r="P20" s="566"/>
      <c r="Q20" s="654">
        <f>(VLOOKUP($J20,Scrubber!$F$5:$N$14,6,0)-101325)/100000</f>
        <v>3.48889519998641</v>
      </c>
      <c r="R20" s="654">
        <f>VLOOKUP($J20,Scrubber!$F$5:$N$14,8,0)-273.15</f>
        <v>37.895372148802039</v>
      </c>
      <c r="S20" s="997">
        <f>VLOOKUP($J20,Scrubber!$F$5:$P$14,10,0)</f>
        <v>12.9999972954268</v>
      </c>
      <c r="T20" s="939">
        <v>1.3</v>
      </c>
      <c r="U20" s="965" t="s">
        <v>10710</v>
      </c>
    </row>
    <row r="21" spans="1:21" ht="12.75" customHeight="1">
      <c r="J21" s="204" t="s">
        <v>8904</v>
      </c>
      <c r="K21" s="565" t="s">
        <v>8269</v>
      </c>
      <c r="L21" s="842">
        <f>VLOOKUP($J21,DrumSeparatorV2!$F$5:$Z$14,4,0)</f>
        <v>11.965999999999999</v>
      </c>
      <c r="M21" s="842">
        <f>VLOOKUP($J21,DrumSeparatorV2!$F$5:$Z$14,2,0)</f>
        <v>5.65</v>
      </c>
      <c r="N21" s="395">
        <f>VLOOKUP($J21,DrumSeparatorV2!$F$5:$Z$14,8,0)</f>
        <v>0</v>
      </c>
      <c r="O21" s="395">
        <f>VLOOKUP($J21,DrumSeparatorV2!$F$5:$Z$14,6,0)</f>
        <v>0.75</v>
      </c>
      <c r="P21" s="566"/>
      <c r="Q21" s="654">
        <f>(VLOOKUP($J21,DrumSeparatorV2!$F$5:$Z$14,18,0)-101325)/100000</f>
        <v>0.10025447896829005</v>
      </c>
      <c r="R21" s="654">
        <f>VLOOKUP($J21,DrumSeparatorV2!$F$5:$Z$14,20,0)-273.15</f>
        <v>64.878577239193021</v>
      </c>
      <c r="S21" s="1009">
        <f>VLOOKUP($J21,DrumSeparatorV2!$F$5:$AB$14,22,0)</f>
        <v>300.01003077506402</v>
      </c>
      <c r="T21" s="940">
        <v>300</v>
      </c>
      <c r="U21" s="965" t="s">
        <v>10711</v>
      </c>
    </row>
    <row r="22" spans="1:21" ht="12.75" customHeight="1">
      <c r="J22" s="204" t="s">
        <v>8275</v>
      </c>
      <c r="K22" s="565" t="s">
        <v>4914</v>
      </c>
      <c r="L22" s="842">
        <f>VLOOKUP($J22,Scrubber!$F$5:$N$14,4,0)</f>
        <v>1.7669999999999999</v>
      </c>
      <c r="M22" s="842">
        <f>VLOOKUP($J22,Scrubber!$F$5:$N$14,2,0)</f>
        <v>0.7</v>
      </c>
      <c r="N22" s="395"/>
      <c r="O22" s="395"/>
      <c r="P22" s="566"/>
      <c r="Q22" s="654">
        <f>(VLOOKUP($J22,Scrubber!$F$5:$N$14,6,0)-101325)/100000</f>
        <v>5.5999886066411602</v>
      </c>
      <c r="R22" s="654">
        <f>VLOOKUP($J22,Scrubber!$F$5:$N$14,8,0)-273.15</f>
        <v>47.716550949634041</v>
      </c>
      <c r="S22" s="1006">
        <f>VLOOKUP($J22,Scrubber!$F$5:$P$14,10,0)</f>
        <v>0.68002115033999999</v>
      </c>
      <c r="T22" s="940">
        <v>0.68</v>
      </c>
      <c r="U22" s="965" t="s">
        <v>10712</v>
      </c>
    </row>
    <row r="23" spans="1:21" ht="12.75" customHeight="1">
      <c r="J23" s="204" t="s">
        <v>8276</v>
      </c>
      <c r="K23" s="565" t="s">
        <v>4914</v>
      </c>
      <c r="L23" s="842">
        <f>VLOOKUP($J23,Scrubber!$F$5:$N$14,4,0)</f>
        <v>10.565</v>
      </c>
      <c r="M23" s="842">
        <f>VLOOKUP($J23,Scrubber!$F$5:$N$14,2,0)</f>
        <v>1.976</v>
      </c>
      <c r="N23" s="395"/>
      <c r="O23" s="395"/>
      <c r="P23" s="566"/>
      <c r="Q23" s="654">
        <f>(VLOOKUP($J23,Scrubber!$F$5:$N$14,6,0)-101325)/100000</f>
        <v>-0.81138709333457193</v>
      </c>
      <c r="R23" s="654">
        <f>VLOOKUP($J23,Scrubber!$F$5:$N$14,8,0)-273.15</f>
        <v>156.67873223562702</v>
      </c>
      <c r="S23" s="566">
        <f>VLOOKUP($J23,Scrubber!$F$5:$P$14,10,0)</f>
        <v>32.399116904885098</v>
      </c>
      <c r="T23" s="940"/>
      <c r="U23" s="996" t="s">
        <v>10756</v>
      </c>
    </row>
    <row r="24" spans="1:21" ht="12.75" customHeight="1">
      <c r="J24" s="204" t="s">
        <v>8905</v>
      </c>
      <c r="K24" s="565" t="s">
        <v>4914</v>
      </c>
      <c r="L24" s="842">
        <f>VLOOKUP($J24,Scrubber!$F$5:$N$14,4,0)</f>
        <v>7.4020000000000001</v>
      </c>
      <c r="M24" s="842">
        <f>VLOOKUP($J24,Scrubber!$F$5:$N$14,2,0)</f>
        <v>1.7</v>
      </c>
      <c r="N24" s="395"/>
      <c r="O24" s="395"/>
      <c r="P24" s="566"/>
      <c r="Q24" s="654">
        <f>(VLOOKUP($J24,Scrubber!$F$5:$N$14,6,0)-101325)/100000</f>
        <v>-0.8604566338274009</v>
      </c>
      <c r="R24" s="654">
        <f>VLOOKUP($J24,Scrubber!$F$5:$N$14,8,0)-273.15</f>
        <v>166.16374893840003</v>
      </c>
      <c r="S24" s="566">
        <f>VLOOKUP($J24,Scrubber!$F$5:$P$14,10,0)</f>
        <v>16.801061228439998</v>
      </c>
      <c r="T24" s="939"/>
      <c r="U24" s="996" t="s">
        <v>10756</v>
      </c>
    </row>
    <row r="25" spans="1:21" ht="12.75" customHeight="1">
      <c r="A25" s="276"/>
      <c r="B25" s="276"/>
      <c r="C25" s="277"/>
      <c r="D25" s="277"/>
      <c r="E25" s="277"/>
      <c r="F25" s="277"/>
      <c r="G25" s="277"/>
      <c r="H25" s="277"/>
      <c r="I25" s="57"/>
      <c r="J25" s="204" t="s">
        <v>9079</v>
      </c>
      <c r="K25" s="565" t="s">
        <v>8283</v>
      </c>
      <c r="L25" s="842">
        <f>VLOOKUP($J25,AtmosphericTank!$F$5:$N$14,4,0)</f>
        <v>3.05</v>
      </c>
      <c r="M25" s="842">
        <f>VLOOKUP($J25,AtmosphericTank!$F$5:$N$14,2,0)</f>
        <v>3.641</v>
      </c>
      <c r="N25" s="395"/>
      <c r="O25" s="395"/>
      <c r="P25" s="566"/>
      <c r="Q25" s="654">
        <f>(VLOOKUP($J25,AtmosphericTank!$F$5:$N$14,8,0)-101325)/100000</f>
        <v>0</v>
      </c>
      <c r="R25" s="654">
        <f>VLOOKUP($J25,AtmosphericTank!$F$5:$N$14,6,0)-273.15</f>
        <v>20.065537171891037</v>
      </c>
      <c r="S25" s="1005">
        <f>VLOOKUP($J25,AtmosphericTank!$F$5:$P$14,10,0)</f>
        <v>26.6017519170341</v>
      </c>
      <c r="T25" s="939">
        <v>26.6</v>
      </c>
      <c r="U25" s="965" t="s">
        <v>10713</v>
      </c>
    </row>
    <row r="26" spans="1:21" ht="12.75" customHeight="1">
      <c r="A26" s="276"/>
      <c r="B26" s="276"/>
      <c r="C26" s="277"/>
      <c r="D26" s="277"/>
      <c r="E26" s="277"/>
      <c r="F26" s="277"/>
      <c r="G26" s="277"/>
      <c r="H26" s="277"/>
      <c r="I26" s="57"/>
      <c r="J26" s="204" t="s">
        <v>9080</v>
      </c>
      <c r="K26" s="565" t="s">
        <v>8283</v>
      </c>
      <c r="L26" s="842">
        <f>VLOOKUP($J26,AtmosphericTank!$F$5:$N$14,4,0)</f>
        <v>3.05</v>
      </c>
      <c r="M26" s="842">
        <f>VLOOKUP($J26,AtmosphericTank!$F$5:$N$14,2,0)</f>
        <v>3.641</v>
      </c>
      <c r="N26" s="395"/>
      <c r="O26" s="395"/>
      <c r="P26" s="566"/>
      <c r="Q26" s="654">
        <f>(VLOOKUP($J26,AtmosphericTank!$F$5:$N$14,8,0)-101325)/100000</f>
        <v>0</v>
      </c>
      <c r="R26" s="654">
        <f>VLOOKUP($J26,AtmosphericTank!$F$5:$N$14,6,0)-273.15</f>
        <v>20.065560860097037</v>
      </c>
      <c r="S26" s="1005">
        <f>VLOOKUP($J26,AtmosphericTank!$F$5:$P$14,10,0)</f>
        <v>26.6017519170341</v>
      </c>
      <c r="T26" s="939">
        <v>26.6</v>
      </c>
      <c r="U26" s="965" t="s">
        <v>10713</v>
      </c>
    </row>
    <row r="27" spans="1:21" ht="12.75" customHeight="1">
      <c r="A27" s="276"/>
      <c r="B27" s="276"/>
      <c r="C27" s="277"/>
      <c r="D27" s="277"/>
      <c r="E27" s="277"/>
      <c r="F27" s="277"/>
      <c r="G27" s="277"/>
      <c r="H27" s="277"/>
      <c r="I27" s="57"/>
      <c r="J27" s="204" t="s">
        <v>8906</v>
      </c>
      <c r="K27" s="565" t="s">
        <v>8283</v>
      </c>
      <c r="L27" s="842">
        <f>VLOOKUP($J27,AtmosphericTank!$F$5:$N$14,4,0)</f>
        <v>1</v>
      </c>
      <c r="M27" s="842">
        <f>VLOOKUP($J27,AtmosphericTank!$F$5:$N$14,2,0)</f>
        <v>2</v>
      </c>
      <c r="N27" s="395"/>
      <c r="O27" s="395"/>
      <c r="P27" s="566"/>
      <c r="Q27" s="654">
        <f>(VLOOKUP($J27,AtmosphericTank!$F$5:$N$14,8,0)-101325)/100000</f>
        <v>0</v>
      </c>
      <c r="R27" s="654">
        <f>VLOOKUP($J27,AtmosphericTank!$F$5:$N$14,6,0)-273.15</f>
        <v>84.215303886012009</v>
      </c>
      <c r="S27" s="566">
        <f>VLOOKUP($J27,AtmosphericTank!$F$5:$P$14,10,0)</f>
        <v>1.570796326795</v>
      </c>
      <c r="T27" s="939" t="s">
        <v>10714</v>
      </c>
      <c r="U27" s="967" t="s">
        <v>10715</v>
      </c>
    </row>
    <row r="28" spans="1:21" ht="12.75" customHeight="1" thickBot="1">
      <c r="A28" s="275"/>
      <c r="B28" s="275"/>
      <c r="C28" s="275"/>
      <c r="D28" s="275"/>
      <c r="E28" s="275"/>
      <c r="F28" s="275"/>
      <c r="G28" s="275"/>
      <c r="H28" s="275"/>
      <c r="I28" s="57"/>
      <c r="J28" s="204" t="s">
        <v>8284</v>
      </c>
      <c r="K28" s="565" t="s">
        <v>4914</v>
      </c>
      <c r="L28" s="842">
        <f>VLOOKUP($J28,Scrubber!$F$5:$N$14,4,0)</f>
        <v>1</v>
      </c>
      <c r="M28" s="842">
        <f>VLOOKUP($J28,Scrubber!$F$5:$N$14,2,0)</f>
        <v>0.50800000000000001</v>
      </c>
      <c r="N28" s="395"/>
      <c r="O28" s="395"/>
      <c r="P28" s="566"/>
      <c r="Q28" s="654">
        <f>(VLOOKUP($J28,Scrubber!$F$5:$N$14,6,0)-101325)/100000</f>
        <v>-9.5734473079051974E-2</v>
      </c>
      <c r="R28" s="654">
        <f>VLOOKUP($J28,Scrubber!$F$5:$N$14,8,0)-273.15</f>
        <v>26.920078109556016</v>
      </c>
      <c r="S28" s="566">
        <f>VLOOKUP($J28,Scrubber!$F$5:$P$14,10,0)</f>
        <v>0.202682949472</v>
      </c>
      <c r="T28" s="940"/>
      <c r="U28" s="968"/>
    </row>
  </sheetData>
  <mergeCells count="1">
    <mergeCell ref="K1:K2"/>
  </mergeCells>
  <phoneticPr fontId="14" type="noConversion"/>
  <pageMargins left="0.7" right="0.7" top="0.75" bottom="0.75" header="0.3" footer="0.3"/>
  <pageSetup paperSize="9" orientation="portrait" r:id="rId1"/>
  <ignoredErrors>
    <ignoredError sqref="Q16:S16 Q21:S21 L11:M11 L16:M16 L21:M21 Q11:S11" formula="1"/>
    <ignoredError sqref="T14:T15" twoDigitTextYear="1"/>
  </ignoredErrors>
  <legacyDrawing r:id="rId2"/>
</worksheet>
</file>

<file path=xl/worksheets/sheet9.xml><?xml version="1.0" encoding="utf-8"?>
<worksheet xmlns="http://schemas.openxmlformats.org/spreadsheetml/2006/main" xmlns:r="http://schemas.openxmlformats.org/officeDocument/2006/relationships">
  <sheetPr>
    <tabColor rgb="FF00B0F0"/>
  </sheetPr>
  <dimension ref="A1:AA84"/>
  <sheetViews>
    <sheetView topLeftCell="M1" zoomScaleNormal="100" workbookViewId="0">
      <selection activeCell="M1" sqref="M1"/>
    </sheetView>
  </sheetViews>
  <sheetFormatPr defaultRowHeight="12.75"/>
  <cols>
    <col min="1" max="1" width="0" style="52" hidden="1" customWidth="1"/>
    <col min="2" max="2" width="11.5" style="52" hidden="1" customWidth="1"/>
    <col min="3" max="3" width="12.625" style="52" hidden="1" customWidth="1"/>
    <col min="4" max="4" width="10.125" style="52" hidden="1" customWidth="1"/>
    <col min="5" max="5" width="0" style="52" hidden="1" customWidth="1"/>
    <col min="6" max="6" width="21.625" style="52" hidden="1" customWidth="1"/>
    <col min="7" max="7" width="25.125" style="52" hidden="1" customWidth="1"/>
    <col min="8" max="8" width="21.625" style="52" hidden="1" customWidth="1"/>
    <col min="9" max="9" width="14.875" style="52" hidden="1" customWidth="1"/>
    <col min="10" max="10" width="19.625" style="52" hidden="1" customWidth="1"/>
    <col min="11" max="11" width="14.875" style="52" hidden="1" customWidth="1"/>
    <col min="12" max="12" width="0" style="52" hidden="1" customWidth="1"/>
    <col min="13" max="13" width="20.625" style="52" customWidth="1"/>
    <col min="14" max="14" width="12.625" style="52" customWidth="1"/>
    <col min="15" max="15" width="8.625" style="52" customWidth="1"/>
    <col min="16" max="16" width="20.625" style="52" customWidth="1"/>
    <col min="17" max="17" width="12.625" style="52" customWidth="1"/>
    <col min="18" max="18" width="18.625" style="52" customWidth="1"/>
    <col min="19" max="19" width="20.625" style="52" customWidth="1"/>
    <col min="20" max="21" width="18.625" style="52" customWidth="1"/>
    <col min="22" max="22" width="20.625" style="52" customWidth="1"/>
    <col min="23" max="24" width="8.625" style="52" customWidth="1"/>
    <col min="25" max="25" width="20.625" style="52" customWidth="1"/>
    <col min="26" max="27" width="8.625" style="52" customWidth="1"/>
    <col min="28" max="28" width="21.125" style="52" customWidth="1"/>
    <col min="29" max="248" width="9" style="52"/>
    <col min="249" max="260" width="0" style="52" hidden="1" customWidth="1"/>
    <col min="261" max="261" width="8.875" style="52" bestFit="1" customWidth="1"/>
    <col min="262" max="262" width="27.375" style="52" customWidth="1"/>
    <col min="263" max="263" width="11.5" style="52" bestFit="1" customWidth="1"/>
    <col min="264" max="264" width="9" style="52"/>
    <col min="265" max="265" width="15.625" style="52" bestFit="1" customWidth="1"/>
    <col min="266" max="266" width="15.125" style="52" bestFit="1" customWidth="1"/>
    <col min="267" max="267" width="16.375" style="52" bestFit="1" customWidth="1"/>
    <col min="268" max="268" width="25.375" style="52" bestFit="1" customWidth="1"/>
    <col min="269" max="269" width="16.375" style="52" bestFit="1" customWidth="1"/>
    <col min="270" max="270" width="11" style="52" customWidth="1"/>
    <col min="271" max="504" width="9" style="52"/>
    <col min="505" max="516" width="0" style="52" hidden="1" customWidth="1"/>
    <col min="517" max="517" width="8.875" style="52" bestFit="1" customWidth="1"/>
    <col min="518" max="518" width="27.375" style="52" customWidth="1"/>
    <col min="519" max="519" width="11.5" style="52" bestFit="1" customWidth="1"/>
    <col min="520" max="520" width="9" style="52"/>
    <col min="521" max="521" width="15.625" style="52" bestFit="1" customWidth="1"/>
    <col min="522" max="522" width="15.125" style="52" bestFit="1" customWidth="1"/>
    <col min="523" max="523" width="16.375" style="52" bestFit="1" customWidth="1"/>
    <col min="524" max="524" width="25.375" style="52" bestFit="1" customWidth="1"/>
    <col min="525" max="525" width="16.375" style="52" bestFit="1" customWidth="1"/>
    <col min="526" max="526" width="11" style="52" customWidth="1"/>
    <col min="527" max="760" width="9" style="52"/>
    <col min="761" max="772" width="0" style="52" hidden="1" customWidth="1"/>
    <col min="773" max="773" width="8.875" style="52" bestFit="1" customWidth="1"/>
    <col min="774" max="774" width="27.375" style="52" customWidth="1"/>
    <col min="775" max="775" width="11.5" style="52" bestFit="1" customWidth="1"/>
    <col min="776" max="776" width="9" style="52"/>
    <col min="777" max="777" width="15.625" style="52" bestFit="1" customWidth="1"/>
    <col min="778" max="778" width="15.125" style="52" bestFit="1" customWidth="1"/>
    <col min="779" max="779" width="16.375" style="52" bestFit="1" customWidth="1"/>
    <col min="780" max="780" width="25.375" style="52" bestFit="1" customWidth="1"/>
    <col min="781" max="781" width="16.375" style="52" bestFit="1" customWidth="1"/>
    <col min="782" max="782" width="11" style="52" customWidth="1"/>
    <col min="783" max="1016" width="9" style="52"/>
    <col min="1017" max="1028" width="0" style="52" hidden="1" customWidth="1"/>
    <col min="1029" max="1029" width="8.875" style="52" bestFit="1" customWidth="1"/>
    <col min="1030" max="1030" width="27.375" style="52" customWidth="1"/>
    <col min="1031" max="1031" width="11.5" style="52" bestFit="1" customWidth="1"/>
    <col min="1032" max="1032" width="9" style="52"/>
    <col min="1033" max="1033" width="15.625" style="52" bestFit="1" customWidth="1"/>
    <col min="1034" max="1034" width="15.125" style="52" bestFit="1" customWidth="1"/>
    <col min="1035" max="1035" width="16.375" style="52" bestFit="1" customWidth="1"/>
    <col min="1036" max="1036" width="25.375" style="52" bestFit="1" customWidth="1"/>
    <col min="1037" max="1037" width="16.375" style="52" bestFit="1" customWidth="1"/>
    <col min="1038" max="1038" width="11" style="52" customWidth="1"/>
    <col min="1039" max="1272" width="9" style="52"/>
    <col min="1273" max="1284" width="0" style="52" hidden="1" customWidth="1"/>
    <col min="1285" max="1285" width="8.875" style="52" bestFit="1" customWidth="1"/>
    <col min="1286" max="1286" width="27.375" style="52" customWidth="1"/>
    <col min="1287" max="1287" width="11.5" style="52" bestFit="1" customWidth="1"/>
    <col min="1288" max="1288" width="9" style="52"/>
    <col min="1289" max="1289" width="15.625" style="52" bestFit="1" customWidth="1"/>
    <col min="1290" max="1290" width="15.125" style="52" bestFit="1" customWidth="1"/>
    <col min="1291" max="1291" width="16.375" style="52" bestFit="1" customWidth="1"/>
    <col min="1292" max="1292" width="25.375" style="52" bestFit="1" customWidth="1"/>
    <col min="1293" max="1293" width="16.375" style="52" bestFit="1" customWidth="1"/>
    <col min="1294" max="1294" width="11" style="52" customWidth="1"/>
    <col min="1295" max="1528" width="9" style="52"/>
    <col min="1529" max="1540" width="0" style="52" hidden="1" customWidth="1"/>
    <col min="1541" max="1541" width="8.875" style="52" bestFit="1" customWidth="1"/>
    <col min="1542" max="1542" width="27.375" style="52" customWidth="1"/>
    <col min="1543" max="1543" width="11.5" style="52" bestFit="1" customWidth="1"/>
    <col min="1544" max="1544" width="9" style="52"/>
    <col min="1545" max="1545" width="15.625" style="52" bestFit="1" customWidth="1"/>
    <col min="1546" max="1546" width="15.125" style="52" bestFit="1" customWidth="1"/>
    <col min="1547" max="1547" width="16.375" style="52" bestFit="1" customWidth="1"/>
    <col min="1548" max="1548" width="25.375" style="52" bestFit="1" customWidth="1"/>
    <col min="1549" max="1549" width="16.375" style="52" bestFit="1" customWidth="1"/>
    <col min="1550" max="1550" width="11" style="52" customWidth="1"/>
    <col min="1551" max="1784" width="9" style="52"/>
    <col min="1785" max="1796" width="0" style="52" hidden="1" customWidth="1"/>
    <col min="1797" max="1797" width="8.875" style="52" bestFit="1" customWidth="1"/>
    <col min="1798" max="1798" width="27.375" style="52" customWidth="1"/>
    <col min="1799" max="1799" width="11.5" style="52" bestFit="1" customWidth="1"/>
    <col min="1800" max="1800" width="9" style="52"/>
    <col min="1801" max="1801" width="15.625" style="52" bestFit="1" customWidth="1"/>
    <col min="1802" max="1802" width="15.125" style="52" bestFit="1" customWidth="1"/>
    <col min="1803" max="1803" width="16.375" style="52" bestFit="1" customWidth="1"/>
    <col min="1804" max="1804" width="25.375" style="52" bestFit="1" customWidth="1"/>
    <col min="1805" max="1805" width="16.375" style="52" bestFit="1" customWidth="1"/>
    <col min="1806" max="1806" width="11" style="52" customWidth="1"/>
    <col min="1807" max="2040" width="9" style="52"/>
    <col min="2041" max="2052" width="0" style="52" hidden="1" customWidth="1"/>
    <col min="2053" max="2053" width="8.875" style="52" bestFit="1" customWidth="1"/>
    <col min="2054" max="2054" width="27.375" style="52" customWidth="1"/>
    <col min="2055" max="2055" width="11.5" style="52" bestFit="1" customWidth="1"/>
    <col min="2056" max="2056" width="9" style="52"/>
    <col min="2057" max="2057" width="15.625" style="52" bestFit="1" customWidth="1"/>
    <col min="2058" max="2058" width="15.125" style="52" bestFit="1" customWidth="1"/>
    <col min="2059" max="2059" width="16.375" style="52" bestFit="1" customWidth="1"/>
    <col min="2060" max="2060" width="25.375" style="52" bestFit="1" customWidth="1"/>
    <col min="2061" max="2061" width="16.375" style="52" bestFit="1" customWidth="1"/>
    <col min="2062" max="2062" width="11" style="52" customWidth="1"/>
    <col min="2063" max="2296" width="9" style="52"/>
    <col min="2297" max="2308" width="0" style="52" hidden="1" customWidth="1"/>
    <col min="2309" max="2309" width="8.875" style="52" bestFit="1" customWidth="1"/>
    <col min="2310" max="2310" width="27.375" style="52" customWidth="1"/>
    <col min="2311" max="2311" width="11.5" style="52" bestFit="1" customWidth="1"/>
    <col min="2312" max="2312" width="9" style="52"/>
    <col min="2313" max="2313" width="15.625" style="52" bestFit="1" customWidth="1"/>
    <col min="2314" max="2314" width="15.125" style="52" bestFit="1" customWidth="1"/>
    <col min="2315" max="2315" width="16.375" style="52" bestFit="1" customWidth="1"/>
    <col min="2316" max="2316" width="25.375" style="52" bestFit="1" customWidth="1"/>
    <col min="2317" max="2317" width="16.375" style="52" bestFit="1" customWidth="1"/>
    <col min="2318" max="2318" width="11" style="52" customWidth="1"/>
    <col min="2319" max="2552" width="9" style="52"/>
    <col min="2553" max="2564" width="0" style="52" hidden="1" customWidth="1"/>
    <col min="2565" max="2565" width="8.875" style="52" bestFit="1" customWidth="1"/>
    <col min="2566" max="2566" width="27.375" style="52" customWidth="1"/>
    <col min="2567" max="2567" width="11.5" style="52" bestFit="1" customWidth="1"/>
    <col min="2568" max="2568" width="9" style="52"/>
    <col min="2569" max="2569" width="15.625" style="52" bestFit="1" customWidth="1"/>
    <col min="2570" max="2570" width="15.125" style="52" bestFit="1" customWidth="1"/>
    <col min="2571" max="2571" width="16.375" style="52" bestFit="1" customWidth="1"/>
    <col min="2572" max="2572" width="25.375" style="52" bestFit="1" customWidth="1"/>
    <col min="2573" max="2573" width="16.375" style="52" bestFit="1" customWidth="1"/>
    <col min="2574" max="2574" width="11" style="52" customWidth="1"/>
    <col min="2575" max="2808" width="9" style="52"/>
    <col min="2809" max="2820" width="0" style="52" hidden="1" customWidth="1"/>
    <col min="2821" max="2821" width="8.875" style="52" bestFit="1" customWidth="1"/>
    <col min="2822" max="2822" width="27.375" style="52" customWidth="1"/>
    <col min="2823" max="2823" width="11.5" style="52" bestFit="1" customWidth="1"/>
    <col min="2824" max="2824" width="9" style="52"/>
    <col min="2825" max="2825" width="15.625" style="52" bestFit="1" customWidth="1"/>
    <col min="2826" max="2826" width="15.125" style="52" bestFit="1" customWidth="1"/>
    <col min="2827" max="2827" width="16.375" style="52" bestFit="1" customWidth="1"/>
    <col min="2828" max="2828" width="25.375" style="52" bestFit="1" customWidth="1"/>
    <col min="2829" max="2829" width="16.375" style="52" bestFit="1" customWidth="1"/>
    <col min="2830" max="2830" width="11" style="52" customWidth="1"/>
    <col min="2831" max="3064" width="9" style="52"/>
    <col min="3065" max="3076" width="0" style="52" hidden="1" customWidth="1"/>
    <col min="3077" max="3077" width="8.875" style="52" bestFit="1" customWidth="1"/>
    <col min="3078" max="3078" width="27.375" style="52" customWidth="1"/>
    <col min="3079" max="3079" width="11.5" style="52" bestFit="1" customWidth="1"/>
    <col min="3080" max="3080" width="9" style="52"/>
    <col min="3081" max="3081" width="15.625" style="52" bestFit="1" customWidth="1"/>
    <col min="3082" max="3082" width="15.125" style="52" bestFit="1" customWidth="1"/>
    <col min="3083" max="3083" width="16.375" style="52" bestFit="1" customWidth="1"/>
    <col min="3084" max="3084" width="25.375" style="52" bestFit="1" customWidth="1"/>
    <col min="3085" max="3085" width="16.375" style="52" bestFit="1" customWidth="1"/>
    <col min="3086" max="3086" width="11" style="52" customWidth="1"/>
    <col min="3087" max="3320" width="9" style="52"/>
    <col min="3321" max="3332" width="0" style="52" hidden="1" customWidth="1"/>
    <col min="3333" max="3333" width="8.875" style="52" bestFit="1" customWidth="1"/>
    <col min="3334" max="3334" width="27.375" style="52" customWidth="1"/>
    <col min="3335" max="3335" width="11.5" style="52" bestFit="1" customWidth="1"/>
    <col min="3336" max="3336" width="9" style="52"/>
    <col min="3337" max="3337" width="15.625" style="52" bestFit="1" customWidth="1"/>
    <col min="3338" max="3338" width="15.125" style="52" bestFit="1" customWidth="1"/>
    <col min="3339" max="3339" width="16.375" style="52" bestFit="1" customWidth="1"/>
    <col min="3340" max="3340" width="25.375" style="52" bestFit="1" customWidth="1"/>
    <col min="3341" max="3341" width="16.375" style="52" bestFit="1" customWidth="1"/>
    <col min="3342" max="3342" width="11" style="52" customWidth="1"/>
    <col min="3343" max="3576" width="9" style="52"/>
    <col min="3577" max="3588" width="0" style="52" hidden="1" customWidth="1"/>
    <col min="3589" max="3589" width="8.875" style="52" bestFit="1" customWidth="1"/>
    <col min="3590" max="3590" width="27.375" style="52" customWidth="1"/>
    <col min="3591" max="3591" width="11.5" style="52" bestFit="1" customWidth="1"/>
    <col min="3592" max="3592" width="9" style="52"/>
    <col min="3593" max="3593" width="15.625" style="52" bestFit="1" customWidth="1"/>
    <col min="3594" max="3594" width="15.125" style="52" bestFit="1" customWidth="1"/>
    <col min="3595" max="3595" width="16.375" style="52" bestFit="1" customWidth="1"/>
    <col min="3596" max="3596" width="25.375" style="52" bestFit="1" customWidth="1"/>
    <col min="3597" max="3597" width="16.375" style="52" bestFit="1" customWidth="1"/>
    <col min="3598" max="3598" width="11" style="52" customWidth="1"/>
    <col min="3599" max="3832" width="9" style="52"/>
    <col min="3833" max="3844" width="0" style="52" hidden="1" customWidth="1"/>
    <col min="3845" max="3845" width="8.875" style="52" bestFit="1" customWidth="1"/>
    <col min="3846" max="3846" width="27.375" style="52" customWidth="1"/>
    <col min="3847" max="3847" width="11.5" style="52" bestFit="1" customWidth="1"/>
    <col min="3848" max="3848" width="9" style="52"/>
    <col min="3849" max="3849" width="15.625" style="52" bestFit="1" customWidth="1"/>
    <col min="3850" max="3850" width="15.125" style="52" bestFit="1" customWidth="1"/>
    <col min="3851" max="3851" width="16.375" style="52" bestFit="1" customWidth="1"/>
    <col min="3852" max="3852" width="25.375" style="52" bestFit="1" customWidth="1"/>
    <col min="3853" max="3853" width="16.375" style="52" bestFit="1" customWidth="1"/>
    <col min="3854" max="3854" width="11" style="52" customWidth="1"/>
    <col min="3855" max="4088" width="9" style="52"/>
    <col min="4089" max="4100" width="0" style="52" hidden="1" customWidth="1"/>
    <col min="4101" max="4101" width="8.875" style="52" bestFit="1" customWidth="1"/>
    <col min="4102" max="4102" width="27.375" style="52" customWidth="1"/>
    <col min="4103" max="4103" width="11.5" style="52" bestFit="1" customWidth="1"/>
    <col min="4104" max="4104" width="9" style="52"/>
    <col min="4105" max="4105" width="15.625" style="52" bestFit="1" customWidth="1"/>
    <col min="4106" max="4106" width="15.125" style="52" bestFit="1" customWidth="1"/>
    <col min="4107" max="4107" width="16.375" style="52" bestFit="1" customWidth="1"/>
    <col min="4108" max="4108" width="25.375" style="52" bestFit="1" customWidth="1"/>
    <col min="4109" max="4109" width="16.375" style="52" bestFit="1" customWidth="1"/>
    <col min="4110" max="4110" width="11" style="52" customWidth="1"/>
    <col min="4111" max="4344" width="9" style="52"/>
    <col min="4345" max="4356" width="0" style="52" hidden="1" customWidth="1"/>
    <col min="4357" max="4357" width="8.875" style="52" bestFit="1" customWidth="1"/>
    <col min="4358" max="4358" width="27.375" style="52" customWidth="1"/>
    <col min="4359" max="4359" width="11.5" style="52" bestFit="1" customWidth="1"/>
    <col min="4360" max="4360" width="9" style="52"/>
    <col min="4361" max="4361" width="15.625" style="52" bestFit="1" customWidth="1"/>
    <col min="4362" max="4362" width="15.125" style="52" bestFit="1" customWidth="1"/>
    <col min="4363" max="4363" width="16.375" style="52" bestFit="1" customWidth="1"/>
    <col min="4364" max="4364" width="25.375" style="52" bestFit="1" customWidth="1"/>
    <col min="4365" max="4365" width="16.375" style="52" bestFit="1" customWidth="1"/>
    <col min="4366" max="4366" width="11" style="52" customWidth="1"/>
    <col min="4367" max="4600" width="9" style="52"/>
    <col min="4601" max="4612" width="0" style="52" hidden="1" customWidth="1"/>
    <col min="4613" max="4613" width="8.875" style="52" bestFit="1" customWidth="1"/>
    <col min="4614" max="4614" width="27.375" style="52" customWidth="1"/>
    <col min="4615" max="4615" width="11.5" style="52" bestFit="1" customWidth="1"/>
    <col min="4616" max="4616" width="9" style="52"/>
    <col min="4617" max="4617" width="15.625" style="52" bestFit="1" customWidth="1"/>
    <col min="4618" max="4618" width="15.125" style="52" bestFit="1" customWidth="1"/>
    <col min="4619" max="4619" width="16.375" style="52" bestFit="1" customWidth="1"/>
    <col min="4620" max="4620" width="25.375" style="52" bestFit="1" customWidth="1"/>
    <col min="4621" max="4621" width="16.375" style="52" bestFit="1" customWidth="1"/>
    <col min="4622" max="4622" width="11" style="52" customWidth="1"/>
    <col min="4623" max="4856" width="9" style="52"/>
    <col min="4857" max="4868" width="0" style="52" hidden="1" customWidth="1"/>
    <col min="4869" max="4869" width="8.875" style="52" bestFit="1" customWidth="1"/>
    <col min="4870" max="4870" width="27.375" style="52" customWidth="1"/>
    <col min="4871" max="4871" width="11.5" style="52" bestFit="1" customWidth="1"/>
    <col min="4872" max="4872" width="9" style="52"/>
    <col min="4873" max="4873" width="15.625" style="52" bestFit="1" customWidth="1"/>
    <col min="4874" max="4874" width="15.125" style="52" bestFit="1" customWidth="1"/>
    <col min="4875" max="4875" width="16.375" style="52" bestFit="1" customWidth="1"/>
    <col min="4876" max="4876" width="25.375" style="52" bestFit="1" customWidth="1"/>
    <col min="4877" max="4877" width="16.375" style="52" bestFit="1" customWidth="1"/>
    <col min="4878" max="4878" width="11" style="52" customWidth="1"/>
    <col min="4879" max="5112" width="9" style="52"/>
    <col min="5113" max="5124" width="0" style="52" hidden="1" customWidth="1"/>
    <col min="5125" max="5125" width="8.875" style="52" bestFit="1" customWidth="1"/>
    <col min="5126" max="5126" width="27.375" style="52" customWidth="1"/>
    <col min="5127" max="5127" width="11.5" style="52" bestFit="1" customWidth="1"/>
    <col min="5128" max="5128" width="9" style="52"/>
    <col min="5129" max="5129" width="15.625" style="52" bestFit="1" customWidth="1"/>
    <col min="5130" max="5130" width="15.125" style="52" bestFit="1" customWidth="1"/>
    <col min="5131" max="5131" width="16.375" style="52" bestFit="1" customWidth="1"/>
    <col min="5132" max="5132" width="25.375" style="52" bestFit="1" customWidth="1"/>
    <col min="5133" max="5133" width="16.375" style="52" bestFit="1" customWidth="1"/>
    <col min="5134" max="5134" width="11" style="52" customWidth="1"/>
    <col min="5135" max="5368" width="9" style="52"/>
    <col min="5369" max="5380" width="0" style="52" hidden="1" customWidth="1"/>
    <col min="5381" max="5381" width="8.875" style="52" bestFit="1" customWidth="1"/>
    <col min="5382" max="5382" width="27.375" style="52" customWidth="1"/>
    <col min="5383" max="5383" width="11.5" style="52" bestFit="1" customWidth="1"/>
    <col min="5384" max="5384" width="9" style="52"/>
    <col min="5385" max="5385" width="15.625" style="52" bestFit="1" customWidth="1"/>
    <col min="5386" max="5386" width="15.125" style="52" bestFit="1" customWidth="1"/>
    <col min="5387" max="5387" width="16.375" style="52" bestFit="1" customWidth="1"/>
    <col min="5388" max="5388" width="25.375" style="52" bestFit="1" customWidth="1"/>
    <col min="5389" max="5389" width="16.375" style="52" bestFit="1" customWidth="1"/>
    <col min="5390" max="5390" width="11" style="52" customWidth="1"/>
    <col min="5391" max="5624" width="9" style="52"/>
    <col min="5625" max="5636" width="0" style="52" hidden="1" customWidth="1"/>
    <col min="5637" max="5637" width="8.875" style="52" bestFit="1" customWidth="1"/>
    <col min="5638" max="5638" width="27.375" style="52" customWidth="1"/>
    <col min="5639" max="5639" width="11.5" style="52" bestFit="1" customWidth="1"/>
    <col min="5640" max="5640" width="9" style="52"/>
    <col min="5641" max="5641" width="15.625" style="52" bestFit="1" customWidth="1"/>
    <col min="5642" max="5642" width="15.125" style="52" bestFit="1" customWidth="1"/>
    <col min="5643" max="5643" width="16.375" style="52" bestFit="1" customWidth="1"/>
    <col min="5644" max="5644" width="25.375" style="52" bestFit="1" customWidth="1"/>
    <col min="5645" max="5645" width="16.375" style="52" bestFit="1" customWidth="1"/>
    <col min="5646" max="5646" width="11" style="52" customWidth="1"/>
    <col min="5647" max="5880" width="9" style="52"/>
    <col min="5881" max="5892" width="0" style="52" hidden="1" customWidth="1"/>
    <col min="5893" max="5893" width="8.875" style="52" bestFit="1" customWidth="1"/>
    <col min="5894" max="5894" width="27.375" style="52" customWidth="1"/>
    <col min="5895" max="5895" width="11.5" style="52" bestFit="1" customWidth="1"/>
    <col min="5896" max="5896" width="9" style="52"/>
    <col min="5897" max="5897" width="15.625" style="52" bestFit="1" customWidth="1"/>
    <col min="5898" max="5898" width="15.125" style="52" bestFit="1" customWidth="1"/>
    <col min="5899" max="5899" width="16.375" style="52" bestFit="1" customWidth="1"/>
    <col min="5900" max="5900" width="25.375" style="52" bestFit="1" customWidth="1"/>
    <col min="5901" max="5901" width="16.375" style="52" bestFit="1" customWidth="1"/>
    <col min="5902" max="5902" width="11" style="52" customWidth="1"/>
    <col min="5903" max="6136" width="9" style="52"/>
    <col min="6137" max="6148" width="0" style="52" hidden="1" customWidth="1"/>
    <col min="6149" max="6149" width="8.875" style="52" bestFit="1" customWidth="1"/>
    <col min="6150" max="6150" width="27.375" style="52" customWidth="1"/>
    <col min="6151" max="6151" width="11.5" style="52" bestFit="1" customWidth="1"/>
    <col min="6152" max="6152" width="9" style="52"/>
    <col min="6153" max="6153" width="15.625" style="52" bestFit="1" customWidth="1"/>
    <col min="6154" max="6154" width="15.125" style="52" bestFit="1" customWidth="1"/>
    <col min="6155" max="6155" width="16.375" style="52" bestFit="1" customWidth="1"/>
    <col min="6156" max="6156" width="25.375" style="52" bestFit="1" customWidth="1"/>
    <col min="6157" max="6157" width="16.375" style="52" bestFit="1" customWidth="1"/>
    <col min="6158" max="6158" width="11" style="52" customWidth="1"/>
    <col min="6159" max="6392" width="9" style="52"/>
    <col min="6393" max="6404" width="0" style="52" hidden="1" customWidth="1"/>
    <col min="6405" max="6405" width="8.875" style="52" bestFit="1" customWidth="1"/>
    <col min="6406" max="6406" width="27.375" style="52" customWidth="1"/>
    <col min="6407" max="6407" width="11.5" style="52" bestFit="1" customWidth="1"/>
    <col min="6408" max="6408" width="9" style="52"/>
    <col min="6409" max="6409" width="15.625" style="52" bestFit="1" customWidth="1"/>
    <col min="6410" max="6410" width="15.125" style="52" bestFit="1" customWidth="1"/>
    <col min="6411" max="6411" width="16.375" style="52" bestFit="1" customWidth="1"/>
    <col min="6412" max="6412" width="25.375" style="52" bestFit="1" customWidth="1"/>
    <col min="6413" max="6413" width="16.375" style="52" bestFit="1" customWidth="1"/>
    <col min="6414" max="6414" width="11" style="52" customWidth="1"/>
    <col min="6415" max="6648" width="9" style="52"/>
    <col min="6649" max="6660" width="0" style="52" hidden="1" customWidth="1"/>
    <col min="6661" max="6661" width="8.875" style="52" bestFit="1" customWidth="1"/>
    <col min="6662" max="6662" width="27.375" style="52" customWidth="1"/>
    <col min="6663" max="6663" width="11.5" style="52" bestFit="1" customWidth="1"/>
    <col min="6664" max="6664" width="9" style="52"/>
    <col min="6665" max="6665" width="15.625" style="52" bestFit="1" customWidth="1"/>
    <col min="6666" max="6666" width="15.125" style="52" bestFit="1" customWidth="1"/>
    <col min="6667" max="6667" width="16.375" style="52" bestFit="1" customWidth="1"/>
    <col min="6668" max="6668" width="25.375" style="52" bestFit="1" customWidth="1"/>
    <col min="6669" max="6669" width="16.375" style="52" bestFit="1" customWidth="1"/>
    <col min="6670" max="6670" width="11" style="52" customWidth="1"/>
    <col min="6671" max="6904" width="9" style="52"/>
    <col min="6905" max="6916" width="0" style="52" hidden="1" customWidth="1"/>
    <col min="6917" max="6917" width="8.875" style="52" bestFit="1" customWidth="1"/>
    <col min="6918" max="6918" width="27.375" style="52" customWidth="1"/>
    <col min="6919" max="6919" width="11.5" style="52" bestFit="1" customWidth="1"/>
    <col min="6920" max="6920" width="9" style="52"/>
    <col min="6921" max="6921" width="15.625" style="52" bestFit="1" customWidth="1"/>
    <col min="6922" max="6922" width="15.125" style="52" bestFit="1" customWidth="1"/>
    <col min="6923" max="6923" width="16.375" style="52" bestFit="1" customWidth="1"/>
    <col min="6924" max="6924" width="25.375" style="52" bestFit="1" customWidth="1"/>
    <col min="6925" max="6925" width="16.375" style="52" bestFit="1" customWidth="1"/>
    <col min="6926" max="6926" width="11" style="52" customWidth="1"/>
    <col min="6927" max="7160" width="9" style="52"/>
    <col min="7161" max="7172" width="0" style="52" hidden="1" customWidth="1"/>
    <col min="7173" max="7173" width="8.875" style="52" bestFit="1" customWidth="1"/>
    <col min="7174" max="7174" width="27.375" style="52" customWidth="1"/>
    <col min="7175" max="7175" width="11.5" style="52" bestFit="1" customWidth="1"/>
    <col min="7176" max="7176" width="9" style="52"/>
    <col min="7177" max="7177" width="15.625" style="52" bestFit="1" customWidth="1"/>
    <col min="7178" max="7178" width="15.125" style="52" bestFit="1" customWidth="1"/>
    <col min="7179" max="7179" width="16.375" style="52" bestFit="1" customWidth="1"/>
    <col min="7180" max="7180" width="25.375" style="52" bestFit="1" customWidth="1"/>
    <col min="7181" max="7181" width="16.375" style="52" bestFit="1" customWidth="1"/>
    <col min="7182" max="7182" width="11" style="52" customWidth="1"/>
    <col min="7183" max="7416" width="9" style="52"/>
    <col min="7417" max="7428" width="0" style="52" hidden="1" customWidth="1"/>
    <col min="7429" max="7429" width="8.875" style="52" bestFit="1" customWidth="1"/>
    <col min="7430" max="7430" width="27.375" style="52" customWidth="1"/>
    <col min="7431" max="7431" width="11.5" style="52" bestFit="1" customWidth="1"/>
    <col min="7432" max="7432" width="9" style="52"/>
    <col min="7433" max="7433" width="15.625" style="52" bestFit="1" customWidth="1"/>
    <col min="7434" max="7434" width="15.125" style="52" bestFit="1" customWidth="1"/>
    <col min="7435" max="7435" width="16.375" style="52" bestFit="1" customWidth="1"/>
    <col min="7436" max="7436" width="25.375" style="52" bestFit="1" customWidth="1"/>
    <col min="7437" max="7437" width="16.375" style="52" bestFit="1" customWidth="1"/>
    <col min="7438" max="7438" width="11" style="52" customWidth="1"/>
    <col min="7439" max="7672" width="9" style="52"/>
    <col min="7673" max="7684" width="0" style="52" hidden="1" customWidth="1"/>
    <col min="7685" max="7685" width="8.875" style="52" bestFit="1" customWidth="1"/>
    <col min="7686" max="7686" width="27.375" style="52" customWidth="1"/>
    <col min="7687" max="7687" width="11.5" style="52" bestFit="1" customWidth="1"/>
    <col min="7688" max="7688" width="9" style="52"/>
    <col min="7689" max="7689" width="15.625" style="52" bestFit="1" customWidth="1"/>
    <col min="7690" max="7690" width="15.125" style="52" bestFit="1" customWidth="1"/>
    <col min="7691" max="7691" width="16.375" style="52" bestFit="1" customWidth="1"/>
    <col min="7692" max="7692" width="25.375" style="52" bestFit="1" customWidth="1"/>
    <col min="7693" max="7693" width="16.375" style="52" bestFit="1" customWidth="1"/>
    <col min="7694" max="7694" width="11" style="52" customWidth="1"/>
    <col min="7695" max="7928" width="9" style="52"/>
    <col min="7929" max="7940" width="0" style="52" hidden="1" customWidth="1"/>
    <col min="7941" max="7941" width="8.875" style="52" bestFit="1" customWidth="1"/>
    <col min="7942" max="7942" width="27.375" style="52" customWidth="1"/>
    <col min="7943" max="7943" width="11.5" style="52" bestFit="1" customWidth="1"/>
    <col min="7944" max="7944" width="9" style="52"/>
    <col min="7945" max="7945" width="15.625" style="52" bestFit="1" customWidth="1"/>
    <col min="7946" max="7946" width="15.125" style="52" bestFit="1" customWidth="1"/>
    <col min="7947" max="7947" width="16.375" style="52" bestFit="1" customWidth="1"/>
    <col min="7948" max="7948" width="25.375" style="52" bestFit="1" customWidth="1"/>
    <col min="7949" max="7949" width="16.375" style="52" bestFit="1" customWidth="1"/>
    <col min="7950" max="7950" width="11" style="52" customWidth="1"/>
    <col min="7951" max="8184" width="9" style="52"/>
    <col min="8185" max="8196" width="0" style="52" hidden="1" customWidth="1"/>
    <col min="8197" max="8197" width="8.875" style="52" bestFit="1" customWidth="1"/>
    <col min="8198" max="8198" width="27.375" style="52" customWidth="1"/>
    <col min="8199" max="8199" width="11.5" style="52" bestFit="1" customWidth="1"/>
    <col min="8200" max="8200" width="9" style="52"/>
    <col min="8201" max="8201" width="15.625" style="52" bestFit="1" customWidth="1"/>
    <col min="8202" max="8202" width="15.125" style="52" bestFit="1" customWidth="1"/>
    <col min="8203" max="8203" width="16.375" style="52" bestFit="1" customWidth="1"/>
    <col min="8204" max="8204" width="25.375" style="52" bestFit="1" customWidth="1"/>
    <col min="8205" max="8205" width="16.375" style="52" bestFit="1" customWidth="1"/>
    <col min="8206" max="8206" width="11" style="52" customWidth="1"/>
    <col min="8207" max="8440" width="9" style="52"/>
    <col min="8441" max="8452" width="0" style="52" hidden="1" customWidth="1"/>
    <col min="8453" max="8453" width="8.875" style="52" bestFit="1" customWidth="1"/>
    <col min="8454" max="8454" width="27.375" style="52" customWidth="1"/>
    <col min="8455" max="8455" width="11.5" style="52" bestFit="1" customWidth="1"/>
    <col min="8456" max="8456" width="9" style="52"/>
    <col min="8457" max="8457" width="15.625" style="52" bestFit="1" customWidth="1"/>
    <col min="8458" max="8458" width="15.125" style="52" bestFit="1" customWidth="1"/>
    <col min="8459" max="8459" width="16.375" style="52" bestFit="1" customWidth="1"/>
    <col min="8460" max="8460" width="25.375" style="52" bestFit="1" customWidth="1"/>
    <col min="8461" max="8461" width="16.375" style="52" bestFit="1" customWidth="1"/>
    <col min="8462" max="8462" width="11" style="52" customWidth="1"/>
    <col min="8463" max="8696" width="9" style="52"/>
    <col min="8697" max="8708" width="0" style="52" hidden="1" customWidth="1"/>
    <col min="8709" max="8709" width="8.875" style="52" bestFit="1" customWidth="1"/>
    <col min="8710" max="8710" width="27.375" style="52" customWidth="1"/>
    <col min="8711" max="8711" width="11.5" style="52" bestFit="1" customWidth="1"/>
    <col min="8712" max="8712" width="9" style="52"/>
    <col min="8713" max="8713" width="15.625" style="52" bestFit="1" customWidth="1"/>
    <col min="8714" max="8714" width="15.125" style="52" bestFit="1" customWidth="1"/>
    <col min="8715" max="8715" width="16.375" style="52" bestFit="1" customWidth="1"/>
    <col min="8716" max="8716" width="25.375" style="52" bestFit="1" customWidth="1"/>
    <col min="8717" max="8717" width="16.375" style="52" bestFit="1" customWidth="1"/>
    <col min="8718" max="8718" width="11" style="52" customWidth="1"/>
    <col min="8719" max="8952" width="9" style="52"/>
    <col min="8953" max="8964" width="0" style="52" hidden="1" customWidth="1"/>
    <col min="8965" max="8965" width="8.875" style="52" bestFit="1" customWidth="1"/>
    <col min="8966" max="8966" width="27.375" style="52" customWidth="1"/>
    <col min="8967" max="8967" width="11.5" style="52" bestFit="1" customWidth="1"/>
    <col min="8968" max="8968" width="9" style="52"/>
    <col min="8969" max="8969" width="15.625" style="52" bestFit="1" customWidth="1"/>
    <col min="8970" max="8970" width="15.125" style="52" bestFit="1" customWidth="1"/>
    <col min="8971" max="8971" width="16.375" style="52" bestFit="1" customWidth="1"/>
    <col min="8972" max="8972" width="25.375" style="52" bestFit="1" customWidth="1"/>
    <col min="8973" max="8973" width="16.375" style="52" bestFit="1" customWidth="1"/>
    <col min="8974" max="8974" width="11" style="52" customWidth="1"/>
    <col min="8975" max="9208" width="9" style="52"/>
    <col min="9209" max="9220" width="0" style="52" hidden="1" customWidth="1"/>
    <col min="9221" max="9221" width="8.875" style="52" bestFit="1" customWidth="1"/>
    <col min="9222" max="9222" width="27.375" style="52" customWidth="1"/>
    <col min="9223" max="9223" width="11.5" style="52" bestFit="1" customWidth="1"/>
    <col min="9224" max="9224" width="9" style="52"/>
    <col min="9225" max="9225" width="15.625" style="52" bestFit="1" customWidth="1"/>
    <col min="9226" max="9226" width="15.125" style="52" bestFit="1" customWidth="1"/>
    <col min="9227" max="9227" width="16.375" style="52" bestFit="1" customWidth="1"/>
    <col min="9228" max="9228" width="25.375" style="52" bestFit="1" customWidth="1"/>
    <col min="9229" max="9229" width="16.375" style="52" bestFit="1" customWidth="1"/>
    <col min="9230" max="9230" width="11" style="52" customWidth="1"/>
    <col min="9231" max="9464" width="9" style="52"/>
    <col min="9465" max="9476" width="0" style="52" hidden="1" customWidth="1"/>
    <col min="9477" max="9477" width="8.875" style="52" bestFit="1" customWidth="1"/>
    <col min="9478" max="9478" width="27.375" style="52" customWidth="1"/>
    <col min="9479" max="9479" width="11.5" style="52" bestFit="1" customWidth="1"/>
    <col min="9480" max="9480" width="9" style="52"/>
    <col min="9481" max="9481" width="15.625" style="52" bestFit="1" customWidth="1"/>
    <col min="9482" max="9482" width="15.125" style="52" bestFit="1" customWidth="1"/>
    <col min="9483" max="9483" width="16.375" style="52" bestFit="1" customWidth="1"/>
    <col min="9484" max="9484" width="25.375" style="52" bestFit="1" customWidth="1"/>
    <col min="9485" max="9485" width="16.375" style="52" bestFit="1" customWidth="1"/>
    <col min="9486" max="9486" width="11" style="52" customWidth="1"/>
    <col min="9487" max="9720" width="9" style="52"/>
    <col min="9721" max="9732" width="0" style="52" hidden="1" customWidth="1"/>
    <col min="9733" max="9733" width="8.875" style="52" bestFit="1" customWidth="1"/>
    <col min="9734" max="9734" width="27.375" style="52" customWidth="1"/>
    <col min="9735" max="9735" width="11.5" style="52" bestFit="1" customWidth="1"/>
    <col min="9736" max="9736" width="9" style="52"/>
    <col min="9737" max="9737" width="15.625" style="52" bestFit="1" customWidth="1"/>
    <col min="9738" max="9738" width="15.125" style="52" bestFit="1" customWidth="1"/>
    <col min="9739" max="9739" width="16.375" style="52" bestFit="1" customWidth="1"/>
    <col min="9740" max="9740" width="25.375" style="52" bestFit="1" customWidth="1"/>
    <col min="9741" max="9741" width="16.375" style="52" bestFit="1" customWidth="1"/>
    <col min="9742" max="9742" width="11" style="52" customWidth="1"/>
    <col min="9743" max="9976" width="9" style="52"/>
    <col min="9977" max="9988" width="0" style="52" hidden="1" customWidth="1"/>
    <col min="9989" max="9989" width="8.875" style="52" bestFit="1" customWidth="1"/>
    <col min="9990" max="9990" width="27.375" style="52" customWidth="1"/>
    <col min="9991" max="9991" width="11.5" style="52" bestFit="1" customWidth="1"/>
    <col min="9992" max="9992" width="9" style="52"/>
    <col min="9993" max="9993" width="15.625" style="52" bestFit="1" customWidth="1"/>
    <col min="9994" max="9994" width="15.125" style="52" bestFit="1" customWidth="1"/>
    <col min="9995" max="9995" width="16.375" style="52" bestFit="1" customWidth="1"/>
    <col min="9996" max="9996" width="25.375" style="52" bestFit="1" customWidth="1"/>
    <col min="9997" max="9997" width="16.375" style="52" bestFit="1" customWidth="1"/>
    <col min="9998" max="9998" width="11" style="52" customWidth="1"/>
    <col min="9999" max="10232" width="9" style="52"/>
    <col min="10233" max="10244" width="0" style="52" hidden="1" customWidth="1"/>
    <col min="10245" max="10245" width="8.875" style="52" bestFit="1" customWidth="1"/>
    <col min="10246" max="10246" width="27.375" style="52" customWidth="1"/>
    <col min="10247" max="10247" width="11.5" style="52" bestFit="1" customWidth="1"/>
    <col min="10248" max="10248" width="9" style="52"/>
    <col min="10249" max="10249" width="15.625" style="52" bestFit="1" customWidth="1"/>
    <col min="10250" max="10250" width="15.125" style="52" bestFit="1" customWidth="1"/>
    <col min="10251" max="10251" width="16.375" style="52" bestFit="1" customWidth="1"/>
    <col min="10252" max="10252" width="25.375" style="52" bestFit="1" customWidth="1"/>
    <col min="10253" max="10253" width="16.375" style="52" bestFit="1" customWidth="1"/>
    <col min="10254" max="10254" width="11" style="52" customWidth="1"/>
    <col min="10255" max="10488" width="9" style="52"/>
    <col min="10489" max="10500" width="0" style="52" hidden="1" customWidth="1"/>
    <col min="10501" max="10501" width="8.875" style="52" bestFit="1" customWidth="1"/>
    <col min="10502" max="10502" width="27.375" style="52" customWidth="1"/>
    <col min="10503" max="10503" width="11.5" style="52" bestFit="1" customWidth="1"/>
    <col min="10504" max="10504" width="9" style="52"/>
    <col min="10505" max="10505" width="15.625" style="52" bestFit="1" customWidth="1"/>
    <col min="10506" max="10506" width="15.125" style="52" bestFit="1" customWidth="1"/>
    <col min="10507" max="10507" width="16.375" style="52" bestFit="1" customWidth="1"/>
    <col min="10508" max="10508" width="25.375" style="52" bestFit="1" customWidth="1"/>
    <col min="10509" max="10509" width="16.375" style="52" bestFit="1" customWidth="1"/>
    <col min="10510" max="10510" width="11" style="52" customWidth="1"/>
    <col min="10511" max="10744" width="9" style="52"/>
    <col min="10745" max="10756" width="0" style="52" hidden="1" customWidth="1"/>
    <col min="10757" max="10757" width="8.875" style="52" bestFit="1" customWidth="1"/>
    <col min="10758" max="10758" width="27.375" style="52" customWidth="1"/>
    <col min="10759" max="10759" width="11.5" style="52" bestFit="1" customWidth="1"/>
    <col min="10760" max="10760" width="9" style="52"/>
    <col min="10761" max="10761" width="15.625" style="52" bestFit="1" customWidth="1"/>
    <col min="10762" max="10762" width="15.125" style="52" bestFit="1" customWidth="1"/>
    <col min="10763" max="10763" width="16.375" style="52" bestFit="1" customWidth="1"/>
    <col min="10764" max="10764" width="25.375" style="52" bestFit="1" customWidth="1"/>
    <col min="10765" max="10765" width="16.375" style="52" bestFit="1" customWidth="1"/>
    <col min="10766" max="10766" width="11" style="52" customWidth="1"/>
    <col min="10767" max="11000" width="9" style="52"/>
    <col min="11001" max="11012" width="0" style="52" hidden="1" customWidth="1"/>
    <col min="11013" max="11013" width="8.875" style="52" bestFit="1" customWidth="1"/>
    <col min="11014" max="11014" width="27.375" style="52" customWidth="1"/>
    <col min="11015" max="11015" width="11.5" style="52" bestFit="1" customWidth="1"/>
    <col min="11016" max="11016" width="9" style="52"/>
    <col min="11017" max="11017" width="15.625" style="52" bestFit="1" customWidth="1"/>
    <col min="11018" max="11018" width="15.125" style="52" bestFit="1" customWidth="1"/>
    <col min="11019" max="11019" width="16.375" style="52" bestFit="1" customWidth="1"/>
    <col min="11020" max="11020" width="25.375" style="52" bestFit="1" customWidth="1"/>
    <col min="11021" max="11021" width="16.375" style="52" bestFit="1" customWidth="1"/>
    <col min="11022" max="11022" width="11" style="52" customWidth="1"/>
    <col min="11023" max="11256" width="9" style="52"/>
    <col min="11257" max="11268" width="0" style="52" hidden="1" customWidth="1"/>
    <col min="11269" max="11269" width="8.875" style="52" bestFit="1" customWidth="1"/>
    <col min="11270" max="11270" width="27.375" style="52" customWidth="1"/>
    <col min="11271" max="11271" width="11.5" style="52" bestFit="1" customWidth="1"/>
    <col min="11272" max="11272" width="9" style="52"/>
    <col min="11273" max="11273" width="15.625" style="52" bestFit="1" customWidth="1"/>
    <col min="11274" max="11274" width="15.125" style="52" bestFit="1" customWidth="1"/>
    <col min="11275" max="11275" width="16.375" style="52" bestFit="1" customWidth="1"/>
    <col min="11276" max="11276" width="25.375" style="52" bestFit="1" customWidth="1"/>
    <col min="11277" max="11277" width="16.375" style="52" bestFit="1" customWidth="1"/>
    <col min="11278" max="11278" width="11" style="52" customWidth="1"/>
    <col min="11279" max="11512" width="9" style="52"/>
    <col min="11513" max="11524" width="0" style="52" hidden="1" customWidth="1"/>
    <col min="11525" max="11525" width="8.875" style="52" bestFit="1" customWidth="1"/>
    <col min="11526" max="11526" width="27.375" style="52" customWidth="1"/>
    <col min="11527" max="11527" width="11.5" style="52" bestFit="1" customWidth="1"/>
    <col min="11528" max="11528" width="9" style="52"/>
    <col min="11529" max="11529" width="15.625" style="52" bestFit="1" customWidth="1"/>
    <col min="11530" max="11530" width="15.125" style="52" bestFit="1" customWidth="1"/>
    <col min="11531" max="11531" width="16.375" style="52" bestFit="1" customWidth="1"/>
    <col min="11532" max="11532" width="25.375" style="52" bestFit="1" customWidth="1"/>
    <col min="11533" max="11533" width="16.375" style="52" bestFit="1" customWidth="1"/>
    <col min="11534" max="11534" width="11" style="52" customWidth="1"/>
    <col min="11535" max="11768" width="9" style="52"/>
    <col min="11769" max="11780" width="0" style="52" hidden="1" customWidth="1"/>
    <col min="11781" max="11781" width="8.875" style="52" bestFit="1" customWidth="1"/>
    <col min="11782" max="11782" width="27.375" style="52" customWidth="1"/>
    <col min="11783" max="11783" width="11.5" style="52" bestFit="1" customWidth="1"/>
    <col min="11784" max="11784" width="9" style="52"/>
    <col min="11785" max="11785" width="15.625" style="52" bestFit="1" customWidth="1"/>
    <col min="11786" max="11786" width="15.125" style="52" bestFit="1" customWidth="1"/>
    <col min="11787" max="11787" width="16.375" style="52" bestFit="1" customWidth="1"/>
    <col min="11788" max="11788" width="25.375" style="52" bestFit="1" customWidth="1"/>
    <col min="11789" max="11789" width="16.375" style="52" bestFit="1" customWidth="1"/>
    <col min="11790" max="11790" width="11" style="52" customWidth="1"/>
    <col min="11791" max="12024" width="9" style="52"/>
    <col min="12025" max="12036" width="0" style="52" hidden="1" customWidth="1"/>
    <col min="12037" max="12037" width="8.875" style="52" bestFit="1" customWidth="1"/>
    <col min="12038" max="12038" width="27.375" style="52" customWidth="1"/>
    <col min="12039" max="12039" width="11.5" style="52" bestFit="1" customWidth="1"/>
    <col min="12040" max="12040" width="9" style="52"/>
    <col min="12041" max="12041" width="15.625" style="52" bestFit="1" customWidth="1"/>
    <col min="12042" max="12042" width="15.125" style="52" bestFit="1" customWidth="1"/>
    <col min="12043" max="12043" width="16.375" style="52" bestFit="1" customWidth="1"/>
    <col min="12044" max="12044" width="25.375" style="52" bestFit="1" customWidth="1"/>
    <col min="12045" max="12045" width="16.375" style="52" bestFit="1" customWidth="1"/>
    <col min="12046" max="12046" width="11" style="52" customWidth="1"/>
    <col min="12047" max="12280" width="9" style="52"/>
    <col min="12281" max="12292" width="0" style="52" hidden="1" customWidth="1"/>
    <col min="12293" max="12293" width="8.875" style="52" bestFit="1" customWidth="1"/>
    <col min="12294" max="12294" width="27.375" style="52" customWidth="1"/>
    <col min="12295" max="12295" width="11.5" style="52" bestFit="1" customWidth="1"/>
    <col min="12296" max="12296" width="9" style="52"/>
    <col min="12297" max="12297" width="15.625" style="52" bestFit="1" customWidth="1"/>
    <col min="12298" max="12298" width="15.125" style="52" bestFit="1" customWidth="1"/>
    <col min="12299" max="12299" width="16.375" style="52" bestFit="1" customWidth="1"/>
    <col min="12300" max="12300" width="25.375" style="52" bestFit="1" customWidth="1"/>
    <col min="12301" max="12301" width="16.375" style="52" bestFit="1" customWidth="1"/>
    <col min="12302" max="12302" width="11" style="52" customWidth="1"/>
    <col min="12303" max="12536" width="9" style="52"/>
    <col min="12537" max="12548" width="0" style="52" hidden="1" customWidth="1"/>
    <col min="12549" max="12549" width="8.875" style="52" bestFit="1" customWidth="1"/>
    <col min="12550" max="12550" width="27.375" style="52" customWidth="1"/>
    <col min="12551" max="12551" width="11.5" style="52" bestFit="1" customWidth="1"/>
    <col min="12552" max="12552" width="9" style="52"/>
    <col min="12553" max="12553" width="15.625" style="52" bestFit="1" customWidth="1"/>
    <col min="12554" max="12554" width="15.125" style="52" bestFit="1" customWidth="1"/>
    <col min="12555" max="12555" width="16.375" style="52" bestFit="1" customWidth="1"/>
    <col min="12556" max="12556" width="25.375" style="52" bestFit="1" customWidth="1"/>
    <col min="12557" max="12557" width="16.375" style="52" bestFit="1" customWidth="1"/>
    <col min="12558" max="12558" width="11" style="52" customWidth="1"/>
    <col min="12559" max="12792" width="9" style="52"/>
    <col min="12793" max="12804" width="0" style="52" hidden="1" customWidth="1"/>
    <col min="12805" max="12805" width="8.875" style="52" bestFit="1" customWidth="1"/>
    <col min="12806" max="12806" width="27.375" style="52" customWidth="1"/>
    <col min="12807" max="12807" width="11.5" style="52" bestFit="1" customWidth="1"/>
    <col min="12808" max="12808" width="9" style="52"/>
    <col min="12809" max="12809" width="15.625" style="52" bestFit="1" customWidth="1"/>
    <col min="12810" max="12810" width="15.125" style="52" bestFit="1" customWidth="1"/>
    <col min="12811" max="12811" width="16.375" style="52" bestFit="1" customWidth="1"/>
    <col min="12812" max="12812" width="25.375" style="52" bestFit="1" customWidth="1"/>
    <col min="12813" max="12813" width="16.375" style="52" bestFit="1" customWidth="1"/>
    <col min="12814" max="12814" width="11" style="52" customWidth="1"/>
    <col min="12815" max="13048" width="9" style="52"/>
    <col min="13049" max="13060" width="0" style="52" hidden="1" customWidth="1"/>
    <col min="13061" max="13061" width="8.875" style="52" bestFit="1" customWidth="1"/>
    <col min="13062" max="13062" width="27.375" style="52" customWidth="1"/>
    <col min="13063" max="13063" width="11.5" style="52" bestFit="1" customWidth="1"/>
    <col min="13064" max="13064" width="9" style="52"/>
    <col min="13065" max="13065" width="15.625" style="52" bestFit="1" customWidth="1"/>
    <col min="13066" max="13066" width="15.125" style="52" bestFit="1" customWidth="1"/>
    <col min="13067" max="13067" width="16.375" style="52" bestFit="1" customWidth="1"/>
    <col min="13068" max="13068" width="25.375" style="52" bestFit="1" customWidth="1"/>
    <col min="13069" max="13069" width="16.375" style="52" bestFit="1" customWidth="1"/>
    <col min="13070" max="13070" width="11" style="52" customWidth="1"/>
    <col min="13071" max="13304" width="9" style="52"/>
    <col min="13305" max="13316" width="0" style="52" hidden="1" customWidth="1"/>
    <col min="13317" max="13317" width="8.875" style="52" bestFit="1" customWidth="1"/>
    <col min="13318" max="13318" width="27.375" style="52" customWidth="1"/>
    <col min="13319" max="13319" width="11.5" style="52" bestFit="1" customWidth="1"/>
    <col min="13320" max="13320" width="9" style="52"/>
    <col min="13321" max="13321" width="15.625" style="52" bestFit="1" customWidth="1"/>
    <col min="13322" max="13322" width="15.125" style="52" bestFit="1" customWidth="1"/>
    <col min="13323" max="13323" width="16.375" style="52" bestFit="1" customWidth="1"/>
    <col min="13324" max="13324" width="25.375" style="52" bestFit="1" customWidth="1"/>
    <col min="13325" max="13325" width="16.375" style="52" bestFit="1" customWidth="1"/>
    <col min="13326" max="13326" width="11" style="52" customWidth="1"/>
    <col min="13327" max="13560" width="9" style="52"/>
    <col min="13561" max="13572" width="0" style="52" hidden="1" customWidth="1"/>
    <col min="13573" max="13573" width="8.875" style="52" bestFit="1" customWidth="1"/>
    <col min="13574" max="13574" width="27.375" style="52" customWidth="1"/>
    <col min="13575" max="13575" width="11.5" style="52" bestFit="1" customWidth="1"/>
    <col min="13576" max="13576" width="9" style="52"/>
    <col min="13577" max="13577" width="15.625" style="52" bestFit="1" customWidth="1"/>
    <col min="13578" max="13578" width="15.125" style="52" bestFit="1" customWidth="1"/>
    <col min="13579" max="13579" width="16.375" style="52" bestFit="1" customWidth="1"/>
    <col min="13580" max="13580" width="25.375" style="52" bestFit="1" customWidth="1"/>
    <col min="13581" max="13581" width="16.375" style="52" bestFit="1" customWidth="1"/>
    <col min="13582" max="13582" width="11" style="52" customWidth="1"/>
    <col min="13583" max="13816" width="9" style="52"/>
    <col min="13817" max="13828" width="0" style="52" hidden="1" customWidth="1"/>
    <col min="13829" max="13829" width="8.875" style="52" bestFit="1" customWidth="1"/>
    <col min="13830" max="13830" width="27.375" style="52" customWidth="1"/>
    <col min="13831" max="13831" width="11.5" style="52" bestFit="1" customWidth="1"/>
    <col min="13832" max="13832" width="9" style="52"/>
    <col min="13833" max="13833" width="15.625" style="52" bestFit="1" customWidth="1"/>
    <col min="13834" max="13834" width="15.125" style="52" bestFit="1" customWidth="1"/>
    <col min="13835" max="13835" width="16.375" style="52" bestFit="1" customWidth="1"/>
    <col min="13836" max="13836" width="25.375" style="52" bestFit="1" customWidth="1"/>
    <col min="13837" max="13837" width="16.375" style="52" bestFit="1" customWidth="1"/>
    <col min="13838" max="13838" width="11" style="52" customWidth="1"/>
    <col min="13839" max="14072" width="9" style="52"/>
    <col min="14073" max="14084" width="0" style="52" hidden="1" customWidth="1"/>
    <col min="14085" max="14085" width="8.875" style="52" bestFit="1" customWidth="1"/>
    <col min="14086" max="14086" width="27.375" style="52" customWidth="1"/>
    <col min="14087" max="14087" width="11.5" style="52" bestFit="1" customWidth="1"/>
    <col min="14088" max="14088" width="9" style="52"/>
    <col min="14089" max="14089" width="15.625" style="52" bestFit="1" customWidth="1"/>
    <col min="14090" max="14090" width="15.125" style="52" bestFit="1" customWidth="1"/>
    <col min="14091" max="14091" width="16.375" style="52" bestFit="1" customWidth="1"/>
    <col min="14092" max="14092" width="25.375" style="52" bestFit="1" customWidth="1"/>
    <col min="14093" max="14093" width="16.375" style="52" bestFit="1" customWidth="1"/>
    <col min="14094" max="14094" width="11" style="52" customWidth="1"/>
    <col min="14095" max="14328" width="9" style="52"/>
    <col min="14329" max="14340" width="0" style="52" hidden="1" customWidth="1"/>
    <col min="14341" max="14341" width="8.875" style="52" bestFit="1" customWidth="1"/>
    <col min="14342" max="14342" width="27.375" style="52" customWidth="1"/>
    <col min="14343" max="14343" width="11.5" style="52" bestFit="1" customWidth="1"/>
    <col min="14344" max="14344" width="9" style="52"/>
    <col min="14345" max="14345" width="15.625" style="52" bestFit="1" customWidth="1"/>
    <col min="14346" max="14346" width="15.125" style="52" bestFit="1" customWidth="1"/>
    <col min="14347" max="14347" width="16.375" style="52" bestFit="1" customWidth="1"/>
    <col min="14348" max="14348" width="25.375" style="52" bestFit="1" customWidth="1"/>
    <col min="14349" max="14349" width="16.375" style="52" bestFit="1" customWidth="1"/>
    <col min="14350" max="14350" width="11" style="52" customWidth="1"/>
    <col min="14351" max="14584" width="9" style="52"/>
    <col min="14585" max="14596" width="0" style="52" hidden="1" customWidth="1"/>
    <col min="14597" max="14597" width="8.875" style="52" bestFit="1" customWidth="1"/>
    <col min="14598" max="14598" width="27.375" style="52" customWidth="1"/>
    <col min="14599" max="14599" width="11.5" style="52" bestFit="1" customWidth="1"/>
    <col min="14600" max="14600" width="9" style="52"/>
    <col min="14601" max="14601" width="15.625" style="52" bestFit="1" customWidth="1"/>
    <col min="14602" max="14602" width="15.125" style="52" bestFit="1" customWidth="1"/>
    <col min="14603" max="14603" width="16.375" style="52" bestFit="1" customWidth="1"/>
    <col min="14604" max="14604" width="25.375" style="52" bestFit="1" customWidth="1"/>
    <col min="14605" max="14605" width="16.375" style="52" bestFit="1" customWidth="1"/>
    <col min="14606" max="14606" width="11" style="52" customWidth="1"/>
    <col min="14607" max="14840" width="9" style="52"/>
    <col min="14841" max="14852" width="0" style="52" hidden="1" customWidth="1"/>
    <col min="14853" max="14853" width="8.875" style="52" bestFit="1" customWidth="1"/>
    <col min="14854" max="14854" width="27.375" style="52" customWidth="1"/>
    <col min="14855" max="14855" width="11.5" style="52" bestFit="1" customWidth="1"/>
    <col min="14856" max="14856" width="9" style="52"/>
    <col min="14857" max="14857" width="15.625" style="52" bestFit="1" customWidth="1"/>
    <col min="14858" max="14858" width="15.125" style="52" bestFit="1" customWidth="1"/>
    <col min="14859" max="14859" width="16.375" style="52" bestFit="1" customWidth="1"/>
    <col min="14860" max="14860" width="25.375" style="52" bestFit="1" customWidth="1"/>
    <col min="14861" max="14861" width="16.375" style="52" bestFit="1" customWidth="1"/>
    <col min="14862" max="14862" width="11" style="52" customWidth="1"/>
    <col min="14863" max="15096" width="9" style="52"/>
    <col min="15097" max="15108" width="0" style="52" hidden="1" customWidth="1"/>
    <col min="15109" max="15109" width="8.875" style="52" bestFit="1" customWidth="1"/>
    <col min="15110" max="15110" width="27.375" style="52" customWidth="1"/>
    <col min="15111" max="15111" width="11.5" style="52" bestFit="1" customWidth="1"/>
    <col min="15112" max="15112" width="9" style="52"/>
    <col min="15113" max="15113" width="15.625" style="52" bestFit="1" customWidth="1"/>
    <col min="15114" max="15114" width="15.125" style="52" bestFit="1" customWidth="1"/>
    <col min="15115" max="15115" width="16.375" style="52" bestFit="1" customWidth="1"/>
    <col min="15116" max="15116" width="25.375" style="52" bestFit="1" customWidth="1"/>
    <col min="15117" max="15117" width="16.375" style="52" bestFit="1" customWidth="1"/>
    <col min="15118" max="15118" width="11" style="52" customWidth="1"/>
    <col min="15119" max="15352" width="9" style="52"/>
    <col min="15353" max="15364" width="0" style="52" hidden="1" customWidth="1"/>
    <col min="15365" max="15365" width="8.875" style="52" bestFit="1" customWidth="1"/>
    <col min="15366" max="15366" width="27.375" style="52" customWidth="1"/>
    <col min="15367" max="15367" width="11.5" style="52" bestFit="1" customWidth="1"/>
    <col min="15368" max="15368" width="9" style="52"/>
    <col min="15369" max="15369" width="15.625" style="52" bestFit="1" customWidth="1"/>
    <col min="15370" max="15370" width="15.125" style="52" bestFit="1" customWidth="1"/>
    <col min="15371" max="15371" width="16.375" style="52" bestFit="1" customWidth="1"/>
    <col min="15372" max="15372" width="25.375" style="52" bestFit="1" customWidth="1"/>
    <col min="15373" max="15373" width="16.375" style="52" bestFit="1" customWidth="1"/>
    <col min="15374" max="15374" width="11" style="52" customWidth="1"/>
    <col min="15375" max="15608" width="9" style="52"/>
    <col min="15609" max="15620" width="0" style="52" hidden="1" customWidth="1"/>
    <col min="15621" max="15621" width="8.875" style="52" bestFit="1" customWidth="1"/>
    <col min="15622" max="15622" width="27.375" style="52" customWidth="1"/>
    <col min="15623" max="15623" width="11.5" style="52" bestFit="1" customWidth="1"/>
    <col min="15624" max="15624" width="9" style="52"/>
    <col min="15625" max="15625" width="15.625" style="52" bestFit="1" customWidth="1"/>
    <col min="15626" max="15626" width="15.125" style="52" bestFit="1" customWidth="1"/>
    <col min="15627" max="15627" width="16.375" style="52" bestFit="1" customWidth="1"/>
    <col min="15628" max="15628" width="25.375" style="52" bestFit="1" customWidth="1"/>
    <col min="15629" max="15629" width="16.375" style="52" bestFit="1" customWidth="1"/>
    <col min="15630" max="15630" width="11" style="52" customWidth="1"/>
    <col min="15631" max="15864" width="9" style="52"/>
    <col min="15865" max="15876" width="0" style="52" hidden="1" customWidth="1"/>
    <col min="15877" max="15877" width="8.875" style="52" bestFit="1" customWidth="1"/>
    <col min="15878" max="15878" width="27.375" style="52" customWidth="1"/>
    <col min="15879" max="15879" width="11.5" style="52" bestFit="1" customWidth="1"/>
    <col min="15880" max="15880" width="9" style="52"/>
    <col min="15881" max="15881" width="15.625" style="52" bestFit="1" customWidth="1"/>
    <col min="15882" max="15882" width="15.125" style="52" bestFit="1" customWidth="1"/>
    <col min="15883" max="15883" width="16.375" style="52" bestFit="1" customWidth="1"/>
    <col min="15884" max="15884" width="25.375" style="52" bestFit="1" customWidth="1"/>
    <col min="15885" max="15885" width="16.375" style="52" bestFit="1" customWidth="1"/>
    <col min="15886" max="15886" width="11" style="52" customWidth="1"/>
    <col min="15887" max="16120" width="9" style="52"/>
    <col min="16121" max="16132" width="0" style="52" hidden="1" customWidth="1"/>
    <col min="16133" max="16133" width="8.875" style="52" bestFit="1" customWidth="1"/>
    <col min="16134" max="16134" width="27.375" style="52" customWidth="1"/>
    <col min="16135" max="16135" width="11.5" style="52" bestFit="1" customWidth="1"/>
    <col min="16136" max="16136" width="9" style="52"/>
    <col min="16137" max="16137" width="15.625" style="52" bestFit="1" customWidth="1"/>
    <col min="16138" max="16138" width="15.125" style="52" bestFit="1" customWidth="1"/>
    <col min="16139" max="16139" width="16.375" style="52" bestFit="1" customWidth="1"/>
    <col min="16140" max="16140" width="25.375" style="52" bestFit="1" customWidth="1"/>
    <col min="16141" max="16141" width="16.375" style="52" bestFit="1" customWidth="1"/>
    <col min="16142" max="16142" width="11" style="52" customWidth="1"/>
    <col min="16143" max="16384" width="9" style="52"/>
  </cols>
  <sheetData>
    <row r="1" spans="1:27" ht="12.75" customHeight="1">
      <c r="A1" s="220" t="s">
        <v>1354</v>
      </c>
      <c r="B1" s="219" t="s">
        <v>1355</v>
      </c>
      <c r="C1" s="219" t="s">
        <v>1356</v>
      </c>
      <c r="D1" s="219" t="s">
        <v>1357</v>
      </c>
      <c r="E1" s="220" t="s">
        <v>1358</v>
      </c>
      <c r="F1" s="220" t="s">
        <v>1359</v>
      </c>
      <c r="G1" s="220" t="s">
        <v>1360</v>
      </c>
      <c r="H1" s="219" t="s">
        <v>1361</v>
      </c>
      <c r="I1" s="219" t="s">
        <v>1362</v>
      </c>
      <c r="J1" s="221" t="s">
        <v>1363</v>
      </c>
      <c r="K1" s="221" t="s">
        <v>1364</v>
      </c>
      <c r="L1" s="222"/>
      <c r="M1" s="861" t="s">
        <v>10584</v>
      </c>
      <c r="N1" s="219" t="s">
        <v>466</v>
      </c>
      <c r="O1" s="146" t="s">
        <v>8315</v>
      </c>
      <c r="P1" s="861" t="s">
        <v>10585</v>
      </c>
      <c r="Q1" s="146" t="s">
        <v>469</v>
      </c>
      <c r="R1" s="146" t="s">
        <v>8316</v>
      </c>
      <c r="S1" s="146" t="s">
        <v>1360</v>
      </c>
      <c r="T1" s="146" t="s">
        <v>1361</v>
      </c>
      <c r="U1" s="146" t="s">
        <v>10533</v>
      </c>
      <c r="V1" s="877" t="s">
        <v>10534</v>
      </c>
    </row>
    <row r="2" spans="1:27" ht="12.75" customHeight="1" thickBot="1">
      <c r="A2" s="55"/>
      <c r="B2" s="148"/>
      <c r="C2" s="148"/>
      <c r="D2" s="148"/>
      <c r="E2" s="55"/>
      <c r="F2" s="56"/>
      <c r="G2" s="56"/>
      <c r="H2" s="56"/>
      <c r="I2" s="56"/>
      <c r="J2" s="149"/>
      <c r="K2" s="149"/>
      <c r="L2" s="134"/>
      <c r="M2" s="148"/>
      <c r="N2" s="98"/>
      <c r="O2" s="148"/>
      <c r="P2" s="148" t="s">
        <v>8268</v>
      </c>
      <c r="Q2" s="148" t="s">
        <v>479</v>
      </c>
      <c r="R2" s="148" t="s">
        <v>8317</v>
      </c>
      <c r="S2" s="148" t="s">
        <v>8317</v>
      </c>
      <c r="T2" s="148" t="s">
        <v>8910</v>
      </c>
      <c r="U2" s="148" t="s">
        <v>10532</v>
      </c>
      <c r="V2" s="878" t="s">
        <v>10532</v>
      </c>
    </row>
    <row r="3" spans="1:27" ht="12.75" customHeight="1">
      <c r="A3" s="144"/>
      <c r="B3" s="1082" t="s">
        <v>1377</v>
      </c>
      <c r="C3" s="1083"/>
      <c r="D3" s="1084"/>
      <c r="E3" s="150"/>
      <c r="F3" s="151"/>
      <c r="G3" s="152"/>
      <c r="H3" s="153"/>
      <c r="I3" s="154"/>
      <c r="J3" s="155"/>
      <c r="K3" s="155"/>
      <c r="L3" s="134"/>
      <c r="M3" s="236" t="s">
        <v>1378</v>
      </c>
      <c r="N3" s="236" t="s">
        <v>8308</v>
      </c>
      <c r="O3" s="586">
        <f>VLOOKUP($M3,Column!$F$5:$T$10,2,0)</f>
        <v>31</v>
      </c>
      <c r="P3" s="862">
        <f>VLOOKUP($N3,ColumnBottom!$F$5:$T$14,2,0)</f>
        <v>34.516728283054803</v>
      </c>
      <c r="Q3" s="863">
        <f>VLOOKUP($N3,ColumnBottom!$F$5:$T$14,4,0)</f>
        <v>8</v>
      </c>
      <c r="R3" s="692">
        <f>(VLOOKUP($M3,Column!$F$5:$T$10,14,0)-101325)/100000</f>
        <v>2.4567661729544601</v>
      </c>
      <c r="S3" s="692">
        <f>(VLOOKUP($N3,ColumnBottom!$F$5:$R$10,10,0)-101325)/100000</f>
        <v>2.6033940366086901</v>
      </c>
      <c r="T3" s="692">
        <f>VLOOKUP($N3,ColumnBottom!$F$5:$R$10,12,0)-273.15</f>
        <v>328.71928833150207</v>
      </c>
      <c r="U3" s="880">
        <f>VLOOKUP($N3,ColumnBottom!$F$5:$T$10,14,0)</f>
        <v>1735</v>
      </c>
      <c r="V3" s="882">
        <v>1735</v>
      </c>
    </row>
    <row r="4" spans="1:27" ht="12.75" customHeight="1">
      <c r="A4" s="223"/>
      <c r="B4" s="224"/>
      <c r="C4" s="224"/>
      <c r="D4" s="224"/>
      <c r="E4" s="225"/>
      <c r="F4" s="226"/>
      <c r="G4" s="226"/>
      <c r="H4" s="227"/>
      <c r="I4" s="224"/>
      <c r="J4" s="224"/>
      <c r="K4" s="224"/>
      <c r="L4" s="228"/>
      <c r="M4" s="161" t="s">
        <v>1381</v>
      </c>
      <c r="N4" s="161" t="s">
        <v>7598</v>
      </c>
      <c r="O4" s="586">
        <f>VLOOKUP($M4,Column!$F$5:$T$10,2,0)</f>
        <v>5</v>
      </c>
      <c r="P4" s="864">
        <f>VLOOKUP($N4,ColumnBottom!$F$5:$T$14,2,0)</f>
        <v>9.8540261331610495</v>
      </c>
      <c r="Q4" s="865">
        <f>VLOOKUP($N4,ColumnBottom!$F$5:$T$14,4,0)</f>
        <v>2.48</v>
      </c>
      <c r="R4" s="664">
        <f>(VLOOKUP($M4,Column!$F$5:$T$10,14,0)-101325)/100000</f>
        <v>2.59964287241425</v>
      </c>
      <c r="S4" s="664">
        <f>(VLOOKUP($N4,ColumnBottom!$F$5:$R$10,10,0)-101325)/100000</f>
        <v>2.6012684186217396</v>
      </c>
      <c r="T4" s="664">
        <f>VLOOKUP($N4,ColumnBottom!$F$5:$R$10,12,0)-273.15</f>
        <v>263.62668353759</v>
      </c>
      <c r="U4" s="881">
        <f>VLOOKUP($N4,ColumnBottom!$F$5:$T$10,14,0)</f>
        <v>47.6</v>
      </c>
      <c r="V4" s="876" t="s">
        <v>10687</v>
      </c>
    </row>
    <row r="5" spans="1:27" ht="12.75" customHeight="1">
      <c r="A5" s="223"/>
      <c r="B5" s="225"/>
      <c r="C5" s="225"/>
      <c r="D5" s="225"/>
      <c r="E5" s="225"/>
      <c r="F5" s="226"/>
      <c r="G5" s="226"/>
      <c r="H5" s="227"/>
      <c r="I5" s="225"/>
      <c r="J5" s="225"/>
      <c r="K5" s="225"/>
      <c r="L5" s="115"/>
      <c r="M5" s="161" t="s">
        <v>1383</v>
      </c>
      <c r="N5" s="161" t="s">
        <v>8309</v>
      </c>
      <c r="O5" s="586">
        <f>VLOOKUP($M5,Column!$F$5:$T$10,2,0)</f>
        <v>5</v>
      </c>
      <c r="P5" s="864">
        <f>VLOOKUP($N5,ColumnBottom!$F$5:$T$14,2,0)</f>
        <v>8.6791761353919394</v>
      </c>
      <c r="Q5" s="865">
        <f>VLOOKUP($N5,ColumnBottom!$F$5:$T$14,4,0)</f>
        <v>1.7</v>
      </c>
      <c r="R5" s="664">
        <f>(VLOOKUP($M5,Column!$F$5:$T$10,14,0)-101325)/100000</f>
        <v>2.5791803042393102</v>
      </c>
      <c r="S5" s="664">
        <f>(VLOOKUP($N5,ColumnBottom!$F$5:$R$10,10,0)-101325)/100000</f>
        <v>2.5807179898133601</v>
      </c>
      <c r="T5" s="664">
        <f>VLOOKUP($N5,ColumnBottom!$F$5:$R$10,12,0)-273.15</f>
        <v>338.96214223938102</v>
      </c>
      <c r="U5" s="881">
        <f>VLOOKUP($N5,ColumnBottom!$F$5:$T$10,14,0)</f>
        <v>19.7</v>
      </c>
      <c r="V5" s="876" t="s">
        <v>10688</v>
      </c>
    </row>
    <row r="6" spans="1:27" s="860" customFormat="1" ht="12.75" customHeight="1">
      <c r="A6" s="223"/>
      <c r="B6" s="225"/>
      <c r="C6" s="225"/>
      <c r="D6" s="225"/>
      <c r="E6" s="225"/>
      <c r="F6" s="226"/>
      <c r="G6" s="226"/>
      <c r="H6" s="227"/>
      <c r="I6" s="225"/>
      <c r="J6" s="225"/>
      <c r="K6" s="225"/>
      <c r="L6" s="115"/>
      <c r="M6" s="872" t="s">
        <v>10684</v>
      </c>
      <c r="N6" s="872" t="s">
        <v>7598</v>
      </c>
      <c r="O6" s="873"/>
      <c r="P6" s="941">
        <f>VLOOKUP($M6,Scrubber!$F$5:$N$14,4,0)</f>
        <v>10.565</v>
      </c>
      <c r="Q6" s="941">
        <f>VLOOKUP($M6,Scrubber!$F$5:$N$14,2,0)</f>
        <v>1.976</v>
      </c>
      <c r="R6" s="874">
        <f>(VLOOKUP($M6,Scrubber!$F$5:$N$14,6,0)-101325)/100000</f>
        <v>-0.81138709333457193</v>
      </c>
      <c r="S6" s="969">
        <f>(VLOOKUP($M6,Scrubber!$F$5:$N$14,6,0)-101325)/100000</f>
        <v>-0.81138709333457193</v>
      </c>
      <c r="T6" s="875">
        <f>VLOOKUP($M6,Scrubber!$F$5:$N$14,8,0)-273.15</f>
        <v>156.67873223562702</v>
      </c>
      <c r="U6" s="894">
        <f>VLOOKUP($M6,Scrubber!$F$5:$P$14,10,0)</f>
        <v>32.399116904885098</v>
      </c>
      <c r="V6" s="876" t="s">
        <v>10682</v>
      </c>
    </row>
    <row r="7" spans="1:27" s="860" customFormat="1" ht="12.75" customHeight="1">
      <c r="A7" s="223"/>
      <c r="B7" s="225"/>
      <c r="C7" s="225"/>
      <c r="D7" s="225"/>
      <c r="E7" s="225"/>
      <c r="F7" s="226"/>
      <c r="G7" s="226"/>
      <c r="H7" s="227"/>
      <c r="I7" s="225"/>
      <c r="J7" s="225"/>
      <c r="K7" s="225"/>
      <c r="L7" s="115"/>
      <c r="M7" s="872" t="s">
        <v>10685</v>
      </c>
      <c r="N7" s="872" t="s">
        <v>8309</v>
      </c>
      <c r="O7" s="873"/>
      <c r="P7" s="941">
        <f>VLOOKUP($M7,Scrubber!$F$5:$N$14,4,0)</f>
        <v>7.4020000000000001</v>
      </c>
      <c r="Q7" s="941">
        <f>VLOOKUP($M7,Scrubber!$F$5:$N$14,2,0)</f>
        <v>1.7</v>
      </c>
      <c r="R7" s="969">
        <f>(VLOOKUP($M7,Scrubber!$F$5:$N$14,6,0)-101325)/100000</f>
        <v>-0.8604566338274009</v>
      </c>
      <c r="S7" s="969">
        <f>(VLOOKUP($M7,Scrubber!$F$5:$N$14,6,0)-101325)/100000</f>
        <v>-0.8604566338274009</v>
      </c>
      <c r="T7" s="970">
        <f>VLOOKUP($M7,Scrubber!$F$5:$N$14,8,0)-273.15</f>
        <v>166.16374893840003</v>
      </c>
      <c r="U7" s="894">
        <f>VLOOKUP($M7,Scrubber!$F$5:$P$14,10,0)</f>
        <v>16.801061228439998</v>
      </c>
      <c r="V7" s="876" t="s">
        <v>10683</v>
      </c>
    </row>
    <row r="8" spans="1:27" ht="12.75" customHeight="1">
      <c r="A8" s="223"/>
      <c r="B8" s="225"/>
      <c r="C8" s="225"/>
      <c r="D8" s="225"/>
      <c r="E8" s="225"/>
      <c r="F8" s="226"/>
      <c r="G8" s="226"/>
      <c r="H8" s="227"/>
      <c r="I8" s="225"/>
      <c r="J8" s="225"/>
      <c r="K8" s="225"/>
      <c r="L8" s="115"/>
      <c r="M8" s="161" t="s">
        <v>1386</v>
      </c>
      <c r="N8" s="161" t="s">
        <v>8306</v>
      </c>
      <c r="O8" s="586">
        <f>VLOOKUP($M8,Column!$F$5:$T$10,2,0)</f>
        <v>35</v>
      </c>
      <c r="P8" s="864">
        <f>VLOOKUP($N8,ColumnBottom!$F$5:$T$14,2,0)</f>
        <v>42.184320556537003</v>
      </c>
      <c r="Q8" s="865">
        <f>VLOOKUP($N8,ColumnBottom!$F$5:$T$14,4,0)</f>
        <v>3.4</v>
      </c>
      <c r="R8" s="664">
        <f>(VLOOKUP($M8,Column!$F$5:$T$10,14,0)-101325)/100000</f>
        <v>8.3001761857709297</v>
      </c>
      <c r="S8" s="664">
        <f>(VLOOKUP($N8,ColumnBottom!$F$5:$R$10,10,0)-101325)/100000</f>
        <v>8.4497584159317505</v>
      </c>
      <c r="T8" s="664">
        <f>VLOOKUP($N8,ColumnBottom!$F$5:$R$10,12,0)-273.15</f>
        <v>202.05427985809501</v>
      </c>
      <c r="U8" s="893">
        <f>VLOOKUP($N8,ColumnBottom!$F$5:$T$10,14,0)</f>
        <v>383</v>
      </c>
      <c r="V8" s="879">
        <v>383</v>
      </c>
    </row>
    <row r="9" spans="1:27" ht="12.75" customHeight="1">
      <c r="A9" s="223"/>
      <c r="B9" s="225"/>
      <c r="C9" s="225"/>
      <c r="D9" s="225"/>
      <c r="E9" s="225"/>
      <c r="F9" s="226"/>
      <c r="G9" s="226"/>
      <c r="H9" s="227"/>
      <c r="I9" s="225"/>
      <c r="J9" s="225"/>
      <c r="K9" s="225"/>
      <c r="L9" s="115"/>
      <c r="M9" s="161" t="s">
        <v>1390</v>
      </c>
      <c r="N9" s="161" t="s">
        <v>8310</v>
      </c>
      <c r="O9" s="586">
        <f>VLOOKUP($M9,Column!$F$5:$T$10,2,0)</f>
        <v>30</v>
      </c>
      <c r="P9" s="864">
        <f>VLOOKUP($N9,ColumnBottom!$F$5:$T$14,2,0)</f>
        <v>40.458337440956598</v>
      </c>
      <c r="Q9" s="865">
        <f>VLOOKUP($N9,ColumnBottom!$F$5:$T$14,4,0)</f>
        <v>6.2720000000000002</v>
      </c>
      <c r="R9" s="664">
        <f>(VLOOKUP($M9,Column!$F$5:$T$10,14,0)-101325)/100000</f>
        <v>0.9052661856910601</v>
      </c>
      <c r="S9" s="664">
        <f>(VLOOKUP($N9,ColumnBottom!$F$5:$R$10,10,0)-101325)/100000</f>
        <v>0.99320952529022</v>
      </c>
      <c r="T9" s="664">
        <f>VLOOKUP($N9,ColumnBottom!$F$5:$R$10,12,0)-273.15</f>
        <v>201.29671722910302</v>
      </c>
      <c r="U9" s="893">
        <f>VLOOKUP($N9,ColumnBottom!$F$5:$T$10,14,0)</f>
        <v>1250</v>
      </c>
      <c r="V9" s="879">
        <v>1250</v>
      </c>
    </row>
    <row r="10" spans="1:27" ht="12.75" customHeight="1">
      <c r="A10" s="223"/>
      <c r="B10" s="225"/>
      <c r="C10" s="225"/>
      <c r="D10" s="225"/>
      <c r="E10" s="225"/>
      <c r="F10" s="226"/>
      <c r="G10" s="226"/>
      <c r="H10" s="227"/>
      <c r="I10" s="225"/>
      <c r="J10" s="225"/>
      <c r="K10" s="225"/>
      <c r="L10" s="115"/>
      <c r="M10" s="161" t="s">
        <v>1394</v>
      </c>
      <c r="N10" s="161" t="s">
        <v>8307</v>
      </c>
      <c r="O10" s="586">
        <f>VLOOKUP($M10,Column!$F$5:$T$10,2,0)</f>
        <v>10</v>
      </c>
      <c r="P10" s="864">
        <f>VLOOKUP($N10,ColumnBottom!$F$5:$T$14,2,0)</f>
        <v>9.1632350256185795</v>
      </c>
      <c r="Q10" s="865">
        <f>VLOOKUP($N10,ColumnBottom!$F$5:$T$14,4,0)</f>
        <v>3.98</v>
      </c>
      <c r="R10" s="664">
        <f>(VLOOKUP($M10,Column!$F$5:$T$10,14,0)-101325)/100000</f>
        <v>0.98391618710290984</v>
      </c>
      <c r="S10" s="664">
        <f>(VLOOKUP($N10,ColumnBottom!$F$5:$R$10,10,0)-101325)/100000</f>
        <v>1.0098170391619798</v>
      </c>
      <c r="T10" s="664">
        <f>VLOOKUP($N10,ColumnBottom!$F$5:$R$10,12,0)-273.15</f>
        <v>139.42340733327802</v>
      </c>
      <c r="U10" s="893">
        <f>VLOOKUP($N10,ColumnBottom!$F$5:$T$10,14,0)</f>
        <v>114</v>
      </c>
      <c r="V10" s="879">
        <v>114</v>
      </c>
    </row>
    <row r="11" spans="1:27" s="860" customFormat="1" ht="12.75" customHeight="1">
      <c r="A11" s="223"/>
      <c r="B11" s="225"/>
      <c r="C11" s="225"/>
      <c r="D11" s="225"/>
      <c r="E11" s="225"/>
      <c r="F11" s="226"/>
      <c r="G11" s="226"/>
      <c r="H11" s="227"/>
      <c r="I11" s="225"/>
      <c r="J11" s="225"/>
      <c r="K11" s="225"/>
      <c r="L11" s="115"/>
      <c r="M11" s="872" t="s">
        <v>10686</v>
      </c>
      <c r="N11" s="872"/>
      <c r="O11" s="873"/>
      <c r="P11" s="972">
        <f>VLOOKUP($M11,GasLiquidColumnNode!$F$5:$Z$5,4,0)</f>
        <v>16.365184176097401</v>
      </c>
      <c r="Q11" s="972">
        <f>VLOOKUP($M11,GasLiquidColumnNode!$F$5:$Z$5,2,0)</f>
        <v>0.95</v>
      </c>
      <c r="R11" s="992">
        <f>(VLOOKUP($M11,GasLiquidColumnNode!$F$5:$Z$5,6,0)-101325)/100000</f>
        <v>5.6947044356903005</v>
      </c>
      <c r="S11" s="992">
        <f>(VLOOKUP($M11,GasLiquidColumnNode!$F$5:$Z$5,6,0)-101325)/100000</f>
        <v>5.6947044356903005</v>
      </c>
      <c r="T11" s="993">
        <f>VLOOKUP($M11,GasLiquidColumnNode!$F$5:$Z$5,8,0)-273.15</f>
        <v>49.223782139436025</v>
      </c>
      <c r="U11" s="971">
        <f>VLOOKUP($M11,GasLiquidColumnNode!$F$5:$Z$5,10,0)</f>
        <v>11.600000000000012</v>
      </c>
      <c r="V11" s="879">
        <v>11.6</v>
      </c>
    </row>
    <row r="12" spans="1:27" ht="12.75" customHeight="1" thickBot="1"/>
    <row r="13" spans="1:27" ht="15" thickBot="1">
      <c r="M13" s="667" t="s">
        <v>8298</v>
      </c>
      <c r="N13" s="667" t="s">
        <v>8319</v>
      </c>
      <c r="O13" s="668" t="s">
        <v>8320</v>
      </c>
      <c r="P13" s="667" t="s">
        <v>8298</v>
      </c>
      <c r="Q13" s="667" t="s">
        <v>8319</v>
      </c>
      <c r="R13" s="668" t="s">
        <v>8383</v>
      </c>
      <c r="S13" s="667" t="s">
        <v>8298</v>
      </c>
      <c r="T13" s="667" t="s">
        <v>8319</v>
      </c>
      <c r="U13" s="668" t="s">
        <v>8459</v>
      </c>
      <c r="V13" s="669" t="s">
        <v>8298</v>
      </c>
      <c r="W13" s="669" t="s">
        <v>8319</v>
      </c>
      <c r="X13" s="670" t="s">
        <v>8460</v>
      </c>
      <c r="Y13" s="671" t="s">
        <v>8298</v>
      </c>
      <c r="Z13" s="671" t="s">
        <v>8319</v>
      </c>
      <c r="AA13" s="672" t="s">
        <v>8461</v>
      </c>
    </row>
    <row r="14" spans="1:27">
      <c r="M14" s="665" t="s">
        <v>8321</v>
      </c>
      <c r="N14" s="666" t="s">
        <v>8268</v>
      </c>
      <c r="O14" s="666">
        <v>3.6600000000000001E-2</v>
      </c>
      <c r="P14" s="665" t="s">
        <v>8384</v>
      </c>
      <c r="Q14" s="666" t="s">
        <v>8268</v>
      </c>
      <c r="R14" s="666">
        <v>0.02</v>
      </c>
      <c r="S14" s="665" t="s">
        <v>8391</v>
      </c>
      <c r="T14" s="666" t="s">
        <v>8268</v>
      </c>
      <c r="U14" s="666">
        <v>3.0396428571428599E-2</v>
      </c>
      <c r="V14" s="665" t="s">
        <v>8462</v>
      </c>
      <c r="W14" s="666" t="s">
        <v>8318</v>
      </c>
      <c r="X14" s="666">
        <v>7.3200000000000001E-2</v>
      </c>
      <c r="Y14" s="665" t="s">
        <v>8879</v>
      </c>
      <c r="Z14" s="666" t="s">
        <v>8318</v>
      </c>
      <c r="AA14" s="666">
        <v>7.6240000000000002E-2</v>
      </c>
    </row>
    <row r="15" spans="1:27">
      <c r="M15" s="590" t="s">
        <v>8322</v>
      </c>
      <c r="N15" s="588" t="s">
        <v>8268</v>
      </c>
      <c r="O15" s="588">
        <v>3.6600000000000001E-2</v>
      </c>
      <c r="P15" s="590" t="s">
        <v>8385</v>
      </c>
      <c r="Q15" s="588" t="s">
        <v>8268</v>
      </c>
      <c r="R15" s="588">
        <v>0.02</v>
      </c>
      <c r="S15" s="590" t="s">
        <v>8392</v>
      </c>
      <c r="T15" s="588" t="s">
        <v>8268</v>
      </c>
      <c r="U15" s="666">
        <v>3.0396428571428599E-2</v>
      </c>
      <c r="V15" s="590" t="s">
        <v>8463</v>
      </c>
      <c r="W15" s="588" t="s">
        <v>8318</v>
      </c>
      <c r="X15" s="588">
        <v>6.08E-2</v>
      </c>
      <c r="Y15" s="590" t="s">
        <v>8880</v>
      </c>
      <c r="Z15" s="588" t="s">
        <v>8318</v>
      </c>
      <c r="AA15" s="588">
        <v>4.8800000000000003E-2</v>
      </c>
    </row>
    <row r="16" spans="1:27">
      <c r="M16" s="590" t="s">
        <v>8323</v>
      </c>
      <c r="N16" s="588" t="s">
        <v>8268</v>
      </c>
      <c r="O16" s="588">
        <v>3.6600000000000001E-2</v>
      </c>
      <c r="P16" s="590" t="s">
        <v>8524</v>
      </c>
      <c r="Q16" s="588" t="s">
        <v>8268</v>
      </c>
      <c r="R16" s="588">
        <v>0.02</v>
      </c>
      <c r="S16" s="590" t="s">
        <v>8393</v>
      </c>
      <c r="T16" s="588" t="s">
        <v>8268</v>
      </c>
      <c r="U16" s="666">
        <v>3.0396428571428599E-2</v>
      </c>
      <c r="V16" s="590" t="s">
        <v>8464</v>
      </c>
      <c r="W16" s="588" t="s">
        <v>8318</v>
      </c>
      <c r="X16" s="588">
        <v>6.08E-2</v>
      </c>
      <c r="Y16" s="590" t="s">
        <v>8881</v>
      </c>
      <c r="Z16" s="588" t="s">
        <v>8318</v>
      </c>
      <c r="AA16" s="588">
        <v>4.8800000000000003E-2</v>
      </c>
    </row>
    <row r="17" spans="13:27">
      <c r="M17" s="590" t="s">
        <v>8324</v>
      </c>
      <c r="N17" s="588" t="s">
        <v>8268</v>
      </c>
      <c r="O17" s="588">
        <v>9.8000000000000004E-2</v>
      </c>
      <c r="P17" s="590" t="s">
        <v>8386</v>
      </c>
      <c r="Q17" s="588" t="s">
        <v>8268</v>
      </c>
      <c r="R17" s="588">
        <v>2.5</v>
      </c>
      <c r="S17" s="590" t="s">
        <v>8394</v>
      </c>
      <c r="T17" s="588" t="s">
        <v>8268</v>
      </c>
      <c r="U17" s="666">
        <v>3.0396428571428599E-2</v>
      </c>
      <c r="V17" s="590" t="s">
        <v>8465</v>
      </c>
      <c r="W17" s="588" t="s">
        <v>8318</v>
      </c>
      <c r="X17" s="588">
        <v>6.08E-2</v>
      </c>
      <c r="Y17" s="590" t="s">
        <v>8882</v>
      </c>
      <c r="Z17" s="588" t="s">
        <v>8318</v>
      </c>
      <c r="AA17" s="588">
        <v>4.8800000000000003E-2</v>
      </c>
    </row>
    <row r="18" spans="13:27">
      <c r="M18" s="590" t="s">
        <v>8325</v>
      </c>
      <c r="N18" s="588" t="s">
        <v>8268</v>
      </c>
      <c r="O18" s="588">
        <v>3.04E-2</v>
      </c>
      <c r="P18" s="590" t="s">
        <v>8387</v>
      </c>
      <c r="Q18" s="588" t="s">
        <v>8268</v>
      </c>
      <c r="R18" s="588">
        <v>2.5</v>
      </c>
      <c r="S18" s="590" t="s">
        <v>8395</v>
      </c>
      <c r="T18" s="588" t="s">
        <v>8268</v>
      </c>
      <c r="U18" s="666">
        <v>3.0396428571428599E-2</v>
      </c>
      <c r="V18" s="590" t="s">
        <v>8466</v>
      </c>
      <c r="W18" s="588" t="s">
        <v>8318</v>
      </c>
      <c r="X18" s="588">
        <v>6.08E-2</v>
      </c>
      <c r="Y18" s="590" t="s">
        <v>8883</v>
      </c>
      <c r="Z18" s="588" t="s">
        <v>8318</v>
      </c>
      <c r="AA18" s="588">
        <v>4.8800000000000003E-2</v>
      </c>
    </row>
    <row r="19" spans="13:27">
      <c r="M19" s="590" t="s">
        <v>8326</v>
      </c>
      <c r="N19" s="588" t="s">
        <v>8268</v>
      </c>
      <c r="O19" s="588">
        <v>3.04E-2</v>
      </c>
      <c r="P19" s="590" t="s">
        <v>8523</v>
      </c>
      <c r="Q19" s="588" t="s">
        <v>8268</v>
      </c>
      <c r="R19" s="588">
        <v>2.5</v>
      </c>
      <c r="S19" s="590" t="s">
        <v>8396</v>
      </c>
      <c r="T19" s="588" t="s">
        <v>8268</v>
      </c>
      <c r="U19" s="666">
        <v>3.0396428571428599E-2</v>
      </c>
      <c r="V19" s="590" t="s">
        <v>8467</v>
      </c>
      <c r="W19" s="588" t="s">
        <v>8318</v>
      </c>
      <c r="X19" s="588">
        <v>6.08E-2</v>
      </c>
      <c r="Y19" s="590" t="s">
        <v>8884</v>
      </c>
      <c r="Z19" s="588" t="s">
        <v>8318</v>
      </c>
      <c r="AA19" s="588">
        <v>4.8800000000000003E-2</v>
      </c>
    </row>
    <row r="20" spans="13:27" ht="13.5" thickBot="1">
      <c r="M20" s="590" t="s">
        <v>8327</v>
      </c>
      <c r="N20" s="588" t="s">
        <v>8268</v>
      </c>
      <c r="O20" s="588">
        <v>3.04E-2</v>
      </c>
      <c r="P20" s="673"/>
      <c r="Q20" s="674"/>
      <c r="R20" s="674"/>
      <c r="S20" s="590" t="s">
        <v>8397</v>
      </c>
      <c r="T20" s="588" t="s">
        <v>8268</v>
      </c>
      <c r="U20" s="666">
        <v>3.0396428571428599E-2</v>
      </c>
      <c r="V20" s="590" t="s">
        <v>8468</v>
      </c>
      <c r="W20" s="588" t="s">
        <v>8318</v>
      </c>
      <c r="X20" s="588">
        <v>6.08E-2</v>
      </c>
      <c r="Y20" s="590" t="s">
        <v>8885</v>
      </c>
      <c r="Z20" s="588" t="s">
        <v>8318</v>
      </c>
      <c r="AA20" s="588">
        <v>4.8800000000000003E-2</v>
      </c>
    </row>
    <row r="21" spans="13:27" ht="13.5" customHeight="1" thickBot="1">
      <c r="M21" s="590" t="s">
        <v>8328</v>
      </c>
      <c r="N21" s="588" t="s">
        <v>8268</v>
      </c>
      <c r="O21" s="588">
        <v>3.04E-2</v>
      </c>
      <c r="P21" s="667" t="s">
        <v>8298</v>
      </c>
      <c r="Q21" s="667" t="s">
        <v>8319</v>
      </c>
      <c r="R21" s="668" t="s">
        <v>8899</v>
      </c>
      <c r="S21" s="590" t="s">
        <v>8398</v>
      </c>
      <c r="T21" s="588" t="s">
        <v>8268</v>
      </c>
      <c r="U21" s="666">
        <v>3.0396428571428599E-2</v>
      </c>
      <c r="V21" s="590" t="s">
        <v>8469</v>
      </c>
      <c r="W21" s="588" t="s">
        <v>8318</v>
      </c>
      <c r="X21" s="588">
        <v>6.08E-2</v>
      </c>
      <c r="Y21" s="590" t="s">
        <v>8886</v>
      </c>
      <c r="Z21" s="588" t="s">
        <v>8318</v>
      </c>
      <c r="AA21" s="588">
        <v>4.8800000000000003E-2</v>
      </c>
    </row>
    <row r="22" spans="13:27">
      <c r="M22" s="590" t="s">
        <v>8329</v>
      </c>
      <c r="N22" s="588" t="s">
        <v>8268</v>
      </c>
      <c r="O22" s="588">
        <v>3.04E-2</v>
      </c>
      <c r="P22" s="665" t="s">
        <v>8388</v>
      </c>
      <c r="Q22" s="666" t="s">
        <v>8268</v>
      </c>
      <c r="R22" s="666">
        <v>0.02</v>
      </c>
      <c r="S22" s="590" t="s">
        <v>8399</v>
      </c>
      <c r="T22" s="588" t="s">
        <v>8268</v>
      </c>
      <c r="U22" s="666">
        <v>3.0396428571428599E-2</v>
      </c>
      <c r="V22" s="590" t="s">
        <v>8470</v>
      </c>
      <c r="W22" s="588" t="s">
        <v>8318</v>
      </c>
      <c r="X22" s="588">
        <v>6.08E-2</v>
      </c>
      <c r="Y22" s="590" t="s">
        <v>8887</v>
      </c>
      <c r="Z22" s="588" t="s">
        <v>8318</v>
      </c>
      <c r="AA22" s="588">
        <v>4.8800000000000003E-2</v>
      </c>
    </row>
    <row r="23" spans="13:27">
      <c r="M23" s="590" t="s">
        <v>8330</v>
      </c>
      <c r="N23" s="588" t="s">
        <v>8268</v>
      </c>
      <c r="O23" s="588">
        <v>3.04E-2</v>
      </c>
      <c r="P23" s="590" t="s">
        <v>8389</v>
      </c>
      <c r="Q23" s="588" t="s">
        <v>8268</v>
      </c>
      <c r="R23" s="588">
        <v>0.02</v>
      </c>
      <c r="S23" s="590" t="s">
        <v>8400</v>
      </c>
      <c r="T23" s="588" t="s">
        <v>8268</v>
      </c>
      <c r="U23" s="666">
        <v>3.0396428571428599E-2</v>
      </c>
      <c r="V23" s="590" t="s">
        <v>8471</v>
      </c>
      <c r="W23" s="588" t="s">
        <v>8318</v>
      </c>
      <c r="X23" s="588">
        <v>6.08E-2</v>
      </c>
      <c r="Y23" s="590" t="s">
        <v>8888</v>
      </c>
      <c r="Z23" s="588" t="s">
        <v>8318</v>
      </c>
      <c r="AA23" s="588">
        <v>4.8800000000000003E-2</v>
      </c>
    </row>
    <row r="24" spans="13:27">
      <c r="M24" s="590" t="s">
        <v>8331</v>
      </c>
      <c r="N24" s="588" t="s">
        <v>8268</v>
      </c>
      <c r="O24" s="588">
        <v>4.8000000000000001E-2</v>
      </c>
      <c r="P24" s="590" t="s">
        <v>8390</v>
      </c>
      <c r="Q24" s="588" t="s">
        <v>8268</v>
      </c>
      <c r="R24" s="588">
        <v>0.02</v>
      </c>
      <c r="S24" s="590" t="s">
        <v>8401</v>
      </c>
      <c r="T24" s="588" t="s">
        <v>8268</v>
      </c>
      <c r="U24" s="666">
        <v>3.0396428571428599E-2</v>
      </c>
      <c r="V24" s="590" t="s">
        <v>8472</v>
      </c>
      <c r="W24" s="588" t="s">
        <v>8318</v>
      </c>
      <c r="X24" s="588">
        <v>9.7600000000000006E-2</v>
      </c>
      <c r="Y24" s="589" t="s">
        <v>8889</v>
      </c>
      <c r="Z24" s="588" t="s">
        <v>8268</v>
      </c>
      <c r="AA24" s="588">
        <v>2.782</v>
      </c>
    </row>
    <row r="25" spans="13:27">
      <c r="M25" s="590" t="s">
        <v>8332</v>
      </c>
      <c r="N25" s="588" t="s">
        <v>8268</v>
      </c>
      <c r="O25" s="588">
        <v>3.6600000000000001E-2</v>
      </c>
      <c r="P25" s="590" t="s">
        <v>8875</v>
      </c>
      <c r="Q25" s="588" t="s">
        <v>8268</v>
      </c>
      <c r="R25" s="588">
        <v>1.7</v>
      </c>
      <c r="S25" s="590" t="s">
        <v>8402</v>
      </c>
      <c r="T25" s="588" t="s">
        <v>8268</v>
      </c>
      <c r="U25" s="666">
        <v>3.0396428571428599E-2</v>
      </c>
      <c r="V25" s="590" t="s">
        <v>8473</v>
      </c>
      <c r="W25" s="588" t="s">
        <v>8318</v>
      </c>
      <c r="X25" s="588">
        <v>6.08E-2</v>
      </c>
      <c r="Y25" s="589" t="s">
        <v>8890</v>
      </c>
      <c r="Z25" s="588" t="s">
        <v>8268</v>
      </c>
      <c r="AA25" s="588">
        <v>2.782</v>
      </c>
    </row>
    <row r="26" spans="13:27">
      <c r="M26" s="590" t="s">
        <v>8333</v>
      </c>
      <c r="N26" s="588" t="s">
        <v>8268</v>
      </c>
      <c r="O26" s="588">
        <v>3.6600000000000001E-2</v>
      </c>
      <c r="P26" s="590" t="s">
        <v>8873</v>
      </c>
      <c r="Q26" s="588" t="s">
        <v>8268</v>
      </c>
      <c r="R26" s="588">
        <v>1.7</v>
      </c>
      <c r="S26" s="590" t="s">
        <v>8403</v>
      </c>
      <c r="T26" s="588" t="s">
        <v>8268</v>
      </c>
      <c r="U26" s="666">
        <v>3.0396428571428599E-2</v>
      </c>
      <c r="V26" s="590" t="s">
        <v>8474</v>
      </c>
      <c r="W26" s="588" t="s">
        <v>8318</v>
      </c>
      <c r="X26" s="588">
        <v>6.08E-2</v>
      </c>
      <c r="Y26" s="589" t="s">
        <v>8891</v>
      </c>
      <c r="Z26" s="588" t="s">
        <v>8268</v>
      </c>
      <c r="AA26" s="588">
        <v>2.782</v>
      </c>
    </row>
    <row r="27" spans="13:27">
      <c r="M27" s="590" t="s">
        <v>8334</v>
      </c>
      <c r="N27" s="588" t="s">
        <v>8268</v>
      </c>
      <c r="O27" s="588">
        <v>0.10575</v>
      </c>
      <c r="P27" s="590" t="s">
        <v>8874</v>
      </c>
      <c r="Q27" s="588" t="s">
        <v>8268</v>
      </c>
      <c r="R27" s="588">
        <v>1.7</v>
      </c>
      <c r="S27" s="590" t="s">
        <v>8404</v>
      </c>
      <c r="T27" s="588" t="s">
        <v>8268</v>
      </c>
      <c r="U27" s="666">
        <v>3.0396428571428599E-2</v>
      </c>
      <c r="V27" s="590" t="s">
        <v>8475</v>
      </c>
      <c r="W27" s="588" t="s">
        <v>8318</v>
      </c>
      <c r="X27" s="588">
        <v>6.08E-2</v>
      </c>
      <c r="Y27" s="589" t="s">
        <v>8892</v>
      </c>
      <c r="Z27" s="588" t="s">
        <v>8268</v>
      </c>
      <c r="AA27" s="588">
        <v>2.782</v>
      </c>
    </row>
    <row r="28" spans="13:27">
      <c r="M28" s="590" t="s">
        <v>8335</v>
      </c>
      <c r="N28" s="588" t="s">
        <v>8268</v>
      </c>
      <c r="O28" s="588">
        <v>3.04E-2</v>
      </c>
      <c r="P28" s="590"/>
      <c r="Q28" s="588"/>
      <c r="R28" s="588"/>
      <c r="S28" s="590" t="s">
        <v>8405</v>
      </c>
      <c r="T28" s="588" t="s">
        <v>8268</v>
      </c>
      <c r="U28" s="666">
        <v>3.0396428571428599E-2</v>
      </c>
      <c r="V28" s="590" t="s">
        <v>8476</v>
      </c>
      <c r="W28" s="588" t="s">
        <v>8318</v>
      </c>
      <c r="X28" s="588">
        <v>6.08E-2</v>
      </c>
      <c r="Y28" s="589" t="s">
        <v>8893</v>
      </c>
      <c r="Z28" s="588" t="s">
        <v>8268</v>
      </c>
      <c r="AA28" s="588">
        <v>2.782</v>
      </c>
    </row>
    <row r="29" spans="13:27">
      <c r="M29" s="590" t="s">
        <v>8336</v>
      </c>
      <c r="N29" s="588" t="s">
        <v>8268</v>
      </c>
      <c r="O29" s="588">
        <v>3.04E-2</v>
      </c>
      <c r="P29" s="590"/>
      <c r="Q29" s="588"/>
      <c r="R29" s="588"/>
      <c r="S29" s="590" t="s">
        <v>8406</v>
      </c>
      <c r="T29" s="588" t="s">
        <v>8268</v>
      </c>
      <c r="U29" s="666">
        <v>3.4984500000000002E-2</v>
      </c>
      <c r="V29" s="590" t="s">
        <v>8477</v>
      </c>
      <c r="W29" s="588" t="s">
        <v>8318</v>
      </c>
      <c r="X29" s="588">
        <v>6.08E-2</v>
      </c>
      <c r="Y29" s="589" t="s">
        <v>8894</v>
      </c>
      <c r="Z29" s="588" t="s">
        <v>8268</v>
      </c>
      <c r="AA29" s="588">
        <v>2.782</v>
      </c>
    </row>
    <row r="30" spans="13:27">
      <c r="M30" s="590" t="s">
        <v>8337</v>
      </c>
      <c r="N30" s="588" t="s">
        <v>8268</v>
      </c>
      <c r="O30" s="588">
        <v>3.04E-2</v>
      </c>
      <c r="P30" s="590"/>
      <c r="Q30" s="588"/>
      <c r="R30" s="588"/>
      <c r="S30" s="590" t="s">
        <v>8407</v>
      </c>
      <c r="T30" s="588" t="s">
        <v>8268</v>
      </c>
      <c r="U30" s="666">
        <v>3.4984500000000002E-2</v>
      </c>
      <c r="V30" s="590" t="s">
        <v>8478</v>
      </c>
      <c r="W30" s="588" t="s">
        <v>8318</v>
      </c>
      <c r="X30" s="588">
        <v>6.08E-2</v>
      </c>
      <c r="Y30" s="589" t="s">
        <v>8895</v>
      </c>
      <c r="Z30" s="588" t="s">
        <v>8268</v>
      </c>
      <c r="AA30" s="588">
        <v>2.782</v>
      </c>
    </row>
    <row r="31" spans="13:27">
      <c r="M31" s="590" t="s">
        <v>8338</v>
      </c>
      <c r="N31" s="588" t="s">
        <v>8268</v>
      </c>
      <c r="O31" s="588">
        <v>3.04E-2</v>
      </c>
      <c r="P31" s="590"/>
      <c r="Q31" s="588"/>
      <c r="R31" s="588"/>
      <c r="S31" s="590" t="s">
        <v>8408</v>
      </c>
      <c r="T31" s="588" t="s">
        <v>8268</v>
      </c>
      <c r="U31" s="666">
        <v>3.4984500000000002E-2</v>
      </c>
      <c r="V31" s="590" t="s">
        <v>8479</v>
      </c>
      <c r="W31" s="588" t="s">
        <v>8318</v>
      </c>
      <c r="X31" s="588">
        <v>6.08E-2</v>
      </c>
      <c r="Y31" s="589" t="s">
        <v>8896</v>
      </c>
      <c r="Z31" s="588" t="s">
        <v>8268</v>
      </c>
      <c r="AA31" s="588">
        <v>2.782</v>
      </c>
    </row>
    <row r="32" spans="13:27">
      <c r="M32" s="590" t="s">
        <v>8339</v>
      </c>
      <c r="N32" s="588" t="s">
        <v>8268</v>
      </c>
      <c r="O32" s="588">
        <v>4.2799999999999998E-2</v>
      </c>
      <c r="P32" s="590"/>
      <c r="Q32" s="588"/>
      <c r="R32" s="588"/>
      <c r="S32" s="590" t="s">
        <v>8409</v>
      </c>
      <c r="T32" s="588" t="s">
        <v>8268</v>
      </c>
      <c r="U32" s="666">
        <v>3.4984500000000002E-2</v>
      </c>
      <c r="V32" s="590" t="s">
        <v>8480</v>
      </c>
      <c r="W32" s="588" t="s">
        <v>8318</v>
      </c>
      <c r="X32" s="588">
        <v>6.08E-2</v>
      </c>
      <c r="Y32" s="589" t="s">
        <v>8897</v>
      </c>
      <c r="Z32" s="588" t="s">
        <v>8268</v>
      </c>
      <c r="AA32" s="588">
        <v>2.782</v>
      </c>
    </row>
    <row r="33" spans="13:27">
      <c r="M33" s="590" t="s">
        <v>8340</v>
      </c>
      <c r="N33" s="588" t="s">
        <v>8268</v>
      </c>
      <c r="O33" s="588">
        <v>4.5749999999999999E-2</v>
      </c>
      <c r="P33" s="590"/>
      <c r="Q33" s="588"/>
      <c r="R33" s="588"/>
      <c r="S33" s="590" t="s">
        <v>8960</v>
      </c>
      <c r="T33" s="588" t="s">
        <v>8268</v>
      </c>
      <c r="U33" s="666">
        <v>3.4984500000000002E-2</v>
      </c>
      <c r="V33" s="590" t="s">
        <v>8481</v>
      </c>
      <c r="W33" s="588" t="s">
        <v>8318</v>
      </c>
      <c r="X33" s="588">
        <v>6.08E-2</v>
      </c>
      <c r="Y33" s="589" t="s">
        <v>8898</v>
      </c>
      <c r="Z33" s="588" t="s">
        <v>8268</v>
      </c>
      <c r="AA33" s="588">
        <v>2.782</v>
      </c>
    </row>
    <row r="34" spans="13:27">
      <c r="M34" s="590" t="s">
        <v>8341</v>
      </c>
      <c r="N34" s="588" t="s">
        <v>8268</v>
      </c>
      <c r="O34" s="588">
        <v>4.8800000000000003E-2</v>
      </c>
      <c r="P34" s="590"/>
      <c r="Q34" s="588"/>
      <c r="R34" s="588"/>
      <c r="S34" s="590" t="s">
        <v>8410</v>
      </c>
      <c r="T34" s="588" t="s">
        <v>8268</v>
      </c>
      <c r="U34" s="666">
        <v>3.4984500000000002E-2</v>
      </c>
      <c r="V34" s="590" t="s">
        <v>8482</v>
      </c>
      <c r="W34" s="588" t="s">
        <v>8318</v>
      </c>
      <c r="X34" s="588">
        <v>9.6000000000000002E-2</v>
      </c>
      <c r="Y34" s="639"/>
      <c r="Z34" s="640"/>
      <c r="AA34" s="640"/>
    </row>
    <row r="35" spans="13:27">
      <c r="M35" s="590" t="s">
        <v>8342</v>
      </c>
      <c r="N35" s="588" t="s">
        <v>8268</v>
      </c>
      <c r="O35" s="588">
        <v>3.04E-2</v>
      </c>
      <c r="P35" s="590"/>
      <c r="Q35" s="588"/>
      <c r="R35" s="588"/>
      <c r="S35" s="590" t="s">
        <v>8411</v>
      </c>
      <c r="T35" s="588" t="s">
        <v>8268</v>
      </c>
      <c r="U35" s="666">
        <v>3.4984500000000002E-2</v>
      </c>
      <c r="V35" s="590" t="s">
        <v>8483</v>
      </c>
      <c r="W35" s="588" t="s">
        <v>8318</v>
      </c>
      <c r="X35" s="588">
        <v>6.08E-2</v>
      </c>
    </row>
    <row r="36" spans="13:27">
      <c r="M36" s="590" t="s">
        <v>8343</v>
      </c>
      <c r="N36" s="588" t="s">
        <v>8268</v>
      </c>
      <c r="O36" s="588">
        <v>3.04E-2</v>
      </c>
      <c r="P36" s="590"/>
      <c r="Q36" s="588"/>
      <c r="R36" s="588"/>
      <c r="S36" s="590" t="s">
        <v>8412</v>
      </c>
      <c r="T36" s="588" t="s">
        <v>8268</v>
      </c>
      <c r="U36" s="588">
        <v>3.4984500000000002E-2</v>
      </c>
      <c r="V36" s="590" t="s">
        <v>8484</v>
      </c>
      <c r="W36" s="588" t="s">
        <v>8318</v>
      </c>
      <c r="X36" s="588">
        <v>6.08E-2</v>
      </c>
    </row>
    <row r="37" spans="13:27">
      <c r="M37" s="590" t="s">
        <v>8344</v>
      </c>
      <c r="N37" s="588" t="s">
        <v>8268</v>
      </c>
      <c r="O37" s="588">
        <v>3.04E-2</v>
      </c>
      <c r="P37" s="590"/>
      <c r="Q37" s="588"/>
      <c r="R37" s="588"/>
      <c r="S37" s="590" t="s">
        <v>8413</v>
      </c>
      <c r="T37" s="588" t="s">
        <v>8268</v>
      </c>
      <c r="U37" s="588">
        <v>3.4984500000000002E-2</v>
      </c>
      <c r="V37" s="590" t="s">
        <v>8485</v>
      </c>
      <c r="W37" s="588" t="s">
        <v>8318</v>
      </c>
      <c r="X37" s="588">
        <v>6.08E-2</v>
      </c>
    </row>
    <row r="38" spans="13:27">
      <c r="M38" s="590" t="s">
        <v>8345</v>
      </c>
      <c r="N38" s="588" t="s">
        <v>8268</v>
      </c>
      <c r="O38" s="588">
        <v>3.04E-2</v>
      </c>
      <c r="P38" s="590"/>
      <c r="Q38" s="588"/>
      <c r="R38" s="588"/>
      <c r="S38" s="590" t="s">
        <v>8414</v>
      </c>
      <c r="T38" s="588" t="s">
        <v>8268</v>
      </c>
      <c r="U38" s="588">
        <v>3.4984500000000002E-2</v>
      </c>
      <c r="V38" s="590" t="s">
        <v>8486</v>
      </c>
      <c r="W38" s="588" t="s">
        <v>8318</v>
      </c>
      <c r="X38" s="588">
        <v>6.08E-2</v>
      </c>
    </row>
    <row r="39" spans="13:27">
      <c r="M39" s="590" t="s">
        <v>8346</v>
      </c>
      <c r="N39" s="588" t="s">
        <v>8268</v>
      </c>
      <c r="O39" s="588">
        <v>0.20219999999999999</v>
      </c>
      <c r="P39" s="590"/>
      <c r="Q39" s="588"/>
      <c r="R39" s="588"/>
      <c r="S39" s="590" t="s">
        <v>8415</v>
      </c>
      <c r="T39" s="588" t="s">
        <v>8268</v>
      </c>
      <c r="U39" s="588">
        <v>3.4984500000000002E-2</v>
      </c>
      <c r="V39" s="590" t="s">
        <v>8487</v>
      </c>
      <c r="W39" s="588" t="s">
        <v>8318</v>
      </c>
      <c r="X39" s="588">
        <v>6.08E-2</v>
      </c>
    </row>
    <row r="40" spans="13:27">
      <c r="M40" s="590" t="s">
        <v>8347</v>
      </c>
      <c r="N40" s="588" t="s">
        <v>8268</v>
      </c>
      <c r="O40" s="588">
        <v>2.4400000000000002E-2</v>
      </c>
      <c r="P40" s="590"/>
      <c r="Q40" s="588"/>
      <c r="R40" s="588"/>
      <c r="S40" s="590" t="s">
        <v>8416</v>
      </c>
      <c r="T40" s="588" t="s">
        <v>8268</v>
      </c>
      <c r="U40" s="588">
        <v>3.4984500000000002E-2</v>
      </c>
      <c r="V40" s="590" t="s">
        <v>8488</v>
      </c>
      <c r="W40" s="588" t="s">
        <v>8318</v>
      </c>
      <c r="X40" s="588">
        <v>6.08E-2</v>
      </c>
    </row>
    <row r="41" spans="13:27">
      <c r="M41" s="590" t="s">
        <v>8348</v>
      </c>
      <c r="N41" s="588" t="s">
        <v>8268</v>
      </c>
      <c r="O41" s="588">
        <v>2.4400000000000002E-2</v>
      </c>
      <c r="P41" s="590"/>
      <c r="Q41" s="588"/>
      <c r="R41" s="588"/>
      <c r="S41" s="590" t="s">
        <v>8417</v>
      </c>
      <c r="T41" s="588" t="s">
        <v>8268</v>
      </c>
      <c r="U41" s="588">
        <v>3.4984500000000002E-2</v>
      </c>
      <c r="V41" s="590" t="s">
        <v>8489</v>
      </c>
      <c r="W41" s="588" t="s">
        <v>8318</v>
      </c>
      <c r="X41" s="588">
        <v>6.08E-2</v>
      </c>
    </row>
    <row r="42" spans="13:27">
      <c r="M42" s="590" t="s">
        <v>8349</v>
      </c>
      <c r="N42" s="588" t="s">
        <v>8268</v>
      </c>
      <c r="O42" s="588">
        <v>2.4400000000000002E-2</v>
      </c>
      <c r="P42" s="590"/>
      <c r="Q42" s="588"/>
      <c r="R42" s="588"/>
      <c r="S42" s="590" t="s">
        <v>8418</v>
      </c>
      <c r="T42" s="588" t="s">
        <v>8268</v>
      </c>
      <c r="U42" s="588">
        <v>3.4984500000000002E-2</v>
      </c>
      <c r="V42" s="590" t="s">
        <v>8490</v>
      </c>
      <c r="W42" s="588" t="s">
        <v>8318</v>
      </c>
      <c r="X42" s="588">
        <v>6.08E-2</v>
      </c>
    </row>
    <row r="43" spans="13:27">
      <c r="M43" s="590" t="s">
        <v>8350</v>
      </c>
      <c r="N43" s="588" t="s">
        <v>8268</v>
      </c>
      <c r="O43" s="588">
        <v>2.4400000000000002E-2</v>
      </c>
      <c r="P43" s="590"/>
      <c r="Q43" s="588"/>
      <c r="R43" s="588"/>
      <c r="S43" s="590" t="s">
        <v>8419</v>
      </c>
      <c r="T43" s="588" t="s">
        <v>8268</v>
      </c>
      <c r="U43" s="588">
        <v>3.4984500000000002E-2</v>
      </c>
      <c r="V43" s="590" t="s">
        <v>8491</v>
      </c>
      <c r="W43" s="588" t="s">
        <v>8318</v>
      </c>
      <c r="X43" s="588">
        <v>6.08E-2</v>
      </c>
    </row>
    <row r="44" spans="13:27">
      <c r="M44" s="590" t="s">
        <v>8351</v>
      </c>
      <c r="N44" s="588" t="s">
        <v>8268</v>
      </c>
      <c r="O44" s="588">
        <v>2.4400000000000002E-2</v>
      </c>
      <c r="P44" s="590"/>
      <c r="Q44" s="588"/>
      <c r="R44" s="588"/>
      <c r="S44" s="590" t="s">
        <v>8420</v>
      </c>
      <c r="T44" s="588" t="s">
        <v>8268</v>
      </c>
      <c r="U44" s="588">
        <v>3.4984500000000002E-2</v>
      </c>
      <c r="V44" s="589" t="s">
        <v>8493</v>
      </c>
      <c r="W44" s="588" t="s">
        <v>8318</v>
      </c>
      <c r="X44" s="588">
        <v>7.3739999999999997</v>
      </c>
    </row>
    <row r="45" spans="13:27">
      <c r="M45" s="590" t="s">
        <v>8352</v>
      </c>
      <c r="N45" s="588" t="s">
        <v>8268</v>
      </c>
      <c r="O45" s="588">
        <v>7.2</v>
      </c>
      <c r="P45" s="590"/>
      <c r="Q45" s="588"/>
      <c r="R45" s="588"/>
      <c r="S45" s="590" t="s">
        <v>8421</v>
      </c>
      <c r="T45" s="588" t="s">
        <v>8268</v>
      </c>
      <c r="U45" s="588">
        <v>3.4984500000000002E-2</v>
      </c>
      <c r="V45" s="589" t="s">
        <v>8494</v>
      </c>
      <c r="W45" s="588" t="s">
        <v>8318</v>
      </c>
      <c r="X45" s="588">
        <v>7.3739999999999997</v>
      </c>
    </row>
    <row r="46" spans="13:27">
      <c r="M46" s="590" t="s">
        <v>8353</v>
      </c>
      <c r="N46" s="588" t="s">
        <v>8268</v>
      </c>
      <c r="O46" s="588">
        <v>7.2</v>
      </c>
      <c r="P46" s="590"/>
      <c r="Q46" s="588"/>
      <c r="R46" s="588"/>
      <c r="S46" s="590" t="s">
        <v>8422</v>
      </c>
      <c r="T46" s="588" t="s">
        <v>8268</v>
      </c>
      <c r="U46" s="588">
        <v>3.4984500000000002E-2</v>
      </c>
      <c r="V46" s="589" t="s">
        <v>8495</v>
      </c>
      <c r="W46" s="588" t="s">
        <v>8318</v>
      </c>
      <c r="X46" s="588">
        <v>7.3739999999999997</v>
      </c>
    </row>
    <row r="47" spans="13:27">
      <c r="M47" s="590" t="s">
        <v>8354</v>
      </c>
      <c r="N47" s="588" t="s">
        <v>8268</v>
      </c>
      <c r="O47" s="588">
        <v>7.2</v>
      </c>
      <c r="P47" s="590"/>
      <c r="Q47" s="588"/>
      <c r="R47" s="588"/>
      <c r="S47" s="590" t="s">
        <v>8423</v>
      </c>
      <c r="T47" s="588" t="s">
        <v>8268</v>
      </c>
      <c r="U47" s="588">
        <v>3.4984500000000002E-2</v>
      </c>
      <c r="V47" s="589" t="s">
        <v>8496</v>
      </c>
      <c r="W47" s="588" t="s">
        <v>8318</v>
      </c>
      <c r="X47" s="588">
        <v>7.3739999999999997</v>
      </c>
    </row>
    <row r="48" spans="13:27">
      <c r="M48" s="590" t="s">
        <v>8355</v>
      </c>
      <c r="N48" s="588" t="s">
        <v>8268</v>
      </c>
      <c r="O48" s="588">
        <v>7.2</v>
      </c>
      <c r="P48" s="590"/>
      <c r="Q48" s="588"/>
      <c r="R48" s="588"/>
      <c r="S48" s="590" t="s">
        <v>8424</v>
      </c>
      <c r="T48" s="588" t="s">
        <v>8268</v>
      </c>
      <c r="U48" s="588">
        <v>3.4984500000000002E-2</v>
      </c>
      <c r="V48" s="589" t="s">
        <v>8497</v>
      </c>
      <c r="W48" s="588" t="s">
        <v>8318</v>
      </c>
      <c r="X48" s="588">
        <v>7.3739999999999997</v>
      </c>
    </row>
    <row r="49" spans="13:24">
      <c r="M49" s="590" t="s">
        <v>8356</v>
      </c>
      <c r="N49" s="588" t="s">
        <v>8268</v>
      </c>
      <c r="O49" s="588">
        <v>7.2</v>
      </c>
      <c r="P49" s="590"/>
      <c r="Q49" s="588"/>
      <c r="R49" s="588"/>
      <c r="S49" s="589" t="s">
        <v>8492</v>
      </c>
      <c r="T49" s="588" t="s">
        <v>8268</v>
      </c>
      <c r="U49" s="588">
        <v>2.5</v>
      </c>
      <c r="V49" s="589" t="s">
        <v>8498</v>
      </c>
      <c r="W49" s="588" t="s">
        <v>8318</v>
      </c>
      <c r="X49" s="588">
        <v>7.3739999999999997</v>
      </c>
    </row>
    <row r="50" spans="13:24">
      <c r="M50" s="590" t="s">
        <v>8357</v>
      </c>
      <c r="N50" s="588" t="s">
        <v>8268</v>
      </c>
      <c r="O50" s="588">
        <v>7.2</v>
      </c>
      <c r="P50" s="590"/>
      <c r="Q50" s="588"/>
      <c r="R50" s="588"/>
      <c r="S50" s="589" t="s">
        <v>8425</v>
      </c>
      <c r="T50" s="588" t="s">
        <v>8268</v>
      </c>
      <c r="U50" s="588">
        <v>2.5</v>
      </c>
      <c r="V50" s="589" t="s">
        <v>8499</v>
      </c>
      <c r="W50" s="588" t="s">
        <v>8318</v>
      </c>
      <c r="X50" s="588">
        <v>7.3739999999999997</v>
      </c>
    </row>
    <row r="51" spans="13:24">
      <c r="M51" s="590" t="s">
        <v>8358</v>
      </c>
      <c r="N51" s="588" t="s">
        <v>8268</v>
      </c>
      <c r="O51" s="588">
        <v>7.2</v>
      </c>
      <c r="P51" s="590"/>
      <c r="Q51" s="588"/>
      <c r="R51" s="588"/>
      <c r="S51" s="589" t="s">
        <v>8426</v>
      </c>
      <c r="T51" s="588" t="s">
        <v>8268</v>
      </c>
      <c r="U51" s="588">
        <v>2.5</v>
      </c>
      <c r="V51" s="589" t="s">
        <v>8500</v>
      </c>
      <c r="W51" s="588" t="s">
        <v>8318</v>
      </c>
      <c r="X51" s="588">
        <v>7.3739999999999997</v>
      </c>
    </row>
    <row r="52" spans="13:24">
      <c r="M52" s="590" t="s">
        <v>8359</v>
      </c>
      <c r="N52" s="588" t="s">
        <v>8268</v>
      </c>
      <c r="O52" s="588">
        <v>7.2</v>
      </c>
      <c r="P52" s="590"/>
      <c r="Q52" s="588"/>
      <c r="R52" s="588"/>
      <c r="S52" s="589" t="s">
        <v>8427</v>
      </c>
      <c r="T52" s="588" t="s">
        <v>8268</v>
      </c>
      <c r="U52" s="588">
        <v>2.5</v>
      </c>
      <c r="V52" s="589" t="s">
        <v>8501</v>
      </c>
      <c r="W52" s="588" t="s">
        <v>8318</v>
      </c>
      <c r="X52" s="588">
        <v>7.3739999999999997</v>
      </c>
    </row>
    <row r="53" spans="13:24">
      <c r="M53" s="590" t="s">
        <v>8360</v>
      </c>
      <c r="N53" s="588" t="s">
        <v>8268</v>
      </c>
      <c r="O53" s="588">
        <v>7.2</v>
      </c>
      <c r="P53" s="590"/>
      <c r="Q53" s="588"/>
      <c r="R53" s="588"/>
      <c r="S53" s="589" t="s">
        <v>8428</v>
      </c>
      <c r="T53" s="588" t="s">
        <v>8268</v>
      </c>
      <c r="U53" s="588">
        <v>2.5</v>
      </c>
      <c r="V53" s="589" t="s">
        <v>8502</v>
      </c>
      <c r="W53" s="588" t="s">
        <v>8318</v>
      </c>
      <c r="X53" s="588">
        <v>7.3739999999999997</v>
      </c>
    </row>
    <row r="54" spans="13:24">
      <c r="M54" s="590" t="s">
        <v>8361</v>
      </c>
      <c r="N54" s="588" t="s">
        <v>8268</v>
      </c>
      <c r="O54" s="588">
        <v>7.2</v>
      </c>
      <c r="P54" s="590"/>
      <c r="Q54" s="588"/>
      <c r="R54" s="588"/>
      <c r="S54" s="589" t="s">
        <v>8429</v>
      </c>
      <c r="T54" s="588" t="s">
        <v>8268</v>
      </c>
      <c r="U54" s="588">
        <v>2.5</v>
      </c>
      <c r="V54" s="589" t="s">
        <v>8503</v>
      </c>
      <c r="W54" s="588" t="s">
        <v>8318</v>
      </c>
      <c r="X54" s="588">
        <v>7.3739999999999997</v>
      </c>
    </row>
    <row r="55" spans="13:24">
      <c r="M55" s="590" t="s">
        <v>8362</v>
      </c>
      <c r="N55" s="588" t="s">
        <v>8268</v>
      </c>
      <c r="O55" s="588">
        <v>8</v>
      </c>
      <c r="P55" s="590"/>
      <c r="Q55" s="588"/>
      <c r="R55" s="588"/>
      <c r="S55" s="589" t="s">
        <v>8430</v>
      </c>
      <c r="T55" s="588" t="s">
        <v>8268</v>
      </c>
      <c r="U55" s="588">
        <v>2.5</v>
      </c>
      <c r="V55" s="589" t="s">
        <v>8504</v>
      </c>
      <c r="W55" s="588" t="s">
        <v>8318</v>
      </c>
      <c r="X55" s="588">
        <v>7.3739999999999997</v>
      </c>
    </row>
    <row r="56" spans="13:24">
      <c r="M56" s="590" t="s">
        <v>8363</v>
      </c>
      <c r="N56" s="588" t="s">
        <v>8268</v>
      </c>
      <c r="O56" s="588">
        <v>8</v>
      </c>
      <c r="P56" s="590"/>
      <c r="Q56" s="588"/>
      <c r="R56" s="588"/>
      <c r="S56" s="589" t="s">
        <v>8431</v>
      </c>
      <c r="T56" s="588" t="s">
        <v>8268</v>
      </c>
      <c r="U56" s="588">
        <v>2.5</v>
      </c>
      <c r="V56" s="589" t="s">
        <v>8505</v>
      </c>
      <c r="W56" s="588" t="s">
        <v>8318</v>
      </c>
      <c r="X56" s="588">
        <v>7.3739999999999997</v>
      </c>
    </row>
    <row r="57" spans="13:24">
      <c r="M57" s="590" t="s">
        <v>8364</v>
      </c>
      <c r="N57" s="588" t="s">
        <v>8268</v>
      </c>
      <c r="O57" s="588">
        <v>8</v>
      </c>
      <c r="P57" s="590"/>
      <c r="Q57" s="588"/>
      <c r="R57" s="588"/>
      <c r="S57" s="589" t="s">
        <v>8432</v>
      </c>
      <c r="T57" s="588" t="s">
        <v>8268</v>
      </c>
      <c r="U57" s="588">
        <v>2.5</v>
      </c>
      <c r="V57" s="589" t="s">
        <v>8506</v>
      </c>
      <c r="W57" s="588" t="s">
        <v>8318</v>
      </c>
      <c r="X57" s="588">
        <v>7.3739999999999997</v>
      </c>
    </row>
    <row r="58" spans="13:24">
      <c r="M58" s="590" t="s">
        <v>8365</v>
      </c>
      <c r="N58" s="588" t="s">
        <v>8268</v>
      </c>
      <c r="O58" s="588">
        <v>8</v>
      </c>
      <c r="P58" s="590"/>
      <c r="Q58" s="588"/>
      <c r="R58" s="588"/>
      <c r="S58" s="589" t="s">
        <v>8433</v>
      </c>
      <c r="T58" s="588" t="s">
        <v>8268</v>
      </c>
      <c r="U58" s="588">
        <v>2.5</v>
      </c>
      <c r="V58" s="589" t="s">
        <v>8507</v>
      </c>
      <c r="W58" s="588" t="s">
        <v>8318</v>
      </c>
      <c r="X58" s="588">
        <v>7.3739999999999997</v>
      </c>
    </row>
    <row r="59" spans="13:24">
      <c r="M59" s="590" t="s">
        <v>8366</v>
      </c>
      <c r="N59" s="588" t="s">
        <v>8268</v>
      </c>
      <c r="O59" s="588">
        <v>8</v>
      </c>
      <c r="P59" s="590"/>
      <c r="Q59" s="588"/>
      <c r="R59" s="588"/>
      <c r="S59" s="589" t="s">
        <v>8434</v>
      </c>
      <c r="T59" s="588" t="s">
        <v>8268</v>
      </c>
      <c r="U59" s="588">
        <v>2.5</v>
      </c>
      <c r="V59" s="589" t="s">
        <v>8508</v>
      </c>
      <c r="W59" s="588" t="s">
        <v>8318</v>
      </c>
      <c r="X59" s="588">
        <v>7.3739999999999997</v>
      </c>
    </row>
    <row r="60" spans="13:24">
      <c r="M60" s="590" t="s">
        <v>8367</v>
      </c>
      <c r="N60" s="588" t="s">
        <v>8268</v>
      </c>
      <c r="O60" s="588">
        <v>8</v>
      </c>
      <c r="P60" s="590"/>
      <c r="Q60" s="588"/>
      <c r="R60" s="588"/>
      <c r="S60" s="589" t="s">
        <v>8435</v>
      </c>
      <c r="T60" s="588" t="s">
        <v>8268</v>
      </c>
      <c r="U60" s="588">
        <v>2.5</v>
      </c>
      <c r="V60" s="589" t="s">
        <v>8509</v>
      </c>
      <c r="W60" s="588" t="s">
        <v>8318</v>
      </c>
      <c r="X60" s="588">
        <v>7.3739999999999997</v>
      </c>
    </row>
    <row r="61" spans="13:24">
      <c r="M61" s="590" t="s">
        <v>8368</v>
      </c>
      <c r="N61" s="588" t="s">
        <v>8268</v>
      </c>
      <c r="O61" s="588">
        <v>8</v>
      </c>
      <c r="P61" s="590"/>
      <c r="Q61" s="588"/>
      <c r="R61" s="588"/>
      <c r="S61" s="589" t="s">
        <v>8436</v>
      </c>
      <c r="T61" s="588" t="s">
        <v>8268</v>
      </c>
      <c r="U61" s="588">
        <v>2.5</v>
      </c>
      <c r="V61" s="589" t="s">
        <v>8510</v>
      </c>
      <c r="W61" s="588" t="s">
        <v>8318</v>
      </c>
      <c r="X61" s="588">
        <v>7.3739999999999997</v>
      </c>
    </row>
    <row r="62" spans="13:24">
      <c r="M62" s="590" t="s">
        <v>8369</v>
      </c>
      <c r="N62" s="588" t="s">
        <v>8268</v>
      </c>
      <c r="O62" s="588">
        <v>8</v>
      </c>
      <c r="P62" s="590"/>
      <c r="Q62" s="588"/>
      <c r="R62" s="588"/>
      <c r="S62" s="589" t="s">
        <v>8437</v>
      </c>
      <c r="T62" s="588" t="s">
        <v>8268</v>
      </c>
      <c r="U62" s="588">
        <v>2.5</v>
      </c>
      <c r="V62" s="589" t="s">
        <v>8511</v>
      </c>
      <c r="W62" s="588" t="s">
        <v>8318</v>
      </c>
      <c r="X62" s="588">
        <v>7.3739999999999997</v>
      </c>
    </row>
    <row r="63" spans="13:24">
      <c r="M63" s="590" t="s">
        <v>8370</v>
      </c>
      <c r="N63" s="588" t="s">
        <v>8268</v>
      </c>
      <c r="O63" s="588">
        <v>8</v>
      </c>
      <c r="P63" s="590"/>
      <c r="Q63" s="588"/>
      <c r="R63" s="588"/>
      <c r="S63" s="589" t="s">
        <v>8438</v>
      </c>
      <c r="T63" s="588" t="s">
        <v>8268</v>
      </c>
      <c r="U63" s="588">
        <v>2.5</v>
      </c>
      <c r="V63" s="589" t="s">
        <v>8512</v>
      </c>
      <c r="W63" s="588" t="s">
        <v>8318</v>
      </c>
      <c r="X63" s="588">
        <v>7.3739999999999997</v>
      </c>
    </row>
    <row r="64" spans="13:24">
      <c r="M64" s="590" t="s">
        <v>8371</v>
      </c>
      <c r="N64" s="588" t="s">
        <v>8268</v>
      </c>
      <c r="O64" s="588">
        <v>8</v>
      </c>
      <c r="P64" s="590"/>
      <c r="Q64" s="588"/>
      <c r="R64" s="588"/>
      <c r="S64" s="589" t="s">
        <v>8439</v>
      </c>
      <c r="T64" s="588" t="s">
        <v>8268</v>
      </c>
      <c r="U64" s="588">
        <v>2.5</v>
      </c>
      <c r="V64" s="589" t="s">
        <v>8513</v>
      </c>
      <c r="W64" s="588" t="s">
        <v>8318</v>
      </c>
      <c r="X64" s="588">
        <v>6.2720000000000002</v>
      </c>
    </row>
    <row r="65" spans="13:24">
      <c r="M65" s="590" t="s">
        <v>8372</v>
      </c>
      <c r="N65" s="588" t="s">
        <v>8268</v>
      </c>
      <c r="O65" s="588">
        <v>8</v>
      </c>
      <c r="P65" s="590"/>
      <c r="Q65" s="588"/>
      <c r="R65" s="588"/>
      <c r="S65" s="589" t="s">
        <v>8440</v>
      </c>
      <c r="T65" s="588" t="s">
        <v>8268</v>
      </c>
      <c r="U65" s="588">
        <v>2.5</v>
      </c>
      <c r="V65" s="589" t="s">
        <v>8514</v>
      </c>
      <c r="W65" s="588" t="s">
        <v>8318</v>
      </c>
      <c r="X65" s="588">
        <v>6.2720000000000002</v>
      </c>
    </row>
    <row r="66" spans="13:24">
      <c r="M66" s="590" t="s">
        <v>8373</v>
      </c>
      <c r="N66" s="588" t="s">
        <v>8268</v>
      </c>
      <c r="O66" s="588">
        <v>8</v>
      </c>
      <c r="P66" s="590"/>
      <c r="Q66" s="588"/>
      <c r="R66" s="588"/>
      <c r="S66" s="589" t="s">
        <v>8441</v>
      </c>
      <c r="T66" s="588" t="s">
        <v>8268</v>
      </c>
      <c r="U66" s="588">
        <v>2.5</v>
      </c>
      <c r="V66" s="589" t="s">
        <v>8515</v>
      </c>
      <c r="W66" s="588" t="s">
        <v>8318</v>
      </c>
      <c r="X66" s="588">
        <v>6.2720000000000002</v>
      </c>
    </row>
    <row r="67" spans="13:24">
      <c r="M67" s="590" t="s">
        <v>8374</v>
      </c>
      <c r="N67" s="588" t="s">
        <v>8268</v>
      </c>
      <c r="O67" s="588">
        <v>8</v>
      </c>
      <c r="P67" s="590"/>
      <c r="Q67" s="588"/>
      <c r="R67" s="588"/>
      <c r="S67" s="589" t="s">
        <v>8442</v>
      </c>
      <c r="T67" s="588" t="s">
        <v>8268</v>
      </c>
      <c r="U67" s="588">
        <v>2.5</v>
      </c>
      <c r="V67" s="589" t="s">
        <v>8516</v>
      </c>
      <c r="W67" s="588" t="s">
        <v>8318</v>
      </c>
      <c r="X67" s="588">
        <v>6.2720000000000002</v>
      </c>
    </row>
    <row r="68" spans="13:24">
      <c r="M68" s="590" t="s">
        <v>8375</v>
      </c>
      <c r="N68" s="588" t="s">
        <v>8268</v>
      </c>
      <c r="O68" s="588">
        <v>8</v>
      </c>
      <c r="P68" s="590"/>
      <c r="Q68" s="588"/>
      <c r="R68" s="588"/>
      <c r="S68" s="589" t="s">
        <v>8443</v>
      </c>
      <c r="T68" s="588" t="s">
        <v>8268</v>
      </c>
      <c r="U68" s="588">
        <v>2.5</v>
      </c>
      <c r="V68" s="589" t="s">
        <v>8517</v>
      </c>
      <c r="W68" s="588" t="s">
        <v>8318</v>
      </c>
      <c r="X68" s="588">
        <v>6.2720000000000002</v>
      </c>
    </row>
    <row r="69" spans="13:24">
      <c r="M69" s="590" t="s">
        <v>8376</v>
      </c>
      <c r="N69" s="588" t="s">
        <v>8268</v>
      </c>
      <c r="O69" s="588">
        <v>8</v>
      </c>
      <c r="P69" s="590"/>
      <c r="Q69" s="588"/>
      <c r="R69" s="588"/>
      <c r="S69" s="589" t="s">
        <v>8444</v>
      </c>
      <c r="T69" s="588" t="s">
        <v>8268</v>
      </c>
      <c r="U69" s="588">
        <v>2.5</v>
      </c>
      <c r="V69" s="589" t="s">
        <v>8518</v>
      </c>
      <c r="W69" s="588" t="s">
        <v>8318</v>
      </c>
      <c r="X69" s="588">
        <v>6.2720000000000002</v>
      </c>
    </row>
    <row r="70" spans="13:24">
      <c r="M70" s="590" t="s">
        <v>8377</v>
      </c>
      <c r="N70" s="588" t="s">
        <v>8268</v>
      </c>
      <c r="O70" s="588">
        <v>4.5750000000000002</v>
      </c>
      <c r="P70" s="590"/>
      <c r="Q70" s="588"/>
      <c r="R70" s="588"/>
      <c r="S70" s="589" t="s">
        <v>8445</v>
      </c>
      <c r="T70" s="588" t="s">
        <v>8268</v>
      </c>
      <c r="U70" s="588">
        <v>3.4</v>
      </c>
      <c r="V70" s="589" t="s">
        <v>8519</v>
      </c>
      <c r="W70" s="588" t="s">
        <v>8318</v>
      </c>
      <c r="X70" s="588">
        <v>6.2720000000000002</v>
      </c>
    </row>
    <row r="71" spans="13:24">
      <c r="M71" s="590" t="s">
        <v>8378</v>
      </c>
      <c r="N71" s="588" t="s">
        <v>8268</v>
      </c>
      <c r="O71" s="588">
        <v>4.5750000000000002</v>
      </c>
      <c r="P71" s="590"/>
      <c r="Q71" s="588"/>
      <c r="R71" s="588"/>
      <c r="S71" s="589" t="s">
        <v>8446</v>
      </c>
      <c r="T71" s="588" t="s">
        <v>8268</v>
      </c>
      <c r="U71" s="588">
        <v>3.4</v>
      </c>
      <c r="V71" s="589" t="s">
        <v>8520</v>
      </c>
      <c r="W71" s="588" t="s">
        <v>8318</v>
      </c>
      <c r="X71" s="588">
        <v>6.2720000000000002</v>
      </c>
    </row>
    <row r="72" spans="13:24">
      <c r="M72" s="590" t="s">
        <v>8379</v>
      </c>
      <c r="N72" s="588" t="s">
        <v>8268</v>
      </c>
      <c r="O72" s="588">
        <v>4.5750000000000002</v>
      </c>
      <c r="P72" s="590"/>
      <c r="Q72" s="588"/>
      <c r="R72" s="588"/>
      <c r="S72" s="589" t="s">
        <v>8447</v>
      </c>
      <c r="T72" s="588" t="s">
        <v>8268</v>
      </c>
      <c r="U72" s="588">
        <v>3.4</v>
      </c>
      <c r="V72" s="589" t="s">
        <v>8521</v>
      </c>
      <c r="W72" s="588" t="s">
        <v>8318</v>
      </c>
      <c r="X72" s="588">
        <v>6.2720000000000002</v>
      </c>
    </row>
    <row r="73" spans="13:24">
      <c r="M73" s="590" t="s">
        <v>8380</v>
      </c>
      <c r="N73" s="588" t="s">
        <v>8268</v>
      </c>
      <c r="O73" s="588">
        <v>4.5750000000000002</v>
      </c>
      <c r="P73" s="590"/>
      <c r="Q73" s="588"/>
      <c r="R73" s="588"/>
      <c r="S73" s="589" t="s">
        <v>8448</v>
      </c>
      <c r="T73" s="588" t="s">
        <v>8268</v>
      </c>
      <c r="U73" s="588">
        <v>3.4</v>
      </c>
      <c r="V73" s="589" t="s">
        <v>8522</v>
      </c>
      <c r="W73" s="588" t="s">
        <v>8318</v>
      </c>
      <c r="X73" s="588">
        <v>6.2720000000000002</v>
      </c>
    </row>
    <row r="74" spans="13:24">
      <c r="M74" s="590" t="s">
        <v>8381</v>
      </c>
      <c r="N74" s="588" t="s">
        <v>8268</v>
      </c>
      <c r="O74" s="588">
        <v>4.5750000000000002</v>
      </c>
      <c r="P74" s="590"/>
      <c r="Q74" s="588"/>
      <c r="R74" s="588"/>
      <c r="S74" s="589" t="s">
        <v>8449</v>
      </c>
      <c r="T74" s="588" t="s">
        <v>8268</v>
      </c>
      <c r="U74" s="588">
        <v>3.4</v>
      </c>
    </row>
    <row r="75" spans="13:24">
      <c r="M75" s="590" t="s">
        <v>8382</v>
      </c>
      <c r="N75" s="588" t="s">
        <v>8268</v>
      </c>
      <c r="O75" s="588">
        <v>4.5750000000000002</v>
      </c>
      <c r="P75" s="590"/>
      <c r="Q75" s="588"/>
      <c r="R75" s="588"/>
      <c r="S75" s="589" t="s">
        <v>8450</v>
      </c>
      <c r="T75" s="588" t="s">
        <v>8268</v>
      </c>
      <c r="U75" s="588">
        <v>3.4</v>
      </c>
    </row>
    <row r="76" spans="13:24">
      <c r="Q76" s="640"/>
      <c r="R76" s="615"/>
      <c r="S76" s="589" t="s">
        <v>8451</v>
      </c>
      <c r="T76" s="588" t="s">
        <v>8268</v>
      </c>
      <c r="U76" s="588">
        <v>3.4</v>
      </c>
    </row>
    <row r="77" spans="13:24">
      <c r="Q77" s="746"/>
      <c r="R77" s="615"/>
      <c r="S77" s="589" t="s">
        <v>8452</v>
      </c>
      <c r="T77" s="588" t="s">
        <v>8268</v>
      </c>
      <c r="U77" s="588">
        <v>3.4</v>
      </c>
    </row>
    <row r="78" spans="13:24">
      <c r="Q78" s="746"/>
      <c r="R78" s="615"/>
      <c r="S78" s="589" t="s">
        <v>8453</v>
      </c>
      <c r="T78" s="588" t="s">
        <v>8268</v>
      </c>
      <c r="U78" s="588">
        <v>3.4</v>
      </c>
    </row>
    <row r="79" spans="13:24">
      <c r="Q79" s="746"/>
      <c r="R79" s="615"/>
      <c r="S79" s="589" t="s">
        <v>8454</v>
      </c>
      <c r="T79" s="588" t="s">
        <v>8268</v>
      </c>
      <c r="U79" s="588">
        <v>3.4</v>
      </c>
    </row>
    <row r="80" spans="13:24">
      <c r="Q80" s="746"/>
      <c r="R80" s="615"/>
      <c r="S80" s="589" t="s">
        <v>8455</v>
      </c>
      <c r="T80" s="588" t="s">
        <v>8268</v>
      </c>
      <c r="U80" s="588">
        <v>3.4</v>
      </c>
    </row>
    <row r="81" spans="17:21">
      <c r="Q81" s="746"/>
      <c r="R81" s="615"/>
      <c r="S81" s="589" t="s">
        <v>8456</v>
      </c>
      <c r="T81" s="588" t="s">
        <v>8268</v>
      </c>
      <c r="U81" s="588">
        <v>3.4</v>
      </c>
    </row>
    <row r="82" spans="17:21">
      <c r="Q82" s="746"/>
      <c r="R82" s="615"/>
      <c r="S82" s="589" t="s">
        <v>8457</v>
      </c>
      <c r="T82" s="588" t="s">
        <v>8268</v>
      </c>
      <c r="U82" s="588">
        <v>3.4</v>
      </c>
    </row>
    <row r="83" spans="17:21">
      <c r="Q83" s="746"/>
      <c r="R83" s="615"/>
      <c r="S83" s="589" t="s">
        <v>8458</v>
      </c>
      <c r="T83" s="588" t="s">
        <v>8268</v>
      </c>
      <c r="U83" s="588">
        <v>3.4</v>
      </c>
    </row>
    <row r="84" spans="17:21">
      <c r="U84" s="621"/>
    </row>
  </sheetData>
  <dataConsolidate/>
  <mergeCells count="1">
    <mergeCell ref="B3:D3"/>
  </mergeCells>
  <phoneticPr fontId="14" type="noConversion"/>
  <pageMargins left="0.7" right="0.7" top="0.75" bottom="0.75" header="0.3" footer="0.3"/>
  <pageSetup paperSize="9" orientation="portrait" r:id="rId1"/>
  <ignoredErrors>
    <ignoredError sqref="V4:V7" twoDigitTextYear="1"/>
  </ignoredErrors>
</worksheet>
</file>

<file path=xl/worksheets/sheet10.xml><?xml version="1.0" encoding="utf-8"?>
<worksheet xmlns="http://schemas.openxmlformats.org/spreadsheetml/2006/main" xmlns:r="http://schemas.openxmlformats.org/officeDocument/2006/relationships">
  <sheetPr codeName="Sheet72">
    <tabColor rgb="FF92D050"/>
  </sheetPr>
  <dimension ref="A1:S499"/>
  <sheetViews>
    <sheetView showGridLines="0" zoomScale="85" zoomScaleNormal="85" workbookViewId="0">
      <pane xSplit="6" ySplit="4" topLeftCell="M5" activePane="bottomRight" state="frozenSplit"/>
      <selection activeCell="I6" sqref="I6"/>
      <selection pane="topRight" activeCell="I6" sqref="I6"/>
      <selection pane="bottomLeft" activeCell="I6" sqref="I6"/>
      <selection pane="bottomRight" activeCell="P5" sqref="P5"/>
    </sheetView>
  </sheetViews>
  <sheetFormatPr defaultRowHeight="12.75"/>
  <cols>
    <col min="1" max="1" width="16.625" style="527" customWidth="1"/>
    <col min="2" max="2" width="7.125" style="527" customWidth="1"/>
    <col min="3" max="3" width="9" style="29"/>
    <col min="4" max="4" width="16" style="527" customWidth="1"/>
    <col min="5" max="5" width="29.875" style="527" customWidth="1"/>
    <col min="6" max="6" width="20.75" style="528" customWidth="1"/>
    <col min="7" max="7" width="9.75" style="560" customWidth="1"/>
    <col min="8" max="8" width="9.75" style="561" customWidth="1"/>
    <col min="9" max="9" width="9.75" style="560" customWidth="1"/>
    <col min="10" max="10" width="9.75" style="561" customWidth="1"/>
    <col min="11" max="11" width="9.75" style="560" customWidth="1"/>
    <col min="12" max="12" width="9.75" style="561" customWidth="1"/>
    <col min="13" max="13" width="9.75" style="573" customWidth="1"/>
    <col min="14" max="14" width="9.75" style="574" customWidth="1"/>
    <col min="15" max="15" width="1.25" style="514" customWidth="1"/>
    <col min="16" max="19" width="12.625" style="514" customWidth="1"/>
    <col min="20" max="262" width="9" style="514"/>
    <col min="263" max="263" width="12" style="514" customWidth="1"/>
    <col min="264" max="264" width="7.125" style="514" customWidth="1"/>
    <col min="265" max="265" width="9" style="514"/>
    <col min="266" max="266" width="16" style="514" customWidth="1"/>
    <col min="267" max="267" width="13.75" style="514" customWidth="1"/>
    <col min="268" max="269" width="9.75" style="514" customWidth="1"/>
    <col min="270" max="518" width="9" style="514"/>
    <col min="519" max="519" width="12" style="514" customWidth="1"/>
    <col min="520" max="520" width="7.125" style="514" customWidth="1"/>
    <col min="521" max="521" width="9" style="514"/>
    <col min="522" max="522" width="16" style="514" customWidth="1"/>
    <col min="523" max="523" width="13.75" style="514" customWidth="1"/>
    <col min="524" max="525" width="9.75" style="514" customWidth="1"/>
    <col min="526" max="774" width="9" style="514"/>
    <col min="775" max="775" width="12" style="514" customWidth="1"/>
    <col min="776" max="776" width="7.125" style="514" customWidth="1"/>
    <col min="777" max="777" width="9" style="514"/>
    <col min="778" max="778" width="16" style="514" customWidth="1"/>
    <col min="779" max="779" width="13.75" style="514" customWidth="1"/>
    <col min="780" max="781" width="9.75" style="514" customWidth="1"/>
    <col min="782" max="1030" width="9" style="514"/>
    <col min="1031" max="1031" width="12" style="514" customWidth="1"/>
    <col min="1032" max="1032" width="7.125" style="514" customWidth="1"/>
    <col min="1033" max="1033" width="9" style="514"/>
    <col min="1034" max="1034" width="16" style="514" customWidth="1"/>
    <col min="1035" max="1035" width="13.75" style="514" customWidth="1"/>
    <col min="1036" max="1037" width="9.75" style="514" customWidth="1"/>
    <col min="1038" max="1286" width="9" style="514"/>
    <col min="1287" max="1287" width="12" style="514" customWidth="1"/>
    <col min="1288" max="1288" width="7.125" style="514" customWidth="1"/>
    <col min="1289" max="1289" width="9" style="514"/>
    <col min="1290" max="1290" width="16" style="514" customWidth="1"/>
    <col min="1291" max="1291" width="13.75" style="514" customWidth="1"/>
    <col min="1292" max="1293" width="9.75" style="514" customWidth="1"/>
    <col min="1294" max="1542" width="9" style="514"/>
    <col min="1543" max="1543" width="12" style="514" customWidth="1"/>
    <col min="1544" max="1544" width="7.125" style="514" customWidth="1"/>
    <col min="1545" max="1545" width="9" style="514"/>
    <col min="1546" max="1546" width="16" style="514" customWidth="1"/>
    <col min="1547" max="1547" width="13.75" style="514" customWidth="1"/>
    <col min="1548" max="1549" width="9.75" style="514" customWidth="1"/>
    <col min="1550" max="1798" width="9" style="514"/>
    <col min="1799" max="1799" width="12" style="514" customWidth="1"/>
    <col min="1800" max="1800" width="7.125" style="514" customWidth="1"/>
    <col min="1801" max="1801" width="9" style="514"/>
    <col min="1802" max="1802" width="16" style="514" customWidth="1"/>
    <col min="1803" max="1803" width="13.75" style="514" customWidth="1"/>
    <col min="1804" max="1805" width="9.75" style="514" customWidth="1"/>
    <col min="1806" max="2054" width="9" style="514"/>
    <col min="2055" max="2055" width="12" style="514" customWidth="1"/>
    <col min="2056" max="2056" width="7.125" style="514" customWidth="1"/>
    <col min="2057" max="2057" width="9" style="514"/>
    <col min="2058" max="2058" width="16" style="514" customWidth="1"/>
    <col min="2059" max="2059" width="13.75" style="514" customWidth="1"/>
    <col min="2060" max="2061" width="9.75" style="514" customWidth="1"/>
    <col min="2062" max="2310" width="9" style="514"/>
    <col min="2311" max="2311" width="12" style="514" customWidth="1"/>
    <col min="2312" max="2312" width="7.125" style="514" customWidth="1"/>
    <col min="2313" max="2313" width="9" style="514"/>
    <col min="2314" max="2314" width="16" style="514" customWidth="1"/>
    <col min="2315" max="2315" width="13.75" style="514" customWidth="1"/>
    <col min="2316" max="2317" width="9.75" style="514" customWidth="1"/>
    <col min="2318" max="2566" width="9" style="514"/>
    <col min="2567" max="2567" width="12" style="514" customWidth="1"/>
    <col min="2568" max="2568" width="7.125" style="514" customWidth="1"/>
    <col min="2569" max="2569" width="9" style="514"/>
    <col min="2570" max="2570" width="16" style="514" customWidth="1"/>
    <col min="2571" max="2571" width="13.75" style="514" customWidth="1"/>
    <col min="2572" max="2573" width="9.75" style="514" customWidth="1"/>
    <col min="2574" max="2822" width="9" style="514"/>
    <col min="2823" max="2823" width="12" style="514" customWidth="1"/>
    <col min="2824" max="2824" width="7.125" style="514" customWidth="1"/>
    <col min="2825" max="2825" width="9" style="514"/>
    <col min="2826" max="2826" width="16" style="514" customWidth="1"/>
    <col min="2827" max="2827" width="13.75" style="514" customWidth="1"/>
    <col min="2828" max="2829" width="9.75" style="514" customWidth="1"/>
    <col min="2830" max="3078" width="9" style="514"/>
    <col min="3079" max="3079" width="12" style="514" customWidth="1"/>
    <col min="3080" max="3080" width="7.125" style="514" customWidth="1"/>
    <col min="3081" max="3081" width="9" style="514"/>
    <col min="3082" max="3082" width="16" style="514" customWidth="1"/>
    <col min="3083" max="3083" width="13.75" style="514" customWidth="1"/>
    <col min="3084" max="3085" width="9.75" style="514" customWidth="1"/>
    <col min="3086" max="3334" width="9" style="514"/>
    <col min="3335" max="3335" width="12" style="514" customWidth="1"/>
    <col min="3336" max="3336" width="7.125" style="514" customWidth="1"/>
    <col min="3337" max="3337" width="9" style="514"/>
    <col min="3338" max="3338" width="16" style="514" customWidth="1"/>
    <col min="3339" max="3339" width="13.75" style="514" customWidth="1"/>
    <col min="3340" max="3341" width="9.75" style="514" customWidth="1"/>
    <col min="3342" max="3590" width="9" style="514"/>
    <col min="3591" max="3591" width="12" style="514" customWidth="1"/>
    <col min="3592" max="3592" width="7.125" style="514" customWidth="1"/>
    <col min="3593" max="3593" width="9" style="514"/>
    <col min="3594" max="3594" width="16" style="514" customWidth="1"/>
    <col min="3595" max="3595" width="13.75" style="514" customWidth="1"/>
    <col min="3596" max="3597" width="9.75" style="514" customWidth="1"/>
    <col min="3598" max="3846" width="9" style="514"/>
    <col min="3847" max="3847" width="12" style="514" customWidth="1"/>
    <col min="3848" max="3848" width="7.125" style="514" customWidth="1"/>
    <col min="3849" max="3849" width="9" style="514"/>
    <col min="3850" max="3850" width="16" style="514" customWidth="1"/>
    <col min="3851" max="3851" width="13.75" style="514" customWidth="1"/>
    <col min="3852" max="3853" width="9.75" style="514" customWidth="1"/>
    <col min="3854" max="4102" width="9" style="514"/>
    <col min="4103" max="4103" width="12" style="514" customWidth="1"/>
    <col min="4104" max="4104" width="7.125" style="514" customWidth="1"/>
    <col min="4105" max="4105" width="9" style="514"/>
    <col min="4106" max="4106" width="16" style="514" customWidth="1"/>
    <col min="4107" max="4107" width="13.75" style="514" customWidth="1"/>
    <col min="4108" max="4109" width="9.75" style="514" customWidth="1"/>
    <col min="4110" max="4358" width="9" style="514"/>
    <col min="4359" max="4359" width="12" style="514" customWidth="1"/>
    <col min="4360" max="4360" width="7.125" style="514" customWidth="1"/>
    <col min="4361" max="4361" width="9" style="514"/>
    <col min="4362" max="4362" width="16" style="514" customWidth="1"/>
    <col min="4363" max="4363" width="13.75" style="514" customWidth="1"/>
    <col min="4364" max="4365" width="9.75" style="514" customWidth="1"/>
    <col min="4366" max="4614" width="9" style="514"/>
    <col min="4615" max="4615" width="12" style="514" customWidth="1"/>
    <col min="4616" max="4616" width="7.125" style="514" customWidth="1"/>
    <col min="4617" max="4617" width="9" style="514"/>
    <col min="4618" max="4618" width="16" style="514" customWidth="1"/>
    <col min="4619" max="4619" width="13.75" style="514" customWidth="1"/>
    <col min="4620" max="4621" width="9.75" style="514" customWidth="1"/>
    <col min="4622" max="4870" width="9" style="514"/>
    <col min="4871" max="4871" width="12" style="514" customWidth="1"/>
    <col min="4872" max="4872" width="7.125" style="514" customWidth="1"/>
    <col min="4873" max="4873" width="9" style="514"/>
    <col min="4874" max="4874" width="16" style="514" customWidth="1"/>
    <col min="4875" max="4875" width="13.75" style="514" customWidth="1"/>
    <col min="4876" max="4877" width="9.75" style="514" customWidth="1"/>
    <col min="4878" max="5126" width="9" style="514"/>
    <col min="5127" max="5127" width="12" style="514" customWidth="1"/>
    <col min="5128" max="5128" width="7.125" style="514" customWidth="1"/>
    <col min="5129" max="5129" width="9" style="514"/>
    <col min="5130" max="5130" width="16" style="514" customWidth="1"/>
    <col min="5131" max="5131" width="13.75" style="514" customWidth="1"/>
    <col min="5132" max="5133" width="9.75" style="514" customWidth="1"/>
    <col min="5134" max="5382" width="9" style="514"/>
    <col min="5383" max="5383" width="12" style="514" customWidth="1"/>
    <col min="5384" max="5384" width="7.125" style="514" customWidth="1"/>
    <col min="5385" max="5385" width="9" style="514"/>
    <col min="5386" max="5386" width="16" style="514" customWidth="1"/>
    <col min="5387" max="5387" width="13.75" style="514" customWidth="1"/>
    <col min="5388" max="5389" width="9.75" style="514" customWidth="1"/>
    <col min="5390" max="5638" width="9" style="514"/>
    <col min="5639" max="5639" width="12" style="514" customWidth="1"/>
    <col min="5640" max="5640" width="7.125" style="514" customWidth="1"/>
    <col min="5641" max="5641" width="9" style="514"/>
    <col min="5642" max="5642" width="16" style="514" customWidth="1"/>
    <col min="5643" max="5643" width="13.75" style="514" customWidth="1"/>
    <col min="5644" max="5645" width="9.75" style="514" customWidth="1"/>
    <col min="5646" max="5894" width="9" style="514"/>
    <col min="5895" max="5895" width="12" style="514" customWidth="1"/>
    <col min="5896" max="5896" width="7.125" style="514" customWidth="1"/>
    <col min="5897" max="5897" width="9" style="514"/>
    <col min="5898" max="5898" width="16" style="514" customWidth="1"/>
    <col min="5899" max="5899" width="13.75" style="514" customWidth="1"/>
    <col min="5900" max="5901" width="9.75" style="514" customWidth="1"/>
    <col min="5902" max="6150" width="9" style="514"/>
    <col min="6151" max="6151" width="12" style="514" customWidth="1"/>
    <col min="6152" max="6152" width="7.125" style="514" customWidth="1"/>
    <col min="6153" max="6153" width="9" style="514"/>
    <col min="6154" max="6154" width="16" style="514" customWidth="1"/>
    <col min="6155" max="6155" width="13.75" style="514" customWidth="1"/>
    <col min="6156" max="6157" width="9.75" style="514" customWidth="1"/>
    <col min="6158" max="6406" width="9" style="514"/>
    <col min="6407" max="6407" width="12" style="514" customWidth="1"/>
    <col min="6408" max="6408" width="7.125" style="514" customWidth="1"/>
    <col min="6409" max="6409" width="9" style="514"/>
    <col min="6410" max="6410" width="16" style="514" customWidth="1"/>
    <col min="6411" max="6411" width="13.75" style="514" customWidth="1"/>
    <col min="6412" max="6413" width="9.75" style="514" customWidth="1"/>
    <col min="6414" max="6662" width="9" style="514"/>
    <col min="6663" max="6663" width="12" style="514" customWidth="1"/>
    <col min="6664" max="6664" width="7.125" style="514" customWidth="1"/>
    <col min="6665" max="6665" width="9" style="514"/>
    <col min="6666" max="6666" width="16" style="514" customWidth="1"/>
    <col min="6667" max="6667" width="13.75" style="514" customWidth="1"/>
    <col min="6668" max="6669" width="9.75" style="514" customWidth="1"/>
    <col min="6670" max="6918" width="9" style="514"/>
    <col min="6919" max="6919" width="12" style="514" customWidth="1"/>
    <col min="6920" max="6920" width="7.125" style="514" customWidth="1"/>
    <col min="6921" max="6921" width="9" style="514"/>
    <col min="6922" max="6922" width="16" style="514" customWidth="1"/>
    <col min="6923" max="6923" width="13.75" style="514" customWidth="1"/>
    <col min="6924" max="6925" width="9.75" style="514" customWidth="1"/>
    <col min="6926" max="7174" width="9" style="514"/>
    <col min="7175" max="7175" width="12" style="514" customWidth="1"/>
    <col min="7176" max="7176" width="7.125" style="514" customWidth="1"/>
    <col min="7177" max="7177" width="9" style="514"/>
    <col min="7178" max="7178" width="16" style="514" customWidth="1"/>
    <col min="7179" max="7179" width="13.75" style="514" customWidth="1"/>
    <col min="7180" max="7181" width="9.75" style="514" customWidth="1"/>
    <col min="7182" max="7430" width="9" style="514"/>
    <col min="7431" max="7431" width="12" style="514" customWidth="1"/>
    <col min="7432" max="7432" width="7.125" style="514" customWidth="1"/>
    <col min="7433" max="7433" width="9" style="514"/>
    <col min="7434" max="7434" width="16" style="514" customWidth="1"/>
    <col min="7435" max="7435" width="13.75" style="514" customWidth="1"/>
    <col min="7436" max="7437" width="9.75" style="514" customWidth="1"/>
    <col min="7438" max="7686" width="9" style="514"/>
    <col min="7687" max="7687" width="12" style="514" customWidth="1"/>
    <col min="7688" max="7688" width="7.125" style="514" customWidth="1"/>
    <col min="7689" max="7689" width="9" style="514"/>
    <col min="7690" max="7690" width="16" style="514" customWidth="1"/>
    <col min="7691" max="7691" width="13.75" style="514" customWidth="1"/>
    <col min="7692" max="7693" width="9.75" style="514" customWidth="1"/>
    <col min="7694" max="7942" width="9" style="514"/>
    <col min="7943" max="7943" width="12" style="514" customWidth="1"/>
    <col min="7944" max="7944" width="7.125" style="514" customWidth="1"/>
    <col min="7945" max="7945" width="9" style="514"/>
    <col min="7946" max="7946" width="16" style="514" customWidth="1"/>
    <col min="7947" max="7947" width="13.75" style="514" customWidth="1"/>
    <col min="7948" max="7949" width="9.75" style="514" customWidth="1"/>
    <col min="7950" max="8198" width="9" style="514"/>
    <col min="8199" max="8199" width="12" style="514" customWidth="1"/>
    <col min="8200" max="8200" width="7.125" style="514" customWidth="1"/>
    <col min="8201" max="8201" width="9" style="514"/>
    <col min="8202" max="8202" width="16" style="514" customWidth="1"/>
    <col min="8203" max="8203" width="13.75" style="514" customWidth="1"/>
    <col min="8204" max="8205" width="9.75" style="514" customWidth="1"/>
    <col min="8206" max="8454" width="9" style="514"/>
    <col min="8455" max="8455" width="12" style="514" customWidth="1"/>
    <col min="8456" max="8456" width="7.125" style="514" customWidth="1"/>
    <col min="8457" max="8457" width="9" style="514"/>
    <col min="8458" max="8458" width="16" style="514" customWidth="1"/>
    <col min="8459" max="8459" width="13.75" style="514" customWidth="1"/>
    <col min="8460" max="8461" width="9.75" style="514" customWidth="1"/>
    <col min="8462" max="8710" width="9" style="514"/>
    <col min="8711" max="8711" width="12" style="514" customWidth="1"/>
    <col min="8712" max="8712" width="7.125" style="514" customWidth="1"/>
    <col min="8713" max="8713" width="9" style="514"/>
    <col min="8714" max="8714" width="16" style="514" customWidth="1"/>
    <col min="8715" max="8715" width="13.75" style="514" customWidth="1"/>
    <col min="8716" max="8717" width="9.75" style="514" customWidth="1"/>
    <col min="8718" max="8966" width="9" style="514"/>
    <col min="8967" max="8967" width="12" style="514" customWidth="1"/>
    <col min="8968" max="8968" width="7.125" style="514" customWidth="1"/>
    <col min="8969" max="8969" width="9" style="514"/>
    <col min="8970" max="8970" width="16" style="514" customWidth="1"/>
    <col min="8971" max="8971" width="13.75" style="514" customWidth="1"/>
    <col min="8972" max="8973" width="9.75" style="514" customWidth="1"/>
    <col min="8974" max="9222" width="9" style="514"/>
    <col min="9223" max="9223" width="12" style="514" customWidth="1"/>
    <col min="9224" max="9224" width="7.125" style="514" customWidth="1"/>
    <col min="9225" max="9225" width="9" style="514"/>
    <col min="9226" max="9226" width="16" style="514" customWidth="1"/>
    <col min="9227" max="9227" width="13.75" style="514" customWidth="1"/>
    <col min="9228" max="9229" width="9.75" style="514" customWidth="1"/>
    <col min="9230" max="9478" width="9" style="514"/>
    <col min="9479" max="9479" width="12" style="514" customWidth="1"/>
    <col min="9480" max="9480" width="7.125" style="514" customWidth="1"/>
    <col min="9481" max="9481" width="9" style="514"/>
    <col min="9482" max="9482" width="16" style="514" customWidth="1"/>
    <col min="9483" max="9483" width="13.75" style="514" customWidth="1"/>
    <col min="9484" max="9485" width="9.75" style="514" customWidth="1"/>
    <col min="9486" max="9734" width="9" style="514"/>
    <col min="9735" max="9735" width="12" style="514" customWidth="1"/>
    <col min="9736" max="9736" width="7.125" style="514" customWidth="1"/>
    <col min="9737" max="9737" width="9" style="514"/>
    <col min="9738" max="9738" width="16" style="514" customWidth="1"/>
    <col min="9739" max="9739" width="13.75" style="514" customWidth="1"/>
    <col min="9740" max="9741" width="9.75" style="514" customWidth="1"/>
    <col min="9742" max="9990" width="9" style="514"/>
    <col min="9991" max="9991" width="12" style="514" customWidth="1"/>
    <col min="9992" max="9992" width="7.125" style="514" customWidth="1"/>
    <col min="9993" max="9993" width="9" style="514"/>
    <col min="9994" max="9994" width="16" style="514" customWidth="1"/>
    <col min="9995" max="9995" width="13.75" style="514" customWidth="1"/>
    <col min="9996" max="9997" width="9.75" style="514" customWidth="1"/>
    <col min="9998" max="10246" width="9" style="514"/>
    <col min="10247" max="10247" width="12" style="514" customWidth="1"/>
    <col min="10248" max="10248" width="7.125" style="514" customWidth="1"/>
    <col min="10249" max="10249" width="9" style="514"/>
    <col min="10250" max="10250" width="16" style="514" customWidth="1"/>
    <col min="10251" max="10251" width="13.75" style="514" customWidth="1"/>
    <col min="10252" max="10253" width="9.75" style="514" customWidth="1"/>
    <col min="10254" max="10502" width="9" style="514"/>
    <col min="10503" max="10503" width="12" style="514" customWidth="1"/>
    <col min="10504" max="10504" width="7.125" style="514" customWidth="1"/>
    <col min="10505" max="10505" width="9" style="514"/>
    <col min="10506" max="10506" width="16" style="514" customWidth="1"/>
    <col min="10507" max="10507" width="13.75" style="514" customWidth="1"/>
    <col min="10508" max="10509" width="9.75" style="514" customWidth="1"/>
    <col min="10510" max="10758" width="9" style="514"/>
    <col min="10759" max="10759" width="12" style="514" customWidth="1"/>
    <col min="10760" max="10760" width="7.125" style="514" customWidth="1"/>
    <col min="10761" max="10761" width="9" style="514"/>
    <col min="10762" max="10762" width="16" style="514" customWidth="1"/>
    <col min="10763" max="10763" width="13.75" style="514" customWidth="1"/>
    <col min="10764" max="10765" width="9.75" style="514" customWidth="1"/>
    <col min="10766" max="11014" width="9" style="514"/>
    <col min="11015" max="11015" width="12" style="514" customWidth="1"/>
    <col min="11016" max="11016" width="7.125" style="514" customWidth="1"/>
    <col min="11017" max="11017" width="9" style="514"/>
    <col min="11018" max="11018" width="16" style="514" customWidth="1"/>
    <col min="11019" max="11019" width="13.75" style="514" customWidth="1"/>
    <col min="11020" max="11021" width="9.75" style="514" customWidth="1"/>
    <col min="11022" max="11270" width="9" style="514"/>
    <col min="11271" max="11271" width="12" style="514" customWidth="1"/>
    <col min="11272" max="11272" width="7.125" style="514" customWidth="1"/>
    <col min="11273" max="11273" width="9" style="514"/>
    <col min="11274" max="11274" width="16" style="514" customWidth="1"/>
    <col min="11275" max="11275" width="13.75" style="514" customWidth="1"/>
    <col min="11276" max="11277" width="9.75" style="514" customWidth="1"/>
    <col min="11278" max="11526" width="9" style="514"/>
    <col min="11527" max="11527" width="12" style="514" customWidth="1"/>
    <col min="11528" max="11528" width="7.125" style="514" customWidth="1"/>
    <col min="11529" max="11529" width="9" style="514"/>
    <col min="11530" max="11530" width="16" style="514" customWidth="1"/>
    <col min="11531" max="11531" width="13.75" style="514" customWidth="1"/>
    <col min="11532" max="11533" width="9.75" style="514" customWidth="1"/>
    <col min="11534" max="11782" width="9" style="514"/>
    <col min="11783" max="11783" width="12" style="514" customWidth="1"/>
    <col min="11784" max="11784" width="7.125" style="514" customWidth="1"/>
    <col min="11785" max="11785" width="9" style="514"/>
    <col min="11786" max="11786" width="16" style="514" customWidth="1"/>
    <col min="11787" max="11787" width="13.75" style="514" customWidth="1"/>
    <col min="11788" max="11789" width="9.75" style="514" customWidth="1"/>
    <col min="11790" max="12038" width="9" style="514"/>
    <col min="12039" max="12039" width="12" style="514" customWidth="1"/>
    <col min="12040" max="12040" width="7.125" style="514" customWidth="1"/>
    <col min="12041" max="12041" width="9" style="514"/>
    <col min="12042" max="12042" width="16" style="514" customWidth="1"/>
    <col min="12043" max="12043" width="13.75" style="514" customWidth="1"/>
    <col min="12044" max="12045" width="9.75" style="514" customWidth="1"/>
    <col min="12046" max="12294" width="9" style="514"/>
    <col min="12295" max="12295" width="12" style="514" customWidth="1"/>
    <col min="12296" max="12296" width="7.125" style="514" customWidth="1"/>
    <col min="12297" max="12297" width="9" style="514"/>
    <col min="12298" max="12298" width="16" style="514" customWidth="1"/>
    <col min="12299" max="12299" width="13.75" style="514" customWidth="1"/>
    <col min="12300" max="12301" width="9.75" style="514" customWidth="1"/>
    <col min="12302" max="12550" width="9" style="514"/>
    <col min="12551" max="12551" width="12" style="514" customWidth="1"/>
    <col min="12552" max="12552" width="7.125" style="514" customWidth="1"/>
    <col min="12553" max="12553" width="9" style="514"/>
    <col min="12554" max="12554" width="16" style="514" customWidth="1"/>
    <col min="12555" max="12555" width="13.75" style="514" customWidth="1"/>
    <col min="12556" max="12557" width="9.75" style="514" customWidth="1"/>
    <col min="12558" max="12806" width="9" style="514"/>
    <col min="12807" max="12807" width="12" style="514" customWidth="1"/>
    <col min="12808" max="12808" width="7.125" style="514" customWidth="1"/>
    <col min="12809" max="12809" width="9" style="514"/>
    <col min="12810" max="12810" width="16" style="514" customWidth="1"/>
    <col min="12811" max="12811" width="13.75" style="514" customWidth="1"/>
    <col min="12812" max="12813" width="9.75" style="514" customWidth="1"/>
    <col min="12814" max="13062" width="9" style="514"/>
    <col min="13063" max="13063" width="12" style="514" customWidth="1"/>
    <col min="13064" max="13064" width="7.125" style="514" customWidth="1"/>
    <col min="13065" max="13065" width="9" style="514"/>
    <col min="13066" max="13066" width="16" style="514" customWidth="1"/>
    <col min="13067" max="13067" width="13.75" style="514" customWidth="1"/>
    <col min="13068" max="13069" width="9.75" style="514" customWidth="1"/>
    <col min="13070" max="13318" width="9" style="514"/>
    <col min="13319" max="13319" width="12" style="514" customWidth="1"/>
    <col min="13320" max="13320" width="7.125" style="514" customWidth="1"/>
    <col min="13321" max="13321" width="9" style="514"/>
    <col min="13322" max="13322" width="16" style="514" customWidth="1"/>
    <col min="13323" max="13323" width="13.75" style="514" customWidth="1"/>
    <col min="13324" max="13325" width="9.75" style="514" customWidth="1"/>
    <col min="13326" max="13574" width="9" style="514"/>
    <col min="13575" max="13575" width="12" style="514" customWidth="1"/>
    <col min="13576" max="13576" width="7.125" style="514" customWidth="1"/>
    <col min="13577" max="13577" width="9" style="514"/>
    <col min="13578" max="13578" width="16" style="514" customWidth="1"/>
    <col min="13579" max="13579" width="13.75" style="514" customWidth="1"/>
    <col min="13580" max="13581" width="9.75" style="514" customWidth="1"/>
    <col min="13582" max="13830" width="9" style="514"/>
    <col min="13831" max="13831" width="12" style="514" customWidth="1"/>
    <col min="13832" max="13832" width="7.125" style="514" customWidth="1"/>
    <col min="13833" max="13833" width="9" style="514"/>
    <col min="13834" max="13834" width="16" style="514" customWidth="1"/>
    <col min="13835" max="13835" width="13.75" style="514" customWidth="1"/>
    <col min="13836" max="13837" width="9.75" style="514" customWidth="1"/>
    <col min="13838" max="14086" width="9" style="514"/>
    <col min="14087" max="14087" width="12" style="514" customWidth="1"/>
    <col min="14088" max="14088" width="7.125" style="514" customWidth="1"/>
    <col min="14089" max="14089" width="9" style="514"/>
    <col min="14090" max="14090" width="16" style="514" customWidth="1"/>
    <col min="14091" max="14091" width="13.75" style="514" customWidth="1"/>
    <col min="14092" max="14093" width="9.75" style="514" customWidth="1"/>
    <col min="14094" max="14342" width="9" style="514"/>
    <col min="14343" max="14343" width="12" style="514" customWidth="1"/>
    <col min="14344" max="14344" width="7.125" style="514" customWidth="1"/>
    <col min="14345" max="14345" width="9" style="514"/>
    <col min="14346" max="14346" width="16" style="514" customWidth="1"/>
    <col min="14347" max="14347" width="13.75" style="514" customWidth="1"/>
    <col min="14348" max="14349" width="9.75" style="514" customWidth="1"/>
    <col min="14350" max="14598" width="9" style="514"/>
    <col min="14599" max="14599" width="12" style="514" customWidth="1"/>
    <col min="14600" max="14600" width="7.125" style="514" customWidth="1"/>
    <col min="14601" max="14601" width="9" style="514"/>
    <col min="14602" max="14602" width="16" style="514" customWidth="1"/>
    <col min="14603" max="14603" width="13.75" style="514" customWidth="1"/>
    <col min="14604" max="14605" width="9.75" style="514" customWidth="1"/>
    <col min="14606" max="14854" width="9" style="514"/>
    <col min="14855" max="14855" width="12" style="514" customWidth="1"/>
    <col min="14856" max="14856" width="7.125" style="514" customWidth="1"/>
    <col min="14857" max="14857" width="9" style="514"/>
    <col min="14858" max="14858" width="16" style="514" customWidth="1"/>
    <col min="14859" max="14859" width="13.75" style="514" customWidth="1"/>
    <col min="14860" max="14861" width="9.75" style="514" customWidth="1"/>
    <col min="14862" max="15110" width="9" style="514"/>
    <col min="15111" max="15111" width="12" style="514" customWidth="1"/>
    <col min="15112" max="15112" width="7.125" style="514" customWidth="1"/>
    <col min="15113" max="15113" width="9" style="514"/>
    <col min="15114" max="15114" width="16" style="514" customWidth="1"/>
    <col min="15115" max="15115" width="13.75" style="514" customWidth="1"/>
    <col min="15116" max="15117" width="9.75" style="514" customWidth="1"/>
    <col min="15118" max="15366" width="9" style="514"/>
    <col min="15367" max="15367" width="12" style="514" customWidth="1"/>
    <col min="15368" max="15368" width="7.125" style="514" customWidth="1"/>
    <col min="15369" max="15369" width="9" style="514"/>
    <col min="15370" max="15370" width="16" style="514" customWidth="1"/>
    <col min="15371" max="15371" width="13.75" style="514" customWidth="1"/>
    <col min="15372" max="15373" width="9.75" style="514" customWidth="1"/>
    <col min="15374" max="15622" width="9" style="514"/>
    <col min="15623" max="15623" width="12" style="514" customWidth="1"/>
    <col min="15624" max="15624" width="7.125" style="514" customWidth="1"/>
    <col min="15625" max="15625" width="9" style="514"/>
    <col min="15626" max="15626" width="16" style="514" customWidth="1"/>
    <col min="15627" max="15627" width="13.75" style="514" customWidth="1"/>
    <col min="15628" max="15629" width="9.75" style="514" customWidth="1"/>
    <col min="15630" max="15878" width="9" style="514"/>
    <col min="15879" max="15879" width="12" style="514" customWidth="1"/>
    <col min="15880" max="15880" width="7.125" style="514" customWidth="1"/>
    <col min="15881" max="15881" width="9" style="514"/>
    <col min="15882" max="15882" width="16" style="514" customWidth="1"/>
    <col min="15883" max="15883" width="13.75" style="514" customWidth="1"/>
    <col min="15884" max="15885" width="9.75" style="514" customWidth="1"/>
    <col min="15886" max="16134" width="9" style="514"/>
    <col min="16135" max="16135" width="12" style="514" customWidth="1"/>
    <col min="16136" max="16136" width="7.125" style="514" customWidth="1"/>
    <col min="16137" max="16137" width="9" style="514"/>
    <col min="16138" max="16138" width="16" style="514" customWidth="1"/>
    <col min="16139" max="16139" width="13.75" style="514" customWidth="1"/>
    <col min="16140" max="16141" width="9.75" style="514" customWidth="1"/>
    <col min="16142" max="16384" width="9" style="514"/>
  </cols>
  <sheetData>
    <row r="1" spans="1:19" s="2" customFormat="1" ht="23.25" customHeight="1" thickBot="1">
      <c r="A1" s="1" t="e">
        <f>IF(SUM(2:2)=0,"OK","NOK")</f>
        <v>#DIV/0!</v>
      </c>
      <c r="F1" s="43" t="s">
        <v>7294</v>
      </c>
      <c r="G1" s="1085" t="s">
        <v>8295</v>
      </c>
      <c r="H1" s="1086"/>
      <c r="I1" s="1085" t="s">
        <v>8296</v>
      </c>
      <c r="J1" s="1086"/>
      <c r="K1" s="1085" t="s">
        <v>8297</v>
      </c>
      <c r="L1" s="1086"/>
      <c r="M1" s="1085" t="s">
        <v>10522</v>
      </c>
      <c r="N1" s="1086"/>
      <c r="O1" s="44"/>
      <c r="P1" s="48" t="s">
        <v>10</v>
      </c>
    </row>
    <row r="2" spans="1:19" ht="13.5" thickBot="1">
      <c r="A2" s="3"/>
      <c r="B2" s="3"/>
      <c r="C2" s="3"/>
      <c r="D2" s="3"/>
      <c r="E2" s="3"/>
      <c r="F2" s="2"/>
      <c r="G2" s="552" t="s">
        <v>0</v>
      </c>
      <c r="H2" s="183">
        <f>SUMX2MY2(G5:G5000,H5:H5000)</f>
        <v>0</v>
      </c>
      <c r="I2" s="552" t="s">
        <v>0</v>
      </c>
      <c r="J2" s="183">
        <f>SUMX2MY2(I5:I5000,J5:J5000)</f>
        <v>9.3791641120333225E-13</v>
      </c>
      <c r="K2" s="552" t="s">
        <v>0</v>
      </c>
      <c r="L2" s="183" t="e">
        <f>SUMX2MY2(K5:K5000,L5:L5000)</f>
        <v>#DIV/0!</v>
      </c>
      <c r="M2" s="567" t="s">
        <v>0</v>
      </c>
      <c r="N2" s="183">
        <f>SUMX2MY2(M5:M5000,N5:N5000)</f>
        <v>0.53089366949279793</v>
      </c>
    </row>
    <row r="3" spans="1:19" ht="27.75" customHeight="1">
      <c r="A3" s="35" t="s">
        <v>1</v>
      </c>
      <c r="B3" s="36" t="s">
        <v>2</v>
      </c>
      <c r="C3" s="36" t="s">
        <v>3</v>
      </c>
      <c r="D3" s="36" t="s">
        <v>4</v>
      </c>
      <c r="E3" s="1087" t="s">
        <v>7</v>
      </c>
      <c r="F3" s="1088"/>
      <c r="G3" s="553" t="s">
        <v>5</v>
      </c>
      <c r="H3" s="554" t="s">
        <v>6</v>
      </c>
      <c r="I3" s="553" t="s">
        <v>5</v>
      </c>
      <c r="J3" s="554" t="s">
        <v>6</v>
      </c>
      <c r="K3" s="553" t="s">
        <v>5</v>
      </c>
      <c r="L3" s="554" t="s">
        <v>6</v>
      </c>
      <c r="M3" s="568" t="s">
        <v>5</v>
      </c>
      <c r="N3" s="569" t="s">
        <v>6</v>
      </c>
    </row>
    <row r="4" spans="1:19" ht="15.75" customHeight="1" thickBot="1">
      <c r="A4" s="34"/>
      <c r="B4" s="33"/>
      <c r="C4" s="33"/>
      <c r="D4" s="33"/>
      <c r="E4" s="41" t="s">
        <v>9</v>
      </c>
      <c r="F4" s="42" t="s">
        <v>8</v>
      </c>
      <c r="G4" s="562">
        <v>0</v>
      </c>
      <c r="H4" s="563">
        <v>0</v>
      </c>
      <c r="I4" s="562">
        <v>0</v>
      </c>
      <c r="J4" s="563">
        <v>0</v>
      </c>
      <c r="K4" s="562">
        <v>0</v>
      </c>
      <c r="L4" s="563">
        <v>0</v>
      </c>
      <c r="M4" s="575">
        <v>0</v>
      </c>
      <c r="N4" s="576">
        <v>0</v>
      </c>
      <c r="P4" s="811" t="s">
        <v>10518</v>
      </c>
      <c r="Q4" s="812" t="s">
        <v>10519</v>
      </c>
      <c r="R4" s="812" t="s">
        <v>10520</v>
      </c>
      <c r="S4" s="813" t="s">
        <v>10521</v>
      </c>
    </row>
    <row r="5" spans="1:19">
      <c r="A5" s="201" t="s">
        <v>8994</v>
      </c>
      <c r="B5" s="446"/>
      <c r="C5" s="489"/>
      <c r="D5" s="517"/>
      <c r="E5" s="609"/>
      <c r="F5" s="465" t="s">
        <v>8302</v>
      </c>
      <c r="G5" s="557">
        <v>3.8</v>
      </c>
      <c r="H5" s="460">
        <v>3.8</v>
      </c>
      <c r="I5" s="557">
        <v>11.0218104634277</v>
      </c>
      <c r="J5" s="460">
        <v>11.021810463427657</v>
      </c>
      <c r="K5" s="557">
        <v>125.367878129028</v>
      </c>
      <c r="L5" s="460"/>
      <c r="M5" s="783">
        <v>125.00212355664</v>
      </c>
      <c r="N5" s="460">
        <v>125</v>
      </c>
      <c r="P5" s="814">
        <v>125</v>
      </c>
      <c r="Q5" s="815">
        <v>3.8</v>
      </c>
      <c r="R5" s="815">
        <v>13.32</v>
      </c>
      <c r="S5" s="813">
        <f>P5*4/PI()/Q5/Q5</f>
        <v>11.021810463427657</v>
      </c>
    </row>
    <row r="6" spans="1:19">
      <c r="A6" s="445"/>
      <c r="B6" s="446"/>
      <c r="C6" s="489"/>
      <c r="D6" s="517"/>
      <c r="E6" s="517"/>
      <c r="F6" s="465"/>
      <c r="G6" s="557"/>
      <c r="H6" s="460"/>
      <c r="I6" s="557"/>
      <c r="J6" s="460"/>
      <c r="K6" s="557"/>
      <c r="L6" s="460"/>
      <c r="M6" s="783"/>
      <c r="N6" s="460"/>
    </row>
    <row r="7" spans="1:19">
      <c r="A7" s="519"/>
      <c r="B7" s="520"/>
      <c r="C7" s="521"/>
      <c r="D7" s="522"/>
      <c r="E7" s="517"/>
      <c r="F7" s="465"/>
      <c r="G7" s="557"/>
      <c r="H7" s="460"/>
      <c r="I7" s="557"/>
      <c r="J7" s="460"/>
      <c r="K7" s="557"/>
      <c r="L7" s="460"/>
      <c r="M7" s="783"/>
      <c r="N7" s="460"/>
    </row>
    <row r="8" spans="1:19">
      <c r="A8" s="519"/>
      <c r="B8" s="520"/>
      <c r="C8" s="521"/>
      <c r="D8" s="522"/>
      <c r="E8" s="517"/>
      <c r="F8" s="465"/>
      <c r="G8" s="557"/>
      <c r="H8" s="460"/>
      <c r="I8" s="557"/>
      <c r="J8" s="460"/>
      <c r="K8" s="557"/>
      <c r="L8" s="460"/>
      <c r="M8" s="783"/>
      <c r="N8" s="460"/>
    </row>
    <row r="9" spans="1:19">
      <c r="A9" s="519"/>
      <c r="B9" s="520"/>
      <c r="C9" s="521"/>
      <c r="D9" s="522"/>
      <c r="E9" s="517"/>
      <c r="F9" s="465"/>
      <c r="G9" s="557"/>
      <c r="H9" s="460"/>
      <c r="I9" s="557"/>
      <c r="J9" s="460"/>
      <c r="K9" s="557"/>
      <c r="L9" s="460"/>
      <c r="M9" s="783"/>
      <c r="N9" s="460"/>
    </row>
    <row r="10" spans="1:19">
      <c r="A10" s="519"/>
      <c r="B10" s="520"/>
      <c r="C10" s="521"/>
      <c r="D10" s="522"/>
      <c r="E10" s="517"/>
      <c r="F10" s="465"/>
      <c r="G10" s="557"/>
      <c r="H10" s="460"/>
      <c r="I10" s="557"/>
      <c r="J10" s="460"/>
      <c r="K10" s="557"/>
      <c r="L10" s="460"/>
      <c r="M10" s="783"/>
      <c r="N10" s="460"/>
    </row>
    <row r="11" spans="1:19">
      <c r="A11" s="519"/>
      <c r="B11" s="520"/>
      <c r="C11" s="521"/>
      <c r="D11" s="522"/>
      <c r="E11" s="517"/>
      <c r="F11" s="465"/>
      <c r="G11" s="557"/>
      <c r="H11" s="460"/>
      <c r="I11" s="557"/>
      <c r="J11" s="460"/>
      <c r="K11" s="557"/>
      <c r="L11" s="460"/>
      <c r="M11" s="783"/>
      <c r="N11" s="460"/>
    </row>
    <row r="12" spans="1:19">
      <c r="A12" s="519"/>
      <c r="B12" s="520"/>
      <c r="C12" s="521"/>
      <c r="D12" s="522"/>
      <c r="E12" s="517"/>
      <c r="F12" s="465"/>
      <c r="G12" s="557"/>
      <c r="H12" s="460"/>
      <c r="I12" s="557"/>
      <c r="J12" s="460"/>
      <c r="K12" s="557"/>
      <c r="L12" s="460"/>
      <c r="M12" s="783"/>
      <c r="N12" s="460"/>
    </row>
    <row r="13" spans="1:19">
      <c r="A13" s="519"/>
      <c r="B13" s="520"/>
      <c r="C13" s="521"/>
      <c r="D13" s="522"/>
      <c r="E13" s="517"/>
      <c r="F13" s="465"/>
      <c r="G13" s="557"/>
      <c r="H13" s="460"/>
      <c r="I13" s="557"/>
      <c r="J13" s="460"/>
      <c r="K13" s="557"/>
      <c r="L13" s="460"/>
      <c r="M13" s="783"/>
      <c r="N13" s="460"/>
    </row>
    <row r="14" spans="1:19">
      <c r="A14" s="519"/>
      <c r="B14" s="520"/>
      <c r="C14" s="521"/>
      <c r="D14" s="522"/>
      <c r="E14" s="517"/>
      <c r="F14" s="465"/>
      <c r="G14" s="557"/>
      <c r="H14" s="460"/>
      <c r="I14" s="557"/>
      <c r="J14" s="460"/>
      <c r="K14" s="557"/>
      <c r="L14" s="460"/>
      <c r="M14" s="783"/>
      <c r="N14" s="460"/>
    </row>
    <row r="15" spans="1:19">
      <c r="A15" s="519"/>
      <c r="B15" s="520"/>
      <c r="C15" s="521"/>
      <c r="D15" s="522"/>
      <c r="E15" s="517"/>
      <c r="F15" s="465"/>
      <c r="G15" s="557"/>
      <c r="H15" s="460"/>
      <c r="I15" s="557"/>
      <c r="J15" s="460"/>
      <c r="K15" s="557"/>
      <c r="L15" s="460"/>
      <c r="M15" s="783"/>
      <c r="N15" s="460"/>
    </row>
    <row r="16" spans="1:19">
      <c r="A16" s="519"/>
      <c r="B16" s="520"/>
      <c r="C16" s="521"/>
      <c r="D16" s="522"/>
      <c r="E16" s="517"/>
      <c r="F16" s="465"/>
      <c r="G16" s="557"/>
      <c r="H16" s="460"/>
      <c r="I16" s="557"/>
      <c r="J16" s="460"/>
      <c r="K16" s="557"/>
      <c r="L16" s="460"/>
      <c r="M16" s="783"/>
      <c r="N16" s="460"/>
    </row>
    <row r="17" spans="1:14">
      <c r="A17" s="519"/>
      <c r="B17" s="520"/>
      <c r="C17" s="521"/>
      <c r="D17" s="522"/>
      <c r="E17" s="517"/>
      <c r="F17" s="465"/>
      <c r="G17" s="557"/>
      <c r="H17" s="460"/>
      <c r="I17" s="557"/>
      <c r="J17" s="460"/>
      <c r="K17" s="557"/>
      <c r="L17" s="460"/>
      <c r="M17" s="783"/>
      <c r="N17" s="460"/>
    </row>
    <row r="18" spans="1:14">
      <c r="A18" s="519"/>
      <c r="B18" s="520"/>
      <c r="C18" s="521"/>
      <c r="D18" s="522"/>
      <c r="E18" s="517"/>
      <c r="F18" s="465"/>
      <c r="G18" s="557"/>
      <c r="H18" s="460"/>
      <c r="I18" s="557"/>
      <c r="J18" s="460"/>
      <c r="K18" s="557"/>
      <c r="L18" s="460"/>
      <c r="M18" s="783"/>
      <c r="N18" s="460"/>
    </row>
    <row r="19" spans="1:14">
      <c r="A19" s="519"/>
      <c r="B19" s="520"/>
      <c r="C19" s="521"/>
      <c r="D19" s="522"/>
      <c r="E19" s="517"/>
      <c r="F19" s="465"/>
      <c r="G19" s="557"/>
      <c r="H19" s="460"/>
      <c r="I19" s="557"/>
      <c r="J19" s="460"/>
      <c r="K19" s="557"/>
      <c r="L19" s="460"/>
      <c r="M19" s="783"/>
      <c r="N19" s="460"/>
    </row>
    <row r="20" spans="1:14">
      <c r="A20" s="519"/>
      <c r="B20" s="520"/>
      <c r="C20" s="521"/>
      <c r="D20" s="522"/>
      <c r="E20" s="517"/>
      <c r="F20" s="465"/>
      <c r="G20" s="557"/>
      <c r="H20" s="460"/>
      <c r="I20" s="557"/>
      <c r="J20" s="460"/>
      <c r="K20" s="557"/>
      <c r="L20" s="460"/>
      <c r="M20" s="783"/>
      <c r="N20" s="460"/>
    </row>
    <row r="21" spans="1:14">
      <c r="A21" s="519"/>
      <c r="B21" s="520"/>
      <c r="C21" s="521"/>
      <c r="D21" s="522"/>
      <c r="E21" s="517"/>
      <c r="F21" s="465"/>
      <c r="G21" s="557"/>
      <c r="H21" s="460"/>
      <c r="I21" s="557"/>
      <c r="J21" s="460"/>
      <c r="K21" s="557"/>
      <c r="L21" s="460"/>
      <c r="M21" s="783"/>
      <c r="N21" s="460"/>
    </row>
    <row r="22" spans="1:14">
      <c r="A22" s="519"/>
      <c r="B22" s="520"/>
      <c r="C22" s="521"/>
      <c r="D22" s="522"/>
      <c r="E22" s="517"/>
      <c r="F22" s="465"/>
      <c r="G22" s="557"/>
      <c r="H22" s="460"/>
      <c r="I22" s="557"/>
      <c r="J22" s="460"/>
      <c r="K22" s="557"/>
      <c r="L22" s="460"/>
      <c r="M22" s="783"/>
      <c r="N22" s="460"/>
    </row>
    <row r="23" spans="1:14">
      <c r="A23" s="519"/>
      <c r="B23" s="520"/>
      <c r="C23" s="521"/>
      <c r="D23" s="522"/>
      <c r="E23" s="517"/>
      <c r="F23" s="465"/>
      <c r="G23" s="557"/>
      <c r="H23" s="460"/>
      <c r="I23" s="557"/>
      <c r="J23" s="460"/>
      <c r="K23" s="557"/>
      <c r="L23" s="460"/>
      <c r="M23" s="783"/>
      <c r="N23" s="460"/>
    </row>
    <row r="24" spans="1:14">
      <c r="A24" s="519"/>
      <c r="B24" s="520"/>
      <c r="C24" s="521"/>
      <c r="D24" s="522"/>
      <c r="E24" s="517"/>
      <c r="F24" s="465"/>
      <c r="G24" s="557"/>
      <c r="H24" s="460"/>
      <c r="I24" s="557"/>
      <c r="J24" s="460"/>
      <c r="K24" s="557"/>
      <c r="L24" s="460"/>
      <c r="M24" s="783"/>
      <c r="N24" s="460"/>
    </row>
    <row r="25" spans="1:14">
      <c r="A25" s="519"/>
      <c r="B25" s="520"/>
      <c r="C25" s="521"/>
      <c r="D25" s="522"/>
      <c r="E25" s="517"/>
      <c r="F25" s="465"/>
      <c r="G25" s="557"/>
      <c r="H25" s="460"/>
      <c r="I25" s="557"/>
      <c r="J25" s="460"/>
      <c r="K25" s="557"/>
      <c r="L25" s="460"/>
      <c r="M25" s="783"/>
      <c r="N25" s="460"/>
    </row>
    <row r="26" spans="1:14">
      <c r="A26" s="519"/>
      <c r="B26" s="520"/>
      <c r="C26" s="521"/>
      <c r="D26" s="522"/>
      <c r="E26" s="517"/>
      <c r="F26" s="465"/>
      <c r="G26" s="557"/>
      <c r="H26" s="460"/>
      <c r="I26" s="557"/>
      <c r="J26" s="460"/>
      <c r="K26" s="557"/>
      <c r="L26" s="460"/>
      <c r="M26" s="783"/>
      <c r="N26" s="460"/>
    </row>
    <row r="27" spans="1:14">
      <c r="A27" s="519"/>
      <c r="B27" s="520"/>
      <c r="C27" s="521"/>
      <c r="D27" s="522"/>
      <c r="E27" s="517"/>
      <c r="F27" s="465"/>
      <c r="G27" s="557"/>
      <c r="H27" s="460"/>
      <c r="I27" s="557"/>
      <c r="J27" s="460"/>
      <c r="K27" s="557"/>
      <c r="L27" s="460"/>
      <c r="M27" s="783"/>
      <c r="N27" s="460"/>
    </row>
    <row r="28" spans="1:14">
      <c r="A28" s="519"/>
      <c r="B28" s="520"/>
      <c r="C28" s="521"/>
      <c r="D28" s="522"/>
      <c r="E28" s="517"/>
      <c r="F28" s="465"/>
      <c r="G28" s="557"/>
      <c r="H28" s="460"/>
      <c r="I28" s="557"/>
      <c r="J28" s="460"/>
      <c r="K28" s="557"/>
      <c r="L28" s="460"/>
      <c r="M28" s="783"/>
      <c r="N28" s="460"/>
    </row>
    <row r="29" spans="1:14">
      <c r="A29" s="519"/>
      <c r="B29" s="520"/>
      <c r="C29" s="521"/>
      <c r="D29" s="522"/>
      <c r="E29" s="517"/>
      <c r="F29" s="465"/>
      <c r="G29" s="557"/>
      <c r="H29" s="460"/>
      <c r="I29" s="557"/>
      <c r="J29" s="460"/>
      <c r="K29" s="557"/>
      <c r="L29" s="460"/>
      <c r="M29" s="783"/>
      <c r="N29" s="460"/>
    </row>
    <row r="30" spans="1:14">
      <c r="A30" s="519"/>
      <c r="B30" s="520"/>
      <c r="C30" s="521"/>
      <c r="D30" s="522"/>
      <c r="E30" s="517"/>
      <c r="F30" s="465"/>
      <c r="G30" s="557"/>
      <c r="H30" s="460"/>
      <c r="I30" s="557"/>
      <c r="J30" s="460"/>
      <c r="K30" s="557"/>
      <c r="L30" s="460"/>
      <c r="M30" s="783"/>
      <c r="N30" s="460"/>
    </row>
    <row r="31" spans="1:14">
      <c r="A31" s="519"/>
      <c r="B31" s="520"/>
      <c r="C31" s="521"/>
      <c r="D31" s="522"/>
      <c r="E31" s="517"/>
      <c r="F31" s="465"/>
      <c r="G31" s="557"/>
      <c r="H31" s="460"/>
      <c r="I31" s="557"/>
      <c r="J31" s="460"/>
      <c r="K31" s="557"/>
      <c r="L31" s="460"/>
      <c r="M31" s="783"/>
      <c r="N31" s="460"/>
    </row>
    <row r="32" spans="1:14">
      <c r="A32" s="519"/>
      <c r="B32" s="520"/>
      <c r="C32" s="521"/>
      <c r="D32" s="522"/>
      <c r="E32" s="517"/>
      <c r="F32" s="465"/>
      <c r="G32" s="557"/>
      <c r="H32" s="460"/>
      <c r="I32" s="557"/>
      <c r="J32" s="460"/>
      <c r="K32" s="557"/>
      <c r="L32" s="460"/>
      <c r="M32" s="783"/>
      <c r="N32" s="460"/>
    </row>
    <row r="33" spans="1:14">
      <c r="A33" s="519"/>
      <c r="B33" s="520"/>
      <c r="C33" s="521"/>
      <c r="D33" s="522"/>
      <c r="E33" s="517"/>
      <c r="F33" s="465"/>
      <c r="G33" s="557"/>
      <c r="H33" s="460"/>
      <c r="I33" s="557"/>
      <c r="J33" s="460"/>
      <c r="K33" s="557"/>
      <c r="L33" s="460"/>
      <c r="M33" s="783"/>
      <c r="N33" s="460"/>
    </row>
    <row r="34" spans="1:14">
      <c r="A34" s="519"/>
      <c r="B34" s="520"/>
      <c r="C34" s="521"/>
      <c r="D34" s="522"/>
      <c r="E34" s="517"/>
      <c r="F34" s="465"/>
      <c r="G34" s="557"/>
      <c r="H34" s="460"/>
      <c r="I34" s="557"/>
      <c r="J34" s="460"/>
      <c r="K34" s="557"/>
      <c r="L34" s="460"/>
      <c r="M34" s="783"/>
      <c r="N34" s="460"/>
    </row>
    <row r="35" spans="1:14">
      <c r="A35" s="519"/>
      <c r="B35" s="520"/>
      <c r="C35" s="521"/>
      <c r="D35" s="522"/>
      <c r="E35" s="517"/>
      <c r="F35" s="465"/>
      <c r="G35" s="557"/>
      <c r="H35" s="460"/>
      <c r="I35" s="557"/>
      <c r="J35" s="460"/>
      <c r="K35" s="557"/>
      <c r="L35" s="460"/>
      <c r="M35" s="783"/>
      <c r="N35" s="460"/>
    </row>
    <row r="36" spans="1:14">
      <c r="A36" s="519"/>
      <c r="B36" s="520"/>
      <c r="C36" s="521"/>
      <c r="D36" s="522"/>
      <c r="E36" s="517"/>
      <c r="F36" s="465"/>
      <c r="G36" s="557"/>
      <c r="H36" s="460"/>
      <c r="I36" s="557"/>
      <c r="J36" s="460"/>
      <c r="K36" s="557"/>
      <c r="L36" s="460"/>
      <c r="M36" s="783"/>
      <c r="N36" s="460"/>
    </row>
    <row r="37" spans="1:14">
      <c r="A37" s="519"/>
      <c r="B37" s="520"/>
      <c r="C37" s="521"/>
      <c r="D37" s="522"/>
      <c r="E37" s="517"/>
      <c r="F37" s="465"/>
      <c r="G37" s="557"/>
      <c r="H37" s="460"/>
      <c r="I37" s="557"/>
      <c r="J37" s="460"/>
      <c r="K37" s="557"/>
      <c r="L37" s="460"/>
      <c r="M37" s="783"/>
      <c r="N37" s="460"/>
    </row>
    <row r="38" spans="1:14">
      <c r="A38" s="519"/>
      <c r="B38" s="520"/>
      <c r="C38" s="521"/>
      <c r="D38" s="522"/>
      <c r="E38" s="517"/>
      <c r="F38" s="465"/>
      <c r="G38" s="557"/>
      <c r="H38" s="460"/>
      <c r="I38" s="557"/>
      <c r="J38" s="460"/>
      <c r="K38" s="557"/>
      <c r="L38" s="460"/>
      <c r="M38" s="783"/>
      <c r="N38" s="460"/>
    </row>
    <row r="39" spans="1:14">
      <c r="A39" s="519"/>
      <c r="B39" s="520"/>
      <c r="C39" s="521"/>
      <c r="D39" s="522"/>
      <c r="E39" s="517"/>
      <c r="F39" s="465"/>
      <c r="G39" s="557"/>
      <c r="H39" s="460"/>
      <c r="I39" s="557"/>
      <c r="J39" s="460"/>
      <c r="K39" s="557"/>
      <c r="L39" s="460"/>
      <c r="M39" s="783"/>
      <c r="N39" s="460"/>
    </row>
    <row r="40" spans="1:14">
      <c r="A40" s="519"/>
      <c r="B40" s="520"/>
      <c r="C40" s="521"/>
      <c r="D40" s="522"/>
      <c r="E40" s="517"/>
      <c r="F40" s="465"/>
      <c r="G40" s="557"/>
      <c r="H40" s="460"/>
      <c r="I40" s="557"/>
      <c r="J40" s="460"/>
      <c r="K40" s="557"/>
      <c r="L40" s="460"/>
      <c r="M40" s="783"/>
      <c r="N40" s="460"/>
    </row>
    <row r="41" spans="1:14">
      <c r="A41" s="519"/>
      <c r="B41" s="520"/>
      <c r="C41" s="521"/>
      <c r="D41" s="522"/>
      <c r="E41" s="517"/>
      <c r="F41" s="465"/>
      <c r="G41" s="557"/>
      <c r="H41" s="460"/>
      <c r="I41" s="557"/>
      <c r="J41" s="460"/>
      <c r="K41" s="557"/>
      <c r="L41" s="460"/>
      <c r="M41" s="783"/>
      <c r="N41" s="460"/>
    </row>
    <row r="42" spans="1:14">
      <c r="A42" s="519"/>
      <c r="B42" s="520"/>
      <c r="C42" s="521"/>
      <c r="D42" s="522"/>
      <c r="E42" s="517"/>
      <c r="F42" s="465"/>
      <c r="G42" s="557"/>
      <c r="H42" s="460"/>
      <c r="I42" s="557"/>
      <c r="J42" s="460"/>
      <c r="K42" s="557"/>
      <c r="L42" s="460"/>
      <c r="M42" s="783"/>
      <c r="N42" s="460"/>
    </row>
    <row r="43" spans="1:14">
      <c r="A43" s="519"/>
      <c r="B43" s="520"/>
      <c r="C43" s="521"/>
      <c r="D43" s="522"/>
      <c r="E43" s="517"/>
      <c r="F43" s="465"/>
      <c r="G43" s="557"/>
      <c r="H43" s="460"/>
      <c r="I43" s="557"/>
      <c r="J43" s="460"/>
      <c r="K43" s="557"/>
      <c r="L43" s="460"/>
      <c r="M43" s="783"/>
      <c r="N43" s="460"/>
    </row>
    <row r="44" spans="1:14">
      <c r="A44" s="519"/>
      <c r="B44" s="520"/>
      <c r="C44" s="521"/>
      <c r="D44" s="522"/>
      <c r="E44" s="517"/>
      <c r="F44" s="465"/>
      <c r="G44" s="557"/>
      <c r="H44" s="460"/>
      <c r="I44" s="557"/>
      <c r="J44" s="460"/>
      <c r="K44" s="557"/>
      <c r="L44" s="460"/>
      <c r="M44" s="783"/>
      <c r="N44" s="460"/>
    </row>
    <row r="45" spans="1:14">
      <c r="A45" s="519"/>
      <c r="B45" s="520"/>
      <c r="C45" s="521"/>
      <c r="D45" s="522"/>
      <c r="E45" s="517"/>
      <c r="F45" s="465"/>
      <c r="G45" s="557"/>
      <c r="H45" s="460"/>
      <c r="I45" s="557"/>
      <c r="J45" s="460"/>
      <c r="K45" s="557"/>
      <c r="L45" s="460"/>
      <c r="M45" s="783"/>
      <c r="N45" s="460"/>
    </row>
    <row r="46" spans="1:14">
      <c r="A46" s="519"/>
      <c r="B46" s="520"/>
      <c r="C46" s="521"/>
      <c r="D46" s="522"/>
      <c r="E46" s="517"/>
      <c r="F46" s="465"/>
      <c r="G46" s="557"/>
      <c r="H46" s="460"/>
      <c r="I46" s="557"/>
      <c r="J46" s="460"/>
      <c r="K46" s="557"/>
      <c r="L46" s="460"/>
      <c r="M46" s="783"/>
      <c r="N46" s="460"/>
    </row>
    <row r="47" spans="1:14">
      <c r="A47" s="519"/>
      <c r="B47" s="520"/>
      <c r="C47" s="521"/>
      <c r="D47" s="522"/>
      <c r="E47" s="517"/>
      <c r="F47" s="465"/>
      <c r="G47" s="557"/>
      <c r="H47" s="460"/>
      <c r="I47" s="557"/>
      <c r="J47" s="460"/>
      <c r="K47" s="557"/>
      <c r="L47" s="460"/>
      <c r="M47" s="783"/>
      <c r="N47" s="460"/>
    </row>
    <row r="48" spans="1:14">
      <c r="A48" s="519"/>
      <c r="B48" s="520"/>
      <c r="C48" s="521"/>
      <c r="D48" s="522"/>
      <c r="E48" s="517"/>
      <c r="F48" s="465"/>
      <c r="G48" s="557"/>
      <c r="H48" s="460"/>
      <c r="I48" s="557"/>
      <c r="J48" s="460"/>
      <c r="K48" s="557"/>
      <c r="L48" s="460"/>
      <c r="M48" s="783"/>
      <c r="N48" s="460"/>
    </row>
    <row r="49" spans="1:14">
      <c r="A49" s="519"/>
      <c r="B49" s="520"/>
      <c r="C49" s="521"/>
      <c r="D49" s="522"/>
      <c r="E49" s="517"/>
      <c r="F49" s="465"/>
      <c r="G49" s="557"/>
      <c r="H49" s="460"/>
      <c r="I49" s="557"/>
      <c r="J49" s="460"/>
      <c r="K49" s="557"/>
      <c r="L49" s="460"/>
      <c r="M49" s="783"/>
      <c r="N49" s="460"/>
    </row>
    <row r="50" spans="1:14">
      <c r="A50" s="519"/>
      <c r="B50" s="520"/>
      <c r="C50" s="521"/>
      <c r="D50" s="522"/>
      <c r="E50" s="517"/>
      <c r="F50" s="465"/>
      <c r="G50" s="557"/>
      <c r="H50" s="460"/>
      <c r="I50" s="557"/>
      <c r="J50" s="460"/>
      <c r="K50" s="557"/>
      <c r="L50" s="460"/>
      <c r="M50" s="783"/>
      <c r="N50" s="460"/>
    </row>
    <row r="51" spans="1:14">
      <c r="A51" s="519"/>
      <c r="B51" s="520"/>
      <c r="C51" s="521"/>
      <c r="D51" s="522"/>
      <c r="E51" s="517"/>
      <c r="F51" s="465"/>
      <c r="G51" s="557"/>
      <c r="H51" s="460"/>
      <c r="I51" s="557"/>
      <c r="J51" s="460"/>
      <c r="K51" s="557"/>
      <c r="L51" s="460"/>
      <c r="M51" s="783"/>
      <c r="N51" s="460"/>
    </row>
    <row r="52" spans="1:14">
      <c r="A52" s="519"/>
      <c r="B52" s="520"/>
      <c r="C52" s="521"/>
      <c r="D52" s="522"/>
      <c r="E52" s="517"/>
      <c r="F52" s="465"/>
      <c r="G52" s="557"/>
      <c r="H52" s="460"/>
      <c r="I52" s="557"/>
      <c r="J52" s="460"/>
      <c r="K52" s="557"/>
      <c r="L52" s="460"/>
      <c r="M52" s="783"/>
      <c r="N52" s="460"/>
    </row>
    <row r="53" spans="1:14">
      <c r="A53" s="519"/>
      <c r="B53" s="520"/>
      <c r="C53" s="521"/>
      <c r="D53" s="522"/>
      <c r="E53" s="517"/>
      <c r="F53" s="465"/>
      <c r="G53" s="557"/>
      <c r="H53" s="460"/>
      <c r="I53" s="557"/>
      <c r="J53" s="460"/>
      <c r="K53" s="557"/>
      <c r="L53" s="460"/>
      <c r="M53" s="783"/>
      <c r="N53" s="460"/>
    </row>
    <row r="54" spans="1:14">
      <c r="A54" s="519"/>
      <c r="B54" s="520"/>
      <c r="C54" s="521"/>
      <c r="D54" s="522"/>
      <c r="E54" s="517"/>
      <c r="F54" s="465"/>
      <c r="G54" s="557"/>
      <c r="H54" s="460"/>
      <c r="I54" s="557"/>
      <c r="J54" s="460"/>
      <c r="K54" s="557"/>
      <c r="L54" s="460"/>
      <c r="M54" s="783"/>
      <c r="N54" s="460"/>
    </row>
    <row r="55" spans="1:14">
      <c r="A55" s="519"/>
      <c r="B55" s="520"/>
      <c r="C55" s="521"/>
      <c r="D55" s="522"/>
      <c r="E55" s="517"/>
      <c r="F55" s="465"/>
      <c r="G55" s="557"/>
      <c r="H55" s="460"/>
      <c r="I55" s="557"/>
      <c r="J55" s="460"/>
      <c r="K55" s="557"/>
      <c r="L55" s="460"/>
      <c r="M55" s="783"/>
      <c r="N55" s="460"/>
    </row>
    <row r="56" spans="1:14">
      <c r="A56" s="519"/>
      <c r="B56" s="520"/>
      <c r="C56" s="521"/>
      <c r="D56" s="522"/>
      <c r="E56" s="517"/>
      <c r="F56" s="465"/>
      <c r="G56" s="557"/>
      <c r="H56" s="460"/>
      <c r="I56" s="557"/>
      <c r="J56" s="460"/>
      <c r="K56" s="557"/>
      <c r="L56" s="460"/>
      <c r="M56" s="783"/>
      <c r="N56" s="460"/>
    </row>
    <row r="57" spans="1:14">
      <c r="A57" s="519"/>
      <c r="B57" s="520"/>
      <c r="C57" s="521"/>
      <c r="D57" s="522"/>
      <c r="E57" s="517"/>
      <c r="F57" s="465"/>
      <c r="G57" s="557"/>
      <c r="H57" s="460"/>
      <c r="I57" s="557"/>
      <c r="J57" s="460"/>
      <c r="K57" s="557"/>
      <c r="L57" s="460"/>
      <c r="M57" s="783"/>
      <c r="N57" s="460"/>
    </row>
    <row r="58" spans="1:14">
      <c r="A58" s="519"/>
      <c r="B58" s="520"/>
      <c r="C58" s="521"/>
      <c r="D58" s="522"/>
      <c r="E58" s="517"/>
      <c r="F58" s="465"/>
      <c r="G58" s="557"/>
      <c r="H58" s="460"/>
      <c r="I58" s="557"/>
      <c r="J58" s="460"/>
      <c r="K58" s="557"/>
      <c r="L58" s="460"/>
      <c r="M58" s="783"/>
      <c r="N58" s="460"/>
    </row>
    <row r="59" spans="1:14">
      <c r="A59" s="519"/>
      <c r="B59" s="520"/>
      <c r="C59" s="521"/>
      <c r="D59" s="522"/>
      <c r="E59" s="517"/>
      <c r="F59" s="465"/>
      <c r="G59" s="557"/>
      <c r="H59" s="460"/>
      <c r="I59" s="557"/>
      <c r="J59" s="460"/>
      <c r="K59" s="557"/>
      <c r="L59" s="460"/>
      <c r="M59" s="783"/>
      <c r="N59" s="460"/>
    </row>
    <row r="60" spans="1:14">
      <c r="A60" s="519"/>
      <c r="B60" s="520"/>
      <c r="C60" s="521"/>
      <c r="D60" s="522"/>
      <c r="E60" s="517"/>
      <c r="F60" s="465"/>
      <c r="G60" s="557"/>
      <c r="H60" s="460"/>
      <c r="I60" s="557"/>
      <c r="J60" s="460"/>
      <c r="K60" s="557"/>
      <c r="L60" s="460"/>
      <c r="M60" s="783"/>
      <c r="N60" s="460"/>
    </row>
    <row r="61" spans="1:14">
      <c r="A61" s="519"/>
      <c r="B61" s="520"/>
      <c r="C61" s="521"/>
      <c r="D61" s="522"/>
      <c r="E61" s="517"/>
      <c r="F61" s="465"/>
      <c r="G61" s="557"/>
      <c r="H61" s="460"/>
      <c r="I61" s="557"/>
      <c r="J61" s="460"/>
      <c r="K61" s="557"/>
      <c r="L61" s="460"/>
      <c r="M61" s="783"/>
      <c r="N61" s="460"/>
    </row>
    <row r="62" spans="1:14">
      <c r="A62" s="519"/>
      <c r="B62" s="520"/>
      <c r="C62" s="521"/>
      <c r="D62" s="522"/>
      <c r="E62" s="517"/>
      <c r="F62" s="465"/>
      <c r="G62" s="557"/>
      <c r="H62" s="460"/>
      <c r="I62" s="557"/>
      <c r="J62" s="460"/>
      <c r="K62" s="557"/>
      <c r="L62" s="460"/>
      <c r="M62" s="783"/>
      <c r="N62" s="460"/>
    </row>
    <row r="63" spans="1:14">
      <c r="A63" s="519"/>
      <c r="B63" s="520"/>
      <c r="C63" s="521"/>
      <c r="D63" s="522"/>
      <c r="E63" s="517"/>
      <c r="F63" s="465"/>
      <c r="G63" s="557"/>
      <c r="H63" s="460"/>
      <c r="I63" s="557"/>
      <c r="J63" s="460"/>
      <c r="K63" s="557"/>
      <c r="L63" s="460"/>
      <c r="M63" s="783"/>
      <c r="N63" s="460"/>
    </row>
    <row r="64" spans="1:14">
      <c r="A64" s="519"/>
      <c r="B64" s="520"/>
      <c r="C64" s="521"/>
      <c r="D64" s="522"/>
      <c r="E64" s="517"/>
      <c r="F64" s="465"/>
      <c r="G64" s="557"/>
      <c r="H64" s="460"/>
      <c r="I64" s="557"/>
      <c r="J64" s="460"/>
      <c r="K64" s="557"/>
      <c r="L64" s="460"/>
      <c r="M64" s="783"/>
      <c r="N64" s="460"/>
    </row>
    <row r="65" spans="1:14">
      <c r="A65" s="519"/>
      <c r="B65" s="520"/>
      <c r="C65" s="521"/>
      <c r="D65" s="522"/>
      <c r="E65" s="517"/>
      <c r="F65" s="465"/>
      <c r="G65" s="557"/>
      <c r="H65" s="460"/>
      <c r="I65" s="557"/>
      <c r="J65" s="460"/>
      <c r="K65" s="557"/>
      <c r="L65" s="460"/>
      <c r="M65" s="783"/>
      <c r="N65" s="460"/>
    </row>
    <row r="66" spans="1:14">
      <c r="A66" s="519"/>
      <c r="B66" s="520"/>
      <c r="C66" s="521"/>
      <c r="D66" s="522"/>
      <c r="E66" s="517"/>
      <c r="F66" s="465"/>
      <c r="G66" s="557"/>
      <c r="H66" s="460"/>
      <c r="I66" s="557"/>
      <c r="J66" s="460"/>
      <c r="K66" s="557"/>
      <c r="L66" s="460"/>
      <c r="M66" s="783"/>
      <c r="N66" s="460"/>
    </row>
    <row r="67" spans="1:14">
      <c r="A67" s="519"/>
      <c r="B67" s="520"/>
      <c r="C67" s="521"/>
      <c r="D67" s="522"/>
      <c r="E67" s="517"/>
      <c r="F67" s="465"/>
      <c r="G67" s="557"/>
      <c r="H67" s="460"/>
      <c r="I67" s="557"/>
      <c r="J67" s="460"/>
      <c r="K67" s="557"/>
      <c r="L67" s="460"/>
      <c r="M67" s="783"/>
      <c r="N67" s="460"/>
    </row>
    <row r="68" spans="1:14">
      <c r="A68" s="519"/>
      <c r="B68" s="520"/>
      <c r="C68" s="521"/>
      <c r="D68" s="522"/>
      <c r="E68" s="517"/>
      <c r="F68" s="465"/>
      <c r="G68" s="557"/>
      <c r="H68" s="460"/>
      <c r="I68" s="557"/>
      <c r="J68" s="460"/>
      <c r="K68" s="557"/>
      <c r="L68" s="460"/>
      <c r="M68" s="783"/>
      <c r="N68" s="460"/>
    </row>
    <row r="69" spans="1:14">
      <c r="A69" s="519"/>
      <c r="B69" s="520"/>
      <c r="C69" s="521"/>
      <c r="D69" s="522"/>
      <c r="E69" s="517"/>
      <c r="F69" s="465"/>
      <c r="G69" s="557"/>
      <c r="H69" s="460"/>
      <c r="I69" s="557"/>
      <c r="J69" s="460"/>
      <c r="K69" s="557"/>
      <c r="L69" s="460"/>
      <c r="M69" s="783"/>
      <c r="N69" s="460"/>
    </row>
    <row r="70" spans="1:14">
      <c r="A70" s="519"/>
      <c r="B70" s="520"/>
      <c r="C70" s="521"/>
      <c r="D70" s="522"/>
      <c r="E70" s="517"/>
      <c r="F70" s="465"/>
      <c r="G70" s="557"/>
      <c r="H70" s="460"/>
      <c r="I70" s="557"/>
      <c r="J70" s="460"/>
      <c r="K70" s="557"/>
      <c r="L70" s="460"/>
      <c r="M70" s="783"/>
      <c r="N70" s="460"/>
    </row>
    <row r="71" spans="1:14">
      <c r="A71" s="519"/>
      <c r="B71" s="520"/>
      <c r="C71" s="521"/>
      <c r="D71" s="522"/>
      <c r="E71" s="517"/>
      <c r="F71" s="465"/>
      <c r="G71" s="557"/>
      <c r="H71" s="460"/>
      <c r="I71" s="557"/>
      <c r="J71" s="460"/>
      <c r="K71" s="557"/>
      <c r="L71" s="460"/>
      <c r="M71" s="783"/>
      <c r="N71" s="460"/>
    </row>
    <row r="72" spans="1:14">
      <c r="A72" s="519"/>
      <c r="B72" s="520"/>
      <c r="C72" s="521"/>
      <c r="D72" s="522"/>
      <c r="E72" s="517"/>
      <c r="F72" s="465"/>
      <c r="G72" s="557"/>
      <c r="H72" s="460"/>
      <c r="I72" s="557"/>
      <c r="J72" s="460"/>
      <c r="K72" s="557"/>
      <c r="L72" s="460"/>
      <c r="M72" s="783"/>
      <c r="N72" s="460"/>
    </row>
    <row r="73" spans="1:14">
      <c r="A73" s="519"/>
      <c r="B73" s="520"/>
      <c r="C73" s="521"/>
      <c r="D73" s="522"/>
      <c r="E73" s="517"/>
      <c r="F73" s="465"/>
      <c r="G73" s="557"/>
      <c r="H73" s="460"/>
      <c r="I73" s="557"/>
      <c r="J73" s="460"/>
      <c r="K73" s="557"/>
      <c r="L73" s="460"/>
      <c r="M73" s="783"/>
      <c r="N73" s="460"/>
    </row>
    <row r="74" spans="1:14">
      <c r="A74" s="519"/>
      <c r="B74" s="520"/>
      <c r="C74" s="521"/>
      <c r="D74" s="522"/>
      <c r="E74" s="517"/>
      <c r="F74" s="465"/>
      <c r="G74" s="557"/>
      <c r="H74" s="460"/>
      <c r="I74" s="557"/>
      <c r="J74" s="460"/>
      <c r="K74" s="557"/>
      <c r="L74" s="460"/>
      <c r="M74" s="783"/>
      <c r="N74" s="460"/>
    </row>
    <row r="75" spans="1:14">
      <c r="A75" s="519"/>
      <c r="B75" s="520"/>
      <c r="C75" s="521"/>
      <c r="D75" s="522"/>
      <c r="E75" s="517"/>
      <c r="F75" s="465"/>
      <c r="G75" s="557"/>
      <c r="H75" s="460"/>
      <c r="I75" s="557"/>
      <c r="J75" s="460"/>
      <c r="K75" s="557"/>
      <c r="L75" s="460"/>
      <c r="M75" s="783"/>
      <c r="N75" s="460"/>
    </row>
    <row r="76" spans="1:14">
      <c r="A76" s="519"/>
      <c r="B76" s="520"/>
      <c r="C76" s="521"/>
      <c r="D76" s="522"/>
      <c r="E76" s="517"/>
      <c r="F76" s="465"/>
      <c r="G76" s="557"/>
      <c r="H76" s="460"/>
      <c r="I76" s="557"/>
      <c r="J76" s="460"/>
      <c r="K76" s="557"/>
      <c r="L76" s="460"/>
      <c r="M76" s="783"/>
      <c r="N76" s="460"/>
    </row>
    <row r="77" spans="1:14">
      <c r="A77" s="519"/>
      <c r="B77" s="520"/>
      <c r="C77" s="521"/>
      <c r="D77" s="522"/>
      <c r="E77" s="517"/>
      <c r="F77" s="465"/>
      <c r="G77" s="557"/>
      <c r="H77" s="460"/>
      <c r="I77" s="557"/>
      <c r="J77" s="460"/>
      <c r="K77" s="557"/>
      <c r="L77" s="460"/>
      <c r="M77" s="783"/>
      <c r="N77" s="460"/>
    </row>
    <row r="78" spans="1:14">
      <c r="A78" s="519"/>
      <c r="B78" s="520"/>
      <c r="C78" s="521"/>
      <c r="D78" s="522"/>
      <c r="E78" s="517"/>
      <c r="F78" s="465"/>
      <c r="G78" s="557"/>
      <c r="H78" s="460"/>
      <c r="I78" s="557"/>
      <c r="J78" s="460"/>
      <c r="K78" s="557"/>
      <c r="L78" s="460"/>
      <c r="M78" s="783"/>
      <c r="N78" s="460"/>
    </row>
    <row r="79" spans="1:14">
      <c r="A79" s="519"/>
      <c r="B79" s="520"/>
      <c r="C79" s="521"/>
      <c r="D79" s="522"/>
      <c r="E79" s="517"/>
      <c r="F79" s="465"/>
      <c r="G79" s="557"/>
      <c r="H79" s="460"/>
      <c r="I79" s="557"/>
      <c r="J79" s="460"/>
      <c r="K79" s="557"/>
      <c r="L79" s="460"/>
      <c r="M79" s="783"/>
      <c r="N79" s="460"/>
    </row>
    <row r="80" spans="1:14">
      <c r="A80" s="519"/>
      <c r="B80" s="520"/>
      <c r="C80" s="521"/>
      <c r="D80" s="522"/>
      <c r="E80" s="517"/>
      <c r="F80" s="465"/>
      <c r="G80" s="557"/>
      <c r="H80" s="460"/>
      <c r="I80" s="557"/>
      <c r="J80" s="460"/>
      <c r="K80" s="557"/>
      <c r="L80" s="460"/>
      <c r="M80" s="783"/>
      <c r="N80" s="460"/>
    </row>
    <row r="81" spans="1:14">
      <c r="A81" s="519"/>
      <c r="B81" s="520"/>
      <c r="C81" s="521"/>
      <c r="D81" s="522"/>
      <c r="E81" s="517"/>
      <c r="F81" s="465"/>
      <c r="G81" s="557"/>
      <c r="H81" s="460"/>
      <c r="I81" s="557"/>
      <c r="J81" s="460"/>
      <c r="K81" s="557"/>
      <c r="L81" s="460"/>
      <c r="M81" s="783"/>
      <c r="N81" s="460"/>
    </row>
    <row r="82" spans="1:14">
      <c r="A82" s="519"/>
      <c r="B82" s="520"/>
      <c r="C82" s="521"/>
      <c r="D82" s="522"/>
      <c r="E82" s="517"/>
      <c r="F82" s="465"/>
      <c r="G82" s="557"/>
      <c r="H82" s="460"/>
      <c r="I82" s="557"/>
      <c r="J82" s="460"/>
      <c r="K82" s="557"/>
      <c r="L82" s="460"/>
      <c r="M82" s="783"/>
      <c r="N82" s="460"/>
    </row>
    <row r="83" spans="1:14">
      <c r="A83" s="519"/>
      <c r="B83" s="520"/>
      <c r="C83" s="521"/>
      <c r="D83" s="522"/>
      <c r="E83" s="517"/>
      <c r="F83" s="465"/>
      <c r="G83" s="557"/>
      <c r="H83" s="460"/>
      <c r="I83" s="557"/>
      <c r="J83" s="460"/>
      <c r="K83" s="557"/>
      <c r="L83" s="460"/>
      <c r="M83" s="783"/>
      <c r="N83" s="460"/>
    </row>
    <row r="84" spans="1:14">
      <c r="A84" s="519"/>
      <c r="B84" s="520"/>
      <c r="C84" s="521"/>
      <c r="D84" s="522"/>
      <c r="E84" s="517"/>
      <c r="F84" s="465"/>
      <c r="G84" s="557"/>
      <c r="H84" s="460"/>
      <c r="I84" s="557"/>
      <c r="J84" s="460"/>
      <c r="K84" s="557"/>
      <c r="L84" s="460"/>
      <c r="M84" s="783"/>
      <c r="N84" s="460"/>
    </row>
    <row r="85" spans="1:14">
      <c r="A85" s="519"/>
      <c r="B85" s="520"/>
      <c r="C85" s="521"/>
      <c r="D85" s="522"/>
      <c r="E85" s="517"/>
      <c r="F85" s="465"/>
      <c r="G85" s="557"/>
      <c r="H85" s="460"/>
      <c r="I85" s="557"/>
      <c r="J85" s="460"/>
      <c r="K85" s="557"/>
      <c r="L85" s="460"/>
      <c r="M85" s="783"/>
      <c r="N85" s="460"/>
    </row>
    <row r="86" spans="1:14">
      <c r="A86" s="519"/>
      <c r="B86" s="520"/>
      <c r="C86" s="521"/>
      <c r="D86" s="522"/>
      <c r="E86" s="517"/>
      <c r="F86" s="465"/>
      <c r="G86" s="557"/>
      <c r="H86" s="460"/>
      <c r="I86" s="557"/>
      <c r="J86" s="460"/>
      <c r="K86" s="557"/>
      <c r="L86" s="460"/>
      <c r="M86" s="783"/>
      <c r="N86" s="460"/>
    </row>
    <row r="87" spans="1:14">
      <c r="A87" s="519"/>
      <c r="B87" s="520"/>
      <c r="C87" s="521"/>
      <c r="D87" s="522"/>
      <c r="E87" s="517"/>
      <c r="F87" s="465"/>
      <c r="G87" s="557"/>
      <c r="H87" s="460"/>
      <c r="I87" s="557"/>
      <c r="J87" s="460"/>
      <c r="K87" s="557"/>
      <c r="L87" s="460"/>
      <c r="M87" s="783"/>
      <c r="N87" s="460"/>
    </row>
    <row r="88" spans="1:14">
      <c r="A88" s="519"/>
      <c r="B88" s="520"/>
      <c r="C88" s="521"/>
      <c r="D88" s="522"/>
      <c r="E88" s="517"/>
      <c r="F88" s="465"/>
      <c r="G88" s="557"/>
      <c r="H88" s="460"/>
      <c r="I88" s="557"/>
      <c r="J88" s="460"/>
      <c r="K88" s="557"/>
      <c r="L88" s="460"/>
      <c r="M88" s="783"/>
      <c r="N88" s="460"/>
    </row>
    <row r="89" spans="1:14">
      <c r="A89" s="519"/>
      <c r="B89" s="520"/>
      <c r="C89" s="521"/>
      <c r="D89" s="522"/>
      <c r="E89" s="517"/>
      <c r="F89" s="465"/>
      <c r="G89" s="557"/>
      <c r="H89" s="460"/>
      <c r="I89" s="557"/>
      <c r="J89" s="460"/>
      <c r="K89" s="557"/>
      <c r="L89" s="460"/>
      <c r="M89" s="783"/>
      <c r="N89" s="460"/>
    </row>
    <row r="90" spans="1:14">
      <c r="A90" s="519"/>
      <c r="B90" s="520"/>
      <c r="C90" s="521"/>
      <c r="D90" s="522"/>
      <c r="E90" s="517"/>
      <c r="F90" s="465"/>
      <c r="G90" s="557"/>
      <c r="H90" s="460"/>
      <c r="I90" s="557"/>
      <c r="J90" s="460"/>
      <c r="K90" s="557"/>
      <c r="L90" s="460"/>
      <c r="M90" s="783"/>
      <c r="N90" s="460"/>
    </row>
    <row r="91" spans="1:14">
      <c r="A91" s="519"/>
      <c r="B91" s="520"/>
      <c r="C91" s="521"/>
      <c r="D91" s="522"/>
      <c r="E91" s="517"/>
      <c r="F91" s="465"/>
      <c r="G91" s="557"/>
      <c r="H91" s="460"/>
      <c r="I91" s="557"/>
      <c r="J91" s="460"/>
      <c r="K91" s="557"/>
      <c r="L91" s="460"/>
      <c r="M91" s="783"/>
      <c r="N91" s="460"/>
    </row>
    <row r="92" spans="1:14">
      <c r="A92" s="519"/>
      <c r="B92" s="520"/>
      <c r="C92" s="521"/>
      <c r="D92" s="522"/>
      <c r="E92" s="517"/>
      <c r="F92" s="465"/>
      <c r="G92" s="557"/>
      <c r="H92" s="460"/>
      <c r="I92" s="557"/>
      <c r="J92" s="460"/>
      <c r="K92" s="557"/>
      <c r="L92" s="460"/>
      <c r="M92" s="783"/>
      <c r="N92" s="460"/>
    </row>
    <row r="93" spans="1:14">
      <c r="A93" s="519"/>
      <c r="B93" s="520"/>
      <c r="C93" s="521"/>
      <c r="D93" s="522"/>
      <c r="E93" s="517"/>
      <c r="F93" s="465"/>
      <c r="G93" s="557"/>
      <c r="H93" s="460"/>
      <c r="I93" s="557"/>
      <c r="J93" s="460"/>
      <c r="K93" s="557"/>
      <c r="L93" s="460"/>
      <c r="M93" s="783"/>
      <c r="N93" s="460"/>
    </row>
    <row r="94" spans="1:14">
      <c r="A94" s="519"/>
      <c r="B94" s="520"/>
      <c r="C94" s="521"/>
      <c r="D94" s="522"/>
      <c r="E94" s="517"/>
      <c r="F94" s="465"/>
      <c r="G94" s="557"/>
      <c r="H94" s="460"/>
      <c r="I94" s="557"/>
      <c r="J94" s="460"/>
      <c r="K94" s="557"/>
      <c r="L94" s="460"/>
      <c r="M94" s="783"/>
      <c r="N94" s="460"/>
    </row>
    <row r="95" spans="1:14">
      <c r="A95" s="519"/>
      <c r="B95" s="520"/>
      <c r="C95" s="521"/>
      <c r="D95" s="522"/>
      <c r="E95" s="517"/>
      <c r="F95" s="465"/>
      <c r="G95" s="557"/>
      <c r="H95" s="460"/>
      <c r="I95" s="557"/>
      <c r="J95" s="460"/>
      <c r="K95" s="557"/>
      <c r="L95" s="460"/>
      <c r="M95" s="783"/>
      <c r="N95" s="460"/>
    </row>
    <row r="96" spans="1:14">
      <c r="A96" s="519"/>
      <c r="B96" s="520"/>
      <c r="C96" s="521"/>
      <c r="D96" s="522"/>
      <c r="E96" s="517"/>
      <c r="F96" s="465"/>
      <c r="G96" s="557"/>
      <c r="H96" s="460"/>
      <c r="I96" s="557"/>
      <c r="J96" s="460"/>
      <c r="K96" s="557"/>
      <c r="L96" s="460"/>
      <c r="M96" s="783"/>
      <c r="N96" s="460"/>
    </row>
    <row r="97" spans="1:14">
      <c r="A97" s="519"/>
      <c r="B97" s="520"/>
      <c r="C97" s="521"/>
      <c r="D97" s="522"/>
      <c r="E97" s="517"/>
      <c r="F97" s="465"/>
      <c r="G97" s="557"/>
      <c r="H97" s="460"/>
      <c r="I97" s="557"/>
      <c r="J97" s="460"/>
      <c r="K97" s="557"/>
      <c r="L97" s="460"/>
      <c r="M97" s="783"/>
      <c r="N97" s="460"/>
    </row>
    <row r="98" spans="1:14">
      <c r="A98" s="519"/>
      <c r="B98" s="520"/>
      <c r="C98" s="521"/>
      <c r="D98" s="522"/>
      <c r="E98" s="517"/>
      <c r="F98" s="465"/>
      <c r="G98" s="557"/>
      <c r="H98" s="460"/>
      <c r="I98" s="557"/>
      <c r="J98" s="460"/>
      <c r="K98" s="557"/>
      <c r="L98" s="460"/>
      <c r="M98" s="783"/>
      <c r="N98" s="460"/>
    </row>
    <row r="99" spans="1:14">
      <c r="A99" s="519"/>
      <c r="B99" s="520"/>
      <c r="C99" s="521"/>
      <c r="D99" s="522"/>
      <c r="E99" s="517"/>
      <c r="F99" s="465"/>
      <c r="G99" s="557"/>
      <c r="H99" s="460"/>
      <c r="I99" s="557"/>
      <c r="J99" s="460"/>
      <c r="K99" s="557"/>
      <c r="L99" s="460"/>
      <c r="M99" s="783"/>
      <c r="N99" s="460"/>
    </row>
    <row r="100" spans="1:14">
      <c r="A100" s="519"/>
      <c r="B100" s="520"/>
      <c r="C100" s="521"/>
      <c r="D100" s="522"/>
      <c r="E100" s="517"/>
      <c r="F100" s="465"/>
      <c r="G100" s="557"/>
      <c r="H100" s="460"/>
      <c r="I100" s="557"/>
      <c r="J100" s="460"/>
      <c r="K100" s="557"/>
      <c r="L100" s="460"/>
      <c r="M100" s="783"/>
      <c r="N100" s="460"/>
    </row>
    <row r="101" spans="1:14">
      <c r="A101" s="519"/>
      <c r="B101" s="520"/>
      <c r="C101" s="521"/>
      <c r="D101" s="522"/>
      <c r="E101" s="517"/>
      <c r="F101" s="465"/>
      <c r="G101" s="557"/>
      <c r="H101" s="460"/>
      <c r="I101" s="557"/>
      <c r="J101" s="460"/>
      <c r="K101" s="557"/>
      <c r="L101" s="460"/>
      <c r="M101" s="783"/>
      <c r="N101" s="460"/>
    </row>
    <row r="102" spans="1:14">
      <c r="A102" s="519"/>
      <c r="B102" s="520"/>
      <c r="C102" s="521"/>
      <c r="D102" s="522"/>
      <c r="E102" s="517"/>
      <c r="F102" s="465"/>
      <c r="G102" s="557"/>
      <c r="H102" s="460"/>
      <c r="I102" s="557"/>
      <c r="J102" s="460"/>
      <c r="K102" s="557"/>
      <c r="L102" s="460"/>
      <c r="M102" s="783"/>
      <c r="N102" s="460"/>
    </row>
    <row r="103" spans="1:14">
      <c r="A103" s="519"/>
      <c r="B103" s="520"/>
      <c r="C103" s="521"/>
      <c r="D103" s="522"/>
      <c r="E103" s="517"/>
      <c r="F103" s="465"/>
      <c r="G103" s="557"/>
      <c r="H103" s="460"/>
      <c r="I103" s="557"/>
      <c r="J103" s="460"/>
      <c r="K103" s="557"/>
      <c r="L103" s="460"/>
      <c r="M103" s="783"/>
      <c r="N103" s="460"/>
    </row>
    <row r="104" spans="1:14">
      <c r="A104" s="519"/>
      <c r="B104" s="520"/>
      <c r="C104" s="521"/>
      <c r="D104" s="522"/>
      <c r="E104" s="517"/>
      <c r="F104" s="465"/>
      <c r="G104" s="557"/>
      <c r="H104" s="460"/>
      <c r="I104" s="557"/>
      <c r="J104" s="460"/>
      <c r="K104" s="557"/>
      <c r="L104" s="460"/>
      <c r="M104" s="783"/>
      <c r="N104" s="460"/>
    </row>
    <row r="105" spans="1:14">
      <c r="A105" s="519"/>
      <c r="B105" s="520"/>
      <c r="C105" s="521"/>
      <c r="D105" s="522"/>
      <c r="E105" s="517"/>
      <c r="F105" s="465"/>
      <c r="G105" s="557"/>
      <c r="H105" s="460"/>
      <c r="I105" s="557"/>
      <c r="J105" s="460"/>
      <c r="K105" s="557"/>
      <c r="L105" s="460"/>
      <c r="M105" s="783"/>
      <c r="N105" s="460"/>
    </row>
    <row r="106" spans="1:14">
      <c r="A106" s="519"/>
      <c r="B106" s="520"/>
      <c r="C106" s="521"/>
      <c r="D106" s="522"/>
      <c r="E106" s="517"/>
      <c r="F106" s="465"/>
      <c r="G106" s="557"/>
      <c r="H106" s="460"/>
      <c r="I106" s="557"/>
      <c r="J106" s="460"/>
      <c r="K106" s="557"/>
      <c r="L106" s="460"/>
      <c r="M106" s="783"/>
      <c r="N106" s="460"/>
    </row>
    <row r="107" spans="1:14">
      <c r="A107" s="519"/>
      <c r="B107" s="520"/>
      <c r="C107" s="521"/>
      <c r="D107" s="522"/>
      <c r="E107" s="517"/>
      <c r="F107" s="465"/>
      <c r="G107" s="557"/>
      <c r="H107" s="460"/>
      <c r="I107" s="557"/>
      <c r="J107" s="460"/>
      <c r="K107" s="557"/>
      <c r="L107" s="460"/>
      <c r="M107" s="783"/>
      <c r="N107" s="460"/>
    </row>
    <row r="108" spans="1:14">
      <c r="A108" s="519"/>
      <c r="B108" s="520"/>
      <c r="C108" s="521"/>
      <c r="D108" s="522"/>
      <c r="E108" s="517"/>
      <c r="F108" s="465"/>
      <c r="G108" s="557"/>
      <c r="H108" s="460"/>
      <c r="I108" s="557"/>
      <c r="J108" s="460"/>
      <c r="K108" s="557"/>
      <c r="L108" s="460"/>
      <c r="M108" s="783"/>
      <c r="N108" s="460"/>
    </row>
    <row r="109" spans="1:14">
      <c r="A109" s="519"/>
      <c r="B109" s="520"/>
      <c r="C109" s="521"/>
      <c r="D109" s="522"/>
      <c r="E109" s="517"/>
      <c r="F109" s="465"/>
      <c r="G109" s="557"/>
      <c r="H109" s="460"/>
      <c r="I109" s="557"/>
      <c r="J109" s="460"/>
      <c r="K109" s="557"/>
      <c r="L109" s="460"/>
      <c r="M109" s="783"/>
      <c r="N109" s="460"/>
    </row>
    <row r="110" spans="1:14">
      <c r="A110" s="519"/>
      <c r="B110" s="520"/>
      <c r="C110" s="521"/>
      <c r="D110" s="522"/>
      <c r="E110" s="517"/>
      <c r="F110" s="465"/>
      <c r="G110" s="557"/>
      <c r="H110" s="460"/>
      <c r="I110" s="557"/>
      <c r="J110" s="460"/>
      <c r="K110" s="557"/>
      <c r="L110" s="460"/>
      <c r="M110" s="783"/>
      <c r="N110" s="460"/>
    </row>
    <row r="111" spans="1:14">
      <c r="A111" s="519"/>
      <c r="B111" s="520"/>
      <c r="C111" s="521"/>
      <c r="D111" s="522"/>
      <c r="E111" s="517"/>
      <c r="F111" s="465"/>
      <c r="G111" s="557"/>
      <c r="H111" s="460"/>
      <c r="I111" s="557"/>
      <c r="J111" s="460"/>
      <c r="K111" s="557"/>
      <c r="L111" s="460"/>
      <c r="M111" s="783"/>
      <c r="N111" s="460"/>
    </row>
    <row r="112" spans="1:14">
      <c r="A112" s="519"/>
      <c r="B112" s="520"/>
      <c r="C112" s="521"/>
      <c r="D112" s="522"/>
      <c r="E112" s="517"/>
      <c r="F112" s="465"/>
      <c r="G112" s="557"/>
      <c r="H112" s="460"/>
      <c r="I112" s="557"/>
      <c r="J112" s="460"/>
      <c r="K112" s="557"/>
      <c r="L112" s="460"/>
      <c r="M112" s="783"/>
      <c r="N112" s="460"/>
    </row>
    <row r="113" spans="1:14">
      <c r="A113" s="519"/>
      <c r="B113" s="520"/>
      <c r="C113" s="521"/>
      <c r="D113" s="522"/>
      <c r="E113" s="517"/>
      <c r="F113" s="465"/>
      <c r="G113" s="557"/>
      <c r="H113" s="460"/>
      <c r="I113" s="557"/>
      <c r="J113" s="460"/>
      <c r="K113" s="557"/>
      <c r="L113" s="460"/>
      <c r="M113" s="783"/>
      <c r="N113" s="460"/>
    </row>
    <row r="114" spans="1:14">
      <c r="A114" s="519"/>
      <c r="B114" s="520"/>
      <c r="C114" s="521"/>
      <c r="D114" s="522"/>
      <c r="E114" s="517"/>
      <c r="F114" s="465"/>
      <c r="G114" s="557"/>
      <c r="H114" s="460"/>
      <c r="I114" s="557"/>
      <c r="J114" s="460"/>
      <c r="K114" s="557"/>
      <c r="L114" s="460"/>
      <c r="M114" s="783"/>
      <c r="N114" s="460"/>
    </row>
    <row r="115" spans="1:14">
      <c r="A115" s="519"/>
      <c r="B115" s="520"/>
      <c r="C115" s="521"/>
      <c r="D115" s="522"/>
      <c r="E115" s="517"/>
      <c r="F115" s="465"/>
      <c r="G115" s="557"/>
      <c r="H115" s="460"/>
      <c r="I115" s="557"/>
      <c r="J115" s="460"/>
      <c r="K115" s="557"/>
      <c r="L115" s="460"/>
      <c r="M115" s="783"/>
      <c r="N115" s="460"/>
    </row>
    <row r="116" spans="1:14">
      <c r="A116" s="519"/>
      <c r="B116" s="520"/>
      <c r="C116" s="521"/>
      <c r="D116" s="522"/>
      <c r="E116" s="517"/>
      <c r="F116" s="465"/>
      <c r="G116" s="557"/>
      <c r="H116" s="460"/>
      <c r="I116" s="557"/>
      <c r="J116" s="460"/>
      <c r="K116" s="557"/>
      <c r="L116" s="460"/>
      <c r="M116" s="783"/>
      <c r="N116" s="460"/>
    </row>
    <row r="117" spans="1:14">
      <c r="A117" s="519"/>
      <c r="B117" s="520"/>
      <c r="C117" s="521"/>
      <c r="D117" s="522"/>
      <c r="E117" s="517"/>
      <c r="F117" s="465"/>
      <c r="G117" s="557"/>
      <c r="H117" s="460"/>
      <c r="I117" s="557"/>
      <c r="J117" s="460"/>
      <c r="K117" s="557"/>
      <c r="L117" s="460"/>
      <c r="M117" s="783"/>
      <c r="N117" s="460"/>
    </row>
    <row r="118" spans="1:14">
      <c r="A118" s="519"/>
      <c r="B118" s="520"/>
      <c r="C118" s="521"/>
      <c r="D118" s="522"/>
      <c r="E118" s="517"/>
      <c r="F118" s="465"/>
      <c r="G118" s="557"/>
      <c r="H118" s="460"/>
      <c r="I118" s="557"/>
      <c r="J118" s="460"/>
      <c r="K118" s="557"/>
      <c r="L118" s="460"/>
      <c r="M118" s="783"/>
      <c r="N118" s="460"/>
    </row>
    <row r="119" spans="1:14">
      <c r="A119" s="519"/>
      <c r="B119" s="520"/>
      <c r="C119" s="521"/>
      <c r="D119" s="522"/>
      <c r="E119" s="517"/>
      <c r="F119" s="465"/>
      <c r="G119" s="557"/>
      <c r="H119" s="460"/>
      <c r="I119" s="557"/>
      <c r="J119" s="460"/>
      <c r="K119" s="557"/>
      <c r="L119" s="460"/>
      <c r="M119" s="783"/>
      <c r="N119" s="460"/>
    </row>
    <row r="120" spans="1:14">
      <c r="A120" s="519"/>
      <c r="B120" s="520"/>
      <c r="C120" s="521"/>
      <c r="D120" s="522"/>
      <c r="E120" s="517"/>
      <c r="F120" s="465"/>
      <c r="G120" s="557"/>
      <c r="H120" s="460"/>
      <c r="I120" s="557"/>
      <c r="J120" s="460"/>
      <c r="K120" s="557"/>
      <c r="L120" s="460"/>
      <c r="M120" s="783"/>
      <c r="N120" s="460"/>
    </row>
    <row r="121" spans="1:14">
      <c r="A121" s="519"/>
      <c r="B121" s="520"/>
      <c r="C121" s="521"/>
      <c r="D121" s="522"/>
      <c r="E121" s="517"/>
      <c r="F121" s="465"/>
      <c r="G121" s="557"/>
      <c r="H121" s="460"/>
      <c r="I121" s="557"/>
      <c r="J121" s="460"/>
      <c r="K121" s="557"/>
      <c r="L121" s="460"/>
      <c r="M121" s="783"/>
      <c r="N121" s="460"/>
    </row>
    <row r="122" spans="1:14">
      <c r="A122" s="519"/>
      <c r="B122" s="520"/>
      <c r="C122" s="521"/>
      <c r="D122" s="522"/>
      <c r="E122" s="517"/>
      <c r="F122" s="465"/>
      <c r="G122" s="557"/>
      <c r="H122" s="460"/>
      <c r="I122" s="557"/>
      <c r="J122" s="460"/>
      <c r="K122" s="557"/>
      <c r="L122" s="460"/>
      <c r="M122" s="783"/>
      <c r="N122" s="460"/>
    </row>
    <row r="123" spans="1:14">
      <c r="A123" s="519"/>
      <c r="B123" s="520"/>
      <c r="C123" s="521"/>
      <c r="D123" s="522"/>
      <c r="E123" s="517"/>
      <c r="F123" s="465"/>
      <c r="G123" s="557"/>
      <c r="H123" s="460"/>
      <c r="I123" s="557"/>
      <c r="J123" s="460"/>
      <c r="K123" s="557"/>
      <c r="L123" s="460"/>
      <c r="M123" s="783"/>
      <c r="N123" s="460"/>
    </row>
    <row r="124" spans="1:14">
      <c r="A124" s="519"/>
      <c r="B124" s="520"/>
      <c r="C124" s="521"/>
      <c r="D124" s="522"/>
      <c r="E124" s="517"/>
      <c r="F124" s="465"/>
      <c r="G124" s="557"/>
      <c r="H124" s="460"/>
      <c r="I124" s="557"/>
      <c r="J124" s="460"/>
      <c r="K124" s="557"/>
      <c r="L124" s="460"/>
      <c r="M124" s="783"/>
      <c r="N124" s="460"/>
    </row>
    <row r="125" spans="1:14">
      <c r="A125" s="519"/>
      <c r="B125" s="520"/>
      <c r="C125" s="521"/>
      <c r="D125" s="522"/>
      <c r="E125" s="517"/>
      <c r="F125" s="465"/>
      <c r="G125" s="557"/>
      <c r="H125" s="460"/>
      <c r="I125" s="557"/>
      <c r="J125" s="460"/>
      <c r="K125" s="557"/>
      <c r="L125" s="460"/>
      <c r="M125" s="783"/>
      <c r="N125" s="460"/>
    </row>
    <row r="126" spans="1:14">
      <c r="A126" s="519"/>
      <c r="B126" s="520"/>
      <c r="C126" s="521"/>
      <c r="D126" s="522"/>
      <c r="E126" s="517"/>
      <c r="F126" s="465"/>
      <c r="G126" s="557"/>
      <c r="H126" s="460"/>
      <c r="I126" s="557"/>
      <c r="J126" s="460"/>
      <c r="K126" s="557"/>
      <c r="L126" s="460"/>
      <c r="M126" s="783"/>
      <c r="N126" s="460"/>
    </row>
    <row r="127" spans="1:14">
      <c r="A127" s="519"/>
      <c r="B127" s="520"/>
      <c r="C127" s="521"/>
      <c r="D127" s="522"/>
      <c r="E127" s="517"/>
      <c r="F127" s="465"/>
      <c r="G127" s="557"/>
      <c r="H127" s="460"/>
      <c r="I127" s="557"/>
      <c r="J127" s="460"/>
      <c r="K127" s="557"/>
      <c r="L127" s="460"/>
      <c r="M127" s="783"/>
      <c r="N127" s="460"/>
    </row>
    <row r="128" spans="1:14">
      <c r="A128" s="519"/>
      <c r="B128" s="520"/>
      <c r="C128" s="521"/>
      <c r="D128" s="522"/>
      <c r="E128" s="517"/>
      <c r="F128" s="465"/>
      <c r="G128" s="557"/>
      <c r="H128" s="460"/>
      <c r="I128" s="557"/>
      <c r="J128" s="460"/>
      <c r="K128" s="557"/>
      <c r="L128" s="460"/>
      <c r="M128" s="783"/>
      <c r="N128" s="460"/>
    </row>
    <row r="129" spans="1:14">
      <c r="A129" s="519"/>
      <c r="B129" s="520"/>
      <c r="C129" s="521"/>
      <c r="D129" s="522"/>
      <c r="E129" s="517"/>
      <c r="F129" s="465"/>
      <c r="G129" s="557"/>
      <c r="H129" s="460"/>
      <c r="I129" s="557"/>
      <c r="J129" s="460"/>
      <c r="K129" s="557"/>
      <c r="L129" s="460"/>
      <c r="M129" s="783"/>
      <c r="N129" s="460"/>
    </row>
    <row r="130" spans="1:14">
      <c r="A130" s="519"/>
      <c r="B130" s="520"/>
      <c r="C130" s="521"/>
      <c r="D130" s="522"/>
      <c r="E130" s="517"/>
      <c r="F130" s="465"/>
      <c r="G130" s="557"/>
      <c r="H130" s="460"/>
      <c r="I130" s="557"/>
      <c r="J130" s="460"/>
      <c r="K130" s="557"/>
      <c r="L130" s="460"/>
      <c r="M130" s="783"/>
      <c r="N130" s="460"/>
    </row>
    <row r="131" spans="1:14">
      <c r="A131" s="519"/>
      <c r="B131" s="520"/>
      <c r="C131" s="521"/>
      <c r="D131" s="522"/>
      <c r="E131" s="517"/>
      <c r="F131" s="465"/>
      <c r="G131" s="557"/>
      <c r="H131" s="460"/>
      <c r="I131" s="557"/>
      <c r="J131" s="460"/>
      <c r="K131" s="557"/>
      <c r="L131" s="460"/>
      <c r="M131" s="783"/>
      <c r="N131" s="460"/>
    </row>
    <row r="132" spans="1:14">
      <c r="A132" s="519"/>
      <c r="B132" s="520"/>
      <c r="C132" s="521"/>
      <c r="D132" s="522"/>
      <c r="E132" s="517"/>
      <c r="F132" s="465"/>
      <c r="G132" s="557"/>
      <c r="H132" s="460"/>
      <c r="I132" s="557"/>
      <c r="J132" s="460"/>
      <c r="K132" s="557"/>
      <c r="L132" s="460"/>
      <c r="M132" s="783"/>
      <c r="N132" s="460"/>
    </row>
    <row r="133" spans="1:14">
      <c r="A133" s="519"/>
      <c r="B133" s="520"/>
      <c r="C133" s="521"/>
      <c r="D133" s="522"/>
      <c r="E133" s="517"/>
      <c r="F133" s="465"/>
      <c r="G133" s="557"/>
      <c r="H133" s="460"/>
      <c r="I133" s="557"/>
      <c r="J133" s="460"/>
      <c r="K133" s="557"/>
      <c r="L133" s="460"/>
      <c r="M133" s="783"/>
      <c r="N133" s="460"/>
    </row>
    <row r="134" spans="1:14">
      <c r="A134" s="519"/>
      <c r="B134" s="520"/>
      <c r="C134" s="521"/>
      <c r="D134" s="522"/>
      <c r="E134" s="517"/>
      <c r="F134" s="465"/>
      <c r="G134" s="557"/>
      <c r="H134" s="460"/>
      <c r="I134" s="557"/>
      <c r="J134" s="460"/>
      <c r="K134" s="557"/>
      <c r="L134" s="460"/>
      <c r="M134" s="783"/>
      <c r="N134" s="460"/>
    </row>
    <row r="135" spans="1:14">
      <c r="A135" s="519"/>
      <c r="B135" s="520"/>
      <c r="C135" s="521"/>
      <c r="D135" s="522"/>
      <c r="E135" s="517"/>
      <c r="F135" s="465"/>
      <c r="G135" s="557"/>
      <c r="H135" s="460"/>
      <c r="I135" s="557"/>
      <c r="J135" s="460"/>
      <c r="K135" s="557"/>
      <c r="L135" s="460"/>
      <c r="M135" s="783"/>
      <c r="N135" s="460"/>
    </row>
    <row r="136" spans="1:14">
      <c r="A136" s="519"/>
      <c r="B136" s="520"/>
      <c r="C136" s="521"/>
      <c r="D136" s="522"/>
      <c r="E136" s="517"/>
      <c r="F136" s="465"/>
      <c r="G136" s="557"/>
      <c r="H136" s="460"/>
      <c r="I136" s="557"/>
      <c r="J136" s="460"/>
      <c r="K136" s="557"/>
      <c r="L136" s="460"/>
      <c r="M136" s="783"/>
      <c r="N136" s="460"/>
    </row>
    <row r="137" spans="1:14">
      <c r="A137" s="519"/>
      <c r="B137" s="520"/>
      <c r="C137" s="521"/>
      <c r="D137" s="522"/>
      <c r="E137" s="517"/>
      <c r="F137" s="465"/>
      <c r="G137" s="557"/>
      <c r="H137" s="460"/>
      <c r="I137" s="557"/>
      <c r="J137" s="460"/>
      <c r="K137" s="557"/>
      <c r="L137" s="460"/>
      <c r="M137" s="783"/>
      <c r="N137" s="460"/>
    </row>
    <row r="138" spans="1:14">
      <c r="A138" s="519"/>
      <c r="B138" s="520"/>
      <c r="C138" s="521"/>
      <c r="D138" s="522"/>
      <c r="E138" s="517"/>
      <c r="F138" s="465"/>
      <c r="G138" s="557"/>
      <c r="H138" s="460"/>
      <c r="I138" s="557"/>
      <c r="J138" s="460"/>
      <c r="K138" s="557"/>
      <c r="L138" s="460"/>
      <c r="M138" s="783"/>
      <c r="N138" s="460"/>
    </row>
    <row r="139" spans="1:14">
      <c r="A139" s="519"/>
      <c r="B139" s="520"/>
      <c r="C139" s="521"/>
      <c r="D139" s="522"/>
      <c r="E139" s="517"/>
      <c r="F139" s="465"/>
      <c r="G139" s="557"/>
      <c r="H139" s="460"/>
      <c r="I139" s="557"/>
      <c r="J139" s="460"/>
      <c r="K139" s="557"/>
      <c r="L139" s="460"/>
      <c r="M139" s="783"/>
      <c r="N139" s="460"/>
    </row>
    <row r="140" spans="1:14">
      <c r="A140" s="519"/>
      <c r="B140" s="520"/>
      <c r="C140" s="521"/>
      <c r="D140" s="522"/>
      <c r="E140" s="517"/>
      <c r="F140" s="465"/>
      <c r="G140" s="557"/>
      <c r="H140" s="460"/>
      <c r="I140" s="557"/>
      <c r="J140" s="460"/>
      <c r="K140" s="557"/>
      <c r="L140" s="460"/>
      <c r="M140" s="783"/>
      <c r="N140" s="460"/>
    </row>
    <row r="141" spans="1:14">
      <c r="A141" s="519"/>
      <c r="B141" s="520"/>
      <c r="C141" s="521"/>
      <c r="D141" s="522"/>
      <c r="E141" s="517"/>
      <c r="F141" s="465"/>
      <c r="G141" s="557"/>
      <c r="H141" s="460"/>
      <c r="I141" s="557"/>
      <c r="J141" s="460"/>
      <c r="K141" s="557"/>
      <c r="L141" s="460"/>
      <c r="M141" s="783"/>
      <c r="N141" s="460"/>
    </row>
    <row r="142" spans="1:14">
      <c r="A142" s="519"/>
      <c r="B142" s="520"/>
      <c r="C142" s="521"/>
      <c r="D142" s="522"/>
      <c r="E142" s="517"/>
      <c r="F142" s="465"/>
      <c r="G142" s="557"/>
      <c r="H142" s="460"/>
      <c r="I142" s="557"/>
      <c r="J142" s="460"/>
      <c r="K142" s="557"/>
      <c r="L142" s="460"/>
      <c r="M142" s="783"/>
      <c r="N142" s="460"/>
    </row>
    <row r="143" spans="1:14">
      <c r="A143" s="519"/>
      <c r="B143" s="520"/>
      <c r="C143" s="521"/>
      <c r="D143" s="522"/>
      <c r="E143" s="517"/>
      <c r="F143" s="465"/>
      <c r="G143" s="557"/>
      <c r="H143" s="460"/>
      <c r="I143" s="557"/>
      <c r="J143" s="460"/>
      <c r="K143" s="557"/>
      <c r="L143" s="460"/>
      <c r="M143" s="783"/>
      <c r="N143" s="460"/>
    </row>
    <row r="144" spans="1:14">
      <c r="A144" s="519"/>
      <c r="B144" s="520"/>
      <c r="C144" s="521"/>
      <c r="D144" s="522"/>
      <c r="E144" s="517"/>
      <c r="F144" s="465"/>
      <c r="G144" s="557"/>
      <c r="H144" s="460"/>
      <c r="I144" s="557"/>
      <c r="J144" s="460"/>
      <c r="K144" s="557"/>
      <c r="L144" s="460"/>
      <c r="M144" s="783"/>
      <c r="N144" s="460"/>
    </row>
    <row r="145" spans="1:14">
      <c r="A145" s="519"/>
      <c r="B145" s="520"/>
      <c r="C145" s="521"/>
      <c r="D145" s="522"/>
      <c r="E145" s="517"/>
      <c r="F145" s="465"/>
      <c r="G145" s="557"/>
      <c r="H145" s="460"/>
      <c r="I145" s="557"/>
      <c r="J145" s="460"/>
      <c r="K145" s="557"/>
      <c r="L145" s="460"/>
      <c r="M145" s="783"/>
      <c r="N145" s="460"/>
    </row>
    <row r="146" spans="1:14">
      <c r="A146" s="519"/>
      <c r="B146" s="520"/>
      <c r="C146" s="521"/>
      <c r="D146" s="522"/>
      <c r="E146" s="517"/>
      <c r="F146" s="465"/>
      <c r="G146" s="557"/>
      <c r="H146" s="460"/>
      <c r="I146" s="557"/>
      <c r="J146" s="460"/>
      <c r="K146" s="557"/>
      <c r="L146" s="460"/>
      <c r="M146" s="783"/>
      <c r="N146" s="460"/>
    </row>
    <row r="147" spans="1:14">
      <c r="A147" s="519"/>
      <c r="B147" s="520"/>
      <c r="C147" s="521"/>
      <c r="D147" s="522"/>
      <c r="E147" s="517"/>
      <c r="F147" s="465"/>
      <c r="G147" s="557"/>
      <c r="H147" s="460"/>
      <c r="I147" s="557"/>
      <c r="J147" s="460"/>
      <c r="K147" s="557"/>
      <c r="L147" s="460"/>
      <c r="M147" s="783"/>
      <c r="N147" s="460"/>
    </row>
    <row r="148" spans="1:14">
      <c r="A148" s="519"/>
      <c r="B148" s="520"/>
      <c r="C148" s="521"/>
      <c r="D148" s="522"/>
      <c r="E148" s="517"/>
      <c r="F148" s="465"/>
      <c r="G148" s="557"/>
      <c r="H148" s="460"/>
      <c r="I148" s="557"/>
      <c r="J148" s="460"/>
      <c r="K148" s="557"/>
      <c r="L148" s="460"/>
      <c r="M148" s="783"/>
      <c r="N148" s="460"/>
    </row>
    <row r="149" spans="1:14">
      <c r="A149" s="519"/>
      <c r="B149" s="520"/>
      <c r="C149" s="521"/>
      <c r="D149" s="522"/>
      <c r="E149" s="517"/>
      <c r="F149" s="465"/>
      <c r="G149" s="557"/>
      <c r="H149" s="460"/>
      <c r="I149" s="557"/>
      <c r="J149" s="460"/>
      <c r="K149" s="557"/>
      <c r="L149" s="460"/>
      <c r="M149" s="783"/>
      <c r="N149" s="460"/>
    </row>
    <row r="150" spans="1:14">
      <c r="A150" s="519"/>
      <c r="B150" s="520"/>
      <c r="C150" s="521"/>
      <c r="D150" s="522"/>
      <c r="E150" s="517"/>
      <c r="F150" s="465"/>
      <c r="G150" s="557"/>
      <c r="H150" s="460"/>
      <c r="I150" s="557"/>
      <c r="J150" s="460"/>
      <c r="K150" s="557"/>
      <c r="L150" s="460"/>
      <c r="M150" s="783"/>
      <c r="N150" s="460"/>
    </row>
    <row r="151" spans="1:14">
      <c r="A151" s="519"/>
      <c r="B151" s="520"/>
      <c r="C151" s="521"/>
      <c r="D151" s="522"/>
      <c r="E151" s="517"/>
      <c r="F151" s="465"/>
      <c r="G151" s="557"/>
      <c r="H151" s="460"/>
      <c r="I151" s="557"/>
      <c r="J151" s="460"/>
      <c r="K151" s="557"/>
      <c r="L151" s="460"/>
      <c r="M151" s="783"/>
      <c r="N151" s="460"/>
    </row>
    <row r="152" spans="1:14">
      <c r="A152" s="519"/>
      <c r="B152" s="520"/>
      <c r="C152" s="521"/>
      <c r="D152" s="522"/>
      <c r="E152" s="517"/>
      <c r="F152" s="465"/>
      <c r="G152" s="557"/>
      <c r="H152" s="460"/>
      <c r="I152" s="557"/>
      <c r="J152" s="460"/>
      <c r="K152" s="557"/>
      <c r="L152" s="460"/>
      <c r="M152" s="783"/>
      <c r="N152" s="460"/>
    </row>
    <row r="153" spans="1:14">
      <c r="A153" s="519"/>
      <c r="B153" s="520"/>
      <c r="C153" s="521"/>
      <c r="D153" s="522"/>
      <c r="E153" s="517"/>
      <c r="F153" s="465"/>
      <c r="G153" s="557"/>
      <c r="H153" s="460"/>
      <c r="I153" s="557"/>
      <c r="J153" s="460"/>
      <c r="K153" s="557"/>
      <c r="L153" s="460"/>
      <c r="M153" s="783"/>
      <c r="N153" s="460"/>
    </row>
    <row r="154" spans="1:14">
      <c r="A154" s="519"/>
      <c r="B154" s="520"/>
      <c r="C154" s="521"/>
      <c r="D154" s="522"/>
      <c r="E154" s="517"/>
      <c r="F154" s="465"/>
      <c r="G154" s="557"/>
      <c r="H154" s="460"/>
      <c r="I154" s="557"/>
      <c r="J154" s="460"/>
      <c r="K154" s="557"/>
      <c r="L154" s="460"/>
      <c r="M154" s="783"/>
      <c r="N154" s="460"/>
    </row>
    <row r="155" spans="1:14">
      <c r="A155" s="519"/>
      <c r="B155" s="520"/>
      <c r="C155" s="521"/>
      <c r="D155" s="522"/>
      <c r="E155" s="517"/>
      <c r="F155" s="465"/>
      <c r="G155" s="557"/>
      <c r="H155" s="460"/>
      <c r="I155" s="557"/>
      <c r="J155" s="460"/>
      <c r="K155" s="557"/>
      <c r="L155" s="460"/>
      <c r="M155" s="783"/>
      <c r="N155" s="460"/>
    </row>
    <row r="156" spans="1:14">
      <c r="A156" s="519"/>
      <c r="B156" s="520"/>
      <c r="C156" s="521"/>
      <c r="D156" s="522"/>
      <c r="E156" s="517"/>
      <c r="F156" s="465"/>
      <c r="G156" s="557"/>
      <c r="H156" s="460"/>
      <c r="I156" s="557"/>
      <c r="J156" s="460"/>
      <c r="K156" s="557"/>
      <c r="L156" s="460"/>
      <c r="M156" s="783"/>
      <c r="N156" s="460"/>
    </row>
    <row r="157" spans="1:14">
      <c r="A157" s="519"/>
      <c r="B157" s="520"/>
      <c r="C157" s="521"/>
      <c r="D157" s="522"/>
      <c r="E157" s="517"/>
      <c r="F157" s="465"/>
      <c r="G157" s="557"/>
      <c r="H157" s="460"/>
      <c r="I157" s="557"/>
      <c r="J157" s="460"/>
      <c r="K157" s="557"/>
      <c r="L157" s="460"/>
      <c r="M157" s="783"/>
      <c r="N157" s="460"/>
    </row>
    <row r="158" spans="1:14">
      <c r="A158" s="519"/>
      <c r="B158" s="520"/>
      <c r="C158" s="521"/>
      <c r="D158" s="522"/>
      <c r="E158" s="517"/>
      <c r="F158" s="465"/>
      <c r="G158" s="557"/>
      <c r="H158" s="460"/>
      <c r="I158" s="557"/>
      <c r="J158" s="460"/>
      <c r="K158" s="557"/>
      <c r="L158" s="460"/>
      <c r="M158" s="783"/>
      <c r="N158" s="460"/>
    </row>
    <row r="159" spans="1:14">
      <c r="A159" s="519"/>
      <c r="B159" s="520"/>
      <c r="C159" s="521"/>
      <c r="D159" s="522"/>
      <c r="E159" s="517"/>
      <c r="F159" s="465"/>
      <c r="G159" s="557"/>
      <c r="H159" s="460"/>
      <c r="I159" s="557"/>
      <c r="J159" s="460"/>
      <c r="K159" s="557"/>
      <c r="L159" s="460"/>
      <c r="M159" s="783"/>
      <c r="N159" s="460"/>
    </row>
    <row r="160" spans="1:14">
      <c r="A160" s="519"/>
      <c r="B160" s="520"/>
      <c r="C160" s="521"/>
      <c r="D160" s="522"/>
      <c r="E160" s="517"/>
      <c r="F160" s="465"/>
      <c r="G160" s="557"/>
      <c r="H160" s="460"/>
      <c r="I160" s="557"/>
      <c r="J160" s="460"/>
      <c r="K160" s="557"/>
      <c r="L160" s="460"/>
      <c r="M160" s="783"/>
      <c r="N160" s="460"/>
    </row>
    <row r="161" spans="1:14">
      <c r="A161" s="519"/>
      <c r="B161" s="520"/>
      <c r="C161" s="521"/>
      <c r="D161" s="522"/>
      <c r="E161" s="517"/>
      <c r="F161" s="465"/>
      <c r="G161" s="557"/>
      <c r="H161" s="460"/>
      <c r="I161" s="557"/>
      <c r="J161" s="460"/>
      <c r="K161" s="557"/>
      <c r="L161" s="460"/>
      <c r="M161" s="783"/>
      <c r="N161" s="460"/>
    </row>
    <row r="162" spans="1:14">
      <c r="A162" s="519"/>
      <c r="B162" s="520"/>
      <c r="C162" s="521"/>
      <c r="D162" s="522"/>
      <c r="E162" s="517"/>
      <c r="F162" s="465"/>
      <c r="G162" s="557"/>
      <c r="H162" s="460"/>
      <c r="I162" s="557"/>
      <c r="J162" s="460"/>
      <c r="K162" s="557"/>
      <c r="L162" s="460"/>
      <c r="M162" s="783"/>
      <c r="N162" s="460"/>
    </row>
    <row r="163" spans="1:14">
      <c r="A163" s="519"/>
      <c r="B163" s="520"/>
      <c r="C163" s="521"/>
      <c r="D163" s="522"/>
      <c r="E163" s="517"/>
      <c r="F163" s="465"/>
      <c r="G163" s="557"/>
      <c r="H163" s="460"/>
      <c r="I163" s="557"/>
      <c r="J163" s="460"/>
      <c r="K163" s="557"/>
      <c r="L163" s="460"/>
      <c r="M163" s="783"/>
      <c r="N163" s="460"/>
    </row>
    <row r="164" spans="1:14">
      <c r="A164" s="519"/>
      <c r="B164" s="520"/>
      <c r="C164" s="521"/>
      <c r="D164" s="522"/>
      <c r="E164" s="517"/>
      <c r="F164" s="465"/>
      <c r="G164" s="557"/>
      <c r="H164" s="460"/>
      <c r="I164" s="557"/>
      <c r="J164" s="460"/>
      <c r="K164" s="557"/>
      <c r="L164" s="460"/>
      <c r="M164" s="783"/>
      <c r="N164" s="460"/>
    </row>
    <row r="165" spans="1:14">
      <c r="A165" s="519"/>
      <c r="B165" s="520"/>
      <c r="C165" s="521"/>
      <c r="D165" s="522"/>
      <c r="E165" s="517"/>
      <c r="F165" s="465"/>
      <c r="G165" s="557"/>
      <c r="H165" s="460"/>
      <c r="I165" s="557"/>
      <c r="J165" s="460"/>
      <c r="K165" s="557"/>
      <c r="L165" s="460"/>
      <c r="M165" s="783"/>
      <c r="N165" s="460"/>
    </row>
    <row r="166" spans="1:14">
      <c r="A166" s="519"/>
      <c r="B166" s="520"/>
      <c r="C166" s="521"/>
      <c r="D166" s="522"/>
      <c r="E166" s="517"/>
      <c r="F166" s="465"/>
      <c r="G166" s="557"/>
      <c r="H166" s="460"/>
      <c r="I166" s="557"/>
      <c r="J166" s="460"/>
      <c r="K166" s="557"/>
      <c r="L166" s="460"/>
      <c r="M166" s="783"/>
      <c r="N166" s="460"/>
    </row>
    <row r="167" spans="1:14">
      <c r="A167" s="519"/>
      <c r="B167" s="520"/>
      <c r="C167" s="521"/>
      <c r="D167" s="522"/>
      <c r="E167" s="517"/>
      <c r="F167" s="465"/>
      <c r="G167" s="557"/>
      <c r="H167" s="460"/>
      <c r="I167" s="557"/>
      <c r="J167" s="460"/>
      <c r="K167" s="557"/>
      <c r="L167" s="460"/>
      <c r="M167" s="783"/>
      <c r="N167" s="460"/>
    </row>
    <row r="168" spans="1:14">
      <c r="A168" s="519"/>
      <c r="B168" s="520"/>
      <c r="C168" s="521"/>
      <c r="D168" s="522"/>
      <c r="E168" s="517"/>
      <c r="F168" s="465"/>
      <c r="G168" s="557"/>
      <c r="H168" s="460"/>
      <c r="I168" s="557"/>
      <c r="J168" s="460"/>
      <c r="K168" s="557"/>
      <c r="L168" s="460"/>
      <c r="M168" s="783"/>
      <c r="N168" s="460"/>
    </row>
    <row r="169" spans="1:14">
      <c r="A169" s="519"/>
      <c r="B169" s="520"/>
      <c r="C169" s="521"/>
      <c r="D169" s="522"/>
      <c r="E169" s="517"/>
      <c r="F169" s="465"/>
      <c r="G169" s="557"/>
      <c r="H169" s="460"/>
      <c r="I169" s="557"/>
      <c r="J169" s="460"/>
      <c r="K169" s="557"/>
      <c r="L169" s="460"/>
      <c r="M169" s="783"/>
      <c r="N169" s="460"/>
    </row>
    <row r="170" spans="1:14">
      <c r="A170" s="519"/>
      <c r="B170" s="520"/>
      <c r="C170" s="521"/>
      <c r="D170" s="522"/>
      <c r="E170" s="517"/>
      <c r="F170" s="465"/>
      <c r="G170" s="557"/>
      <c r="H170" s="460"/>
      <c r="I170" s="557"/>
      <c r="J170" s="460"/>
      <c r="K170" s="557"/>
      <c r="L170" s="460"/>
      <c r="M170" s="783"/>
      <c r="N170" s="460"/>
    </row>
    <row r="171" spans="1:14">
      <c r="A171" s="519"/>
      <c r="B171" s="520"/>
      <c r="C171" s="521"/>
      <c r="D171" s="522"/>
      <c r="E171" s="517"/>
      <c r="F171" s="465"/>
      <c r="G171" s="557"/>
      <c r="H171" s="460"/>
      <c r="I171" s="557"/>
      <c r="J171" s="460"/>
      <c r="K171" s="557"/>
      <c r="L171" s="460"/>
      <c r="M171" s="783"/>
      <c r="N171" s="460"/>
    </row>
    <row r="172" spans="1:14">
      <c r="A172" s="519"/>
      <c r="B172" s="520"/>
      <c r="C172" s="521"/>
      <c r="D172" s="522"/>
      <c r="E172" s="517"/>
      <c r="F172" s="465"/>
      <c r="G172" s="557"/>
      <c r="H172" s="460"/>
      <c r="I172" s="557"/>
      <c r="J172" s="460"/>
      <c r="K172" s="557"/>
      <c r="L172" s="460"/>
      <c r="M172" s="783"/>
      <c r="N172" s="460"/>
    </row>
    <row r="173" spans="1:14">
      <c r="A173" s="519"/>
      <c r="B173" s="520"/>
      <c r="C173" s="521"/>
      <c r="D173" s="522"/>
      <c r="E173" s="517"/>
      <c r="F173" s="465"/>
      <c r="G173" s="557"/>
      <c r="H173" s="460"/>
      <c r="I173" s="557"/>
      <c r="J173" s="460"/>
      <c r="K173" s="557"/>
      <c r="L173" s="460"/>
      <c r="M173" s="783"/>
      <c r="N173" s="460"/>
    </row>
    <row r="174" spans="1:14">
      <c r="A174" s="519"/>
      <c r="B174" s="520"/>
      <c r="C174" s="521"/>
      <c r="D174" s="522"/>
      <c r="E174" s="517"/>
      <c r="F174" s="465"/>
      <c r="G174" s="557"/>
      <c r="H174" s="460"/>
      <c r="I174" s="557"/>
      <c r="J174" s="460"/>
      <c r="K174" s="557"/>
      <c r="L174" s="460"/>
      <c r="M174" s="783"/>
      <c r="N174" s="460"/>
    </row>
    <row r="175" spans="1:14">
      <c r="A175" s="519"/>
      <c r="B175" s="520"/>
      <c r="C175" s="521"/>
      <c r="D175" s="522"/>
      <c r="E175" s="517"/>
      <c r="F175" s="465"/>
      <c r="G175" s="557"/>
      <c r="H175" s="460"/>
      <c r="I175" s="557"/>
      <c r="J175" s="460"/>
      <c r="K175" s="557"/>
      <c r="L175" s="460"/>
      <c r="M175" s="783"/>
      <c r="N175" s="460"/>
    </row>
    <row r="176" spans="1:14">
      <c r="A176" s="519"/>
      <c r="B176" s="520"/>
      <c r="C176" s="521"/>
      <c r="D176" s="522"/>
      <c r="E176" s="517"/>
      <c r="F176" s="465"/>
      <c r="G176" s="557"/>
      <c r="H176" s="460"/>
      <c r="I176" s="557"/>
      <c r="J176" s="460"/>
      <c r="K176" s="557"/>
      <c r="L176" s="460"/>
      <c r="M176" s="783"/>
      <c r="N176" s="460"/>
    </row>
    <row r="177" spans="1:14">
      <c r="A177" s="519"/>
      <c r="B177" s="520"/>
      <c r="C177" s="521"/>
      <c r="D177" s="522"/>
      <c r="E177" s="517"/>
      <c r="F177" s="465"/>
      <c r="G177" s="557"/>
      <c r="H177" s="460"/>
      <c r="I177" s="557"/>
      <c r="J177" s="460"/>
      <c r="K177" s="557"/>
      <c r="L177" s="460"/>
      <c r="M177" s="783"/>
      <c r="N177" s="460"/>
    </row>
    <row r="178" spans="1:14">
      <c r="A178" s="519"/>
      <c r="B178" s="520"/>
      <c r="C178" s="521"/>
      <c r="D178" s="522"/>
      <c r="E178" s="517"/>
      <c r="F178" s="465"/>
      <c r="G178" s="557"/>
      <c r="H178" s="460"/>
      <c r="I178" s="557"/>
      <c r="J178" s="460"/>
      <c r="K178" s="557"/>
      <c r="L178" s="460"/>
      <c r="M178" s="783"/>
      <c r="N178" s="460"/>
    </row>
    <row r="179" spans="1:14">
      <c r="A179" s="519"/>
      <c r="B179" s="520"/>
      <c r="C179" s="521"/>
      <c r="D179" s="522"/>
      <c r="E179" s="517"/>
      <c r="F179" s="465"/>
      <c r="G179" s="557"/>
      <c r="H179" s="460"/>
      <c r="I179" s="557"/>
      <c r="J179" s="460"/>
      <c r="K179" s="557"/>
      <c r="L179" s="460"/>
      <c r="M179" s="783"/>
      <c r="N179" s="460"/>
    </row>
    <row r="180" spans="1:14">
      <c r="A180" s="519"/>
      <c r="B180" s="520"/>
      <c r="C180" s="521"/>
      <c r="D180" s="522"/>
      <c r="E180" s="517"/>
      <c r="F180" s="465"/>
      <c r="G180" s="557"/>
      <c r="H180" s="460"/>
      <c r="I180" s="557"/>
      <c r="J180" s="460"/>
      <c r="K180" s="557"/>
      <c r="L180" s="460"/>
      <c r="M180" s="783"/>
      <c r="N180" s="460"/>
    </row>
    <row r="181" spans="1:14">
      <c r="A181" s="519"/>
      <c r="B181" s="520"/>
      <c r="C181" s="521"/>
      <c r="D181" s="522"/>
      <c r="E181" s="517"/>
      <c r="F181" s="465"/>
      <c r="G181" s="557"/>
      <c r="H181" s="460"/>
      <c r="I181" s="557"/>
      <c r="J181" s="460"/>
      <c r="K181" s="557"/>
      <c r="L181" s="460"/>
      <c r="M181" s="783"/>
      <c r="N181" s="460"/>
    </row>
    <row r="182" spans="1:14">
      <c r="A182" s="519"/>
      <c r="B182" s="520"/>
      <c r="C182" s="521"/>
      <c r="D182" s="522"/>
      <c r="E182" s="517"/>
      <c r="F182" s="465"/>
      <c r="G182" s="557"/>
      <c r="H182" s="460"/>
      <c r="I182" s="557"/>
      <c r="J182" s="460"/>
      <c r="K182" s="557"/>
      <c r="L182" s="460"/>
      <c r="M182" s="783"/>
      <c r="N182" s="460"/>
    </row>
    <row r="183" spans="1:14">
      <c r="A183" s="519"/>
      <c r="B183" s="520"/>
      <c r="C183" s="521"/>
      <c r="D183" s="522"/>
      <c r="E183" s="517"/>
      <c r="F183" s="465"/>
      <c r="G183" s="557"/>
      <c r="H183" s="460"/>
      <c r="I183" s="557"/>
      <c r="J183" s="460"/>
      <c r="K183" s="557"/>
      <c r="L183" s="460"/>
      <c r="M183" s="783"/>
      <c r="N183" s="460"/>
    </row>
    <row r="184" spans="1:14">
      <c r="A184" s="519"/>
      <c r="B184" s="520"/>
      <c r="C184" s="521"/>
      <c r="D184" s="522"/>
      <c r="E184" s="517"/>
      <c r="F184" s="465"/>
      <c r="G184" s="557"/>
      <c r="H184" s="460"/>
      <c r="I184" s="557"/>
      <c r="J184" s="460"/>
      <c r="K184" s="557"/>
      <c r="L184" s="460"/>
      <c r="M184" s="783"/>
      <c r="N184" s="460"/>
    </row>
    <row r="185" spans="1:14">
      <c r="A185" s="519"/>
      <c r="B185" s="520"/>
      <c r="C185" s="521"/>
      <c r="D185" s="522"/>
      <c r="E185" s="517"/>
      <c r="F185" s="465"/>
      <c r="G185" s="557"/>
      <c r="H185" s="460"/>
      <c r="I185" s="557"/>
      <c r="J185" s="460"/>
      <c r="K185" s="557"/>
      <c r="L185" s="460"/>
      <c r="M185" s="783"/>
      <c r="N185" s="460"/>
    </row>
    <row r="186" spans="1:14">
      <c r="A186" s="519"/>
      <c r="B186" s="520"/>
      <c r="C186" s="521"/>
      <c r="D186" s="522"/>
      <c r="E186" s="517"/>
      <c r="F186" s="465"/>
      <c r="G186" s="557"/>
      <c r="H186" s="460"/>
      <c r="I186" s="557"/>
      <c r="J186" s="460"/>
      <c r="K186" s="557"/>
      <c r="L186" s="460"/>
      <c r="M186" s="783"/>
      <c r="N186" s="460"/>
    </row>
    <row r="187" spans="1:14">
      <c r="A187" s="519"/>
      <c r="B187" s="520"/>
      <c r="C187" s="521"/>
      <c r="D187" s="522"/>
      <c r="E187" s="517"/>
      <c r="F187" s="465"/>
      <c r="G187" s="557"/>
      <c r="H187" s="460"/>
      <c r="I187" s="557"/>
      <c r="J187" s="460"/>
      <c r="K187" s="557"/>
      <c r="L187" s="460"/>
      <c r="M187" s="783"/>
      <c r="N187" s="460"/>
    </row>
    <row r="188" spans="1:14">
      <c r="A188" s="519"/>
      <c r="B188" s="520"/>
      <c r="C188" s="521"/>
      <c r="D188" s="522"/>
      <c r="E188" s="517"/>
      <c r="F188" s="465"/>
      <c r="G188" s="557"/>
      <c r="H188" s="460"/>
      <c r="I188" s="557"/>
      <c r="J188" s="460"/>
      <c r="K188" s="557"/>
      <c r="L188" s="460"/>
      <c r="M188" s="783"/>
      <c r="N188" s="460"/>
    </row>
    <row r="189" spans="1:14">
      <c r="A189" s="519"/>
      <c r="B189" s="520"/>
      <c r="C189" s="521"/>
      <c r="D189" s="522"/>
      <c r="E189" s="517"/>
      <c r="F189" s="465"/>
      <c r="G189" s="557"/>
      <c r="H189" s="460"/>
      <c r="I189" s="557"/>
      <c r="J189" s="460"/>
      <c r="K189" s="557"/>
      <c r="L189" s="460"/>
      <c r="M189" s="783"/>
      <c r="N189" s="460"/>
    </row>
    <row r="190" spans="1:14">
      <c r="A190" s="519"/>
      <c r="B190" s="520"/>
      <c r="C190" s="521"/>
      <c r="D190" s="522"/>
      <c r="E190" s="517"/>
      <c r="F190" s="465"/>
      <c r="G190" s="557"/>
      <c r="H190" s="460"/>
      <c r="I190" s="557"/>
      <c r="J190" s="460"/>
      <c r="K190" s="557"/>
      <c r="L190" s="460"/>
      <c r="M190" s="783"/>
      <c r="N190" s="460"/>
    </row>
    <row r="191" spans="1:14">
      <c r="A191" s="519"/>
      <c r="B191" s="520"/>
      <c r="C191" s="521"/>
      <c r="D191" s="522"/>
      <c r="E191" s="517"/>
      <c r="F191" s="465"/>
      <c r="G191" s="557"/>
      <c r="H191" s="460"/>
      <c r="I191" s="557"/>
      <c r="J191" s="460"/>
      <c r="K191" s="557"/>
      <c r="L191" s="460"/>
      <c r="M191" s="783"/>
      <c r="N191" s="460"/>
    </row>
    <row r="192" spans="1:14">
      <c r="A192" s="519"/>
      <c r="B192" s="520"/>
      <c r="C192" s="521"/>
      <c r="D192" s="522"/>
      <c r="E192" s="517"/>
      <c r="F192" s="465"/>
      <c r="G192" s="557"/>
      <c r="H192" s="460"/>
      <c r="I192" s="557"/>
      <c r="J192" s="460"/>
      <c r="K192" s="557"/>
      <c r="L192" s="460"/>
      <c r="M192" s="783"/>
      <c r="N192" s="460"/>
    </row>
    <row r="193" spans="1:14">
      <c r="A193" s="519"/>
      <c r="B193" s="520"/>
      <c r="C193" s="521"/>
      <c r="D193" s="522"/>
      <c r="E193" s="517"/>
      <c r="F193" s="465"/>
      <c r="G193" s="557"/>
      <c r="H193" s="460"/>
      <c r="I193" s="557"/>
      <c r="J193" s="460"/>
      <c r="K193" s="557"/>
      <c r="L193" s="460"/>
      <c r="M193" s="783"/>
      <c r="N193" s="460"/>
    </row>
    <row r="194" spans="1:14">
      <c r="A194" s="519"/>
      <c r="B194" s="520"/>
      <c r="C194" s="521"/>
      <c r="D194" s="522"/>
      <c r="E194" s="517"/>
      <c r="F194" s="465"/>
      <c r="G194" s="557"/>
      <c r="H194" s="460"/>
      <c r="I194" s="557"/>
      <c r="J194" s="460"/>
      <c r="K194" s="557"/>
      <c r="L194" s="460"/>
      <c r="M194" s="783"/>
      <c r="N194" s="460"/>
    </row>
    <row r="195" spans="1:14">
      <c r="A195" s="519"/>
      <c r="B195" s="520"/>
      <c r="C195" s="521"/>
      <c r="D195" s="522"/>
      <c r="E195" s="517"/>
      <c r="F195" s="465"/>
      <c r="G195" s="557"/>
      <c r="H195" s="460"/>
      <c r="I195" s="557"/>
      <c r="J195" s="460"/>
      <c r="K195" s="557"/>
      <c r="L195" s="460"/>
      <c r="M195" s="783"/>
      <c r="N195" s="460"/>
    </row>
    <row r="196" spans="1:14">
      <c r="A196" s="519"/>
      <c r="B196" s="520"/>
      <c r="C196" s="521"/>
      <c r="D196" s="522"/>
      <c r="E196" s="517"/>
      <c r="F196" s="465"/>
      <c r="G196" s="557"/>
      <c r="H196" s="460"/>
      <c r="I196" s="557"/>
      <c r="J196" s="460"/>
      <c r="K196" s="557"/>
      <c r="L196" s="460"/>
      <c r="M196" s="783"/>
      <c r="N196" s="460"/>
    </row>
    <row r="197" spans="1:14">
      <c r="A197" s="519"/>
      <c r="B197" s="520"/>
      <c r="C197" s="521"/>
      <c r="D197" s="522"/>
      <c r="E197" s="517"/>
      <c r="F197" s="465"/>
      <c r="G197" s="557"/>
      <c r="H197" s="460"/>
      <c r="I197" s="557"/>
      <c r="J197" s="460"/>
      <c r="K197" s="557"/>
      <c r="L197" s="460"/>
      <c r="M197" s="783"/>
      <c r="N197" s="460"/>
    </row>
    <row r="198" spans="1:14">
      <c r="A198" s="519"/>
      <c r="B198" s="520"/>
      <c r="C198" s="521"/>
      <c r="D198" s="522"/>
      <c r="E198" s="517"/>
      <c r="F198" s="465"/>
      <c r="G198" s="557"/>
      <c r="H198" s="460"/>
      <c r="I198" s="557"/>
      <c r="J198" s="460"/>
      <c r="K198" s="557"/>
      <c r="L198" s="460"/>
      <c r="M198" s="783"/>
      <c r="N198" s="460"/>
    </row>
    <row r="199" spans="1:14">
      <c r="A199" s="519"/>
      <c r="B199" s="520"/>
      <c r="C199" s="521"/>
      <c r="D199" s="522"/>
      <c r="E199" s="517"/>
      <c r="F199" s="465"/>
      <c r="G199" s="557"/>
      <c r="H199" s="460"/>
      <c r="I199" s="557"/>
      <c r="J199" s="460"/>
      <c r="K199" s="557"/>
      <c r="L199" s="460"/>
      <c r="M199" s="783"/>
      <c r="N199" s="460"/>
    </row>
    <row r="200" spans="1:14">
      <c r="A200" s="519"/>
      <c r="B200" s="520"/>
      <c r="C200" s="521"/>
      <c r="D200" s="522"/>
      <c r="E200" s="517"/>
      <c r="F200" s="465"/>
      <c r="G200" s="557"/>
      <c r="H200" s="460"/>
      <c r="I200" s="557"/>
      <c r="J200" s="460"/>
      <c r="K200" s="557"/>
      <c r="L200" s="460"/>
      <c r="M200" s="783"/>
      <c r="N200" s="460"/>
    </row>
    <row r="201" spans="1:14">
      <c r="A201" s="519"/>
      <c r="B201" s="520"/>
      <c r="C201" s="521"/>
      <c r="D201" s="522"/>
      <c r="E201" s="517"/>
      <c r="F201" s="465"/>
      <c r="G201" s="557"/>
      <c r="H201" s="460"/>
      <c r="I201" s="557"/>
      <c r="J201" s="460"/>
      <c r="K201" s="557"/>
      <c r="L201" s="460"/>
      <c r="M201" s="783"/>
      <c r="N201" s="460"/>
    </row>
    <row r="202" spans="1:14">
      <c r="A202" s="519"/>
      <c r="B202" s="520"/>
      <c r="C202" s="521"/>
      <c r="D202" s="522"/>
      <c r="E202" s="517"/>
      <c r="F202" s="465"/>
      <c r="G202" s="557"/>
      <c r="H202" s="460"/>
      <c r="I202" s="557"/>
      <c r="J202" s="460"/>
      <c r="K202" s="557"/>
      <c r="L202" s="460"/>
      <c r="M202" s="783"/>
      <c r="N202" s="460"/>
    </row>
    <row r="203" spans="1:14">
      <c r="A203" s="519"/>
      <c r="B203" s="520"/>
      <c r="C203" s="521"/>
      <c r="D203" s="522"/>
      <c r="E203" s="517"/>
      <c r="F203" s="465"/>
      <c r="G203" s="557"/>
      <c r="H203" s="460"/>
      <c r="I203" s="557"/>
      <c r="J203" s="460"/>
      <c r="K203" s="557"/>
      <c r="L203" s="460"/>
      <c r="M203" s="783"/>
      <c r="N203" s="460"/>
    </row>
    <row r="204" spans="1:14">
      <c r="A204" s="519"/>
      <c r="B204" s="520"/>
      <c r="C204" s="521"/>
      <c r="D204" s="522"/>
      <c r="E204" s="517"/>
      <c r="F204" s="465"/>
      <c r="G204" s="557"/>
      <c r="H204" s="460"/>
      <c r="I204" s="557"/>
      <c r="J204" s="460"/>
      <c r="K204" s="557"/>
      <c r="L204" s="460"/>
      <c r="M204" s="783"/>
      <c r="N204" s="460"/>
    </row>
    <row r="205" spans="1:14">
      <c r="A205" s="519"/>
      <c r="B205" s="520"/>
      <c r="C205" s="521"/>
      <c r="D205" s="522"/>
      <c r="E205" s="517"/>
      <c r="F205" s="465"/>
      <c r="G205" s="557"/>
      <c r="H205" s="460"/>
      <c r="I205" s="557"/>
      <c r="J205" s="460"/>
      <c r="K205" s="557"/>
      <c r="L205" s="460"/>
      <c r="M205" s="783"/>
      <c r="N205" s="460"/>
    </row>
    <row r="206" spans="1:14">
      <c r="A206" s="519"/>
      <c r="B206" s="520"/>
      <c r="C206" s="521"/>
      <c r="D206" s="522"/>
      <c r="E206" s="517"/>
      <c r="F206" s="465"/>
      <c r="G206" s="557"/>
      <c r="H206" s="460"/>
      <c r="I206" s="557"/>
      <c r="J206" s="460"/>
      <c r="K206" s="557"/>
      <c r="L206" s="460"/>
      <c r="M206" s="783"/>
      <c r="N206" s="460"/>
    </row>
    <row r="207" spans="1:14">
      <c r="A207" s="519"/>
      <c r="B207" s="520"/>
      <c r="C207" s="521"/>
      <c r="D207" s="522"/>
      <c r="E207" s="517"/>
      <c r="F207" s="465"/>
      <c r="G207" s="557"/>
      <c r="H207" s="460"/>
      <c r="I207" s="557"/>
      <c r="J207" s="460"/>
      <c r="K207" s="557"/>
      <c r="L207" s="460"/>
      <c r="M207" s="783"/>
      <c r="N207" s="460"/>
    </row>
    <row r="208" spans="1:14">
      <c r="A208" s="519"/>
      <c r="B208" s="520"/>
      <c r="C208" s="521"/>
      <c r="D208" s="522"/>
      <c r="E208" s="517"/>
      <c r="F208" s="465"/>
      <c r="G208" s="557"/>
      <c r="H208" s="460"/>
      <c r="I208" s="557"/>
      <c r="J208" s="460"/>
      <c r="K208" s="557"/>
      <c r="L208" s="460"/>
      <c r="M208" s="783"/>
      <c r="N208" s="460"/>
    </row>
    <row r="209" spans="1:14">
      <c r="A209" s="519"/>
      <c r="B209" s="520"/>
      <c r="C209" s="521"/>
      <c r="D209" s="522"/>
      <c r="E209" s="517"/>
      <c r="F209" s="465"/>
      <c r="G209" s="557"/>
      <c r="H209" s="460"/>
      <c r="I209" s="557"/>
      <c r="J209" s="460"/>
      <c r="K209" s="557"/>
      <c r="L209" s="460"/>
      <c r="M209" s="783"/>
      <c r="N209" s="460"/>
    </row>
    <row r="210" spans="1:14">
      <c r="A210" s="519"/>
      <c r="B210" s="520"/>
      <c r="C210" s="521"/>
      <c r="D210" s="522"/>
      <c r="E210" s="517"/>
      <c r="F210" s="465"/>
      <c r="G210" s="557"/>
      <c r="H210" s="460"/>
      <c r="I210" s="557"/>
      <c r="J210" s="460"/>
      <c r="K210" s="557"/>
      <c r="L210" s="460"/>
      <c r="M210" s="783"/>
      <c r="N210" s="460"/>
    </row>
    <row r="211" spans="1:14">
      <c r="A211" s="519"/>
      <c r="B211" s="520"/>
      <c r="C211" s="521"/>
      <c r="D211" s="522"/>
      <c r="E211" s="517"/>
      <c r="F211" s="465"/>
      <c r="G211" s="557"/>
      <c r="H211" s="460"/>
      <c r="I211" s="557"/>
      <c r="J211" s="460"/>
      <c r="K211" s="557"/>
      <c r="L211" s="460"/>
      <c r="M211" s="783"/>
      <c r="N211" s="460"/>
    </row>
    <row r="212" spans="1:14">
      <c r="A212" s="519"/>
      <c r="B212" s="520"/>
      <c r="C212" s="521"/>
      <c r="D212" s="522"/>
      <c r="E212" s="517"/>
      <c r="F212" s="465"/>
      <c r="G212" s="557"/>
      <c r="H212" s="460"/>
      <c r="I212" s="557"/>
      <c r="J212" s="460"/>
      <c r="K212" s="557"/>
      <c r="L212" s="460"/>
      <c r="M212" s="783"/>
      <c r="N212" s="460"/>
    </row>
    <row r="213" spans="1:14">
      <c r="A213" s="519"/>
      <c r="B213" s="520"/>
      <c r="C213" s="521"/>
      <c r="D213" s="522"/>
      <c r="E213" s="517"/>
      <c r="F213" s="465"/>
      <c r="G213" s="557"/>
      <c r="H213" s="460"/>
      <c r="I213" s="557"/>
      <c r="J213" s="460"/>
      <c r="K213" s="557"/>
      <c r="L213" s="460"/>
      <c r="M213" s="783"/>
      <c r="N213" s="460"/>
    </row>
    <row r="214" spans="1:14">
      <c r="A214" s="519"/>
      <c r="B214" s="520"/>
      <c r="C214" s="521"/>
      <c r="D214" s="522"/>
      <c r="E214" s="517"/>
      <c r="F214" s="465"/>
      <c r="G214" s="557"/>
      <c r="H214" s="460"/>
      <c r="I214" s="557"/>
      <c r="J214" s="460"/>
      <c r="K214" s="557"/>
      <c r="L214" s="460"/>
      <c r="M214" s="783"/>
      <c r="N214" s="460"/>
    </row>
    <row r="215" spans="1:14">
      <c r="A215" s="519"/>
      <c r="B215" s="520"/>
      <c r="C215" s="521"/>
      <c r="D215" s="522"/>
      <c r="E215" s="517"/>
      <c r="F215" s="465"/>
      <c r="G215" s="557"/>
      <c r="H215" s="460"/>
      <c r="I215" s="557"/>
      <c r="J215" s="460"/>
      <c r="K215" s="557"/>
      <c r="L215" s="460"/>
      <c r="M215" s="783"/>
      <c r="N215" s="460"/>
    </row>
    <row r="216" spans="1:14">
      <c r="A216" s="519"/>
      <c r="B216" s="520"/>
      <c r="C216" s="521"/>
      <c r="D216" s="522"/>
      <c r="E216" s="517"/>
      <c r="F216" s="465"/>
      <c r="G216" s="557"/>
      <c r="H216" s="460"/>
      <c r="I216" s="557"/>
      <c r="J216" s="460"/>
      <c r="K216" s="557"/>
      <c r="L216" s="460"/>
      <c r="M216" s="783"/>
      <c r="N216" s="460"/>
    </row>
    <row r="217" spans="1:14">
      <c r="A217" s="519"/>
      <c r="B217" s="520"/>
      <c r="C217" s="521"/>
      <c r="D217" s="522"/>
      <c r="E217" s="517"/>
      <c r="F217" s="465"/>
      <c r="G217" s="557"/>
      <c r="H217" s="460"/>
      <c r="I217" s="557"/>
      <c r="J217" s="460"/>
      <c r="K217" s="557"/>
      <c r="L217" s="460"/>
      <c r="M217" s="783"/>
      <c r="N217" s="460"/>
    </row>
    <row r="218" spans="1:14">
      <c r="A218" s="519"/>
      <c r="B218" s="520"/>
      <c r="C218" s="521"/>
      <c r="D218" s="522"/>
      <c r="E218" s="517"/>
      <c r="F218" s="465"/>
      <c r="G218" s="557"/>
      <c r="H218" s="460"/>
      <c r="I218" s="557"/>
      <c r="J218" s="460"/>
      <c r="K218" s="557"/>
      <c r="L218" s="460"/>
      <c r="M218" s="783"/>
      <c r="N218" s="460"/>
    </row>
    <row r="219" spans="1:14">
      <c r="A219" s="519"/>
      <c r="B219" s="520"/>
      <c r="C219" s="521"/>
      <c r="D219" s="522"/>
      <c r="E219" s="517"/>
      <c r="F219" s="465"/>
      <c r="G219" s="557"/>
      <c r="H219" s="460"/>
      <c r="I219" s="557"/>
      <c r="J219" s="460"/>
      <c r="K219" s="557"/>
      <c r="L219" s="460"/>
      <c r="M219" s="783"/>
      <c r="N219" s="460"/>
    </row>
    <row r="220" spans="1:14">
      <c r="A220" s="519"/>
      <c r="B220" s="520"/>
      <c r="C220" s="521"/>
      <c r="D220" s="522"/>
      <c r="E220" s="517"/>
      <c r="F220" s="465"/>
      <c r="G220" s="557"/>
      <c r="H220" s="460"/>
      <c r="I220" s="557"/>
      <c r="J220" s="460"/>
      <c r="K220" s="557"/>
      <c r="L220" s="460"/>
      <c r="M220" s="783"/>
      <c r="N220" s="460"/>
    </row>
    <row r="221" spans="1:14">
      <c r="A221" s="519"/>
      <c r="B221" s="520"/>
      <c r="C221" s="521"/>
      <c r="D221" s="522"/>
      <c r="E221" s="517"/>
      <c r="F221" s="465"/>
      <c r="G221" s="557"/>
      <c r="H221" s="460"/>
      <c r="I221" s="557"/>
      <c r="J221" s="460"/>
      <c r="K221" s="557"/>
      <c r="L221" s="460"/>
      <c r="M221" s="783"/>
      <c r="N221" s="460"/>
    </row>
    <row r="222" spans="1:14">
      <c r="A222" s="519"/>
      <c r="B222" s="520"/>
      <c r="C222" s="521"/>
      <c r="D222" s="522"/>
      <c r="E222" s="517"/>
      <c r="F222" s="465"/>
      <c r="G222" s="557"/>
      <c r="H222" s="460"/>
      <c r="I222" s="557"/>
      <c r="J222" s="460"/>
      <c r="K222" s="557"/>
      <c r="L222" s="460"/>
      <c r="M222" s="783"/>
      <c r="N222" s="460"/>
    </row>
    <row r="223" spans="1:14">
      <c r="A223" s="519"/>
      <c r="B223" s="520"/>
      <c r="C223" s="521"/>
      <c r="D223" s="522"/>
      <c r="E223" s="517"/>
      <c r="F223" s="465"/>
      <c r="G223" s="557"/>
      <c r="H223" s="460"/>
      <c r="I223" s="557"/>
      <c r="J223" s="460"/>
      <c r="K223" s="557"/>
      <c r="L223" s="460"/>
      <c r="M223" s="783"/>
      <c r="N223" s="460"/>
    </row>
    <row r="224" spans="1:14">
      <c r="A224" s="519"/>
      <c r="B224" s="520"/>
      <c r="C224" s="521"/>
      <c r="D224" s="522"/>
      <c r="E224" s="517"/>
      <c r="F224" s="465"/>
      <c r="G224" s="557"/>
      <c r="H224" s="460"/>
      <c r="I224" s="557"/>
      <c r="J224" s="460"/>
      <c r="K224" s="557"/>
      <c r="L224" s="460"/>
      <c r="M224" s="783"/>
      <c r="N224" s="460"/>
    </row>
    <row r="225" spans="1:14">
      <c r="A225" s="519"/>
      <c r="B225" s="520"/>
      <c r="C225" s="521"/>
      <c r="D225" s="522"/>
      <c r="E225" s="517"/>
      <c r="F225" s="465"/>
      <c r="G225" s="557"/>
      <c r="H225" s="460"/>
      <c r="I225" s="557"/>
      <c r="J225" s="460"/>
      <c r="K225" s="557"/>
      <c r="L225" s="460"/>
      <c r="M225" s="783"/>
      <c r="N225" s="460"/>
    </row>
    <row r="226" spans="1:14">
      <c r="A226" s="519"/>
      <c r="B226" s="520"/>
      <c r="C226" s="521"/>
      <c r="D226" s="522"/>
      <c r="E226" s="517"/>
      <c r="F226" s="465"/>
      <c r="G226" s="557"/>
      <c r="H226" s="460"/>
      <c r="I226" s="557"/>
      <c r="J226" s="460"/>
      <c r="K226" s="557"/>
      <c r="L226" s="460"/>
      <c r="M226" s="783"/>
      <c r="N226" s="460"/>
    </row>
    <row r="227" spans="1:14">
      <c r="A227" s="519"/>
      <c r="B227" s="520"/>
      <c r="C227" s="521"/>
      <c r="D227" s="522"/>
      <c r="E227" s="517"/>
      <c r="F227" s="465"/>
      <c r="G227" s="557"/>
      <c r="H227" s="460"/>
      <c r="I227" s="557"/>
      <c r="J227" s="460"/>
      <c r="K227" s="557"/>
      <c r="L227" s="460"/>
      <c r="M227" s="783"/>
      <c r="N227" s="460"/>
    </row>
    <row r="228" spans="1:14">
      <c r="A228" s="519"/>
      <c r="B228" s="520"/>
      <c r="C228" s="521"/>
      <c r="D228" s="522"/>
      <c r="E228" s="517"/>
      <c r="F228" s="465"/>
      <c r="G228" s="557"/>
      <c r="H228" s="460"/>
      <c r="I228" s="557"/>
      <c r="J228" s="460"/>
      <c r="K228" s="557"/>
      <c r="L228" s="460"/>
      <c r="M228" s="783"/>
      <c r="N228" s="460"/>
    </row>
    <row r="229" spans="1:14">
      <c r="A229" s="519"/>
      <c r="B229" s="520"/>
      <c r="C229" s="521"/>
      <c r="D229" s="522"/>
      <c r="E229" s="517"/>
      <c r="F229" s="465"/>
      <c r="G229" s="557"/>
      <c r="H229" s="460"/>
      <c r="I229" s="557"/>
      <c r="J229" s="460"/>
      <c r="K229" s="557"/>
      <c r="L229" s="460"/>
      <c r="M229" s="783"/>
      <c r="N229" s="460"/>
    </row>
    <row r="230" spans="1:14">
      <c r="A230" s="519"/>
      <c r="B230" s="520"/>
      <c r="C230" s="521"/>
      <c r="D230" s="522"/>
      <c r="E230" s="517"/>
      <c r="F230" s="465"/>
      <c r="G230" s="557"/>
      <c r="H230" s="460"/>
      <c r="I230" s="557"/>
      <c r="J230" s="460"/>
      <c r="K230" s="557"/>
      <c r="L230" s="460"/>
      <c r="M230" s="783"/>
      <c r="N230" s="460"/>
    </row>
    <row r="231" spans="1:14">
      <c r="A231" s="519"/>
      <c r="B231" s="520"/>
      <c r="C231" s="521"/>
      <c r="D231" s="522"/>
      <c r="E231" s="517"/>
      <c r="F231" s="465"/>
      <c r="G231" s="557"/>
      <c r="H231" s="460"/>
      <c r="I231" s="557"/>
      <c r="J231" s="460"/>
      <c r="K231" s="557"/>
      <c r="L231" s="460"/>
      <c r="M231" s="783"/>
      <c r="N231" s="460"/>
    </row>
    <row r="232" spans="1:14">
      <c r="A232" s="519"/>
      <c r="B232" s="520"/>
      <c r="C232" s="521"/>
      <c r="D232" s="522"/>
      <c r="E232" s="517"/>
      <c r="F232" s="465"/>
      <c r="G232" s="557"/>
      <c r="H232" s="460"/>
      <c r="I232" s="557"/>
      <c r="J232" s="460"/>
      <c r="K232" s="557"/>
      <c r="L232" s="460"/>
      <c r="M232" s="783"/>
      <c r="N232" s="460"/>
    </row>
    <row r="233" spans="1:14">
      <c r="A233" s="519"/>
      <c r="B233" s="520"/>
      <c r="C233" s="521"/>
      <c r="D233" s="522"/>
      <c r="E233" s="517"/>
      <c r="F233" s="465"/>
      <c r="G233" s="557"/>
      <c r="H233" s="460"/>
      <c r="I233" s="557"/>
      <c r="J233" s="460"/>
      <c r="K233" s="557"/>
      <c r="L233" s="460"/>
      <c r="M233" s="783"/>
      <c r="N233" s="460"/>
    </row>
    <row r="234" spans="1:14">
      <c r="A234" s="519"/>
      <c r="B234" s="520"/>
      <c r="C234" s="521"/>
      <c r="D234" s="522"/>
      <c r="E234" s="517"/>
      <c r="F234" s="465"/>
      <c r="G234" s="557"/>
      <c r="H234" s="460"/>
      <c r="I234" s="557"/>
      <c r="J234" s="460"/>
      <c r="K234" s="557"/>
      <c r="L234" s="460"/>
      <c r="M234" s="783"/>
      <c r="N234" s="460"/>
    </row>
    <row r="235" spans="1:14">
      <c r="A235" s="519"/>
      <c r="B235" s="520"/>
      <c r="C235" s="521"/>
      <c r="D235" s="522"/>
      <c r="E235" s="517"/>
      <c r="F235" s="465"/>
      <c r="G235" s="557"/>
      <c r="H235" s="460"/>
      <c r="I235" s="557"/>
      <c r="J235" s="460"/>
      <c r="K235" s="557"/>
      <c r="L235" s="460"/>
      <c r="M235" s="783"/>
      <c r="N235" s="460"/>
    </row>
    <row r="236" spans="1:14">
      <c r="A236" s="519"/>
      <c r="B236" s="520"/>
      <c r="C236" s="521"/>
      <c r="D236" s="522"/>
      <c r="E236" s="517"/>
      <c r="F236" s="465"/>
      <c r="G236" s="557"/>
      <c r="H236" s="460"/>
      <c r="I236" s="557"/>
      <c r="J236" s="460"/>
      <c r="K236" s="557"/>
      <c r="L236" s="460"/>
      <c r="M236" s="783"/>
      <c r="N236" s="460"/>
    </row>
    <row r="237" spans="1:14">
      <c r="A237" s="519"/>
      <c r="B237" s="520"/>
      <c r="C237" s="521"/>
      <c r="D237" s="522"/>
      <c r="E237" s="517"/>
      <c r="F237" s="465"/>
      <c r="G237" s="557"/>
      <c r="H237" s="460"/>
      <c r="I237" s="557"/>
      <c r="J237" s="460"/>
      <c r="K237" s="557"/>
      <c r="L237" s="460"/>
      <c r="M237" s="783"/>
      <c r="N237" s="460"/>
    </row>
    <row r="238" spans="1:14">
      <c r="A238" s="519"/>
      <c r="B238" s="520"/>
      <c r="C238" s="521"/>
      <c r="D238" s="522"/>
      <c r="E238" s="517"/>
      <c r="F238" s="465"/>
      <c r="G238" s="557"/>
      <c r="H238" s="460"/>
      <c r="I238" s="557"/>
      <c r="J238" s="460"/>
      <c r="K238" s="557"/>
      <c r="L238" s="460"/>
      <c r="M238" s="783"/>
      <c r="N238" s="460"/>
    </row>
    <row r="239" spans="1:14">
      <c r="A239" s="519"/>
      <c r="B239" s="520"/>
      <c r="C239" s="521"/>
      <c r="D239" s="522"/>
      <c r="E239" s="517"/>
      <c r="F239" s="465"/>
      <c r="G239" s="557"/>
      <c r="H239" s="460"/>
      <c r="I239" s="557"/>
      <c r="J239" s="460"/>
      <c r="K239" s="557"/>
      <c r="L239" s="460"/>
      <c r="M239" s="783"/>
      <c r="N239" s="460"/>
    </row>
    <row r="240" spans="1:14">
      <c r="A240" s="519"/>
      <c r="B240" s="520"/>
      <c r="C240" s="521"/>
      <c r="D240" s="522"/>
      <c r="E240" s="517"/>
      <c r="F240" s="465"/>
      <c r="G240" s="557"/>
      <c r="H240" s="460"/>
      <c r="I240" s="557"/>
      <c r="J240" s="460"/>
      <c r="K240" s="557"/>
      <c r="L240" s="460"/>
      <c r="M240" s="783"/>
      <c r="N240" s="460"/>
    </row>
    <row r="241" spans="1:14">
      <c r="A241" s="519"/>
      <c r="B241" s="520"/>
      <c r="C241" s="521"/>
      <c r="D241" s="522"/>
      <c r="E241" s="517"/>
      <c r="F241" s="465"/>
      <c r="G241" s="557"/>
      <c r="H241" s="460"/>
      <c r="I241" s="557"/>
      <c r="J241" s="460"/>
      <c r="K241" s="557"/>
      <c r="L241" s="460"/>
      <c r="M241" s="783"/>
      <c r="N241" s="460"/>
    </row>
    <row r="242" spans="1:14">
      <c r="A242" s="519"/>
      <c r="B242" s="520"/>
      <c r="C242" s="521"/>
      <c r="D242" s="522"/>
      <c r="E242" s="517"/>
      <c r="F242" s="465"/>
      <c r="G242" s="557"/>
      <c r="H242" s="460"/>
      <c r="I242" s="557"/>
      <c r="J242" s="460"/>
      <c r="K242" s="557"/>
      <c r="L242" s="460"/>
      <c r="M242" s="783"/>
      <c r="N242" s="460"/>
    </row>
    <row r="243" spans="1:14">
      <c r="A243" s="519"/>
      <c r="B243" s="520"/>
      <c r="C243" s="521"/>
      <c r="D243" s="522"/>
      <c r="E243" s="517"/>
      <c r="F243" s="465"/>
      <c r="G243" s="557"/>
      <c r="H243" s="460"/>
      <c r="I243" s="557"/>
      <c r="J243" s="460"/>
      <c r="K243" s="557"/>
      <c r="L243" s="460"/>
      <c r="M243" s="783"/>
      <c r="N243" s="460"/>
    </row>
    <row r="244" spans="1:14">
      <c r="A244" s="519"/>
      <c r="B244" s="520"/>
      <c r="C244" s="521"/>
      <c r="D244" s="522"/>
      <c r="E244" s="517"/>
      <c r="F244" s="465"/>
      <c r="G244" s="557"/>
      <c r="H244" s="460"/>
      <c r="I244" s="557"/>
      <c r="J244" s="460"/>
      <c r="K244" s="557"/>
      <c r="L244" s="460"/>
      <c r="M244" s="783"/>
      <c r="N244" s="460"/>
    </row>
    <row r="245" spans="1:14">
      <c r="A245" s="519"/>
      <c r="B245" s="520"/>
      <c r="C245" s="521"/>
      <c r="D245" s="522"/>
      <c r="E245" s="517"/>
      <c r="F245" s="465"/>
      <c r="G245" s="557"/>
      <c r="H245" s="460"/>
      <c r="I245" s="557"/>
      <c r="J245" s="460"/>
      <c r="K245" s="557"/>
      <c r="L245" s="460"/>
      <c r="M245" s="783"/>
      <c r="N245" s="460"/>
    </row>
    <row r="246" spans="1:14">
      <c r="A246" s="519"/>
      <c r="B246" s="520"/>
      <c r="C246" s="521"/>
      <c r="D246" s="522"/>
      <c r="E246" s="517"/>
      <c r="F246" s="465"/>
      <c r="G246" s="557"/>
      <c r="H246" s="460"/>
      <c r="I246" s="557"/>
      <c r="J246" s="460"/>
      <c r="K246" s="557"/>
      <c r="L246" s="460"/>
      <c r="M246" s="783"/>
      <c r="N246" s="460"/>
    </row>
    <row r="247" spans="1:14">
      <c r="A247" s="519"/>
      <c r="B247" s="520"/>
      <c r="C247" s="521"/>
      <c r="D247" s="522"/>
      <c r="E247" s="517"/>
      <c r="F247" s="465"/>
      <c r="G247" s="557"/>
      <c r="H247" s="460"/>
      <c r="I247" s="557"/>
      <c r="J247" s="460"/>
      <c r="K247" s="557"/>
      <c r="L247" s="460"/>
      <c r="M247" s="783"/>
      <c r="N247" s="460"/>
    </row>
    <row r="248" spans="1:14">
      <c r="A248" s="519"/>
      <c r="B248" s="520"/>
      <c r="C248" s="521"/>
      <c r="D248" s="522"/>
      <c r="E248" s="517"/>
      <c r="F248" s="465"/>
      <c r="G248" s="557"/>
      <c r="H248" s="460"/>
      <c r="I248" s="557"/>
      <c r="J248" s="460"/>
      <c r="K248" s="557"/>
      <c r="L248" s="460"/>
      <c r="M248" s="783"/>
      <c r="N248" s="460"/>
    </row>
    <row r="249" spans="1:14">
      <c r="A249" s="519"/>
      <c r="B249" s="520"/>
      <c r="C249" s="521"/>
      <c r="D249" s="522"/>
      <c r="E249" s="517"/>
      <c r="F249" s="465"/>
      <c r="G249" s="557"/>
      <c r="H249" s="460"/>
      <c r="I249" s="557"/>
      <c r="J249" s="460"/>
      <c r="K249" s="557"/>
      <c r="L249" s="460"/>
      <c r="M249" s="783"/>
      <c r="N249" s="460"/>
    </row>
    <row r="250" spans="1:14">
      <c r="A250" s="519"/>
      <c r="B250" s="520"/>
      <c r="C250" s="521"/>
      <c r="D250" s="522"/>
      <c r="E250" s="517"/>
      <c r="F250" s="465"/>
      <c r="G250" s="557"/>
      <c r="H250" s="460"/>
      <c r="I250" s="557"/>
      <c r="J250" s="460"/>
      <c r="K250" s="557"/>
      <c r="L250" s="460"/>
      <c r="M250" s="783"/>
      <c r="N250" s="460"/>
    </row>
    <row r="251" spans="1:14">
      <c r="A251" s="519"/>
      <c r="B251" s="520"/>
      <c r="C251" s="521"/>
      <c r="D251" s="522"/>
      <c r="E251" s="517"/>
      <c r="F251" s="465"/>
      <c r="G251" s="557"/>
      <c r="H251" s="460"/>
      <c r="I251" s="557"/>
      <c r="J251" s="460"/>
      <c r="K251" s="557"/>
      <c r="L251" s="460"/>
      <c r="M251" s="783"/>
      <c r="N251" s="460"/>
    </row>
    <row r="252" spans="1:14">
      <c r="A252" s="519"/>
      <c r="B252" s="520"/>
      <c r="C252" s="521"/>
      <c r="D252" s="522"/>
      <c r="E252" s="517"/>
      <c r="F252" s="465"/>
      <c r="G252" s="557"/>
      <c r="H252" s="460"/>
      <c r="I252" s="557"/>
      <c r="J252" s="460"/>
      <c r="K252" s="557"/>
      <c r="L252" s="460"/>
      <c r="M252" s="783"/>
      <c r="N252" s="460"/>
    </row>
    <row r="253" spans="1:14">
      <c r="A253" s="519"/>
      <c r="B253" s="520"/>
      <c r="C253" s="521"/>
      <c r="D253" s="522"/>
      <c r="E253" s="517"/>
      <c r="F253" s="465"/>
      <c r="G253" s="557"/>
      <c r="H253" s="460"/>
      <c r="I253" s="557"/>
      <c r="J253" s="460"/>
      <c r="K253" s="557"/>
      <c r="L253" s="460"/>
      <c r="M253" s="783"/>
      <c r="N253" s="460"/>
    </row>
    <row r="254" spans="1:14">
      <c r="A254" s="519"/>
      <c r="B254" s="520"/>
      <c r="C254" s="521"/>
      <c r="D254" s="522"/>
      <c r="E254" s="517"/>
      <c r="F254" s="465"/>
      <c r="G254" s="557"/>
      <c r="H254" s="460"/>
      <c r="I254" s="557"/>
      <c r="J254" s="460"/>
      <c r="K254" s="557"/>
      <c r="L254" s="460"/>
      <c r="M254" s="783"/>
      <c r="N254" s="460"/>
    </row>
    <row r="255" spans="1:14">
      <c r="A255" s="519"/>
      <c r="B255" s="520"/>
      <c r="C255" s="521"/>
      <c r="D255" s="522"/>
      <c r="E255" s="517"/>
      <c r="F255" s="465"/>
      <c r="G255" s="557"/>
      <c r="H255" s="460"/>
      <c r="I255" s="557"/>
      <c r="J255" s="460"/>
      <c r="K255" s="557"/>
      <c r="L255" s="460"/>
      <c r="M255" s="783"/>
      <c r="N255" s="460"/>
    </row>
    <row r="256" spans="1:14">
      <c r="A256" s="519"/>
      <c r="B256" s="520"/>
      <c r="C256" s="521"/>
      <c r="D256" s="522"/>
      <c r="E256" s="517"/>
      <c r="F256" s="465"/>
      <c r="G256" s="557"/>
      <c r="H256" s="460"/>
      <c r="I256" s="557"/>
      <c r="J256" s="460"/>
      <c r="K256" s="557"/>
      <c r="L256" s="460"/>
      <c r="M256" s="783"/>
      <c r="N256" s="460"/>
    </row>
    <row r="257" spans="1:14">
      <c r="A257" s="519"/>
      <c r="B257" s="520"/>
      <c r="C257" s="521"/>
      <c r="D257" s="522"/>
      <c r="E257" s="517"/>
      <c r="F257" s="465"/>
      <c r="G257" s="557"/>
      <c r="H257" s="460"/>
      <c r="I257" s="557"/>
      <c r="J257" s="460"/>
      <c r="K257" s="557"/>
      <c r="L257" s="460"/>
      <c r="M257" s="783"/>
      <c r="N257" s="460"/>
    </row>
    <row r="258" spans="1:14">
      <c r="A258" s="519"/>
      <c r="B258" s="520"/>
      <c r="C258" s="521"/>
      <c r="D258" s="522"/>
      <c r="E258" s="517"/>
      <c r="F258" s="465"/>
      <c r="G258" s="557"/>
      <c r="H258" s="460"/>
      <c r="I258" s="557"/>
      <c r="J258" s="460"/>
      <c r="K258" s="557"/>
      <c r="L258" s="460"/>
      <c r="M258" s="783"/>
      <c r="N258" s="460"/>
    </row>
    <row r="259" spans="1:14">
      <c r="A259" s="519"/>
      <c r="B259" s="520"/>
      <c r="C259" s="521"/>
      <c r="D259" s="522"/>
      <c r="E259" s="517"/>
      <c r="F259" s="465"/>
      <c r="G259" s="557"/>
      <c r="H259" s="460"/>
      <c r="I259" s="557"/>
      <c r="J259" s="460"/>
      <c r="K259" s="557"/>
      <c r="L259" s="460"/>
      <c r="M259" s="783"/>
      <c r="N259" s="460"/>
    </row>
    <row r="260" spans="1:14">
      <c r="A260" s="519"/>
      <c r="B260" s="520"/>
      <c r="C260" s="521"/>
      <c r="D260" s="522"/>
      <c r="E260" s="517"/>
      <c r="F260" s="465"/>
      <c r="G260" s="557"/>
      <c r="H260" s="460"/>
      <c r="I260" s="557"/>
      <c r="J260" s="460"/>
      <c r="K260" s="557"/>
      <c r="L260" s="460"/>
      <c r="M260" s="783"/>
      <c r="N260" s="460"/>
    </row>
    <row r="261" spans="1:14">
      <c r="A261" s="519"/>
      <c r="B261" s="520"/>
      <c r="C261" s="521"/>
      <c r="D261" s="522"/>
      <c r="E261" s="517"/>
      <c r="F261" s="465"/>
      <c r="G261" s="557"/>
      <c r="H261" s="460"/>
      <c r="I261" s="557"/>
      <c r="J261" s="460"/>
      <c r="K261" s="557"/>
      <c r="L261" s="460"/>
      <c r="M261" s="783"/>
      <c r="N261" s="460"/>
    </row>
    <row r="262" spans="1:14">
      <c r="A262" s="519"/>
      <c r="B262" s="520"/>
      <c r="C262" s="521"/>
      <c r="D262" s="522"/>
      <c r="E262" s="517"/>
      <c r="F262" s="465"/>
      <c r="G262" s="557"/>
      <c r="H262" s="460"/>
      <c r="I262" s="557"/>
      <c r="J262" s="460"/>
      <c r="K262" s="557"/>
      <c r="L262" s="460"/>
      <c r="M262" s="783"/>
      <c r="N262" s="460"/>
    </row>
    <row r="263" spans="1:14">
      <c r="A263" s="519"/>
      <c r="B263" s="520"/>
      <c r="C263" s="521"/>
      <c r="D263" s="522"/>
      <c r="E263" s="517"/>
      <c r="F263" s="465"/>
      <c r="G263" s="557"/>
      <c r="H263" s="460"/>
      <c r="I263" s="557"/>
      <c r="J263" s="460"/>
      <c r="K263" s="557"/>
      <c r="L263" s="460"/>
      <c r="M263" s="783"/>
      <c r="N263" s="460"/>
    </row>
    <row r="264" spans="1:14">
      <c r="A264" s="519"/>
      <c r="B264" s="520"/>
      <c r="C264" s="521"/>
      <c r="D264" s="522"/>
      <c r="E264" s="517"/>
      <c r="F264" s="465"/>
      <c r="G264" s="557"/>
      <c r="H264" s="460"/>
      <c r="I264" s="557"/>
      <c r="J264" s="460"/>
      <c r="K264" s="557"/>
      <c r="L264" s="460"/>
      <c r="M264" s="783"/>
      <c r="N264" s="460"/>
    </row>
    <row r="265" spans="1:14">
      <c r="A265" s="519"/>
      <c r="B265" s="520"/>
      <c r="C265" s="521"/>
      <c r="D265" s="522"/>
      <c r="E265" s="517"/>
      <c r="F265" s="465"/>
      <c r="G265" s="557"/>
      <c r="H265" s="460"/>
      <c r="I265" s="557"/>
      <c r="J265" s="460"/>
      <c r="K265" s="557"/>
      <c r="L265" s="460"/>
      <c r="M265" s="783"/>
      <c r="N265" s="460"/>
    </row>
    <row r="266" spans="1:14">
      <c r="A266" s="519"/>
      <c r="B266" s="520"/>
      <c r="C266" s="521"/>
      <c r="D266" s="522"/>
      <c r="E266" s="517"/>
      <c r="F266" s="465"/>
      <c r="G266" s="557"/>
      <c r="H266" s="460"/>
      <c r="I266" s="557"/>
      <c r="J266" s="460"/>
      <c r="K266" s="557"/>
      <c r="L266" s="460"/>
      <c r="M266" s="783"/>
      <c r="N266" s="460"/>
    </row>
    <row r="267" spans="1:14">
      <c r="A267" s="519"/>
      <c r="B267" s="520"/>
      <c r="C267" s="521"/>
      <c r="D267" s="522"/>
      <c r="E267" s="517"/>
      <c r="F267" s="465"/>
      <c r="G267" s="557"/>
      <c r="H267" s="460"/>
      <c r="I267" s="557"/>
      <c r="J267" s="460"/>
      <c r="K267" s="557"/>
      <c r="L267" s="460"/>
      <c r="M267" s="783"/>
      <c r="N267" s="460"/>
    </row>
    <row r="268" spans="1:14">
      <c r="A268" s="519"/>
      <c r="B268" s="520"/>
      <c r="C268" s="521"/>
      <c r="D268" s="522"/>
      <c r="E268" s="517"/>
      <c r="F268" s="465"/>
      <c r="G268" s="557"/>
      <c r="H268" s="460"/>
      <c r="I268" s="557"/>
      <c r="J268" s="460"/>
      <c r="K268" s="557"/>
      <c r="L268" s="460"/>
      <c r="M268" s="783"/>
      <c r="N268" s="460"/>
    </row>
    <row r="269" spans="1:14">
      <c r="A269" s="519"/>
      <c r="B269" s="520"/>
      <c r="C269" s="521"/>
      <c r="D269" s="522"/>
      <c r="E269" s="517"/>
      <c r="F269" s="465"/>
      <c r="G269" s="557"/>
      <c r="H269" s="460"/>
      <c r="I269" s="557"/>
      <c r="J269" s="460"/>
      <c r="K269" s="557"/>
      <c r="L269" s="460"/>
      <c r="M269" s="783"/>
      <c r="N269" s="460"/>
    </row>
    <row r="270" spans="1:14">
      <c r="A270" s="519"/>
      <c r="B270" s="520"/>
      <c r="C270" s="521"/>
      <c r="D270" s="522"/>
      <c r="E270" s="517"/>
      <c r="F270" s="465"/>
      <c r="G270" s="557"/>
      <c r="H270" s="460"/>
      <c r="I270" s="557"/>
      <c r="J270" s="460"/>
      <c r="K270" s="557"/>
      <c r="L270" s="460"/>
      <c r="M270" s="783"/>
      <c r="N270" s="460"/>
    </row>
    <row r="271" spans="1:14">
      <c r="A271" s="519"/>
      <c r="B271" s="520"/>
      <c r="C271" s="521"/>
      <c r="D271" s="522"/>
      <c r="E271" s="517"/>
      <c r="F271" s="465"/>
      <c r="G271" s="557"/>
      <c r="H271" s="460"/>
      <c r="I271" s="557"/>
      <c r="J271" s="460"/>
      <c r="K271" s="557"/>
      <c r="L271" s="460"/>
      <c r="M271" s="783"/>
      <c r="N271" s="460"/>
    </row>
    <row r="272" spans="1:14">
      <c r="A272" s="519"/>
      <c r="B272" s="520"/>
      <c r="C272" s="521"/>
      <c r="D272" s="522"/>
      <c r="E272" s="517"/>
      <c r="F272" s="465"/>
      <c r="G272" s="557"/>
      <c r="H272" s="460"/>
      <c r="I272" s="557"/>
      <c r="J272" s="460"/>
      <c r="K272" s="557"/>
      <c r="L272" s="460"/>
      <c r="M272" s="783"/>
      <c r="N272" s="460"/>
    </row>
    <row r="273" spans="1:14">
      <c r="A273" s="519"/>
      <c r="B273" s="520"/>
      <c r="C273" s="521"/>
      <c r="D273" s="522"/>
      <c r="E273" s="517"/>
      <c r="F273" s="465"/>
      <c r="G273" s="557"/>
      <c r="H273" s="460"/>
      <c r="I273" s="557"/>
      <c r="J273" s="460"/>
      <c r="K273" s="557"/>
      <c r="L273" s="460"/>
      <c r="M273" s="783"/>
      <c r="N273" s="460"/>
    </row>
    <row r="274" spans="1:14">
      <c r="A274" s="519"/>
      <c r="B274" s="520"/>
      <c r="C274" s="521"/>
      <c r="D274" s="522"/>
      <c r="E274" s="517"/>
      <c r="F274" s="465"/>
      <c r="G274" s="557"/>
      <c r="H274" s="460"/>
      <c r="I274" s="557"/>
      <c r="J274" s="460"/>
      <c r="K274" s="557"/>
      <c r="L274" s="460"/>
      <c r="M274" s="783"/>
      <c r="N274" s="460"/>
    </row>
    <row r="275" spans="1:14">
      <c r="A275" s="519"/>
      <c r="B275" s="520"/>
      <c r="C275" s="521"/>
      <c r="D275" s="522"/>
      <c r="E275" s="517"/>
      <c r="F275" s="465"/>
      <c r="G275" s="557"/>
      <c r="H275" s="460"/>
      <c r="I275" s="557"/>
      <c r="J275" s="460"/>
      <c r="K275" s="557"/>
      <c r="L275" s="460"/>
      <c r="M275" s="783"/>
      <c r="N275" s="460"/>
    </row>
    <row r="276" spans="1:14">
      <c r="A276" s="519"/>
      <c r="B276" s="520"/>
      <c r="C276" s="521"/>
      <c r="D276" s="522"/>
      <c r="E276" s="517"/>
      <c r="F276" s="465"/>
      <c r="G276" s="557"/>
      <c r="H276" s="460"/>
      <c r="I276" s="557"/>
      <c r="J276" s="460"/>
      <c r="K276" s="557"/>
      <c r="L276" s="460"/>
      <c r="M276" s="783"/>
      <c r="N276" s="460"/>
    </row>
    <row r="277" spans="1:14">
      <c r="A277" s="519"/>
      <c r="B277" s="520"/>
      <c r="C277" s="521"/>
      <c r="D277" s="522"/>
      <c r="E277" s="517"/>
      <c r="F277" s="465"/>
      <c r="G277" s="557"/>
      <c r="H277" s="460"/>
      <c r="I277" s="557"/>
      <c r="J277" s="460"/>
      <c r="K277" s="557"/>
      <c r="L277" s="460"/>
      <c r="M277" s="783"/>
      <c r="N277" s="460"/>
    </row>
    <row r="278" spans="1:14">
      <c r="A278" s="519"/>
      <c r="B278" s="520"/>
      <c r="C278" s="521"/>
      <c r="D278" s="522"/>
      <c r="E278" s="517"/>
      <c r="F278" s="465"/>
      <c r="G278" s="557"/>
      <c r="H278" s="460"/>
      <c r="I278" s="557"/>
      <c r="J278" s="460"/>
      <c r="K278" s="557"/>
      <c r="L278" s="460"/>
      <c r="M278" s="783"/>
      <c r="N278" s="460"/>
    </row>
    <row r="279" spans="1:14">
      <c r="A279" s="519"/>
      <c r="B279" s="520"/>
      <c r="C279" s="521"/>
      <c r="D279" s="522"/>
      <c r="E279" s="517"/>
      <c r="F279" s="465"/>
      <c r="G279" s="557"/>
      <c r="H279" s="460"/>
      <c r="I279" s="557"/>
      <c r="J279" s="460"/>
      <c r="K279" s="557"/>
      <c r="L279" s="460"/>
      <c r="M279" s="783"/>
      <c r="N279" s="460"/>
    </row>
    <row r="280" spans="1:14">
      <c r="A280" s="519"/>
      <c r="B280" s="520"/>
      <c r="C280" s="521"/>
      <c r="D280" s="522"/>
      <c r="E280" s="517"/>
      <c r="F280" s="465"/>
      <c r="G280" s="557"/>
      <c r="H280" s="460"/>
      <c r="I280" s="557"/>
      <c r="J280" s="460"/>
      <c r="K280" s="557"/>
      <c r="L280" s="460"/>
      <c r="M280" s="783"/>
      <c r="N280" s="460"/>
    </row>
    <row r="281" spans="1:14">
      <c r="A281" s="519"/>
      <c r="B281" s="520"/>
      <c r="C281" s="521"/>
      <c r="D281" s="522"/>
      <c r="E281" s="517"/>
      <c r="F281" s="465"/>
      <c r="G281" s="557"/>
      <c r="H281" s="460"/>
      <c r="I281" s="557"/>
      <c r="J281" s="460"/>
      <c r="K281" s="557"/>
      <c r="L281" s="460"/>
      <c r="M281" s="783"/>
      <c r="N281" s="460"/>
    </row>
    <row r="282" spans="1:14">
      <c r="A282" s="519"/>
      <c r="B282" s="520"/>
      <c r="C282" s="521"/>
      <c r="D282" s="522"/>
      <c r="E282" s="517"/>
      <c r="F282" s="465"/>
      <c r="G282" s="557"/>
      <c r="H282" s="460"/>
      <c r="I282" s="557"/>
      <c r="J282" s="460"/>
      <c r="K282" s="557"/>
      <c r="L282" s="460"/>
      <c r="M282" s="783"/>
      <c r="N282" s="460"/>
    </row>
    <row r="283" spans="1:14">
      <c r="A283" s="519"/>
      <c r="B283" s="520"/>
      <c r="C283" s="521"/>
      <c r="D283" s="522"/>
      <c r="E283" s="517"/>
      <c r="F283" s="465"/>
      <c r="G283" s="557"/>
      <c r="H283" s="460"/>
      <c r="I283" s="557"/>
      <c r="J283" s="460"/>
      <c r="K283" s="557"/>
      <c r="L283" s="460"/>
      <c r="M283" s="783"/>
      <c r="N283" s="460"/>
    </row>
    <row r="284" spans="1:14">
      <c r="A284" s="519"/>
      <c r="B284" s="520"/>
      <c r="C284" s="521"/>
      <c r="D284" s="522"/>
      <c r="E284" s="517"/>
      <c r="F284" s="465"/>
      <c r="G284" s="557"/>
      <c r="H284" s="460"/>
      <c r="I284" s="557"/>
      <c r="J284" s="460"/>
      <c r="K284" s="557"/>
      <c r="L284" s="460"/>
      <c r="M284" s="783"/>
      <c r="N284" s="460"/>
    </row>
    <row r="285" spans="1:14">
      <c r="A285" s="519"/>
      <c r="B285" s="520"/>
      <c r="C285" s="521"/>
      <c r="D285" s="522"/>
      <c r="E285" s="517"/>
      <c r="F285" s="465"/>
      <c r="G285" s="557"/>
      <c r="H285" s="460"/>
      <c r="I285" s="557"/>
      <c r="J285" s="460"/>
      <c r="K285" s="557"/>
      <c r="L285" s="460"/>
      <c r="M285" s="783"/>
      <c r="N285" s="460"/>
    </row>
    <row r="286" spans="1:14">
      <c r="A286" s="519"/>
      <c r="B286" s="520"/>
      <c r="C286" s="521"/>
      <c r="D286" s="522"/>
      <c r="E286" s="517"/>
      <c r="F286" s="465"/>
      <c r="G286" s="557"/>
      <c r="H286" s="460"/>
      <c r="I286" s="557"/>
      <c r="J286" s="460"/>
      <c r="K286" s="557"/>
      <c r="L286" s="460"/>
      <c r="M286" s="783"/>
      <c r="N286" s="460"/>
    </row>
    <row r="287" spans="1:14">
      <c r="A287" s="519"/>
      <c r="B287" s="520"/>
      <c r="C287" s="521"/>
      <c r="D287" s="522"/>
      <c r="E287" s="517"/>
      <c r="F287" s="465"/>
      <c r="G287" s="557"/>
      <c r="H287" s="460"/>
      <c r="I287" s="557"/>
      <c r="J287" s="460"/>
      <c r="K287" s="557"/>
      <c r="L287" s="460"/>
      <c r="M287" s="783"/>
      <c r="N287" s="460"/>
    </row>
    <row r="288" spans="1:14">
      <c r="A288" s="519"/>
      <c r="B288" s="520"/>
      <c r="C288" s="521"/>
      <c r="D288" s="522"/>
      <c r="E288" s="517"/>
      <c r="F288" s="465"/>
      <c r="G288" s="557"/>
      <c r="H288" s="460"/>
      <c r="I288" s="557"/>
      <c r="J288" s="460"/>
      <c r="K288" s="557"/>
      <c r="L288" s="460"/>
      <c r="M288" s="783"/>
      <c r="N288" s="460"/>
    </row>
    <row r="289" spans="1:14">
      <c r="A289" s="519"/>
      <c r="B289" s="520"/>
      <c r="C289" s="521"/>
      <c r="D289" s="522"/>
      <c r="E289" s="517"/>
      <c r="F289" s="465"/>
      <c r="G289" s="557"/>
      <c r="H289" s="460"/>
      <c r="I289" s="557"/>
      <c r="J289" s="460"/>
      <c r="K289" s="557"/>
      <c r="L289" s="460"/>
      <c r="M289" s="783"/>
      <c r="N289" s="460"/>
    </row>
    <row r="290" spans="1:14">
      <c r="A290" s="519"/>
      <c r="B290" s="520"/>
      <c r="C290" s="521"/>
      <c r="D290" s="522"/>
      <c r="E290" s="517"/>
      <c r="F290" s="465"/>
      <c r="G290" s="557"/>
      <c r="H290" s="460"/>
      <c r="I290" s="557"/>
      <c r="J290" s="460"/>
      <c r="K290" s="557"/>
      <c r="L290" s="460"/>
      <c r="M290" s="783"/>
      <c r="N290" s="460"/>
    </row>
    <row r="291" spans="1:14">
      <c r="A291" s="519"/>
      <c r="B291" s="520"/>
      <c r="C291" s="521"/>
      <c r="D291" s="522"/>
      <c r="E291" s="517"/>
      <c r="F291" s="465"/>
      <c r="G291" s="557"/>
      <c r="H291" s="460"/>
      <c r="I291" s="557"/>
      <c r="J291" s="460"/>
      <c r="K291" s="557"/>
      <c r="L291" s="460"/>
      <c r="M291" s="783"/>
      <c r="N291" s="460"/>
    </row>
    <row r="292" spans="1:14">
      <c r="A292" s="519"/>
      <c r="B292" s="520"/>
      <c r="C292" s="521"/>
      <c r="D292" s="522"/>
      <c r="E292" s="517"/>
      <c r="F292" s="465"/>
      <c r="G292" s="557"/>
      <c r="H292" s="460"/>
      <c r="I292" s="557"/>
      <c r="J292" s="460"/>
      <c r="K292" s="557"/>
      <c r="L292" s="460"/>
      <c r="M292" s="783"/>
      <c r="N292" s="460"/>
    </row>
    <row r="293" spans="1:14">
      <c r="A293" s="519"/>
      <c r="B293" s="520"/>
      <c r="C293" s="521"/>
      <c r="D293" s="522"/>
      <c r="E293" s="517"/>
      <c r="F293" s="465"/>
      <c r="G293" s="557"/>
      <c r="H293" s="460"/>
      <c r="I293" s="557"/>
      <c r="J293" s="460"/>
      <c r="K293" s="557"/>
      <c r="L293" s="460"/>
      <c r="M293" s="783"/>
      <c r="N293" s="460"/>
    </row>
    <row r="294" spans="1:14">
      <c r="A294" s="519"/>
      <c r="B294" s="520"/>
      <c r="C294" s="521"/>
      <c r="D294" s="522"/>
      <c r="E294" s="517"/>
      <c r="F294" s="465"/>
      <c r="G294" s="557"/>
      <c r="H294" s="460"/>
      <c r="I294" s="557"/>
      <c r="J294" s="460"/>
      <c r="K294" s="557"/>
      <c r="L294" s="460"/>
      <c r="M294" s="783"/>
      <c r="N294" s="460"/>
    </row>
    <row r="295" spans="1:14">
      <c r="A295" s="519"/>
      <c r="B295" s="520"/>
      <c r="C295" s="521"/>
      <c r="D295" s="522"/>
      <c r="E295" s="517"/>
      <c r="F295" s="465"/>
      <c r="G295" s="557"/>
      <c r="H295" s="460"/>
      <c r="I295" s="557"/>
      <c r="J295" s="460"/>
      <c r="K295" s="557"/>
      <c r="L295" s="460"/>
      <c r="M295" s="783"/>
      <c r="N295" s="460"/>
    </row>
    <row r="296" spans="1:14">
      <c r="A296" s="519"/>
      <c r="B296" s="520"/>
      <c r="C296" s="521"/>
      <c r="D296" s="522"/>
      <c r="E296" s="517"/>
      <c r="F296" s="465"/>
      <c r="G296" s="557"/>
      <c r="H296" s="460"/>
      <c r="I296" s="557"/>
      <c r="J296" s="460"/>
      <c r="K296" s="557"/>
      <c r="L296" s="460"/>
      <c r="M296" s="783"/>
      <c r="N296" s="460"/>
    </row>
    <row r="297" spans="1:14">
      <c r="A297" s="519"/>
      <c r="B297" s="520"/>
      <c r="C297" s="521"/>
      <c r="D297" s="522"/>
      <c r="E297" s="517"/>
      <c r="F297" s="465"/>
      <c r="G297" s="557"/>
      <c r="H297" s="460"/>
      <c r="I297" s="557"/>
      <c r="J297" s="460"/>
      <c r="K297" s="557"/>
      <c r="L297" s="460"/>
      <c r="M297" s="783"/>
      <c r="N297" s="460"/>
    </row>
    <row r="298" spans="1:14">
      <c r="A298" s="519"/>
      <c r="B298" s="520"/>
      <c r="C298" s="521"/>
      <c r="D298" s="522"/>
      <c r="E298" s="517"/>
      <c r="F298" s="465"/>
      <c r="G298" s="557"/>
      <c r="H298" s="460"/>
      <c r="I298" s="557"/>
      <c r="J298" s="460"/>
      <c r="K298" s="557"/>
      <c r="L298" s="460"/>
      <c r="M298" s="783"/>
      <c r="N298" s="460"/>
    </row>
    <row r="299" spans="1:14">
      <c r="A299" s="519"/>
      <c r="B299" s="520"/>
      <c r="C299" s="521"/>
      <c r="D299" s="522"/>
      <c r="E299" s="517"/>
      <c r="F299" s="465"/>
      <c r="G299" s="557"/>
      <c r="H299" s="460"/>
      <c r="I299" s="557"/>
      <c r="J299" s="460"/>
      <c r="K299" s="557"/>
      <c r="L299" s="460"/>
      <c r="M299" s="783"/>
      <c r="N299" s="460"/>
    </row>
    <row r="300" spans="1:14">
      <c r="A300" s="519"/>
      <c r="B300" s="520"/>
      <c r="C300" s="521"/>
      <c r="D300" s="522"/>
      <c r="E300" s="517"/>
      <c r="F300" s="465"/>
      <c r="G300" s="557"/>
      <c r="H300" s="460"/>
      <c r="I300" s="557"/>
      <c r="J300" s="460"/>
      <c r="K300" s="557"/>
      <c r="L300" s="460"/>
      <c r="M300" s="783"/>
      <c r="N300" s="460"/>
    </row>
    <row r="301" spans="1:14">
      <c r="A301" s="519"/>
      <c r="B301" s="520"/>
      <c r="C301" s="521"/>
      <c r="D301" s="522"/>
      <c r="E301" s="517"/>
      <c r="F301" s="465"/>
      <c r="G301" s="557"/>
      <c r="H301" s="460"/>
      <c r="I301" s="557"/>
      <c r="J301" s="460"/>
      <c r="K301" s="557"/>
      <c r="L301" s="460"/>
      <c r="M301" s="783"/>
      <c r="N301" s="460"/>
    </row>
    <row r="302" spans="1:14">
      <c r="A302" s="519"/>
      <c r="B302" s="520"/>
      <c r="C302" s="521"/>
      <c r="D302" s="522"/>
      <c r="E302" s="517"/>
      <c r="F302" s="465"/>
      <c r="G302" s="557"/>
      <c r="H302" s="460"/>
      <c r="I302" s="557"/>
      <c r="J302" s="460"/>
      <c r="K302" s="557"/>
      <c r="L302" s="460"/>
      <c r="M302" s="783"/>
      <c r="N302" s="460"/>
    </row>
    <row r="303" spans="1:14">
      <c r="A303" s="519"/>
      <c r="B303" s="520"/>
      <c r="C303" s="521"/>
      <c r="D303" s="522"/>
      <c r="E303" s="517"/>
      <c r="F303" s="465"/>
      <c r="G303" s="557"/>
      <c r="H303" s="460"/>
      <c r="I303" s="557"/>
      <c r="J303" s="460"/>
      <c r="K303" s="557"/>
      <c r="L303" s="460"/>
      <c r="M303" s="783"/>
      <c r="N303" s="460"/>
    </row>
    <row r="304" spans="1:14">
      <c r="A304" s="519"/>
      <c r="B304" s="520"/>
      <c r="C304" s="521"/>
      <c r="D304" s="522"/>
      <c r="E304" s="517"/>
      <c r="F304" s="465"/>
      <c r="G304" s="557"/>
      <c r="H304" s="460"/>
      <c r="I304" s="557"/>
      <c r="J304" s="460"/>
      <c r="K304" s="557"/>
      <c r="L304" s="460"/>
      <c r="M304" s="783"/>
      <c r="N304" s="460"/>
    </row>
    <row r="305" spans="1:14">
      <c r="A305" s="519"/>
      <c r="B305" s="520"/>
      <c r="C305" s="521"/>
      <c r="D305" s="522"/>
      <c r="E305" s="517"/>
      <c r="F305" s="465"/>
      <c r="G305" s="557"/>
      <c r="H305" s="460"/>
      <c r="I305" s="557"/>
      <c r="J305" s="460"/>
      <c r="K305" s="557"/>
      <c r="L305" s="460"/>
      <c r="M305" s="783"/>
      <c r="N305" s="460"/>
    </row>
    <row r="306" spans="1:14">
      <c r="A306" s="519"/>
      <c r="B306" s="520"/>
      <c r="C306" s="521"/>
      <c r="D306" s="522"/>
      <c r="E306" s="517"/>
      <c r="F306" s="465"/>
      <c r="G306" s="557"/>
      <c r="H306" s="460"/>
      <c r="I306" s="557"/>
      <c r="J306" s="460"/>
      <c r="K306" s="557"/>
      <c r="L306" s="460"/>
      <c r="M306" s="783"/>
      <c r="N306" s="460"/>
    </row>
    <row r="307" spans="1:14">
      <c r="A307" s="519"/>
      <c r="B307" s="520"/>
      <c r="C307" s="521"/>
      <c r="D307" s="522"/>
      <c r="E307" s="517"/>
      <c r="F307" s="465"/>
      <c r="G307" s="557"/>
      <c r="H307" s="460"/>
      <c r="I307" s="557"/>
      <c r="J307" s="460"/>
      <c r="K307" s="557"/>
      <c r="L307" s="460"/>
      <c r="M307" s="783"/>
      <c r="N307" s="460"/>
    </row>
    <row r="308" spans="1:14">
      <c r="A308" s="519"/>
      <c r="B308" s="520"/>
      <c r="C308" s="521"/>
      <c r="D308" s="522"/>
      <c r="E308" s="517"/>
      <c r="F308" s="465"/>
      <c r="G308" s="557"/>
      <c r="H308" s="460"/>
      <c r="I308" s="557"/>
      <c r="J308" s="460"/>
      <c r="K308" s="557"/>
      <c r="L308" s="460"/>
      <c r="M308" s="783"/>
      <c r="N308" s="460"/>
    </row>
    <row r="309" spans="1:14">
      <c r="A309" s="519"/>
      <c r="B309" s="520"/>
      <c r="C309" s="521"/>
      <c r="D309" s="522"/>
      <c r="E309" s="517"/>
      <c r="F309" s="465"/>
      <c r="G309" s="557"/>
      <c r="H309" s="460"/>
      <c r="I309" s="557"/>
      <c r="J309" s="460"/>
      <c r="K309" s="557"/>
      <c r="L309" s="460"/>
      <c r="M309" s="783"/>
      <c r="N309" s="460"/>
    </row>
    <row r="310" spans="1:14">
      <c r="A310" s="519"/>
      <c r="B310" s="520"/>
      <c r="C310" s="521"/>
      <c r="D310" s="522"/>
      <c r="E310" s="517"/>
      <c r="F310" s="465"/>
      <c r="G310" s="557"/>
      <c r="H310" s="460"/>
      <c r="I310" s="557"/>
      <c r="J310" s="460"/>
      <c r="K310" s="557"/>
      <c r="L310" s="460"/>
      <c r="M310" s="783"/>
      <c r="N310" s="460"/>
    </row>
    <row r="311" spans="1:14">
      <c r="A311" s="519"/>
      <c r="B311" s="520"/>
      <c r="C311" s="521"/>
      <c r="D311" s="522"/>
      <c r="E311" s="517"/>
      <c r="F311" s="465"/>
      <c r="G311" s="557"/>
      <c r="H311" s="460"/>
      <c r="I311" s="557"/>
      <c r="J311" s="460"/>
      <c r="K311" s="557"/>
      <c r="L311" s="460"/>
      <c r="M311" s="783"/>
      <c r="N311" s="460"/>
    </row>
    <row r="312" spans="1:14">
      <c r="A312" s="519"/>
      <c r="B312" s="520"/>
      <c r="C312" s="521"/>
      <c r="D312" s="522"/>
      <c r="E312" s="517"/>
      <c r="F312" s="465"/>
      <c r="G312" s="557"/>
      <c r="H312" s="460"/>
      <c r="I312" s="557"/>
      <c r="J312" s="460"/>
      <c r="K312" s="557"/>
      <c r="L312" s="460"/>
      <c r="M312" s="783"/>
      <c r="N312" s="460"/>
    </row>
    <row r="313" spans="1:14">
      <c r="A313" s="519"/>
      <c r="B313" s="520"/>
      <c r="C313" s="521"/>
      <c r="D313" s="522"/>
      <c r="E313" s="517"/>
      <c r="F313" s="465"/>
      <c r="G313" s="557"/>
      <c r="H313" s="460"/>
      <c r="I313" s="557"/>
      <c r="J313" s="460"/>
      <c r="K313" s="557"/>
      <c r="L313" s="460"/>
      <c r="M313" s="783"/>
      <c r="N313" s="460"/>
    </row>
    <row r="314" spans="1:14">
      <c r="A314" s="519"/>
      <c r="B314" s="520"/>
      <c r="C314" s="521"/>
      <c r="D314" s="522"/>
      <c r="E314" s="517"/>
      <c r="F314" s="465"/>
      <c r="G314" s="557"/>
      <c r="H314" s="460"/>
      <c r="I314" s="557"/>
      <c r="J314" s="460"/>
      <c r="K314" s="557"/>
      <c r="L314" s="460"/>
      <c r="M314" s="783"/>
      <c r="N314" s="460"/>
    </row>
    <row r="315" spans="1:14">
      <c r="A315" s="519"/>
      <c r="B315" s="520"/>
      <c r="C315" s="521"/>
      <c r="D315" s="522"/>
      <c r="E315" s="517"/>
      <c r="F315" s="465"/>
      <c r="G315" s="557"/>
      <c r="H315" s="460"/>
      <c r="I315" s="557"/>
      <c r="J315" s="460"/>
      <c r="K315" s="557"/>
      <c r="L315" s="460"/>
      <c r="M315" s="783"/>
      <c r="N315" s="460"/>
    </row>
    <row r="316" spans="1:14">
      <c r="A316" s="519"/>
      <c r="B316" s="520"/>
      <c r="C316" s="521"/>
      <c r="D316" s="522"/>
      <c r="E316" s="517"/>
      <c r="F316" s="465"/>
      <c r="G316" s="557"/>
      <c r="H316" s="460"/>
      <c r="I316" s="557"/>
      <c r="J316" s="460"/>
      <c r="K316" s="557"/>
      <c r="L316" s="460"/>
      <c r="M316" s="783"/>
      <c r="N316" s="460"/>
    </row>
    <row r="317" spans="1:14">
      <c r="A317" s="519"/>
      <c r="B317" s="520"/>
      <c r="C317" s="521"/>
      <c r="D317" s="522"/>
      <c r="E317" s="517"/>
      <c r="F317" s="465"/>
      <c r="G317" s="557"/>
      <c r="H317" s="460"/>
      <c r="I317" s="557"/>
      <c r="J317" s="460"/>
      <c r="K317" s="557"/>
      <c r="L317" s="460"/>
      <c r="M317" s="783"/>
      <c r="N317" s="460"/>
    </row>
    <row r="318" spans="1:14">
      <c r="A318" s="519"/>
      <c r="B318" s="520"/>
      <c r="C318" s="521"/>
      <c r="D318" s="522"/>
      <c r="E318" s="517"/>
      <c r="F318" s="465"/>
      <c r="G318" s="557"/>
      <c r="H318" s="460"/>
      <c r="I318" s="557"/>
      <c r="J318" s="460"/>
      <c r="K318" s="557"/>
      <c r="L318" s="460"/>
      <c r="M318" s="783"/>
      <c r="N318" s="460"/>
    </row>
    <row r="319" spans="1:14">
      <c r="A319" s="519"/>
      <c r="B319" s="520"/>
      <c r="C319" s="521"/>
      <c r="D319" s="522"/>
      <c r="E319" s="517"/>
      <c r="F319" s="465"/>
      <c r="G319" s="557"/>
      <c r="H319" s="460"/>
      <c r="I319" s="557"/>
      <c r="J319" s="460"/>
      <c r="K319" s="557"/>
      <c r="L319" s="460"/>
      <c r="M319" s="783"/>
      <c r="N319" s="460"/>
    </row>
    <row r="320" spans="1:14">
      <c r="A320" s="519"/>
      <c r="B320" s="520"/>
      <c r="C320" s="521"/>
      <c r="D320" s="522"/>
      <c r="E320" s="517"/>
      <c r="F320" s="465"/>
      <c r="G320" s="557"/>
      <c r="H320" s="460"/>
      <c r="I320" s="557"/>
      <c r="J320" s="460"/>
      <c r="K320" s="557"/>
      <c r="L320" s="460"/>
      <c r="M320" s="783"/>
      <c r="N320" s="460"/>
    </row>
    <row r="321" spans="1:14">
      <c r="A321" s="519"/>
      <c r="B321" s="520"/>
      <c r="C321" s="521"/>
      <c r="D321" s="522"/>
      <c r="E321" s="517"/>
      <c r="F321" s="465"/>
      <c r="G321" s="557"/>
      <c r="H321" s="460"/>
      <c r="I321" s="557"/>
      <c r="J321" s="460"/>
      <c r="K321" s="557"/>
      <c r="L321" s="460"/>
      <c r="M321" s="783"/>
      <c r="N321" s="460"/>
    </row>
    <row r="322" spans="1:14">
      <c r="A322" s="519"/>
      <c r="B322" s="520"/>
      <c r="C322" s="521"/>
      <c r="D322" s="522"/>
      <c r="E322" s="517"/>
      <c r="F322" s="465"/>
      <c r="G322" s="557"/>
      <c r="H322" s="460"/>
      <c r="I322" s="557"/>
      <c r="J322" s="460"/>
      <c r="K322" s="557"/>
      <c r="L322" s="460"/>
      <c r="M322" s="783"/>
      <c r="N322" s="460"/>
    </row>
    <row r="323" spans="1:14">
      <c r="A323" s="519"/>
      <c r="B323" s="520"/>
      <c r="C323" s="521"/>
      <c r="D323" s="522"/>
      <c r="E323" s="517"/>
      <c r="F323" s="465"/>
      <c r="G323" s="557"/>
      <c r="H323" s="460"/>
      <c r="I323" s="557"/>
      <c r="J323" s="460"/>
      <c r="K323" s="557"/>
      <c r="L323" s="460"/>
      <c r="M323" s="783"/>
      <c r="N323" s="460"/>
    </row>
    <row r="324" spans="1:14">
      <c r="A324" s="519"/>
      <c r="B324" s="520"/>
      <c r="C324" s="521"/>
      <c r="D324" s="522"/>
      <c r="E324" s="517"/>
      <c r="F324" s="465"/>
      <c r="G324" s="557"/>
      <c r="H324" s="460"/>
      <c r="I324" s="557"/>
      <c r="J324" s="460"/>
      <c r="K324" s="557"/>
      <c r="L324" s="460"/>
      <c r="M324" s="783"/>
      <c r="N324" s="460"/>
    </row>
    <row r="325" spans="1:14">
      <c r="A325" s="519"/>
      <c r="B325" s="520"/>
      <c r="C325" s="521"/>
      <c r="D325" s="522"/>
      <c r="E325" s="517"/>
      <c r="F325" s="465"/>
      <c r="G325" s="557"/>
      <c r="H325" s="460"/>
      <c r="I325" s="557"/>
      <c r="J325" s="460"/>
      <c r="K325" s="557"/>
      <c r="L325" s="460"/>
      <c r="M325" s="783"/>
      <c r="N325" s="460"/>
    </row>
    <row r="326" spans="1:14">
      <c r="A326" s="519"/>
      <c r="B326" s="520"/>
      <c r="C326" s="521"/>
      <c r="D326" s="522"/>
      <c r="E326" s="517"/>
      <c r="F326" s="465"/>
      <c r="G326" s="557"/>
      <c r="H326" s="460"/>
      <c r="I326" s="557"/>
      <c r="J326" s="460"/>
      <c r="K326" s="557"/>
      <c r="L326" s="460"/>
      <c r="M326" s="783"/>
      <c r="N326" s="460"/>
    </row>
    <row r="327" spans="1:14">
      <c r="A327" s="519"/>
      <c r="B327" s="520"/>
      <c r="C327" s="521"/>
      <c r="D327" s="522"/>
      <c r="E327" s="517"/>
      <c r="F327" s="465"/>
      <c r="G327" s="557"/>
      <c r="H327" s="460"/>
      <c r="I327" s="557"/>
      <c r="J327" s="460"/>
      <c r="K327" s="557"/>
      <c r="L327" s="460"/>
      <c r="M327" s="783"/>
      <c r="N327" s="460"/>
    </row>
    <row r="328" spans="1:14">
      <c r="A328" s="519"/>
      <c r="B328" s="520"/>
      <c r="C328" s="521"/>
      <c r="D328" s="522"/>
      <c r="E328" s="517"/>
      <c r="F328" s="465"/>
      <c r="G328" s="557"/>
      <c r="H328" s="460"/>
      <c r="I328" s="557"/>
      <c r="J328" s="460"/>
      <c r="K328" s="557"/>
      <c r="L328" s="460"/>
      <c r="M328" s="783"/>
      <c r="N328" s="460"/>
    </row>
    <row r="329" spans="1:14">
      <c r="A329" s="519"/>
      <c r="B329" s="520"/>
      <c r="C329" s="521"/>
      <c r="D329" s="522"/>
      <c r="E329" s="517"/>
      <c r="F329" s="465"/>
      <c r="G329" s="557"/>
      <c r="H329" s="460"/>
      <c r="I329" s="557"/>
      <c r="J329" s="460"/>
      <c r="K329" s="557"/>
      <c r="L329" s="460"/>
      <c r="M329" s="783"/>
      <c r="N329" s="460"/>
    </row>
    <row r="330" spans="1:14">
      <c r="A330" s="519"/>
      <c r="B330" s="520"/>
      <c r="C330" s="521"/>
      <c r="D330" s="522"/>
      <c r="E330" s="517"/>
      <c r="F330" s="465"/>
      <c r="G330" s="557"/>
      <c r="H330" s="460"/>
      <c r="I330" s="557"/>
      <c r="J330" s="460"/>
      <c r="K330" s="557"/>
      <c r="L330" s="460"/>
      <c r="M330" s="783"/>
      <c r="N330" s="460"/>
    </row>
    <row r="331" spans="1:14">
      <c r="A331" s="519"/>
      <c r="B331" s="520"/>
      <c r="C331" s="521"/>
      <c r="D331" s="522"/>
      <c r="E331" s="517"/>
      <c r="F331" s="465"/>
      <c r="G331" s="557"/>
      <c r="H331" s="460"/>
      <c r="I331" s="557"/>
      <c r="J331" s="460"/>
      <c r="K331" s="557"/>
      <c r="L331" s="460"/>
      <c r="M331" s="783"/>
      <c r="N331" s="460"/>
    </row>
    <row r="332" spans="1:14">
      <c r="A332" s="519"/>
      <c r="B332" s="520"/>
      <c r="C332" s="521"/>
      <c r="D332" s="522"/>
      <c r="E332" s="517"/>
      <c r="F332" s="465"/>
      <c r="G332" s="557"/>
      <c r="H332" s="460"/>
      <c r="I332" s="557"/>
      <c r="J332" s="460"/>
      <c r="K332" s="557"/>
      <c r="L332" s="460"/>
      <c r="M332" s="783"/>
      <c r="N332" s="460"/>
    </row>
    <row r="333" spans="1:14">
      <c r="A333" s="519"/>
      <c r="B333" s="520"/>
      <c r="C333" s="521"/>
      <c r="D333" s="522"/>
      <c r="E333" s="517"/>
      <c r="F333" s="465"/>
      <c r="G333" s="557"/>
      <c r="H333" s="460"/>
      <c r="I333" s="557"/>
      <c r="J333" s="460"/>
      <c r="K333" s="557"/>
      <c r="L333" s="460"/>
      <c r="M333" s="783"/>
      <c r="N333" s="460"/>
    </row>
    <row r="334" spans="1:14">
      <c r="A334" s="519"/>
      <c r="B334" s="520"/>
      <c r="C334" s="521"/>
      <c r="D334" s="522"/>
      <c r="E334" s="517"/>
      <c r="F334" s="465"/>
      <c r="G334" s="557"/>
      <c r="H334" s="460"/>
      <c r="I334" s="557"/>
      <c r="J334" s="460"/>
      <c r="K334" s="557"/>
      <c r="L334" s="460"/>
      <c r="M334" s="783"/>
      <c r="N334" s="460"/>
    </row>
    <row r="335" spans="1:14">
      <c r="A335" s="519"/>
      <c r="B335" s="520"/>
      <c r="C335" s="521"/>
      <c r="D335" s="522"/>
      <c r="E335" s="517"/>
      <c r="F335" s="465"/>
      <c r="G335" s="557"/>
      <c r="H335" s="460"/>
      <c r="I335" s="557"/>
      <c r="J335" s="460"/>
      <c r="K335" s="557"/>
      <c r="L335" s="460"/>
      <c r="M335" s="783"/>
      <c r="N335" s="460"/>
    </row>
    <row r="336" spans="1:14">
      <c r="A336" s="519"/>
      <c r="B336" s="520"/>
      <c r="C336" s="521"/>
      <c r="D336" s="522"/>
      <c r="E336" s="517"/>
      <c r="F336" s="465"/>
      <c r="G336" s="557"/>
      <c r="H336" s="460"/>
      <c r="I336" s="557"/>
      <c r="J336" s="460"/>
      <c r="K336" s="557"/>
      <c r="L336" s="460"/>
      <c r="M336" s="783"/>
      <c r="N336" s="460"/>
    </row>
    <row r="337" spans="1:14">
      <c r="A337" s="519"/>
      <c r="B337" s="520"/>
      <c r="C337" s="521"/>
      <c r="D337" s="522"/>
      <c r="E337" s="517"/>
      <c r="F337" s="465"/>
      <c r="G337" s="557"/>
      <c r="H337" s="460"/>
      <c r="I337" s="557"/>
      <c r="J337" s="460"/>
      <c r="K337" s="557"/>
      <c r="L337" s="460"/>
      <c r="M337" s="783"/>
      <c r="N337" s="460"/>
    </row>
    <row r="338" spans="1:14">
      <c r="A338" s="519"/>
      <c r="B338" s="520"/>
      <c r="C338" s="521"/>
      <c r="D338" s="522"/>
      <c r="E338" s="517"/>
      <c r="F338" s="465"/>
      <c r="G338" s="557"/>
      <c r="H338" s="460"/>
      <c r="I338" s="557"/>
      <c r="J338" s="460"/>
      <c r="K338" s="557"/>
      <c r="L338" s="460"/>
      <c r="M338" s="783"/>
      <c r="N338" s="460"/>
    </row>
    <row r="339" spans="1:14">
      <c r="A339" s="519"/>
      <c r="B339" s="520"/>
      <c r="C339" s="521"/>
      <c r="D339" s="522"/>
      <c r="E339" s="517"/>
      <c r="F339" s="465"/>
      <c r="G339" s="557"/>
      <c r="H339" s="460"/>
      <c r="I339" s="557"/>
      <c r="J339" s="460"/>
      <c r="K339" s="557"/>
      <c r="L339" s="460"/>
      <c r="M339" s="783"/>
      <c r="N339" s="460"/>
    </row>
    <row r="340" spans="1:14">
      <c r="A340" s="519"/>
      <c r="B340" s="520"/>
      <c r="C340" s="521"/>
      <c r="D340" s="522"/>
      <c r="E340" s="517"/>
      <c r="F340" s="465"/>
      <c r="G340" s="557"/>
      <c r="H340" s="460"/>
      <c r="I340" s="557"/>
      <c r="J340" s="460"/>
      <c r="K340" s="557"/>
      <c r="L340" s="460"/>
      <c r="M340" s="783"/>
      <c r="N340" s="460"/>
    </row>
    <row r="341" spans="1:14">
      <c r="A341" s="519"/>
      <c r="B341" s="520"/>
      <c r="C341" s="521"/>
      <c r="D341" s="522"/>
      <c r="E341" s="517"/>
      <c r="F341" s="465"/>
      <c r="G341" s="557"/>
      <c r="H341" s="460"/>
      <c r="I341" s="557"/>
      <c r="J341" s="460"/>
      <c r="K341" s="557"/>
      <c r="L341" s="460"/>
      <c r="M341" s="783"/>
      <c r="N341" s="460"/>
    </row>
    <row r="342" spans="1:14">
      <c r="A342" s="519"/>
      <c r="B342" s="520"/>
      <c r="C342" s="521"/>
      <c r="D342" s="522"/>
      <c r="E342" s="517"/>
      <c r="F342" s="465"/>
      <c r="G342" s="557"/>
      <c r="H342" s="460"/>
      <c r="I342" s="557"/>
      <c r="J342" s="460"/>
      <c r="K342" s="557"/>
      <c r="L342" s="460"/>
      <c r="M342" s="783"/>
      <c r="N342" s="460"/>
    </row>
    <row r="343" spans="1:14">
      <c r="A343" s="519"/>
      <c r="B343" s="520"/>
      <c r="C343" s="521"/>
      <c r="D343" s="522"/>
      <c r="E343" s="517"/>
      <c r="F343" s="465"/>
      <c r="G343" s="557"/>
      <c r="H343" s="460"/>
      <c r="I343" s="557"/>
      <c r="J343" s="460"/>
      <c r="K343" s="557"/>
      <c r="L343" s="460"/>
      <c r="M343" s="783"/>
      <c r="N343" s="460"/>
    </row>
    <row r="344" spans="1:14">
      <c r="A344" s="519"/>
      <c r="B344" s="520"/>
      <c r="C344" s="521"/>
      <c r="D344" s="522"/>
      <c r="E344" s="517"/>
      <c r="F344" s="465"/>
      <c r="G344" s="557"/>
      <c r="H344" s="460"/>
      <c r="I344" s="557"/>
      <c r="J344" s="460"/>
      <c r="K344" s="557"/>
      <c r="L344" s="460"/>
      <c r="M344" s="783"/>
      <c r="N344" s="460"/>
    </row>
    <row r="345" spans="1:14">
      <c r="A345" s="519"/>
      <c r="B345" s="520"/>
      <c r="C345" s="521"/>
      <c r="D345" s="522"/>
      <c r="E345" s="517"/>
      <c r="F345" s="465"/>
      <c r="G345" s="557"/>
      <c r="H345" s="460"/>
      <c r="I345" s="557"/>
      <c r="J345" s="460"/>
      <c r="K345" s="557"/>
      <c r="L345" s="460"/>
      <c r="M345" s="783"/>
      <c r="N345" s="460"/>
    </row>
    <row r="346" spans="1:14">
      <c r="A346" s="519"/>
      <c r="B346" s="520"/>
      <c r="C346" s="521"/>
      <c r="D346" s="522"/>
      <c r="E346" s="517"/>
      <c r="F346" s="465"/>
      <c r="G346" s="557"/>
      <c r="H346" s="460"/>
      <c r="I346" s="557"/>
      <c r="J346" s="460"/>
      <c r="K346" s="557"/>
      <c r="L346" s="460"/>
      <c r="M346" s="783"/>
      <c r="N346" s="460"/>
    </row>
    <row r="347" spans="1:14">
      <c r="A347" s="519"/>
      <c r="B347" s="520"/>
      <c r="C347" s="521"/>
      <c r="D347" s="522"/>
      <c r="E347" s="517"/>
      <c r="F347" s="465"/>
      <c r="G347" s="557"/>
      <c r="H347" s="460"/>
      <c r="I347" s="557"/>
      <c r="J347" s="460"/>
      <c r="K347" s="557"/>
      <c r="L347" s="460"/>
      <c r="M347" s="783"/>
      <c r="N347" s="460"/>
    </row>
    <row r="348" spans="1:14">
      <c r="A348" s="519"/>
      <c r="B348" s="520"/>
      <c r="C348" s="521"/>
      <c r="D348" s="522"/>
      <c r="E348" s="517"/>
      <c r="F348" s="465"/>
      <c r="G348" s="557"/>
      <c r="H348" s="460"/>
      <c r="I348" s="557"/>
      <c r="J348" s="460"/>
      <c r="K348" s="557"/>
      <c r="L348" s="460"/>
      <c r="M348" s="783"/>
      <c r="N348" s="460"/>
    </row>
    <row r="349" spans="1:14">
      <c r="A349" s="519"/>
      <c r="B349" s="520"/>
      <c r="C349" s="521"/>
      <c r="D349" s="522"/>
      <c r="E349" s="517"/>
      <c r="F349" s="465"/>
      <c r="G349" s="557"/>
      <c r="H349" s="460"/>
      <c r="I349" s="557"/>
      <c r="J349" s="460"/>
      <c r="K349" s="557"/>
      <c r="L349" s="460"/>
      <c r="M349" s="783"/>
      <c r="N349" s="460"/>
    </row>
    <row r="350" spans="1:14">
      <c r="A350" s="519"/>
      <c r="B350" s="520"/>
      <c r="C350" s="521"/>
      <c r="D350" s="522"/>
      <c r="E350" s="517"/>
      <c r="F350" s="465"/>
      <c r="G350" s="557"/>
      <c r="H350" s="460"/>
      <c r="I350" s="557"/>
      <c r="J350" s="460"/>
      <c r="K350" s="557"/>
      <c r="L350" s="460"/>
      <c r="M350" s="783"/>
      <c r="N350" s="460"/>
    </row>
    <row r="351" spans="1:14">
      <c r="A351" s="519"/>
      <c r="B351" s="520"/>
      <c r="C351" s="521"/>
      <c r="D351" s="522"/>
      <c r="E351" s="517"/>
      <c r="F351" s="465"/>
      <c r="G351" s="557"/>
      <c r="H351" s="460"/>
      <c r="I351" s="557"/>
      <c r="J351" s="460"/>
      <c r="K351" s="557"/>
      <c r="L351" s="460"/>
      <c r="M351" s="783"/>
      <c r="N351" s="460"/>
    </row>
    <row r="352" spans="1:14">
      <c r="A352" s="519"/>
      <c r="B352" s="520"/>
      <c r="C352" s="521"/>
      <c r="D352" s="522"/>
      <c r="E352" s="517"/>
      <c r="F352" s="465"/>
      <c r="G352" s="557"/>
      <c r="H352" s="460"/>
      <c r="I352" s="557"/>
      <c r="J352" s="460"/>
      <c r="K352" s="557"/>
      <c r="L352" s="460"/>
      <c r="M352" s="783"/>
      <c r="N352" s="460"/>
    </row>
    <row r="353" spans="1:14">
      <c r="A353" s="519"/>
      <c r="B353" s="520"/>
      <c r="C353" s="521"/>
      <c r="D353" s="522"/>
      <c r="E353" s="517"/>
      <c r="F353" s="465"/>
      <c r="G353" s="557"/>
      <c r="H353" s="460"/>
      <c r="I353" s="557"/>
      <c r="J353" s="460"/>
      <c r="K353" s="557"/>
      <c r="L353" s="460"/>
      <c r="M353" s="783"/>
      <c r="N353" s="460"/>
    </row>
    <row r="354" spans="1:14">
      <c r="A354" s="519"/>
      <c r="B354" s="520"/>
      <c r="C354" s="521"/>
      <c r="D354" s="522"/>
      <c r="E354" s="517"/>
      <c r="F354" s="465"/>
      <c r="G354" s="557"/>
      <c r="H354" s="460"/>
      <c r="I354" s="557"/>
      <c r="J354" s="460"/>
      <c r="K354" s="557"/>
      <c r="L354" s="460"/>
      <c r="M354" s="783"/>
      <c r="N354" s="460"/>
    </row>
    <row r="355" spans="1:14">
      <c r="A355" s="519"/>
      <c r="B355" s="520"/>
      <c r="C355" s="521"/>
      <c r="D355" s="522"/>
      <c r="E355" s="517"/>
      <c r="F355" s="465"/>
      <c r="G355" s="557"/>
      <c r="H355" s="460"/>
      <c r="I355" s="557"/>
      <c r="J355" s="460"/>
      <c r="K355" s="557"/>
      <c r="L355" s="460"/>
      <c r="M355" s="783"/>
      <c r="N355" s="460"/>
    </row>
    <row r="356" spans="1:14">
      <c r="A356" s="519"/>
      <c r="B356" s="520"/>
      <c r="C356" s="521"/>
      <c r="D356" s="522"/>
      <c r="E356" s="517"/>
      <c r="F356" s="465"/>
      <c r="G356" s="557"/>
      <c r="H356" s="460"/>
      <c r="I356" s="557"/>
      <c r="J356" s="460"/>
      <c r="K356" s="557"/>
      <c r="L356" s="460"/>
      <c r="M356" s="783"/>
      <c r="N356" s="460"/>
    </row>
    <row r="357" spans="1:14">
      <c r="A357" s="519"/>
      <c r="B357" s="520"/>
      <c r="C357" s="521"/>
      <c r="D357" s="522"/>
      <c r="E357" s="517"/>
      <c r="F357" s="465"/>
      <c r="G357" s="557"/>
      <c r="H357" s="460"/>
      <c r="I357" s="557"/>
      <c r="J357" s="460"/>
      <c r="K357" s="557"/>
      <c r="L357" s="460"/>
      <c r="M357" s="783"/>
      <c r="N357" s="460"/>
    </row>
    <row r="358" spans="1:14">
      <c r="A358" s="519"/>
      <c r="B358" s="520"/>
      <c r="C358" s="521"/>
      <c r="D358" s="522"/>
      <c r="E358" s="517"/>
      <c r="F358" s="465"/>
      <c r="G358" s="557"/>
      <c r="H358" s="460"/>
      <c r="I358" s="557"/>
      <c r="J358" s="460"/>
      <c r="K358" s="557"/>
      <c r="L358" s="460"/>
      <c r="M358" s="783"/>
      <c r="N358" s="460"/>
    </row>
    <row r="359" spans="1:14">
      <c r="A359" s="519"/>
      <c r="B359" s="520"/>
      <c r="C359" s="521"/>
      <c r="D359" s="522"/>
      <c r="E359" s="517"/>
      <c r="F359" s="465"/>
      <c r="G359" s="557"/>
      <c r="H359" s="460"/>
      <c r="I359" s="557"/>
      <c r="J359" s="460"/>
      <c r="K359" s="557"/>
      <c r="L359" s="460"/>
      <c r="M359" s="783"/>
      <c r="N359" s="460"/>
    </row>
    <row r="360" spans="1:14">
      <c r="A360" s="519"/>
      <c r="B360" s="520"/>
      <c r="C360" s="521"/>
      <c r="D360" s="522"/>
      <c r="E360" s="517"/>
      <c r="F360" s="465"/>
      <c r="G360" s="557"/>
      <c r="H360" s="460"/>
      <c r="I360" s="557"/>
      <c r="J360" s="460"/>
      <c r="K360" s="557"/>
      <c r="L360" s="460"/>
      <c r="M360" s="783"/>
      <c r="N360" s="460"/>
    </row>
    <row r="361" spans="1:14">
      <c r="A361" s="519"/>
      <c r="B361" s="520"/>
      <c r="C361" s="521"/>
      <c r="D361" s="522"/>
      <c r="E361" s="517"/>
      <c r="F361" s="465"/>
      <c r="G361" s="557"/>
      <c r="H361" s="460"/>
      <c r="I361" s="557"/>
      <c r="J361" s="460"/>
      <c r="K361" s="557"/>
      <c r="L361" s="460"/>
      <c r="M361" s="783"/>
      <c r="N361" s="460"/>
    </row>
    <row r="362" spans="1:14">
      <c r="A362" s="519"/>
      <c r="B362" s="520"/>
      <c r="C362" s="521"/>
      <c r="D362" s="522"/>
      <c r="E362" s="517"/>
      <c r="F362" s="465"/>
      <c r="G362" s="557"/>
      <c r="H362" s="460"/>
      <c r="I362" s="557"/>
      <c r="J362" s="460"/>
      <c r="K362" s="557"/>
      <c r="L362" s="460"/>
      <c r="M362" s="783"/>
      <c r="N362" s="460"/>
    </row>
    <row r="363" spans="1:14">
      <c r="A363" s="519"/>
      <c r="B363" s="520"/>
      <c r="C363" s="521"/>
      <c r="D363" s="522"/>
      <c r="E363" s="517"/>
      <c r="F363" s="465"/>
      <c r="G363" s="557"/>
      <c r="H363" s="460"/>
      <c r="I363" s="557"/>
      <c r="J363" s="460"/>
      <c r="K363" s="557"/>
      <c r="L363" s="460"/>
      <c r="M363" s="783"/>
      <c r="N363" s="460"/>
    </row>
    <row r="364" spans="1:14">
      <c r="A364" s="519"/>
      <c r="B364" s="520"/>
      <c r="C364" s="521"/>
      <c r="D364" s="522"/>
      <c r="E364" s="517"/>
      <c r="F364" s="465"/>
      <c r="G364" s="557"/>
      <c r="H364" s="460"/>
      <c r="I364" s="557"/>
      <c r="J364" s="460"/>
      <c r="K364" s="557"/>
      <c r="L364" s="460"/>
      <c r="M364" s="783"/>
      <c r="N364" s="460"/>
    </row>
    <row r="365" spans="1:14">
      <c r="A365" s="519"/>
      <c r="B365" s="520"/>
      <c r="C365" s="521"/>
      <c r="D365" s="522"/>
      <c r="E365" s="517"/>
      <c r="F365" s="465"/>
      <c r="G365" s="557"/>
      <c r="H365" s="460"/>
      <c r="I365" s="557"/>
      <c r="J365" s="460"/>
      <c r="K365" s="557"/>
      <c r="L365" s="460"/>
      <c r="M365" s="783"/>
      <c r="N365" s="460"/>
    </row>
    <row r="366" spans="1:14">
      <c r="A366" s="519"/>
      <c r="B366" s="520"/>
      <c r="C366" s="521"/>
      <c r="D366" s="522"/>
      <c r="E366" s="517"/>
      <c r="F366" s="465"/>
      <c r="G366" s="557"/>
      <c r="H366" s="460"/>
      <c r="I366" s="557"/>
      <c r="J366" s="460"/>
      <c r="K366" s="557"/>
      <c r="L366" s="460"/>
      <c r="M366" s="783"/>
      <c r="N366" s="460"/>
    </row>
    <row r="367" spans="1:14">
      <c r="A367" s="519"/>
      <c r="B367" s="520"/>
      <c r="C367" s="521"/>
      <c r="D367" s="522"/>
      <c r="E367" s="517"/>
      <c r="F367" s="465"/>
      <c r="G367" s="557"/>
      <c r="H367" s="460"/>
      <c r="I367" s="557"/>
      <c r="J367" s="460"/>
      <c r="K367" s="557"/>
      <c r="L367" s="460"/>
      <c r="M367" s="783"/>
      <c r="N367" s="460"/>
    </row>
    <row r="368" spans="1:14">
      <c r="A368" s="519"/>
      <c r="B368" s="520"/>
      <c r="C368" s="521"/>
      <c r="D368" s="522"/>
      <c r="E368" s="517"/>
      <c r="F368" s="465"/>
      <c r="G368" s="557"/>
      <c r="H368" s="460"/>
      <c r="I368" s="557"/>
      <c r="J368" s="460"/>
      <c r="K368" s="557"/>
      <c r="L368" s="460"/>
      <c r="M368" s="783"/>
      <c r="N368" s="460"/>
    </row>
    <row r="369" spans="1:14">
      <c r="A369" s="519"/>
      <c r="B369" s="520"/>
      <c r="C369" s="521"/>
      <c r="D369" s="522"/>
      <c r="E369" s="517"/>
      <c r="F369" s="465"/>
      <c r="G369" s="557"/>
      <c r="H369" s="460"/>
      <c r="I369" s="557"/>
      <c r="J369" s="460"/>
      <c r="K369" s="557"/>
      <c r="L369" s="460"/>
      <c r="M369" s="783"/>
      <c r="N369" s="460"/>
    </row>
    <row r="370" spans="1:14">
      <c r="A370" s="519"/>
      <c r="B370" s="520"/>
      <c r="C370" s="521"/>
      <c r="D370" s="522"/>
      <c r="E370" s="517"/>
      <c r="F370" s="465"/>
      <c r="G370" s="557"/>
      <c r="H370" s="460"/>
      <c r="I370" s="557"/>
      <c r="J370" s="460"/>
      <c r="K370" s="557"/>
      <c r="L370" s="460"/>
      <c r="M370" s="783"/>
      <c r="N370" s="460"/>
    </row>
    <row r="371" spans="1:14">
      <c r="A371" s="519"/>
      <c r="B371" s="520"/>
      <c r="C371" s="521"/>
      <c r="D371" s="522"/>
      <c r="E371" s="517"/>
      <c r="F371" s="465"/>
      <c r="G371" s="557"/>
      <c r="H371" s="460"/>
      <c r="I371" s="557"/>
      <c r="J371" s="460"/>
      <c r="K371" s="557"/>
      <c r="L371" s="460"/>
      <c r="M371" s="783"/>
      <c r="N371" s="460"/>
    </row>
    <row r="372" spans="1:14">
      <c r="A372" s="519"/>
      <c r="B372" s="520"/>
      <c r="C372" s="521"/>
      <c r="D372" s="522"/>
      <c r="E372" s="517"/>
      <c r="F372" s="465"/>
      <c r="G372" s="557"/>
      <c r="H372" s="460"/>
      <c r="I372" s="557"/>
      <c r="J372" s="460"/>
      <c r="K372" s="557"/>
      <c r="L372" s="460"/>
      <c r="M372" s="783"/>
      <c r="N372" s="460"/>
    </row>
    <row r="373" spans="1:14">
      <c r="A373" s="519"/>
      <c r="B373" s="520"/>
      <c r="C373" s="521"/>
      <c r="D373" s="522"/>
      <c r="E373" s="517"/>
      <c r="F373" s="465"/>
      <c r="G373" s="557"/>
      <c r="H373" s="460"/>
      <c r="I373" s="557"/>
      <c r="J373" s="460"/>
      <c r="K373" s="557"/>
      <c r="L373" s="460"/>
      <c r="M373" s="783"/>
      <c r="N373" s="460"/>
    </row>
    <row r="374" spans="1:14">
      <c r="A374" s="519"/>
      <c r="B374" s="520"/>
      <c r="C374" s="521"/>
      <c r="D374" s="522"/>
      <c r="E374" s="517"/>
      <c r="F374" s="465"/>
      <c r="G374" s="557"/>
      <c r="H374" s="460"/>
      <c r="I374" s="557"/>
      <c r="J374" s="460"/>
      <c r="K374" s="557"/>
      <c r="L374" s="460"/>
      <c r="M374" s="783"/>
      <c r="N374" s="460"/>
    </row>
    <row r="375" spans="1:14">
      <c r="A375" s="519"/>
      <c r="B375" s="520"/>
      <c r="C375" s="521"/>
      <c r="D375" s="522"/>
      <c r="E375" s="517"/>
      <c r="F375" s="465"/>
      <c r="G375" s="557"/>
      <c r="H375" s="460"/>
      <c r="I375" s="557"/>
      <c r="J375" s="460"/>
      <c r="K375" s="557"/>
      <c r="L375" s="460"/>
      <c r="M375" s="783"/>
      <c r="N375" s="460"/>
    </row>
    <row r="376" spans="1:14">
      <c r="A376" s="519"/>
      <c r="B376" s="520"/>
      <c r="C376" s="521"/>
      <c r="D376" s="522"/>
      <c r="E376" s="517"/>
      <c r="F376" s="465"/>
      <c r="G376" s="557"/>
      <c r="H376" s="460"/>
      <c r="I376" s="557"/>
      <c r="J376" s="460"/>
      <c r="K376" s="557"/>
      <c r="L376" s="460"/>
      <c r="M376" s="783"/>
      <c r="N376" s="460"/>
    </row>
    <row r="377" spans="1:14">
      <c r="A377" s="519"/>
      <c r="B377" s="520"/>
      <c r="C377" s="521"/>
      <c r="D377" s="522"/>
      <c r="E377" s="517"/>
      <c r="F377" s="465"/>
      <c r="G377" s="557"/>
      <c r="H377" s="460"/>
      <c r="I377" s="557"/>
      <c r="J377" s="460"/>
      <c r="K377" s="557"/>
      <c r="L377" s="460"/>
      <c r="M377" s="783"/>
      <c r="N377" s="460"/>
    </row>
    <row r="378" spans="1:14">
      <c r="A378" s="519"/>
      <c r="B378" s="520"/>
      <c r="C378" s="521"/>
      <c r="D378" s="522"/>
      <c r="E378" s="517"/>
      <c r="F378" s="465"/>
      <c r="G378" s="557"/>
      <c r="H378" s="460"/>
      <c r="I378" s="557"/>
      <c r="J378" s="460"/>
      <c r="K378" s="557"/>
      <c r="L378" s="460"/>
      <c r="M378" s="783"/>
      <c r="N378" s="460"/>
    </row>
    <row r="379" spans="1:14">
      <c r="A379" s="519"/>
      <c r="B379" s="520"/>
      <c r="C379" s="521"/>
      <c r="D379" s="522"/>
      <c r="E379" s="517"/>
      <c r="F379" s="465"/>
      <c r="G379" s="557"/>
      <c r="H379" s="460"/>
      <c r="I379" s="557"/>
      <c r="J379" s="460"/>
      <c r="K379" s="557"/>
      <c r="L379" s="460"/>
      <c r="M379" s="783"/>
      <c r="N379" s="460"/>
    </row>
    <row r="380" spans="1:14">
      <c r="A380" s="519"/>
      <c r="B380" s="520"/>
      <c r="C380" s="521"/>
      <c r="D380" s="522"/>
      <c r="E380" s="517"/>
      <c r="F380" s="465"/>
      <c r="G380" s="557"/>
      <c r="H380" s="460"/>
      <c r="I380" s="557"/>
      <c r="J380" s="460"/>
      <c r="K380" s="557"/>
      <c r="L380" s="460"/>
      <c r="M380" s="783"/>
      <c r="N380" s="460"/>
    </row>
    <row r="381" spans="1:14">
      <c r="A381" s="519"/>
      <c r="B381" s="520"/>
      <c r="C381" s="521"/>
      <c r="D381" s="522"/>
      <c r="E381" s="517"/>
      <c r="F381" s="465"/>
      <c r="G381" s="557"/>
      <c r="H381" s="460"/>
      <c r="I381" s="557"/>
      <c r="J381" s="460"/>
      <c r="K381" s="557"/>
      <c r="L381" s="460"/>
      <c r="M381" s="783"/>
      <c r="N381" s="460"/>
    </row>
    <row r="382" spans="1:14">
      <c r="A382" s="519"/>
      <c r="B382" s="520"/>
      <c r="C382" s="521"/>
      <c r="D382" s="522"/>
      <c r="E382" s="517"/>
      <c r="F382" s="465"/>
      <c r="G382" s="557"/>
      <c r="H382" s="460"/>
      <c r="I382" s="557"/>
      <c r="J382" s="460"/>
      <c r="K382" s="557"/>
      <c r="L382" s="460"/>
      <c r="M382" s="783"/>
      <c r="N382" s="460"/>
    </row>
    <row r="383" spans="1:14">
      <c r="A383" s="519"/>
      <c r="B383" s="520"/>
      <c r="C383" s="521"/>
      <c r="D383" s="522"/>
      <c r="E383" s="517"/>
      <c r="F383" s="465"/>
      <c r="G383" s="557"/>
      <c r="H383" s="460"/>
      <c r="I383" s="557"/>
      <c r="J383" s="460"/>
      <c r="K383" s="557"/>
      <c r="L383" s="460"/>
      <c r="M383" s="783"/>
      <c r="N383" s="460"/>
    </row>
    <row r="384" spans="1:14">
      <c r="A384" s="519"/>
      <c r="B384" s="520"/>
      <c r="C384" s="521"/>
      <c r="D384" s="522"/>
      <c r="E384" s="517"/>
      <c r="F384" s="465"/>
      <c r="G384" s="557"/>
      <c r="H384" s="460"/>
      <c r="I384" s="557"/>
      <c r="J384" s="460"/>
      <c r="K384" s="557"/>
      <c r="L384" s="460"/>
      <c r="M384" s="783"/>
      <c r="N384" s="460"/>
    </row>
    <row r="385" spans="1:14">
      <c r="A385" s="519"/>
      <c r="B385" s="520"/>
      <c r="C385" s="521"/>
      <c r="D385" s="522"/>
      <c r="E385" s="517"/>
      <c r="F385" s="465"/>
      <c r="G385" s="557"/>
      <c r="H385" s="460"/>
      <c r="I385" s="557"/>
      <c r="J385" s="460"/>
      <c r="K385" s="557"/>
      <c r="L385" s="460"/>
      <c r="M385" s="783"/>
      <c r="N385" s="460"/>
    </row>
    <row r="386" spans="1:14">
      <c r="A386" s="519"/>
      <c r="B386" s="520"/>
      <c r="C386" s="521"/>
      <c r="D386" s="522"/>
      <c r="E386" s="517"/>
      <c r="F386" s="465"/>
      <c r="G386" s="557"/>
      <c r="H386" s="460"/>
      <c r="I386" s="557"/>
      <c r="J386" s="460"/>
      <c r="K386" s="557"/>
      <c r="L386" s="460"/>
      <c r="M386" s="783"/>
      <c r="N386" s="460"/>
    </row>
    <row r="387" spans="1:14">
      <c r="A387" s="519"/>
      <c r="B387" s="520"/>
      <c r="C387" s="521"/>
      <c r="D387" s="522"/>
      <c r="E387" s="517"/>
      <c r="F387" s="465"/>
      <c r="G387" s="557"/>
      <c r="H387" s="460"/>
      <c r="I387" s="557"/>
      <c r="J387" s="460"/>
      <c r="K387" s="557"/>
      <c r="L387" s="460"/>
      <c r="M387" s="783"/>
      <c r="N387" s="460"/>
    </row>
    <row r="388" spans="1:14">
      <c r="A388" s="519"/>
      <c r="B388" s="520"/>
      <c r="C388" s="521"/>
      <c r="D388" s="522"/>
      <c r="E388" s="517"/>
      <c r="F388" s="465"/>
      <c r="G388" s="557"/>
      <c r="H388" s="460"/>
      <c r="I388" s="557"/>
      <c r="J388" s="460"/>
      <c r="K388" s="557"/>
      <c r="L388" s="460"/>
      <c r="M388" s="783"/>
      <c r="N388" s="460"/>
    </row>
    <row r="389" spans="1:14">
      <c r="A389" s="519"/>
      <c r="B389" s="520"/>
      <c r="C389" s="521"/>
      <c r="D389" s="522"/>
      <c r="E389" s="517"/>
      <c r="F389" s="465"/>
      <c r="G389" s="557"/>
      <c r="H389" s="460"/>
      <c r="I389" s="557"/>
      <c r="J389" s="460"/>
      <c r="K389" s="557"/>
      <c r="L389" s="460"/>
      <c r="M389" s="783"/>
      <c r="N389" s="460"/>
    </row>
    <row r="390" spans="1:14">
      <c r="A390" s="519"/>
      <c r="B390" s="520"/>
      <c r="C390" s="521"/>
      <c r="D390" s="522"/>
      <c r="E390" s="517"/>
      <c r="F390" s="465"/>
      <c r="G390" s="557"/>
      <c r="H390" s="460"/>
      <c r="I390" s="557"/>
      <c r="J390" s="460"/>
      <c r="K390" s="557"/>
      <c r="L390" s="460"/>
      <c r="M390" s="783"/>
      <c r="N390" s="460"/>
    </row>
    <row r="391" spans="1:14">
      <c r="A391" s="519"/>
      <c r="B391" s="520"/>
      <c r="C391" s="521"/>
      <c r="D391" s="522"/>
      <c r="E391" s="517"/>
      <c r="F391" s="465"/>
      <c r="G391" s="557"/>
      <c r="H391" s="460"/>
      <c r="I391" s="557"/>
      <c r="J391" s="460"/>
      <c r="K391" s="557"/>
      <c r="L391" s="460"/>
      <c r="M391" s="783"/>
      <c r="N391" s="460"/>
    </row>
    <row r="392" spans="1:14">
      <c r="A392" s="519"/>
      <c r="B392" s="520"/>
      <c r="C392" s="521"/>
      <c r="D392" s="522"/>
      <c r="E392" s="517"/>
      <c r="F392" s="465"/>
      <c r="G392" s="557"/>
      <c r="H392" s="460"/>
      <c r="I392" s="557"/>
      <c r="J392" s="460"/>
      <c r="K392" s="557"/>
      <c r="L392" s="460"/>
      <c r="M392" s="783"/>
      <c r="N392" s="460"/>
    </row>
    <row r="393" spans="1:14">
      <c r="A393" s="519"/>
      <c r="B393" s="520"/>
      <c r="C393" s="521"/>
      <c r="D393" s="522"/>
      <c r="E393" s="517"/>
      <c r="F393" s="465"/>
      <c r="G393" s="557"/>
      <c r="H393" s="460"/>
      <c r="I393" s="557"/>
      <c r="J393" s="460"/>
      <c r="K393" s="557"/>
      <c r="L393" s="460"/>
      <c r="M393" s="783"/>
      <c r="N393" s="460"/>
    </row>
    <row r="394" spans="1:14">
      <c r="A394" s="519"/>
      <c r="B394" s="520"/>
      <c r="C394" s="521"/>
      <c r="D394" s="522"/>
      <c r="E394" s="517"/>
      <c r="F394" s="465"/>
      <c r="G394" s="557"/>
      <c r="H394" s="460"/>
      <c r="I394" s="557"/>
      <c r="J394" s="460"/>
      <c r="K394" s="557"/>
      <c r="L394" s="460"/>
      <c r="M394" s="783"/>
      <c r="N394" s="460"/>
    </row>
    <row r="395" spans="1:14">
      <c r="A395" s="519"/>
      <c r="B395" s="520"/>
      <c r="C395" s="521"/>
      <c r="D395" s="522"/>
      <c r="E395" s="517"/>
      <c r="F395" s="465"/>
      <c r="G395" s="557"/>
      <c r="H395" s="460"/>
      <c r="I395" s="557"/>
      <c r="J395" s="460"/>
      <c r="K395" s="557"/>
      <c r="L395" s="460"/>
      <c r="M395" s="783"/>
      <c r="N395" s="460"/>
    </row>
    <row r="396" spans="1:14">
      <c r="A396" s="519"/>
      <c r="B396" s="520"/>
      <c r="C396" s="521"/>
      <c r="D396" s="522"/>
      <c r="E396" s="517"/>
      <c r="F396" s="465"/>
      <c r="G396" s="557"/>
      <c r="H396" s="460"/>
      <c r="I396" s="557"/>
      <c r="J396" s="460"/>
      <c r="K396" s="557"/>
      <c r="L396" s="460"/>
      <c r="M396" s="783"/>
      <c r="N396" s="460"/>
    </row>
    <row r="397" spans="1:14">
      <c r="A397" s="519"/>
      <c r="B397" s="520"/>
      <c r="C397" s="521"/>
      <c r="D397" s="522"/>
      <c r="E397" s="517"/>
      <c r="F397" s="465"/>
      <c r="G397" s="557"/>
      <c r="H397" s="460"/>
      <c r="I397" s="557"/>
      <c r="J397" s="460"/>
      <c r="K397" s="557"/>
      <c r="L397" s="460"/>
      <c r="M397" s="783"/>
      <c r="N397" s="460"/>
    </row>
    <row r="398" spans="1:14">
      <c r="A398" s="519"/>
      <c r="B398" s="520"/>
      <c r="C398" s="521"/>
      <c r="D398" s="522"/>
      <c r="E398" s="517"/>
      <c r="F398" s="465"/>
      <c r="G398" s="557"/>
      <c r="H398" s="460"/>
      <c r="I398" s="557"/>
      <c r="J398" s="460"/>
      <c r="K398" s="557"/>
      <c r="L398" s="460"/>
      <c r="M398" s="783"/>
      <c r="N398" s="460"/>
    </row>
    <row r="399" spans="1:14">
      <c r="A399" s="519"/>
      <c r="B399" s="520"/>
      <c r="C399" s="521"/>
      <c r="D399" s="522"/>
      <c r="E399" s="517"/>
      <c r="F399" s="465"/>
      <c r="G399" s="557"/>
      <c r="H399" s="460"/>
      <c r="I399" s="557"/>
      <c r="J399" s="460"/>
      <c r="K399" s="557"/>
      <c r="L399" s="460"/>
      <c r="M399" s="783"/>
      <c r="N399" s="460"/>
    </row>
    <row r="400" spans="1:14">
      <c r="A400" s="519"/>
      <c r="B400" s="520"/>
      <c r="C400" s="521"/>
      <c r="D400" s="522"/>
      <c r="E400" s="517"/>
      <c r="F400" s="465"/>
      <c r="G400" s="557"/>
      <c r="H400" s="460"/>
      <c r="I400" s="557"/>
      <c r="J400" s="460"/>
      <c r="K400" s="557"/>
      <c r="L400" s="460"/>
      <c r="M400" s="783"/>
      <c r="N400" s="460"/>
    </row>
    <row r="401" spans="1:14">
      <c r="A401" s="519"/>
      <c r="B401" s="520"/>
      <c r="C401" s="521"/>
      <c r="D401" s="522"/>
      <c r="E401" s="517"/>
      <c r="F401" s="465"/>
      <c r="G401" s="557"/>
      <c r="H401" s="460"/>
      <c r="I401" s="557"/>
      <c r="J401" s="460"/>
      <c r="K401" s="557"/>
      <c r="L401" s="460"/>
      <c r="M401" s="783"/>
      <c r="N401" s="460"/>
    </row>
    <row r="402" spans="1:14">
      <c r="A402" s="519"/>
      <c r="B402" s="520"/>
      <c r="C402" s="521"/>
      <c r="D402" s="522"/>
      <c r="E402" s="517"/>
      <c r="F402" s="465"/>
      <c r="G402" s="557"/>
      <c r="H402" s="460"/>
      <c r="I402" s="557"/>
      <c r="J402" s="460"/>
      <c r="K402" s="557"/>
      <c r="L402" s="460"/>
      <c r="M402" s="783"/>
      <c r="N402" s="460"/>
    </row>
    <row r="403" spans="1:14">
      <c r="A403" s="519"/>
      <c r="B403" s="520"/>
      <c r="C403" s="521"/>
      <c r="D403" s="522"/>
      <c r="E403" s="517"/>
      <c r="F403" s="465"/>
      <c r="G403" s="557"/>
      <c r="H403" s="460"/>
      <c r="I403" s="557"/>
      <c r="J403" s="460"/>
      <c r="K403" s="557"/>
      <c r="L403" s="460"/>
      <c r="M403" s="783"/>
      <c r="N403" s="460"/>
    </row>
    <row r="404" spans="1:14">
      <c r="A404" s="519"/>
      <c r="B404" s="520"/>
      <c r="C404" s="521"/>
      <c r="D404" s="522"/>
      <c r="E404" s="517"/>
      <c r="F404" s="465"/>
      <c r="G404" s="557"/>
      <c r="H404" s="460"/>
      <c r="I404" s="557"/>
      <c r="J404" s="460"/>
      <c r="K404" s="557"/>
      <c r="L404" s="460"/>
      <c r="M404" s="783"/>
      <c r="N404" s="460"/>
    </row>
    <row r="405" spans="1:14">
      <c r="A405" s="519"/>
      <c r="B405" s="520"/>
      <c r="C405" s="521"/>
      <c r="D405" s="522"/>
      <c r="E405" s="517"/>
      <c r="F405" s="465"/>
      <c r="G405" s="557"/>
      <c r="H405" s="460"/>
      <c r="I405" s="557"/>
      <c r="J405" s="460"/>
      <c r="K405" s="557"/>
      <c r="L405" s="460"/>
      <c r="M405" s="783"/>
      <c r="N405" s="460"/>
    </row>
    <row r="406" spans="1:14">
      <c r="A406" s="519"/>
      <c r="B406" s="520"/>
      <c r="C406" s="521"/>
      <c r="D406" s="522"/>
      <c r="E406" s="517"/>
      <c r="F406" s="465"/>
      <c r="G406" s="557"/>
      <c r="H406" s="460"/>
      <c r="I406" s="557"/>
      <c r="J406" s="460"/>
      <c r="K406" s="557"/>
      <c r="L406" s="460"/>
      <c r="M406" s="783"/>
      <c r="N406" s="460"/>
    </row>
    <row r="407" spans="1:14">
      <c r="A407" s="519"/>
      <c r="B407" s="520"/>
      <c r="C407" s="521"/>
      <c r="D407" s="522"/>
      <c r="E407" s="517"/>
      <c r="F407" s="465"/>
      <c r="G407" s="557"/>
      <c r="H407" s="460"/>
      <c r="I407" s="557"/>
      <c r="J407" s="460"/>
      <c r="K407" s="557"/>
      <c r="L407" s="460"/>
      <c r="M407" s="783"/>
      <c r="N407" s="460"/>
    </row>
    <row r="408" spans="1:14">
      <c r="A408" s="519"/>
      <c r="B408" s="520"/>
      <c r="C408" s="521"/>
      <c r="D408" s="522"/>
      <c r="E408" s="517"/>
      <c r="F408" s="465"/>
      <c r="G408" s="557"/>
      <c r="H408" s="460"/>
      <c r="I408" s="557"/>
      <c r="J408" s="460"/>
      <c r="K408" s="557"/>
      <c r="L408" s="460"/>
      <c r="M408" s="783"/>
      <c r="N408" s="460"/>
    </row>
    <row r="409" spans="1:14">
      <c r="A409" s="519"/>
      <c r="B409" s="520"/>
      <c r="C409" s="521"/>
      <c r="D409" s="522"/>
      <c r="E409" s="517"/>
      <c r="F409" s="465"/>
      <c r="G409" s="557"/>
      <c r="H409" s="460"/>
      <c r="I409" s="557"/>
      <c r="J409" s="460"/>
      <c r="K409" s="557"/>
      <c r="L409" s="460"/>
      <c r="M409" s="783"/>
      <c r="N409" s="460"/>
    </row>
    <row r="410" spans="1:14">
      <c r="A410" s="519"/>
      <c r="B410" s="520"/>
      <c r="C410" s="521"/>
      <c r="D410" s="522"/>
      <c r="E410" s="517"/>
      <c r="F410" s="465"/>
      <c r="G410" s="557"/>
      <c r="H410" s="460"/>
      <c r="I410" s="557"/>
      <c r="J410" s="460"/>
      <c r="K410" s="557"/>
      <c r="L410" s="460"/>
      <c r="M410" s="783"/>
      <c r="N410" s="460"/>
    </row>
    <row r="411" spans="1:14">
      <c r="A411" s="519"/>
      <c r="B411" s="520"/>
      <c r="C411" s="521"/>
      <c r="D411" s="522"/>
      <c r="E411" s="517"/>
      <c r="F411" s="465"/>
      <c r="G411" s="557"/>
      <c r="H411" s="460"/>
      <c r="I411" s="557"/>
      <c r="J411" s="460"/>
      <c r="K411" s="557"/>
      <c r="L411" s="460"/>
      <c r="M411" s="783"/>
      <c r="N411" s="460"/>
    </row>
    <row r="412" spans="1:14">
      <c r="A412" s="519"/>
      <c r="B412" s="520"/>
      <c r="C412" s="521"/>
      <c r="D412" s="522"/>
      <c r="E412" s="517"/>
      <c r="F412" s="465"/>
      <c r="G412" s="557"/>
      <c r="H412" s="460"/>
      <c r="I412" s="557"/>
      <c r="J412" s="460"/>
      <c r="K412" s="557"/>
      <c r="L412" s="460"/>
      <c r="M412" s="783"/>
      <c r="N412" s="460"/>
    </row>
    <row r="413" spans="1:14">
      <c r="A413" s="519"/>
      <c r="B413" s="520"/>
      <c r="C413" s="521"/>
      <c r="D413" s="522"/>
      <c r="E413" s="517"/>
      <c r="F413" s="465"/>
      <c r="G413" s="557"/>
      <c r="H413" s="460"/>
      <c r="I413" s="557"/>
      <c r="J413" s="460"/>
      <c r="K413" s="557"/>
      <c r="L413" s="460"/>
      <c r="M413" s="783"/>
      <c r="N413" s="460"/>
    </row>
    <row r="414" spans="1:14">
      <c r="A414" s="519"/>
      <c r="B414" s="520"/>
      <c r="C414" s="521"/>
      <c r="D414" s="522"/>
      <c r="E414" s="517"/>
      <c r="F414" s="465"/>
      <c r="G414" s="557"/>
      <c r="H414" s="460"/>
      <c r="I414" s="557"/>
      <c r="J414" s="460"/>
      <c r="K414" s="557"/>
      <c r="L414" s="460"/>
      <c r="M414" s="783"/>
      <c r="N414" s="460"/>
    </row>
    <row r="415" spans="1:14">
      <c r="A415" s="519"/>
      <c r="B415" s="520"/>
      <c r="C415" s="521"/>
      <c r="D415" s="522"/>
      <c r="E415" s="517"/>
      <c r="F415" s="465"/>
      <c r="G415" s="557"/>
      <c r="H415" s="460"/>
      <c r="I415" s="557"/>
      <c r="J415" s="460"/>
      <c r="K415" s="557"/>
      <c r="L415" s="460"/>
      <c r="M415" s="783"/>
      <c r="N415" s="460"/>
    </row>
    <row r="416" spans="1:14">
      <c r="A416" s="519"/>
      <c r="B416" s="520"/>
      <c r="C416" s="521"/>
      <c r="D416" s="522"/>
      <c r="E416" s="517"/>
      <c r="F416" s="465"/>
      <c r="G416" s="557"/>
      <c r="H416" s="460"/>
      <c r="I416" s="557"/>
      <c r="J416" s="460"/>
      <c r="K416" s="557"/>
      <c r="L416" s="460"/>
      <c r="M416" s="783"/>
      <c r="N416" s="460"/>
    </row>
    <row r="417" spans="1:14">
      <c r="A417" s="519"/>
      <c r="B417" s="520"/>
      <c r="C417" s="521"/>
      <c r="D417" s="522"/>
      <c r="E417" s="517"/>
      <c r="F417" s="465"/>
      <c r="G417" s="557"/>
      <c r="H417" s="460"/>
      <c r="I417" s="557"/>
      <c r="J417" s="460"/>
      <c r="K417" s="557"/>
      <c r="L417" s="460"/>
      <c r="M417" s="783"/>
      <c r="N417" s="460"/>
    </row>
    <row r="418" spans="1:14">
      <c r="A418" s="519"/>
      <c r="B418" s="520"/>
      <c r="C418" s="521"/>
      <c r="D418" s="522"/>
      <c r="E418" s="517"/>
      <c r="F418" s="465"/>
      <c r="G418" s="557"/>
      <c r="H418" s="460"/>
      <c r="I418" s="557"/>
      <c r="J418" s="460"/>
      <c r="K418" s="557"/>
      <c r="L418" s="460"/>
      <c r="M418" s="783"/>
      <c r="N418" s="460"/>
    </row>
    <row r="419" spans="1:14">
      <c r="A419" s="519"/>
      <c r="B419" s="520"/>
      <c r="C419" s="521"/>
      <c r="D419" s="522"/>
      <c r="E419" s="517"/>
      <c r="F419" s="465"/>
      <c r="G419" s="557"/>
      <c r="H419" s="460"/>
      <c r="I419" s="557"/>
      <c r="J419" s="460"/>
      <c r="K419" s="557"/>
      <c r="L419" s="460"/>
      <c r="M419" s="783"/>
      <c r="N419" s="460"/>
    </row>
    <row r="420" spans="1:14">
      <c r="A420" s="519"/>
      <c r="B420" s="520"/>
      <c r="C420" s="521"/>
      <c r="D420" s="522"/>
      <c r="E420" s="517"/>
      <c r="F420" s="465"/>
      <c r="G420" s="557"/>
      <c r="H420" s="460"/>
      <c r="I420" s="557"/>
      <c r="J420" s="460"/>
      <c r="K420" s="557"/>
      <c r="L420" s="460"/>
      <c r="M420" s="783"/>
      <c r="N420" s="460"/>
    </row>
    <row r="421" spans="1:14">
      <c r="A421" s="519"/>
      <c r="B421" s="520"/>
      <c r="C421" s="521"/>
      <c r="D421" s="522"/>
      <c r="E421" s="517"/>
      <c r="F421" s="465"/>
      <c r="G421" s="557"/>
      <c r="H421" s="460"/>
      <c r="I421" s="557"/>
      <c r="J421" s="460"/>
      <c r="K421" s="557"/>
      <c r="L421" s="460"/>
      <c r="M421" s="783"/>
      <c r="N421" s="460"/>
    </row>
    <row r="422" spans="1:14">
      <c r="A422" s="519"/>
      <c r="B422" s="520"/>
      <c r="C422" s="521"/>
      <c r="D422" s="522"/>
      <c r="E422" s="517"/>
      <c r="F422" s="465"/>
      <c r="G422" s="557"/>
      <c r="H422" s="460"/>
      <c r="I422" s="557"/>
      <c r="J422" s="460"/>
      <c r="K422" s="557"/>
      <c r="L422" s="460"/>
      <c r="M422" s="783"/>
      <c r="N422" s="460"/>
    </row>
    <row r="423" spans="1:14">
      <c r="A423" s="519"/>
      <c r="B423" s="520"/>
      <c r="C423" s="521"/>
      <c r="D423" s="522"/>
      <c r="E423" s="517"/>
      <c r="F423" s="465"/>
      <c r="G423" s="557"/>
      <c r="H423" s="460"/>
      <c r="I423" s="557"/>
      <c r="J423" s="460"/>
      <c r="K423" s="557"/>
      <c r="L423" s="460"/>
      <c r="M423" s="783"/>
      <c r="N423" s="460"/>
    </row>
    <row r="424" spans="1:14">
      <c r="A424" s="519"/>
      <c r="B424" s="520"/>
      <c r="C424" s="521"/>
      <c r="D424" s="522"/>
      <c r="E424" s="517"/>
      <c r="F424" s="465"/>
      <c r="G424" s="557"/>
      <c r="H424" s="460"/>
      <c r="I424" s="557"/>
      <c r="J424" s="460"/>
      <c r="K424" s="557"/>
      <c r="L424" s="460"/>
      <c r="M424" s="783"/>
      <c r="N424" s="460"/>
    </row>
    <row r="425" spans="1:14">
      <c r="A425" s="519"/>
      <c r="B425" s="520"/>
      <c r="C425" s="521"/>
      <c r="D425" s="522"/>
      <c r="E425" s="517"/>
      <c r="F425" s="465"/>
      <c r="G425" s="557"/>
      <c r="H425" s="460"/>
      <c r="I425" s="557"/>
      <c r="J425" s="460"/>
      <c r="K425" s="557"/>
      <c r="L425" s="460"/>
      <c r="M425" s="783"/>
      <c r="N425" s="460"/>
    </row>
    <row r="426" spans="1:14">
      <c r="A426" s="519"/>
      <c r="B426" s="520"/>
      <c r="C426" s="521"/>
      <c r="D426" s="522"/>
      <c r="E426" s="517"/>
      <c r="F426" s="465"/>
      <c r="G426" s="557"/>
      <c r="H426" s="460"/>
      <c r="I426" s="557"/>
      <c r="J426" s="460"/>
      <c r="K426" s="557"/>
      <c r="L426" s="460"/>
      <c r="M426" s="783"/>
      <c r="N426" s="460"/>
    </row>
    <row r="427" spans="1:14">
      <c r="A427" s="519"/>
      <c r="B427" s="520"/>
      <c r="C427" s="521"/>
      <c r="D427" s="522"/>
      <c r="E427" s="517"/>
      <c r="F427" s="465"/>
      <c r="G427" s="557"/>
      <c r="H427" s="460"/>
      <c r="I427" s="557"/>
      <c r="J427" s="460"/>
      <c r="K427" s="557"/>
      <c r="L427" s="460"/>
      <c r="M427" s="783"/>
      <c r="N427" s="460"/>
    </row>
    <row r="428" spans="1:14">
      <c r="A428" s="519"/>
      <c r="B428" s="520"/>
      <c r="C428" s="521"/>
      <c r="D428" s="522"/>
      <c r="E428" s="517"/>
      <c r="F428" s="465"/>
      <c r="G428" s="557"/>
      <c r="H428" s="460"/>
      <c r="I428" s="557"/>
      <c r="J428" s="460"/>
      <c r="K428" s="557"/>
      <c r="L428" s="460"/>
      <c r="M428" s="783"/>
      <c r="N428" s="460"/>
    </row>
    <row r="429" spans="1:14">
      <c r="A429" s="519"/>
      <c r="B429" s="520"/>
      <c r="C429" s="521"/>
      <c r="D429" s="522"/>
      <c r="E429" s="517"/>
      <c r="F429" s="465"/>
      <c r="G429" s="557"/>
      <c r="H429" s="460"/>
      <c r="I429" s="557"/>
      <c r="J429" s="460"/>
      <c r="K429" s="557"/>
      <c r="L429" s="460"/>
      <c r="M429" s="783"/>
      <c r="N429" s="460"/>
    </row>
    <row r="430" spans="1:14">
      <c r="A430" s="519"/>
      <c r="B430" s="520"/>
      <c r="C430" s="521"/>
      <c r="D430" s="522"/>
      <c r="E430" s="517"/>
      <c r="F430" s="465"/>
      <c r="G430" s="557"/>
      <c r="H430" s="460"/>
      <c r="I430" s="557"/>
      <c r="J430" s="460"/>
      <c r="K430" s="557"/>
      <c r="L430" s="460"/>
      <c r="M430" s="783"/>
      <c r="N430" s="460"/>
    </row>
    <row r="431" spans="1:14">
      <c r="A431" s="519"/>
      <c r="B431" s="520"/>
      <c r="C431" s="521"/>
      <c r="D431" s="522"/>
      <c r="E431" s="517"/>
      <c r="F431" s="465"/>
      <c r="G431" s="557"/>
      <c r="H431" s="460"/>
      <c r="I431" s="557"/>
      <c r="J431" s="460"/>
      <c r="K431" s="557"/>
      <c r="L431" s="460"/>
      <c r="M431" s="783"/>
      <c r="N431" s="460"/>
    </row>
    <row r="432" spans="1:14">
      <c r="A432" s="519"/>
      <c r="B432" s="520"/>
      <c r="C432" s="521"/>
      <c r="D432" s="522"/>
      <c r="E432" s="517"/>
      <c r="F432" s="465"/>
      <c r="G432" s="557"/>
      <c r="H432" s="460"/>
      <c r="I432" s="557"/>
      <c r="J432" s="460"/>
      <c r="K432" s="557"/>
      <c r="L432" s="460"/>
      <c r="M432" s="783"/>
      <c r="N432" s="460"/>
    </row>
    <row r="433" spans="1:14">
      <c r="A433" s="519"/>
      <c r="B433" s="520"/>
      <c r="C433" s="521"/>
      <c r="D433" s="522"/>
      <c r="E433" s="517"/>
      <c r="F433" s="465"/>
      <c r="G433" s="557"/>
      <c r="H433" s="460"/>
      <c r="I433" s="557"/>
      <c r="J433" s="460"/>
      <c r="K433" s="557"/>
      <c r="L433" s="460"/>
      <c r="M433" s="783"/>
      <c r="N433" s="460"/>
    </row>
    <row r="434" spans="1:14">
      <c r="A434" s="519"/>
      <c r="B434" s="520"/>
      <c r="C434" s="521"/>
      <c r="D434" s="522"/>
      <c r="E434" s="517"/>
      <c r="F434" s="465"/>
      <c r="G434" s="557"/>
      <c r="H434" s="460"/>
      <c r="I434" s="557"/>
      <c r="J434" s="460"/>
      <c r="K434" s="557"/>
      <c r="L434" s="460"/>
      <c r="M434" s="783"/>
      <c r="N434" s="460"/>
    </row>
    <row r="435" spans="1:14">
      <c r="A435" s="519"/>
      <c r="B435" s="520"/>
      <c r="C435" s="521"/>
      <c r="D435" s="522"/>
      <c r="E435" s="517"/>
      <c r="F435" s="465"/>
      <c r="G435" s="557"/>
      <c r="H435" s="460"/>
      <c r="I435" s="557"/>
      <c r="J435" s="460"/>
      <c r="K435" s="557"/>
      <c r="L435" s="460"/>
      <c r="M435" s="783"/>
      <c r="N435" s="460"/>
    </row>
    <row r="436" spans="1:14">
      <c r="A436" s="519"/>
      <c r="B436" s="520"/>
      <c r="C436" s="521"/>
      <c r="D436" s="522"/>
      <c r="E436" s="517"/>
      <c r="F436" s="465"/>
      <c r="G436" s="557"/>
      <c r="H436" s="460"/>
      <c r="I436" s="557"/>
      <c r="J436" s="460"/>
      <c r="K436" s="557"/>
      <c r="L436" s="460"/>
      <c r="M436" s="783"/>
      <c r="N436" s="460"/>
    </row>
    <row r="437" spans="1:14">
      <c r="A437" s="519"/>
      <c r="B437" s="520"/>
      <c r="C437" s="521"/>
      <c r="D437" s="522"/>
      <c r="E437" s="517"/>
      <c r="F437" s="465"/>
      <c r="G437" s="557"/>
      <c r="H437" s="460"/>
      <c r="I437" s="557"/>
      <c r="J437" s="460"/>
      <c r="K437" s="557"/>
      <c r="L437" s="460"/>
      <c r="M437" s="783"/>
      <c r="N437" s="460"/>
    </row>
    <row r="438" spans="1:14">
      <c r="A438" s="519"/>
      <c r="B438" s="520"/>
      <c r="C438" s="521"/>
      <c r="D438" s="522"/>
      <c r="E438" s="517"/>
      <c r="F438" s="465"/>
      <c r="G438" s="557"/>
      <c r="H438" s="460"/>
      <c r="I438" s="557"/>
      <c r="J438" s="460"/>
      <c r="K438" s="557"/>
      <c r="L438" s="460"/>
      <c r="M438" s="783"/>
      <c r="N438" s="460"/>
    </row>
    <row r="439" spans="1:14">
      <c r="A439" s="519"/>
      <c r="B439" s="520"/>
      <c r="C439" s="521"/>
      <c r="D439" s="522"/>
      <c r="E439" s="517"/>
      <c r="F439" s="465"/>
      <c r="G439" s="557"/>
      <c r="H439" s="460"/>
      <c r="I439" s="557"/>
      <c r="J439" s="460"/>
      <c r="K439" s="557"/>
      <c r="L439" s="460"/>
      <c r="M439" s="783"/>
      <c r="N439" s="460"/>
    </row>
    <row r="440" spans="1:14">
      <c r="A440" s="519"/>
      <c r="B440" s="520"/>
      <c r="C440" s="521"/>
      <c r="D440" s="522"/>
      <c r="E440" s="517"/>
      <c r="F440" s="465"/>
      <c r="G440" s="557"/>
      <c r="H440" s="460"/>
      <c r="I440" s="557"/>
      <c r="J440" s="460"/>
      <c r="K440" s="557"/>
      <c r="L440" s="460"/>
      <c r="M440" s="783"/>
      <c r="N440" s="460"/>
    </row>
    <row r="441" spans="1:14">
      <c r="A441" s="519"/>
      <c r="B441" s="520"/>
      <c r="C441" s="521"/>
      <c r="D441" s="522"/>
      <c r="E441" s="517"/>
      <c r="F441" s="465"/>
      <c r="G441" s="557"/>
      <c r="H441" s="460"/>
      <c r="I441" s="557"/>
      <c r="J441" s="460"/>
      <c r="K441" s="557"/>
      <c r="L441" s="460"/>
      <c r="M441" s="783"/>
      <c r="N441" s="460"/>
    </row>
    <row r="442" spans="1:14">
      <c r="A442" s="519"/>
      <c r="B442" s="520"/>
      <c r="C442" s="521"/>
      <c r="D442" s="522"/>
      <c r="E442" s="517"/>
      <c r="F442" s="465"/>
      <c r="G442" s="557"/>
      <c r="H442" s="460"/>
      <c r="I442" s="557"/>
      <c r="J442" s="460"/>
      <c r="K442" s="557"/>
      <c r="L442" s="460"/>
      <c r="M442" s="783"/>
      <c r="N442" s="460"/>
    </row>
    <row r="443" spans="1:14">
      <c r="A443" s="519"/>
      <c r="B443" s="520"/>
      <c r="C443" s="521"/>
      <c r="D443" s="522"/>
      <c r="E443" s="517"/>
      <c r="F443" s="465"/>
      <c r="G443" s="557"/>
      <c r="H443" s="460"/>
      <c r="I443" s="557"/>
      <c r="J443" s="460"/>
      <c r="K443" s="557"/>
      <c r="L443" s="460"/>
      <c r="M443" s="783"/>
      <c r="N443" s="460"/>
    </row>
    <row r="444" spans="1:14">
      <c r="A444" s="519"/>
      <c r="B444" s="520"/>
      <c r="C444" s="521"/>
      <c r="D444" s="522"/>
      <c r="E444" s="517"/>
      <c r="F444" s="465"/>
      <c r="G444" s="557"/>
      <c r="H444" s="460"/>
      <c r="I444" s="557"/>
      <c r="J444" s="460"/>
      <c r="K444" s="557"/>
      <c r="L444" s="460"/>
      <c r="M444" s="783"/>
      <c r="N444" s="460"/>
    </row>
    <row r="445" spans="1:14">
      <c r="A445" s="519"/>
      <c r="B445" s="520"/>
      <c r="C445" s="521"/>
      <c r="D445" s="522"/>
      <c r="E445" s="517"/>
      <c r="F445" s="465"/>
      <c r="G445" s="557"/>
      <c r="H445" s="460"/>
      <c r="I445" s="557"/>
      <c r="J445" s="460"/>
      <c r="K445" s="557"/>
      <c r="L445" s="460"/>
      <c r="M445" s="783"/>
      <c r="N445" s="460"/>
    </row>
    <row r="446" spans="1:14">
      <c r="A446" s="519"/>
      <c r="B446" s="520"/>
      <c r="C446" s="521"/>
      <c r="D446" s="522"/>
      <c r="E446" s="517"/>
      <c r="F446" s="465"/>
      <c r="G446" s="557"/>
      <c r="H446" s="460"/>
      <c r="I446" s="557"/>
      <c r="J446" s="460"/>
      <c r="K446" s="557"/>
      <c r="L446" s="460"/>
      <c r="M446" s="783"/>
      <c r="N446" s="460"/>
    </row>
    <row r="447" spans="1:14">
      <c r="A447" s="519"/>
      <c r="B447" s="520"/>
      <c r="C447" s="521"/>
      <c r="D447" s="522"/>
      <c r="E447" s="517"/>
      <c r="F447" s="465"/>
      <c r="G447" s="557"/>
      <c r="H447" s="460"/>
      <c r="I447" s="557"/>
      <c r="J447" s="460"/>
      <c r="K447" s="557"/>
      <c r="L447" s="460"/>
      <c r="M447" s="783"/>
      <c r="N447" s="460"/>
    </row>
    <row r="448" spans="1:14">
      <c r="A448" s="519"/>
      <c r="B448" s="520"/>
      <c r="C448" s="521"/>
      <c r="D448" s="522"/>
      <c r="E448" s="517"/>
      <c r="F448" s="465"/>
      <c r="G448" s="557"/>
      <c r="H448" s="460"/>
      <c r="I448" s="557"/>
      <c r="J448" s="460"/>
      <c r="K448" s="557"/>
      <c r="L448" s="460"/>
      <c r="M448" s="783"/>
      <c r="N448" s="460"/>
    </row>
    <row r="449" spans="1:14">
      <c r="A449" s="519"/>
      <c r="B449" s="520"/>
      <c r="C449" s="521"/>
      <c r="D449" s="522"/>
      <c r="E449" s="517"/>
      <c r="F449" s="465"/>
      <c r="G449" s="557"/>
      <c r="H449" s="460"/>
      <c r="I449" s="557"/>
      <c r="J449" s="460"/>
      <c r="K449" s="557"/>
      <c r="L449" s="460"/>
      <c r="M449" s="783"/>
      <c r="N449" s="460"/>
    </row>
    <row r="450" spans="1:14">
      <c r="A450" s="519"/>
      <c r="B450" s="520"/>
      <c r="C450" s="521"/>
      <c r="D450" s="522"/>
      <c r="E450" s="517"/>
      <c r="F450" s="465"/>
      <c r="G450" s="557"/>
      <c r="H450" s="460"/>
      <c r="I450" s="557"/>
      <c r="J450" s="460"/>
      <c r="K450" s="557"/>
      <c r="L450" s="460"/>
      <c r="M450" s="783"/>
      <c r="N450" s="460"/>
    </row>
    <row r="451" spans="1:14">
      <c r="A451" s="519"/>
      <c r="B451" s="520"/>
      <c r="C451" s="521"/>
      <c r="D451" s="522"/>
      <c r="E451" s="517"/>
      <c r="F451" s="465"/>
      <c r="G451" s="557"/>
      <c r="H451" s="460"/>
      <c r="I451" s="557"/>
      <c r="J451" s="460"/>
      <c r="K451" s="557"/>
      <c r="L451" s="460"/>
      <c r="M451" s="783"/>
      <c r="N451" s="460"/>
    </row>
    <row r="452" spans="1:14">
      <c r="A452" s="519"/>
      <c r="B452" s="520"/>
      <c r="C452" s="521"/>
      <c r="D452" s="522"/>
      <c r="E452" s="517"/>
      <c r="F452" s="465"/>
      <c r="G452" s="557"/>
      <c r="H452" s="460"/>
      <c r="I452" s="557"/>
      <c r="J452" s="460"/>
      <c r="K452" s="557"/>
      <c r="L452" s="460"/>
      <c r="M452" s="783"/>
      <c r="N452" s="460"/>
    </row>
    <row r="453" spans="1:14">
      <c r="A453" s="519"/>
      <c r="B453" s="520"/>
      <c r="C453" s="521"/>
      <c r="D453" s="522"/>
      <c r="E453" s="517"/>
      <c r="F453" s="465"/>
      <c r="G453" s="557"/>
      <c r="H453" s="460"/>
      <c r="I453" s="557"/>
      <c r="J453" s="460"/>
      <c r="K453" s="557"/>
      <c r="L453" s="460"/>
      <c r="M453" s="783"/>
      <c r="N453" s="460"/>
    </row>
    <row r="454" spans="1:14">
      <c r="A454" s="519"/>
      <c r="B454" s="520"/>
      <c r="C454" s="521"/>
      <c r="D454" s="522"/>
      <c r="E454" s="517"/>
      <c r="F454" s="465"/>
      <c r="G454" s="557"/>
      <c r="H454" s="460"/>
      <c r="I454" s="557"/>
      <c r="J454" s="460"/>
      <c r="K454" s="557"/>
      <c r="L454" s="460"/>
      <c r="M454" s="783"/>
      <c r="N454" s="460"/>
    </row>
    <row r="455" spans="1:14">
      <c r="A455" s="519"/>
      <c r="B455" s="520"/>
      <c r="C455" s="521"/>
      <c r="D455" s="522"/>
      <c r="E455" s="517"/>
      <c r="F455" s="465"/>
      <c r="G455" s="557"/>
      <c r="H455" s="460"/>
      <c r="I455" s="557"/>
      <c r="J455" s="460"/>
      <c r="K455" s="557"/>
      <c r="L455" s="460"/>
      <c r="M455" s="783"/>
      <c r="N455" s="460"/>
    </row>
    <row r="456" spans="1:14">
      <c r="A456" s="519"/>
      <c r="B456" s="520"/>
      <c r="C456" s="521"/>
      <c r="D456" s="522"/>
      <c r="E456" s="517"/>
      <c r="F456" s="465"/>
      <c r="G456" s="557"/>
      <c r="H456" s="460"/>
      <c r="I456" s="557"/>
      <c r="J456" s="460"/>
      <c r="K456" s="557"/>
      <c r="L456" s="460"/>
      <c r="M456" s="783"/>
      <c r="N456" s="460"/>
    </row>
    <row r="457" spans="1:14">
      <c r="A457" s="519"/>
      <c r="B457" s="520"/>
      <c r="C457" s="521"/>
      <c r="D457" s="522"/>
      <c r="E457" s="517"/>
      <c r="F457" s="465"/>
      <c r="G457" s="557"/>
      <c r="H457" s="460"/>
      <c r="I457" s="557"/>
      <c r="J457" s="460"/>
      <c r="K457" s="557"/>
      <c r="L457" s="460"/>
      <c r="M457" s="783"/>
      <c r="N457" s="460"/>
    </row>
    <row r="458" spans="1:14">
      <c r="A458" s="519"/>
      <c r="B458" s="520"/>
      <c r="C458" s="521"/>
      <c r="D458" s="522"/>
      <c r="E458" s="517"/>
      <c r="F458" s="465"/>
      <c r="G458" s="557"/>
      <c r="H458" s="460"/>
      <c r="I458" s="557"/>
      <c r="J458" s="460"/>
      <c r="K458" s="557"/>
      <c r="L458" s="460"/>
      <c r="M458" s="783"/>
      <c r="N458" s="460"/>
    </row>
    <row r="459" spans="1:14">
      <c r="A459" s="519"/>
      <c r="B459" s="520"/>
      <c r="C459" s="521"/>
      <c r="D459" s="522"/>
      <c r="E459" s="517"/>
      <c r="F459" s="465"/>
      <c r="G459" s="557"/>
      <c r="H459" s="460"/>
      <c r="I459" s="557"/>
      <c r="J459" s="460"/>
      <c r="K459" s="557"/>
      <c r="L459" s="460"/>
      <c r="M459" s="783"/>
      <c r="N459" s="460"/>
    </row>
    <row r="460" spans="1:14">
      <c r="A460" s="519"/>
      <c r="B460" s="520"/>
      <c r="C460" s="521"/>
      <c r="D460" s="522"/>
      <c r="E460" s="517"/>
      <c r="F460" s="465"/>
      <c r="G460" s="557"/>
      <c r="H460" s="460"/>
      <c r="I460" s="557"/>
      <c r="J460" s="460"/>
      <c r="K460" s="557"/>
      <c r="L460" s="460"/>
      <c r="M460" s="783"/>
      <c r="N460" s="460"/>
    </row>
    <row r="461" spans="1:14">
      <c r="A461" s="519"/>
      <c r="B461" s="520"/>
      <c r="C461" s="521"/>
      <c r="D461" s="522"/>
      <c r="E461" s="517"/>
      <c r="F461" s="465"/>
      <c r="G461" s="557"/>
      <c r="H461" s="460"/>
      <c r="I461" s="557"/>
      <c r="J461" s="460"/>
      <c r="K461" s="557"/>
      <c r="L461" s="460"/>
      <c r="M461" s="783"/>
      <c r="N461" s="460"/>
    </row>
    <row r="462" spans="1:14">
      <c r="A462" s="519"/>
      <c r="B462" s="520"/>
      <c r="C462" s="521"/>
      <c r="D462" s="522"/>
      <c r="E462" s="517"/>
      <c r="F462" s="465"/>
      <c r="G462" s="557"/>
      <c r="H462" s="460"/>
      <c r="I462" s="557"/>
      <c r="J462" s="460"/>
      <c r="K462" s="557"/>
      <c r="L462" s="460"/>
      <c r="M462" s="783"/>
      <c r="N462" s="460"/>
    </row>
    <row r="463" spans="1:14">
      <c r="A463" s="519"/>
      <c r="B463" s="520"/>
      <c r="C463" s="521"/>
      <c r="D463" s="522"/>
      <c r="E463" s="517"/>
      <c r="F463" s="465"/>
      <c r="G463" s="557"/>
      <c r="H463" s="460"/>
      <c r="I463" s="557"/>
      <c r="J463" s="460"/>
      <c r="K463" s="557"/>
      <c r="L463" s="460"/>
      <c r="M463" s="783"/>
      <c r="N463" s="460"/>
    </row>
    <row r="464" spans="1:14">
      <c r="A464" s="519"/>
      <c r="B464" s="520"/>
      <c r="C464" s="521"/>
      <c r="D464" s="522"/>
      <c r="E464" s="517"/>
      <c r="F464" s="465"/>
      <c r="G464" s="557"/>
      <c r="H464" s="460"/>
      <c r="I464" s="557"/>
      <c r="J464" s="460"/>
      <c r="K464" s="557"/>
      <c r="L464" s="460"/>
      <c r="M464" s="783"/>
      <c r="N464" s="460"/>
    </row>
    <row r="465" spans="1:14">
      <c r="A465" s="519"/>
      <c r="B465" s="520"/>
      <c r="C465" s="521"/>
      <c r="D465" s="522"/>
      <c r="E465" s="517"/>
      <c r="F465" s="465"/>
      <c r="G465" s="557"/>
      <c r="H465" s="460"/>
      <c r="I465" s="557"/>
      <c r="J465" s="460"/>
      <c r="K465" s="557"/>
      <c r="L465" s="460"/>
      <c r="M465" s="783"/>
      <c r="N465" s="460"/>
    </row>
    <row r="466" spans="1:14">
      <c r="A466" s="519"/>
      <c r="B466" s="520"/>
      <c r="C466" s="521"/>
      <c r="D466" s="522"/>
      <c r="E466" s="517"/>
      <c r="F466" s="465"/>
      <c r="G466" s="557"/>
      <c r="H466" s="460"/>
      <c r="I466" s="557"/>
      <c r="J466" s="460"/>
      <c r="K466" s="557"/>
      <c r="L466" s="460"/>
      <c r="M466" s="783"/>
      <c r="N466" s="460"/>
    </row>
    <row r="467" spans="1:14">
      <c r="A467" s="519"/>
      <c r="B467" s="520"/>
      <c r="C467" s="521"/>
      <c r="D467" s="522"/>
      <c r="E467" s="517"/>
      <c r="F467" s="465"/>
      <c r="G467" s="557"/>
      <c r="H467" s="460"/>
      <c r="I467" s="557"/>
      <c r="J467" s="460"/>
      <c r="K467" s="557"/>
      <c r="L467" s="460"/>
      <c r="M467" s="783"/>
      <c r="N467" s="460"/>
    </row>
    <row r="468" spans="1:14">
      <c r="A468" s="519"/>
      <c r="B468" s="520"/>
      <c r="C468" s="521"/>
      <c r="D468" s="522"/>
      <c r="E468" s="517"/>
      <c r="F468" s="465"/>
      <c r="G468" s="557"/>
      <c r="H468" s="460"/>
      <c r="I468" s="557"/>
      <c r="J468" s="460"/>
      <c r="K468" s="557"/>
      <c r="L468" s="460"/>
      <c r="M468" s="783"/>
      <c r="N468" s="460"/>
    </row>
    <row r="469" spans="1:14">
      <c r="A469" s="519"/>
      <c r="B469" s="520"/>
      <c r="C469" s="521"/>
      <c r="D469" s="522"/>
      <c r="E469" s="517"/>
      <c r="F469" s="465"/>
      <c r="G469" s="557"/>
      <c r="H469" s="460"/>
      <c r="I469" s="557"/>
      <c r="J469" s="460"/>
      <c r="K469" s="557"/>
      <c r="L469" s="460"/>
      <c r="M469" s="783"/>
      <c r="N469" s="460"/>
    </row>
    <row r="470" spans="1:14">
      <c r="A470" s="519"/>
      <c r="B470" s="520"/>
      <c r="C470" s="521"/>
      <c r="D470" s="522"/>
      <c r="E470" s="517"/>
      <c r="F470" s="465"/>
      <c r="G470" s="557"/>
      <c r="H470" s="460"/>
      <c r="I470" s="557"/>
      <c r="J470" s="460"/>
      <c r="K470" s="557"/>
      <c r="L470" s="460"/>
      <c r="M470" s="783"/>
      <c r="N470" s="460"/>
    </row>
    <row r="471" spans="1:14">
      <c r="A471" s="519"/>
      <c r="B471" s="520"/>
      <c r="C471" s="521"/>
      <c r="D471" s="522"/>
      <c r="E471" s="517"/>
      <c r="F471" s="465"/>
      <c r="G471" s="557"/>
      <c r="H471" s="460"/>
      <c r="I471" s="557"/>
      <c r="J471" s="460"/>
      <c r="K471" s="557"/>
      <c r="L471" s="460"/>
      <c r="M471" s="783"/>
      <c r="N471" s="460"/>
    </row>
    <row r="472" spans="1:14">
      <c r="A472" s="519"/>
      <c r="B472" s="520"/>
      <c r="C472" s="521"/>
      <c r="D472" s="522"/>
      <c r="E472" s="517"/>
      <c r="F472" s="465"/>
      <c r="G472" s="557"/>
      <c r="H472" s="460"/>
      <c r="I472" s="557"/>
      <c r="J472" s="460"/>
      <c r="K472" s="557"/>
      <c r="L472" s="460"/>
      <c r="M472" s="783"/>
      <c r="N472" s="460"/>
    </row>
    <row r="473" spans="1:14">
      <c r="A473" s="519"/>
      <c r="B473" s="520"/>
      <c r="C473" s="521"/>
      <c r="D473" s="522"/>
      <c r="E473" s="517"/>
      <c r="F473" s="465"/>
      <c r="G473" s="557"/>
      <c r="H473" s="460"/>
      <c r="I473" s="557"/>
      <c r="J473" s="460"/>
      <c r="K473" s="557"/>
      <c r="L473" s="460"/>
      <c r="M473" s="783"/>
      <c r="N473" s="460"/>
    </row>
    <row r="474" spans="1:14">
      <c r="A474" s="519"/>
      <c r="B474" s="520"/>
      <c r="C474" s="521"/>
      <c r="D474" s="522"/>
      <c r="E474" s="517"/>
      <c r="F474" s="465"/>
      <c r="G474" s="557"/>
      <c r="H474" s="460"/>
      <c r="I474" s="557"/>
      <c r="J474" s="460"/>
      <c r="K474" s="557"/>
      <c r="L474" s="460"/>
      <c r="M474" s="783"/>
      <c r="N474" s="460"/>
    </row>
    <row r="475" spans="1:14">
      <c r="A475" s="519"/>
      <c r="B475" s="520"/>
      <c r="C475" s="521"/>
      <c r="D475" s="522"/>
      <c r="E475" s="517"/>
      <c r="F475" s="465"/>
      <c r="G475" s="557"/>
      <c r="H475" s="460"/>
      <c r="I475" s="557"/>
      <c r="J475" s="460"/>
      <c r="K475" s="557"/>
      <c r="L475" s="460"/>
      <c r="M475" s="783"/>
      <c r="N475" s="460"/>
    </row>
    <row r="476" spans="1:14">
      <c r="A476" s="519"/>
      <c r="B476" s="520"/>
      <c r="C476" s="521"/>
      <c r="D476" s="522"/>
      <c r="E476" s="517"/>
      <c r="F476" s="465"/>
      <c r="G476" s="557"/>
      <c r="H476" s="460"/>
      <c r="I476" s="557"/>
      <c r="J476" s="460"/>
      <c r="K476" s="557"/>
      <c r="L476" s="460"/>
      <c r="M476" s="783"/>
      <c r="N476" s="460"/>
    </row>
    <row r="477" spans="1:14">
      <c r="A477" s="519"/>
      <c r="B477" s="520"/>
      <c r="C477" s="521"/>
      <c r="D477" s="522"/>
      <c r="E477" s="517"/>
      <c r="F477" s="465"/>
      <c r="G477" s="557"/>
      <c r="H477" s="460"/>
      <c r="I477" s="557"/>
      <c r="J477" s="460"/>
      <c r="K477" s="557"/>
      <c r="L477" s="460"/>
      <c r="M477" s="783"/>
      <c r="N477" s="460"/>
    </row>
    <row r="478" spans="1:14">
      <c r="A478" s="519"/>
      <c r="B478" s="520"/>
      <c r="C478" s="521"/>
      <c r="D478" s="522"/>
      <c r="E478" s="517"/>
      <c r="F478" s="465"/>
      <c r="G478" s="557"/>
      <c r="H478" s="460"/>
      <c r="I478" s="557"/>
      <c r="J478" s="460"/>
      <c r="K478" s="557"/>
      <c r="L478" s="460"/>
      <c r="M478" s="783"/>
      <c r="N478" s="460"/>
    </row>
    <row r="479" spans="1:14">
      <c r="A479" s="519"/>
      <c r="B479" s="520"/>
      <c r="C479" s="521"/>
      <c r="D479" s="522"/>
      <c r="E479" s="517"/>
      <c r="F479" s="465"/>
      <c r="G479" s="557"/>
      <c r="H479" s="460"/>
      <c r="I479" s="557"/>
      <c r="J479" s="460"/>
      <c r="K479" s="557"/>
      <c r="L479" s="460"/>
      <c r="M479" s="783"/>
      <c r="N479" s="460"/>
    </row>
    <row r="480" spans="1:14">
      <c r="A480" s="519"/>
      <c r="B480" s="520"/>
      <c r="C480" s="521"/>
      <c r="D480" s="522"/>
      <c r="E480" s="517"/>
      <c r="F480" s="465"/>
      <c r="G480" s="557"/>
      <c r="H480" s="460"/>
      <c r="I480" s="557"/>
      <c r="J480" s="460"/>
      <c r="K480" s="557"/>
      <c r="L480" s="460"/>
      <c r="M480" s="783"/>
      <c r="N480" s="460"/>
    </row>
    <row r="481" spans="1:14">
      <c r="A481" s="519"/>
      <c r="B481" s="520"/>
      <c r="C481" s="521"/>
      <c r="D481" s="522"/>
      <c r="E481" s="517"/>
      <c r="F481" s="465"/>
      <c r="G481" s="557"/>
      <c r="H481" s="460"/>
      <c r="I481" s="557"/>
      <c r="J481" s="460"/>
      <c r="K481" s="557"/>
      <c r="L481" s="460"/>
      <c r="M481" s="783"/>
      <c r="N481" s="460"/>
    </row>
    <row r="482" spans="1:14">
      <c r="A482" s="519"/>
      <c r="B482" s="520"/>
      <c r="C482" s="521"/>
      <c r="D482" s="522"/>
      <c r="E482" s="517"/>
      <c r="F482" s="465"/>
      <c r="G482" s="557"/>
      <c r="H482" s="460"/>
      <c r="I482" s="557"/>
      <c r="J482" s="460"/>
      <c r="K482" s="557"/>
      <c r="L482" s="460"/>
      <c r="M482" s="783"/>
      <c r="N482" s="460"/>
    </row>
    <row r="483" spans="1:14">
      <c r="A483" s="519"/>
      <c r="B483" s="520"/>
      <c r="C483" s="521"/>
      <c r="D483" s="522"/>
      <c r="E483" s="517"/>
      <c r="F483" s="465"/>
      <c r="G483" s="557"/>
      <c r="H483" s="460"/>
      <c r="I483" s="557"/>
      <c r="J483" s="460"/>
      <c r="K483" s="557"/>
      <c r="L483" s="460"/>
      <c r="M483" s="783"/>
      <c r="N483" s="460"/>
    </row>
    <row r="484" spans="1:14">
      <c r="A484" s="519"/>
      <c r="B484" s="520"/>
      <c r="C484" s="521"/>
      <c r="D484" s="522"/>
      <c r="E484" s="517"/>
      <c r="F484" s="465"/>
      <c r="G484" s="557"/>
      <c r="H484" s="460"/>
      <c r="I484" s="557"/>
      <c r="J484" s="460"/>
      <c r="K484" s="557"/>
      <c r="L484" s="460"/>
      <c r="M484" s="783"/>
      <c r="N484" s="460"/>
    </row>
    <row r="485" spans="1:14">
      <c r="A485" s="519"/>
      <c r="B485" s="520"/>
      <c r="C485" s="521"/>
      <c r="D485" s="522"/>
      <c r="E485" s="517"/>
      <c r="F485" s="465"/>
      <c r="G485" s="557"/>
      <c r="H485" s="460"/>
      <c r="I485" s="557"/>
      <c r="J485" s="460"/>
      <c r="K485" s="557"/>
      <c r="L485" s="460"/>
      <c r="M485" s="783"/>
      <c r="N485" s="460"/>
    </row>
    <row r="486" spans="1:14">
      <c r="A486" s="519"/>
      <c r="B486" s="520"/>
      <c r="C486" s="521"/>
      <c r="D486" s="522"/>
      <c r="E486" s="517"/>
      <c r="F486" s="465"/>
      <c r="G486" s="557"/>
      <c r="H486" s="460"/>
      <c r="I486" s="557"/>
      <c r="J486" s="460"/>
      <c r="K486" s="557"/>
      <c r="L486" s="460"/>
      <c r="M486" s="783"/>
      <c r="N486" s="460"/>
    </row>
    <row r="487" spans="1:14">
      <c r="A487" s="519"/>
      <c r="B487" s="520"/>
      <c r="C487" s="521"/>
      <c r="D487" s="522"/>
      <c r="E487" s="517"/>
      <c r="F487" s="465"/>
      <c r="G487" s="557"/>
      <c r="H487" s="460"/>
      <c r="I487" s="557"/>
      <c r="J487" s="460"/>
      <c r="K487" s="557"/>
      <c r="L487" s="460"/>
      <c r="M487" s="783"/>
      <c r="N487" s="460"/>
    </row>
    <row r="488" spans="1:14">
      <c r="A488" s="519"/>
      <c r="B488" s="520"/>
      <c r="C488" s="521"/>
      <c r="D488" s="522"/>
      <c r="E488" s="517"/>
      <c r="F488" s="465"/>
      <c r="G488" s="557"/>
      <c r="H488" s="460"/>
      <c r="I488" s="557"/>
      <c r="J488" s="460"/>
      <c r="K488" s="557"/>
      <c r="L488" s="460"/>
      <c r="M488" s="783"/>
      <c r="N488" s="460"/>
    </row>
    <row r="489" spans="1:14">
      <c r="A489" s="519"/>
      <c r="B489" s="520"/>
      <c r="C489" s="521"/>
      <c r="D489" s="522"/>
      <c r="E489" s="517"/>
      <c r="F489" s="465"/>
      <c r="G489" s="557"/>
      <c r="H489" s="460"/>
      <c r="I489" s="557"/>
      <c r="J489" s="460"/>
      <c r="K489" s="557"/>
      <c r="L489" s="460"/>
      <c r="M489" s="783"/>
      <c r="N489" s="460"/>
    </row>
    <row r="490" spans="1:14">
      <c r="A490" s="519"/>
      <c r="B490" s="520"/>
      <c r="C490" s="521"/>
      <c r="D490" s="522"/>
      <c r="E490" s="517"/>
      <c r="F490" s="465"/>
      <c r="G490" s="557"/>
      <c r="H490" s="460"/>
      <c r="I490" s="557"/>
      <c r="J490" s="460"/>
      <c r="K490" s="557"/>
      <c r="L490" s="460"/>
      <c r="M490" s="783"/>
      <c r="N490" s="460"/>
    </row>
    <row r="491" spans="1:14">
      <c r="A491" s="519"/>
      <c r="B491" s="520"/>
      <c r="C491" s="521"/>
      <c r="D491" s="522"/>
      <c r="E491" s="517"/>
      <c r="F491" s="465"/>
      <c r="G491" s="557"/>
      <c r="H491" s="460"/>
      <c r="I491" s="557"/>
      <c r="J491" s="460"/>
      <c r="K491" s="557"/>
      <c r="L491" s="460"/>
      <c r="M491" s="783"/>
      <c r="N491" s="460"/>
    </row>
    <row r="492" spans="1:14">
      <c r="A492" s="519"/>
      <c r="B492" s="520"/>
      <c r="C492" s="521"/>
      <c r="D492" s="522"/>
      <c r="E492" s="517"/>
      <c r="F492" s="465"/>
      <c r="G492" s="557"/>
      <c r="H492" s="460"/>
      <c r="I492" s="557"/>
      <c r="J492" s="460"/>
      <c r="K492" s="557"/>
      <c r="L492" s="460"/>
      <c r="M492" s="783"/>
      <c r="N492" s="460"/>
    </row>
    <row r="493" spans="1:14">
      <c r="A493" s="519"/>
      <c r="B493" s="520"/>
      <c r="C493" s="521"/>
      <c r="D493" s="522"/>
      <c r="E493" s="517"/>
      <c r="F493" s="465"/>
      <c r="G493" s="557"/>
      <c r="H493" s="460"/>
      <c r="I493" s="557"/>
      <c r="J493" s="460"/>
      <c r="K493" s="557"/>
      <c r="L493" s="460"/>
      <c r="M493" s="783"/>
      <c r="N493" s="460"/>
    </row>
    <row r="494" spans="1:14">
      <c r="A494" s="519"/>
      <c r="B494" s="520"/>
      <c r="C494" s="521"/>
      <c r="D494" s="522"/>
      <c r="E494" s="517"/>
      <c r="F494" s="465"/>
      <c r="G494" s="557"/>
      <c r="H494" s="460"/>
      <c r="I494" s="557"/>
      <c r="J494" s="460"/>
      <c r="K494" s="557"/>
      <c r="L494" s="460"/>
      <c r="M494" s="783"/>
      <c r="N494" s="460"/>
    </row>
    <row r="495" spans="1:14">
      <c r="A495" s="519"/>
      <c r="B495" s="520"/>
      <c r="C495" s="521"/>
      <c r="D495" s="522"/>
      <c r="E495" s="517"/>
      <c r="F495" s="465"/>
      <c r="G495" s="557"/>
      <c r="H495" s="460"/>
      <c r="I495" s="557"/>
      <c r="J495" s="460"/>
      <c r="K495" s="557"/>
      <c r="L495" s="460"/>
      <c r="M495" s="783"/>
      <c r="N495" s="460"/>
    </row>
    <row r="496" spans="1:14">
      <c r="A496" s="519"/>
      <c r="B496" s="520"/>
      <c r="C496" s="521"/>
      <c r="D496" s="522"/>
      <c r="E496" s="517"/>
      <c r="F496" s="465"/>
      <c r="G496" s="557"/>
      <c r="H496" s="460"/>
      <c r="I496" s="557"/>
      <c r="J496" s="460"/>
      <c r="K496" s="557"/>
      <c r="L496" s="460"/>
      <c r="M496" s="783"/>
      <c r="N496" s="460"/>
    </row>
    <row r="497" spans="1:14">
      <c r="A497" s="519"/>
      <c r="B497" s="520"/>
      <c r="C497" s="521"/>
      <c r="D497" s="20"/>
      <c r="E497" s="517"/>
      <c r="F497" s="465"/>
      <c r="G497" s="557"/>
      <c r="H497" s="460"/>
      <c r="I497" s="557"/>
      <c r="J497" s="460"/>
      <c r="K497" s="557"/>
      <c r="L497" s="460"/>
      <c r="M497" s="783"/>
      <c r="N497" s="460"/>
    </row>
    <row r="498" spans="1:14">
      <c r="A498" s="519"/>
      <c r="B498" s="520"/>
      <c r="C498" s="521"/>
      <c r="D498" s="20"/>
      <c r="E498" s="517"/>
      <c r="F498" s="465"/>
      <c r="G498" s="557"/>
      <c r="H498" s="460"/>
      <c r="I498" s="557"/>
      <c r="J498" s="460"/>
      <c r="K498" s="557"/>
      <c r="L498" s="460"/>
      <c r="M498" s="783"/>
      <c r="N498" s="460"/>
    </row>
    <row r="499" spans="1:14" ht="13.5" thickBot="1">
      <c r="A499" s="21"/>
      <c r="B499" s="22"/>
      <c r="C499" s="23"/>
      <c r="D499" s="24"/>
      <c r="E499" s="37"/>
      <c r="F499" s="25"/>
      <c r="G499" s="558"/>
      <c r="H499" s="559"/>
      <c r="I499" s="558"/>
      <c r="J499" s="559"/>
      <c r="K499" s="558"/>
      <c r="L499" s="559"/>
      <c r="M499" s="571"/>
      <c r="N499" s="572"/>
    </row>
  </sheetData>
  <sheetProtection sheet="1" objects="1" scenarios="1" formatCells="0" formatColumns="0" formatRows="0" insertColumns="0" insertRows="0" insertHyperlinks="0" deleteColumns="0" deleteRows="0" sort="0" autoFilter="0" pivotTables="0"/>
  <dataConsolidate/>
  <mergeCells count="5">
    <mergeCell ref="G1:H1"/>
    <mergeCell ref="E3:F3"/>
    <mergeCell ref="I1:J1"/>
    <mergeCell ref="K1:L1"/>
    <mergeCell ref="M1:N1"/>
  </mergeCells>
  <phoneticPr fontId="14" type="noConversion"/>
  <conditionalFormatting sqref="A1">
    <cfRule type="cellIs" dxfId="10353" priority="5" stopIfTrue="1" operator="equal">
      <formula>"NOK"</formula>
    </cfRule>
  </conditionalFormatting>
  <conditionalFormatting sqref="G5:G499">
    <cfRule type="cellIs" dxfId="10352" priority="4" stopIfTrue="1" operator="notEqual">
      <formula>H5</formula>
    </cfRule>
  </conditionalFormatting>
  <conditionalFormatting sqref="I5:I499">
    <cfRule type="cellIs" dxfId="10351" priority="3" stopIfTrue="1" operator="notEqual">
      <formula>J5</formula>
    </cfRule>
  </conditionalFormatting>
  <conditionalFormatting sqref="K5:K499">
    <cfRule type="cellIs" dxfId="10350" priority="2" stopIfTrue="1" operator="notEqual">
      <formula>L5</formula>
    </cfRule>
  </conditionalFormatting>
  <conditionalFormatting sqref="M5:M499">
    <cfRule type="cellIs" dxfId="10349" priority="1" stopIfTrue="1" operator="notEqual">
      <formula>N5</formula>
    </cfRule>
  </conditionalFormatting>
  <dataValidations count="1">
    <dataValidation type="list" allowBlank="1" showInputMessage="1" showErrorMessage="1" sqref="G1 I1 K1">
      <formula1>HDTBedVariablesList</formula1>
    </dataValidation>
  </dataValidations>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sheetPr codeName="Sheet73">
    <tabColor rgb="FF92D050"/>
  </sheetPr>
  <dimension ref="A1:P499"/>
  <sheetViews>
    <sheetView showGridLines="0" zoomScale="85" zoomScaleNormal="85" workbookViewId="0">
      <pane xSplit="6" ySplit="4" topLeftCell="G5" activePane="bottomRight" state="frozenSplit"/>
      <selection pane="topRight" activeCell="F1" sqref="F1"/>
      <selection pane="bottomLeft" activeCell="A5" sqref="A5"/>
      <selection pane="bottomRight" activeCell="F1" sqref="F1"/>
    </sheetView>
  </sheetViews>
  <sheetFormatPr defaultRowHeight="12.75"/>
  <cols>
    <col min="1" max="1" width="12" style="946" customWidth="1"/>
    <col min="2" max="2" width="7.125" style="946" customWidth="1"/>
    <col min="3" max="3" width="9" style="947"/>
    <col min="4" max="4" width="16" style="946" customWidth="1"/>
    <col min="5" max="5" width="29.875" style="946" customWidth="1"/>
    <col min="6" max="6" width="20.75" style="948" customWidth="1"/>
    <col min="7" max="7" width="9.75" style="949" customWidth="1"/>
    <col min="8" max="8" width="9.75" style="950" customWidth="1"/>
    <col min="9" max="9" width="9.75" style="984" customWidth="1"/>
    <col min="10" max="10" width="9.75" style="985" customWidth="1"/>
    <col min="11" max="11" width="9.75" style="984" customWidth="1"/>
    <col min="12" max="12" width="9.75" style="985" customWidth="1"/>
    <col min="13" max="13" width="9.75" style="949" customWidth="1"/>
    <col min="14" max="14" width="9.75" style="950" customWidth="1"/>
    <col min="15" max="15" width="1.25" style="899" customWidth="1"/>
    <col min="16" max="16" width="12.625" style="899" customWidth="1"/>
    <col min="17" max="258" width="9" style="899"/>
    <col min="259" max="259" width="12" style="899" customWidth="1"/>
    <col min="260" max="260" width="7.125" style="899" customWidth="1"/>
    <col min="261" max="261" width="9" style="899"/>
    <col min="262" max="262" width="16" style="899" customWidth="1"/>
    <col min="263" max="263" width="13.75" style="899" customWidth="1"/>
    <col min="264" max="265" width="9.75" style="899" customWidth="1"/>
    <col min="266" max="514" width="9" style="899"/>
    <col min="515" max="515" width="12" style="899" customWidth="1"/>
    <col min="516" max="516" width="7.125" style="899" customWidth="1"/>
    <col min="517" max="517" width="9" style="899"/>
    <col min="518" max="518" width="16" style="899" customWidth="1"/>
    <col min="519" max="519" width="13.75" style="899" customWidth="1"/>
    <col min="520" max="521" width="9.75" style="899" customWidth="1"/>
    <col min="522" max="770" width="9" style="899"/>
    <col min="771" max="771" width="12" style="899" customWidth="1"/>
    <col min="772" max="772" width="7.125" style="899" customWidth="1"/>
    <col min="773" max="773" width="9" style="899"/>
    <col min="774" max="774" width="16" style="899" customWidth="1"/>
    <col min="775" max="775" width="13.75" style="899" customWidth="1"/>
    <col min="776" max="777" width="9.75" style="899" customWidth="1"/>
    <col min="778" max="1026" width="9" style="899"/>
    <col min="1027" max="1027" width="12" style="899" customWidth="1"/>
    <col min="1028" max="1028" width="7.125" style="899" customWidth="1"/>
    <col min="1029" max="1029" width="9" style="899"/>
    <col min="1030" max="1030" width="16" style="899" customWidth="1"/>
    <col min="1031" max="1031" width="13.75" style="899" customWidth="1"/>
    <col min="1032" max="1033" width="9.75" style="899" customWidth="1"/>
    <col min="1034" max="1282" width="9" style="899"/>
    <col min="1283" max="1283" width="12" style="899" customWidth="1"/>
    <col min="1284" max="1284" width="7.125" style="899" customWidth="1"/>
    <col min="1285" max="1285" width="9" style="899"/>
    <col min="1286" max="1286" width="16" style="899" customWidth="1"/>
    <col min="1287" max="1287" width="13.75" style="899" customWidth="1"/>
    <col min="1288" max="1289" width="9.75" style="899" customWidth="1"/>
    <col min="1290" max="1538" width="9" style="899"/>
    <col min="1539" max="1539" width="12" style="899" customWidth="1"/>
    <col min="1540" max="1540" width="7.125" style="899" customWidth="1"/>
    <col min="1541" max="1541" width="9" style="899"/>
    <col min="1542" max="1542" width="16" style="899" customWidth="1"/>
    <col min="1543" max="1543" width="13.75" style="899" customWidth="1"/>
    <col min="1544" max="1545" width="9.75" style="899" customWidth="1"/>
    <col min="1546" max="1794" width="9" style="899"/>
    <col min="1795" max="1795" width="12" style="899" customWidth="1"/>
    <col min="1796" max="1796" width="7.125" style="899" customWidth="1"/>
    <col min="1797" max="1797" width="9" style="899"/>
    <col min="1798" max="1798" width="16" style="899" customWidth="1"/>
    <col min="1799" max="1799" width="13.75" style="899" customWidth="1"/>
    <col min="1800" max="1801" width="9.75" style="899" customWidth="1"/>
    <col min="1802" max="2050" width="9" style="899"/>
    <col min="2051" max="2051" width="12" style="899" customWidth="1"/>
    <col min="2052" max="2052" width="7.125" style="899" customWidth="1"/>
    <col min="2053" max="2053" width="9" style="899"/>
    <col min="2054" max="2054" width="16" style="899" customWidth="1"/>
    <col min="2055" max="2055" width="13.75" style="899" customWidth="1"/>
    <col min="2056" max="2057" width="9.75" style="899" customWidth="1"/>
    <col min="2058" max="2306" width="9" style="899"/>
    <col min="2307" max="2307" width="12" style="899" customWidth="1"/>
    <col min="2308" max="2308" width="7.125" style="899" customWidth="1"/>
    <col min="2309" max="2309" width="9" style="899"/>
    <col min="2310" max="2310" width="16" style="899" customWidth="1"/>
    <col min="2311" max="2311" width="13.75" style="899" customWidth="1"/>
    <col min="2312" max="2313" width="9.75" style="899" customWidth="1"/>
    <col min="2314" max="2562" width="9" style="899"/>
    <col min="2563" max="2563" width="12" style="899" customWidth="1"/>
    <col min="2564" max="2564" width="7.125" style="899" customWidth="1"/>
    <col min="2565" max="2565" width="9" style="899"/>
    <col min="2566" max="2566" width="16" style="899" customWidth="1"/>
    <col min="2567" max="2567" width="13.75" style="899" customWidth="1"/>
    <col min="2568" max="2569" width="9.75" style="899" customWidth="1"/>
    <col min="2570" max="2818" width="9" style="899"/>
    <col min="2819" max="2819" width="12" style="899" customWidth="1"/>
    <col min="2820" max="2820" width="7.125" style="899" customWidth="1"/>
    <col min="2821" max="2821" width="9" style="899"/>
    <col min="2822" max="2822" width="16" style="899" customWidth="1"/>
    <col min="2823" max="2823" width="13.75" style="899" customWidth="1"/>
    <col min="2824" max="2825" width="9.75" style="899" customWidth="1"/>
    <col min="2826" max="3074" width="9" style="899"/>
    <col min="3075" max="3075" width="12" style="899" customWidth="1"/>
    <col min="3076" max="3076" width="7.125" style="899" customWidth="1"/>
    <col min="3077" max="3077" width="9" style="899"/>
    <col min="3078" max="3078" width="16" style="899" customWidth="1"/>
    <col min="3079" max="3079" width="13.75" style="899" customWidth="1"/>
    <col min="3080" max="3081" width="9.75" style="899" customWidth="1"/>
    <col min="3082" max="3330" width="9" style="899"/>
    <col min="3331" max="3331" width="12" style="899" customWidth="1"/>
    <col min="3332" max="3332" width="7.125" style="899" customWidth="1"/>
    <col min="3333" max="3333" width="9" style="899"/>
    <col min="3334" max="3334" width="16" style="899" customWidth="1"/>
    <col min="3335" max="3335" width="13.75" style="899" customWidth="1"/>
    <col min="3336" max="3337" width="9.75" style="899" customWidth="1"/>
    <col min="3338" max="3586" width="9" style="899"/>
    <col min="3587" max="3587" width="12" style="899" customWidth="1"/>
    <col min="3588" max="3588" width="7.125" style="899" customWidth="1"/>
    <col min="3589" max="3589" width="9" style="899"/>
    <col min="3590" max="3590" width="16" style="899" customWidth="1"/>
    <col min="3591" max="3591" width="13.75" style="899" customWidth="1"/>
    <col min="3592" max="3593" width="9.75" style="899" customWidth="1"/>
    <col min="3594" max="3842" width="9" style="899"/>
    <col min="3843" max="3843" width="12" style="899" customWidth="1"/>
    <col min="3844" max="3844" width="7.125" style="899" customWidth="1"/>
    <col min="3845" max="3845" width="9" style="899"/>
    <col min="3846" max="3846" width="16" style="899" customWidth="1"/>
    <col min="3847" max="3847" width="13.75" style="899" customWidth="1"/>
    <col min="3848" max="3849" width="9.75" style="899" customWidth="1"/>
    <col min="3850" max="4098" width="9" style="899"/>
    <col min="4099" max="4099" width="12" style="899" customWidth="1"/>
    <col min="4100" max="4100" width="7.125" style="899" customWidth="1"/>
    <col min="4101" max="4101" width="9" style="899"/>
    <col min="4102" max="4102" width="16" style="899" customWidth="1"/>
    <col min="4103" max="4103" width="13.75" style="899" customWidth="1"/>
    <col min="4104" max="4105" width="9.75" style="899" customWidth="1"/>
    <col min="4106" max="4354" width="9" style="899"/>
    <col min="4355" max="4355" width="12" style="899" customWidth="1"/>
    <col min="4356" max="4356" width="7.125" style="899" customWidth="1"/>
    <col min="4357" max="4357" width="9" style="899"/>
    <col min="4358" max="4358" width="16" style="899" customWidth="1"/>
    <col min="4359" max="4359" width="13.75" style="899" customWidth="1"/>
    <col min="4360" max="4361" width="9.75" style="899" customWidth="1"/>
    <col min="4362" max="4610" width="9" style="899"/>
    <col min="4611" max="4611" width="12" style="899" customWidth="1"/>
    <col min="4612" max="4612" width="7.125" style="899" customWidth="1"/>
    <col min="4613" max="4613" width="9" style="899"/>
    <col min="4614" max="4614" width="16" style="899" customWidth="1"/>
    <col min="4615" max="4615" width="13.75" style="899" customWidth="1"/>
    <col min="4616" max="4617" width="9.75" style="899" customWidth="1"/>
    <col min="4618" max="4866" width="9" style="899"/>
    <col min="4867" max="4867" width="12" style="899" customWidth="1"/>
    <col min="4868" max="4868" width="7.125" style="899" customWidth="1"/>
    <col min="4869" max="4869" width="9" style="899"/>
    <col min="4870" max="4870" width="16" style="899" customWidth="1"/>
    <col min="4871" max="4871" width="13.75" style="899" customWidth="1"/>
    <col min="4872" max="4873" width="9.75" style="899" customWidth="1"/>
    <col min="4874" max="5122" width="9" style="899"/>
    <col min="5123" max="5123" width="12" style="899" customWidth="1"/>
    <col min="5124" max="5124" width="7.125" style="899" customWidth="1"/>
    <col min="5125" max="5125" width="9" style="899"/>
    <col min="5126" max="5126" width="16" style="899" customWidth="1"/>
    <col min="5127" max="5127" width="13.75" style="899" customWidth="1"/>
    <col min="5128" max="5129" width="9.75" style="899" customWidth="1"/>
    <col min="5130" max="5378" width="9" style="899"/>
    <col min="5379" max="5379" width="12" style="899" customWidth="1"/>
    <col min="5380" max="5380" width="7.125" style="899" customWidth="1"/>
    <col min="5381" max="5381" width="9" style="899"/>
    <col min="5382" max="5382" width="16" style="899" customWidth="1"/>
    <col min="5383" max="5383" width="13.75" style="899" customWidth="1"/>
    <col min="5384" max="5385" width="9.75" style="899" customWidth="1"/>
    <col min="5386" max="5634" width="9" style="899"/>
    <col min="5635" max="5635" width="12" style="899" customWidth="1"/>
    <col min="5636" max="5636" width="7.125" style="899" customWidth="1"/>
    <col min="5637" max="5637" width="9" style="899"/>
    <col min="5638" max="5638" width="16" style="899" customWidth="1"/>
    <col min="5639" max="5639" width="13.75" style="899" customWidth="1"/>
    <col min="5640" max="5641" width="9.75" style="899" customWidth="1"/>
    <col min="5642" max="5890" width="9" style="899"/>
    <col min="5891" max="5891" width="12" style="899" customWidth="1"/>
    <col min="5892" max="5892" width="7.125" style="899" customWidth="1"/>
    <col min="5893" max="5893" width="9" style="899"/>
    <col min="5894" max="5894" width="16" style="899" customWidth="1"/>
    <col min="5895" max="5895" width="13.75" style="899" customWidth="1"/>
    <col min="5896" max="5897" width="9.75" style="899" customWidth="1"/>
    <col min="5898" max="6146" width="9" style="899"/>
    <col min="6147" max="6147" width="12" style="899" customWidth="1"/>
    <col min="6148" max="6148" width="7.125" style="899" customWidth="1"/>
    <col min="6149" max="6149" width="9" style="899"/>
    <col min="6150" max="6150" width="16" style="899" customWidth="1"/>
    <col min="6151" max="6151" width="13.75" style="899" customWidth="1"/>
    <col min="6152" max="6153" width="9.75" style="899" customWidth="1"/>
    <col min="6154" max="6402" width="9" style="899"/>
    <col min="6403" max="6403" width="12" style="899" customWidth="1"/>
    <col min="6404" max="6404" width="7.125" style="899" customWidth="1"/>
    <col min="6405" max="6405" width="9" style="899"/>
    <col min="6406" max="6406" width="16" style="899" customWidth="1"/>
    <col min="6407" max="6407" width="13.75" style="899" customWidth="1"/>
    <col min="6408" max="6409" width="9.75" style="899" customWidth="1"/>
    <col min="6410" max="6658" width="9" style="899"/>
    <col min="6659" max="6659" width="12" style="899" customWidth="1"/>
    <col min="6660" max="6660" width="7.125" style="899" customWidth="1"/>
    <col min="6661" max="6661" width="9" style="899"/>
    <col min="6662" max="6662" width="16" style="899" customWidth="1"/>
    <col min="6663" max="6663" width="13.75" style="899" customWidth="1"/>
    <col min="6664" max="6665" width="9.75" style="899" customWidth="1"/>
    <col min="6666" max="6914" width="9" style="899"/>
    <col min="6915" max="6915" width="12" style="899" customWidth="1"/>
    <col min="6916" max="6916" width="7.125" style="899" customWidth="1"/>
    <col min="6917" max="6917" width="9" style="899"/>
    <col min="6918" max="6918" width="16" style="899" customWidth="1"/>
    <col min="6919" max="6919" width="13.75" style="899" customWidth="1"/>
    <col min="6920" max="6921" width="9.75" style="899" customWidth="1"/>
    <col min="6922" max="7170" width="9" style="899"/>
    <col min="7171" max="7171" width="12" style="899" customWidth="1"/>
    <col min="7172" max="7172" width="7.125" style="899" customWidth="1"/>
    <col min="7173" max="7173" width="9" style="899"/>
    <col min="7174" max="7174" width="16" style="899" customWidth="1"/>
    <col min="7175" max="7175" width="13.75" style="899" customWidth="1"/>
    <col min="7176" max="7177" width="9.75" style="899" customWidth="1"/>
    <col min="7178" max="7426" width="9" style="899"/>
    <col min="7427" max="7427" width="12" style="899" customWidth="1"/>
    <col min="7428" max="7428" width="7.125" style="899" customWidth="1"/>
    <col min="7429" max="7429" width="9" style="899"/>
    <col min="7430" max="7430" width="16" style="899" customWidth="1"/>
    <col min="7431" max="7431" width="13.75" style="899" customWidth="1"/>
    <col min="7432" max="7433" width="9.75" style="899" customWidth="1"/>
    <col min="7434" max="7682" width="9" style="899"/>
    <col min="7683" max="7683" width="12" style="899" customWidth="1"/>
    <col min="7684" max="7684" width="7.125" style="899" customWidth="1"/>
    <col min="7685" max="7685" width="9" style="899"/>
    <col min="7686" max="7686" width="16" style="899" customWidth="1"/>
    <col min="7687" max="7687" width="13.75" style="899" customWidth="1"/>
    <col min="7688" max="7689" width="9.75" style="899" customWidth="1"/>
    <col min="7690" max="7938" width="9" style="899"/>
    <col min="7939" max="7939" width="12" style="899" customWidth="1"/>
    <col min="7940" max="7940" width="7.125" style="899" customWidth="1"/>
    <col min="7941" max="7941" width="9" style="899"/>
    <col min="7942" max="7942" width="16" style="899" customWidth="1"/>
    <col min="7943" max="7943" width="13.75" style="899" customWidth="1"/>
    <col min="7944" max="7945" width="9.75" style="899" customWidth="1"/>
    <col min="7946" max="8194" width="9" style="899"/>
    <col min="8195" max="8195" width="12" style="899" customWidth="1"/>
    <col min="8196" max="8196" width="7.125" style="899" customWidth="1"/>
    <col min="8197" max="8197" width="9" style="899"/>
    <col min="8198" max="8198" width="16" style="899" customWidth="1"/>
    <col min="8199" max="8199" width="13.75" style="899" customWidth="1"/>
    <col min="8200" max="8201" width="9.75" style="899" customWidth="1"/>
    <col min="8202" max="8450" width="9" style="899"/>
    <col min="8451" max="8451" width="12" style="899" customWidth="1"/>
    <col min="8452" max="8452" width="7.125" style="899" customWidth="1"/>
    <col min="8453" max="8453" width="9" style="899"/>
    <col min="8454" max="8454" width="16" style="899" customWidth="1"/>
    <col min="8455" max="8455" width="13.75" style="899" customWidth="1"/>
    <col min="8456" max="8457" width="9.75" style="899" customWidth="1"/>
    <col min="8458" max="8706" width="9" style="899"/>
    <col min="8707" max="8707" width="12" style="899" customWidth="1"/>
    <col min="8708" max="8708" width="7.125" style="899" customWidth="1"/>
    <col min="8709" max="8709" width="9" style="899"/>
    <col min="8710" max="8710" width="16" style="899" customWidth="1"/>
    <col min="8711" max="8711" width="13.75" style="899" customWidth="1"/>
    <col min="8712" max="8713" width="9.75" style="899" customWidth="1"/>
    <col min="8714" max="8962" width="9" style="899"/>
    <col min="8963" max="8963" width="12" style="899" customWidth="1"/>
    <col min="8964" max="8964" width="7.125" style="899" customWidth="1"/>
    <col min="8965" max="8965" width="9" style="899"/>
    <col min="8966" max="8966" width="16" style="899" customWidth="1"/>
    <col min="8967" max="8967" width="13.75" style="899" customWidth="1"/>
    <col min="8968" max="8969" width="9.75" style="899" customWidth="1"/>
    <col min="8970" max="9218" width="9" style="899"/>
    <col min="9219" max="9219" width="12" style="899" customWidth="1"/>
    <col min="9220" max="9220" width="7.125" style="899" customWidth="1"/>
    <col min="9221" max="9221" width="9" style="899"/>
    <col min="9222" max="9222" width="16" style="899" customWidth="1"/>
    <col min="9223" max="9223" width="13.75" style="899" customWidth="1"/>
    <col min="9224" max="9225" width="9.75" style="899" customWidth="1"/>
    <col min="9226" max="9474" width="9" style="899"/>
    <col min="9475" max="9475" width="12" style="899" customWidth="1"/>
    <col min="9476" max="9476" width="7.125" style="899" customWidth="1"/>
    <col min="9477" max="9477" width="9" style="899"/>
    <col min="9478" max="9478" width="16" style="899" customWidth="1"/>
    <col min="9479" max="9479" width="13.75" style="899" customWidth="1"/>
    <col min="9480" max="9481" width="9.75" style="899" customWidth="1"/>
    <col min="9482" max="9730" width="9" style="899"/>
    <col min="9731" max="9731" width="12" style="899" customWidth="1"/>
    <col min="9732" max="9732" width="7.125" style="899" customWidth="1"/>
    <col min="9733" max="9733" width="9" style="899"/>
    <col min="9734" max="9734" width="16" style="899" customWidth="1"/>
    <col min="9735" max="9735" width="13.75" style="899" customWidth="1"/>
    <col min="9736" max="9737" width="9.75" style="899" customWidth="1"/>
    <col min="9738" max="9986" width="9" style="899"/>
    <col min="9987" max="9987" width="12" style="899" customWidth="1"/>
    <col min="9988" max="9988" width="7.125" style="899" customWidth="1"/>
    <col min="9989" max="9989" width="9" style="899"/>
    <col min="9990" max="9990" width="16" style="899" customWidth="1"/>
    <col min="9991" max="9991" width="13.75" style="899" customWidth="1"/>
    <col min="9992" max="9993" width="9.75" style="899" customWidth="1"/>
    <col min="9994" max="10242" width="9" style="899"/>
    <col min="10243" max="10243" width="12" style="899" customWidth="1"/>
    <col min="10244" max="10244" width="7.125" style="899" customWidth="1"/>
    <col min="10245" max="10245" width="9" style="899"/>
    <col min="10246" max="10246" width="16" style="899" customWidth="1"/>
    <col min="10247" max="10247" width="13.75" style="899" customWidth="1"/>
    <col min="10248" max="10249" width="9.75" style="899" customWidth="1"/>
    <col min="10250" max="10498" width="9" style="899"/>
    <col min="10499" max="10499" width="12" style="899" customWidth="1"/>
    <col min="10500" max="10500" width="7.125" style="899" customWidth="1"/>
    <col min="10501" max="10501" width="9" style="899"/>
    <col min="10502" max="10502" width="16" style="899" customWidth="1"/>
    <col min="10503" max="10503" width="13.75" style="899" customWidth="1"/>
    <col min="10504" max="10505" width="9.75" style="899" customWidth="1"/>
    <col min="10506" max="10754" width="9" style="899"/>
    <col min="10755" max="10755" width="12" style="899" customWidth="1"/>
    <col min="10756" max="10756" width="7.125" style="899" customWidth="1"/>
    <col min="10757" max="10757" width="9" style="899"/>
    <col min="10758" max="10758" width="16" style="899" customWidth="1"/>
    <col min="10759" max="10759" width="13.75" style="899" customWidth="1"/>
    <col min="10760" max="10761" width="9.75" style="899" customWidth="1"/>
    <col min="10762" max="11010" width="9" style="899"/>
    <col min="11011" max="11011" width="12" style="899" customWidth="1"/>
    <col min="11012" max="11012" width="7.125" style="899" customWidth="1"/>
    <col min="11013" max="11013" width="9" style="899"/>
    <col min="11014" max="11014" width="16" style="899" customWidth="1"/>
    <col min="11015" max="11015" width="13.75" style="899" customWidth="1"/>
    <col min="11016" max="11017" width="9.75" style="899" customWidth="1"/>
    <col min="11018" max="11266" width="9" style="899"/>
    <col min="11267" max="11267" width="12" style="899" customWidth="1"/>
    <col min="11268" max="11268" width="7.125" style="899" customWidth="1"/>
    <col min="11269" max="11269" width="9" style="899"/>
    <col min="11270" max="11270" width="16" style="899" customWidth="1"/>
    <col min="11271" max="11271" width="13.75" style="899" customWidth="1"/>
    <col min="11272" max="11273" width="9.75" style="899" customWidth="1"/>
    <col min="11274" max="11522" width="9" style="899"/>
    <col min="11523" max="11523" width="12" style="899" customWidth="1"/>
    <col min="11524" max="11524" width="7.125" style="899" customWidth="1"/>
    <col min="11525" max="11525" width="9" style="899"/>
    <col min="11526" max="11526" width="16" style="899" customWidth="1"/>
    <col min="11527" max="11527" width="13.75" style="899" customWidth="1"/>
    <col min="11528" max="11529" width="9.75" style="899" customWidth="1"/>
    <col min="11530" max="11778" width="9" style="899"/>
    <col min="11779" max="11779" width="12" style="899" customWidth="1"/>
    <col min="11780" max="11780" width="7.125" style="899" customWidth="1"/>
    <col min="11781" max="11781" width="9" style="899"/>
    <col min="11782" max="11782" width="16" style="899" customWidth="1"/>
    <col min="11783" max="11783" width="13.75" style="899" customWidth="1"/>
    <col min="11784" max="11785" width="9.75" style="899" customWidth="1"/>
    <col min="11786" max="12034" width="9" style="899"/>
    <col min="12035" max="12035" width="12" style="899" customWidth="1"/>
    <col min="12036" max="12036" width="7.125" style="899" customWidth="1"/>
    <col min="12037" max="12037" width="9" style="899"/>
    <col min="12038" max="12038" width="16" style="899" customWidth="1"/>
    <col min="12039" max="12039" width="13.75" style="899" customWidth="1"/>
    <col min="12040" max="12041" width="9.75" style="899" customWidth="1"/>
    <col min="12042" max="12290" width="9" style="899"/>
    <col min="12291" max="12291" width="12" style="899" customWidth="1"/>
    <col min="12292" max="12292" width="7.125" style="899" customWidth="1"/>
    <col min="12293" max="12293" width="9" style="899"/>
    <col min="12294" max="12294" width="16" style="899" customWidth="1"/>
    <col min="12295" max="12295" width="13.75" style="899" customWidth="1"/>
    <col min="12296" max="12297" width="9.75" style="899" customWidth="1"/>
    <col min="12298" max="12546" width="9" style="899"/>
    <col min="12547" max="12547" width="12" style="899" customWidth="1"/>
    <col min="12548" max="12548" width="7.125" style="899" customWidth="1"/>
    <col min="12549" max="12549" width="9" style="899"/>
    <col min="12550" max="12550" width="16" style="899" customWidth="1"/>
    <col min="12551" max="12551" width="13.75" style="899" customWidth="1"/>
    <col min="12552" max="12553" width="9.75" style="899" customWidth="1"/>
    <col min="12554" max="12802" width="9" style="899"/>
    <col min="12803" max="12803" width="12" style="899" customWidth="1"/>
    <col min="12804" max="12804" width="7.125" style="899" customWidth="1"/>
    <col min="12805" max="12805" width="9" style="899"/>
    <col min="12806" max="12806" width="16" style="899" customWidth="1"/>
    <col min="12807" max="12807" width="13.75" style="899" customWidth="1"/>
    <col min="12808" max="12809" width="9.75" style="899" customWidth="1"/>
    <col min="12810" max="13058" width="9" style="899"/>
    <col min="13059" max="13059" width="12" style="899" customWidth="1"/>
    <col min="13060" max="13060" width="7.125" style="899" customWidth="1"/>
    <col min="13061" max="13061" width="9" style="899"/>
    <col min="13062" max="13062" width="16" style="899" customWidth="1"/>
    <col min="13063" max="13063" width="13.75" style="899" customWidth="1"/>
    <col min="13064" max="13065" width="9.75" style="899" customWidth="1"/>
    <col min="13066" max="13314" width="9" style="899"/>
    <col min="13315" max="13315" width="12" style="899" customWidth="1"/>
    <col min="13316" max="13316" width="7.125" style="899" customWidth="1"/>
    <col min="13317" max="13317" width="9" style="899"/>
    <col min="13318" max="13318" width="16" style="899" customWidth="1"/>
    <col min="13319" max="13319" width="13.75" style="899" customWidth="1"/>
    <col min="13320" max="13321" width="9.75" style="899" customWidth="1"/>
    <col min="13322" max="13570" width="9" style="899"/>
    <col min="13571" max="13571" width="12" style="899" customWidth="1"/>
    <col min="13572" max="13572" width="7.125" style="899" customWidth="1"/>
    <col min="13573" max="13573" width="9" style="899"/>
    <col min="13574" max="13574" width="16" style="899" customWidth="1"/>
    <col min="13575" max="13575" width="13.75" style="899" customWidth="1"/>
    <col min="13576" max="13577" width="9.75" style="899" customWidth="1"/>
    <col min="13578" max="13826" width="9" style="899"/>
    <col min="13827" max="13827" width="12" style="899" customWidth="1"/>
    <col min="13828" max="13828" width="7.125" style="899" customWidth="1"/>
    <col min="13829" max="13829" width="9" style="899"/>
    <col min="13830" max="13830" width="16" style="899" customWidth="1"/>
    <col min="13831" max="13831" width="13.75" style="899" customWidth="1"/>
    <col min="13832" max="13833" width="9.75" style="899" customWidth="1"/>
    <col min="13834" max="14082" width="9" style="899"/>
    <col min="14083" max="14083" width="12" style="899" customWidth="1"/>
    <col min="14084" max="14084" width="7.125" style="899" customWidth="1"/>
    <col min="14085" max="14085" width="9" style="899"/>
    <col min="14086" max="14086" width="16" style="899" customWidth="1"/>
    <col min="14087" max="14087" width="13.75" style="899" customWidth="1"/>
    <col min="14088" max="14089" width="9.75" style="899" customWidth="1"/>
    <col min="14090" max="14338" width="9" style="899"/>
    <col min="14339" max="14339" width="12" style="899" customWidth="1"/>
    <col min="14340" max="14340" width="7.125" style="899" customWidth="1"/>
    <col min="14341" max="14341" width="9" style="899"/>
    <col min="14342" max="14342" width="16" style="899" customWidth="1"/>
    <col min="14343" max="14343" width="13.75" style="899" customWidth="1"/>
    <col min="14344" max="14345" width="9.75" style="899" customWidth="1"/>
    <col min="14346" max="14594" width="9" style="899"/>
    <col min="14595" max="14595" width="12" style="899" customWidth="1"/>
    <col min="14596" max="14596" width="7.125" style="899" customWidth="1"/>
    <col min="14597" max="14597" width="9" style="899"/>
    <col min="14598" max="14598" width="16" style="899" customWidth="1"/>
    <col min="14599" max="14599" width="13.75" style="899" customWidth="1"/>
    <col min="14600" max="14601" width="9.75" style="899" customWidth="1"/>
    <col min="14602" max="14850" width="9" style="899"/>
    <col min="14851" max="14851" width="12" style="899" customWidth="1"/>
    <col min="14852" max="14852" width="7.125" style="899" customWidth="1"/>
    <col min="14853" max="14853" width="9" style="899"/>
    <col min="14854" max="14854" width="16" style="899" customWidth="1"/>
    <col min="14855" max="14855" width="13.75" style="899" customWidth="1"/>
    <col min="14856" max="14857" width="9.75" style="899" customWidth="1"/>
    <col min="14858" max="15106" width="9" style="899"/>
    <col min="15107" max="15107" width="12" style="899" customWidth="1"/>
    <col min="15108" max="15108" width="7.125" style="899" customWidth="1"/>
    <col min="15109" max="15109" width="9" style="899"/>
    <col min="15110" max="15110" width="16" style="899" customWidth="1"/>
    <col min="15111" max="15111" width="13.75" style="899" customWidth="1"/>
    <col min="15112" max="15113" width="9.75" style="899" customWidth="1"/>
    <col min="15114" max="15362" width="9" style="899"/>
    <col min="15363" max="15363" width="12" style="899" customWidth="1"/>
    <col min="15364" max="15364" width="7.125" style="899" customWidth="1"/>
    <col min="15365" max="15365" width="9" style="899"/>
    <col min="15366" max="15366" width="16" style="899" customWidth="1"/>
    <col min="15367" max="15367" width="13.75" style="899" customWidth="1"/>
    <col min="15368" max="15369" width="9.75" style="899" customWidth="1"/>
    <col min="15370" max="15618" width="9" style="899"/>
    <col min="15619" max="15619" width="12" style="899" customWidth="1"/>
    <col min="15620" max="15620" width="7.125" style="899" customWidth="1"/>
    <col min="15621" max="15621" width="9" style="899"/>
    <col min="15622" max="15622" width="16" style="899" customWidth="1"/>
    <col min="15623" max="15623" width="13.75" style="899" customWidth="1"/>
    <col min="15624" max="15625" width="9.75" style="899" customWidth="1"/>
    <col min="15626" max="15874" width="9" style="899"/>
    <col min="15875" max="15875" width="12" style="899" customWidth="1"/>
    <col min="15876" max="15876" width="7.125" style="899" customWidth="1"/>
    <col min="15877" max="15877" width="9" style="899"/>
    <col min="15878" max="15878" width="16" style="899" customWidth="1"/>
    <col min="15879" max="15879" width="13.75" style="899" customWidth="1"/>
    <col min="15880" max="15881" width="9.75" style="899" customWidth="1"/>
    <col min="15882" max="16130" width="9" style="899"/>
    <col min="16131" max="16131" width="12" style="899" customWidth="1"/>
    <col min="16132" max="16132" width="7.125" style="899" customWidth="1"/>
    <col min="16133" max="16133" width="9" style="899"/>
    <col min="16134" max="16134" width="16" style="899" customWidth="1"/>
    <col min="16135" max="16135" width="13.75" style="899" customWidth="1"/>
    <col min="16136" max="16137" width="9.75" style="899" customWidth="1"/>
    <col min="16138" max="16384" width="9" style="899"/>
  </cols>
  <sheetData>
    <row r="1" spans="1:16" s="896" customFormat="1" ht="23.25" customHeight="1" thickBot="1">
      <c r="A1" s="895" t="e">
        <f>IF(SUM(2:2)=0,"OK","NOK")</f>
        <v>#DIV/0!</v>
      </c>
      <c r="F1" s="960" t="s">
        <v>7575</v>
      </c>
      <c r="G1" s="1085" t="s">
        <v>355</v>
      </c>
      <c r="H1" s="1086"/>
      <c r="I1" s="1085" t="s">
        <v>10747</v>
      </c>
      <c r="J1" s="1086"/>
      <c r="K1" s="1085" t="s">
        <v>7587</v>
      </c>
      <c r="L1" s="1086"/>
      <c r="M1" s="1085"/>
      <c r="N1" s="1086"/>
      <c r="O1" s="961"/>
      <c r="P1" s="962" t="s">
        <v>10</v>
      </c>
    </row>
    <row r="2" spans="1:16" ht="13.5" thickBot="1">
      <c r="A2" s="897"/>
      <c r="B2" s="897"/>
      <c r="C2" s="897"/>
      <c r="D2" s="897"/>
      <c r="E2" s="897"/>
      <c r="F2" s="896"/>
      <c r="G2" s="898" t="s">
        <v>0</v>
      </c>
      <c r="H2" s="183">
        <f>SUMX2MY2(G5:G5000,H5:H5000)</f>
        <v>0</v>
      </c>
      <c r="I2" s="978" t="s">
        <v>0</v>
      </c>
      <c r="J2" s="183">
        <f>SUMX2MY2(I5:I5000,J5:J5000)</f>
        <v>0</v>
      </c>
      <c r="K2" s="978" t="s">
        <v>0</v>
      </c>
      <c r="L2" s="183">
        <f>SUMX2MY2(K5:K5000,L5:L5000)</f>
        <v>172.57974054093938</v>
      </c>
      <c r="M2" s="898" t="s">
        <v>0</v>
      </c>
      <c r="N2" s="183" t="e">
        <f>SUMX2MY2(M5:M5000,N5:N5000)</f>
        <v>#DIV/0!</v>
      </c>
    </row>
    <row r="3" spans="1:16" ht="27.75" customHeight="1">
      <c r="A3" s="953" t="s">
        <v>1</v>
      </c>
      <c r="B3" s="954" t="s">
        <v>2</v>
      </c>
      <c r="C3" s="954" t="s">
        <v>3</v>
      </c>
      <c r="D3" s="954" t="s">
        <v>4</v>
      </c>
      <c r="E3" s="1087" t="s">
        <v>7</v>
      </c>
      <c r="F3" s="1088"/>
      <c r="G3" s="900" t="s">
        <v>5</v>
      </c>
      <c r="H3" s="901" t="s">
        <v>6</v>
      </c>
      <c r="I3" s="979" t="s">
        <v>5</v>
      </c>
      <c r="J3" s="980" t="s">
        <v>6</v>
      </c>
      <c r="K3" s="979" t="s">
        <v>5</v>
      </c>
      <c r="L3" s="980" t="s">
        <v>6</v>
      </c>
      <c r="M3" s="900" t="s">
        <v>5</v>
      </c>
      <c r="N3" s="901" t="s">
        <v>6</v>
      </c>
    </row>
    <row r="4" spans="1:16" ht="15.75" customHeight="1" thickBot="1">
      <c r="A4" s="952"/>
      <c r="B4" s="951"/>
      <c r="C4" s="951"/>
      <c r="D4" s="951"/>
      <c r="E4" s="958" t="s">
        <v>9</v>
      </c>
      <c r="F4" s="959" t="s">
        <v>8</v>
      </c>
      <c r="G4" s="956">
        <v>0</v>
      </c>
      <c r="H4" s="957">
        <v>0</v>
      </c>
      <c r="I4" s="986">
        <v>0</v>
      </c>
      <c r="J4" s="987">
        <v>0</v>
      </c>
      <c r="K4" s="986">
        <v>0</v>
      </c>
      <c r="L4" s="987">
        <v>0</v>
      </c>
      <c r="M4" s="956">
        <v>0</v>
      </c>
      <c r="N4" s="957">
        <v>0</v>
      </c>
      <c r="P4" s="988"/>
    </row>
    <row r="5" spans="1:16">
      <c r="A5" s="902"/>
      <c r="B5" s="903"/>
      <c r="C5" s="904"/>
      <c r="D5" s="905"/>
      <c r="E5" s="905"/>
      <c r="F5" s="465" t="s">
        <v>622</v>
      </c>
      <c r="G5" s="922">
        <v>1.5</v>
      </c>
      <c r="H5" s="460">
        <v>1.5</v>
      </c>
      <c r="I5" s="981">
        <v>8.6</v>
      </c>
      <c r="J5" s="460">
        <v>8.6</v>
      </c>
      <c r="K5" s="981">
        <v>525.16433593737202</v>
      </c>
      <c r="L5" s="991">
        <f>VLOOKUP($F5,HeatExch_from_BP!$P:$AE,4,0)</f>
        <v>525</v>
      </c>
      <c r="M5" s="922"/>
      <c r="N5" s="460"/>
      <c r="P5" s="990"/>
    </row>
    <row r="6" spans="1:16">
      <c r="A6" s="902"/>
      <c r="B6" s="903"/>
      <c r="C6" s="904"/>
      <c r="D6" s="905"/>
      <c r="E6" s="905"/>
      <c r="F6" s="465"/>
      <c r="G6" s="922"/>
      <c r="H6" s="460"/>
      <c r="I6" s="981"/>
      <c r="J6" s="460"/>
      <c r="K6" s="981"/>
      <c r="L6" s="460"/>
      <c r="M6" s="922"/>
      <c r="N6" s="460"/>
    </row>
    <row r="7" spans="1:16">
      <c r="A7" s="906"/>
      <c r="B7" s="907"/>
      <c r="C7" s="908"/>
      <c r="D7" s="909"/>
      <c r="E7" s="905"/>
      <c r="F7" s="465"/>
      <c r="G7" s="922"/>
      <c r="H7" s="460"/>
      <c r="I7" s="981"/>
      <c r="J7" s="460"/>
      <c r="K7" s="981"/>
      <c r="L7" s="460"/>
      <c r="M7" s="922"/>
      <c r="N7" s="460"/>
    </row>
    <row r="8" spans="1:16">
      <c r="A8" s="906"/>
      <c r="B8" s="907"/>
      <c r="C8" s="908"/>
      <c r="D8" s="909"/>
      <c r="E8" s="905"/>
      <c r="F8" s="465"/>
      <c r="G8" s="922"/>
      <c r="H8" s="460"/>
      <c r="I8" s="981"/>
      <c r="J8" s="460"/>
      <c r="K8" s="981"/>
      <c r="L8" s="460"/>
      <c r="M8" s="922"/>
      <c r="N8" s="460"/>
    </row>
    <row r="9" spans="1:16">
      <c r="A9" s="906"/>
      <c r="B9" s="907"/>
      <c r="C9" s="908"/>
      <c r="D9" s="909"/>
      <c r="E9" s="905"/>
      <c r="F9" s="465"/>
      <c r="G9" s="922"/>
      <c r="H9" s="460"/>
      <c r="I9" s="981"/>
      <c r="J9" s="460"/>
      <c r="K9" s="981"/>
      <c r="L9" s="460"/>
      <c r="M9" s="922"/>
      <c r="N9" s="460"/>
    </row>
    <row r="10" spans="1:16">
      <c r="A10" s="906"/>
      <c r="B10" s="907"/>
      <c r="C10" s="908"/>
      <c r="D10" s="909"/>
      <c r="E10" s="905"/>
      <c r="F10" s="465"/>
      <c r="G10" s="922"/>
      <c r="H10" s="460"/>
      <c r="I10" s="981"/>
      <c r="J10" s="460"/>
      <c r="K10" s="981"/>
      <c r="L10" s="460"/>
      <c r="M10" s="922"/>
      <c r="N10" s="460"/>
    </row>
    <row r="11" spans="1:16">
      <c r="A11" s="906"/>
      <c r="B11" s="907"/>
      <c r="C11" s="908"/>
      <c r="D11" s="909"/>
      <c r="E11" s="905"/>
      <c r="F11" s="465"/>
      <c r="G11" s="922"/>
      <c r="H11" s="460"/>
      <c r="I11" s="981"/>
      <c r="J11" s="460"/>
      <c r="K11" s="981"/>
      <c r="L11" s="460"/>
      <c r="M11" s="922"/>
      <c r="N11" s="460"/>
    </row>
    <row r="12" spans="1:16">
      <c r="A12" s="906"/>
      <c r="B12" s="907"/>
      <c r="C12" s="908"/>
      <c r="D12" s="909"/>
      <c r="E12" s="905"/>
      <c r="F12" s="465"/>
      <c r="G12" s="922"/>
      <c r="H12" s="460"/>
      <c r="I12" s="981"/>
      <c r="J12" s="460"/>
      <c r="K12" s="981"/>
      <c r="L12" s="460"/>
      <c r="M12" s="922"/>
      <c r="N12" s="460"/>
    </row>
    <row r="13" spans="1:16">
      <c r="A13" s="906"/>
      <c r="B13" s="907"/>
      <c r="C13" s="908"/>
      <c r="D13" s="909"/>
      <c r="E13" s="905"/>
      <c r="F13" s="465"/>
      <c r="G13" s="922"/>
      <c r="H13" s="460"/>
      <c r="I13" s="981"/>
      <c r="J13" s="460"/>
      <c r="K13" s="981"/>
      <c r="L13" s="460"/>
      <c r="M13" s="922"/>
      <c r="N13" s="460"/>
    </row>
    <row r="14" spans="1:16">
      <c r="A14" s="906"/>
      <c r="B14" s="907"/>
      <c r="C14" s="908"/>
      <c r="D14" s="909"/>
      <c r="E14" s="905"/>
      <c r="F14" s="465"/>
      <c r="G14" s="922"/>
      <c r="H14" s="460"/>
      <c r="I14" s="981"/>
      <c r="J14" s="460"/>
      <c r="K14" s="981"/>
      <c r="L14" s="460"/>
      <c r="M14" s="922"/>
      <c r="N14" s="460"/>
    </row>
    <row r="15" spans="1:16">
      <c r="A15" s="906"/>
      <c r="B15" s="907"/>
      <c r="C15" s="908"/>
      <c r="D15" s="909"/>
      <c r="E15" s="905"/>
      <c r="F15" s="465"/>
      <c r="G15" s="922"/>
      <c r="H15" s="460"/>
      <c r="I15" s="981"/>
      <c r="J15" s="460"/>
      <c r="K15" s="981"/>
      <c r="L15" s="460"/>
      <c r="M15" s="922"/>
      <c r="N15" s="460"/>
    </row>
    <row r="16" spans="1:16">
      <c r="A16" s="906"/>
      <c r="B16" s="907"/>
      <c r="C16" s="908"/>
      <c r="D16" s="909"/>
      <c r="E16" s="905"/>
      <c r="F16" s="465"/>
      <c r="G16" s="922"/>
      <c r="H16" s="460"/>
      <c r="I16" s="981"/>
      <c r="J16" s="460"/>
      <c r="K16" s="981"/>
      <c r="L16" s="460"/>
      <c r="M16" s="922"/>
      <c r="N16" s="460"/>
    </row>
    <row r="17" spans="1:14">
      <c r="A17" s="906"/>
      <c r="B17" s="907"/>
      <c r="C17" s="908"/>
      <c r="D17" s="909"/>
      <c r="E17" s="905"/>
      <c r="F17" s="465"/>
      <c r="G17" s="922"/>
      <c r="H17" s="460"/>
      <c r="I17" s="981"/>
      <c r="J17" s="460"/>
      <c r="K17" s="981"/>
      <c r="L17" s="460"/>
      <c r="M17" s="922"/>
      <c r="N17" s="460"/>
    </row>
    <row r="18" spans="1:14">
      <c r="A18" s="906"/>
      <c r="B18" s="907"/>
      <c r="C18" s="908"/>
      <c r="D18" s="909"/>
      <c r="E18" s="905"/>
      <c r="F18" s="465"/>
      <c r="G18" s="922"/>
      <c r="H18" s="460"/>
      <c r="I18" s="981"/>
      <c r="J18" s="460"/>
      <c r="K18" s="981"/>
      <c r="L18" s="460"/>
      <c r="M18" s="922"/>
      <c r="N18" s="460"/>
    </row>
    <row r="19" spans="1:14">
      <c r="A19" s="906"/>
      <c r="B19" s="907"/>
      <c r="C19" s="908"/>
      <c r="D19" s="909"/>
      <c r="E19" s="905"/>
      <c r="F19" s="465"/>
      <c r="G19" s="922"/>
      <c r="H19" s="460"/>
      <c r="I19" s="981"/>
      <c r="J19" s="460"/>
      <c r="K19" s="981"/>
      <c r="L19" s="460"/>
      <c r="M19" s="922"/>
      <c r="N19" s="460"/>
    </row>
    <row r="20" spans="1:14">
      <c r="A20" s="906"/>
      <c r="B20" s="907"/>
      <c r="C20" s="908"/>
      <c r="D20" s="909"/>
      <c r="E20" s="905"/>
      <c r="F20" s="465"/>
      <c r="G20" s="922"/>
      <c r="H20" s="460"/>
      <c r="I20" s="981"/>
      <c r="J20" s="460"/>
      <c r="K20" s="981"/>
      <c r="L20" s="460"/>
      <c r="M20" s="922"/>
      <c r="N20" s="460"/>
    </row>
    <row r="21" spans="1:14">
      <c r="A21" s="906"/>
      <c r="B21" s="907"/>
      <c r="C21" s="908"/>
      <c r="D21" s="909"/>
      <c r="E21" s="905"/>
      <c r="F21" s="465"/>
      <c r="G21" s="922"/>
      <c r="H21" s="460"/>
      <c r="I21" s="981"/>
      <c r="J21" s="460"/>
      <c r="K21" s="981"/>
      <c r="L21" s="460"/>
      <c r="M21" s="922"/>
      <c r="N21" s="460"/>
    </row>
    <row r="22" spans="1:14">
      <c r="A22" s="906"/>
      <c r="B22" s="907"/>
      <c r="C22" s="908"/>
      <c r="D22" s="909"/>
      <c r="E22" s="905"/>
      <c r="F22" s="465"/>
      <c r="G22" s="922"/>
      <c r="H22" s="460"/>
      <c r="I22" s="981"/>
      <c r="J22" s="460"/>
      <c r="K22" s="981"/>
      <c r="L22" s="460"/>
      <c r="M22" s="922"/>
      <c r="N22" s="460"/>
    </row>
    <row r="23" spans="1:14">
      <c r="A23" s="906"/>
      <c r="B23" s="907"/>
      <c r="C23" s="908"/>
      <c r="D23" s="909"/>
      <c r="E23" s="905"/>
      <c r="F23" s="465"/>
      <c r="G23" s="922"/>
      <c r="H23" s="460"/>
      <c r="I23" s="981"/>
      <c r="J23" s="460"/>
      <c r="K23" s="981"/>
      <c r="L23" s="460"/>
      <c r="M23" s="922"/>
      <c r="N23" s="460"/>
    </row>
    <row r="24" spans="1:14">
      <c r="A24" s="906"/>
      <c r="B24" s="907"/>
      <c r="C24" s="908"/>
      <c r="D24" s="909"/>
      <c r="E24" s="905"/>
      <c r="F24" s="465"/>
      <c r="G24" s="922"/>
      <c r="H24" s="460"/>
      <c r="I24" s="981"/>
      <c r="J24" s="460"/>
      <c r="K24" s="981"/>
      <c r="L24" s="460"/>
      <c r="M24" s="922"/>
      <c r="N24" s="460"/>
    </row>
    <row r="25" spans="1:14">
      <c r="A25" s="906"/>
      <c r="B25" s="907"/>
      <c r="C25" s="908"/>
      <c r="D25" s="909"/>
      <c r="E25" s="905"/>
      <c r="F25" s="465"/>
      <c r="G25" s="922"/>
      <c r="H25" s="460"/>
      <c r="I25" s="981"/>
      <c r="J25" s="460"/>
      <c r="K25" s="981"/>
      <c r="L25" s="460"/>
      <c r="M25" s="922"/>
      <c r="N25" s="460"/>
    </row>
    <row r="26" spans="1:14">
      <c r="A26" s="906"/>
      <c r="B26" s="907"/>
      <c r="C26" s="908"/>
      <c r="D26" s="909"/>
      <c r="E26" s="905"/>
      <c r="F26" s="465"/>
      <c r="G26" s="922"/>
      <c r="H26" s="460"/>
      <c r="I26" s="981"/>
      <c r="J26" s="460"/>
      <c r="K26" s="981"/>
      <c r="L26" s="460"/>
      <c r="M26" s="922"/>
      <c r="N26" s="460"/>
    </row>
    <row r="27" spans="1:14">
      <c r="A27" s="906"/>
      <c r="B27" s="907"/>
      <c r="C27" s="908"/>
      <c r="D27" s="909"/>
      <c r="E27" s="905"/>
      <c r="F27" s="465"/>
      <c r="G27" s="922"/>
      <c r="H27" s="460"/>
      <c r="I27" s="981"/>
      <c r="J27" s="460"/>
      <c r="K27" s="981"/>
      <c r="L27" s="460"/>
      <c r="M27" s="922"/>
      <c r="N27" s="460"/>
    </row>
    <row r="28" spans="1:14">
      <c r="A28" s="906"/>
      <c r="B28" s="907"/>
      <c r="C28" s="908"/>
      <c r="D28" s="909"/>
      <c r="E28" s="905"/>
      <c r="F28" s="465"/>
      <c r="G28" s="922"/>
      <c r="H28" s="460"/>
      <c r="I28" s="981"/>
      <c r="J28" s="460"/>
      <c r="K28" s="981"/>
      <c r="L28" s="460"/>
      <c r="M28" s="922"/>
      <c r="N28" s="460"/>
    </row>
    <row r="29" spans="1:14">
      <c r="A29" s="906"/>
      <c r="B29" s="907"/>
      <c r="C29" s="908"/>
      <c r="D29" s="909"/>
      <c r="E29" s="905"/>
      <c r="F29" s="465"/>
      <c r="G29" s="922"/>
      <c r="H29" s="460"/>
      <c r="I29" s="981"/>
      <c r="J29" s="460"/>
      <c r="K29" s="981"/>
      <c r="L29" s="460"/>
      <c r="M29" s="922"/>
      <c r="N29" s="460"/>
    </row>
    <row r="30" spans="1:14">
      <c r="A30" s="906"/>
      <c r="B30" s="907"/>
      <c r="C30" s="908"/>
      <c r="D30" s="909"/>
      <c r="E30" s="905"/>
      <c r="F30" s="465"/>
      <c r="G30" s="922"/>
      <c r="H30" s="460"/>
      <c r="I30" s="981"/>
      <c r="J30" s="460"/>
      <c r="K30" s="981"/>
      <c r="L30" s="460"/>
      <c r="M30" s="922"/>
      <c r="N30" s="460"/>
    </row>
    <row r="31" spans="1:14">
      <c r="A31" s="906"/>
      <c r="B31" s="907"/>
      <c r="C31" s="908"/>
      <c r="D31" s="909"/>
      <c r="E31" s="905"/>
      <c r="F31" s="465"/>
      <c r="G31" s="922"/>
      <c r="H31" s="460"/>
      <c r="I31" s="981"/>
      <c r="J31" s="460"/>
      <c r="K31" s="981"/>
      <c r="L31" s="460"/>
      <c r="M31" s="922"/>
      <c r="N31" s="460"/>
    </row>
    <row r="32" spans="1:14">
      <c r="A32" s="906"/>
      <c r="B32" s="907"/>
      <c r="C32" s="908"/>
      <c r="D32" s="909"/>
      <c r="E32" s="905"/>
      <c r="F32" s="465"/>
      <c r="G32" s="922"/>
      <c r="H32" s="460"/>
      <c r="I32" s="981"/>
      <c r="J32" s="460"/>
      <c r="K32" s="981"/>
      <c r="L32" s="460"/>
      <c r="M32" s="922"/>
      <c r="N32" s="460"/>
    </row>
    <row r="33" spans="1:14">
      <c r="A33" s="906"/>
      <c r="B33" s="907"/>
      <c r="C33" s="908"/>
      <c r="D33" s="909"/>
      <c r="E33" s="905"/>
      <c r="F33" s="465"/>
      <c r="G33" s="922"/>
      <c r="H33" s="460"/>
      <c r="I33" s="981"/>
      <c r="J33" s="460"/>
      <c r="K33" s="981"/>
      <c r="L33" s="460"/>
      <c r="M33" s="922"/>
      <c r="N33" s="460"/>
    </row>
    <row r="34" spans="1:14">
      <c r="A34" s="906"/>
      <c r="B34" s="907"/>
      <c r="C34" s="908"/>
      <c r="D34" s="909"/>
      <c r="E34" s="905"/>
      <c r="F34" s="465"/>
      <c r="G34" s="922"/>
      <c r="H34" s="460"/>
      <c r="I34" s="981"/>
      <c r="J34" s="460"/>
      <c r="K34" s="981"/>
      <c r="L34" s="460"/>
      <c r="M34" s="922"/>
      <c r="N34" s="460"/>
    </row>
    <row r="35" spans="1:14">
      <c r="A35" s="906"/>
      <c r="B35" s="907"/>
      <c r="C35" s="908"/>
      <c r="D35" s="909"/>
      <c r="E35" s="905"/>
      <c r="F35" s="465"/>
      <c r="G35" s="922"/>
      <c r="H35" s="460"/>
      <c r="I35" s="981"/>
      <c r="J35" s="460"/>
      <c r="K35" s="981"/>
      <c r="L35" s="460"/>
      <c r="M35" s="922"/>
      <c r="N35" s="460"/>
    </row>
    <row r="36" spans="1:14">
      <c r="A36" s="906"/>
      <c r="B36" s="907"/>
      <c r="C36" s="908"/>
      <c r="D36" s="909"/>
      <c r="E36" s="905"/>
      <c r="F36" s="465"/>
      <c r="G36" s="922"/>
      <c r="H36" s="460"/>
      <c r="I36" s="981"/>
      <c r="J36" s="460"/>
      <c r="K36" s="981"/>
      <c r="L36" s="460"/>
      <c r="M36" s="922"/>
      <c r="N36" s="460"/>
    </row>
    <row r="37" spans="1:14">
      <c r="A37" s="906"/>
      <c r="B37" s="907"/>
      <c r="C37" s="908"/>
      <c r="D37" s="909"/>
      <c r="E37" s="905"/>
      <c r="F37" s="465"/>
      <c r="G37" s="922"/>
      <c r="H37" s="460"/>
      <c r="I37" s="981"/>
      <c r="J37" s="460"/>
      <c r="K37" s="981"/>
      <c r="L37" s="460"/>
      <c r="M37" s="922"/>
      <c r="N37" s="460"/>
    </row>
    <row r="38" spans="1:14">
      <c r="A38" s="906"/>
      <c r="B38" s="907"/>
      <c r="C38" s="908"/>
      <c r="D38" s="909"/>
      <c r="E38" s="905"/>
      <c r="F38" s="465"/>
      <c r="G38" s="922"/>
      <c r="H38" s="460"/>
      <c r="I38" s="981"/>
      <c r="J38" s="460"/>
      <c r="K38" s="981"/>
      <c r="L38" s="460"/>
      <c r="M38" s="922"/>
      <c r="N38" s="460"/>
    </row>
    <row r="39" spans="1:14">
      <c r="A39" s="906"/>
      <c r="B39" s="907"/>
      <c r="C39" s="908"/>
      <c r="D39" s="909"/>
      <c r="E39" s="905"/>
      <c r="F39" s="465"/>
      <c r="G39" s="922"/>
      <c r="H39" s="460"/>
      <c r="I39" s="981"/>
      <c r="J39" s="460"/>
      <c r="K39" s="981"/>
      <c r="L39" s="460"/>
      <c r="M39" s="922"/>
      <c r="N39" s="460"/>
    </row>
    <row r="40" spans="1:14">
      <c r="A40" s="906"/>
      <c r="B40" s="907"/>
      <c r="C40" s="908"/>
      <c r="D40" s="909"/>
      <c r="E40" s="905"/>
      <c r="F40" s="465"/>
      <c r="G40" s="922"/>
      <c r="H40" s="460"/>
      <c r="I40" s="981"/>
      <c r="J40" s="460"/>
      <c r="K40" s="981"/>
      <c r="L40" s="460"/>
      <c r="M40" s="922"/>
      <c r="N40" s="460"/>
    </row>
    <row r="41" spans="1:14">
      <c r="A41" s="906"/>
      <c r="B41" s="907"/>
      <c r="C41" s="908"/>
      <c r="D41" s="909"/>
      <c r="E41" s="905"/>
      <c r="F41" s="465"/>
      <c r="G41" s="922"/>
      <c r="H41" s="460"/>
      <c r="I41" s="981"/>
      <c r="J41" s="460"/>
      <c r="K41" s="981"/>
      <c r="L41" s="460"/>
      <c r="M41" s="922"/>
      <c r="N41" s="460"/>
    </row>
    <row r="42" spans="1:14">
      <c r="A42" s="906"/>
      <c r="B42" s="907"/>
      <c r="C42" s="908"/>
      <c r="D42" s="909"/>
      <c r="E42" s="905"/>
      <c r="F42" s="465"/>
      <c r="G42" s="922"/>
      <c r="H42" s="460"/>
      <c r="I42" s="981"/>
      <c r="J42" s="460"/>
      <c r="K42" s="981"/>
      <c r="L42" s="460"/>
      <c r="M42" s="922"/>
      <c r="N42" s="460"/>
    </row>
    <row r="43" spans="1:14">
      <c r="A43" s="906"/>
      <c r="B43" s="907"/>
      <c r="C43" s="908"/>
      <c r="D43" s="909"/>
      <c r="E43" s="905"/>
      <c r="F43" s="465"/>
      <c r="G43" s="922"/>
      <c r="H43" s="460"/>
      <c r="I43" s="981"/>
      <c r="J43" s="460"/>
      <c r="K43" s="981"/>
      <c r="L43" s="460"/>
      <c r="M43" s="922"/>
      <c r="N43" s="460"/>
    </row>
    <row r="44" spans="1:14">
      <c r="A44" s="906"/>
      <c r="B44" s="907"/>
      <c r="C44" s="908"/>
      <c r="D44" s="909"/>
      <c r="E44" s="905"/>
      <c r="F44" s="465"/>
      <c r="G44" s="922"/>
      <c r="H44" s="460"/>
      <c r="I44" s="981"/>
      <c r="J44" s="460"/>
      <c r="K44" s="981"/>
      <c r="L44" s="460"/>
      <c r="M44" s="922"/>
      <c r="N44" s="460"/>
    </row>
    <row r="45" spans="1:14">
      <c r="A45" s="906"/>
      <c r="B45" s="907"/>
      <c r="C45" s="908"/>
      <c r="D45" s="909"/>
      <c r="E45" s="905"/>
      <c r="F45" s="465"/>
      <c r="G45" s="922"/>
      <c r="H45" s="460"/>
      <c r="I45" s="981"/>
      <c r="J45" s="460"/>
      <c r="K45" s="981"/>
      <c r="L45" s="460"/>
      <c r="M45" s="922"/>
      <c r="N45" s="460"/>
    </row>
    <row r="46" spans="1:14">
      <c r="A46" s="906"/>
      <c r="B46" s="907"/>
      <c r="C46" s="908"/>
      <c r="D46" s="909"/>
      <c r="E46" s="905"/>
      <c r="F46" s="465"/>
      <c r="G46" s="922"/>
      <c r="H46" s="460"/>
      <c r="I46" s="981"/>
      <c r="J46" s="460"/>
      <c r="K46" s="981"/>
      <c r="L46" s="460"/>
      <c r="M46" s="922"/>
      <c r="N46" s="460"/>
    </row>
    <row r="47" spans="1:14">
      <c r="A47" s="906"/>
      <c r="B47" s="907"/>
      <c r="C47" s="908"/>
      <c r="D47" s="909"/>
      <c r="E47" s="905"/>
      <c r="F47" s="465"/>
      <c r="G47" s="922"/>
      <c r="H47" s="460"/>
      <c r="I47" s="981"/>
      <c r="J47" s="460"/>
      <c r="K47" s="981"/>
      <c r="L47" s="460"/>
      <c r="M47" s="922"/>
      <c r="N47" s="460"/>
    </row>
    <row r="48" spans="1:14">
      <c r="A48" s="906"/>
      <c r="B48" s="907"/>
      <c r="C48" s="908"/>
      <c r="D48" s="909"/>
      <c r="E48" s="905"/>
      <c r="F48" s="465"/>
      <c r="G48" s="922"/>
      <c r="H48" s="460"/>
      <c r="I48" s="981"/>
      <c r="J48" s="460"/>
      <c r="K48" s="981"/>
      <c r="L48" s="460"/>
      <c r="M48" s="922"/>
      <c r="N48" s="460"/>
    </row>
    <row r="49" spans="1:14">
      <c r="A49" s="906"/>
      <c r="B49" s="907"/>
      <c r="C49" s="908"/>
      <c r="D49" s="909"/>
      <c r="E49" s="905"/>
      <c r="F49" s="465"/>
      <c r="G49" s="922"/>
      <c r="H49" s="460"/>
      <c r="I49" s="981"/>
      <c r="J49" s="460"/>
      <c r="K49" s="981"/>
      <c r="L49" s="460"/>
      <c r="M49" s="922"/>
      <c r="N49" s="460"/>
    </row>
    <row r="50" spans="1:14">
      <c r="A50" s="906"/>
      <c r="B50" s="907"/>
      <c r="C50" s="908"/>
      <c r="D50" s="909"/>
      <c r="E50" s="905"/>
      <c r="F50" s="465"/>
      <c r="G50" s="922"/>
      <c r="H50" s="460"/>
      <c r="I50" s="981"/>
      <c r="J50" s="460"/>
      <c r="K50" s="981"/>
      <c r="L50" s="460"/>
      <c r="M50" s="922"/>
      <c r="N50" s="460"/>
    </row>
    <row r="51" spans="1:14">
      <c r="A51" s="906"/>
      <c r="B51" s="907"/>
      <c r="C51" s="908"/>
      <c r="D51" s="909"/>
      <c r="E51" s="905"/>
      <c r="F51" s="465"/>
      <c r="G51" s="922"/>
      <c r="H51" s="460"/>
      <c r="I51" s="981"/>
      <c r="J51" s="460"/>
      <c r="K51" s="981"/>
      <c r="L51" s="460"/>
      <c r="M51" s="922"/>
      <c r="N51" s="460"/>
    </row>
    <row r="52" spans="1:14">
      <c r="A52" s="906"/>
      <c r="B52" s="907"/>
      <c r="C52" s="908"/>
      <c r="D52" s="909"/>
      <c r="E52" s="905"/>
      <c r="F52" s="465"/>
      <c r="G52" s="922"/>
      <c r="H52" s="460"/>
      <c r="I52" s="981"/>
      <c r="J52" s="460"/>
      <c r="K52" s="981"/>
      <c r="L52" s="460"/>
      <c r="M52" s="922"/>
      <c r="N52" s="460"/>
    </row>
    <row r="53" spans="1:14">
      <c r="A53" s="906"/>
      <c r="B53" s="907"/>
      <c r="C53" s="908"/>
      <c r="D53" s="909"/>
      <c r="E53" s="905"/>
      <c r="F53" s="465"/>
      <c r="G53" s="922"/>
      <c r="H53" s="460"/>
      <c r="I53" s="981"/>
      <c r="J53" s="460"/>
      <c r="K53" s="981"/>
      <c r="L53" s="460"/>
      <c r="M53" s="922"/>
      <c r="N53" s="460"/>
    </row>
    <row r="54" spans="1:14">
      <c r="A54" s="906"/>
      <c r="B54" s="907"/>
      <c r="C54" s="908"/>
      <c r="D54" s="909"/>
      <c r="E54" s="905"/>
      <c r="F54" s="465"/>
      <c r="G54" s="922"/>
      <c r="H54" s="460"/>
      <c r="I54" s="981"/>
      <c r="J54" s="460"/>
      <c r="K54" s="981"/>
      <c r="L54" s="460"/>
      <c r="M54" s="922"/>
      <c r="N54" s="460"/>
    </row>
    <row r="55" spans="1:14">
      <c r="A55" s="906"/>
      <c r="B55" s="907"/>
      <c r="C55" s="908"/>
      <c r="D55" s="909"/>
      <c r="E55" s="905"/>
      <c r="F55" s="465"/>
      <c r="G55" s="922"/>
      <c r="H55" s="460"/>
      <c r="I55" s="981"/>
      <c r="J55" s="460"/>
      <c r="K55" s="981"/>
      <c r="L55" s="460"/>
      <c r="M55" s="922"/>
      <c r="N55" s="460"/>
    </row>
    <row r="56" spans="1:14">
      <c r="A56" s="906"/>
      <c r="B56" s="907"/>
      <c r="C56" s="908"/>
      <c r="D56" s="909"/>
      <c r="E56" s="905"/>
      <c r="F56" s="465"/>
      <c r="G56" s="922"/>
      <c r="H56" s="460"/>
      <c r="I56" s="981"/>
      <c r="J56" s="460"/>
      <c r="K56" s="981"/>
      <c r="L56" s="460"/>
      <c r="M56" s="922"/>
      <c r="N56" s="460"/>
    </row>
    <row r="57" spans="1:14">
      <c r="A57" s="906"/>
      <c r="B57" s="907"/>
      <c r="C57" s="908"/>
      <c r="D57" s="909"/>
      <c r="E57" s="905"/>
      <c r="F57" s="465"/>
      <c r="G57" s="922"/>
      <c r="H57" s="460"/>
      <c r="I57" s="981"/>
      <c r="J57" s="460"/>
      <c r="K57" s="981"/>
      <c r="L57" s="460"/>
      <c r="M57" s="922"/>
      <c r="N57" s="460"/>
    </row>
    <row r="58" spans="1:14">
      <c r="A58" s="906"/>
      <c r="B58" s="907"/>
      <c r="C58" s="908"/>
      <c r="D58" s="909"/>
      <c r="E58" s="905"/>
      <c r="F58" s="465"/>
      <c r="G58" s="922"/>
      <c r="H58" s="460"/>
      <c r="I58" s="981"/>
      <c r="J58" s="460"/>
      <c r="K58" s="981"/>
      <c r="L58" s="460"/>
      <c r="M58" s="922"/>
      <c r="N58" s="460"/>
    </row>
    <row r="59" spans="1:14">
      <c r="A59" s="906"/>
      <c r="B59" s="907"/>
      <c r="C59" s="908"/>
      <c r="D59" s="909"/>
      <c r="E59" s="905"/>
      <c r="F59" s="465"/>
      <c r="G59" s="922"/>
      <c r="H59" s="460"/>
      <c r="I59" s="981"/>
      <c r="J59" s="460"/>
      <c r="K59" s="981"/>
      <c r="L59" s="460"/>
      <c r="M59" s="922"/>
      <c r="N59" s="460"/>
    </row>
    <row r="60" spans="1:14">
      <c r="A60" s="906"/>
      <c r="B60" s="907"/>
      <c r="C60" s="908"/>
      <c r="D60" s="909"/>
      <c r="E60" s="905"/>
      <c r="F60" s="465"/>
      <c r="G60" s="922"/>
      <c r="H60" s="460"/>
      <c r="I60" s="981"/>
      <c r="J60" s="460"/>
      <c r="K60" s="981"/>
      <c r="L60" s="460"/>
      <c r="M60" s="922"/>
      <c r="N60" s="460"/>
    </row>
    <row r="61" spans="1:14">
      <c r="A61" s="906"/>
      <c r="B61" s="907"/>
      <c r="C61" s="908"/>
      <c r="D61" s="909"/>
      <c r="E61" s="905"/>
      <c r="F61" s="465"/>
      <c r="G61" s="922"/>
      <c r="H61" s="460"/>
      <c r="I61" s="981"/>
      <c r="J61" s="460"/>
      <c r="K61" s="981"/>
      <c r="L61" s="460"/>
      <c r="M61" s="922"/>
      <c r="N61" s="460"/>
    </row>
    <row r="62" spans="1:14">
      <c r="A62" s="906"/>
      <c r="B62" s="907"/>
      <c r="C62" s="908"/>
      <c r="D62" s="909"/>
      <c r="E62" s="905"/>
      <c r="F62" s="465"/>
      <c r="G62" s="922"/>
      <c r="H62" s="460"/>
      <c r="I62" s="981"/>
      <c r="J62" s="460"/>
      <c r="K62" s="981"/>
      <c r="L62" s="460"/>
      <c r="M62" s="922"/>
      <c r="N62" s="460"/>
    </row>
    <row r="63" spans="1:14">
      <c r="A63" s="906"/>
      <c r="B63" s="907"/>
      <c r="C63" s="908"/>
      <c r="D63" s="909"/>
      <c r="E63" s="905"/>
      <c r="F63" s="465"/>
      <c r="G63" s="922"/>
      <c r="H63" s="460"/>
      <c r="I63" s="981"/>
      <c r="J63" s="460"/>
      <c r="K63" s="981"/>
      <c r="L63" s="460"/>
      <c r="M63" s="922"/>
      <c r="N63" s="460"/>
    </row>
    <row r="64" spans="1:14">
      <c r="A64" s="906"/>
      <c r="B64" s="907"/>
      <c r="C64" s="908"/>
      <c r="D64" s="909"/>
      <c r="E64" s="905"/>
      <c r="F64" s="465"/>
      <c r="G64" s="922"/>
      <c r="H64" s="460"/>
      <c r="I64" s="981"/>
      <c r="J64" s="460"/>
      <c r="K64" s="981"/>
      <c r="L64" s="460"/>
      <c r="M64" s="922"/>
      <c r="N64" s="460"/>
    </row>
    <row r="65" spans="1:14">
      <c r="A65" s="906"/>
      <c r="B65" s="907"/>
      <c r="C65" s="908"/>
      <c r="D65" s="909"/>
      <c r="E65" s="905"/>
      <c r="F65" s="465"/>
      <c r="G65" s="922"/>
      <c r="H65" s="460"/>
      <c r="I65" s="981"/>
      <c r="J65" s="460"/>
      <c r="K65" s="981"/>
      <c r="L65" s="460"/>
      <c r="M65" s="922"/>
      <c r="N65" s="460"/>
    </row>
    <row r="66" spans="1:14">
      <c r="A66" s="906"/>
      <c r="B66" s="907"/>
      <c r="C66" s="908"/>
      <c r="D66" s="909"/>
      <c r="E66" s="905"/>
      <c r="F66" s="465"/>
      <c r="G66" s="922"/>
      <c r="H66" s="460"/>
      <c r="I66" s="981"/>
      <c r="J66" s="460"/>
      <c r="K66" s="981"/>
      <c r="L66" s="460"/>
      <c r="M66" s="922"/>
      <c r="N66" s="460"/>
    </row>
    <row r="67" spans="1:14">
      <c r="A67" s="906"/>
      <c r="B67" s="907"/>
      <c r="C67" s="908"/>
      <c r="D67" s="909"/>
      <c r="E67" s="905"/>
      <c r="F67" s="465"/>
      <c r="G67" s="922"/>
      <c r="H67" s="460"/>
      <c r="I67" s="981"/>
      <c r="J67" s="460"/>
      <c r="K67" s="981"/>
      <c r="L67" s="460"/>
      <c r="M67" s="922"/>
      <c r="N67" s="460"/>
    </row>
    <row r="68" spans="1:14">
      <c r="A68" s="906"/>
      <c r="B68" s="907"/>
      <c r="C68" s="908"/>
      <c r="D68" s="909"/>
      <c r="E68" s="905"/>
      <c r="F68" s="465"/>
      <c r="G68" s="922"/>
      <c r="H68" s="460"/>
      <c r="I68" s="981"/>
      <c r="J68" s="460"/>
      <c r="K68" s="981"/>
      <c r="L68" s="460"/>
      <c r="M68" s="922"/>
      <c r="N68" s="460"/>
    </row>
    <row r="69" spans="1:14">
      <c r="A69" s="906"/>
      <c r="B69" s="907"/>
      <c r="C69" s="908"/>
      <c r="D69" s="909"/>
      <c r="E69" s="905"/>
      <c r="F69" s="465"/>
      <c r="G69" s="922"/>
      <c r="H69" s="460"/>
      <c r="I69" s="981"/>
      <c r="J69" s="460"/>
      <c r="K69" s="981"/>
      <c r="L69" s="460"/>
      <c r="M69" s="922"/>
      <c r="N69" s="460"/>
    </row>
    <row r="70" spans="1:14">
      <c r="A70" s="906"/>
      <c r="B70" s="907"/>
      <c r="C70" s="908"/>
      <c r="D70" s="909"/>
      <c r="E70" s="905"/>
      <c r="F70" s="465"/>
      <c r="G70" s="922"/>
      <c r="H70" s="460"/>
      <c r="I70" s="981"/>
      <c r="J70" s="460"/>
      <c r="K70" s="981"/>
      <c r="L70" s="460"/>
      <c r="M70" s="922"/>
      <c r="N70" s="460"/>
    </row>
    <row r="71" spans="1:14">
      <c r="A71" s="906"/>
      <c r="B71" s="907"/>
      <c r="C71" s="908"/>
      <c r="D71" s="909"/>
      <c r="E71" s="905"/>
      <c r="F71" s="465"/>
      <c r="G71" s="922"/>
      <c r="H71" s="460"/>
      <c r="I71" s="981"/>
      <c r="J71" s="460"/>
      <c r="K71" s="981"/>
      <c r="L71" s="460"/>
      <c r="M71" s="922"/>
      <c r="N71" s="460"/>
    </row>
    <row r="72" spans="1:14">
      <c r="A72" s="906"/>
      <c r="B72" s="907"/>
      <c r="C72" s="908"/>
      <c r="D72" s="909"/>
      <c r="E72" s="905"/>
      <c r="F72" s="465"/>
      <c r="G72" s="922"/>
      <c r="H72" s="460"/>
      <c r="I72" s="981"/>
      <c r="J72" s="460"/>
      <c r="K72" s="981"/>
      <c r="L72" s="460"/>
      <c r="M72" s="922"/>
      <c r="N72" s="460"/>
    </row>
    <row r="73" spans="1:14">
      <c r="A73" s="906"/>
      <c r="B73" s="907"/>
      <c r="C73" s="908"/>
      <c r="D73" s="909"/>
      <c r="E73" s="905"/>
      <c r="F73" s="465"/>
      <c r="G73" s="922"/>
      <c r="H73" s="460"/>
      <c r="I73" s="981"/>
      <c r="J73" s="460"/>
      <c r="K73" s="981"/>
      <c r="L73" s="460"/>
      <c r="M73" s="922"/>
      <c r="N73" s="460"/>
    </row>
    <row r="74" spans="1:14">
      <c r="A74" s="906"/>
      <c r="B74" s="907"/>
      <c r="C74" s="908"/>
      <c r="D74" s="909"/>
      <c r="E74" s="905"/>
      <c r="F74" s="465"/>
      <c r="G74" s="922"/>
      <c r="H74" s="460"/>
      <c r="I74" s="981"/>
      <c r="J74" s="460"/>
      <c r="K74" s="981"/>
      <c r="L74" s="460"/>
      <c r="M74" s="922"/>
      <c r="N74" s="460"/>
    </row>
    <row r="75" spans="1:14">
      <c r="A75" s="906"/>
      <c r="B75" s="907"/>
      <c r="C75" s="908"/>
      <c r="D75" s="909"/>
      <c r="E75" s="905"/>
      <c r="F75" s="465"/>
      <c r="G75" s="922"/>
      <c r="H75" s="460"/>
      <c r="I75" s="981"/>
      <c r="J75" s="460"/>
      <c r="K75" s="981"/>
      <c r="L75" s="460"/>
      <c r="M75" s="922"/>
      <c r="N75" s="460"/>
    </row>
    <row r="76" spans="1:14">
      <c r="A76" s="906"/>
      <c r="B76" s="907"/>
      <c r="C76" s="908"/>
      <c r="D76" s="909"/>
      <c r="E76" s="905"/>
      <c r="F76" s="465"/>
      <c r="G76" s="922"/>
      <c r="H76" s="460"/>
      <c r="I76" s="981"/>
      <c r="J76" s="460"/>
      <c r="K76" s="981"/>
      <c r="L76" s="460"/>
      <c r="M76" s="922"/>
      <c r="N76" s="460"/>
    </row>
    <row r="77" spans="1:14">
      <c r="A77" s="906"/>
      <c r="B77" s="907"/>
      <c r="C77" s="908"/>
      <c r="D77" s="909"/>
      <c r="E77" s="905"/>
      <c r="F77" s="465"/>
      <c r="G77" s="922"/>
      <c r="H77" s="460"/>
      <c r="I77" s="981"/>
      <c r="J77" s="460"/>
      <c r="K77" s="981"/>
      <c r="L77" s="460"/>
      <c r="M77" s="922"/>
      <c r="N77" s="460"/>
    </row>
    <row r="78" spans="1:14">
      <c r="A78" s="906"/>
      <c r="B78" s="907"/>
      <c r="C78" s="908"/>
      <c r="D78" s="909"/>
      <c r="E78" s="905"/>
      <c r="F78" s="465"/>
      <c r="G78" s="922"/>
      <c r="H78" s="460"/>
      <c r="I78" s="981"/>
      <c r="J78" s="460"/>
      <c r="K78" s="981"/>
      <c r="L78" s="460"/>
      <c r="M78" s="922"/>
      <c r="N78" s="460"/>
    </row>
    <row r="79" spans="1:14">
      <c r="A79" s="906"/>
      <c r="B79" s="907"/>
      <c r="C79" s="908"/>
      <c r="D79" s="909"/>
      <c r="E79" s="905"/>
      <c r="F79" s="465"/>
      <c r="G79" s="922"/>
      <c r="H79" s="460"/>
      <c r="I79" s="981"/>
      <c r="J79" s="460"/>
      <c r="K79" s="981"/>
      <c r="L79" s="460"/>
      <c r="M79" s="922"/>
      <c r="N79" s="460"/>
    </row>
    <row r="80" spans="1:14">
      <c r="A80" s="906"/>
      <c r="B80" s="907"/>
      <c r="C80" s="908"/>
      <c r="D80" s="909"/>
      <c r="E80" s="905"/>
      <c r="F80" s="465"/>
      <c r="G80" s="922"/>
      <c r="H80" s="460"/>
      <c r="I80" s="981"/>
      <c r="J80" s="460"/>
      <c r="K80" s="981"/>
      <c r="L80" s="460"/>
      <c r="M80" s="922"/>
      <c r="N80" s="460"/>
    </row>
    <row r="81" spans="1:14">
      <c r="A81" s="906"/>
      <c r="B81" s="907"/>
      <c r="C81" s="908"/>
      <c r="D81" s="909"/>
      <c r="E81" s="905"/>
      <c r="F81" s="465"/>
      <c r="G81" s="922"/>
      <c r="H81" s="460"/>
      <c r="I81" s="981"/>
      <c r="J81" s="460"/>
      <c r="K81" s="981"/>
      <c r="L81" s="460"/>
      <c r="M81" s="922"/>
      <c r="N81" s="460"/>
    </row>
    <row r="82" spans="1:14">
      <c r="A82" s="906"/>
      <c r="B82" s="907"/>
      <c r="C82" s="908"/>
      <c r="D82" s="909"/>
      <c r="E82" s="905"/>
      <c r="F82" s="465"/>
      <c r="G82" s="922"/>
      <c r="H82" s="460"/>
      <c r="I82" s="981"/>
      <c r="J82" s="460"/>
      <c r="K82" s="981"/>
      <c r="L82" s="460"/>
      <c r="M82" s="922"/>
      <c r="N82" s="460"/>
    </row>
    <row r="83" spans="1:14">
      <c r="A83" s="906"/>
      <c r="B83" s="907"/>
      <c r="C83" s="908"/>
      <c r="D83" s="909"/>
      <c r="E83" s="905"/>
      <c r="F83" s="465"/>
      <c r="G83" s="922"/>
      <c r="H83" s="460"/>
      <c r="I83" s="981"/>
      <c r="J83" s="460"/>
      <c r="K83" s="981"/>
      <c r="L83" s="460"/>
      <c r="M83" s="922"/>
      <c r="N83" s="460"/>
    </row>
    <row r="84" spans="1:14">
      <c r="A84" s="906"/>
      <c r="B84" s="907"/>
      <c r="C84" s="908"/>
      <c r="D84" s="909"/>
      <c r="E84" s="905"/>
      <c r="F84" s="465"/>
      <c r="G84" s="922"/>
      <c r="H84" s="460"/>
      <c r="I84" s="981"/>
      <c r="J84" s="460"/>
      <c r="K84" s="981"/>
      <c r="L84" s="460"/>
      <c r="M84" s="922"/>
      <c r="N84" s="460"/>
    </row>
    <row r="85" spans="1:14">
      <c r="A85" s="906"/>
      <c r="B85" s="907"/>
      <c r="C85" s="908"/>
      <c r="D85" s="909"/>
      <c r="E85" s="905"/>
      <c r="F85" s="465"/>
      <c r="G85" s="922"/>
      <c r="H85" s="460"/>
      <c r="I85" s="981"/>
      <c r="J85" s="460"/>
      <c r="K85" s="981"/>
      <c r="L85" s="460"/>
      <c r="M85" s="922"/>
      <c r="N85" s="460"/>
    </row>
    <row r="86" spans="1:14">
      <c r="A86" s="906"/>
      <c r="B86" s="907"/>
      <c r="C86" s="908"/>
      <c r="D86" s="909"/>
      <c r="E86" s="905"/>
      <c r="F86" s="465"/>
      <c r="G86" s="922"/>
      <c r="H86" s="460"/>
      <c r="I86" s="981"/>
      <c r="J86" s="460"/>
      <c r="K86" s="981"/>
      <c r="L86" s="460"/>
      <c r="M86" s="922"/>
      <c r="N86" s="460"/>
    </row>
    <row r="87" spans="1:14">
      <c r="A87" s="906"/>
      <c r="B87" s="907"/>
      <c r="C87" s="908"/>
      <c r="D87" s="909"/>
      <c r="E87" s="905"/>
      <c r="F87" s="465"/>
      <c r="G87" s="922"/>
      <c r="H87" s="460"/>
      <c r="I87" s="981"/>
      <c r="J87" s="460"/>
      <c r="K87" s="981"/>
      <c r="L87" s="460"/>
      <c r="M87" s="922"/>
      <c r="N87" s="460"/>
    </row>
    <row r="88" spans="1:14">
      <c r="A88" s="906"/>
      <c r="B88" s="907"/>
      <c r="C88" s="908"/>
      <c r="D88" s="909"/>
      <c r="E88" s="905"/>
      <c r="F88" s="465"/>
      <c r="G88" s="922"/>
      <c r="H88" s="460"/>
      <c r="I88" s="981"/>
      <c r="J88" s="460"/>
      <c r="K88" s="981"/>
      <c r="L88" s="460"/>
      <c r="M88" s="922"/>
      <c r="N88" s="460"/>
    </row>
    <row r="89" spans="1:14">
      <c r="A89" s="906"/>
      <c r="B89" s="907"/>
      <c r="C89" s="908"/>
      <c r="D89" s="909"/>
      <c r="E89" s="905"/>
      <c r="F89" s="465"/>
      <c r="G89" s="922"/>
      <c r="H89" s="460"/>
      <c r="I89" s="981"/>
      <c r="J89" s="460"/>
      <c r="K89" s="981"/>
      <c r="L89" s="460"/>
      <c r="M89" s="922"/>
      <c r="N89" s="460"/>
    </row>
    <row r="90" spans="1:14">
      <c r="A90" s="906"/>
      <c r="B90" s="907"/>
      <c r="C90" s="908"/>
      <c r="D90" s="909"/>
      <c r="E90" s="905"/>
      <c r="F90" s="465"/>
      <c r="G90" s="922"/>
      <c r="H90" s="460"/>
      <c r="I90" s="981"/>
      <c r="J90" s="460"/>
      <c r="K90" s="981"/>
      <c r="L90" s="460"/>
      <c r="M90" s="922"/>
      <c r="N90" s="460"/>
    </row>
    <row r="91" spans="1:14">
      <c r="A91" s="906"/>
      <c r="B91" s="907"/>
      <c r="C91" s="908"/>
      <c r="D91" s="909"/>
      <c r="E91" s="905"/>
      <c r="F91" s="465"/>
      <c r="G91" s="922"/>
      <c r="H91" s="460"/>
      <c r="I91" s="981"/>
      <c r="J91" s="460"/>
      <c r="K91" s="981"/>
      <c r="L91" s="460"/>
      <c r="M91" s="922"/>
      <c r="N91" s="460"/>
    </row>
    <row r="92" spans="1:14">
      <c r="A92" s="906"/>
      <c r="B92" s="907"/>
      <c r="C92" s="908"/>
      <c r="D92" s="909"/>
      <c r="E92" s="905"/>
      <c r="F92" s="465"/>
      <c r="G92" s="922"/>
      <c r="H92" s="460"/>
      <c r="I92" s="981"/>
      <c r="J92" s="460"/>
      <c r="K92" s="981"/>
      <c r="L92" s="460"/>
      <c r="M92" s="922"/>
      <c r="N92" s="460"/>
    </row>
    <row r="93" spans="1:14">
      <c r="A93" s="906"/>
      <c r="B93" s="907"/>
      <c r="C93" s="908"/>
      <c r="D93" s="909"/>
      <c r="E93" s="905"/>
      <c r="F93" s="465"/>
      <c r="G93" s="922"/>
      <c r="H93" s="460"/>
      <c r="I93" s="981"/>
      <c r="J93" s="460"/>
      <c r="K93" s="981"/>
      <c r="L93" s="460"/>
      <c r="M93" s="922"/>
      <c r="N93" s="460"/>
    </row>
    <row r="94" spans="1:14">
      <c r="A94" s="906"/>
      <c r="B94" s="907"/>
      <c r="C94" s="908"/>
      <c r="D94" s="909"/>
      <c r="E94" s="905"/>
      <c r="F94" s="465"/>
      <c r="G94" s="922"/>
      <c r="H94" s="460"/>
      <c r="I94" s="981"/>
      <c r="J94" s="460"/>
      <c r="K94" s="981"/>
      <c r="L94" s="460"/>
      <c r="M94" s="922"/>
      <c r="N94" s="460"/>
    </row>
    <row r="95" spans="1:14">
      <c r="A95" s="906"/>
      <c r="B95" s="907"/>
      <c r="C95" s="908"/>
      <c r="D95" s="909"/>
      <c r="E95" s="905"/>
      <c r="F95" s="465"/>
      <c r="G95" s="922"/>
      <c r="H95" s="460"/>
      <c r="I95" s="981"/>
      <c r="J95" s="460"/>
      <c r="K95" s="981"/>
      <c r="L95" s="460"/>
      <c r="M95" s="922"/>
      <c r="N95" s="460"/>
    </row>
    <row r="96" spans="1:14">
      <c r="A96" s="906"/>
      <c r="B96" s="907"/>
      <c r="C96" s="908"/>
      <c r="D96" s="909"/>
      <c r="E96" s="905"/>
      <c r="F96" s="465"/>
      <c r="G96" s="922"/>
      <c r="H96" s="460"/>
      <c r="I96" s="981"/>
      <c r="J96" s="460"/>
      <c r="K96" s="981"/>
      <c r="L96" s="460"/>
      <c r="M96" s="922"/>
      <c r="N96" s="460"/>
    </row>
    <row r="97" spans="1:14">
      <c r="A97" s="906"/>
      <c r="B97" s="907"/>
      <c r="C97" s="908"/>
      <c r="D97" s="909"/>
      <c r="E97" s="905"/>
      <c r="F97" s="465"/>
      <c r="G97" s="922"/>
      <c r="H97" s="460"/>
      <c r="I97" s="981"/>
      <c r="J97" s="460"/>
      <c r="K97" s="981"/>
      <c r="L97" s="460"/>
      <c r="M97" s="922"/>
      <c r="N97" s="460"/>
    </row>
    <row r="98" spans="1:14">
      <c r="A98" s="906"/>
      <c r="B98" s="907"/>
      <c r="C98" s="908"/>
      <c r="D98" s="909"/>
      <c r="E98" s="905"/>
      <c r="F98" s="465"/>
      <c r="G98" s="922"/>
      <c r="H98" s="460"/>
      <c r="I98" s="981"/>
      <c r="J98" s="460"/>
      <c r="K98" s="981"/>
      <c r="L98" s="460"/>
      <c r="M98" s="922"/>
      <c r="N98" s="460"/>
    </row>
    <row r="99" spans="1:14">
      <c r="A99" s="906"/>
      <c r="B99" s="907"/>
      <c r="C99" s="908"/>
      <c r="D99" s="909"/>
      <c r="E99" s="905"/>
      <c r="F99" s="465"/>
      <c r="G99" s="922"/>
      <c r="H99" s="460"/>
      <c r="I99" s="981"/>
      <c r="J99" s="460"/>
      <c r="K99" s="981"/>
      <c r="L99" s="460"/>
      <c r="M99" s="922"/>
      <c r="N99" s="460"/>
    </row>
    <row r="100" spans="1:14">
      <c r="A100" s="906"/>
      <c r="B100" s="907"/>
      <c r="C100" s="908"/>
      <c r="D100" s="909"/>
      <c r="E100" s="905"/>
      <c r="F100" s="465"/>
      <c r="G100" s="922"/>
      <c r="H100" s="460"/>
      <c r="I100" s="981"/>
      <c r="J100" s="460"/>
      <c r="K100" s="981"/>
      <c r="L100" s="460"/>
      <c r="M100" s="922"/>
      <c r="N100" s="460"/>
    </row>
    <row r="101" spans="1:14">
      <c r="A101" s="906"/>
      <c r="B101" s="907"/>
      <c r="C101" s="908"/>
      <c r="D101" s="909"/>
      <c r="E101" s="905"/>
      <c r="F101" s="465"/>
      <c r="G101" s="922"/>
      <c r="H101" s="460"/>
      <c r="I101" s="981"/>
      <c r="J101" s="460"/>
      <c r="K101" s="981"/>
      <c r="L101" s="460"/>
      <c r="M101" s="922"/>
      <c r="N101" s="460"/>
    </row>
    <row r="102" spans="1:14">
      <c r="A102" s="906"/>
      <c r="B102" s="907"/>
      <c r="C102" s="908"/>
      <c r="D102" s="909"/>
      <c r="E102" s="905"/>
      <c r="F102" s="465"/>
      <c r="G102" s="922"/>
      <c r="H102" s="460"/>
      <c r="I102" s="981"/>
      <c r="J102" s="460"/>
      <c r="K102" s="981"/>
      <c r="L102" s="460"/>
      <c r="M102" s="922"/>
      <c r="N102" s="460"/>
    </row>
    <row r="103" spans="1:14">
      <c r="A103" s="906"/>
      <c r="B103" s="907"/>
      <c r="C103" s="908"/>
      <c r="D103" s="909"/>
      <c r="E103" s="905"/>
      <c r="F103" s="465"/>
      <c r="G103" s="922"/>
      <c r="H103" s="460"/>
      <c r="I103" s="981"/>
      <c r="J103" s="460"/>
      <c r="K103" s="981"/>
      <c r="L103" s="460"/>
      <c r="M103" s="922"/>
      <c r="N103" s="460"/>
    </row>
    <row r="104" spans="1:14">
      <c r="A104" s="906"/>
      <c r="B104" s="907"/>
      <c r="C104" s="908"/>
      <c r="D104" s="909"/>
      <c r="E104" s="905"/>
      <c r="F104" s="465"/>
      <c r="G104" s="922"/>
      <c r="H104" s="460"/>
      <c r="I104" s="981"/>
      <c r="J104" s="460"/>
      <c r="K104" s="981"/>
      <c r="L104" s="460"/>
      <c r="M104" s="922"/>
      <c r="N104" s="460"/>
    </row>
    <row r="105" spans="1:14">
      <c r="A105" s="906"/>
      <c r="B105" s="907"/>
      <c r="C105" s="908"/>
      <c r="D105" s="909"/>
      <c r="E105" s="905"/>
      <c r="F105" s="465"/>
      <c r="G105" s="922"/>
      <c r="H105" s="460"/>
      <c r="I105" s="981"/>
      <c r="J105" s="460"/>
      <c r="K105" s="981"/>
      <c r="L105" s="460"/>
      <c r="M105" s="922"/>
      <c r="N105" s="460"/>
    </row>
    <row r="106" spans="1:14">
      <c r="A106" s="906"/>
      <c r="B106" s="907"/>
      <c r="C106" s="908"/>
      <c r="D106" s="909"/>
      <c r="E106" s="905"/>
      <c r="F106" s="465"/>
      <c r="G106" s="922"/>
      <c r="H106" s="460"/>
      <c r="I106" s="981"/>
      <c r="J106" s="460"/>
      <c r="K106" s="981"/>
      <c r="L106" s="460"/>
      <c r="M106" s="922"/>
      <c r="N106" s="460"/>
    </row>
    <row r="107" spans="1:14">
      <c r="A107" s="906"/>
      <c r="B107" s="907"/>
      <c r="C107" s="908"/>
      <c r="D107" s="909"/>
      <c r="E107" s="905"/>
      <c r="F107" s="465"/>
      <c r="G107" s="922"/>
      <c r="H107" s="460"/>
      <c r="I107" s="981"/>
      <c r="J107" s="460"/>
      <c r="K107" s="981"/>
      <c r="L107" s="460"/>
      <c r="M107" s="922"/>
      <c r="N107" s="460"/>
    </row>
    <row r="108" spans="1:14">
      <c r="A108" s="906"/>
      <c r="B108" s="907"/>
      <c r="C108" s="908"/>
      <c r="D108" s="909"/>
      <c r="E108" s="905"/>
      <c r="F108" s="465"/>
      <c r="G108" s="922"/>
      <c r="H108" s="460"/>
      <c r="I108" s="981"/>
      <c r="J108" s="460"/>
      <c r="K108" s="981"/>
      <c r="L108" s="460"/>
      <c r="M108" s="922"/>
      <c r="N108" s="460"/>
    </row>
    <row r="109" spans="1:14">
      <c r="A109" s="906"/>
      <c r="B109" s="907"/>
      <c r="C109" s="908"/>
      <c r="D109" s="909"/>
      <c r="E109" s="905"/>
      <c r="F109" s="465"/>
      <c r="G109" s="922"/>
      <c r="H109" s="460"/>
      <c r="I109" s="981"/>
      <c r="J109" s="460"/>
      <c r="K109" s="981"/>
      <c r="L109" s="460"/>
      <c r="M109" s="922"/>
      <c r="N109" s="460"/>
    </row>
    <row r="110" spans="1:14">
      <c r="A110" s="906"/>
      <c r="B110" s="907"/>
      <c r="C110" s="908"/>
      <c r="D110" s="909"/>
      <c r="E110" s="905"/>
      <c r="F110" s="465"/>
      <c r="G110" s="922"/>
      <c r="H110" s="460"/>
      <c r="I110" s="981"/>
      <c r="J110" s="460"/>
      <c r="K110" s="981"/>
      <c r="L110" s="460"/>
      <c r="M110" s="922"/>
      <c r="N110" s="460"/>
    </row>
    <row r="111" spans="1:14">
      <c r="A111" s="906"/>
      <c r="B111" s="907"/>
      <c r="C111" s="908"/>
      <c r="D111" s="909"/>
      <c r="E111" s="905"/>
      <c r="F111" s="465"/>
      <c r="G111" s="922"/>
      <c r="H111" s="460"/>
      <c r="I111" s="981"/>
      <c r="J111" s="460"/>
      <c r="K111" s="981"/>
      <c r="L111" s="460"/>
      <c r="M111" s="922"/>
      <c r="N111" s="460"/>
    </row>
    <row r="112" spans="1:14">
      <c r="A112" s="906"/>
      <c r="B112" s="907"/>
      <c r="C112" s="908"/>
      <c r="D112" s="909"/>
      <c r="E112" s="905"/>
      <c r="F112" s="465"/>
      <c r="G112" s="922"/>
      <c r="H112" s="460"/>
      <c r="I112" s="981"/>
      <c r="J112" s="460"/>
      <c r="K112" s="981"/>
      <c r="L112" s="460"/>
      <c r="M112" s="922"/>
      <c r="N112" s="460"/>
    </row>
    <row r="113" spans="1:14">
      <c r="A113" s="906"/>
      <c r="B113" s="907"/>
      <c r="C113" s="908"/>
      <c r="D113" s="909"/>
      <c r="E113" s="905"/>
      <c r="F113" s="465"/>
      <c r="G113" s="922"/>
      <c r="H113" s="460"/>
      <c r="I113" s="981"/>
      <c r="J113" s="460"/>
      <c r="K113" s="981"/>
      <c r="L113" s="460"/>
      <c r="M113" s="922"/>
      <c r="N113" s="460"/>
    </row>
    <row r="114" spans="1:14">
      <c r="A114" s="906"/>
      <c r="B114" s="907"/>
      <c r="C114" s="908"/>
      <c r="D114" s="909"/>
      <c r="E114" s="905"/>
      <c r="F114" s="465"/>
      <c r="G114" s="922"/>
      <c r="H114" s="460"/>
      <c r="I114" s="981"/>
      <c r="J114" s="460"/>
      <c r="K114" s="981"/>
      <c r="L114" s="460"/>
      <c r="M114" s="922"/>
      <c r="N114" s="460"/>
    </row>
    <row r="115" spans="1:14">
      <c r="A115" s="906"/>
      <c r="B115" s="907"/>
      <c r="C115" s="908"/>
      <c r="D115" s="909"/>
      <c r="E115" s="905"/>
      <c r="F115" s="465"/>
      <c r="G115" s="922"/>
      <c r="H115" s="460"/>
      <c r="I115" s="981"/>
      <c r="J115" s="460"/>
      <c r="K115" s="981"/>
      <c r="L115" s="460"/>
      <c r="M115" s="922"/>
      <c r="N115" s="460"/>
    </row>
    <row r="116" spans="1:14">
      <c r="A116" s="906"/>
      <c r="B116" s="907"/>
      <c r="C116" s="908"/>
      <c r="D116" s="909"/>
      <c r="E116" s="905"/>
      <c r="F116" s="465"/>
      <c r="G116" s="922"/>
      <c r="H116" s="460"/>
      <c r="I116" s="981"/>
      <c r="J116" s="460"/>
      <c r="K116" s="981"/>
      <c r="L116" s="460"/>
      <c r="M116" s="922"/>
      <c r="N116" s="460"/>
    </row>
    <row r="117" spans="1:14">
      <c r="A117" s="906"/>
      <c r="B117" s="907"/>
      <c r="C117" s="908"/>
      <c r="D117" s="909"/>
      <c r="E117" s="905"/>
      <c r="F117" s="465"/>
      <c r="G117" s="922"/>
      <c r="H117" s="460"/>
      <c r="I117" s="981"/>
      <c r="J117" s="460"/>
      <c r="K117" s="981"/>
      <c r="L117" s="460"/>
      <c r="M117" s="922"/>
      <c r="N117" s="460"/>
    </row>
    <row r="118" spans="1:14">
      <c r="A118" s="906"/>
      <c r="B118" s="907"/>
      <c r="C118" s="908"/>
      <c r="D118" s="909"/>
      <c r="E118" s="905"/>
      <c r="F118" s="465"/>
      <c r="G118" s="922"/>
      <c r="H118" s="460"/>
      <c r="I118" s="981"/>
      <c r="J118" s="460"/>
      <c r="K118" s="981"/>
      <c r="L118" s="460"/>
      <c r="M118" s="922"/>
      <c r="N118" s="460"/>
    </row>
    <row r="119" spans="1:14">
      <c r="A119" s="906"/>
      <c r="B119" s="907"/>
      <c r="C119" s="908"/>
      <c r="D119" s="909"/>
      <c r="E119" s="905"/>
      <c r="F119" s="465"/>
      <c r="G119" s="922"/>
      <c r="H119" s="460"/>
      <c r="I119" s="981"/>
      <c r="J119" s="460"/>
      <c r="K119" s="981"/>
      <c r="L119" s="460"/>
      <c r="M119" s="922"/>
      <c r="N119" s="460"/>
    </row>
    <row r="120" spans="1:14">
      <c r="A120" s="906"/>
      <c r="B120" s="907"/>
      <c r="C120" s="908"/>
      <c r="D120" s="909"/>
      <c r="E120" s="905"/>
      <c r="F120" s="465"/>
      <c r="G120" s="922"/>
      <c r="H120" s="460"/>
      <c r="I120" s="981"/>
      <c r="J120" s="460"/>
      <c r="K120" s="981"/>
      <c r="L120" s="460"/>
      <c r="M120" s="922"/>
      <c r="N120" s="460"/>
    </row>
    <row r="121" spans="1:14">
      <c r="A121" s="906"/>
      <c r="B121" s="907"/>
      <c r="C121" s="908"/>
      <c r="D121" s="909"/>
      <c r="E121" s="905"/>
      <c r="F121" s="465"/>
      <c r="G121" s="922"/>
      <c r="H121" s="460"/>
      <c r="I121" s="981"/>
      <c r="J121" s="460"/>
      <c r="K121" s="981"/>
      <c r="L121" s="460"/>
      <c r="M121" s="922"/>
      <c r="N121" s="460"/>
    </row>
    <row r="122" spans="1:14">
      <c r="A122" s="906"/>
      <c r="B122" s="907"/>
      <c r="C122" s="908"/>
      <c r="D122" s="909"/>
      <c r="E122" s="905"/>
      <c r="F122" s="465"/>
      <c r="G122" s="922"/>
      <c r="H122" s="460"/>
      <c r="I122" s="981"/>
      <c r="J122" s="460"/>
      <c r="K122" s="981"/>
      <c r="L122" s="460"/>
      <c r="M122" s="922"/>
      <c r="N122" s="460"/>
    </row>
    <row r="123" spans="1:14">
      <c r="A123" s="906"/>
      <c r="B123" s="907"/>
      <c r="C123" s="908"/>
      <c r="D123" s="909"/>
      <c r="E123" s="905"/>
      <c r="F123" s="465"/>
      <c r="G123" s="922"/>
      <c r="H123" s="460"/>
      <c r="I123" s="981"/>
      <c r="J123" s="460"/>
      <c r="K123" s="981"/>
      <c r="L123" s="460"/>
      <c r="M123" s="922"/>
      <c r="N123" s="460"/>
    </row>
    <row r="124" spans="1:14">
      <c r="A124" s="906"/>
      <c r="B124" s="907"/>
      <c r="C124" s="908"/>
      <c r="D124" s="909"/>
      <c r="E124" s="905"/>
      <c r="F124" s="465"/>
      <c r="G124" s="922"/>
      <c r="H124" s="460"/>
      <c r="I124" s="981"/>
      <c r="J124" s="460"/>
      <c r="K124" s="981"/>
      <c r="L124" s="460"/>
      <c r="M124" s="922"/>
      <c r="N124" s="460"/>
    </row>
    <row r="125" spans="1:14">
      <c r="A125" s="906"/>
      <c r="B125" s="907"/>
      <c r="C125" s="908"/>
      <c r="D125" s="909"/>
      <c r="E125" s="905"/>
      <c r="F125" s="465"/>
      <c r="G125" s="922"/>
      <c r="H125" s="460"/>
      <c r="I125" s="981"/>
      <c r="J125" s="460"/>
      <c r="K125" s="981"/>
      <c r="L125" s="460"/>
      <c r="M125" s="922"/>
      <c r="N125" s="460"/>
    </row>
    <row r="126" spans="1:14">
      <c r="A126" s="906"/>
      <c r="B126" s="907"/>
      <c r="C126" s="908"/>
      <c r="D126" s="909"/>
      <c r="E126" s="905"/>
      <c r="F126" s="465"/>
      <c r="G126" s="922"/>
      <c r="H126" s="460"/>
      <c r="I126" s="981"/>
      <c r="J126" s="460"/>
      <c r="K126" s="981"/>
      <c r="L126" s="460"/>
      <c r="M126" s="922"/>
      <c r="N126" s="460"/>
    </row>
    <row r="127" spans="1:14">
      <c r="A127" s="906"/>
      <c r="B127" s="907"/>
      <c r="C127" s="908"/>
      <c r="D127" s="909"/>
      <c r="E127" s="905"/>
      <c r="F127" s="465"/>
      <c r="G127" s="922"/>
      <c r="H127" s="460"/>
      <c r="I127" s="981"/>
      <c r="J127" s="460"/>
      <c r="K127" s="981"/>
      <c r="L127" s="460"/>
      <c r="M127" s="922"/>
      <c r="N127" s="460"/>
    </row>
    <row r="128" spans="1:14">
      <c r="A128" s="906"/>
      <c r="B128" s="907"/>
      <c r="C128" s="908"/>
      <c r="D128" s="909"/>
      <c r="E128" s="905"/>
      <c r="F128" s="465"/>
      <c r="G128" s="922"/>
      <c r="H128" s="460"/>
      <c r="I128" s="981"/>
      <c r="J128" s="460"/>
      <c r="K128" s="981"/>
      <c r="L128" s="460"/>
      <c r="M128" s="922"/>
      <c r="N128" s="460"/>
    </row>
    <row r="129" spans="1:14">
      <c r="A129" s="906"/>
      <c r="B129" s="907"/>
      <c r="C129" s="908"/>
      <c r="D129" s="909"/>
      <c r="E129" s="905"/>
      <c r="F129" s="465"/>
      <c r="G129" s="922"/>
      <c r="H129" s="460"/>
      <c r="I129" s="981"/>
      <c r="J129" s="460"/>
      <c r="K129" s="981"/>
      <c r="L129" s="460"/>
      <c r="M129" s="922"/>
      <c r="N129" s="460"/>
    </row>
    <row r="130" spans="1:14">
      <c r="A130" s="906"/>
      <c r="B130" s="907"/>
      <c r="C130" s="908"/>
      <c r="D130" s="909"/>
      <c r="E130" s="905"/>
      <c r="F130" s="465"/>
      <c r="G130" s="922"/>
      <c r="H130" s="460"/>
      <c r="I130" s="981"/>
      <c r="J130" s="460"/>
      <c r="K130" s="981"/>
      <c r="L130" s="460"/>
      <c r="M130" s="922"/>
      <c r="N130" s="460"/>
    </row>
    <row r="131" spans="1:14">
      <c r="A131" s="906"/>
      <c r="B131" s="907"/>
      <c r="C131" s="908"/>
      <c r="D131" s="909"/>
      <c r="E131" s="905"/>
      <c r="F131" s="465"/>
      <c r="G131" s="922"/>
      <c r="H131" s="460"/>
      <c r="I131" s="981"/>
      <c r="J131" s="460"/>
      <c r="K131" s="981"/>
      <c r="L131" s="460"/>
      <c r="M131" s="922"/>
      <c r="N131" s="460"/>
    </row>
    <row r="132" spans="1:14">
      <c r="A132" s="906"/>
      <c r="B132" s="907"/>
      <c r="C132" s="908"/>
      <c r="D132" s="909"/>
      <c r="E132" s="905"/>
      <c r="F132" s="465"/>
      <c r="G132" s="922"/>
      <c r="H132" s="460"/>
      <c r="I132" s="981"/>
      <c r="J132" s="460"/>
      <c r="K132" s="981"/>
      <c r="L132" s="460"/>
      <c r="M132" s="922"/>
      <c r="N132" s="460"/>
    </row>
    <row r="133" spans="1:14">
      <c r="A133" s="906"/>
      <c r="B133" s="907"/>
      <c r="C133" s="908"/>
      <c r="D133" s="909"/>
      <c r="E133" s="905"/>
      <c r="F133" s="465"/>
      <c r="G133" s="922"/>
      <c r="H133" s="460"/>
      <c r="I133" s="981"/>
      <c r="J133" s="460"/>
      <c r="K133" s="981"/>
      <c r="L133" s="460"/>
      <c r="M133" s="922"/>
      <c r="N133" s="460"/>
    </row>
    <row r="134" spans="1:14">
      <c r="A134" s="906"/>
      <c r="B134" s="907"/>
      <c r="C134" s="908"/>
      <c r="D134" s="909"/>
      <c r="E134" s="905"/>
      <c r="F134" s="465"/>
      <c r="G134" s="922"/>
      <c r="H134" s="460"/>
      <c r="I134" s="981"/>
      <c r="J134" s="460"/>
      <c r="K134" s="981"/>
      <c r="L134" s="460"/>
      <c r="M134" s="922"/>
      <c r="N134" s="460"/>
    </row>
    <row r="135" spans="1:14">
      <c r="A135" s="906"/>
      <c r="B135" s="907"/>
      <c r="C135" s="908"/>
      <c r="D135" s="909"/>
      <c r="E135" s="905"/>
      <c r="F135" s="465"/>
      <c r="G135" s="922"/>
      <c r="H135" s="460"/>
      <c r="I135" s="981"/>
      <c r="J135" s="460"/>
      <c r="K135" s="981"/>
      <c r="L135" s="460"/>
      <c r="M135" s="922"/>
      <c r="N135" s="460"/>
    </row>
    <row r="136" spans="1:14">
      <c r="A136" s="906"/>
      <c r="B136" s="907"/>
      <c r="C136" s="908"/>
      <c r="D136" s="909"/>
      <c r="E136" s="905"/>
      <c r="F136" s="465"/>
      <c r="G136" s="922"/>
      <c r="H136" s="460"/>
      <c r="I136" s="981"/>
      <c r="J136" s="460"/>
      <c r="K136" s="981"/>
      <c r="L136" s="460"/>
      <c r="M136" s="922"/>
      <c r="N136" s="460"/>
    </row>
    <row r="137" spans="1:14">
      <c r="A137" s="906"/>
      <c r="B137" s="907"/>
      <c r="C137" s="908"/>
      <c r="D137" s="909"/>
      <c r="E137" s="905"/>
      <c r="F137" s="465"/>
      <c r="G137" s="922"/>
      <c r="H137" s="460"/>
      <c r="I137" s="981"/>
      <c r="J137" s="460"/>
      <c r="K137" s="981"/>
      <c r="L137" s="460"/>
      <c r="M137" s="922"/>
      <c r="N137" s="460"/>
    </row>
    <row r="138" spans="1:14">
      <c r="A138" s="906"/>
      <c r="B138" s="907"/>
      <c r="C138" s="908"/>
      <c r="D138" s="909"/>
      <c r="E138" s="905"/>
      <c r="F138" s="465"/>
      <c r="G138" s="922"/>
      <c r="H138" s="460"/>
      <c r="I138" s="981"/>
      <c r="J138" s="460"/>
      <c r="K138" s="981"/>
      <c r="L138" s="460"/>
      <c r="M138" s="922"/>
      <c r="N138" s="460"/>
    </row>
    <row r="139" spans="1:14">
      <c r="A139" s="906"/>
      <c r="B139" s="907"/>
      <c r="C139" s="908"/>
      <c r="D139" s="909"/>
      <c r="E139" s="905"/>
      <c r="F139" s="465"/>
      <c r="G139" s="922"/>
      <c r="H139" s="460"/>
      <c r="I139" s="981"/>
      <c r="J139" s="460"/>
      <c r="K139" s="981"/>
      <c r="L139" s="460"/>
      <c r="M139" s="922"/>
      <c r="N139" s="460"/>
    </row>
    <row r="140" spans="1:14">
      <c r="A140" s="906"/>
      <c r="B140" s="907"/>
      <c r="C140" s="908"/>
      <c r="D140" s="909"/>
      <c r="E140" s="905"/>
      <c r="F140" s="465"/>
      <c r="G140" s="922"/>
      <c r="H140" s="460"/>
      <c r="I140" s="981"/>
      <c r="J140" s="460"/>
      <c r="K140" s="981"/>
      <c r="L140" s="460"/>
      <c r="M140" s="922"/>
      <c r="N140" s="460"/>
    </row>
    <row r="141" spans="1:14">
      <c r="A141" s="906"/>
      <c r="B141" s="907"/>
      <c r="C141" s="908"/>
      <c r="D141" s="909"/>
      <c r="E141" s="905"/>
      <c r="F141" s="465"/>
      <c r="G141" s="922"/>
      <c r="H141" s="460"/>
      <c r="I141" s="981"/>
      <c r="J141" s="460"/>
      <c r="K141" s="981"/>
      <c r="L141" s="460"/>
      <c r="M141" s="922"/>
      <c r="N141" s="460"/>
    </row>
    <row r="142" spans="1:14">
      <c r="A142" s="906"/>
      <c r="B142" s="907"/>
      <c r="C142" s="908"/>
      <c r="D142" s="909"/>
      <c r="E142" s="905"/>
      <c r="F142" s="465"/>
      <c r="G142" s="922"/>
      <c r="H142" s="460"/>
      <c r="I142" s="981"/>
      <c r="J142" s="460"/>
      <c r="K142" s="981"/>
      <c r="L142" s="460"/>
      <c r="M142" s="922"/>
      <c r="N142" s="460"/>
    </row>
    <row r="143" spans="1:14">
      <c r="A143" s="906"/>
      <c r="B143" s="907"/>
      <c r="C143" s="908"/>
      <c r="D143" s="909"/>
      <c r="E143" s="905"/>
      <c r="F143" s="465"/>
      <c r="G143" s="922"/>
      <c r="H143" s="460"/>
      <c r="I143" s="981"/>
      <c r="J143" s="460"/>
      <c r="K143" s="981"/>
      <c r="L143" s="460"/>
      <c r="M143" s="922"/>
      <c r="N143" s="460"/>
    </row>
    <row r="144" spans="1:14">
      <c r="A144" s="906"/>
      <c r="B144" s="907"/>
      <c r="C144" s="908"/>
      <c r="D144" s="909"/>
      <c r="E144" s="905"/>
      <c r="F144" s="465"/>
      <c r="G144" s="922"/>
      <c r="H144" s="460"/>
      <c r="I144" s="981"/>
      <c r="J144" s="460"/>
      <c r="K144" s="981"/>
      <c r="L144" s="460"/>
      <c r="M144" s="922"/>
      <c r="N144" s="460"/>
    </row>
    <row r="145" spans="1:14">
      <c r="A145" s="906"/>
      <c r="B145" s="907"/>
      <c r="C145" s="908"/>
      <c r="D145" s="909"/>
      <c r="E145" s="905"/>
      <c r="F145" s="465"/>
      <c r="G145" s="922"/>
      <c r="H145" s="460"/>
      <c r="I145" s="981"/>
      <c r="J145" s="460"/>
      <c r="K145" s="981"/>
      <c r="L145" s="460"/>
      <c r="M145" s="922"/>
      <c r="N145" s="460"/>
    </row>
    <row r="146" spans="1:14">
      <c r="A146" s="906"/>
      <c r="B146" s="907"/>
      <c r="C146" s="908"/>
      <c r="D146" s="909"/>
      <c r="E146" s="905"/>
      <c r="F146" s="465"/>
      <c r="G146" s="922"/>
      <c r="H146" s="460"/>
      <c r="I146" s="981"/>
      <c r="J146" s="460"/>
      <c r="K146" s="981"/>
      <c r="L146" s="460"/>
      <c r="M146" s="922"/>
      <c r="N146" s="460"/>
    </row>
    <row r="147" spans="1:14">
      <c r="A147" s="906"/>
      <c r="B147" s="907"/>
      <c r="C147" s="908"/>
      <c r="D147" s="909"/>
      <c r="E147" s="905"/>
      <c r="F147" s="465"/>
      <c r="G147" s="922"/>
      <c r="H147" s="460"/>
      <c r="I147" s="981"/>
      <c r="J147" s="460"/>
      <c r="K147" s="981"/>
      <c r="L147" s="460"/>
      <c r="M147" s="922"/>
      <c r="N147" s="460"/>
    </row>
    <row r="148" spans="1:14">
      <c r="A148" s="906"/>
      <c r="B148" s="907"/>
      <c r="C148" s="908"/>
      <c r="D148" s="909"/>
      <c r="E148" s="905"/>
      <c r="F148" s="465"/>
      <c r="G148" s="922"/>
      <c r="H148" s="460"/>
      <c r="I148" s="981"/>
      <c r="J148" s="460"/>
      <c r="K148" s="981"/>
      <c r="L148" s="460"/>
      <c r="M148" s="922"/>
      <c r="N148" s="460"/>
    </row>
    <row r="149" spans="1:14">
      <c r="A149" s="906"/>
      <c r="B149" s="907"/>
      <c r="C149" s="908"/>
      <c r="D149" s="909"/>
      <c r="E149" s="905"/>
      <c r="F149" s="465"/>
      <c r="G149" s="922"/>
      <c r="H149" s="460"/>
      <c r="I149" s="981"/>
      <c r="J149" s="460"/>
      <c r="K149" s="981"/>
      <c r="L149" s="460"/>
      <c r="M149" s="922"/>
      <c r="N149" s="460"/>
    </row>
    <row r="150" spans="1:14">
      <c r="A150" s="906"/>
      <c r="B150" s="907"/>
      <c r="C150" s="908"/>
      <c r="D150" s="909"/>
      <c r="E150" s="905"/>
      <c r="F150" s="465"/>
      <c r="G150" s="922"/>
      <c r="H150" s="460"/>
      <c r="I150" s="981"/>
      <c r="J150" s="460"/>
      <c r="K150" s="981"/>
      <c r="L150" s="460"/>
      <c r="M150" s="922"/>
      <c r="N150" s="460"/>
    </row>
    <row r="151" spans="1:14">
      <c r="A151" s="906"/>
      <c r="B151" s="907"/>
      <c r="C151" s="908"/>
      <c r="D151" s="909"/>
      <c r="E151" s="905"/>
      <c r="F151" s="465"/>
      <c r="G151" s="922"/>
      <c r="H151" s="460"/>
      <c r="I151" s="981"/>
      <c r="J151" s="460"/>
      <c r="K151" s="981"/>
      <c r="L151" s="460"/>
      <c r="M151" s="922"/>
      <c r="N151" s="460"/>
    </row>
    <row r="152" spans="1:14">
      <c r="A152" s="906"/>
      <c r="B152" s="907"/>
      <c r="C152" s="908"/>
      <c r="D152" s="909"/>
      <c r="E152" s="905"/>
      <c r="F152" s="465"/>
      <c r="G152" s="922"/>
      <c r="H152" s="460"/>
      <c r="I152" s="981"/>
      <c r="J152" s="460"/>
      <c r="K152" s="981"/>
      <c r="L152" s="460"/>
      <c r="M152" s="922"/>
      <c r="N152" s="460"/>
    </row>
    <row r="153" spans="1:14">
      <c r="A153" s="906"/>
      <c r="B153" s="907"/>
      <c r="C153" s="908"/>
      <c r="D153" s="909"/>
      <c r="E153" s="905"/>
      <c r="F153" s="465"/>
      <c r="G153" s="922"/>
      <c r="H153" s="460"/>
      <c r="I153" s="981"/>
      <c r="J153" s="460"/>
      <c r="K153" s="981"/>
      <c r="L153" s="460"/>
      <c r="M153" s="922"/>
      <c r="N153" s="460"/>
    </row>
    <row r="154" spans="1:14">
      <c r="A154" s="906"/>
      <c r="B154" s="907"/>
      <c r="C154" s="908"/>
      <c r="D154" s="909"/>
      <c r="E154" s="905"/>
      <c r="F154" s="465"/>
      <c r="G154" s="922"/>
      <c r="H154" s="460"/>
      <c r="I154" s="981"/>
      <c r="J154" s="460"/>
      <c r="K154" s="981"/>
      <c r="L154" s="460"/>
      <c r="M154" s="922"/>
      <c r="N154" s="460"/>
    </row>
    <row r="155" spans="1:14">
      <c r="A155" s="906"/>
      <c r="B155" s="907"/>
      <c r="C155" s="908"/>
      <c r="D155" s="909"/>
      <c r="E155" s="905"/>
      <c r="F155" s="465"/>
      <c r="G155" s="922"/>
      <c r="H155" s="460"/>
      <c r="I155" s="981"/>
      <c r="J155" s="460"/>
      <c r="K155" s="981"/>
      <c r="L155" s="460"/>
      <c r="M155" s="922"/>
      <c r="N155" s="460"/>
    </row>
    <row r="156" spans="1:14">
      <c r="A156" s="906"/>
      <c r="B156" s="907"/>
      <c r="C156" s="908"/>
      <c r="D156" s="909"/>
      <c r="E156" s="905"/>
      <c r="F156" s="465"/>
      <c r="G156" s="922"/>
      <c r="H156" s="460"/>
      <c r="I156" s="981"/>
      <c r="J156" s="460"/>
      <c r="K156" s="981"/>
      <c r="L156" s="460"/>
      <c r="M156" s="922"/>
      <c r="N156" s="460"/>
    </row>
    <row r="157" spans="1:14">
      <c r="A157" s="906"/>
      <c r="B157" s="907"/>
      <c r="C157" s="908"/>
      <c r="D157" s="909"/>
      <c r="E157" s="905"/>
      <c r="F157" s="465"/>
      <c r="G157" s="922"/>
      <c r="H157" s="460"/>
      <c r="I157" s="981"/>
      <c r="J157" s="460"/>
      <c r="K157" s="981"/>
      <c r="L157" s="460"/>
      <c r="M157" s="922"/>
      <c r="N157" s="460"/>
    </row>
    <row r="158" spans="1:14">
      <c r="A158" s="906"/>
      <c r="B158" s="907"/>
      <c r="C158" s="908"/>
      <c r="D158" s="909"/>
      <c r="E158" s="905"/>
      <c r="F158" s="465"/>
      <c r="G158" s="922"/>
      <c r="H158" s="460"/>
      <c r="I158" s="981"/>
      <c r="J158" s="460"/>
      <c r="K158" s="981"/>
      <c r="L158" s="460"/>
      <c r="M158" s="922"/>
      <c r="N158" s="460"/>
    </row>
    <row r="159" spans="1:14">
      <c r="A159" s="906"/>
      <c r="B159" s="907"/>
      <c r="C159" s="908"/>
      <c r="D159" s="909"/>
      <c r="E159" s="905"/>
      <c r="F159" s="465"/>
      <c r="G159" s="922"/>
      <c r="H159" s="460"/>
      <c r="I159" s="981"/>
      <c r="J159" s="460"/>
      <c r="K159" s="981"/>
      <c r="L159" s="460"/>
      <c r="M159" s="922"/>
      <c r="N159" s="460"/>
    </row>
    <row r="160" spans="1:14">
      <c r="A160" s="906"/>
      <c r="B160" s="907"/>
      <c r="C160" s="908"/>
      <c r="D160" s="909"/>
      <c r="E160" s="905"/>
      <c r="F160" s="465"/>
      <c r="G160" s="922"/>
      <c r="H160" s="460"/>
      <c r="I160" s="981"/>
      <c r="J160" s="460"/>
      <c r="K160" s="981"/>
      <c r="L160" s="460"/>
      <c r="M160" s="922"/>
      <c r="N160" s="460"/>
    </row>
    <row r="161" spans="1:14">
      <c r="A161" s="906"/>
      <c r="B161" s="907"/>
      <c r="C161" s="908"/>
      <c r="D161" s="909"/>
      <c r="E161" s="905"/>
      <c r="F161" s="465"/>
      <c r="G161" s="922"/>
      <c r="H161" s="460"/>
      <c r="I161" s="981"/>
      <c r="J161" s="460"/>
      <c r="K161" s="981"/>
      <c r="L161" s="460"/>
      <c r="M161" s="922"/>
      <c r="N161" s="460"/>
    </row>
    <row r="162" spans="1:14">
      <c r="A162" s="906"/>
      <c r="B162" s="907"/>
      <c r="C162" s="908"/>
      <c r="D162" s="909"/>
      <c r="E162" s="905"/>
      <c r="F162" s="465"/>
      <c r="G162" s="922"/>
      <c r="H162" s="460"/>
      <c r="I162" s="981"/>
      <c r="J162" s="460"/>
      <c r="K162" s="981"/>
      <c r="L162" s="460"/>
      <c r="M162" s="922"/>
      <c r="N162" s="460"/>
    </row>
    <row r="163" spans="1:14">
      <c r="A163" s="906"/>
      <c r="B163" s="907"/>
      <c r="C163" s="908"/>
      <c r="D163" s="909"/>
      <c r="E163" s="905"/>
      <c r="F163" s="465"/>
      <c r="G163" s="922"/>
      <c r="H163" s="460"/>
      <c r="I163" s="981"/>
      <c r="J163" s="460"/>
      <c r="K163" s="981"/>
      <c r="L163" s="460"/>
      <c r="M163" s="922"/>
      <c r="N163" s="460"/>
    </row>
    <row r="164" spans="1:14">
      <c r="A164" s="906"/>
      <c r="B164" s="907"/>
      <c r="C164" s="908"/>
      <c r="D164" s="909"/>
      <c r="E164" s="905"/>
      <c r="F164" s="465"/>
      <c r="G164" s="922"/>
      <c r="H164" s="460"/>
      <c r="I164" s="981"/>
      <c r="J164" s="460"/>
      <c r="K164" s="981"/>
      <c r="L164" s="460"/>
      <c r="M164" s="922"/>
      <c r="N164" s="460"/>
    </row>
    <row r="165" spans="1:14">
      <c r="A165" s="906"/>
      <c r="B165" s="907"/>
      <c r="C165" s="908"/>
      <c r="D165" s="909"/>
      <c r="E165" s="905"/>
      <c r="F165" s="465"/>
      <c r="G165" s="922"/>
      <c r="H165" s="460"/>
      <c r="I165" s="981"/>
      <c r="J165" s="460"/>
      <c r="K165" s="981"/>
      <c r="L165" s="460"/>
      <c r="M165" s="922"/>
      <c r="N165" s="460"/>
    </row>
    <row r="166" spans="1:14">
      <c r="A166" s="906"/>
      <c r="B166" s="907"/>
      <c r="C166" s="908"/>
      <c r="D166" s="909"/>
      <c r="E166" s="905"/>
      <c r="F166" s="465"/>
      <c r="G166" s="922"/>
      <c r="H166" s="460"/>
      <c r="I166" s="981"/>
      <c r="J166" s="460"/>
      <c r="K166" s="981"/>
      <c r="L166" s="460"/>
      <c r="M166" s="922"/>
      <c r="N166" s="460"/>
    </row>
    <row r="167" spans="1:14">
      <c r="A167" s="906"/>
      <c r="B167" s="907"/>
      <c r="C167" s="908"/>
      <c r="D167" s="909"/>
      <c r="E167" s="905"/>
      <c r="F167" s="465"/>
      <c r="G167" s="922"/>
      <c r="H167" s="460"/>
      <c r="I167" s="981"/>
      <c r="J167" s="460"/>
      <c r="K167" s="981"/>
      <c r="L167" s="460"/>
      <c r="M167" s="922"/>
      <c r="N167" s="460"/>
    </row>
    <row r="168" spans="1:14">
      <c r="A168" s="906"/>
      <c r="B168" s="907"/>
      <c r="C168" s="908"/>
      <c r="D168" s="909"/>
      <c r="E168" s="905"/>
      <c r="F168" s="465"/>
      <c r="G168" s="922"/>
      <c r="H168" s="460"/>
      <c r="I168" s="981"/>
      <c r="J168" s="460"/>
      <c r="K168" s="981"/>
      <c r="L168" s="460"/>
      <c r="M168" s="922"/>
      <c r="N168" s="460"/>
    </row>
    <row r="169" spans="1:14">
      <c r="A169" s="906"/>
      <c r="B169" s="907"/>
      <c r="C169" s="908"/>
      <c r="D169" s="909"/>
      <c r="E169" s="905"/>
      <c r="F169" s="465"/>
      <c r="G169" s="922"/>
      <c r="H169" s="460"/>
      <c r="I169" s="981"/>
      <c r="J169" s="460"/>
      <c r="K169" s="981"/>
      <c r="L169" s="460"/>
      <c r="M169" s="922"/>
      <c r="N169" s="460"/>
    </row>
    <row r="170" spans="1:14">
      <c r="A170" s="906"/>
      <c r="B170" s="907"/>
      <c r="C170" s="908"/>
      <c r="D170" s="909"/>
      <c r="E170" s="905"/>
      <c r="F170" s="465"/>
      <c r="G170" s="922"/>
      <c r="H170" s="460"/>
      <c r="I170" s="981"/>
      <c r="J170" s="460"/>
      <c r="K170" s="981"/>
      <c r="L170" s="460"/>
      <c r="M170" s="922"/>
      <c r="N170" s="460"/>
    </row>
    <row r="171" spans="1:14">
      <c r="A171" s="906"/>
      <c r="B171" s="907"/>
      <c r="C171" s="908"/>
      <c r="D171" s="909"/>
      <c r="E171" s="905"/>
      <c r="F171" s="465"/>
      <c r="G171" s="922"/>
      <c r="H171" s="460"/>
      <c r="I171" s="981"/>
      <c r="J171" s="460"/>
      <c r="K171" s="981"/>
      <c r="L171" s="460"/>
      <c r="M171" s="922"/>
      <c r="N171" s="460"/>
    </row>
    <row r="172" spans="1:14">
      <c r="A172" s="906"/>
      <c r="B172" s="907"/>
      <c r="C172" s="908"/>
      <c r="D172" s="909"/>
      <c r="E172" s="905"/>
      <c r="F172" s="465"/>
      <c r="G172" s="922"/>
      <c r="H172" s="460"/>
      <c r="I172" s="981"/>
      <c r="J172" s="460"/>
      <c r="K172" s="981"/>
      <c r="L172" s="460"/>
      <c r="M172" s="922"/>
      <c r="N172" s="460"/>
    </row>
    <row r="173" spans="1:14">
      <c r="A173" s="906"/>
      <c r="B173" s="907"/>
      <c r="C173" s="908"/>
      <c r="D173" s="909"/>
      <c r="E173" s="905"/>
      <c r="F173" s="465"/>
      <c r="G173" s="922"/>
      <c r="H173" s="460"/>
      <c r="I173" s="981"/>
      <c r="J173" s="460"/>
      <c r="K173" s="981"/>
      <c r="L173" s="460"/>
      <c r="M173" s="922"/>
      <c r="N173" s="460"/>
    </row>
    <row r="174" spans="1:14">
      <c r="A174" s="906"/>
      <c r="B174" s="907"/>
      <c r="C174" s="908"/>
      <c r="D174" s="909"/>
      <c r="E174" s="905"/>
      <c r="F174" s="465"/>
      <c r="G174" s="922"/>
      <c r="H174" s="460"/>
      <c r="I174" s="981"/>
      <c r="J174" s="460"/>
      <c r="K174" s="981"/>
      <c r="L174" s="460"/>
      <c r="M174" s="922"/>
      <c r="N174" s="460"/>
    </row>
    <row r="175" spans="1:14">
      <c r="A175" s="906"/>
      <c r="B175" s="907"/>
      <c r="C175" s="908"/>
      <c r="D175" s="909"/>
      <c r="E175" s="905"/>
      <c r="F175" s="465"/>
      <c r="G175" s="922"/>
      <c r="H175" s="460"/>
      <c r="I175" s="981"/>
      <c r="J175" s="460"/>
      <c r="K175" s="981"/>
      <c r="L175" s="460"/>
      <c r="M175" s="922"/>
      <c r="N175" s="460"/>
    </row>
    <row r="176" spans="1:14">
      <c r="A176" s="906"/>
      <c r="B176" s="907"/>
      <c r="C176" s="908"/>
      <c r="D176" s="909"/>
      <c r="E176" s="905"/>
      <c r="F176" s="465"/>
      <c r="G176" s="922"/>
      <c r="H176" s="460"/>
      <c r="I176" s="981"/>
      <c r="J176" s="460"/>
      <c r="K176" s="981"/>
      <c r="L176" s="460"/>
      <c r="M176" s="922"/>
      <c r="N176" s="460"/>
    </row>
    <row r="177" spans="1:14">
      <c r="A177" s="906"/>
      <c r="B177" s="907"/>
      <c r="C177" s="908"/>
      <c r="D177" s="909"/>
      <c r="E177" s="905"/>
      <c r="F177" s="465"/>
      <c r="G177" s="922"/>
      <c r="H177" s="460"/>
      <c r="I177" s="981"/>
      <c r="J177" s="460"/>
      <c r="K177" s="981"/>
      <c r="L177" s="460"/>
      <c r="M177" s="922"/>
      <c r="N177" s="460"/>
    </row>
    <row r="178" spans="1:14">
      <c r="A178" s="906"/>
      <c r="B178" s="907"/>
      <c r="C178" s="908"/>
      <c r="D178" s="909"/>
      <c r="E178" s="905"/>
      <c r="F178" s="465"/>
      <c r="G178" s="922"/>
      <c r="H178" s="460"/>
      <c r="I178" s="981"/>
      <c r="J178" s="460"/>
      <c r="K178" s="981"/>
      <c r="L178" s="460"/>
      <c r="M178" s="922"/>
      <c r="N178" s="460"/>
    </row>
    <row r="179" spans="1:14">
      <c r="A179" s="906"/>
      <c r="B179" s="907"/>
      <c r="C179" s="908"/>
      <c r="D179" s="909"/>
      <c r="E179" s="905"/>
      <c r="F179" s="465"/>
      <c r="G179" s="922"/>
      <c r="H179" s="460"/>
      <c r="I179" s="981"/>
      <c r="J179" s="460"/>
      <c r="K179" s="981"/>
      <c r="L179" s="460"/>
      <c r="M179" s="922"/>
      <c r="N179" s="460"/>
    </row>
    <row r="180" spans="1:14">
      <c r="A180" s="906"/>
      <c r="B180" s="907"/>
      <c r="C180" s="908"/>
      <c r="D180" s="909"/>
      <c r="E180" s="905"/>
      <c r="F180" s="465"/>
      <c r="G180" s="922"/>
      <c r="H180" s="460"/>
      <c r="I180" s="981"/>
      <c r="J180" s="460"/>
      <c r="K180" s="981"/>
      <c r="L180" s="460"/>
      <c r="M180" s="922"/>
      <c r="N180" s="460"/>
    </row>
    <row r="181" spans="1:14">
      <c r="A181" s="906"/>
      <c r="B181" s="907"/>
      <c r="C181" s="908"/>
      <c r="D181" s="909"/>
      <c r="E181" s="905"/>
      <c r="F181" s="465"/>
      <c r="G181" s="922"/>
      <c r="H181" s="460"/>
      <c r="I181" s="981"/>
      <c r="J181" s="460"/>
      <c r="K181" s="981"/>
      <c r="L181" s="460"/>
      <c r="M181" s="922"/>
      <c r="N181" s="460"/>
    </row>
    <row r="182" spans="1:14">
      <c r="A182" s="906"/>
      <c r="B182" s="907"/>
      <c r="C182" s="908"/>
      <c r="D182" s="909"/>
      <c r="E182" s="905"/>
      <c r="F182" s="465"/>
      <c r="G182" s="922"/>
      <c r="H182" s="460"/>
      <c r="I182" s="981"/>
      <c r="J182" s="460"/>
      <c r="K182" s="981"/>
      <c r="L182" s="460"/>
      <c r="M182" s="922"/>
      <c r="N182" s="460"/>
    </row>
    <row r="183" spans="1:14">
      <c r="A183" s="906"/>
      <c r="B183" s="907"/>
      <c r="C183" s="908"/>
      <c r="D183" s="909"/>
      <c r="E183" s="905"/>
      <c r="F183" s="465"/>
      <c r="G183" s="922"/>
      <c r="H183" s="460"/>
      <c r="I183" s="981"/>
      <c r="J183" s="460"/>
      <c r="K183" s="981"/>
      <c r="L183" s="460"/>
      <c r="M183" s="922"/>
      <c r="N183" s="460"/>
    </row>
    <row r="184" spans="1:14">
      <c r="A184" s="906"/>
      <c r="B184" s="907"/>
      <c r="C184" s="908"/>
      <c r="D184" s="909"/>
      <c r="E184" s="905"/>
      <c r="F184" s="465"/>
      <c r="G184" s="922"/>
      <c r="H184" s="460"/>
      <c r="I184" s="981"/>
      <c r="J184" s="460"/>
      <c r="K184" s="981"/>
      <c r="L184" s="460"/>
      <c r="M184" s="922"/>
      <c r="N184" s="460"/>
    </row>
    <row r="185" spans="1:14">
      <c r="A185" s="906"/>
      <c r="B185" s="907"/>
      <c r="C185" s="908"/>
      <c r="D185" s="909"/>
      <c r="E185" s="905"/>
      <c r="F185" s="465"/>
      <c r="G185" s="922"/>
      <c r="H185" s="460"/>
      <c r="I185" s="981"/>
      <c r="J185" s="460"/>
      <c r="K185" s="981"/>
      <c r="L185" s="460"/>
      <c r="M185" s="922"/>
      <c r="N185" s="460"/>
    </row>
    <row r="186" spans="1:14">
      <c r="A186" s="906"/>
      <c r="B186" s="907"/>
      <c r="C186" s="908"/>
      <c r="D186" s="909"/>
      <c r="E186" s="905"/>
      <c r="F186" s="465"/>
      <c r="G186" s="922"/>
      <c r="H186" s="460"/>
      <c r="I186" s="981"/>
      <c r="J186" s="460"/>
      <c r="K186" s="981"/>
      <c r="L186" s="460"/>
      <c r="M186" s="922"/>
      <c r="N186" s="460"/>
    </row>
    <row r="187" spans="1:14">
      <c r="A187" s="906"/>
      <c r="B187" s="907"/>
      <c r="C187" s="908"/>
      <c r="D187" s="909"/>
      <c r="E187" s="905"/>
      <c r="F187" s="465"/>
      <c r="G187" s="922"/>
      <c r="H187" s="460"/>
      <c r="I187" s="981"/>
      <c r="J187" s="460"/>
      <c r="K187" s="981"/>
      <c r="L187" s="460"/>
      <c r="M187" s="922"/>
      <c r="N187" s="460"/>
    </row>
    <row r="188" spans="1:14">
      <c r="A188" s="906"/>
      <c r="B188" s="907"/>
      <c r="C188" s="908"/>
      <c r="D188" s="909"/>
      <c r="E188" s="905"/>
      <c r="F188" s="465"/>
      <c r="G188" s="922"/>
      <c r="H188" s="460"/>
      <c r="I188" s="981"/>
      <c r="J188" s="460"/>
      <c r="K188" s="981"/>
      <c r="L188" s="460"/>
      <c r="M188" s="922"/>
      <c r="N188" s="460"/>
    </row>
    <row r="189" spans="1:14">
      <c r="A189" s="906"/>
      <c r="B189" s="907"/>
      <c r="C189" s="908"/>
      <c r="D189" s="909"/>
      <c r="E189" s="905"/>
      <c r="F189" s="465"/>
      <c r="G189" s="922"/>
      <c r="H189" s="460"/>
      <c r="I189" s="981"/>
      <c r="J189" s="460"/>
      <c r="K189" s="981"/>
      <c r="L189" s="460"/>
      <c r="M189" s="922"/>
      <c r="N189" s="460"/>
    </row>
    <row r="190" spans="1:14">
      <c r="A190" s="906"/>
      <c r="B190" s="907"/>
      <c r="C190" s="908"/>
      <c r="D190" s="909"/>
      <c r="E190" s="905"/>
      <c r="F190" s="465"/>
      <c r="G190" s="922"/>
      <c r="H190" s="460"/>
      <c r="I190" s="981"/>
      <c r="J190" s="460"/>
      <c r="K190" s="981"/>
      <c r="L190" s="460"/>
      <c r="M190" s="922"/>
      <c r="N190" s="460"/>
    </row>
    <row r="191" spans="1:14">
      <c r="A191" s="906"/>
      <c r="B191" s="907"/>
      <c r="C191" s="908"/>
      <c r="D191" s="909"/>
      <c r="E191" s="905"/>
      <c r="F191" s="465"/>
      <c r="G191" s="922"/>
      <c r="H191" s="460"/>
      <c r="I191" s="981"/>
      <c r="J191" s="460"/>
      <c r="K191" s="981"/>
      <c r="L191" s="460"/>
      <c r="M191" s="922"/>
      <c r="N191" s="460"/>
    </row>
    <row r="192" spans="1:14">
      <c r="A192" s="906"/>
      <c r="B192" s="907"/>
      <c r="C192" s="908"/>
      <c r="D192" s="909"/>
      <c r="E192" s="905"/>
      <c r="F192" s="465"/>
      <c r="G192" s="922"/>
      <c r="H192" s="460"/>
      <c r="I192" s="981"/>
      <c r="J192" s="460"/>
      <c r="K192" s="981"/>
      <c r="L192" s="460"/>
      <c r="M192" s="922"/>
      <c r="N192" s="460"/>
    </row>
    <row r="193" spans="1:14">
      <c r="A193" s="906"/>
      <c r="B193" s="907"/>
      <c r="C193" s="908"/>
      <c r="D193" s="909"/>
      <c r="E193" s="905"/>
      <c r="F193" s="465"/>
      <c r="G193" s="922"/>
      <c r="H193" s="460"/>
      <c r="I193" s="981"/>
      <c r="J193" s="460"/>
      <c r="K193" s="981"/>
      <c r="L193" s="460"/>
      <c r="M193" s="922"/>
      <c r="N193" s="460"/>
    </row>
    <row r="194" spans="1:14">
      <c r="A194" s="906"/>
      <c r="B194" s="907"/>
      <c r="C194" s="908"/>
      <c r="D194" s="909"/>
      <c r="E194" s="905"/>
      <c r="F194" s="465"/>
      <c r="G194" s="922"/>
      <c r="H194" s="460"/>
      <c r="I194" s="981"/>
      <c r="J194" s="460"/>
      <c r="K194" s="981"/>
      <c r="L194" s="460"/>
      <c r="M194" s="922"/>
      <c r="N194" s="460"/>
    </row>
    <row r="195" spans="1:14">
      <c r="A195" s="906"/>
      <c r="B195" s="907"/>
      <c r="C195" s="908"/>
      <c r="D195" s="909"/>
      <c r="E195" s="905"/>
      <c r="F195" s="465"/>
      <c r="G195" s="922"/>
      <c r="H195" s="460"/>
      <c r="I195" s="981"/>
      <c r="J195" s="460"/>
      <c r="K195" s="981"/>
      <c r="L195" s="460"/>
      <c r="M195" s="922"/>
      <c r="N195" s="460"/>
    </row>
    <row r="196" spans="1:14">
      <c r="A196" s="906"/>
      <c r="B196" s="907"/>
      <c r="C196" s="908"/>
      <c r="D196" s="909"/>
      <c r="E196" s="905"/>
      <c r="F196" s="465"/>
      <c r="G196" s="922"/>
      <c r="H196" s="460"/>
      <c r="I196" s="981"/>
      <c r="J196" s="460"/>
      <c r="K196" s="981"/>
      <c r="L196" s="460"/>
      <c r="M196" s="922"/>
      <c r="N196" s="460"/>
    </row>
    <row r="197" spans="1:14">
      <c r="A197" s="906"/>
      <c r="B197" s="907"/>
      <c r="C197" s="908"/>
      <c r="D197" s="909"/>
      <c r="E197" s="905"/>
      <c r="F197" s="465"/>
      <c r="G197" s="922"/>
      <c r="H197" s="460"/>
      <c r="I197" s="981"/>
      <c r="J197" s="460"/>
      <c r="K197" s="981"/>
      <c r="L197" s="460"/>
      <c r="M197" s="922"/>
      <c r="N197" s="460"/>
    </row>
    <row r="198" spans="1:14">
      <c r="A198" s="906"/>
      <c r="B198" s="907"/>
      <c r="C198" s="908"/>
      <c r="D198" s="909"/>
      <c r="E198" s="905"/>
      <c r="F198" s="465"/>
      <c r="G198" s="922"/>
      <c r="H198" s="460"/>
      <c r="I198" s="981"/>
      <c r="J198" s="460"/>
      <c r="K198" s="981"/>
      <c r="L198" s="460"/>
      <c r="M198" s="922"/>
      <c r="N198" s="460"/>
    </row>
    <row r="199" spans="1:14">
      <c r="A199" s="906"/>
      <c r="B199" s="907"/>
      <c r="C199" s="908"/>
      <c r="D199" s="909"/>
      <c r="E199" s="905"/>
      <c r="F199" s="465"/>
      <c r="G199" s="922"/>
      <c r="H199" s="460"/>
      <c r="I199" s="981"/>
      <c r="J199" s="460"/>
      <c r="K199" s="981"/>
      <c r="L199" s="460"/>
      <c r="M199" s="922"/>
      <c r="N199" s="460"/>
    </row>
    <row r="200" spans="1:14">
      <c r="A200" s="906"/>
      <c r="B200" s="907"/>
      <c r="C200" s="908"/>
      <c r="D200" s="909"/>
      <c r="E200" s="905"/>
      <c r="F200" s="465"/>
      <c r="G200" s="922"/>
      <c r="H200" s="460"/>
      <c r="I200" s="981"/>
      <c r="J200" s="460"/>
      <c r="K200" s="981"/>
      <c r="L200" s="460"/>
      <c r="M200" s="922"/>
      <c r="N200" s="460"/>
    </row>
    <row r="201" spans="1:14">
      <c r="A201" s="906"/>
      <c r="B201" s="907"/>
      <c r="C201" s="908"/>
      <c r="D201" s="909"/>
      <c r="E201" s="905"/>
      <c r="F201" s="465"/>
      <c r="G201" s="922"/>
      <c r="H201" s="460"/>
      <c r="I201" s="981"/>
      <c r="J201" s="460"/>
      <c r="K201" s="981"/>
      <c r="L201" s="460"/>
      <c r="M201" s="922"/>
      <c r="N201" s="460"/>
    </row>
    <row r="202" spans="1:14">
      <c r="A202" s="906"/>
      <c r="B202" s="907"/>
      <c r="C202" s="908"/>
      <c r="D202" s="909"/>
      <c r="E202" s="905"/>
      <c r="F202" s="465"/>
      <c r="G202" s="922"/>
      <c r="H202" s="460"/>
      <c r="I202" s="981"/>
      <c r="J202" s="460"/>
      <c r="K202" s="981"/>
      <c r="L202" s="460"/>
      <c r="M202" s="922"/>
      <c r="N202" s="460"/>
    </row>
    <row r="203" spans="1:14">
      <c r="A203" s="906"/>
      <c r="B203" s="907"/>
      <c r="C203" s="908"/>
      <c r="D203" s="909"/>
      <c r="E203" s="905"/>
      <c r="F203" s="465"/>
      <c r="G203" s="922"/>
      <c r="H203" s="460"/>
      <c r="I203" s="981"/>
      <c r="J203" s="460"/>
      <c r="K203" s="981"/>
      <c r="L203" s="460"/>
      <c r="M203" s="922"/>
      <c r="N203" s="460"/>
    </row>
    <row r="204" spans="1:14">
      <c r="A204" s="906"/>
      <c r="B204" s="907"/>
      <c r="C204" s="908"/>
      <c r="D204" s="909"/>
      <c r="E204" s="905"/>
      <c r="F204" s="465"/>
      <c r="G204" s="922"/>
      <c r="H204" s="460"/>
      <c r="I204" s="981"/>
      <c r="J204" s="460"/>
      <c r="K204" s="981"/>
      <c r="L204" s="460"/>
      <c r="M204" s="922"/>
      <c r="N204" s="460"/>
    </row>
    <row r="205" spans="1:14">
      <c r="A205" s="906"/>
      <c r="B205" s="907"/>
      <c r="C205" s="908"/>
      <c r="D205" s="909"/>
      <c r="E205" s="905"/>
      <c r="F205" s="465"/>
      <c r="G205" s="922"/>
      <c r="H205" s="460"/>
      <c r="I205" s="981"/>
      <c r="J205" s="460"/>
      <c r="K205" s="981"/>
      <c r="L205" s="460"/>
      <c r="M205" s="922"/>
      <c r="N205" s="460"/>
    </row>
    <row r="206" spans="1:14">
      <c r="A206" s="906"/>
      <c r="B206" s="907"/>
      <c r="C206" s="908"/>
      <c r="D206" s="909"/>
      <c r="E206" s="905"/>
      <c r="F206" s="465"/>
      <c r="G206" s="922"/>
      <c r="H206" s="460"/>
      <c r="I206" s="981"/>
      <c r="J206" s="460"/>
      <c r="K206" s="981"/>
      <c r="L206" s="460"/>
      <c r="M206" s="922"/>
      <c r="N206" s="460"/>
    </row>
    <row r="207" spans="1:14">
      <c r="A207" s="906"/>
      <c r="B207" s="907"/>
      <c r="C207" s="908"/>
      <c r="D207" s="909"/>
      <c r="E207" s="905"/>
      <c r="F207" s="465"/>
      <c r="G207" s="922"/>
      <c r="H207" s="460"/>
      <c r="I207" s="981"/>
      <c r="J207" s="460"/>
      <c r="K207" s="981"/>
      <c r="L207" s="460"/>
      <c r="M207" s="922"/>
      <c r="N207" s="460"/>
    </row>
    <row r="208" spans="1:14">
      <c r="A208" s="906"/>
      <c r="B208" s="907"/>
      <c r="C208" s="908"/>
      <c r="D208" s="909"/>
      <c r="E208" s="905"/>
      <c r="F208" s="465"/>
      <c r="G208" s="922"/>
      <c r="H208" s="460"/>
      <c r="I208" s="981"/>
      <c r="J208" s="460"/>
      <c r="K208" s="981"/>
      <c r="L208" s="460"/>
      <c r="M208" s="922"/>
      <c r="N208" s="460"/>
    </row>
    <row r="209" spans="1:14">
      <c r="A209" s="906"/>
      <c r="B209" s="907"/>
      <c r="C209" s="908"/>
      <c r="D209" s="909"/>
      <c r="E209" s="905"/>
      <c r="F209" s="465"/>
      <c r="G209" s="922"/>
      <c r="H209" s="460"/>
      <c r="I209" s="981"/>
      <c r="J209" s="460"/>
      <c r="K209" s="981"/>
      <c r="L209" s="460"/>
      <c r="M209" s="922"/>
      <c r="N209" s="460"/>
    </row>
    <row r="210" spans="1:14">
      <c r="A210" s="906"/>
      <c r="B210" s="907"/>
      <c r="C210" s="908"/>
      <c r="D210" s="909"/>
      <c r="E210" s="905"/>
      <c r="F210" s="465"/>
      <c r="G210" s="922"/>
      <c r="H210" s="460"/>
      <c r="I210" s="981"/>
      <c r="J210" s="460"/>
      <c r="K210" s="981"/>
      <c r="L210" s="460"/>
      <c r="M210" s="922"/>
      <c r="N210" s="460"/>
    </row>
    <row r="211" spans="1:14">
      <c r="A211" s="906"/>
      <c r="B211" s="907"/>
      <c r="C211" s="908"/>
      <c r="D211" s="909"/>
      <c r="E211" s="905"/>
      <c r="F211" s="465"/>
      <c r="G211" s="922"/>
      <c r="H211" s="460"/>
      <c r="I211" s="981"/>
      <c r="J211" s="460"/>
      <c r="K211" s="981"/>
      <c r="L211" s="460"/>
      <c r="M211" s="922"/>
      <c r="N211" s="460"/>
    </row>
    <row r="212" spans="1:14">
      <c r="A212" s="906"/>
      <c r="B212" s="907"/>
      <c r="C212" s="908"/>
      <c r="D212" s="909"/>
      <c r="E212" s="905"/>
      <c r="F212" s="465"/>
      <c r="G212" s="922"/>
      <c r="H212" s="460"/>
      <c r="I212" s="981"/>
      <c r="J212" s="460"/>
      <c r="K212" s="981"/>
      <c r="L212" s="460"/>
      <c r="M212" s="922"/>
      <c r="N212" s="460"/>
    </row>
    <row r="213" spans="1:14">
      <c r="A213" s="906"/>
      <c r="B213" s="907"/>
      <c r="C213" s="908"/>
      <c r="D213" s="909"/>
      <c r="E213" s="905"/>
      <c r="F213" s="465"/>
      <c r="G213" s="922"/>
      <c r="H213" s="460"/>
      <c r="I213" s="981"/>
      <c r="J213" s="460"/>
      <c r="K213" s="981"/>
      <c r="L213" s="460"/>
      <c r="M213" s="922"/>
      <c r="N213" s="460"/>
    </row>
    <row r="214" spans="1:14">
      <c r="A214" s="906"/>
      <c r="B214" s="907"/>
      <c r="C214" s="908"/>
      <c r="D214" s="909"/>
      <c r="E214" s="905"/>
      <c r="F214" s="465"/>
      <c r="G214" s="922"/>
      <c r="H214" s="460"/>
      <c r="I214" s="981"/>
      <c r="J214" s="460"/>
      <c r="K214" s="981"/>
      <c r="L214" s="460"/>
      <c r="M214" s="922"/>
      <c r="N214" s="460"/>
    </row>
    <row r="215" spans="1:14">
      <c r="A215" s="906"/>
      <c r="B215" s="907"/>
      <c r="C215" s="908"/>
      <c r="D215" s="909"/>
      <c r="E215" s="905"/>
      <c r="F215" s="465"/>
      <c r="G215" s="922"/>
      <c r="H215" s="460"/>
      <c r="I215" s="981"/>
      <c r="J215" s="460"/>
      <c r="K215" s="981"/>
      <c r="L215" s="460"/>
      <c r="M215" s="922"/>
      <c r="N215" s="460"/>
    </row>
    <row r="216" spans="1:14">
      <c r="A216" s="906"/>
      <c r="B216" s="907"/>
      <c r="C216" s="908"/>
      <c r="D216" s="909"/>
      <c r="E216" s="905"/>
      <c r="F216" s="465"/>
      <c r="G216" s="922"/>
      <c r="H216" s="460"/>
      <c r="I216" s="981"/>
      <c r="J216" s="460"/>
      <c r="K216" s="981"/>
      <c r="L216" s="460"/>
      <c r="M216" s="922"/>
      <c r="N216" s="460"/>
    </row>
    <row r="217" spans="1:14">
      <c r="A217" s="906"/>
      <c r="B217" s="907"/>
      <c r="C217" s="908"/>
      <c r="D217" s="909"/>
      <c r="E217" s="905"/>
      <c r="F217" s="465"/>
      <c r="G217" s="922"/>
      <c r="H217" s="460"/>
      <c r="I217" s="981"/>
      <c r="J217" s="460"/>
      <c r="K217" s="981"/>
      <c r="L217" s="460"/>
      <c r="M217" s="922"/>
      <c r="N217" s="460"/>
    </row>
    <row r="218" spans="1:14">
      <c r="A218" s="906"/>
      <c r="B218" s="907"/>
      <c r="C218" s="908"/>
      <c r="D218" s="909"/>
      <c r="E218" s="905"/>
      <c r="F218" s="465"/>
      <c r="G218" s="922"/>
      <c r="H218" s="460"/>
      <c r="I218" s="981"/>
      <c r="J218" s="460"/>
      <c r="K218" s="981"/>
      <c r="L218" s="460"/>
      <c r="M218" s="922"/>
      <c r="N218" s="460"/>
    </row>
    <row r="219" spans="1:14">
      <c r="A219" s="906"/>
      <c r="B219" s="907"/>
      <c r="C219" s="908"/>
      <c r="D219" s="909"/>
      <c r="E219" s="905"/>
      <c r="F219" s="465"/>
      <c r="G219" s="922"/>
      <c r="H219" s="460"/>
      <c r="I219" s="981"/>
      <c r="J219" s="460"/>
      <c r="K219" s="981"/>
      <c r="L219" s="460"/>
      <c r="M219" s="922"/>
      <c r="N219" s="460"/>
    </row>
    <row r="220" spans="1:14">
      <c r="A220" s="906"/>
      <c r="B220" s="907"/>
      <c r="C220" s="908"/>
      <c r="D220" s="909"/>
      <c r="E220" s="905"/>
      <c r="F220" s="465"/>
      <c r="G220" s="922"/>
      <c r="H220" s="460"/>
      <c r="I220" s="981"/>
      <c r="J220" s="460"/>
      <c r="K220" s="981"/>
      <c r="L220" s="460"/>
      <c r="M220" s="922"/>
      <c r="N220" s="460"/>
    </row>
    <row r="221" spans="1:14">
      <c r="A221" s="906"/>
      <c r="B221" s="907"/>
      <c r="C221" s="908"/>
      <c r="D221" s="909"/>
      <c r="E221" s="905"/>
      <c r="F221" s="465"/>
      <c r="G221" s="922"/>
      <c r="H221" s="460"/>
      <c r="I221" s="981"/>
      <c r="J221" s="460"/>
      <c r="K221" s="981"/>
      <c r="L221" s="460"/>
      <c r="M221" s="922"/>
      <c r="N221" s="460"/>
    </row>
    <row r="222" spans="1:14">
      <c r="A222" s="906"/>
      <c r="B222" s="907"/>
      <c r="C222" s="908"/>
      <c r="D222" s="909"/>
      <c r="E222" s="905"/>
      <c r="F222" s="465"/>
      <c r="G222" s="922"/>
      <c r="H222" s="460"/>
      <c r="I222" s="981"/>
      <c r="J222" s="460"/>
      <c r="K222" s="981"/>
      <c r="L222" s="460"/>
      <c r="M222" s="922"/>
      <c r="N222" s="460"/>
    </row>
    <row r="223" spans="1:14">
      <c r="A223" s="906"/>
      <c r="B223" s="907"/>
      <c r="C223" s="908"/>
      <c r="D223" s="909"/>
      <c r="E223" s="905"/>
      <c r="F223" s="465"/>
      <c r="G223" s="922"/>
      <c r="H223" s="460"/>
      <c r="I223" s="981"/>
      <c r="J223" s="460"/>
      <c r="K223" s="981"/>
      <c r="L223" s="460"/>
      <c r="M223" s="922"/>
      <c r="N223" s="460"/>
    </row>
    <row r="224" spans="1:14">
      <c r="A224" s="906"/>
      <c r="B224" s="907"/>
      <c r="C224" s="908"/>
      <c r="D224" s="909"/>
      <c r="E224" s="905"/>
      <c r="F224" s="465"/>
      <c r="G224" s="922"/>
      <c r="H224" s="460"/>
      <c r="I224" s="981"/>
      <c r="J224" s="460"/>
      <c r="K224" s="981"/>
      <c r="L224" s="460"/>
      <c r="M224" s="922"/>
      <c r="N224" s="460"/>
    </row>
    <row r="225" spans="1:14">
      <c r="A225" s="906"/>
      <c r="B225" s="907"/>
      <c r="C225" s="908"/>
      <c r="D225" s="909"/>
      <c r="E225" s="905"/>
      <c r="F225" s="465"/>
      <c r="G225" s="922"/>
      <c r="H225" s="460"/>
      <c r="I225" s="981"/>
      <c r="J225" s="460"/>
      <c r="K225" s="981"/>
      <c r="L225" s="460"/>
      <c r="M225" s="922"/>
      <c r="N225" s="460"/>
    </row>
    <row r="226" spans="1:14">
      <c r="A226" s="906"/>
      <c r="B226" s="907"/>
      <c r="C226" s="908"/>
      <c r="D226" s="909"/>
      <c r="E226" s="905"/>
      <c r="F226" s="465"/>
      <c r="G226" s="922"/>
      <c r="H226" s="460"/>
      <c r="I226" s="981"/>
      <c r="J226" s="460"/>
      <c r="K226" s="981"/>
      <c r="L226" s="460"/>
      <c r="M226" s="922"/>
      <c r="N226" s="460"/>
    </row>
    <row r="227" spans="1:14">
      <c r="A227" s="906"/>
      <c r="B227" s="907"/>
      <c r="C227" s="908"/>
      <c r="D227" s="909"/>
      <c r="E227" s="905"/>
      <c r="F227" s="465"/>
      <c r="G227" s="922"/>
      <c r="H227" s="460"/>
      <c r="I227" s="981"/>
      <c r="J227" s="460"/>
      <c r="K227" s="981"/>
      <c r="L227" s="460"/>
      <c r="M227" s="922"/>
      <c r="N227" s="460"/>
    </row>
    <row r="228" spans="1:14">
      <c r="A228" s="906"/>
      <c r="B228" s="907"/>
      <c r="C228" s="908"/>
      <c r="D228" s="909"/>
      <c r="E228" s="905"/>
      <c r="F228" s="465"/>
      <c r="G228" s="922"/>
      <c r="H228" s="460"/>
      <c r="I228" s="981"/>
      <c r="J228" s="460"/>
      <c r="K228" s="981"/>
      <c r="L228" s="460"/>
      <c r="M228" s="922"/>
      <c r="N228" s="460"/>
    </row>
    <row r="229" spans="1:14">
      <c r="A229" s="906"/>
      <c r="B229" s="907"/>
      <c r="C229" s="908"/>
      <c r="D229" s="909"/>
      <c r="E229" s="905"/>
      <c r="F229" s="465"/>
      <c r="G229" s="922"/>
      <c r="H229" s="460"/>
      <c r="I229" s="981"/>
      <c r="J229" s="460"/>
      <c r="K229" s="981"/>
      <c r="L229" s="460"/>
      <c r="M229" s="922"/>
      <c r="N229" s="460"/>
    </row>
    <row r="230" spans="1:14">
      <c r="A230" s="906"/>
      <c r="B230" s="907"/>
      <c r="C230" s="908"/>
      <c r="D230" s="909"/>
      <c r="E230" s="905"/>
      <c r="F230" s="465"/>
      <c r="G230" s="922"/>
      <c r="H230" s="460"/>
      <c r="I230" s="981"/>
      <c r="J230" s="460"/>
      <c r="K230" s="981"/>
      <c r="L230" s="460"/>
      <c r="M230" s="922"/>
      <c r="N230" s="460"/>
    </row>
    <row r="231" spans="1:14">
      <c r="A231" s="906"/>
      <c r="B231" s="907"/>
      <c r="C231" s="908"/>
      <c r="D231" s="909"/>
      <c r="E231" s="905"/>
      <c r="F231" s="465"/>
      <c r="G231" s="922"/>
      <c r="H231" s="460"/>
      <c r="I231" s="981"/>
      <c r="J231" s="460"/>
      <c r="K231" s="981"/>
      <c r="L231" s="460"/>
      <c r="M231" s="922"/>
      <c r="N231" s="460"/>
    </row>
    <row r="232" spans="1:14">
      <c r="A232" s="906"/>
      <c r="B232" s="907"/>
      <c r="C232" s="908"/>
      <c r="D232" s="909"/>
      <c r="E232" s="905"/>
      <c r="F232" s="465"/>
      <c r="G232" s="922"/>
      <c r="H232" s="460"/>
      <c r="I232" s="981"/>
      <c r="J232" s="460"/>
      <c r="K232" s="981"/>
      <c r="L232" s="460"/>
      <c r="M232" s="922"/>
      <c r="N232" s="460"/>
    </row>
    <row r="233" spans="1:14">
      <c r="A233" s="906"/>
      <c r="B233" s="907"/>
      <c r="C233" s="908"/>
      <c r="D233" s="909"/>
      <c r="E233" s="905"/>
      <c r="F233" s="465"/>
      <c r="G233" s="922"/>
      <c r="H233" s="460"/>
      <c r="I233" s="981"/>
      <c r="J233" s="460"/>
      <c r="K233" s="981"/>
      <c r="L233" s="460"/>
      <c r="M233" s="922"/>
      <c r="N233" s="460"/>
    </row>
    <row r="234" spans="1:14">
      <c r="A234" s="906"/>
      <c r="B234" s="907"/>
      <c r="C234" s="908"/>
      <c r="D234" s="909"/>
      <c r="E234" s="905"/>
      <c r="F234" s="465"/>
      <c r="G234" s="922"/>
      <c r="H234" s="460"/>
      <c r="I234" s="981"/>
      <c r="J234" s="460"/>
      <c r="K234" s="981"/>
      <c r="L234" s="460"/>
      <c r="M234" s="922"/>
      <c r="N234" s="460"/>
    </row>
    <row r="235" spans="1:14">
      <c r="A235" s="906"/>
      <c r="B235" s="907"/>
      <c r="C235" s="908"/>
      <c r="D235" s="909"/>
      <c r="E235" s="905"/>
      <c r="F235" s="465"/>
      <c r="G235" s="922"/>
      <c r="H235" s="460"/>
      <c r="I235" s="981"/>
      <c r="J235" s="460"/>
      <c r="K235" s="981"/>
      <c r="L235" s="460"/>
      <c r="M235" s="922"/>
      <c r="N235" s="460"/>
    </row>
    <row r="236" spans="1:14">
      <c r="A236" s="906"/>
      <c r="B236" s="907"/>
      <c r="C236" s="908"/>
      <c r="D236" s="909"/>
      <c r="E236" s="905"/>
      <c r="F236" s="465"/>
      <c r="G236" s="922"/>
      <c r="H236" s="460"/>
      <c r="I236" s="981"/>
      <c r="J236" s="460"/>
      <c r="K236" s="981"/>
      <c r="L236" s="460"/>
      <c r="M236" s="922"/>
      <c r="N236" s="460"/>
    </row>
    <row r="237" spans="1:14">
      <c r="A237" s="906"/>
      <c r="B237" s="907"/>
      <c r="C237" s="908"/>
      <c r="D237" s="909"/>
      <c r="E237" s="905"/>
      <c r="F237" s="465"/>
      <c r="G237" s="922"/>
      <c r="H237" s="460"/>
      <c r="I237" s="981"/>
      <c r="J237" s="460"/>
      <c r="K237" s="981"/>
      <c r="L237" s="460"/>
      <c r="M237" s="922"/>
      <c r="N237" s="460"/>
    </row>
    <row r="238" spans="1:14">
      <c r="A238" s="906"/>
      <c r="B238" s="907"/>
      <c r="C238" s="908"/>
      <c r="D238" s="909"/>
      <c r="E238" s="905"/>
      <c r="F238" s="465"/>
      <c r="G238" s="922"/>
      <c r="H238" s="460"/>
      <c r="I238" s="981"/>
      <c r="J238" s="460"/>
      <c r="K238" s="981"/>
      <c r="L238" s="460"/>
      <c r="M238" s="922"/>
      <c r="N238" s="460"/>
    </row>
    <row r="239" spans="1:14">
      <c r="A239" s="906"/>
      <c r="B239" s="907"/>
      <c r="C239" s="908"/>
      <c r="D239" s="909"/>
      <c r="E239" s="905"/>
      <c r="F239" s="465"/>
      <c r="G239" s="922"/>
      <c r="H239" s="460"/>
      <c r="I239" s="981"/>
      <c r="J239" s="460"/>
      <c r="K239" s="981"/>
      <c r="L239" s="460"/>
      <c r="M239" s="922"/>
      <c r="N239" s="460"/>
    </row>
    <row r="240" spans="1:14">
      <c r="A240" s="906"/>
      <c r="B240" s="907"/>
      <c r="C240" s="908"/>
      <c r="D240" s="909"/>
      <c r="E240" s="905"/>
      <c r="F240" s="465"/>
      <c r="G240" s="922"/>
      <c r="H240" s="460"/>
      <c r="I240" s="981"/>
      <c r="J240" s="460"/>
      <c r="K240" s="981"/>
      <c r="L240" s="460"/>
      <c r="M240" s="922"/>
      <c r="N240" s="460"/>
    </row>
    <row r="241" spans="1:14">
      <c r="A241" s="906"/>
      <c r="B241" s="907"/>
      <c r="C241" s="908"/>
      <c r="D241" s="909"/>
      <c r="E241" s="905"/>
      <c r="F241" s="465"/>
      <c r="G241" s="922"/>
      <c r="H241" s="460"/>
      <c r="I241" s="981"/>
      <c r="J241" s="460"/>
      <c r="K241" s="981"/>
      <c r="L241" s="460"/>
      <c r="M241" s="922"/>
      <c r="N241" s="460"/>
    </row>
    <row r="242" spans="1:14">
      <c r="A242" s="906"/>
      <c r="B242" s="907"/>
      <c r="C242" s="908"/>
      <c r="D242" s="909"/>
      <c r="E242" s="905"/>
      <c r="F242" s="465"/>
      <c r="G242" s="922"/>
      <c r="H242" s="460"/>
      <c r="I242" s="981"/>
      <c r="J242" s="460"/>
      <c r="K242" s="981"/>
      <c r="L242" s="460"/>
      <c r="M242" s="922"/>
      <c r="N242" s="460"/>
    </row>
    <row r="243" spans="1:14">
      <c r="A243" s="906"/>
      <c r="B243" s="907"/>
      <c r="C243" s="908"/>
      <c r="D243" s="909"/>
      <c r="E243" s="905"/>
      <c r="F243" s="465"/>
      <c r="G243" s="922"/>
      <c r="H243" s="460"/>
      <c r="I243" s="981"/>
      <c r="J243" s="460"/>
      <c r="K243" s="981"/>
      <c r="L243" s="460"/>
      <c r="M243" s="922"/>
      <c r="N243" s="460"/>
    </row>
    <row r="244" spans="1:14">
      <c r="A244" s="906"/>
      <c r="B244" s="907"/>
      <c r="C244" s="908"/>
      <c r="D244" s="909"/>
      <c r="E244" s="905"/>
      <c r="F244" s="465"/>
      <c r="G244" s="922"/>
      <c r="H244" s="460"/>
      <c r="I244" s="981"/>
      <c r="J244" s="460"/>
      <c r="K244" s="981"/>
      <c r="L244" s="460"/>
      <c r="M244" s="922"/>
      <c r="N244" s="460"/>
    </row>
    <row r="245" spans="1:14">
      <c r="A245" s="906"/>
      <c r="B245" s="907"/>
      <c r="C245" s="908"/>
      <c r="D245" s="909"/>
      <c r="E245" s="905"/>
      <c r="F245" s="465"/>
      <c r="G245" s="922"/>
      <c r="H245" s="460"/>
      <c r="I245" s="981"/>
      <c r="J245" s="460"/>
      <c r="K245" s="981"/>
      <c r="L245" s="460"/>
      <c r="M245" s="922"/>
      <c r="N245" s="460"/>
    </row>
    <row r="246" spans="1:14">
      <c r="A246" s="906"/>
      <c r="B246" s="907"/>
      <c r="C246" s="908"/>
      <c r="D246" s="909"/>
      <c r="E246" s="905"/>
      <c r="F246" s="465"/>
      <c r="G246" s="922"/>
      <c r="H246" s="460"/>
      <c r="I246" s="981"/>
      <c r="J246" s="460"/>
      <c r="K246" s="981"/>
      <c r="L246" s="460"/>
      <c r="M246" s="922"/>
      <c r="N246" s="460"/>
    </row>
    <row r="247" spans="1:14">
      <c r="A247" s="906"/>
      <c r="B247" s="907"/>
      <c r="C247" s="908"/>
      <c r="D247" s="909"/>
      <c r="E247" s="905"/>
      <c r="F247" s="465"/>
      <c r="G247" s="922"/>
      <c r="H247" s="460"/>
      <c r="I247" s="981"/>
      <c r="J247" s="460"/>
      <c r="K247" s="981"/>
      <c r="L247" s="460"/>
      <c r="M247" s="922"/>
      <c r="N247" s="460"/>
    </row>
    <row r="248" spans="1:14">
      <c r="A248" s="906"/>
      <c r="B248" s="907"/>
      <c r="C248" s="908"/>
      <c r="D248" s="909"/>
      <c r="E248" s="905"/>
      <c r="F248" s="465"/>
      <c r="G248" s="922"/>
      <c r="H248" s="460"/>
      <c r="I248" s="981"/>
      <c r="J248" s="460"/>
      <c r="K248" s="981"/>
      <c r="L248" s="460"/>
      <c r="M248" s="922"/>
      <c r="N248" s="460"/>
    </row>
    <row r="249" spans="1:14">
      <c r="A249" s="906"/>
      <c r="B249" s="907"/>
      <c r="C249" s="908"/>
      <c r="D249" s="909"/>
      <c r="E249" s="905"/>
      <c r="F249" s="465"/>
      <c r="G249" s="922"/>
      <c r="H249" s="460"/>
      <c r="I249" s="981"/>
      <c r="J249" s="460"/>
      <c r="K249" s="981"/>
      <c r="L249" s="460"/>
      <c r="M249" s="922"/>
      <c r="N249" s="460"/>
    </row>
    <row r="250" spans="1:14">
      <c r="A250" s="906"/>
      <c r="B250" s="907"/>
      <c r="C250" s="908"/>
      <c r="D250" s="909"/>
      <c r="E250" s="905"/>
      <c r="F250" s="465"/>
      <c r="G250" s="922"/>
      <c r="H250" s="460"/>
      <c r="I250" s="981"/>
      <c r="J250" s="460"/>
      <c r="K250" s="981"/>
      <c r="L250" s="460"/>
      <c r="M250" s="922"/>
      <c r="N250" s="460"/>
    </row>
    <row r="251" spans="1:14">
      <c r="A251" s="906"/>
      <c r="B251" s="907"/>
      <c r="C251" s="908"/>
      <c r="D251" s="909"/>
      <c r="E251" s="905"/>
      <c r="F251" s="465"/>
      <c r="G251" s="922"/>
      <c r="H251" s="460"/>
      <c r="I251" s="981"/>
      <c r="J251" s="460"/>
      <c r="K251" s="981"/>
      <c r="L251" s="460"/>
      <c r="M251" s="922"/>
      <c r="N251" s="460"/>
    </row>
    <row r="252" spans="1:14">
      <c r="A252" s="906"/>
      <c r="B252" s="907"/>
      <c r="C252" s="908"/>
      <c r="D252" s="909"/>
      <c r="E252" s="905"/>
      <c r="F252" s="465"/>
      <c r="G252" s="922"/>
      <c r="H252" s="460"/>
      <c r="I252" s="981"/>
      <c r="J252" s="460"/>
      <c r="K252" s="981"/>
      <c r="L252" s="460"/>
      <c r="M252" s="922"/>
      <c r="N252" s="460"/>
    </row>
    <row r="253" spans="1:14">
      <c r="A253" s="906"/>
      <c r="B253" s="907"/>
      <c r="C253" s="908"/>
      <c r="D253" s="909"/>
      <c r="E253" s="905"/>
      <c r="F253" s="465"/>
      <c r="G253" s="922"/>
      <c r="H253" s="460"/>
      <c r="I253" s="981"/>
      <c r="J253" s="460"/>
      <c r="K253" s="981"/>
      <c r="L253" s="460"/>
      <c r="M253" s="922"/>
      <c r="N253" s="460"/>
    </row>
    <row r="254" spans="1:14">
      <c r="A254" s="906"/>
      <c r="B254" s="907"/>
      <c r="C254" s="908"/>
      <c r="D254" s="909"/>
      <c r="E254" s="905"/>
      <c r="F254" s="465"/>
      <c r="G254" s="922"/>
      <c r="H254" s="460"/>
      <c r="I254" s="981"/>
      <c r="J254" s="460"/>
      <c r="K254" s="981"/>
      <c r="L254" s="460"/>
      <c r="M254" s="922"/>
      <c r="N254" s="460"/>
    </row>
    <row r="255" spans="1:14">
      <c r="A255" s="906"/>
      <c r="B255" s="907"/>
      <c r="C255" s="908"/>
      <c r="D255" s="909"/>
      <c r="E255" s="905"/>
      <c r="F255" s="465"/>
      <c r="G255" s="922"/>
      <c r="H255" s="460"/>
      <c r="I255" s="981"/>
      <c r="J255" s="460"/>
      <c r="K255" s="981"/>
      <c r="L255" s="460"/>
      <c r="M255" s="922"/>
      <c r="N255" s="460"/>
    </row>
    <row r="256" spans="1:14">
      <c r="A256" s="906"/>
      <c r="B256" s="907"/>
      <c r="C256" s="908"/>
      <c r="D256" s="909"/>
      <c r="E256" s="905"/>
      <c r="F256" s="465"/>
      <c r="G256" s="922"/>
      <c r="H256" s="460"/>
      <c r="I256" s="981"/>
      <c r="J256" s="460"/>
      <c r="K256" s="981"/>
      <c r="L256" s="460"/>
      <c r="M256" s="922"/>
      <c r="N256" s="460"/>
    </row>
    <row r="257" spans="1:14">
      <c r="A257" s="906"/>
      <c r="B257" s="907"/>
      <c r="C257" s="908"/>
      <c r="D257" s="909"/>
      <c r="E257" s="905"/>
      <c r="F257" s="465"/>
      <c r="G257" s="922"/>
      <c r="H257" s="460"/>
      <c r="I257" s="981"/>
      <c r="J257" s="460"/>
      <c r="K257" s="981"/>
      <c r="L257" s="460"/>
      <c r="M257" s="922"/>
      <c r="N257" s="460"/>
    </row>
    <row r="258" spans="1:14">
      <c r="A258" s="906"/>
      <c r="B258" s="907"/>
      <c r="C258" s="908"/>
      <c r="D258" s="909"/>
      <c r="E258" s="905"/>
      <c r="F258" s="465"/>
      <c r="G258" s="922"/>
      <c r="H258" s="460"/>
      <c r="I258" s="981"/>
      <c r="J258" s="460"/>
      <c r="K258" s="981"/>
      <c r="L258" s="460"/>
      <c r="M258" s="922"/>
      <c r="N258" s="460"/>
    </row>
    <row r="259" spans="1:14">
      <c r="A259" s="906"/>
      <c r="B259" s="907"/>
      <c r="C259" s="908"/>
      <c r="D259" s="909"/>
      <c r="E259" s="905"/>
      <c r="F259" s="465"/>
      <c r="G259" s="922"/>
      <c r="H259" s="460"/>
      <c r="I259" s="981"/>
      <c r="J259" s="460"/>
      <c r="K259" s="981"/>
      <c r="L259" s="460"/>
      <c r="M259" s="922"/>
      <c r="N259" s="460"/>
    </row>
    <row r="260" spans="1:14">
      <c r="A260" s="906"/>
      <c r="B260" s="907"/>
      <c r="C260" s="908"/>
      <c r="D260" s="909"/>
      <c r="E260" s="905"/>
      <c r="F260" s="465"/>
      <c r="G260" s="922"/>
      <c r="H260" s="460"/>
      <c r="I260" s="981"/>
      <c r="J260" s="460"/>
      <c r="K260" s="981"/>
      <c r="L260" s="460"/>
      <c r="M260" s="922"/>
      <c r="N260" s="460"/>
    </row>
    <row r="261" spans="1:14">
      <c r="A261" s="906"/>
      <c r="B261" s="907"/>
      <c r="C261" s="908"/>
      <c r="D261" s="909"/>
      <c r="E261" s="905"/>
      <c r="F261" s="465"/>
      <c r="G261" s="922"/>
      <c r="H261" s="460"/>
      <c r="I261" s="981"/>
      <c r="J261" s="460"/>
      <c r="K261" s="981"/>
      <c r="L261" s="460"/>
      <c r="M261" s="922"/>
      <c r="N261" s="460"/>
    </row>
    <row r="262" spans="1:14">
      <c r="A262" s="906"/>
      <c r="B262" s="907"/>
      <c r="C262" s="908"/>
      <c r="D262" s="909"/>
      <c r="E262" s="905"/>
      <c r="F262" s="465"/>
      <c r="G262" s="922"/>
      <c r="H262" s="460"/>
      <c r="I262" s="981"/>
      <c r="J262" s="460"/>
      <c r="K262" s="981"/>
      <c r="L262" s="460"/>
      <c r="M262" s="922"/>
      <c r="N262" s="460"/>
    </row>
    <row r="263" spans="1:14">
      <c r="A263" s="906"/>
      <c r="B263" s="907"/>
      <c r="C263" s="908"/>
      <c r="D263" s="909"/>
      <c r="E263" s="905"/>
      <c r="F263" s="465"/>
      <c r="G263" s="922"/>
      <c r="H263" s="460"/>
      <c r="I263" s="981"/>
      <c r="J263" s="460"/>
      <c r="K263" s="981"/>
      <c r="L263" s="460"/>
      <c r="M263" s="922"/>
      <c r="N263" s="460"/>
    </row>
    <row r="264" spans="1:14">
      <c r="A264" s="906"/>
      <c r="B264" s="907"/>
      <c r="C264" s="908"/>
      <c r="D264" s="909"/>
      <c r="E264" s="905"/>
      <c r="F264" s="465"/>
      <c r="G264" s="922"/>
      <c r="H264" s="460"/>
      <c r="I264" s="981"/>
      <c r="J264" s="460"/>
      <c r="K264" s="981"/>
      <c r="L264" s="460"/>
      <c r="M264" s="922"/>
      <c r="N264" s="460"/>
    </row>
    <row r="265" spans="1:14">
      <c r="A265" s="906"/>
      <c r="B265" s="907"/>
      <c r="C265" s="908"/>
      <c r="D265" s="909"/>
      <c r="E265" s="905"/>
      <c r="F265" s="465"/>
      <c r="G265" s="922"/>
      <c r="H265" s="460"/>
      <c r="I265" s="981"/>
      <c r="J265" s="460"/>
      <c r="K265" s="981"/>
      <c r="L265" s="460"/>
      <c r="M265" s="922"/>
      <c r="N265" s="460"/>
    </row>
    <row r="266" spans="1:14">
      <c r="A266" s="906"/>
      <c r="B266" s="907"/>
      <c r="C266" s="908"/>
      <c r="D266" s="909"/>
      <c r="E266" s="905"/>
      <c r="F266" s="465"/>
      <c r="G266" s="922"/>
      <c r="H266" s="460"/>
      <c r="I266" s="981"/>
      <c r="J266" s="460"/>
      <c r="K266" s="981"/>
      <c r="L266" s="460"/>
      <c r="M266" s="922"/>
      <c r="N266" s="460"/>
    </row>
    <row r="267" spans="1:14">
      <c r="A267" s="906"/>
      <c r="B267" s="907"/>
      <c r="C267" s="908"/>
      <c r="D267" s="909"/>
      <c r="E267" s="905"/>
      <c r="F267" s="465"/>
      <c r="G267" s="922"/>
      <c r="H267" s="460"/>
      <c r="I267" s="981"/>
      <c r="J267" s="460"/>
      <c r="K267" s="981"/>
      <c r="L267" s="460"/>
      <c r="M267" s="922"/>
      <c r="N267" s="460"/>
    </row>
    <row r="268" spans="1:14">
      <c r="A268" s="906"/>
      <c r="B268" s="907"/>
      <c r="C268" s="908"/>
      <c r="D268" s="909"/>
      <c r="E268" s="905"/>
      <c r="F268" s="465"/>
      <c r="G268" s="922"/>
      <c r="H268" s="460"/>
      <c r="I268" s="981"/>
      <c r="J268" s="460"/>
      <c r="K268" s="981"/>
      <c r="L268" s="460"/>
      <c r="M268" s="922"/>
      <c r="N268" s="460"/>
    </row>
    <row r="269" spans="1:14">
      <c r="A269" s="906"/>
      <c r="B269" s="907"/>
      <c r="C269" s="908"/>
      <c r="D269" s="909"/>
      <c r="E269" s="905"/>
      <c r="F269" s="465"/>
      <c r="G269" s="922"/>
      <c r="H269" s="460"/>
      <c r="I269" s="981"/>
      <c r="J269" s="460"/>
      <c r="K269" s="981"/>
      <c r="L269" s="460"/>
      <c r="M269" s="922"/>
      <c r="N269" s="460"/>
    </row>
    <row r="270" spans="1:14">
      <c r="A270" s="906"/>
      <c r="B270" s="907"/>
      <c r="C270" s="908"/>
      <c r="D270" s="909"/>
      <c r="E270" s="905"/>
      <c r="F270" s="465"/>
      <c r="G270" s="922"/>
      <c r="H270" s="460"/>
      <c r="I270" s="981"/>
      <c r="J270" s="460"/>
      <c r="K270" s="981"/>
      <c r="L270" s="460"/>
      <c r="M270" s="922"/>
      <c r="N270" s="460"/>
    </row>
    <row r="271" spans="1:14">
      <c r="A271" s="906"/>
      <c r="B271" s="907"/>
      <c r="C271" s="908"/>
      <c r="D271" s="909"/>
      <c r="E271" s="905"/>
      <c r="F271" s="465"/>
      <c r="G271" s="922"/>
      <c r="H271" s="460"/>
      <c r="I271" s="981"/>
      <c r="J271" s="460"/>
      <c r="K271" s="981"/>
      <c r="L271" s="460"/>
      <c r="M271" s="922"/>
      <c r="N271" s="460"/>
    </row>
    <row r="272" spans="1:14">
      <c r="A272" s="906"/>
      <c r="B272" s="907"/>
      <c r="C272" s="908"/>
      <c r="D272" s="909"/>
      <c r="E272" s="905"/>
      <c r="F272" s="465"/>
      <c r="G272" s="922"/>
      <c r="H272" s="460"/>
      <c r="I272" s="981"/>
      <c r="J272" s="460"/>
      <c r="K272" s="981"/>
      <c r="L272" s="460"/>
      <c r="M272" s="922"/>
      <c r="N272" s="460"/>
    </row>
    <row r="273" spans="1:14">
      <c r="A273" s="906"/>
      <c r="B273" s="907"/>
      <c r="C273" s="908"/>
      <c r="D273" s="909"/>
      <c r="E273" s="905"/>
      <c r="F273" s="465"/>
      <c r="G273" s="922"/>
      <c r="H273" s="460"/>
      <c r="I273" s="981"/>
      <c r="J273" s="460"/>
      <c r="K273" s="981"/>
      <c r="L273" s="460"/>
      <c r="M273" s="922"/>
      <c r="N273" s="460"/>
    </row>
    <row r="274" spans="1:14">
      <c r="A274" s="906"/>
      <c r="B274" s="907"/>
      <c r="C274" s="908"/>
      <c r="D274" s="909"/>
      <c r="E274" s="905"/>
      <c r="F274" s="465"/>
      <c r="G274" s="922"/>
      <c r="H274" s="460"/>
      <c r="I274" s="981"/>
      <c r="J274" s="460"/>
      <c r="K274" s="981"/>
      <c r="L274" s="460"/>
      <c r="M274" s="922"/>
      <c r="N274" s="460"/>
    </row>
    <row r="275" spans="1:14">
      <c r="A275" s="906"/>
      <c r="B275" s="907"/>
      <c r="C275" s="908"/>
      <c r="D275" s="909"/>
      <c r="E275" s="905"/>
      <c r="F275" s="465"/>
      <c r="G275" s="922"/>
      <c r="H275" s="460"/>
      <c r="I275" s="981"/>
      <c r="J275" s="460"/>
      <c r="K275" s="981"/>
      <c r="L275" s="460"/>
      <c r="M275" s="922"/>
      <c r="N275" s="460"/>
    </row>
    <row r="276" spans="1:14">
      <c r="A276" s="906"/>
      <c r="B276" s="907"/>
      <c r="C276" s="908"/>
      <c r="D276" s="909"/>
      <c r="E276" s="905"/>
      <c r="F276" s="465"/>
      <c r="G276" s="922"/>
      <c r="H276" s="460"/>
      <c r="I276" s="981"/>
      <c r="J276" s="460"/>
      <c r="K276" s="981"/>
      <c r="L276" s="460"/>
      <c r="M276" s="922"/>
      <c r="N276" s="460"/>
    </row>
    <row r="277" spans="1:14">
      <c r="A277" s="906"/>
      <c r="B277" s="907"/>
      <c r="C277" s="908"/>
      <c r="D277" s="909"/>
      <c r="E277" s="905"/>
      <c r="F277" s="465"/>
      <c r="G277" s="922"/>
      <c r="H277" s="460"/>
      <c r="I277" s="981"/>
      <c r="J277" s="460"/>
      <c r="K277" s="981"/>
      <c r="L277" s="460"/>
      <c r="M277" s="922"/>
      <c r="N277" s="460"/>
    </row>
    <row r="278" spans="1:14">
      <c r="A278" s="906"/>
      <c r="B278" s="907"/>
      <c r="C278" s="908"/>
      <c r="D278" s="909"/>
      <c r="E278" s="905"/>
      <c r="F278" s="465"/>
      <c r="G278" s="922"/>
      <c r="H278" s="460"/>
      <c r="I278" s="981"/>
      <c r="J278" s="460"/>
      <c r="K278" s="981"/>
      <c r="L278" s="460"/>
      <c r="M278" s="922"/>
      <c r="N278" s="460"/>
    </row>
    <row r="279" spans="1:14">
      <c r="A279" s="906"/>
      <c r="B279" s="907"/>
      <c r="C279" s="908"/>
      <c r="D279" s="909"/>
      <c r="E279" s="905"/>
      <c r="F279" s="465"/>
      <c r="G279" s="922"/>
      <c r="H279" s="460"/>
      <c r="I279" s="981"/>
      <c r="J279" s="460"/>
      <c r="K279" s="981"/>
      <c r="L279" s="460"/>
      <c r="M279" s="922"/>
      <c r="N279" s="460"/>
    </row>
    <row r="280" spans="1:14">
      <c r="A280" s="906"/>
      <c r="B280" s="907"/>
      <c r="C280" s="908"/>
      <c r="D280" s="909"/>
      <c r="E280" s="905"/>
      <c r="F280" s="465"/>
      <c r="G280" s="922"/>
      <c r="H280" s="460"/>
      <c r="I280" s="981"/>
      <c r="J280" s="460"/>
      <c r="K280" s="981"/>
      <c r="L280" s="460"/>
      <c r="M280" s="922"/>
      <c r="N280" s="460"/>
    </row>
    <row r="281" spans="1:14">
      <c r="A281" s="906"/>
      <c r="B281" s="907"/>
      <c r="C281" s="908"/>
      <c r="D281" s="909"/>
      <c r="E281" s="905"/>
      <c r="F281" s="465"/>
      <c r="G281" s="922"/>
      <c r="H281" s="460"/>
      <c r="I281" s="981"/>
      <c r="J281" s="460"/>
      <c r="K281" s="981"/>
      <c r="L281" s="460"/>
      <c r="M281" s="922"/>
      <c r="N281" s="460"/>
    </row>
    <row r="282" spans="1:14">
      <c r="A282" s="906"/>
      <c r="B282" s="907"/>
      <c r="C282" s="908"/>
      <c r="D282" s="909"/>
      <c r="E282" s="905"/>
      <c r="F282" s="465"/>
      <c r="G282" s="922"/>
      <c r="H282" s="460"/>
      <c r="I282" s="981"/>
      <c r="J282" s="460"/>
      <c r="K282" s="981"/>
      <c r="L282" s="460"/>
      <c r="M282" s="922"/>
      <c r="N282" s="460"/>
    </row>
    <row r="283" spans="1:14">
      <c r="A283" s="906"/>
      <c r="B283" s="907"/>
      <c r="C283" s="908"/>
      <c r="D283" s="909"/>
      <c r="E283" s="905"/>
      <c r="F283" s="465"/>
      <c r="G283" s="922"/>
      <c r="H283" s="460"/>
      <c r="I283" s="981"/>
      <c r="J283" s="460"/>
      <c r="K283" s="981"/>
      <c r="L283" s="460"/>
      <c r="M283" s="922"/>
      <c r="N283" s="460"/>
    </row>
    <row r="284" spans="1:14">
      <c r="A284" s="906"/>
      <c r="B284" s="907"/>
      <c r="C284" s="908"/>
      <c r="D284" s="909"/>
      <c r="E284" s="905"/>
      <c r="F284" s="465"/>
      <c r="G284" s="922"/>
      <c r="H284" s="460"/>
      <c r="I284" s="981"/>
      <c r="J284" s="460"/>
      <c r="K284" s="981"/>
      <c r="L284" s="460"/>
      <c r="M284" s="922"/>
      <c r="N284" s="460"/>
    </row>
    <row r="285" spans="1:14">
      <c r="A285" s="906"/>
      <c r="B285" s="907"/>
      <c r="C285" s="908"/>
      <c r="D285" s="909"/>
      <c r="E285" s="905"/>
      <c r="F285" s="465"/>
      <c r="G285" s="922"/>
      <c r="H285" s="460"/>
      <c r="I285" s="981"/>
      <c r="J285" s="460"/>
      <c r="K285" s="981"/>
      <c r="L285" s="460"/>
      <c r="M285" s="922"/>
      <c r="N285" s="460"/>
    </row>
    <row r="286" spans="1:14">
      <c r="A286" s="906"/>
      <c r="B286" s="907"/>
      <c r="C286" s="908"/>
      <c r="D286" s="909"/>
      <c r="E286" s="905"/>
      <c r="F286" s="465"/>
      <c r="G286" s="922"/>
      <c r="H286" s="460"/>
      <c r="I286" s="981"/>
      <c r="J286" s="460"/>
      <c r="K286" s="981"/>
      <c r="L286" s="460"/>
      <c r="M286" s="922"/>
      <c r="N286" s="460"/>
    </row>
    <row r="287" spans="1:14">
      <c r="A287" s="906"/>
      <c r="B287" s="907"/>
      <c r="C287" s="908"/>
      <c r="D287" s="909"/>
      <c r="E287" s="905"/>
      <c r="F287" s="465"/>
      <c r="G287" s="922"/>
      <c r="H287" s="460"/>
      <c r="I287" s="981"/>
      <c r="J287" s="460"/>
      <c r="K287" s="981"/>
      <c r="L287" s="460"/>
      <c r="M287" s="922"/>
      <c r="N287" s="460"/>
    </row>
    <row r="288" spans="1:14">
      <c r="A288" s="906"/>
      <c r="B288" s="907"/>
      <c r="C288" s="908"/>
      <c r="D288" s="909"/>
      <c r="E288" s="905"/>
      <c r="F288" s="465"/>
      <c r="G288" s="922"/>
      <c r="H288" s="460"/>
      <c r="I288" s="981"/>
      <c r="J288" s="460"/>
      <c r="K288" s="981"/>
      <c r="L288" s="460"/>
      <c r="M288" s="922"/>
      <c r="N288" s="460"/>
    </row>
    <row r="289" spans="1:14">
      <c r="A289" s="906"/>
      <c r="B289" s="907"/>
      <c r="C289" s="908"/>
      <c r="D289" s="909"/>
      <c r="E289" s="905"/>
      <c r="F289" s="465"/>
      <c r="G289" s="922"/>
      <c r="H289" s="460"/>
      <c r="I289" s="981"/>
      <c r="J289" s="460"/>
      <c r="K289" s="981"/>
      <c r="L289" s="460"/>
      <c r="M289" s="922"/>
      <c r="N289" s="460"/>
    </row>
    <row r="290" spans="1:14">
      <c r="A290" s="906"/>
      <c r="B290" s="907"/>
      <c r="C290" s="908"/>
      <c r="D290" s="909"/>
      <c r="E290" s="905"/>
      <c r="F290" s="465"/>
      <c r="G290" s="922"/>
      <c r="H290" s="460"/>
      <c r="I290" s="981"/>
      <c r="J290" s="460"/>
      <c r="K290" s="981"/>
      <c r="L290" s="460"/>
      <c r="M290" s="922"/>
      <c r="N290" s="460"/>
    </row>
    <row r="291" spans="1:14">
      <c r="A291" s="906"/>
      <c r="B291" s="907"/>
      <c r="C291" s="908"/>
      <c r="D291" s="909"/>
      <c r="E291" s="905"/>
      <c r="F291" s="465"/>
      <c r="G291" s="922"/>
      <c r="H291" s="460"/>
      <c r="I291" s="981"/>
      <c r="J291" s="460"/>
      <c r="K291" s="981"/>
      <c r="L291" s="460"/>
      <c r="M291" s="922"/>
      <c r="N291" s="460"/>
    </row>
    <row r="292" spans="1:14">
      <c r="A292" s="906"/>
      <c r="B292" s="907"/>
      <c r="C292" s="908"/>
      <c r="D292" s="909"/>
      <c r="E292" s="905"/>
      <c r="F292" s="465"/>
      <c r="G292" s="922"/>
      <c r="H292" s="460"/>
      <c r="I292" s="981"/>
      <c r="J292" s="460"/>
      <c r="K292" s="981"/>
      <c r="L292" s="460"/>
      <c r="M292" s="922"/>
      <c r="N292" s="460"/>
    </row>
    <row r="293" spans="1:14">
      <c r="A293" s="906"/>
      <c r="B293" s="907"/>
      <c r="C293" s="908"/>
      <c r="D293" s="909"/>
      <c r="E293" s="905"/>
      <c r="F293" s="465"/>
      <c r="G293" s="922"/>
      <c r="H293" s="460"/>
      <c r="I293" s="981"/>
      <c r="J293" s="460"/>
      <c r="K293" s="981"/>
      <c r="L293" s="460"/>
      <c r="M293" s="922"/>
      <c r="N293" s="460"/>
    </row>
    <row r="294" spans="1:14">
      <c r="A294" s="906"/>
      <c r="B294" s="907"/>
      <c r="C294" s="908"/>
      <c r="D294" s="909"/>
      <c r="E294" s="905"/>
      <c r="F294" s="465"/>
      <c r="G294" s="922"/>
      <c r="H294" s="460"/>
      <c r="I294" s="981"/>
      <c r="J294" s="460"/>
      <c r="K294" s="981"/>
      <c r="L294" s="460"/>
      <c r="M294" s="922"/>
      <c r="N294" s="460"/>
    </row>
    <row r="295" spans="1:14">
      <c r="A295" s="906"/>
      <c r="B295" s="907"/>
      <c r="C295" s="908"/>
      <c r="D295" s="909"/>
      <c r="E295" s="905"/>
      <c r="F295" s="465"/>
      <c r="G295" s="922"/>
      <c r="H295" s="460"/>
      <c r="I295" s="981"/>
      <c r="J295" s="460"/>
      <c r="K295" s="981"/>
      <c r="L295" s="460"/>
      <c r="M295" s="922"/>
      <c r="N295" s="460"/>
    </row>
    <row r="296" spans="1:14">
      <c r="A296" s="906"/>
      <c r="B296" s="907"/>
      <c r="C296" s="908"/>
      <c r="D296" s="909"/>
      <c r="E296" s="905"/>
      <c r="F296" s="465"/>
      <c r="G296" s="922"/>
      <c r="H296" s="460"/>
      <c r="I296" s="981"/>
      <c r="J296" s="460"/>
      <c r="K296" s="981"/>
      <c r="L296" s="460"/>
      <c r="M296" s="922"/>
      <c r="N296" s="460"/>
    </row>
    <row r="297" spans="1:14">
      <c r="A297" s="906"/>
      <c r="B297" s="907"/>
      <c r="C297" s="908"/>
      <c r="D297" s="909"/>
      <c r="E297" s="905"/>
      <c r="F297" s="465"/>
      <c r="G297" s="922"/>
      <c r="H297" s="460"/>
      <c r="I297" s="981"/>
      <c r="J297" s="460"/>
      <c r="K297" s="981"/>
      <c r="L297" s="460"/>
      <c r="M297" s="922"/>
      <c r="N297" s="460"/>
    </row>
    <row r="298" spans="1:14">
      <c r="A298" s="906"/>
      <c r="B298" s="907"/>
      <c r="C298" s="908"/>
      <c r="D298" s="909"/>
      <c r="E298" s="905"/>
      <c r="F298" s="465"/>
      <c r="G298" s="922"/>
      <c r="H298" s="460"/>
      <c r="I298" s="981"/>
      <c r="J298" s="460"/>
      <c r="K298" s="981"/>
      <c r="L298" s="460"/>
      <c r="M298" s="922"/>
      <c r="N298" s="460"/>
    </row>
    <row r="299" spans="1:14">
      <c r="A299" s="906"/>
      <c r="B299" s="907"/>
      <c r="C299" s="908"/>
      <c r="D299" s="909"/>
      <c r="E299" s="905"/>
      <c r="F299" s="465"/>
      <c r="G299" s="922"/>
      <c r="H299" s="460"/>
      <c r="I299" s="981"/>
      <c r="J299" s="460"/>
      <c r="K299" s="981"/>
      <c r="L299" s="460"/>
      <c r="M299" s="922"/>
      <c r="N299" s="460"/>
    </row>
    <row r="300" spans="1:14">
      <c r="A300" s="906"/>
      <c r="B300" s="907"/>
      <c r="C300" s="908"/>
      <c r="D300" s="909"/>
      <c r="E300" s="905"/>
      <c r="F300" s="465"/>
      <c r="G300" s="922"/>
      <c r="H300" s="460"/>
      <c r="I300" s="981"/>
      <c r="J300" s="460"/>
      <c r="K300" s="981"/>
      <c r="L300" s="460"/>
      <c r="M300" s="922"/>
      <c r="N300" s="460"/>
    </row>
    <row r="301" spans="1:14">
      <c r="A301" s="906"/>
      <c r="B301" s="907"/>
      <c r="C301" s="908"/>
      <c r="D301" s="909"/>
      <c r="E301" s="905"/>
      <c r="F301" s="465"/>
      <c r="G301" s="922"/>
      <c r="H301" s="460"/>
      <c r="I301" s="981"/>
      <c r="J301" s="460"/>
      <c r="K301" s="981"/>
      <c r="L301" s="460"/>
      <c r="M301" s="922"/>
      <c r="N301" s="460"/>
    </row>
    <row r="302" spans="1:14">
      <c r="A302" s="906"/>
      <c r="B302" s="907"/>
      <c r="C302" s="908"/>
      <c r="D302" s="909"/>
      <c r="E302" s="905"/>
      <c r="F302" s="465"/>
      <c r="G302" s="922"/>
      <c r="H302" s="460"/>
      <c r="I302" s="981"/>
      <c r="J302" s="460"/>
      <c r="K302" s="981"/>
      <c r="L302" s="460"/>
      <c r="M302" s="922"/>
      <c r="N302" s="460"/>
    </row>
    <row r="303" spans="1:14">
      <c r="A303" s="906"/>
      <c r="B303" s="907"/>
      <c r="C303" s="908"/>
      <c r="D303" s="909"/>
      <c r="E303" s="905"/>
      <c r="F303" s="465"/>
      <c r="G303" s="922"/>
      <c r="H303" s="460"/>
      <c r="I303" s="981"/>
      <c r="J303" s="460"/>
      <c r="K303" s="981"/>
      <c r="L303" s="460"/>
      <c r="M303" s="922"/>
      <c r="N303" s="460"/>
    </row>
    <row r="304" spans="1:14">
      <c r="A304" s="906"/>
      <c r="B304" s="907"/>
      <c r="C304" s="908"/>
      <c r="D304" s="909"/>
      <c r="E304" s="905"/>
      <c r="F304" s="465"/>
      <c r="G304" s="922"/>
      <c r="H304" s="460"/>
      <c r="I304" s="981"/>
      <c r="J304" s="460"/>
      <c r="K304" s="981"/>
      <c r="L304" s="460"/>
      <c r="M304" s="922"/>
      <c r="N304" s="460"/>
    </row>
    <row r="305" spans="1:14">
      <c r="A305" s="906"/>
      <c r="B305" s="907"/>
      <c r="C305" s="908"/>
      <c r="D305" s="909"/>
      <c r="E305" s="905"/>
      <c r="F305" s="465"/>
      <c r="G305" s="922"/>
      <c r="H305" s="460"/>
      <c r="I305" s="981"/>
      <c r="J305" s="460"/>
      <c r="K305" s="981"/>
      <c r="L305" s="460"/>
      <c r="M305" s="922"/>
      <c r="N305" s="460"/>
    </row>
    <row r="306" spans="1:14">
      <c r="A306" s="906"/>
      <c r="B306" s="907"/>
      <c r="C306" s="908"/>
      <c r="D306" s="909"/>
      <c r="E306" s="905"/>
      <c r="F306" s="465"/>
      <c r="G306" s="922"/>
      <c r="H306" s="460"/>
      <c r="I306" s="981"/>
      <c r="J306" s="460"/>
      <c r="K306" s="981"/>
      <c r="L306" s="460"/>
      <c r="M306" s="922"/>
      <c r="N306" s="460"/>
    </row>
    <row r="307" spans="1:14">
      <c r="A307" s="906"/>
      <c r="B307" s="907"/>
      <c r="C307" s="908"/>
      <c r="D307" s="909"/>
      <c r="E307" s="905"/>
      <c r="F307" s="465"/>
      <c r="G307" s="922"/>
      <c r="H307" s="460"/>
      <c r="I307" s="981"/>
      <c r="J307" s="460"/>
      <c r="K307" s="981"/>
      <c r="L307" s="460"/>
      <c r="M307" s="922"/>
      <c r="N307" s="460"/>
    </row>
    <row r="308" spans="1:14">
      <c r="A308" s="906"/>
      <c r="B308" s="907"/>
      <c r="C308" s="908"/>
      <c r="D308" s="909"/>
      <c r="E308" s="905"/>
      <c r="F308" s="465"/>
      <c r="G308" s="922"/>
      <c r="H308" s="460"/>
      <c r="I308" s="981"/>
      <c r="J308" s="460"/>
      <c r="K308" s="981"/>
      <c r="L308" s="460"/>
      <c r="M308" s="922"/>
      <c r="N308" s="460"/>
    </row>
    <row r="309" spans="1:14">
      <c r="A309" s="906"/>
      <c r="B309" s="907"/>
      <c r="C309" s="908"/>
      <c r="D309" s="909"/>
      <c r="E309" s="905"/>
      <c r="F309" s="465"/>
      <c r="G309" s="922"/>
      <c r="H309" s="460"/>
      <c r="I309" s="981"/>
      <c r="J309" s="460"/>
      <c r="K309" s="981"/>
      <c r="L309" s="460"/>
      <c r="M309" s="922"/>
      <c r="N309" s="460"/>
    </row>
    <row r="310" spans="1:14">
      <c r="A310" s="906"/>
      <c r="B310" s="907"/>
      <c r="C310" s="908"/>
      <c r="D310" s="909"/>
      <c r="E310" s="905"/>
      <c r="F310" s="465"/>
      <c r="G310" s="922"/>
      <c r="H310" s="460"/>
      <c r="I310" s="981"/>
      <c r="J310" s="460"/>
      <c r="K310" s="981"/>
      <c r="L310" s="460"/>
      <c r="M310" s="922"/>
      <c r="N310" s="460"/>
    </row>
    <row r="311" spans="1:14">
      <c r="A311" s="906"/>
      <c r="B311" s="907"/>
      <c r="C311" s="908"/>
      <c r="D311" s="909"/>
      <c r="E311" s="905"/>
      <c r="F311" s="465"/>
      <c r="G311" s="922"/>
      <c r="H311" s="460"/>
      <c r="I311" s="981"/>
      <c r="J311" s="460"/>
      <c r="K311" s="981"/>
      <c r="L311" s="460"/>
      <c r="M311" s="922"/>
      <c r="N311" s="460"/>
    </row>
    <row r="312" spans="1:14">
      <c r="A312" s="906"/>
      <c r="B312" s="907"/>
      <c r="C312" s="908"/>
      <c r="D312" s="909"/>
      <c r="E312" s="905"/>
      <c r="F312" s="465"/>
      <c r="G312" s="922"/>
      <c r="H312" s="460"/>
      <c r="I312" s="981"/>
      <c r="J312" s="460"/>
      <c r="K312" s="981"/>
      <c r="L312" s="460"/>
      <c r="M312" s="922"/>
      <c r="N312" s="460"/>
    </row>
    <row r="313" spans="1:14">
      <c r="A313" s="906"/>
      <c r="B313" s="907"/>
      <c r="C313" s="908"/>
      <c r="D313" s="909"/>
      <c r="E313" s="905"/>
      <c r="F313" s="465"/>
      <c r="G313" s="922"/>
      <c r="H313" s="460"/>
      <c r="I313" s="981"/>
      <c r="J313" s="460"/>
      <c r="K313" s="981"/>
      <c r="L313" s="460"/>
      <c r="M313" s="922"/>
      <c r="N313" s="460"/>
    </row>
    <row r="314" spans="1:14">
      <c r="A314" s="906"/>
      <c r="B314" s="907"/>
      <c r="C314" s="908"/>
      <c r="D314" s="909"/>
      <c r="E314" s="905"/>
      <c r="F314" s="465"/>
      <c r="G314" s="922"/>
      <c r="H314" s="460"/>
      <c r="I314" s="981"/>
      <c r="J314" s="460"/>
      <c r="K314" s="981"/>
      <c r="L314" s="460"/>
      <c r="M314" s="922"/>
      <c r="N314" s="460"/>
    </row>
    <row r="315" spans="1:14">
      <c r="A315" s="906"/>
      <c r="B315" s="907"/>
      <c r="C315" s="908"/>
      <c r="D315" s="909"/>
      <c r="E315" s="905"/>
      <c r="F315" s="465"/>
      <c r="G315" s="922"/>
      <c r="H315" s="460"/>
      <c r="I315" s="981"/>
      <c r="J315" s="460"/>
      <c r="K315" s="981"/>
      <c r="L315" s="460"/>
      <c r="M315" s="922"/>
      <c r="N315" s="460"/>
    </row>
    <row r="316" spans="1:14">
      <c r="A316" s="906"/>
      <c r="B316" s="907"/>
      <c r="C316" s="908"/>
      <c r="D316" s="909"/>
      <c r="E316" s="905"/>
      <c r="F316" s="465"/>
      <c r="G316" s="922"/>
      <c r="H316" s="460"/>
      <c r="I316" s="981"/>
      <c r="J316" s="460"/>
      <c r="K316" s="981"/>
      <c r="L316" s="460"/>
      <c r="M316" s="922"/>
      <c r="N316" s="460"/>
    </row>
    <row r="317" spans="1:14">
      <c r="A317" s="906"/>
      <c r="B317" s="907"/>
      <c r="C317" s="908"/>
      <c r="D317" s="909"/>
      <c r="E317" s="905"/>
      <c r="F317" s="465"/>
      <c r="G317" s="922"/>
      <c r="H317" s="460"/>
      <c r="I317" s="981"/>
      <c r="J317" s="460"/>
      <c r="K317" s="981"/>
      <c r="L317" s="460"/>
      <c r="M317" s="922"/>
      <c r="N317" s="460"/>
    </row>
    <row r="318" spans="1:14">
      <c r="A318" s="906"/>
      <c r="B318" s="907"/>
      <c r="C318" s="908"/>
      <c r="D318" s="909"/>
      <c r="E318" s="905"/>
      <c r="F318" s="465"/>
      <c r="G318" s="922"/>
      <c r="H318" s="460"/>
      <c r="I318" s="981"/>
      <c r="J318" s="460"/>
      <c r="K318" s="981"/>
      <c r="L318" s="460"/>
      <c r="M318" s="922"/>
      <c r="N318" s="460"/>
    </row>
    <row r="319" spans="1:14">
      <c r="A319" s="906"/>
      <c r="B319" s="907"/>
      <c r="C319" s="908"/>
      <c r="D319" s="909"/>
      <c r="E319" s="905"/>
      <c r="F319" s="465"/>
      <c r="G319" s="922"/>
      <c r="H319" s="460"/>
      <c r="I319" s="981"/>
      <c r="J319" s="460"/>
      <c r="K319" s="981"/>
      <c r="L319" s="460"/>
      <c r="M319" s="922"/>
      <c r="N319" s="460"/>
    </row>
    <row r="320" spans="1:14">
      <c r="A320" s="906"/>
      <c r="B320" s="907"/>
      <c r="C320" s="908"/>
      <c r="D320" s="909"/>
      <c r="E320" s="905"/>
      <c r="F320" s="465"/>
      <c r="G320" s="922"/>
      <c r="H320" s="460"/>
      <c r="I320" s="981"/>
      <c r="J320" s="460"/>
      <c r="K320" s="981"/>
      <c r="L320" s="460"/>
      <c r="M320" s="922"/>
      <c r="N320" s="460"/>
    </row>
    <row r="321" spans="1:14">
      <c r="A321" s="906"/>
      <c r="B321" s="907"/>
      <c r="C321" s="908"/>
      <c r="D321" s="909"/>
      <c r="E321" s="905"/>
      <c r="F321" s="465"/>
      <c r="G321" s="922"/>
      <c r="H321" s="460"/>
      <c r="I321" s="981"/>
      <c r="J321" s="460"/>
      <c r="K321" s="981"/>
      <c r="L321" s="460"/>
      <c r="M321" s="922"/>
      <c r="N321" s="460"/>
    </row>
    <row r="322" spans="1:14">
      <c r="A322" s="906"/>
      <c r="B322" s="907"/>
      <c r="C322" s="908"/>
      <c r="D322" s="909"/>
      <c r="E322" s="905"/>
      <c r="F322" s="465"/>
      <c r="G322" s="922"/>
      <c r="H322" s="460"/>
      <c r="I322" s="981"/>
      <c r="J322" s="460"/>
      <c r="K322" s="981"/>
      <c r="L322" s="460"/>
      <c r="M322" s="922"/>
      <c r="N322" s="460"/>
    </row>
    <row r="323" spans="1:14">
      <c r="A323" s="906"/>
      <c r="B323" s="907"/>
      <c r="C323" s="908"/>
      <c r="D323" s="909"/>
      <c r="E323" s="905"/>
      <c r="F323" s="465"/>
      <c r="G323" s="922"/>
      <c r="H323" s="460"/>
      <c r="I323" s="981"/>
      <c r="J323" s="460"/>
      <c r="K323" s="981"/>
      <c r="L323" s="460"/>
      <c r="M323" s="922"/>
      <c r="N323" s="460"/>
    </row>
    <row r="324" spans="1:14">
      <c r="A324" s="906"/>
      <c r="B324" s="907"/>
      <c r="C324" s="908"/>
      <c r="D324" s="909"/>
      <c r="E324" s="905"/>
      <c r="F324" s="465"/>
      <c r="G324" s="922"/>
      <c r="H324" s="460"/>
      <c r="I324" s="981"/>
      <c r="J324" s="460"/>
      <c r="K324" s="981"/>
      <c r="L324" s="460"/>
      <c r="M324" s="922"/>
      <c r="N324" s="460"/>
    </row>
    <row r="325" spans="1:14">
      <c r="A325" s="906"/>
      <c r="B325" s="907"/>
      <c r="C325" s="908"/>
      <c r="D325" s="909"/>
      <c r="E325" s="905"/>
      <c r="F325" s="465"/>
      <c r="G325" s="922"/>
      <c r="H325" s="460"/>
      <c r="I325" s="981"/>
      <c r="J325" s="460"/>
      <c r="K325" s="981"/>
      <c r="L325" s="460"/>
      <c r="M325" s="922"/>
      <c r="N325" s="460"/>
    </row>
    <row r="326" spans="1:14">
      <c r="A326" s="906"/>
      <c r="B326" s="907"/>
      <c r="C326" s="908"/>
      <c r="D326" s="909"/>
      <c r="E326" s="905"/>
      <c r="F326" s="465"/>
      <c r="G326" s="922"/>
      <c r="H326" s="460"/>
      <c r="I326" s="981"/>
      <c r="J326" s="460"/>
      <c r="K326" s="981"/>
      <c r="L326" s="460"/>
      <c r="M326" s="922"/>
      <c r="N326" s="460"/>
    </row>
    <row r="327" spans="1:14">
      <c r="A327" s="906"/>
      <c r="B327" s="907"/>
      <c r="C327" s="908"/>
      <c r="D327" s="909"/>
      <c r="E327" s="905"/>
      <c r="F327" s="465"/>
      <c r="G327" s="922"/>
      <c r="H327" s="460"/>
      <c r="I327" s="981"/>
      <c r="J327" s="460"/>
      <c r="K327" s="981"/>
      <c r="L327" s="460"/>
      <c r="M327" s="922"/>
      <c r="N327" s="460"/>
    </row>
    <row r="328" spans="1:14">
      <c r="A328" s="906"/>
      <c r="B328" s="907"/>
      <c r="C328" s="908"/>
      <c r="D328" s="909"/>
      <c r="E328" s="905"/>
      <c r="F328" s="465"/>
      <c r="G328" s="922"/>
      <c r="H328" s="460"/>
      <c r="I328" s="981"/>
      <c r="J328" s="460"/>
      <c r="K328" s="981"/>
      <c r="L328" s="460"/>
      <c r="M328" s="922"/>
      <c r="N328" s="460"/>
    </row>
    <row r="329" spans="1:14">
      <c r="A329" s="906"/>
      <c r="B329" s="907"/>
      <c r="C329" s="908"/>
      <c r="D329" s="909"/>
      <c r="E329" s="905"/>
      <c r="F329" s="465"/>
      <c r="G329" s="922"/>
      <c r="H329" s="460"/>
      <c r="I329" s="981"/>
      <c r="J329" s="460"/>
      <c r="K329" s="981"/>
      <c r="L329" s="460"/>
      <c r="M329" s="922"/>
      <c r="N329" s="460"/>
    </row>
    <row r="330" spans="1:14">
      <c r="A330" s="906"/>
      <c r="B330" s="907"/>
      <c r="C330" s="908"/>
      <c r="D330" s="909"/>
      <c r="E330" s="905"/>
      <c r="F330" s="465"/>
      <c r="G330" s="922"/>
      <c r="H330" s="460"/>
      <c r="I330" s="981"/>
      <c r="J330" s="460"/>
      <c r="K330" s="981"/>
      <c r="L330" s="460"/>
      <c r="M330" s="922"/>
      <c r="N330" s="460"/>
    </row>
    <row r="331" spans="1:14">
      <c r="A331" s="906"/>
      <c r="B331" s="907"/>
      <c r="C331" s="908"/>
      <c r="D331" s="909"/>
      <c r="E331" s="905"/>
      <c r="F331" s="465"/>
      <c r="G331" s="922"/>
      <c r="H331" s="460"/>
      <c r="I331" s="981"/>
      <c r="J331" s="460"/>
      <c r="K331" s="981"/>
      <c r="L331" s="460"/>
      <c r="M331" s="922"/>
      <c r="N331" s="460"/>
    </row>
    <row r="332" spans="1:14">
      <c r="A332" s="906"/>
      <c r="B332" s="907"/>
      <c r="C332" s="908"/>
      <c r="D332" s="909"/>
      <c r="E332" s="905"/>
      <c r="F332" s="465"/>
      <c r="G332" s="922"/>
      <c r="H332" s="460"/>
      <c r="I332" s="981"/>
      <c r="J332" s="460"/>
      <c r="K332" s="981"/>
      <c r="L332" s="460"/>
      <c r="M332" s="922"/>
      <c r="N332" s="460"/>
    </row>
    <row r="333" spans="1:14">
      <c r="A333" s="906"/>
      <c r="B333" s="907"/>
      <c r="C333" s="908"/>
      <c r="D333" s="909"/>
      <c r="E333" s="905"/>
      <c r="F333" s="465"/>
      <c r="G333" s="922"/>
      <c r="H333" s="460"/>
      <c r="I333" s="981"/>
      <c r="J333" s="460"/>
      <c r="K333" s="981"/>
      <c r="L333" s="460"/>
      <c r="M333" s="922"/>
      <c r="N333" s="460"/>
    </row>
    <row r="334" spans="1:14">
      <c r="A334" s="906"/>
      <c r="B334" s="907"/>
      <c r="C334" s="908"/>
      <c r="D334" s="909"/>
      <c r="E334" s="905"/>
      <c r="F334" s="465"/>
      <c r="G334" s="922"/>
      <c r="H334" s="460"/>
      <c r="I334" s="981"/>
      <c r="J334" s="460"/>
      <c r="K334" s="981"/>
      <c r="L334" s="460"/>
      <c r="M334" s="922"/>
      <c r="N334" s="460"/>
    </row>
    <row r="335" spans="1:14">
      <c r="A335" s="906"/>
      <c r="B335" s="907"/>
      <c r="C335" s="908"/>
      <c r="D335" s="909"/>
      <c r="E335" s="905"/>
      <c r="F335" s="465"/>
      <c r="G335" s="922"/>
      <c r="H335" s="460"/>
      <c r="I335" s="981"/>
      <c r="J335" s="460"/>
      <c r="K335" s="981"/>
      <c r="L335" s="460"/>
      <c r="M335" s="922"/>
      <c r="N335" s="460"/>
    </row>
    <row r="336" spans="1:14">
      <c r="A336" s="906"/>
      <c r="B336" s="907"/>
      <c r="C336" s="908"/>
      <c r="D336" s="909"/>
      <c r="E336" s="905"/>
      <c r="F336" s="465"/>
      <c r="G336" s="922"/>
      <c r="H336" s="460"/>
      <c r="I336" s="981"/>
      <c r="J336" s="460"/>
      <c r="K336" s="981"/>
      <c r="L336" s="460"/>
      <c r="M336" s="922"/>
      <c r="N336" s="460"/>
    </row>
    <row r="337" spans="1:14">
      <c r="A337" s="906"/>
      <c r="B337" s="907"/>
      <c r="C337" s="908"/>
      <c r="D337" s="909"/>
      <c r="E337" s="905"/>
      <c r="F337" s="465"/>
      <c r="G337" s="922"/>
      <c r="H337" s="460"/>
      <c r="I337" s="981"/>
      <c r="J337" s="460"/>
      <c r="K337" s="981"/>
      <c r="L337" s="460"/>
      <c r="M337" s="922"/>
      <c r="N337" s="460"/>
    </row>
    <row r="338" spans="1:14">
      <c r="A338" s="906"/>
      <c r="B338" s="907"/>
      <c r="C338" s="908"/>
      <c r="D338" s="909"/>
      <c r="E338" s="905"/>
      <c r="F338" s="465"/>
      <c r="G338" s="922"/>
      <c r="H338" s="460"/>
      <c r="I338" s="981"/>
      <c r="J338" s="460"/>
      <c r="K338" s="981"/>
      <c r="L338" s="460"/>
      <c r="M338" s="922"/>
      <c r="N338" s="460"/>
    </row>
    <row r="339" spans="1:14">
      <c r="A339" s="906"/>
      <c r="B339" s="907"/>
      <c r="C339" s="908"/>
      <c r="D339" s="909"/>
      <c r="E339" s="905"/>
      <c r="F339" s="465"/>
      <c r="G339" s="922"/>
      <c r="H339" s="460"/>
      <c r="I339" s="981"/>
      <c r="J339" s="460"/>
      <c r="K339" s="981"/>
      <c r="L339" s="460"/>
      <c r="M339" s="922"/>
      <c r="N339" s="460"/>
    </row>
    <row r="340" spans="1:14">
      <c r="A340" s="906"/>
      <c r="B340" s="907"/>
      <c r="C340" s="908"/>
      <c r="D340" s="909"/>
      <c r="E340" s="905"/>
      <c r="F340" s="465"/>
      <c r="G340" s="922"/>
      <c r="H340" s="460"/>
      <c r="I340" s="981"/>
      <c r="J340" s="460"/>
      <c r="K340" s="981"/>
      <c r="L340" s="460"/>
      <c r="M340" s="922"/>
      <c r="N340" s="460"/>
    </row>
    <row r="341" spans="1:14">
      <c r="A341" s="906"/>
      <c r="B341" s="907"/>
      <c r="C341" s="908"/>
      <c r="D341" s="909"/>
      <c r="E341" s="905"/>
      <c r="F341" s="465"/>
      <c r="G341" s="922"/>
      <c r="H341" s="460"/>
      <c r="I341" s="981"/>
      <c r="J341" s="460"/>
      <c r="K341" s="981"/>
      <c r="L341" s="460"/>
      <c r="M341" s="922"/>
      <c r="N341" s="460"/>
    </row>
    <row r="342" spans="1:14">
      <c r="A342" s="906"/>
      <c r="B342" s="907"/>
      <c r="C342" s="908"/>
      <c r="D342" s="909"/>
      <c r="E342" s="905"/>
      <c r="F342" s="465"/>
      <c r="G342" s="922"/>
      <c r="H342" s="460"/>
      <c r="I342" s="981"/>
      <c r="J342" s="460"/>
      <c r="K342" s="981"/>
      <c r="L342" s="460"/>
      <c r="M342" s="922"/>
      <c r="N342" s="460"/>
    </row>
    <row r="343" spans="1:14">
      <c r="A343" s="906"/>
      <c r="B343" s="907"/>
      <c r="C343" s="908"/>
      <c r="D343" s="909"/>
      <c r="E343" s="905"/>
      <c r="F343" s="465"/>
      <c r="G343" s="922"/>
      <c r="H343" s="460"/>
      <c r="I343" s="981"/>
      <c r="J343" s="460"/>
      <c r="K343" s="981"/>
      <c r="L343" s="460"/>
      <c r="M343" s="922"/>
      <c r="N343" s="460"/>
    </row>
    <row r="344" spans="1:14">
      <c r="A344" s="906"/>
      <c r="B344" s="907"/>
      <c r="C344" s="908"/>
      <c r="D344" s="909"/>
      <c r="E344" s="905"/>
      <c r="F344" s="465"/>
      <c r="G344" s="922"/>
      <c r="H344" s="460"/>
      <c r="I344" s="981"/>
      <c r="J344" s="460"/>
      <c r="K344" s="981"/>
      <c r="L344" s="460"/>
      <c r="M344" s="922"/>
      <c r="N344" s="460"/>
    </row>
    <row r="345" spans="1:14">
      <c r="A345" s="906"/>
      <c r="B345" s="907"/>
      <c r="C345" s="908"/>
      <c r="D345" s="909"/>
      <c r="E345" s="905"/>
      <c r="F345" s="465"/>
      <c r="G345" s="922"/>
      <c r="H345" s="460"/>
      <c r="I345" s="981"/>
      <c r="J345" s="460"/>
      <c r="K345" s="981"/>
      <c r="L345" s="460"/>
      <c r="M345" s="922"/>
      <c r="N345" s="460"/>
    </row>
    <row r="346" spans="1:14">
      <c r="A346" s="906"/>
      <c r="B346" s="907"/>
      <c r="C346" s="908"/>
      <c r="D346" s="909"/>
      <c r="E346" s="905"/>
      <c r="F346" s="465"/>
      <c r="G346" s="922"/>
      <c r="H346" s="460"/>
      <c r="I346" s="981"/>
      <c r="J346" s="460"/>
      <c r="K346" s="981"/>
      <c r="L346" s="460"/>
      <c r="M346" s="922"/>
      <c r="N346" s="460"/>
    </row>
    <row r="347" spans="1:14">
      <c r="A347" s="906"/>
      <c r="B347" s="907"/>
      <c r="C347" s="908"/>
      <c r="D347" s="909"/>
      <c r="E347" s="905"/>
      <c r="F347" s="465"/>
      <c r="G347" s="922"/>
      <c r="H347" s="460"/>
      <c r="I347" s="981"/>
      <c r="J347" s="460"/>
      <c r="K347" s="981"/>
      <c r="L347" s="460"/>
      <c r="M347" s="922"/>
      <c r="N347" s="460"/>
    </row>
    <row r="348" spans="1:14">
      <c r="A348" s="906"/>
      <c r="B348" s="907"/>
      <c r="C348" s="908"/>
      <c r="D348" s="909"/>
      <c r="E348" s="905"/>
      <c r="F348" s="465"/>
      <c r="G348" s="922"/>
      <c r="H348" s="460"/>
      <c r="I348" s="981"/>
      <c r="J348" s="460"/>
      <c r="K348" s="981"/>
      <c r="L348" s="460"/>
      <c r="M348" s="922"/>
      <c r="N348" s="460"/>
    </row>
    <row r="349" spans="1:14">
      <c r="A349" s="906"/>
      <c r="B349" s="907"/>
      <c r="C349" s="908"/>
      <c r="D349" s="909"/>
      <c r="E349" s="905"/>
      <c r="F349" s="465"/>
      <c r="G349" s="922"/>
      <c r="H349" s="460"/>
      <c r="I349" s="981"/>
      <c r="J349" s="460"/>
      <c r="K349" s="981"/>
      <c r="L349" s="460"/>
      <c r="M349" s="922"/>
      <c r="N349" s="460"/>
    </row>
    <row r="350" spans="1:14">
      <c r="A350" s="906"/>
      <c r="B350" s="907"/>
      <c r="C350" s="908"/>
      <c r="D350" s="909"/>
      <c r="E350" s="905"/>
      <c r="F350" s="465"/>
      <c r="G350" s="922"/>
      <c r="H350" s="460"/>
      <c r="I350" s="981"/>
      <c r="J350" s="460"/>
      <c r="K350" s="981"/>
      <c r="L350" s="460"/>
      <c r="M350" s="922"/>
      <c r="N350" s="460"/>
    </row>
    <row r="351" spans="1:14">
      <c r="A351" s="906"/>
      <c r="B351" s="907"/>
      <c r="C351" s="908"/>
      <c r="D351" s="909"/>
      <c r="E351" s="905"/>
      <c r="F351" s="465"/>
      <c r="G351" s="922"/>
      <c r="H351" s="460"/>
      <c r="I351" s="981"/>
      <c r="J351" s="460"/>
      <c r="K351" s="981"/>
      <c r="L351" s="460"/>
      <c r="M351" s="922"/>
      <c r="N351" s="460"/>
    </row>
    <row r="352" spans="1:14">
      <c r="A352" s="906"/>
      <c r="B352" s="907"/>
      <c r="C352" s="908"/>
      <c r="D352" s="909"/>
      <c r="E352" s="905"/>
      <c r="F352" s="465"/>
      <c r="G352" s="922"/>
      <c r="H352" s="460"/>
      <c r="I352" s="981"/>
      <c r="J352" s="460"/>
      <c r="K352" s="981"/>
      <c r="L352" s="460"/>
      <c r="M352" s="922"/>
      <c r="N352" s="460"/>
    </row>
    <row r="353" spans="1:14">
      <c r="A353" s="906"/>
      <c r="B353" s="907"/>
      <c r="C353" s="908"/>
      <c r="D353" s="909"/>
      <c r="E353" s="905"/>
      <c r="F353" s="465"/>
      <c r="G353" s="922"/>
      <c r="H353" s="460"/>
      <c r="I353" s="981"/>
      <c r="J353" s="460"/>
      <c r="K353" s="981"/>
      <c r="L353" s="460"/>
      <c r="M353" s="922"/>
      <c r="N353" s="460"/>
    </row>
    <row r="354" spans="1:14">
      <c r="A354" s="906"/>
      <c r="B354" s="907"/>
      <c r="C354" s="908"/>
      <c r="D354" s="909"/>
      <c r="E354" s="905"/>
      <c r="F354" s="465"/>
      <c r="G354" s="922"/>
      <c r="H354" s="460"/>
      <c r="I354" s="981"/>
      <c r="J354" s="460"/>
      <c r="K354" s="981"/>
      <c r="L354" s="460"/>
      <c r="M354" s="922"/>
      <c r="N354" s="460"/>
    </row>
    <row r="355" spans="1:14">
      <c r="A355" s="906"/>
      <c r="B355" s="907"/>
      <c r="C355" s="908"/>
      <c r="D355" s="909"/>
      <c r="E355" s="905"/>
      <c r="F355" s="465"/>
      <c r="G355" s="922"/>
      <c r="H355" s="460"/>
      <c r="I355" s="981"/>
      <c r="J355" s="460"/>
      <c r="K355" s="981"/>
      <c r="L355" s="460"/>
      <c r="M355" s="922"/>
      <c r="N355" s="460"/>
    </row>
    <row r="356" spans="1:14">
      <c r="A356" s="906"/>
      <c r="B356" s="907"/>
      <c r="C356" s="908"/>
      <c r="D356" s="909"/>
      <c r="E356" s="905"/>
      <c r="F356" s="465"/>
      <c r="G356" s="922"/>
      <c r="H356" s="460"/>
      <c r="I356" s="981"/>
      <c r="J356" s="460"/>
      <c r="K356" s="981"/>
      <c r="L356" s="460"/>
      <c r="M356" s="922"/>
      <c r="N356" s="460"/>
    </row>
    <row r="357" spans="1:14">
      <c r="A357" s="906"/>
      <c r="B357" s="907"/>
      <c r="C357" s="908"/>
      <c r="D357" s="909"/>
      <c r="E357" s="905"/>
      <c r="F357" s="465"/>
      <c r="G357" s="922"/>
      <c r="H357" s="460"/>
      <c r="I357" s="981"/>
      <c r="J357" s="460"/>
      <c r="K357" s="981"/>
      <c r="L357" s="460"/>
      <c r="M357" s="922"/>
      <c r="N357" s="460"/>
    </row>
    <row r="358" spans="1:14">
      <c r="A358" s="906"/>
      <c r="B358" s="907"/>
      <c r="C358" s="908"/>
      <c r="D358" s="909"/>
      <c r="E358" s="905"/>
      <c r="F358" s="465"/>
      <c r="G358" s="922"/>
      <c r="H358" s="460"/>
      <c r="I358" s="981"/>
      <c r="J358" s="460"/>
      <c r="K358" s="981"/>
      <c r="L358" s="460"/>
      <c r="M358" s="922"/>
      <c r="N358" s="460"/>
    </row>
    <row r="359" spans="1:14">
      <c r="A359" s="906"/>
      <c r="B359" s="907"/>
      <c r="C359" s="908"/>
      <c r="D359" s="909"/>
      <c r="E359" s="905"/>
      <c r="F359" s="465"/>
      <c r="G359" s="922"/>
      <c r="H359" s="460"/>
      <c r="I359" s="981"/>
      <c r="J359" s="460"/>
      <c r="K359" s="981"/>
      <c r="L359" s="460"/>
      <c r="M359" s="922"/>
      <c r="N359" s="460"/>
    </row>
    <row r="360" spans="1:14">
      <c r="A360" s="906"/>
      <c r="B360" s="907"/>
      <c r="C360" s="908"/>
      <c r="D360" s="909"/>
      <c r="E360" s="905"/>
      <c r="F360" s="465"/>
      <c r="G360" s="922"/>
      <c r="H360" s="460"/>
      <c r="I360" s="981"/>
      <c r="J360" s="460"/>
      <c r="K360" s="981"/>
      <c r="L360" s="460"/>
      <c r="M360" s="922"/>
      <c r="N360" s="460"/>
    </row>
    <row r="361" spans="1:14">
      <c r="A361" s="906"/>
      <c r="B361" s="907"/>
      <c r="C361" s="908"/>
      <c r="D361" s="909"/>
      <c r="E361" s="905"/>
      <c r="F361" s="465"/>
      <c r="G361" s="922"/>
      <c r="H361" s="460"/>
      <c r="I361" s="981"/>
      <c r="J361" s="460"/>
      <c r="K361" s="981"/>
      <c r="L361" s="460"/>
      <c r="M361" s="922"/>
      <c r="N361" s="460"/>
    </row>
    <row r="362" spans="1:14">
      <c r="A362" s="906"/>
      <c r="B362" s="907"/>
      <c r="C362" s="908"/>
      <c r="D362" s="909"/>
      <c r="E362" s="905"/>
      <c r="F362" s="465"/>
      <c r="G362" s="922"/>
      <c r="H362" s="460"/>
      <c r="I362" s="981"/>
      <c r="J362" s="460"/>
      <c r="K362" s="981"/>
      <c r="L362" s="460"/>
      <c r="M362" s="922"/>
      <c r="N362" s="460"/>
    </row>
    <row r="363" spans="1:14">
      <c r="A363" s="906"/>
      <c r="B363" s="907"/>
      <c r="C363" s="908"/>
      <c r="D363" s="909"/>
      <c r="E363" s="905"/>
      <c r="F363" s="465"/>
      <c r="G363" s="922"/>
      <c r="H363" s="460"/>
      <c r="I363" s="981"/>
      <c r="J363" s="460"/>
      <c r="K363" s="981"/>
      <c r="L363" s="460"/>
      <c r="M363" s="922"/>
      <c r="N363" s="460"/>
    </row>
    <row r="364" spans="1:14">
      <c r="A364" s="906"/>
      <c r="B364" s="907"/>
      <c r="C364" s="908"/>
      <c r="D364" s="909"/>
      <c r="E364" s="905"/>
      <c r="F364" s="465"/>
      <c r="G364" s="922"/>
      <c r="H364" s="460"/>
      <c r="I364" s="981"/>
      <c r="J364" s="460"/>
      <c r="K364" s="981"/>
      <c r="L364" s="460"/>
      <c r="M364" s="922"/>
      <c r="N364" s="460"/>
    </row>
    <row r="365" spans="1:14">
      <c r="A365" s="906"/>
      <c r="B365" s="907"/>
      <c r="C365" s="908"/>
      <c r="D365" s="909"/>
      <c r="E365" s="905"/>
      <c r="F365" s="465"/>
      <c r="G365" s="922"/>
      <c r="H365" s="460"/>
      <c r="I365" s="981"/>
      <c r="J365" s="460"/>
      <c r="K365" s="981"/>
      <c r="L365" s="460"/>
      <c r="M365" s="922"/>
      <c r="N365" s="460"/>
    </row>
    <row r="366" spans="1:14">
      <c r="A366" s="906"/>
      <c r="B366" s="907"/>
      <c r="C366" s="908"/>
      <c r="D366" s="909"/>
      <c r="E366" s="905"/>
      <c r="F366" s="465"/>
      <c r="G366" s="922"/>
      <c r="H366" s="460"/>
      <c r="I366" s="981"/>
      <c r="J366" s="460"/>
      <c r="K366" s="981"/>
      <c r="L366" s="460"/>
      <c r="M366" s="922"/>
      <c r="N366" s="460"/>
    </row>
    <row r="367" spans="1:14">
      <c r="A367" s="906"/>
      <c r="B367" s="907"/>
      <c r="C367" s="908"/>
      <c r="D367" s="909"/>
      <c r="E367" s="905"/>
      <c r="F367" s="465"/>
      <c r="G367" s="922"/>
      <c r="H367" s="460"/>
      <c r="I367" s="981"/>
      <c r="J367" s="460"/>
      <c r="K367" s="981"/>
      <c r="L367" s="460"/>
      <c r="M367" s="922"/>
      <c r="N367" s="460"/>
    </row>
    <row r="368" spans="1:14">
      <c r="A368" s="906"/>
      <c r="B368" s="907"/>
      <c r="C368" s="908"/>
      <c r="D368" s="909"/>
      <c r="E368" s="905"/>
      <c r="F368" s="465"/>
      <c r="G368" s="922"/>
      <c r="H368" s="460"/>
      <c r="I368" s="981"/>
      <c r="J368" s="460"/>
      <c r="K368" s="981"/>
      <c r="L368" s="460"/>
      <c r="M368" s="922"/>
      <c r="N368" s="460"/>
    </row>
    <row r="369" spans="1:14">
      <c r="A369" s="906"/>
      <c r="B369" s="907"/>
      <c r="C369" s="908"/>
      <c r="D369" s="909"/>
      <c r="E369" s="905"/>
      <c r="F369" s="465"/>
      <c r="G369" s="922"/>
      <c r="H369" s="460"/>
      <c r="I369" s="981"/>
      <c r="J369" s="460"/>
      <c r="K369" s="981"/>
      <c r="L369" s="460"/>
      <c r="M369" s="922"/>
      <c r="N369" s="460"/>
    </row>
    <row r="370" spans="1:14">
      <c r="A370" s="906"/>
      <c r="B370" s="907"/>
      <c r="C370" s="908"/>
      <c r="D370" s="909"/>
      <c r="E370" s="905"/>
      <c r="F370" s="465"/>
      <c r="G370" s="922"/>
      <c r="H370" s="460"/>
      <c r="I370" s="981"/>
      <c r="J370" s="460"/>
      <c r="K370" s="981"/>
      <c r="L370" s="460"/>
      <c r="M370" s="922"/>
      <c r="N370" s="460"/>
    </row>
    <row r="371" spans="1:14">
      <c r="A371" s="906"/>
      <c r="B371" s="907"/>
      <c r="C371" s="908"/>
      <c r="D371" s="909"/>
      <c r="E371" s="905"/>
      <c r="F371" s="465"/>
      <c r="G371" s="922"/>
      <c r="H371" s="460"/>
      <c r="I371" s="981"/>
      <c r="J371" s="460"/>
      <c r="K371" s="981"/>
      <c r="L371" s="460"/>
      <c r="M371" s="922"/>
      <c r="N371" s="460"/>
    </row>
    <row r="372" spans="1:14">
      <c r="A372" s="906"/>
      <c r="B372" s="907"/>
      <c r="C372" s="908"/>
      <c r="D372" s="909"/>
      <c r="E372" s="905"/>
      <c r="F372" s="465"/>
      <c r="G372" s="922"/>
      <c r="H372" s="460"/>
      <c r="I372" s="981"/>
      <c r="J372" s="460"/>
      <c r="K372" s="981"/>
      <c r="L372" s="460"/>
      <c r="M372" s="922"/>
      <c r="N372" s="460"/>
    </row>
    <row r="373" spans="1:14">
      <c r="A373" s="906"/>
      <c r="B373" s="907"/>
      <c r="C373" s="908"/>
      <c r="D373" s="909"/>
      <c r="E373" s="905"/>
      <c r="F373" s="465"/>
      <c r="G373" s="922"/>
      <c r="H373" s="460"/>
      <c r="I373" s="981"/>
      <c r="J373" s="460"/>
      <c r="K373" s="981"/>
      <c r="L373" s="460"/>
      <c r="M373" s="922"/>
      <c r="N373" s="460"/>
    </row>
    <row r="374" spans="1:14">
      <c r="A374" s="906"/>
      <c r="B374" s="907"/>
      <c r="C374" s="908"/>
      <c r="D374" s="909"/>
      <c r="E374" s="905"/>
      <c r="F374" s="465"/>
      <c r="G374" s="922"/>
      <c r="H374" s="460"/>
      <c r="I374" s="981"/>
      <c r="J374" s="460"/>
      <c r="K374" s="981"/>
      <c r="L374" s="460"/>
      <c r="M374" s="922"/>
      <c r="N374" s="460"/>
    </row>
    <row r="375" spans="1:14">
      <c r="A375" s="906"/>
      <c r="B375" s="907"/>
      <c r="C375" s="908"/>
      <c r="D375" s="909"/>
      <c r="E375" s="905"/>
      <c r="F375" s="465"/>
      <c r="G375" s="922"/>
      <c r="H375" s="460"/>
      <c r="I375" s="981"/>
      <c r="J375" s="460"/>
      <c r="K375" s="981"/>
      <c r="L375" s="460"/>
      <c r="M375" s="922"/>
      <c r="N375" s="460"/>
    </row>
    <row r="376" spans="1:14">
      <c r="A376" s="906"/>
      <c r="B376" s="907"/>
      <c r="C376" s="908"/>
      <c r="D376" s="909"/>
      <c r="E376" s="905"/>
      <c r="F376" s="465"/>
      <c r="G376" s="922"/>
      <c r="H376" s="460"/>
      <c r="I376" s="981"/>
      <c r="J376" s="460"/>
      <c r="K376" s="981"/>
      <c r="L376" s="460"/>
      <c r="M376" s="922"/>
      <c r="N376" s="460"/>
    </row>
    <row r="377" spans="1:14">
      <c r="A377" s="906"/>
      <c r="B377" s="907"/>
      <c r="C377" s="908"/>
      <c r="D377" s="909"/>
      <c r="E377" s="905"/>
      <c r="F377" s="465"/>
      <c r="G377" s="922"/>
      <c r="H377" s="460"/>
      <c r="I377" s="981"/>
      <c r="J377" s="460"/>
      <c r="K377" s="981"/>
      <c r="L377" s="460"/>
      <c r="M377" s="922"/>
      <c r="N377" s="460"/>
    </row>
    <row r="378" spans="1:14">
      <c r="A378" s="906"/>
      <c r="B378" s="907"/>
      <c r="C378" s="908"/>
      <c r="D378" s="909"/>
      <c r="E378" s="905"/>
      <c r="F378" s="465"/>
      <c r="G378" s="922"/>
      <c r="H378" s="460"/>
      <c r="I378" s="981"/>
      <c r="J378" s="460"/>
      <c r="K378" s="981"/>
      <c r="L378" s="460"/>
      <c r="M378" s="922"/>
      <c r="N378" s="460"/>
    </row>
    <row r="379" spans="1:14">
      <c r="A379" s="906"/>
      <c r="B379" s="907"/>
      <c r="C379" s="908"/>
      <c r="D379" s="909"/>
      <c r="E379" s="905"/>
      <c r="F379" s="465"/>
      <c r="G379" s="922"/>
      <c r="H379" s="460"/>
      <c r="I379" s="981"/>
      <c r="J379" s="460"/>
      <c r="K379" s="981"/>
      <c r="L379" s="460"/>
      <c r="M379" s="922"/>
      <c r="N379" s="460"/>
    </row>
    <row r="380" spans="1:14">
      <c r="A380" s="906"/>
      <c r="B380" s="907"/>
      <c r="C380" s="908"/>
      <c r="D380" s="909"/>
      <c r="E380" s="905"/>
      <c r="F380" s="465"/>
      <c r="G380" s="922"/>
      <c r="H380" s="460"/>
      <c r="I380" s="981"/>
      <c r="J380" s="460"/>
      <c r="K380" s="981"/>
      <c r="L380" s="460"/>
      <c r="M380" s="922"/>
      <c r="N380" s="460"/>
    </row>
    <row r="381" spans="1:14">
      <c r="A381" s="906"/>
      <c r="B381" s="907"/>
      <c r="C381" s="908"/>
      <c r="D381" s="909"/>
      <c r="E381" s="905"/>
      <c r="F381" s="465"/>
      <c r="G381" s="922"/>
      <c r="H381" s="460"/>
      <c r="I381" s="981"/>
      <c r="J381" s="460"/>
      <c r="K381" s="981"/>
      <c r="L381" s="460"/>
      <c r="M381" s="922"/>
      <c r="N381" s="460"/>
    </row>
    <row r="382" spans="1:14">
      <c r="A382" s="906"/>
      <c r="B382" s="907"/>
      <c r="C382" s="908"/>
      <c r="D382" s="909"/>
      <c r="E382" s="905"/>
      <c r="F382" s="465"/>
      <c r="G382" s="922"/>
      <c r="H382" s="460"/>
      <c r="I382" s="981"/>
      <c r="J382" s="460"/>
      <c r="K382" s="981"/>
      <c r="L382" s="460"/>
      <c r="M382" s="922"/>
      <c r="N382" s="460"/>
    </row>
    <row r="383" spans="1:14">
      <c r="A383" s="906"/>
      <c r="B383" s="907"/>
      <c r="C383" s="908"/>
      <c r="D383" s="909"/>
      <c r="E383" s="905"/>
      <c r="F383" s="465"/>
      <c r="G383" s="922"/>
      <c r="H383" s="460"/>
      <c r="I383" s="981"/>
      <c r="J383" s="460"/>
      <c r="K383" s="981"/>
      <c r="L383" s="460"/>
      <c r="M383" s="922"/>
      <c r="N383" s="460"/>
    </row>
    <row r="384" spans="1:14">
      <c r="A384" s="906"/>
      <c r="B384" s="907"/>
      <c r="C384" s="908"/>
      <c r="D384" s="909"/>
      <c r="E384" s="905"/>
      <c r="F384" s="465"/>
      <c r="G384" s="922"/>
      <c r="H384" s="460"/>
      <c r="I384" s="981"/>
      <c r="J384" s="460"/>
      <c r="K384" s="981"/>
      <c r="L384" s="460"/>
      <c r="M384" s="922"/>
      <c r="N384" s="460"/>
    </row>
    <row r="385" spans="1:14">
      <c r="A385" s="906"/>
      <c r="B385" s="907"/>
      <c r="C385" s="908"/>
      <c r="D385" s="909"/>
      <c r="E385" s="905"/>
      <c r="F385" s="465"/>
      <c r="G385" s="922"/>
      <c r="H385" s="460"/>
      <c r="I385" s="981"/>
      <c r="J385" s="460"/>
      <c r="K385" s="981"/>
      <c r="L385" s="460"/>
      <c r="M385" s="922"/>
      <c r="N385" s="460"/>
    </row>
    <row r="386" spans="1:14">
      <c r="A386" s="906"/>
      <c r="B386" s="907"/>
      <c r="C386" s="908"/>
      <c r="D386" s="909"/>
      <c r="E386" s="905"/>
      <c r="F386" s="465"/>
      <c r="G386" s="922"/>
      <c r="H386" s="460"/>
      <c r="I386" s="981"/>
      <c r="J386" s="460"/>
      <c r="K386" s="981"/>
      <c r="L386" s="460"/>
      <c r="M386" s="922"/>
      <c r="N386" s="460"/>
    </row>
    <row r="387" spans="1:14">
      <c r="A387" s="906"/>
      <c r="B387" s="907"/>
      <c r="C387" s="908"/>
      <c r="D387" s="909"/>
      <c r="E387" s="905"/>
      <c r="F387" s="465"/>
      <c r="G387" s="922"/>
      <c r="H387" s="460"/>
      <c r="I387" s="981"/>
      <c r="J387" s="460"/>
      <c r="K387" s="981"/>
      <c r="L387" s="460"/>
      <c r="M387" s="922"/>
      <c r="N387" s="460"/>
    </row>
    <row r="388" spans="1:14">
      <c r="A388" s="906"/>
      <c r="B388" s="907"/>
      <c r="C388" s="908"/>
      <c r="D388" s="909"/>
      <c r="E388" s="905"/>
      <c r="F388" s="465"/>
      <c r="G388" s="922"/>
      <c r="H388" s="460"/>
      <c r="I388" s="981"/>
      <c r="J388" s="460"/>
      <c r="K388" s="981"/>
      <c r="L388" s="460"/>
      <c r="M388" s="922"/>
      <c r="N388" s="460"/>
    </row>
    <row r="389" spans="1:14">
      <c r="A389" s="906"/>
      <c r="B389" s="907"/>
      <c r="C389" s="908"/>
      <c r="D389" s="909"/>
      <c r="E389" s="905"/>
      <c r="F389" s="465"/>
      <c r="G389" s="922"/>
      <c r="H389" s="460"/>
      <c r="I389" s="981"/>
      <c r="J389" s="460"/>
      <c r="K389" s="981"/>
      <c r="L389" s="460"/>
      <c r="M389" s="922"/>
      <c r="N389" s="460"/>
    </row>
    <row r="390" spans="1:14">
      <c r="A390" s="906"/>
      <c r="B390" s="907"/>
      <c r="C390" s="908"/>
      <c r="D390" s="909"/>
      <c r="E390" s="905"/>
      <c r="F390" s="465"/>
      <c r="G390" s="922"/>
      <c r="H390" s="460"/>
      <c r="I390" s="981"/>
      <c r="J390" s="460"/>
      <c r="K390" s="981"/>
      <c r="L390" s="460"/>
      <c r="M390" s="922"/>
      <c r="N390" s="460"/>
    </row>
    <row r="391" spans="1:14">
      <c r="A391" s="906"/>
      <c r="B391" s="907"/>
      <c r="C391" s="908"/>
      <c r="D391" s="909"/>
      <c r="E391" s="905"/>
      <c r="F391" s="465"/>
      <c r="G391" s="922"/>
      <c r="H391" s="460"/>
      <c r="I391" s="981"/>
      <c r="J391" s="460"/>
      <c r="K391" s="981"/>
      <c r="L391" s="460"/>
      <c r="M391" s="922"/>
      <c r="N391" s="460"/>
    </row>
    <row r="392" spans="1:14">
      <c r="A392" s="906"/>
      <c r="B392" s="907"/>
      <c r="C392" s="908"/>
      <c r="D392" s="909"/>
      <c r="E392" s="905"/>
      <c r="F392" s="465"/>
      <c r="G392" s="922"/>
      <c r="H392" s="460"/>
      <c r="I392" s="981"/>
      <c r="J392" s="460"/>
      <c r="K392" s="981"/>
      <c r="L392" s="460"/>
      <c r="M392" s="922"/>
      <c r="N392" s="460"/>
    </row>
    <row r="393" spans="1:14">
      <c r="A393" s="906"/>
      <c r="B393" s="907"/>
      <c r="C393" s="908"/>
      <c r="D393" s="909"/>
      <c r="E393" s="905"/>
      <c r="F393" s="465"/>
      <c r="G393" s="922"/>
      <c r="H393" s="460"/>
      <c r="I393" s="981"/>
      <c r="J393" s="460"/>
      <c r="K393" s="981"/>
      <c r="L393" s="460"/>
      <c r="M393" s="922"/>
      <c r="N393" s="460"/>
    </row>
    <row r="394" spans="1:14">
      <c r="A394" s="906"/>
      <c r="B394" s="907"/>
      <c r="C394" s="908"/>
      <c r="D394" s="909"/>
      <c r="E394" s="905"/>
      <c r="F394" s="465"/>
      <c r="G394" s="922"/>
      <c r="H394" s="460"/>
      <c r="I394" s="981"/>
      <c r="J394" s="460"/>
      <c r="K394" s="981"/>
      <c r="L394" s="460"/>
      <c r="M394" s="922"/>
      <c r="N394" s="460"/>
    </row>
    <row r="395" spans="1:14">
      <c r="A395" s="906"/>
      <c r="B395" s="907"/>
      <c r="C395" s="908"/>
      <c r="D395" s="909"/>
      <c r="E395" s="905"/>
      <c r="F395" s="465"/>
      <c r="G395" s="922"/>
      <c r="H395" s="460"/>
      <c r="I395" s="981"/>
      <c r="J395" s="460"/>
      <c r="K395" s="981"/>
      <c r="L395" s="460"/>
      <c r="M395" s="922"/>
      <c r="N395" s="460"/>
    </row>
    <row r="396" spans="1:14">
      <c r="A396" s="906"/>
      <c r="B396" s="907"/>
      <c r="C396" s="908"/>
      <c r="D396" s="909"/>
      <c r="E396" s="905"/>
      <c r="F396" s="465"/>
      <c r="G396" s="922"/>
      <c r="H396" s="460"/>
      <c r="I396" s="981"/>
      <c r="J396" s="460"/>
      <c r="K396" s="981"/>
      <c r="L396" s="460"/>
      <c r="M396" s="922"/>
      <c r="N396" s="460"/>
    </row>
    <row r="397" spans="1:14">
      <c r="A397" s="906"/>
      <c r="B397" s="907"/>
      <c r="C397" s="908"/>
      <c r="D397" s="909"/>
      <c r="E397" s="905"/>
      <c r="F397" s="465"/>
      <c r="G397" s="922"/>
      <c r="H397" s="460"/>
      <c r="I397" s="981"/>
      <c r="J397" s="460"/>
      <c r="K397" s="981"/>
      <c r="L397" s="460"/>
      <c r="M397" s="922"/>
      <c r="N397" s="460"/>
    </row>
    <row r="398" spans="1:14">
      <c r="A398" s="906"/>
      <c r="B398" s="907"/>
      <c r="C398" s="908"/>
      <c r="D398" s="909"/>
      <c r="E398" s="905"/>
      <c r="F398" s="465"/>
      <c r="G398" s="922"/>
      <c r="H398" s="460"/>
      <c r="I398" s="981"/>
      <c r="J398" s="460"/>
      <c r="K398" s="981"/>
      <c r="L398" s="460"/>
      <c r="M398" s="922"/>
      <c r="N398" s="460"/>
    </row>
    <row r="399" spans="1:14">
      <c r="A399" s="906"/>
      <c r="B399" s="907"/>
      <c r="C399" s="908"/>
      <c r="D399" s="909"/>
      <c r="E399" s="905"/>
      <c r="F399" s="465"/>
      <c r="G399" s="922"/>
      <c r="H399" s="460"/>
      <c r="I399" s="981"/>
      <c r="J399" s="460"/>
      <c r="K399" s="981"/>
      <c r="L399" s="460"/>
      <c r="M399" s="922"/>
      <c r="N399" s="460"/>
    </row>
    <row r="400" spans="1:14">
      <c r="A400" s="906"/>
      <c r="B400" s="907"/>
      <c r="C400" s="908"/>
      <c r="D400" s="909"/>
      <c r="E400" s="905"/>
      <c r="F400" s="465"/>
      <c r="G400" s="922"/>
      <c r="H400" s="460"/>
      <c r="I400" s="981"/>
      <c r="J400" s="460"/>
      <c r="K400" s="981"/>
      <c r="L400" s="460"/>
      <c r="M400" s="922"/>
      <c r="N400" s="460"/>
    </row>
    <row r="401" spans="1:14">
      <c r="A401" s="906"/>
      <c r="B401" s="907"/>
      <c r="C401" s="908"/>
      <c r="D401" s="909"/>
      <c r="E401" s="905"/>
      <c r="F401" s="465"/>
      <c r="G401" s="922"/>
      <c r="H401" s="460"/>
      <c r="I401" s="981"/>
      <c r="J401" s="460"/>
      <c r="K401" s="981"/>
      <c r="L401" s="460"/>
      <c r="M401" s="922"/>
      <c r="N401" s="460"/>
    </row>
    <row r="402" spans="1:14">
      <c r="A402" s="906"/>
      <c r="B402" s="907"/>
      <c r="C402" s="908"/>
      <c r="D402" s="909"/>
      <c r="E402" s="905"/>
      <c r="F402" s="465"/>
      <c r="G402" s="922"/>
      <c r="H402" s="460"/>
      <c r="I402" s="981"/>
      <c r="J402" s="460"/>
      <c r="K402" s="981"/>
      <c r="L402" s="460"/>
      <c r="M402" s="922"/>
      <c r="N402" s="460"/>
    </row>
    <row r="403" spans="1:14">
      <c r="A403" s="906"/>
      <c r="B403" s="907"/>
      <c r="C403" s="908"/>
      <c r="D403" s="909"/>
      <c r="E403" s="905"/>
      <c r="F403" s="465"/>
      <c r="G403" s="922"/>
      <c r="H403" s="460"/>
      <c r="I403" s="981"/>
      <c r="J403" s="460"/>
      <c r="K403" s="981"/>
      <c r="L403" s="460"/>
      <c r="M403" s="922"/>
      <c r="N403" s="460"/>
    </row>
    <row r="404" spans="1:14">
      <c r="A404" s="906"/>
      <c r="B404" s="907"/>
      <c r="C404" s="908"/>
      <c r="D404" s="909"/>
      <c r="E404" s="905"/>
      <c r="F404" s="465"/>
      <c r="G404" s="922"/>
      <c r="H404" s="460"/>
      <c r="I404" s="981"/>
      <c r="J404" s="460"/>
      <c r="K404" s="981"/>
      <c r="L404" s="460"/>
      <c r="M404" s="922"/>
      <c r="N404" s="460"/>
    </row>
    <row r="405" spans="1:14">
      <c r="A405" s="906"/>
      <c r="B405" s="907"/>
      <c r="C405" s="908"/>
      <c r="D405" s="909"/>
      <c r="E405" s="905"/>
      <c r="F405" s="465"/>
      <c r="G405" s="922"/>
      <c r="H405" s="460"/>
      <c r="I405" s="981"/>
      <c r="J405" s="460"/>
      <c r="K405" s="981"/>
      <c r="L405" s="460"/>
      <c r="M405" s="922"/>
      <c r="N405" s="460"/>
    </row>
    <row r="406" spans="1:14">
      <c r="A406" s="906"/>
      <c r="B406" s="907"/>
      <c r="C406" s="908"/>
      <c r="D406" s="909"/>
      <c r="E406" s="905"/>
      <c r="F406" s="465"/>
      <c r="G406" s="922"/>
      <c r="H406" s="460"/>
      <c r="I406" s="981"/>
      <c r="J406" s="460"/>
      <c r="K406" s="981"/>
      <c r="L406" s="460"/>
      <c r="M406" s="922"/>
      <c r="N406" s="460"/>
    </row>
    <row r="407" spans="1:14">
      <c r="A407" s="906"/>
      <c r="B407" s="907"/>
      <c r="C407" s="908"/>
      <c r="D407" s="909"/>
      <c r="E407" s="905"/>
      <c r="F407" s="465"/>
      <c r="G407" s="922"/>
      <c r="H407" s="460"/>
      <c r="I407" s="981"/>
      <c r="J407" s="460"/>
      <c r="K407" s="981"/>
      <c r="L407" s="460"/>
      <c r="M407" s="922"/>
      <c r="N407" s="460"/>
    </row>
    <row r="408" spans="1:14">
      <c r="A408" s="906"/>
      <c r="B408" s="907"/>
      <c r="C408" s="908"/>
      <c r="D408" s="909"/>
      <c r="E408" s="905"/>
      <c r="F408" s="465"/>
      <c r="G408" s="922"/>
      <c r="H408" s="460"/>
      <c r="I408" s="981"/>
      <c r="J408" s="460"/>
      <c r="K408" s="981"/>
      <c r="L408" s="460"/>
      <c r="M408" s="922"/>
      <c r="N408" s="460"/>
    </row>
    <row r="409" spans="1:14">
      <c r="A409" s="906"/>
      <c r="B409" s="907"/>
      <c r="C409" s="908"/>
      <c r="D409" s="909"/>
      <c r="E409" s="905"/>
      <c r="F409" s="465"/>
      <c r="G409" s="922"/>
      <c r="H409" s="460"/>
      <c r="I409" s="981"/>
      <c r="J409" s="460"/>
      <c r="K409" s="981"/>
      <c r="L409" s="460"/>
      <c r="M409" s="922"/>
      <c r="N409" s="460"/>
    </row>
    <row r="410" spans="1:14">
      <c r="A410" s="906"/>
      <c r="B410" s="907"/>
      <c r="C410" s="908"/>
      <c r="D410" s="909"/>
      <c r="E410" s="905"/>
      <c r="F410" s="465"/>
      <c r="G410" s="922"/>
      <c r="H410" s="460"/>
      <c r="I410" s="981"/>
      <c r="J410" s="460"/>
      <c r="K410" s="981"/>
      <c r="L410" s="460"/>
      <c r="M410" s="922"/>
      <c r="N410" s="460"/>
    </row>
    <row r="411" spans="1:14">
      <c r="A411" s="906"/>
      <c r="B411" s="907"/>
      <c r="C411" s="908"/>
      <c r="D411" s="909"/>
      <c r="E411" s="905"/>
      <c r="F411" s="465"/>
      <c r="G411" s="922"/>
      <c r="H411" s="460"/>
      <c r="I411" s="981"/>
      <c r="J411" s="460"/>
      <c r="K411" s="981"/>
      <c r="L411" s="460"/>
      <c r="M411" s="922"/>
      <c r="N411" s="460"/>
    </row>
    <row r="412" spans="1:14">
      <c r="A412" s="906"/>
      <c r="B412" s="907"/>
      <c r="C412" s="908"/>
      <c r="D412" s="909"/>
      <c r="E412" s="905"/>
      <c r="F412" s="465"/>
      <c r="G412" s="922"/>
      <c r="H412" s="460"/>
      <c r="I412" s="981"/>
      <c r="J412" s="460"/>
      <c r="K412" s="981"/>
      <c r="L412" s="460"/>
      <c r="M412" s="922"/>
      <c r="N412" s="460"/>
    </row>
    <row r="413" spans="1:14">
      <c r="A413" s="906"/>
      <c r="B413" s="907"/>
      <c r="C413" s="908"/>
      <c r="D413" s="909"/>
      <c r="E413" s="905"/>
      <c r="F413" s="465"/>
      <c r="G413" s="922"/>
      <c r="H413" s="460"/>
      <c r="I413" s="981"/>
      <c r="J413" s="460"/>
      <c r="K413" s="981"/>
      <c r="L413" s="460"/>
      <c r="M413" s="922"/>
      <c r="N413" s="460"/>
    </row>
    <row r="414" spans="1:14">
      <c r="A414" s="906"/>
      <c r="B414" s="907"/>
      <c r="C414" s="908"/>
      <c r="D414" s="909"/>
      <c r="E414" s="905"/>
      <c r="F414" s="465"/>
      <c r="G414" s="922"/>
      <c r="H414" s="460"/>
      <c r="I414" s="981"/>
      <c r="J414" s="460"/>
      <c r="K414" s="981"/>
      <c r="L414" s="460"/>
      <c r="M414" s="922"/>
      <c r="N414" s="460"/>
    </row>
    <row r="415" spans="1:14">
      <c r="A415" s="906"/>
      <c r="B415" s="907"/>
      <c r="C415" s="908"/>
      <c r="D415" s="909"/>
      <c r="E415" s="905"/>
      <c r="F415" s="465"/>
      <c r="G415" s="922"/>
      <c r="H415" s="460"/>
      <c r="I415" s="981"/>
      <c r="J415" s="460"/>
      <c r="K415" s="981"/>
      <c r="L415" s="460"/>
      <c r="M415" s="922"/>
      <c r="N415" s="460"/>
    </row>
    <row r="416" spans="1:14">
      <c r="A416" s="906"/>
      <c r="B416" s="907"/>
      <c r="C416" s="908"/>
      <c r="D416" s="909"/>
      <c r="E416" s="905"/>
      <c r="F416" s="465"/>
      <c r="G416" s="922"/>
      <c r="H416" s="460"/>
      <c r="I416" s="981"/>
      <c r="J416" s="460"/>
      <c r="K416" s="981"/>
      <c r="L416" s="460"/>
      <c r="M416" s="922"/>
      <c r="N416" s="460"/>
    </row>
    <row r="417" spans="1:14">
      <c r="A417" s="906"/>
      <c r="B417" s="907"/>
      <c r="C417" s="908"/>
      <c r="D417" s="909"/>
      <c r="E417" s="905"/>
      <c r="F417" s="465"/>
      <c r="G417" s="922"/>
      <c r="H417" s="460"/>
      <c r="I417" s="981"/>
      <c r="J417" s="460"/>
      <c r="K417" s="981"/>
      <c r="L417" s="460"/>
      <c r="M417" s="922"/>
      <c r="N417" s="460"/>
    </row>
    <row r="418" spans="1:14">
      <c r="A418" s="906"/>
      <c r="B418" s="907"/>
      <c r="C418" s="908"/>
      <c r="D418" s="909"/>
      <c r="E418" s="905"/>
      <c r="F418" s="465"/>
      <c r="G418" s="922"/>
      <c r="H418" s="460"/>
      <c r="I418" s="981"/>
      <c r="J418" s="460"/>
      <c r="K418" s="981"/>
      <c r="L418" s="460"/>
      <c r="M418" s="922"/>
      <c r="N418" s="460"/>
    </row>
    <row r="419" spans="1:14">
      <c r="A419" s="906"/>
      <c r="B419" s="907"/>
      <c r="C419" s="908"/>
      <c r="D419" s="909"/>
      <c r="E419" s="905"/>
      <c r="F419" s="465"/>
      <c r="G419" s="922"/>
      <c r="H419" s="460"/>
      <c r="I419" s="981"/>
      <c r="J419" s="460"/>
      <c r="K419" s="981"/>
      <c r="L419" s="460"/>
      <c r="M419" s="922"/>
      <c r="N419" s="460"/>
    </row>
    <row r="420" spans="1:14">
      <c r="A420" s="906"/>
      <c r="B420" s="907"/>
      <c r="C420" s="908"/>
      <c r="D420" s="909"/>
      <c r="E420" s="905"/>
      <c r="F420" s="465"/>
      <c r="G420" s="922"/>
      <c r="H420" s="460"/>
      <c r="I420" s="981"/>
      <c r="J420" s="460"/>
      <c r="K420" s="981"/>
      <c r="L420" s="460"/>
      <c r="M420" s="922"/>
      <c r="N420" s="460"/>
    </row>
    <row r="421" spans="1:14">
      <c r="A421" s="906"/>
      <c r="B421" s="907"/>
      <c r="C421" s="908"/>
      <c r="D421" s="909"/>
      <c r="E421" s="905"/>
      <c r="F421" s="465"/>
      <c r="G421" s="922"/>
      <c r="H421" s="460"/>
      <c r="I421" s="981"/>
      <c r="J421" s="460"/>
      <c r="K421" s="981"/>
      <c r="L421" s="460"/>
      <c r="M421" s="922"/>
      <c r="N421" s="460"/>
    </row>
    <row r="422" spans="1:14">
      <c r="A422" s="906"/>
      <c r="B422" s="907"/>
      <c r="C422" s="908"/>
      <c r="D422" s="909"/>
      <c r="E422" s="905"/>
      <c r="F422" s="465"/>
      <c r="G422" s="922"/>
      <c r="H422" s="460"/>
      <c r="I422" s="981"/>
      <c r="J422" s="460"/>
      <c r="K422" s="981"/>
      <c r="L422" s="460"/>
      <c r="M422" s="922"/>
      <c r="N422" s="460"/>
    </row>
    <row r="423" spans="1:14">
      <c r="A423" s="906"/>
      <c r="B423" s="907"/>
      <c r="C423" s="908"/>
      <c r="D423" s="909"/>
      <c r="E423" s="905"/>
      <c r="F423" s="465"/>
      <c r="G423" s="922"/>
      <c r="H423" s="460"/>
      <c r="I423" s="981"/>
      <c r="J423" s="460"/>
      <c r="K423" s="981"/>
      <c r="L423" s="460"/>
      <c r="M423" s="922"/>
      <c r="N423" s="460"/>
    </row>
    <row r="424" spans="1:14">
      <c r="A424" s="906"/>
      <c r="B424" s="907"/>
      <c r="C424" s="908"/>
      <c r="D424" s="909"/>
      <c r="E424" s="905"/>
      <c r="F424" s="465"/>
      <c r="G424" s="922"/>
      <c r="H424" s="460"/>
      <c r="I424" s="981"/>
      <c r="J424" s="460"/>
      <c r="K424" s="981"/>
      <c r="L424" s="460"/>
      <c r="M424" s="922"/>
      <c r="N424" s="460"/>
    </row>
    <row r="425" spans="1:14">
      <c r="A425" s="906"/>
      <c r="B425" s="907"/>
      <c r="C425" s="908"/>
      <c r="D425" s="909"/>
      <c r="E425" s="905"/>
      <c r="F425" s="465"/>
      <c r="G425" s="922"/>
      <c r="H425" s="460"/>
      <c r="I425" s="981"/>
      <c r="J425" s="460"/>
      <c r="K425" s="981"/>
      <c r="L425" s="460"/>
      <c r="M425" s="922"/>
      <c r="N425" s="460"/>
    </row>
    <row r="426" spans="1:14">
      <c r="A426" s="906"/>
      <c r="B426" s="907"/>
      <c r="C426" s="908"/>
      <c r="D426" s="909"/>
      <c r="E426" s="905"/>
      <c r="F426" s="465"/>
      <c r="G426" s="922"/>
      <c r="H426" s="460"/>
      <c r="I426" s="981"/>
      <c r="J426" s="460"/>
      <c r="K426" s="981"/>
      <c r="L426" s="460"/>
      <c r="M426" s="922"/>
      <c r="N426" s="460"/>
    </row>
    <row r="427" spans="1:14">
      <c r="A427" s="906"/>
      <c r="B427" s="907"/>
      <c r="C427" s="908"/>
      <c r="D427" s="909"/>
      <c r="E427" s="905"/>
      <c r="F427" s="465"/>
      <c r="G427" s="922"/>
      <c r="H427" s="460"/>
      <c r="I427" s="981"/>
      <c r="J427" s="460"/>
      <c r="K427" s="981"/>
      <c r="L427" s="460"/>
      <c r="M427" s="922"/>
      <c r="N427" s="460"/>
    </row>
    <row r="428" spans="1:14">
      <c r="A428" s="906"/>
      <c r="B428" s="907"/>
      <c r="C428" s="908"/>
      <c r="D428" s="909"/>
      <c r="E428" s="905"/>
      <c r="F428" s="465"/>
      <c r="G428" s="922"/>
      <c r="H428" s="460"/>
      <c r="I428" s="981"/>
      <c r="J428" s="460"/>
      <c r="K428" s="981"/>
      <c r="L428" s="460"/>
      <c r="M428" s="922"/>
      <c r="N428" s="460"/>
    </row>
    <row r="429" spans="1:14">
      <c r="A429" s="906"/>
      <c r="B429" s="907"/>
      <c r="C429" s="908"/>
      <c r="D429" s="909"/>
      <c r="E429" s="905"/>
      <c r="F429" s="465"/>
      <c r="G429" s="922"/>
      <c r="H429" s="460"/>
      <c r="I429" s="981"/>
      <c r="J429" s="460"/>
      <c r="K429" s="981"/>
      <c r="L429" s="460"/>
      <c r="M429" s="922"/>
      <c r="N429" s="460"/>
    </row>
    <row r="430" spans="1:14">
      <c r="A430" s="906"/>
      <c r="B430" s="907"/>
      <c r="C430" s="908"/>
      <c r="D430" s="909"/>
      <c r="E430" s="905"/>
      <c r="F430" s="465"/>
      <c r="G430" s="922"/>
      <c r="H430" s="460"/>
      <c r="I430" s="981"/>
      <c r="J430" s="460"/>
      <c r="K430" s="981"/>
      <c r="L430" s="460"/>
      <c r="M430" s="922"/>
      <c r="N430" s="460"/>
    </row>
    <row r="431" spans="1:14">
      <c r="A431" s="906"/>
      <c r="B431" s="907"/>
      <c r="C431" s="908"/>
      <c r="D431" s="909"/>
      <c r="E431" s="905"/>
      <c r="F431" s="465"/>
      <c r="G431" s="922"/>
      <c r="H431" s="460"/>
      <c r="I431" s="981"/>
      <c r="J431" s="460"/>
      <c r="K431" s="981"/>
      <c r="L431" s="460"/>
      <c r="M431" s="922"/>
      <c r="N431" s="460"/>
    </row>
    <row r="432" spans="1:14">
      <c r="A432" s="906"/>
      <c r="B432" s="907"/>
      <c r="C432" s="908"/>
      <c r="D432" s="909"/>
      <c r="E432" s="905"/>
      <c r="F432" s="465"/>
      <c r="G432" s="922"/>
      <c r="H432" s="460"/>
      <c r="I432" s="981"/>
      <c r="J432" s="460"/>
      <c r="K432" s="981"/>
      <c r="L432" s="460"/>
      <c r="M432" s="922"/>
      <c r="N432" s="460"/>
    </row>
    <row r="433" spans="1:14">
      <c r="A433" s="906"/>
      <c r="B433" s="907"/>
      <c r="C433" s="908"/>
      <c r="D433" s="909"/>
      <c r="E433" s="905"/>
      <c r="F433" s="465"/>
      <c r="G433" s="922"/>
      <c r="H433" s="460"/>
      <c r="I433" s="981"/>
      <c r="J433" s="460"/>
      <c r="K433" s="981"/>
      <c r="L433" s="460"/>
      <c r="M433" s="922"/>
      <c r="N433" s="460"/>
    </row>
    <row r="434" spans="1:14">
      <c r="A434" s="906"/>
      <c r="B434" s="907"/>
      <c r="C434" s="908"/>
      <c r="D434" s="909"/>
      <c r="E434" s="905"/>
      <c r="F434" s="465"/>
      <c r="G434" s="922"/>
      <c r="H434" s="460"/>
      <c r="I434" s="981"/>
      <c r="J434" s="460"/>
      <c r="K434" s="981"/>
      <c r="L434" s="460"/>
      <c r="M434" s="922"/>
      <c r="N434" s="460"/>
    </row>
    <row r="435" spans="1:14">
      <c r="A435" s="906"/>
      <c r="B435" s="907"/>
      <c r="C435" s="908"/>
      <c r="D435" s="909"/>
      <c r="E435" s="905"/>
      <c r="F435" s="465"/>
      <c r="G435" s="922"/>
      <c r="H435" s="460"/>
      <c r="I435" s="981"/>
      <c r="J435" s="460"/>
      <c r="K435" s="981"/>
      <c r="L435" s="460"/>
      <c r="M435" s="922"/>
      <c r="N435" s="460"/>
    </row>
    <row r="436" spans="1:14">
      <c r="A436" s="906"/>
      <c r="B436" s="907"/>
      <c r="C436" s="908"/>
      <c r="D436" s="909"/>
      <c r="E436" s="905"/>
      <c r="F436" s="465"/>
      <c r="G436" s="922"/>
      <c r="H436" s="460"/>
      <c r="I436" s="981"/>
      <c r="J436" s="460"/>
      <c r="K436" s="981"/>
      <c r="L436" s="460"/>
      <c r="M436" s="922"/>
      <c r="N436" s="460"/>
    </row>
    <row r="437" spans="1:14">
      <c r="A437" s="906"/>
      <c r="B437" s="907"/>
      <c r="C437" s="908"/>
      <c r="D437" s="909"/>
      <c r="E437" s="905"/>
      <c r="F437" s="465"/>
      <c r="G437" s="922"/>
      <c r="H437" s="460"/>
      <c r="I437" s="981"/>
      <c r="J437" s="460"/>
      <c r="K437" s="981"/>
      <c r="L437" s="460"/>
      <c r="M437" s="922"/>
      <c r="N437" s="460"/>
    </row>
    <row r="438" spans="1:14">
      <c r="A438" s="906"/>
      <c r="B438" s="907"/>
      <c r="C438" s="908"/>
      <c r="D438" s="909"/>
      <c r="E438" s="905"/>
      <c r="F438" s="465"/>
      <c r="G438" s="922"/>
      <c r="H438" s="460"/>
      <c r="I438" s="981"/>
      <c r="J438" s="460"/>
      <c r="K438" s="981"/>
      <c r="L438" s="460"/>
      <c r="M438" s="922"/>
      <c r="N438" s="460"/>
    </row>
    <row r="439" spans="1:14">
      <c r="A439" s="906"/>
      <c r="B439" s="907"/>
      <c r="C439" s="908"/>
      <c r="D439" s="909"/>
      <c r="E439" s="905"/>
      <c r="F439" s="465"/>
      <c r="G439" s="922"/>
      <c r="H439" s="460"/>
      <c r="I439" s="981"/>
      <c r="J439" s="460"/>
      <c r="K439" s="981"/>
      <c r="L439" s="460"/>
      <c r="M439" s="922"/>
      <c r="N439" s="460"/>
    </row>
    <row r="440" spans="1:14">
      <c r="A440" s="906"/>
      <c r="B440" s="907"/>
      <c r="C440" s="908"/>
      <c r="D440" s="909"/>
      <c r="E440" s="905"/>
      <c r="F440" s="465"/>
      <c r="G440" s="922"/>
      <c r="H440" s="460"/>
      <c r="I440" s="981"/>
      <c r="J440" s="460"/>
      <c r="K440" s="981"/>
      <c r="L440" s="460"/>
      <c r="M440" s="922"/>
      <c r="N440" s="460"/>
    </row>
    <row r="441" spans="1:14">
      <c r="A441" s="906"/>
      <c r="B441" s="907"/>
      <c r="C441" s="908"/>
      <c r="D441" s="909"/>
      <c r="E441" s="905"/>
      <c r="F441" s="465"/>
      <c r="G441" s="922"/>
      <c r="H441" s="460"/>
      <c r="I441" s="981"/>
      <c r="J441" s="460"/>
      <c r="K441" s="981"/>
      <c r="L441" s="460"/>
      <c r="M441" s="922"/>
      <c r="N441" s="460"/>
    </row>
    <row r="442" spans="1:14">
      <c r="A442" s="906"/>
      <c r="B442" s="907"/>
      <c r="C442" s="908"/>
      <c r="D442" s="909"/>
      <c r="E442" s="905"/>
      <c r="F442" s="465"/>
      <c r="G442" s="922"/>
      <c r="H442" s="460"/>
      <c r="I442" s="981"/>
      <c r="J442" s="460"/>
      <c r="K442" s="981"/>
      <c r="L442" s="460"/>
      <c r="M442" s="922"/>
      <c r="N442" s="460"/>
    </row>
    <row r="443" spans="1:14">
      <c r="A443" s="906"/>
      <c r="B443" s="907"/>
      <c r="C443" s="908"/>
      <c r="D443" s="909"/>
      <c r="E443" s="905"/>
      <c r="F443" s="465"/>
      <c r="G443" s="922"/>
      <c r="H443" s="460"/>
      <c r="I443" s="981"/>
      <c r="J443" s="460"/>
      <c r="K443" s="981"/>
      <c r="L443" s="460"/>
      <c r="M443" s="922"/>
      <c r="N443" s="460"/>
    </row>
    <row r="444" spans="1:14">
      <c r="A444" s="906"/>
      <c r="B444" s="907"/>
      <c r="C444" s="908"/>
      <c r="D444" s="909"/>
      <c r="E444" s="905"/>
      <c r="F444" s="465"/>
      <c r="G444" s="922"/>
      <c r="H444" s="460"/>
      <c r="I444" s="981"/>
      <c r="J444" s="460"/>
      <c r="K444" s="981"/>
      <c r="L444" s="460"/>
      <c r="M444" s="922"/>
      <c r="N444" s="460"/>
    </row>
    <row r="445" spans="1:14">
      <c r="A445" s="906"/>
      <c r="B445" s="907"/>
      <c r="C445" s="908"/>
      <c r="D445" s="909"/>
      <c r="E445" s="905"/>
      <c r="F445" s="465"/>
      <c r="G445" s="922"/>
      <c r="H445" s="460"/>
      <c r="I445" s="981"/>
      <c r="J445" s="460"/>
      <c r="K445" s="981"/>
      <c r="L445" s="460"/>
      <c r="M445" s="922"/>
      <c r="N445" s="460"/>
    </row>
    <row r="446" spans="1:14">
      <c r="A446" s="906"/>
      <c r="B446" s="907"/>
      <c r="C446" s="908"/>
      <c r="D446" s="909"/>
      <c r="E446" s="905"/>
      <c r="F446" s="465"/>
      <c r="G446" s="922"/>
      <c r="H446" s="460"/>
      <c r="I446" s="981"/>
      <c r="J446" s="460"/>
      <c r="K446" s="981"/>
      <c r="L446" s="460"/>
      <c r="M446" s="922"/>
      <c r="N446" s="460"/>
    </row>
    <row r="447" spans="1:14">
      <c r="A447" s="906"/>
      <c r="B447" s="907"/>
      <c r="C447" s="908"/>
      <c r="D447" s="909"/>
      <c r="E447" s="905"/>
      <c r="F447" s="465"/>
      <c r="G447" s="922"/>
      <c r="H447" s="460"/>
      <c r="I447" s="981"/>
      <c r="J447" s="460"/>
      <c r="K447" s="981"/>
      <c r="L447" s="460"/>
      <c r="M447" s="922"/>
      <c r="N447" s="460"/>
    </row>
    <row r="448" spans="1:14">
      <c r="A448" s="906"/>
      <c r="B448" s="907"/>
      <c r="C448" s="908"/>
      <c r="D448" s="909"/>
      <c r="E448" s="905"/>
      <c r="F448" s="465"/>
      <c r="G448" s="922"/>
      <c r="H448" s="460"/>
      <c r="I448" s="981"/>
      <c r="J448" s="460"/>
      <c r="K448" s="981"/>
      <c r="L448" s="460"/>
      <c r="M448" s="922"/>
      <c r="N448" s="460"/>
    </row>
    <row r="449" spans="1:14">
      <c r="A449" s="906"/>
      <c r="B449" s="907"/>
      <c r="C449" s="908"/>
      <c r="D449" s="909"/>
      <c r="E449" s="905"/>
      <c r="F449" s="465"/>
      <c r="G449" s="922"/>
      <c r="H449" s="460"/>
      <c r="I449" s="981"/>
      <c r="J449" s="460"/>
      <c r="K449" s="981"/>
      <c r="L449" s="460"/>
      <c r="M449" s="922"/>
      <c r="N449" s="460"/>
    </row>
    <row r="450" spans="1:14">
      <c r="A450" s="906"/>
      <c r="B450" s="907"/>
      <c r="C450" s="908"/>
      <c r="D450" s="909"/>
      <c r="E450" s="905"/>
      <c r="F450" s="465"/>
      <c r="G450" s="922"/>
      <c r="H450" s="460"/>
      <c r="I450" s="981"/>
      <c r="J450" s="460"/>
      <c r="K450" s="981"/>
      <c r="L450" s="460"/>
      <c r="M450" s="922"/>
      <c r="N450" s="460"/>
    </row>
    <row r="451" spans="1:14">
      <c r="A451" s="906"/>
      <c r="B451" s="907"/>
      <c r="C451" s="908"/>
      <c r="D451" s="909"/>
      <c r="E451" s="905"/>
      <c r="F451" s="465"/>
      <c r="G451" s="922"/>
      <c r="H451" s="460"/>
      <c r="I451" s="981"/>
      <c r="J451" s="460"/>
      <c r="K451" s="981"/>
      <c r="L451" s="460"/>
      <c r="M451" s="922"/>
      <c r="N451" s="460"/>
    </row>
    <row r="452" spans="1:14">
      <c r="A452" s="906"/>
      <c r="B452" s="907"/>
      <c r="C452" s="908"/>
      <c r="D452" s="909"/>
      <c r="E452" s="905"/>
      <c r="F452" s="465"/>
      <c r="G452" s="922"/>
      <c r="H452" s="460"/>
      <c r="I452" s="981"/>
      <c r="J452" s="460"/>
      <c r="K452" s="981"/>
      <c r="L452" s="460"/>
      <c r="M452" s="922"/>
      <c r="N452" s="460"/>
    </row>
    <row r="453" spans="1:14">
      <c r="A453" s="906"/>
      <c r="B453" s="907"/>
      <c r="C453" s="908"/>
      <c r="D453" s="909"/>
      <c r="E453" s="905"/>
      <c r="F453" s="465"/>
      <c r="G453" s="922"/>
      <c r="H453" s="460"/>
      <c r="I453" s="981"/>
      <c r="J453" s="460"/>
      <c r="K453" s="981"/>
      <c r="L453" s="460"/>
      <c r="M453" s="922"/>
      <c r="N453" s="460"/>
    </row>
    <row r="454" spans="1:14">
      <c r="A454" s="906"/>
      <c r="B454" s="907"/>
      <c r="C454" s="908"/>
      <c r="D454" s="909"/>
      <c r="E454" s="905"/>
      <c r="F454" s="465"/>
      <c r="G454" s="922"/>
      <c r="H454" s="460"/>
      <c r="I454" s="981"/>
      <c r="J454" s="460"/>
      <c r="K454" s="981"/>
      <c r="L454" s="460"/>
      <c r="M454" s="922"/>
      <c r="N454" s="460"/>
    </row>
    <row r="455" spans="1:14">
      <c r="A455" s="906"/>
      <c r="B455" s="907"/>
      <c r="C455" s="908"/>
      <c r="D455" s="909"/>
      <c r="E455" s="905"/>
      <c r="F455" s="465"/>
      <c r="G455" s="922"/>
      <c r="H455" s="460"/>
      <c r="I455" s="981"/>
      <c r="J455" s="460"/>
      <c r="K455" s="981"/>
      <c r="L455" s="460"/>
      <c r="M455" s="922"/>
      <c r="N455" s="460"/>
    </row>
    <row r="456" spans="1:14">
      <c r="A456" s="906"/>
      <c r="B456" s="907"/>
      <c r="C456" s="908"/>
      <c r="D456" s="909"/>
      <c r="E456" s="905"/>
      <c r="F456" s="465"/>
      <c r="G456" s="922"/>
      <c r="H456" s="460"/>
      <c r="I456" s="981"/>
      <c r="J456" s="460"/>
      <c r="K456" s="981"/>
      <c r="L456" s="460"/>
      <c r="M456" s="922"/>
      <c r="N456" s="460"/>
    </row>
    <row r="457" spans="1:14">
      <c r="A457" s="906"/>
      <c r="B457" s="907"/>
      <c r="C457" s="908"/>
      <c r="D457" s="909"/>
      <c r="E457" s="905"/>
      <c r="F457" s="465"/>
      <c r="G457" s="922"/>
      <c r="H457" s="460"/>
      <c r="I457" s="981"/>
      <c r="J457" s="460"/>
      <c r="K457" s="981"/>
      <c r="L457" s="460"/>
      <c r="M457" s="922"/>
      <c r="N457" s="460"/>
    </row>
    <row r="458" spans="1:14">
      <c r="A458" s="906"/>
      <c r="B458" s="907"/>
      <c r="C458" s="908"/>
      <c r="D458" s="909"/>
      <c r="E458" s="905"/>
      <c r="F458" s="465"/>
      <c r="G458" s="922"/>
      <c r="H458" s="460"/>
      <c r="I458" s="981"/>
      <c r="J458" s="460"/>
      <c r="K458" s="981"/>
      <c r="L458" s="460"/>
      <c r="M458" s="922"/>
      <c r="N458" s="460"/>
    </row>
    <row r="459" spans="1:14">
      <c r="A459" s="906"/>
      <c r="B459" s="907"/>
      <c r="C459" s="908"/>
      <c r="D459" s="909"/>
      <c r="E459" s="905"/>
      <c r="F459" s="465"/>
      <c r="G459" s="922"/>
      <c r="H459" s="460"/>
      <c r="I459" s="981"/>
      <c r="J459" s="460"/>
      <c r="K459" s="981"/>
      <c r="L459" s="460"/>
      <c r="M459" s="922"/>
      <c r="N459" s="460"/>
    </row>
    <row r="460" spans="1:14">
      <c r="A460" s="906"/>
      <c r="B460" s="907"/>
      <c r="C460" s="908"/>
      <c r="D460" s="909"/>
      <c r="E460" s="905"/>
      <c r="F460" s="465"/>
      <c r="G460" s="922"/>
      <c r="H460" s="460"/>
      <c r="I460" s="981"/>
      <c r="J460" s="460"/>
      <c r="K460" s="981"/>
      <c r="L460" s="460"/>
      <c r="M460" s="922"/>
      <c r="N460" s="460"/>
    </row>
    <row r="461" spans="1:14">
      <c r="A461" s="906"/>
      <c r="B461" s="907"/>
      <c r="C461" s="908"/>
      <c r="D461" s="909"/>
      <c r="E461" s="905"/>
      <c r="F461" s="465"/>
      <c r="G461" s="922"/>
      <c r="H461" s="460"/>
      <c r="I461" s="981"/>
      <c r="J461" s="460"/>
      <c r="K461" s="981"/>
      <c r="L461" s="460"/>
      <c r="M461" s="922"/>
      <c r="N461" s="460"/>
    </row>
    <row r="462" spans="1:14">
      <c r="A462" s="906"/>
      <c r="B462" s="907"/>
      <c r="C462" s="908"/>
      <c r="D462" s="909"/>
      <c r="E462" s="905"/>
      <c r="F462" s="465"/>
      <c r="G462" s="922"/>
      <c r="H462" s="460"/>
      <c r="I462" s="981"/>
      <c r="J462" s="460"/>
      <c r="K462" s="981"/>
      <c r="L462" s="460"/>
      <c r="M462" s="922"/>
      <c r="N462" s="460"/>
    </row>
    <row r="463" spans="1:14">
      <c r="A463" s="906"/>
      <c r="B463" s="907"/>
      <c r="C463" s="908"/>
      <c r="D463" s="909"/>
      <c r="E463" s="905"/>
      <c r="F463" s="465"/>
      <c r="G463" s="922"/>
      <c r="H463" s="460"/>
      <c r="I463" s="981"/>
      <c r="J463" s="460"/>
      <c r="K463" s="981"/>
      <c r="L463" s="460"/>
      <c r="M463" s="922"/>
      <c r="N463" s="460"/>
    </row>
    <row r="464" spans="1:14">
      <c r="A464" s="906"/>
      <c r="B464" s="907"/>
      <c r="C464" s="908"/>
      <c r="D464" s="909"/>
      <c r="E464" s="905"/>
      <c r="F464" s="465"/>
      <c r="G464" s="922"/>
      <c r="H464" s="460"/>
      <c r="I464" s="981"/>
      <c r="J464" s="460"/>
      <c r="K464" s="981"/>
      <c r="L464" s="460"/>
      <c r="M464" s="922"/>
      <c r="N464" s="460"/>
    </row>
    <row r="465" spans="1:14">
      <c r="A465" s="906"/>
      <c r="B465" s="907"/>
      <c r="C465" s="908"/>
      <c r="D465" s="909"/>
      <c r="E465" s="905"/>
      <c r="F465" s="465"/>
      <c r="G465" s="922"/>
      <c r="H465" s="460"/>
      <c r="I465" s="981"/>
      <c r="J465" s="460"/>
      <c r="K465" s="981"/>
      <c r="L465" s="460"/>
      <c r="M465" s="922"/>
      <c r="N465" s="460"/>
    </row>
    <row r="466" spans="1:14">
      <c r="A466" s="906"/>
      <c r="B466" s="907"/>
      <c r="C466" s="908"/>
      <c r="D466" s="909"/>
      <c r="E466" s="905"/>
      <c r="F466" s="465"/>
      <c r="G466" s="922"/>
      <c r="H466" s="460"/>
      <c r="I466" s="981"/>
      <c r="J466" s="460"/>
      <c r="K466" s="981"/>
      <c r="L466" s="460"/>
      <c r="M466" s="922"/>
      <c r="N466" s="460"/>
    </row>
    <row r="467" spans="1:14">
      <c r="A467" s="906"/>
      <c r="B467" s="907"/>
      <c r="C467" s="908"/>
      <c r="D467" s="909"/>
      <c r="E467" s="905"/>
      <c r="F467" s="465"/>
      <c r="G467" s="922"/>
      <c r="H467" s="460"/>
      <c r="I467" s="981"/>
      <c r="J467" s="460"/>
      <c r="K467" s="981"/>
      <c r="L467" s="460"/>
      <c r="M467" s="922"/>
      <c r="N467" s="460"/>
    </row>
    <row r="468" spans="1:14">
      <c r="A468" s="906"/>
      <c r="B468" s="907"/>
      <c r="C468" s="908"/>
      <c r="D468" s="909"/>
      <c r="E468" s="905"/>
      <c r="F468" s="465"/>
      <c r="G468" s="922"/>
      <c r="H468" s="460"/>
      <c r="I468" s="981"/>
      <c r="J468" s="460"/>
      <c r="K468" s="981"/>
      <c r="L468" s="460"/>
      <c r="M468" s="922"/>
      <c r="N468" s="460"/>
    </row>
    <row r="469" spans="1:14">
      <c r="A469" s="906"/>
      <c r="B469" s="907"/>
      <c r="C469" s="908"/>
      <c r="D469" s="909"/>
      <c r="E469" s="905"/>
      <c r="F469" s="465"/>
      <c r="G469" s="922"/>
      <c r="H469" s="460"/>
      <c r="I469" s="981"/>
      <c r="J469" s="460"/>
      <c r="K469" s="981"/>
      <c r="L469" s="460"/>
      <c r="M469" s="922"/>
      <c r="N469" s="460"/>
    </row>
    <row r="470" spans="1:14">
      <c r="A470" s="906"/>
      <c r="B470" s="907"/>
      <c r="C470" s="908"/>
      <c r="D470" s="909"/>
      <c r="E470" s="905"/>
      <c r="F470" s="465"/>
      <c r="G470" s="922"/>
      <c r="H470" s="460"/>
      <c r="I470" s="981"/>
      <c r="J470" s="460"/>
      <c r="K470" s="981"/>
      <c r="L470" s="460"/>
      <c r="M470" s="922"/>
      <c r="N470" s="460"/>
    </row>
    <row r="471" spans="1:14">
      <c r="A471" s="906"/>
      <c r="B471" s="907"/>
      <c r="C471" s="908"/>
      <c r="D471" s="909"/>
      <c r="E471" s="905"/>
      <c r="F471" s="465"/>
      <c r="G471" s="922"/>
      <c r="H471" s="460"/>
      <c r="I471" s="981"/>
      <c r="J471" s="460"/>
      <c r="K471" s="981"/>
      <c r="L471" s="460"/>
      <c r="M471" s="922"/>
      <c r="N471" s="460"/>
    </row>
    <row r="472" spans="1:14">
      <c r="A472" s="906"/>
      <c r="B472" s="907"/>
      <c r="C472" s="908"/>
      <c r="D472" s="909"/>
      <c r="E472" s="905"/>
      <c r="F472" s="465"/>
      <c r="G472" s="922"/>
      <c r="H472" s="460"/>
      <c r="I472" s="981"/>
      <c r="J472" s="460"/>
      <c r="K472" s="981"/>
      <c r="L472" s="460"/>
      <c r="M472" s="922"/>
      <c r="N472" s="460"/>
    </row>
    <row r="473" spans="1:14">
      <c r="A473" s="906"/>
      <c r="B473" s="907"/>
      <c r="C473" s="908"/>
      <c r="D473" s="909"/>
      <c r="E473" s="905"/>
      <c r="F473" s="465"/>
      <c r="G473" s="922"/>
      <c r="H473" s="460"/>
      <c r="I473" s="981"/>
      <c r="J473" s="460"/>
      <c r="K473" s="981"/>
      <c r="L473" s="460"/>
      <c r="M473" s="922"/>
      <c r="N473" s="460"/>
    </row>
    <row r="474" spans="1:14">
      <c r="A474" s="906"/>
      <c r="B474" s="907"/>
      <c r="C474" s="908"/>
      <c r="D474" s="909"/>
      <c r="E474" s="905"/>
      <c r="F474" s="465"/>
      <c r="G474" s="922"/>
      <c r="H474" s="460"/>
      <c r="I474" s="981"/>
      <c r="J474" s="460"/>
      <c r="K474" s="981"/>
      <c r="L474" s="460"/>
      <c r="M474" s="922"/>
      <c r="N474" s="460"/>
    </row>
    <row r="475" spans="1:14">
      <c r="A475" s="906"/>
      <c r="B475" s="907"/>
      <c r="C475" s="908"/>
      <c r="D475" s="909"/>
      <c r="E475" s="905"/>
      <c r="F475" s="465"/>
      <c r="G475" s="922"/>
      <c r="H475" s="460"/>
      <c r="I475" s="981"/>
      <c r="J475" s="460"/>
      <c r="K475" s="981"/>
      <c r="L475" s="460"/>
      <c r="M475" s="922"/>
      <c r="N475" s="460"/>
    </row>
    <row r="476" spans="1:14">
      <c r="A476" s="906"/>
      <c r="B476" s="907"/>
      <c r="C476" s="908"/>
      <c r="D476" s="909"/>
      <c r="E476" s="905"/>
      <c r="F476" s="465"/>
      <c r="G476" s="922"/>
      <c r="H476" s="460"/>
      <c r="I476" s="981"/>
      <c r="J476" s="460"/>
      <c r="K476" s="981"/>
      <c r="L476" s="460"/>
      <c r="M476" s="922"/>
      <c r="N476" s="460"/>
    </row>
    <row r="477" spans="1:14">
      <c r="A477" s="906"/>
      <c r="B477" s="907"/>
      <c r="C477" s="908"/>
      <c r="D477" s="909"/>
      <c r="E477" s="905"/>
      <c r="F477" s="465"/>
      <c r="G477" s="922"/>
      <c r="H477" s="460"/>
      <c r="I477" s="981"/>
      <c r="J477" s="460"/>
      <c r="K477" s="981"/>
      <c r="L477" s="460"/>
      <c r="M477" s="922"/>
      <c r="N477" s="460"/>
    </row>
    <row r="478" spans="1:14">
      <c r="A478" s="906"/>
      <c r="B478" s="907"/>
      <c r="C478" s="908"/>
      <c r="D478" s="909"/>
      <c r="E478" s="905"/>
      <c r="F478" s="465"/>
      <c r="G478" s="922"/>
      <c r="H478" s="460"/>
      <c r="I478" s="981"/>
      <c r="J478" s="460"/>
      <c r="K478" s="981"/>
      <c r="L478" s="460"/>
      <c r="M478" s="922"/>
      <c r="N478" s="460"/>
    </row>
    <row r="479" spans="1:14">
      <c r="A479" s="906"/>
      <c r="B479" s="907"/>
      <c r="C479" s="908"/>
      <c r="D479" s="909"/>
      <c r="E479" s="905"/>
      <c r="F479" s="465"/>
      <c r="G479" s="922"/>
      <c r="H479" s="460"/>
      <c r="I479" s="981"/>
      <c r="J479" s="460"/>
      <c r="K479" s="981"/>
      <c r="L479" s="460"/>
      <c r="M479" s="922"/>
      <c r="N479" s="460"/>
    </row>
    <row r="480" spans="1:14">
      <c r="A480" s="906"/>
      <c r="B480" s="907"/>
      <c r="C480" s="908"/>
      <c r="D480" s="909"/>
      <c r="E480" s="905"/>
      <c r="F480" s="465"/>
      <c r="G480" s="922"/>
      <c r="H480" s="460"/>
      <c r="I480" s="981"/>
      <c r="J480" s="460"/>
      <c r="K480" s="981"/>
      <c r="L480" s="460"/>
      <c r="M480" s="922"/>
      <c r="N480" s="460"/>
    </row>
    <row r="481" spans="1:14">
      <c r="A481" s="906"/>
      <c r="B481" s="907"/>
      <c r="C481" s="908"/>
      <c r="D481" s="909"/>
      <c r="E481" s="905"/>
      <c r="F481" s="465"/>
      <c r="G481" s="922"/>
      <c r="H481" s="460"/>
      <c r="I481" s="981"/>
      <c r="J481" s="460"/>
      <c r="K481" s="981"/>
      <c r="L481" s="460"/>
      <c r="M481" s="922"/>
      <c r="N481" s="460"/>
    </row>
    <row r="482" spans="1:14">
      <c r="A482" s="906"/>
      <c r="B482" s="907"/>
      <c r="C482" s="908"/>
      <c r="D482" s="909"/>
      <c r="E482" s="905"/>
      <c r="F482" s="465"/>
      <c r="G482" s="922"/>
      <c r="H482" s="460"/>
      <c r="I482" s="981"/>
      <c r="J482" s="460"/>
      <c r="K482" s="981"/>
      <c r="L482" s="460"/>
      <c r="M482" s="922"/>
      <c r="N482" s="460"/>
    </row>
    <row r="483" spans="1:14">
      <c r="A483" s="906"/>
      <c r="B483" s="907"/>
      <c r="C483" s="908"/>
      <c r="D483" s="909"/>
      <c r="E483" s="905"/>
      <c r="F483" s="465"/>
      <c r="G483" s="922"/>
      <c r="H483" s="460"/>
      <c r="I483" s="981"/>
      <c r="J483" s="460"/>
      <c r="K483" s="981"/>
      <c r="L483" s="460"/>
      <c r="M483" s="922"/>
      <c r="N483" s="460"/>
    </row>
    <row r="484" spans="1:14">
      <c r="A484" s="906"/>
      <c r="B484" s="907"/>
      <c r="C484" s="908"/>
      <c r="D484" s="909"/>
      <c r="E484" s="905"/>
      <c r="F484" s="465"/>
      <c r="G484" s="922"/>
      <c r="H484" s="460"/>
      <c r="I484" s="981"/>
      <c r="J484" s="460"/>
      <c r="K484" s="981"/>
      <c r="L484" s="460"/>
      <c r="M484" s="922"/>
      <c r="N484" s="460"/>
    </row>
    <row r="485" spans="1:14">
      <c r="A485" s="906"/>
      <c r="B485" s="907"/>
      <c r="C485" s="908"/>
      <c r="D485" s="909"/>
      <c r="E485" s="905"/>
      <c r="F485" s="465"/>
      <c r="G485" s="922"/>
      <c r="H485" s="460"/>
      <c r="I485" s="981"/>
      <c r="J485" s="460"/>
      <c r="K485" s="981"/>
      <c r="L485" s="460"/>
      <c r="M485" s="922"/>
      <c r="N485" s="460"/>
    </row>
    <row r="486" spans="1:14">
      <c r="A486" s="906"/>
      <c r="B486" s="907"/>
      <c r="C486" s="908"/>
      <c r="D486" s="909"/>
      <c r="E486" s="905"/>
      <c r="F486" s="465"/>
      <c r="G486" s="922"/>
      <c r="H486" s="460"/>
      <c r="I486" s="981"/>
      <c r="J486" s="460"/>
      <c r="K486" s="981"/>
      <c r="L486" s="460"/>
      <c r="M486" s="922"/>
      <c r="N486" s="460"/>
    </row>
    <row r="487" spans="1:14">
      <c r="A487" s="906"/>
      <c r="B487" s="907"/>
      <c r="C487" s="908"/>
      <c r="D487" s="909"/>
      <c r="E487" s="905"/>
      <c r="F487" s="465"/>
      <c r="G487" s="922"/>
      <c r="H487" s="460"/>
      <c r="I487" s="981"/>
      <c r="J487" s="460"/>
      <c r="K487" s="981"/>
      <c r="L487" s="460"/>
      <c r="M487" s="922"/>
      <c r="N487" s="460"/>
    </row>
    <row r="488" spans="1:14">
      <c r="A488" s="906"/>
      <c r="B488" s="907"/>
      <c r="C488" s="908"/>
      <c r="D488" s="909"/>
      <c r="E488" s="905"/>
      <c r="F488" s="465"/>
      <c r="G488" s="922"/>
      <c r="H488" s="460"/>
      <c r="I488" s="981"/>
      <c r="J488" s="460"/>
      <c r="K488" s="981"/>
      <c r="L488" s="460"/>
      <c r="M488" s="922"/>
      <c r="N488" s="460"/>
    </row>
    <row r="489" spans="1:14">
      <c r="A489" s="906"/>
      <c r="B489" s="907"/>
      <c r="C489" s="908"/>
      <c r="D489" s="909"/>
      <c r="E489" s="905"/>
      <c r="F489" s="465"/>
      <c r="G489" s="922"/>
      <c r="H489" s="460"/>
      <c r="I489" s="981"/>
      <c r="J489" s="460"/>
      <c r="K489" s="981"/>
      <c r="L489" s="460"/>
      <c r="M489" s="922"/>
      <c r="N489" s="460"/>
    </row>
    <row r="490" spans="1:14">
      <c r="A490" s="906"/>
      <c r="B490" s="907"/>
      <c r="C490" s="908"/>
      <c r="D490" s="909"/>
      <c r="E490" s="905"/>
      <c r="F490" s="465"/>
      <c r="G490" s="922"/>
      <c r="H490" s="460"/>
      <c r="I490" s="981"/>
      <c r="J490" s="460"/>
      <c r="K490" s="981"/>
      <c r="L490" s="460"/>
      <c r="M490" s="922"/>
      <c r="N490" s="460"/>
    </row>
    <row r="491" spans="1:14">
      <c r="A491" s="906"/>
      <c r="B491" s="907"/>
      <c r="C491" s="908"/>
      <c r="D491" s="909"/>
      <c r="E491" s="905"/>
      <c r="F491" s="465"/>
      <c r="G491" s="922"/>
      <c r="H491" s="460"/>
      <c r="I491" s="981"/>
      <c r="J491" s="460"/>
      <c r="K491" s="981"/>
      <c r="L491" s="460"/>
      <c r="M491" s="922"/>
      <c r="N491" s="460"/>
    </row>
    <row r="492" spans="1:14">
      <c r="A492" s="906"/>
      <c r="B492" s="907"/>
      <c r="C492" s="908"/>
      <c r="D492" s="909"/>
      <c r="E492" s="905"/>
      <c r="F492" s="465"/>
      <c r="G492" s="922"/>
      <c r="H492" s="460"/>
      <c r="I492" s="981"/>
      <c r="J492" s="460"/>
      <c r="K492" s="981"/>
      <c r="L492" s="460"/>
      <c r="M492" s="922"/>
      <c r="N492" s="460"/>
    </row>
    <row r="493" spans="1:14">
      <c r="A493" s="906"/>
      <c r="B493" s="907"/>
      <c r="C493" s="908"/>
      <c r="D493" s="909"/>
      <c r="E493" s="905"/>
      <c r="F493" s="465"/>
      <c r="G493" s="922"/>
      <c r="H493" s="460"/>
      <c r="I493" s="981"/>
      <c r="J493" s="460"/>
      <c r="K493" s="981"/>
      <c r="L493" s="460"/>
      <c r="M493" s="922"/>
      <c r="N493" s="460"/>
    </row>
    <row r="494" spans="1:14">
      <c r="A494" s="906"/>
      <c r="B494" s="907"/>
      <c r="C494" s="908"/>
      <c r="D494" s="909"/>
      <c r="E494" s="905"/>
      <c r="F494" s="465"/>
      <c r="G494" s="922"/>
      <c r="H494" s="460"/>
      <c r="I494" s="981"/>
      <c r="J494" s="460"/>
      <c r="K494" s="981"/>
      <c r="L494" s="460"/>
      <c r="M494" s="922"/>
      <c r="N494" s="460"/>
    </row>
    <row r="495" spans="1:14">
      <c r="A495" s="906"/>
      <c r="B495" s="907"/>
      <c r="C495" s="908"/>
      <c r="D495" s="909"/>
      <c r="E495" s="905"/>
      <c r="F495" s="465"/>
      <c r="G495" s="922"/>
      <c r="H495" s="460"/>
      <c r="I495" s="981"/>
      <c r="J495" s="460"/>
      <c r="K495" s="981"/>
      <c r="L495" s="460"/>
      <c r="M495" s="922"/>
      <c r="N495" s="460"/>
    </row>
    <row r="496" spans="1:14">
      <c r="A496" s="906"/>
      <c r="B496" s="907"/>
      <c r="C496" s="908"/>
      <c r="D496" s="909"/>
      <c r="E496" s="905"/>
      <c r="F496" s="465"/>
      <c r="G496" s="922"/>
      <c r="H496" s="460"/>
      <c r="I496" s="981"/>
      <c r="J496" s="460"/>
      <c r="K496" s="981"/>
      <c r="L496" s="460"/>
      <c r="M496" s="922"/>
      <c r="N496" s="460"/>
    </row>
    <row r="497" spans="1:14">
      <c r="A497" s="906"/>
      <c r="B497" s="907"/>
      <c r="C497" s="908"/>
      <c r="D497" s="910"/>
      <c r="E497" s="905"/>
      <c r="F497" s="465"/>
      <c r="G497" s="922"/>
      <c r="H497" s="460"/>
      <c r="I497" s="981"/>
      <c r="J497" s="460"/>
      <c r="K497" s="981"/>
      <c r="L497" s="460"/>
      <c r="M497" s="922"/>
      <c r="N497" s="460"/>
    </row>
    <row r="498" spans="1:14">
      <c r="A498" s="906"/>
      <c r="B498" s="907"/>
      <c r="C498" s="908"/>
      <c r="D498" s="910"/>
      <c r="E498" s="905"/>
      <c r="F498" s="465"/>
      <c r="G498" s="922"/>
      <c r="H498" s="460"/>
      <c r="I498" s="981"/>
      <c r="J498" s="460"/>
      <c r="K498" s="981"/>
      <c r="L498" s="460"/>
      <c r="M498" s="922"/>
      <c r="N498" s="460"/>
    </row>
    <row r="499" spans="1:14" ht="13.5" thickBot="1">
      <c r="A499" s="911"/>
      <c r="B499" s="912"/>
      <c r="C499" s="913"/>
      <c r="D499" s="914"/>
      <c r="E499" s="955"/>
      <c r="F499" s="915"/>
      <c r="G499" s="916"/>
      <c r="H499" s="943"/>
      <c r="I499" s="982"/>
      <c r="J499" s="983"/>
      <c r="K499" s="982"/>
      <c r="L499" s="983"/>
      <c r="M499" s="916"/>
      <c r="N499" s="943"/>
    </row>
  </sheetData>
  <sheetProtection sheet="1" objects="1" scenarios="1" formatCells="0" formatColumns="0" formatRows="0" insertColumns="0" insertRows="0" insertHyperlinks="0" deleteColumns="0" deleteRows="0" sort="0" autoFilter="0" pivotTables="0"/>
  <dataConsolidate/>
  <mergeCells count="5">
    <mergeCell ref="G1:H1"/>
    <mergeCell ref="E3:F3"/>
    <mergeCell ref="M1:N1"/>
    <mergeCell ref="I1:J1"/>
    <mergeCell ref="K1:L1"/>
  </mergeCells>
  <phoneticPr fontId="14" type="noConversion"/>
  <conditionalFormatting sqref="A1">
    <cfRule type="cellIs" dxfId="10348" priority="5" stopIfTrue="1" operator="equal">
      <formula>"NOK"</formula>
    </cfRule>
  </conditionalFormatting>
  <conditionalFormatting sqref="G5:G499">
    <cfRule type="cellIs" dxfId="10347" priority="4" stopIfTrue="1" operator="notEqual">
      <formula>H5</formula>
    </cfRule>
  </conditionalFormatting>
  <conditionalFormatting sqref="M5:M499">
    <cfRule type="cellIs" dxfId="10346" priority="3" stopIfTrue="1" operator="notEqual">
      <formula>N5</formula>
    </cfRule>
  </conditionalFormatting>
  <conditionalFormatting sqref="I5:I499">
    <cfRule type="cellIs" dxfId="10345" priority="2" stopIfTrue="1" operator="notEqual">
      <formula>J5</formula>
    </cfRule>
  </conditionalFormatting>
  <conditionalFormatting sqref="K5:K499">
    <cfRule type="cellIs" dxfId="10344" priority="1" stopIfTrue="1" operator="notEqual">
      <formula>L5</formula>
    </cfRule>
  </conditionalFormatting>
  <dataValidations count="1">
    <dataValidation type="list" allowBlank="1" showInputMessage="1" showErrorMessage="1" sqref="G1 M1">
      <formula1>KettleNodeVariablesList</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sheetPr codeName="Sheet64">
    <tabColor rgb="FF92D050"/>
  </sheetPr>
  <dimension ref="A1:AM474"/>
  <sheetViews>
    <sheetView showGridLines="0" zoomScale="85" zoomScaleNormal="85" workbookViewId="0">
      <pane xSplit="6" ySplit="4" topLeftCell="G5" activePane="bottomRight" state="frozenSplit"/>
      <selection activeCell="I6" sqref="I6"/>
      <selection pane="topRight" activeCell="I6" sqref="I6"/>
      <selection pane="bottomLeft" activeCell="I6" sqref="I6"/>
      <selection pane="bottomRight" activeCell="F1" sqref="F1"/>
    </sheetView>
  </sheetViews>
  <sheetFormatPr defaultRowHeight="12.75"/>
  <cols>
    <col min="1" max="1" width="36.625" style="28" customWidth="1"/>
    <col min="2" max="2" width="8.625" style="28" customWidth="1"/>
    <col min="3" max="3" width="8.625" style="29" customWidth="1"/>
    <col min="4" max="5" width="16.625" style="28" customWidth="1"/>
    <col min="6" max="6" width="16.625" style="30" customWidth="1"/>
    <col min="7" max="7" width="12.625" style="31" customWidth="1"/>
    <col min="8" max="8" width="12.625" style="32" customWidth="1"/>
    <col min="9" max="9" width="12.625" style="31" customWidth="1"/>
    <col min="10" max="10" width="12.625" style="32" customWidth="1"/>
    <col min="11" max="11" width="12.625" style="31" customWidth="1"/>
    <col min="12" max="12" width="12.625" style="32" customWidth="1"/>
    <col min="13" max="13" width="12.625" style="31" customWidth="1"/>
    <col min="14" max="14" width="12.625" style="32" customWidth="1"/>
    <col min="15" max="15" width="12.625" style="31" customWidth="1"/>
    <col min="16" max="16" width="12.625" style="32" customWidth="1"/>
    <col min="17" max="17" width="12.625" style="31" customWidth="1"/>
    <col min="18" max="18" width="12.625" style="32" customWidth="1"/>
    <col min="19" max="19" width="12.625" style="31" customWidth="1"/>
    <col min="20" max="20" width="12.625" style="32" customWidth="1"/>
    <col min="21" max="21" width="12.625" style="31" customWidth="1"/>
    <col min="22" max="22" width="12.625" style="32" customWidth="1"/>
    <col min="23" max="23" width="9.75" style="485" customWidth="1"/>
    <col min="24" max="24" width="9.75" style="486" customWidth="1"/>
    <col min="25" max="25" width="12" style="560" customWidth="1"/>
    <col min="26" max="26" width="9.75" style="561" customWidth="1"/>
    <col min="27" max="27" width="9.75" style="560" customWidth="1"/>
    <col min="28" max="28" width="9.75" style="561" customWidth="1"/>
    <col min="29" max="29" width="9.75" style="560" customWidth="1"/>
    <col min="30" max="30" width="9.75" style="561" customWidth="1"/>
    <col min="31" max="31" width="9.75" style="560" customWidth="1"/>
    <col min="32" max="32" width="9.75" style="561" customWidth="1"/>
    <col min="33" max="33" width="9.75" style="560" customWidth="1"/>
    <col min="34" max="34" width="9.75" style="561" customWidth="1"/>
    <col min="35" max="35" width="1.25" style="6" customWidth="1"/>
    <col min="36" max="36" width="21.375" style="6" customWidth="1"/>
    <col min="37" max="282" width="8.875" style="6"/>
    <col min="283" max="283" width="12" style="6" customWidth="1"/>
    <col min="284" max="284" width="7.125" style="6" customWidth="1"/>
    <col min="285" max="285" width="8.875" style="6"/>
    <col min="286" max="286" width="16" style="6" customWidth="1"/>
    <col min="287" max="287" width="13.75" style="6" customWidth="1"/>
    <col min="288" max="289" width="9.75" style="6" customWidth="1"/>
    <col min="290" max="538" width="8.875" style="6"/>
    <col min="539" max="539" width="12" style="6" customWidth="1"/>
    <col min="540" max="540" width="7.125" style="6" customWidth="1"/>
    <col min="541" max="541" width="8.875" style="6"/>
    <col min="542" max="542" width="16" style="6" customWidth="1"/>
    <col min="543" max="543" width="13.75" style="6" customWidth="1"/>
    <col min="544" max="545" width="9.75" style="6" customWidth="1"/>
    <col min="546" max="794" width="8.875" style="6"/>
    <col min="795" max="795" width="12" style="6" customWidth="1"/>
    <col min="796" max="796" width="7.125" style="6" customWidth="1"/>
    <col min="797" max="797" width="8.875" style="6"/>
    <col min="798" max="798" width="16" style="6" customWidth="1"/>
    <col min="799" max="799" width="13.75" style="6" customWidth="1"/>
    <col min="800" max="801" width="9.75" style="6" customWidth="1"/>
    <col min="802" max="1050" width="8.875" style="6"/>
    <col min="1051" max="1051" width="12" style="6" customWidth="1"/>
    <col min="1052" max="1052" width="7.125" style="6" customWidth="1"/>
    <col min="1053" max="1053" width="8.875" style="6"/>
    <col min="1054" max="1054" width="16" style="6" customWidth="1"/>
    <col min="1055" max="1055" width="13.75" style="6" customWidth="1"/>
    <col min="1056" max="1057" width="9.75" style="6" customWidth="1"/>
    <col min="1058" max="1306" width="8.875" style="6"/>
    <col min="1307" max="1307" width="12" style="6" customWidth="1"/>
    <col min="1308" max="1308" width="7.125" style="6" customWidth="1"/>
    <col min="1309" max="1309" width="8.875" style="6"/>
    <col min="1310" max="1310" width="16" style="6" customWidth="1"/>
    <col min="1311" max="1311" width="13.75" style="6" customWidth="1"/>
    <col min="1312" max="1313" width="9.75" style="6" customWidth="1"/>
    <col min="1314" max="1562" width="8.875" style="6"/>
    <col min="1563" max="1563" width="12" style="6" customWidth="1"/>
    <col min="1564" max="1564" width="7.125" style="6" customWidth="1"/>
    <col min="1565" max="1565" width="8.875" style="6"/>
    <col min="1566" max="1566" width="16" style="6" customWidth="1"/>
    <col min="1567" max="1567" width="13.75" style="6" customWidth="1"/>
    <col min="1568" max="1569" width="9.75" style="6" customWidth="1"/>
    <col min="1570" max="1818" width="8.875" style="6"/>
    <col min="1819" max="1819" width="12" style="6" customWidth="1"/>
    <col min="1820" max="1820" width="7.125" style="6" customWidth="1"/>
    <col min="1821" max="1821" width="8.875" style="6"/>
    <col min="1822" max="1822" width="16" style="6" customWidth="1"/>
    <col min="1823" max="1823" width="13.75" style="6" customWidth="1"/>
    <col min="1824" max="1825" width="9.75" style="6" customWidth="1"/>
    <col min="1826" max="2074" width="8.875" style="6"/>
    <col min="2075" max="2075" width="12" style="6" customWidth="1"/>
    <col min="2076" max="2076" width="7.125" style="6" customWidth="1"/>
    <col min="2077" max="2077" width="8.875" style="6"/>
    <col min="2078" max="2078" width="16" style="6" customWidth="1"/>
    <col min="2079" max="2079" width="13.75" style="6" customWidth="1"/>
    <col min="2080" max="2081" width="9.75" style="6" customWidth="1"/>
    <col min="2082" max="2330" width="8.875" style="6"/>
    <col min="2331" max="2331" width="12" style="6" customWidth="1"/>
    <col min="2332" max="2332" width="7.125" style="6" customWidth="1"/>
    <col min="2333" max="2333" width="8.875" style="6"/>
    <col min="2334" max="2334" width="16" style="6" customWidth="1"/>
    <col min="2335" max="2335" width="13.75" style="6" customWidth="1"/>
    <col min="2336" max="2337" width="9.75" style="6" customWidth="1"/>
    <col min="2338" max="2586" width="8.875" style="6"/>
    <col min="2587" max="2587" width="12" style="6" customWidth="1"/>
    <col min="2588" max="2588" width="7.125" style="6" customWidth="1"/>
    <col min="2589" max="2589" width="8.875" style="6"/>
    <col min="2590" max="2590" width="16" style="6" customWidth="1"/>
    <col min="2591" max="2591" width="13.75" style="6" customWidth="1"/>
    <col min="2592" max="2593" width="9.75" style="6" customWidth="1"/>
    <col min="2594" max="2842" width="8.875" style="6"/>
    <col min="2843" max="2843" width="12" style="6" customWidth="1"/>
    <col min="2844" max="2844" width="7.125" style="6" customWidth="1"/>
    <col min="2845" max="2845" width="8.875" style="6"/>
    <col min="2846" max="2846" width="16" style="6" customWidth="1"/>
    <col min="2847" max="2847" width="13.75" style="6" customWidth="1"/>
    <col min="2848" max="2849" width="9.75" style="6" customWidth="1"/>
    <col min="2850" max="3098" width="8.875" style="6"/>
    <col min="3099" max="3099" width="12" style="6" customWidth="1"/>
    <col min="3100" max="3100" width="7.125" style="6" customWidth="1"/>
    <col min="3101" max="3101" width="8.875" style="6"/>
    <col min="3102" max="3102" width="16" style="6" customWidth="1"/>
    <col min="3103" max="3103" width="13.75" style="6" customWidth="1"/>
    <col min="3104" max="3105" width="9.75" style="6" customWidth="1"/>
    <col min="3106" max="3354" width="8.875" style="6"/>
    <col min="3355" max="3355" width="12" style="6" customWidth="1"/>
    <col min="3356" max="3356" width="7.125" style="6" customWidth="1"/>
    <col min="3357" max="3357" width="8.875" style="6"/>
    <col min="3358" max="3358" width="16" style="6" customWidth="1"/>
    <col min="3359" max="3359" width="13.75" style="6" customWidth="1"/>
    <col min="3360" max="3361" width="9.75" style="6" customWidth="1"/>
    <col min="3362" max="3610" width="8.875" style="6"/>
    <col min="3611" max="3611" width="12" style="6" customWidth="1"/>
    <col min="3612" max="3612" width="7.125" style="6" customWidth="1"/>
    <col min="3613" max="3613" width="8.875" style="6"/>
    <col min="3614" max="3614" width="16" style="6" customWidth="1"/>
    <col min="3615" max="3615" width="13.75" style="6" customWidth="1"/>
    <col min="3616" max="3617" width="9.75" style="6" customWidth="1"/>
    <col min="3618" max="3866" width="8.875" style="6"/>
    <col min="3867" max="3867" width="12" style="6" customWidth="1"/>
    <col min="3868" max="3868" width="7.125" style="6" customWidth="1"/>
    <col min="3869" max="3869" width="8.875" style="6"/>
    <col min="3870" max="3870" width="16" style="6" customWidth="1"/>
    <col min="3871" max="3871" width="13.75" style="6" customWidth="1"/>
    <col min="3872" max="3873" width="9.75" style="6" customWidth="1"/>
    <col min="3874" max="4122" width="8.875" style="6"/>
    <col min="4123" max="4123" width="12" style="6" customWidth="1"/>
    <col min="4124" max="4124" width="7.125" style="6" customWidth="1"/>
    <col min="4125" max="4125" width="8.875" style="6"/>
    <col min="4126" max="4126" width="16" style="6" customWidth="1"/>
    <col min="4127" max="4127" width="13.75" style="6" customWidth="1"/>
    <col min="4128" max="4129" width="9.75" style="6" customWidth="1"/>
    <col min="4130" max="4378" width="8.875" style="6"/>
    <col min="4379" max="4379" width="12" style="6" customWidth="1"/>
    <col min="4380" max="4380" width="7.125" style="6" customWidth="1"/>
    <col min="4381" max="4381" width="8.875" style="6"/>
    <col min="4382" max="4382" width="16" style="6" customWidth="1"/>
    <col min="4383" max="4383" width="13.75" style="6" customWidth="1"/>
    <col min="4384" max="4385" width="9.75" style="6" customWidth="1"/>
    <col min="4386" max="4634" width="8.875" style="6"/>
    <col min="4635" max="4635" width="12" style="6" customWidth="1"/>
    <col min="4636" max="4636" width="7.125" style="6" customWidth="1"/>
    <col min="4637" max="4637" width="8.875" style="6"/>
    <col min="4638" max="4638" width="16" style="6" customWidth="1"/>
    <col min="4639" max="4639" width="13.75" style="6" customWidth="1"/>
    <col min="4640" max="4641" width="9.75" style="6" customWidth="1"/>
    <col min="4642" max="4890" width="8.875" style="6"/>
    <col min="4891" max="4891" width="12" style="6" customWidth="1"/>
    <col min="4892" max="4892" width="7.125" style="6" customWidth="1"/>
    <col min="4893" max="4893" width="8.875" style="6"/>
    <col min="4894" max="4894" width="16" style="6" customWidth="1"/>
    <col min="4895" max="4895" width="13.75" style="6" customWidth="1"/>
    <col min="4896" max="4897" width="9.75" style="6" customWidth="1"/>
    <col min="4898" max="5146" width="8.875" style="6"/>
    <col min="5147" max="5147" width="12" style="6" customWidth="1"/>
    <col min="5148" max="5148" width="7.125" style="6" customWidth="1"/>
    <col min="5149" max="5149" width="8.875" style="6"/>
    <col min="5150" max="5150" width="16" style="6" customWidth="1"/>
    <col min="5151" max="5151" width="13.75" style="6" customWidth="1"/>
    <col min="5152" max="5153" width="9.75" style="6" customWidth="1"/>
    <col min="5154" max="5402" width="8.875" style="6"/>
    <col min="5403" max="5403" width="12" style="6" customWidth="1"/>
    <col min="5404" max="5404" width="7.125" style="6" customWidth="1"/>
    <col min="5405" max="5405" width="8.875" style="6"/>
    <col min="5406" max="5406" width="16" style="6" customWidth="1"/>
    <col min="5407" max="5407" width="13.75" style="6" customWidth="1"/>
    <col min="5408" max="5409" width="9.75" style="6" customWidth="1"/>
    <col min="5410" max="5658" width="8.875" style="6"/>
    <col min="5659" max="5659" width="12" style="6" customWidth="1"/>
    <col min="5660" max="5660" width="7.125" style="6" customWidth="1"/>
    <col min="5661" max="5661" width="8.875" style="6"/>
    <col min="5662" max="5662" width="16" style="6" customWidth="1"/>
    <col min="5663" max="5663" width="13.75" style="6" customWidth="1"/>
    <col min="5664" max="5665" width="9.75" style="6" customWidth="1"/>
    <col min="5666" max="5914" width="8.875" style="6"/>
    <col min="5915" max="5915" width="12" style="6" customWidth="1"/>
    <col min="5916" max="5916" width="7.125" style="6" customWidth="1"/>
    <col min="5917" max="5917" width="8.875" style="6"/>
    <col min="5918" max="5918" width="16" style="6" customWidth="1"/>
    <col min="5919" max="5919" width="13.75" style="6" customWidth="1"/>
    <col min="5920" max="5921" width="9.75" style="6" customWidth="1"/>
    <col min="5922" max="6170" width="8.875" style="6"/>
    <col min="6171" max="6171" width="12" style="6" customWidth="1"/>
    <col min="6172" max="6172" width="7.125" style="6" customWidth="1"/>
    <col min="6173" max="6173" width="8.875" style="6"/>
    <col min="6174" max="6174" width="16" style="6" customWidth="1"/>
    <col min="6175" max="6175" width="13.75" style="6" customWidth="1"/>
    <col min="6176" max="6177" width="9.75" style="6" customWidth="1"/>
    <col min="6178" max="6426" width="8.875" style="6"/>
    <col min="6427" max="6427" width="12" style="6" customWidth="1"/>
    <col min="6428" max="6428" width="7.125" style="6" customWidth="1"/>
    <col min="6429" max="6429" width="8.875" style="6"/>
    <col min="6430" max="6430" width="16" style="6" customWidth="1"/>
    <col min="6431" max="6431" width="13.75" style="6" customWidth="1"/>
    <col min="6432" max="6433" width="9.75" style="6" customWidth="1"/>
    <col min="6434" max="6682" width="8.875" style="6"/>
    <col min="6683" max="6683" width="12" style="6" customWidth="1"/>
    <col min="6684" max="6684" width="7.125" style="6" customWidth="1"/>
    <col min="6685" max="6685" width="8.875" style="6"/>
    <col min="6686" max="6686" width="16" style="6" customWidth="1"/>
    <col min="6687" max="6687" width="13.75" style="6" customWidth="1"/>
    <col min="6688" max="6689" width="9.75" style="6" customWidth="1"/>
    <col min="6690" max="6938" width="8.875" style="6"/>
    <col min="6939" max="6939" width="12" style="6" customWidth="1"/>
    <col min="6940" max="6940" width="7.125" style="6" customWidth="1"/>
    <col min="6941" max="6941" width="8.875" style="6"/>
    <col min="6942" max="6942" width="16" style="6" customWidth="1"/>
    <col min="6943" max="6943" width="13.75" style="6" customWidth="1"/>
    <col min="6944" max="6945" width="9.75" style="6" customWidth="1"/>
    <col min="6946" max="7194" width="8.875" style="6"/>
    <col min="7195" max="7195" width="12" style="6" customWidth="1"/>
    <col min="7196" max="7196" width="7.125" style="6" customWidth="1"/>
    <col min="7197" max="7197" width="8.875" style="6"/>
    <col min="7198" max="7198" width="16" style="6" customWidth="1"/>
    <col min="7199" max="7199" width="13.75" style="6" customWidth="1"/>
    <col min="7200" max="7201" width="9.75" style="6" customWidth="1"/>
    <col min="7202" max="7450" width="8.875" style="6"/>
    <col min="7451" max="7451" width="12" style="6" customWidth="1"/>
    <col min="7452" max="7452" width="7.125" style="6" customWidth="1"/>
    <col min="7453" max="7453" width="8.875" style="6"/>
    <col min="7454" max="7454" width="16" style="6" customWidth="1"/>
    <col min="7455" max="7455" width="13.75" style="6" customWidth="1"/>
    <col min="7456" max="7457" width="9.75" style="6" customWidth="1"/>
    <col min="7458" max="7706" width="8.875" style="6"/>
    <col min="7707" max="7707" width="12" style="6" customWidth="1"/>
    <col min="7708" max="7708" width="7.125" style="6" customWidth="1"/>
    <col min="7709" max="7709" width="8.875" style="6"/>
    <col min="7710" max="7710" width="16" style="6" customWidth="1"/>
    <col min="7711" max="7711" width="13.75" style="6" customWidth="1"/>
    <col min="7712" max="7713" width="9.75" style="6" customWidth="1"/>
    <col min="7714" max="7962" width="8.875" style="6"/>
    <col min="7963" max="7963" width="12" style="6" customWidth="1"/>
    <col min="7964" max="7964" width="7.125" style="6" customWidth="1"/>
    <col min="7965" max="7965" width="8.875" style="6"/>
    <col min="7966" max="7966" width="16" style="6" customWidth="1"/>
    <col min="7967" max="7967" width="13.75" style="6" customWidth="1"/>
    <col min="7968" max="7969" width="9.75" style="6" customWidth="1"/>
    <col min="7970" max="8218" width="8.875" style="6"/>
    <col min="8219" max="8219" width="12" style="6" customWidth="1"/>
    <col min="8220" max="8220" width="7.125" style="6" customWidth="1"/>
    <col min="8221" max="8221" width="8.875" style="6"/>
    <col min="8222" max="8222" width="16" style="6" customWidth="1"/>
    <col min="8223" max="8223" width="13.75" style="6" customWidth="1"/>
    <col min="8224" max="8225" width="9.75" style="6" customWidth="1"/>
    <col min="8226" max="8474" width="8.875" style="6"/>
    <col min="8475" max="8475" width="12" style="6" customWidth="1"/>
    <col min="8476" max="8476" width="7.125" style="6" customWidth="1"/>
    <col min="8477" max="8477" width="8.875" style="6"/>
    <col min="8478" max="8478" width="16" style="6" customWidth="1"/>
    <col min="8479" max="8479" width="13.75" style="6" customWidth="1"/>
    <col min="8480" max="8481" width="9.75" style="6" customWidth="1"/>
    <col min="8482" max="8730" width="8.875" style="6"/>
    <col min="8731" max="8731" width="12" style="6" customWidth="1"/>
    <col min="8732" max="8732" width="7.125" style="6" customWidth="1"/>
    <col min="8733" max="8733" width="8.875" style="6"/>
    <col min="8734" max="8734" width="16" style="6" customWidth="1"/>
    <col min="8735" max="8735" width="13.75" style="6" customWidth="1"/>
    <col min="8736" max="8737" width="9.75" style="6" customWidth="1"/>
    <col min="8738" max="8986" width="8.875" style="6"/>
    <col min="8987" max="8987" width="12" style="6" customWidth="1"/>
    <col min="8988" max="8988" width="7.125" style="6" customWidth="1"/>
    <col min="8989" max="8989" width="8.875" style="6"/>
    <col min="8990" max="8990" width="16" style="6" customWidth="1"/>
    <col min="8991" max="8991" width="13.75" style="6" customWidth="1"/>
    <col min="8992" max="8993" width="9.75" style="6" customWidth="1"/>
    <col min="8994" max="9242" width="8.875" style="6"/>
    <col min="9243" max="9243" width="12" style="6" customWidth="1"/>
    <col min="9244" max="9244" width="7.125" style="6" customWidth="1"/>
    <col min="9245" max="9245" width="8.875" style="6"/>
    <col min="9246" max="9246" width="16" style="6" customWidth="1"/>
    <col min="9247" max="9247" width="13.75" style="6" customWidth="1"/>
    <col min="9248" max="9249" width="9.75" style="6" customWidth="1"/>
    <col min="9250" max="9498" width="8.875" style="6"/>
    <col min="9499" max="9499" width="12" style="6" customWidth="1"/>
    <col min="9500" max="9500" width="7.125" style="6" customWidth="1"/>
    <col min="9501" max="9501" width="8.875" style="6"/>
    <col min="9502" max="9502" width="16" style="6" customWidth="1"/>
    <col min="9503" max="9503" width="13.75" style="6" customWidth="1"/>
    <col min="9504" max="9505" width="9.75" style="6" customWidth="1"/>
    <col min="9506" max="9754" width="8.875" style="6"/>
    <col min="9755" max="9755" width="12" style="6" customWidth="1"/>
    <col min="9756" max="9756" width="7.125" style="6" customWidth="1"/>
    <col min="9757" max="9757" width="8.875" style="6"/>
    <col min="9758" max="9758" width="16" style="6" customWidth="1"/>
    <col min="9759" max="9759" width="13.75" style="6" customWidth="1"/>
    <col min="9760" max="9761" width="9.75" style="6" customWidth="1"/>
    <col min="9762" max="10010" width="8.875" style="6"/>
    <col min="10011" max="10011" width="12" style="6" customWidth="1"/>
    <col min="10012" max="10012" width="7.125" style="6" customWidth="1"/>
    <col min="10013" max="10013" width="8.875" style="6"/>
    <col min="10014" max="10014" width="16" style="6" customWidth="1"/>
    <col min="10015" max="10015" width="13.75" style="6" customWidth="1"/>
    <col min="10016" max="10017" width="9.75" style="6" customWidth="1"/>
    <col min="10018" max="10266" width="8.875" style="6"/>
    <col min="10267" max="10267" width="12" style="6" customWidth="1"/>
    <col min="10268" max="10268" width="7.125" style="6" customWidth="1"/>
    <col min="10269" max="10269" width="8.875" style="6"/>
    <col min="10270" max="10270" width="16" style="6" customWidth="1"/>
    <col min="10271" max="10271" width="13.75" style="6" customWidth="1"/>
    <col min="10272" max="10273" width="9.75" style="6" customWidth="1"/>
    <col min="10274" max="10522" width="8.875" style="6"/>
    <col min="10523" max="10523" width="12" style="6" customWidth="1"/>
    <col min="10524" max="10524" width="7.125" style="6" customWidth="1"/>
    <col min="10525" max="10525" width="8.875" style="6"/>
    <col min="10526" max="10526" width="16" style="6" customWidth="1"/>
    <col min="10527" max="10527" width="13.75" style="6" customWidth="1"/>
    <col min="10528" max="10529" width="9.75" style="6" customWidth="1"/>
    <col min="10530" max="10778" width="8.875" style="6"/>
    <col min="10779" max="10779" width="12" style="6" customWidth="1"/>
    <col min="10780" max="10780" width="7.125" style="6" customWidth="1"/>
    <col min="10781" max="10781" width="8.875" style="6"/>
    <col min="10782" max="10782" width="16" style="6" customWidth="1"/>
    <col min="10783" max="10783" width="13.75" style="6" customWidth="1"/>
    <col min="10784" max="10785" width="9.75" style="6" customWidth="1"/>
    <col min="10786" max="11034" width="8.875" style="6"/>
    <col min="11035" max="11035" width="12" style="6" customWidth="1"/>
    <col min="11036" max="11036" width="7.125" style="6" customWidth="1"/>
    <col min="11037" max="11037" width="8.875" style="6"/>
    <col min="11038" max="11038" width="16" style="6" customWidth="1"/>
    <col min="11039" max="11039" width="13.75" style="6" customWidth="1"/>
    <col min="11040" max="11041" width="9.75" style="6" customWidth="1"/>
    <col min="11042" max="11290" width="8.875" style="6"/>
    <col min="11291" max="11291" width="12" style="6" customWidth="1"/>
    <col min="11292" max="11292" width="7.125" style="6" customWidth="1"/>
    <col min="11293" max="11293" width="8.875" style="6"/>
    <col min="11294" max="11294" width="16" style="6" customWidth="1"/>
    <col min="11295" max="11295" width="13.75" style="6" customWidth="1"/>
    <col min="11296" max="11297" width="9.75" style="6" customWidth="1"/>
    <col min="11298" max="11546" width="8.875" style="6"/>
    <col min="11547" max="11547" width="12" style="6" customWidth="1"/>
    <col min="11548" max="11548" width="7.125" style="6" customWidth="1"/>
    <col min="11549" max="11549" width="8.875" style="6"/>
    <col min="11550" max="11550" width="16" style="6" customWidth="1"/>
    <col min="11551" max="11551" width="13.75" style="6" customWidth="1"/>
    <col min="11552" max="11553" width="9.75" style="6" customWidth="1"/>
    <col min="11554" max="11802" width="8.875" style="6"/>
    <col min="11803" max="11803" width="12" style="6" customWidth="1"/>
    <col min="11804" max="11804" width="7.125" style="6" customWidth="1"/>
    <col min="11805" max="11805" width="8.875" style="6"/>
    <col min="11806" max="11806" width="16" style="6" customWidth="1"/>
    <col min="11807" max="11807" width="13.75" style="6" customWidth="1"/>
    <col min="11808" max="11809" width="9.75" style="6" customWidth="1"/>
    <col min="11810" max="12058" width="8.875" style="6"/>
    <col min="12059" max="12059" width="12" style="6" customWidth="1"/>
    <col min="12060" max="12060" width="7.125" style="6" customWidth="1"/>
    <col min="12061" max="12061" width="8.875" style="6"/>
    <col min="12062" max="12062" width="16" style="6" customWidth="1"/>
    <col min="12063" max="12063" width="13.75" style="6" customWidth="1"/>
    <col min="12064" max="12065" width="9.75" style="6" customWidth="1"/>
    <col min="12066" max="12314" width="8.875" style="6"/>
    <col min="12315" max="12315" width="12" style="6" customWidth="1"/>
    <col min="12316" max="12316" width="7.125" style="6" customWidth="1"/>
    <col min="12317" max="12317" width="8.875" style="6"/>
    <col min="12318" max="12318" width="16" style="6" customWidth="1"/>
    <col min="12319" max="12319" width="13.75" style="6" customWidth="1"/>
    <col min="12320" max="12321" width="9.75" style="6" customWidth="1"/>
    <col min="12322" max="12570" width="8.875" style="6"/>
    <col min="12571" max="12571" width="12" style="6" customWidth="1"/>
    <col min="12572" max="12572" width="7.125" style="6" customWidth="1"/>
    <col min="12573" max="12573" width="8.875" style="6"/>
    <col min="12574" max="12574" width="16" style="6" customWidth="1"/>
    <col min="12575" max="12575" width="13.75" style="6" customWidth="1"/>
    <col min="12576" max="12577" width="9.75" style="6" customWidth="1"/>
    <col min="12578" max="12826" width="8.875" style="6"/>
    <col min="12827" max="12827" width="12" style="6" customWidth="1"/>
    <col min="12828" max="12828" width="7.125" style="6" customWidth="1"/>
    <col min="12829" max="12829" width="8.875" style="6"/>
    <col min="12830" max="12830" width="16" style="6" customWidth="1"/>
    <col min="12831" max="12831" width="13.75" style="6" customWidth="1"/>
    <col min="12832" max="12833" width="9.75" style="6" customWidth="1"/>
    <col min="12834" max="13082" width="8.875" style="6"/>
    <col min="13083" max="13083" width="12" style="6" customWidth="1"/>
    <col min="13084" max="13084" width="7.125" style="6" customWidth="1"/>
    <col min="13085" max="13085" width="8.875" style="6"/>
    <col min="13086" max="13086" width="16" style="6" customWidth="1"/>
    <col min="13087" max="13087" width="13.75" style="6" customWidth="1"/>
    <col min="13088" max="13089" width="9.75" style="6" customWidth="1"/>
    <col min="13090" max="13338" width="8.875" style="6"/>
    <col min="13339" max="13339" width="12" style="6" customWidth="1"/>
    <col min="13340" max="13340" width="7.125" style="6" customWidth="1"/>
    <col min="13341" max="13341" width="8.875" style="6"/>
    <col min="13342" max="13342" width="16" style="6" customWidth="1"/>
    <col min="13343" max="13343" width="13.75" style="6" customWidth="1"/>
    <col min="13344" max="13345" width="9.75" style="6" customWidth="1"/>
    <col min="13346" max="13594" width="8.875" style="6"/>
    <col min="13595" max="13595" width="12" style="6" customWidth="1"/>
    <col min="13596" max="13596" width="7.125" style="6" customWidth="1"/>
    <col min="13597" max="13597" width="8.875" style="6"/>
    <col min="13598" max="13598" width="16" style="6" customWidth="1"/>
    <col min="13599" max="13599" width="13.75" style="6" customWidth="1"/>
    <col min="13600" max="13601" width="9.75" style="6" customWidth="1"/>
    <col min="13602" max="13850" width="8.875" style="6"/>
    <col min="13851" max="13851" width="12" style="6" customWidth="1"/>
    <col min="13852" max="13852" width="7.125" style="6" customWidth="1"/>
    <col min="13853" max="13853" width="8.875" style="6"/>
    <col min="13854" max="13854" width="16" style="6" customWidth="1"/>
    <col min="13855" max="13855" width="13.75" style="6" customWidth="1"/>
    <col min="13856" max="13857" width="9.75" style="6" customWidth="1"/>
    <col min="13858" max="14106" width="8.875" style="6"/>
    <col min="14107" max="14107" width="12" style="6" customWidth="1"/>
    <col min="14108" max="14108" width="7.125" style="6" customWidth="1"/>
    <col min="14109" max="14109" width="8.875" style="6"/>
    <col min="14110" max="14110" width="16" style="6" customWidth="1"/>
    <col min="14111" max="14111" width="13.75" style="6" customWidth="1"/>
    <col min="14112" max="14113" width="9.75" style="6" customWidth="1"/>
    <col min="14114" max="14362" width="8.875" style="6"/>
    <col min="14363" max="14363" width="12" style="6" customWidth="1"/>
    <col min="14364" max="14364" width="7.125" style="6" customWidth="1"/>
    <col min="14365" max="14365" width="8.875" style="6"/>
    <col min="14366" max="14366" width="16" style="6" customWidth="1"/>
    <col min="14367" max="14367" width="13.75" style="6" customWidth="1"/>
    <col min="14368" max="14369" width="9.75" style="6" customWidth="1"/>
    <col min="14370" max="14618" width="8.875" style="6"/>
    <col min="14619" max="14619" width="12" style="6" customWidth="1"/>
    <col min="14620" max="14620" width="7.125" style="6" customWidth="1"/>
    <col min="14621" max="14621" width="8.875" style="6"/>
    <col min="14622" max="14622" width="16" style="6" customWidth="1"/>
    <col min="14623" max="14623" width="13.75" style="6" customWidth="1"/>
    <col min="14624" max="14625" width="9.75" style="6" customWidth="1"/>
    <col min="14626" max="14874" width="8.875" style="6"/>
    <col min="14875" max="14875" width="12" style="6" customWidth="1"/>
    <col min="14876" max="14876" width="7.125" style="6" customWidth="1"/>
    <col min="14877" max="14877" width="8.875" style="6"/>
    <col min="14878" max="14878" width="16" style="6" customWidth="1"/>
    <col min="14879" max="14879" width="13.75" style="6" customWidth="1"/>
    <col min="14880" max="14881" width="9.75" style="6" customWidth="1"/>
    <col min="14882" max="15130" width="8.875" style="6"/>
    <col min="15131" max="15131" width="12" style="6" customWidth="1"/>
    <col min="15132" max="15132" width="7.125" style="6" customWidth="1"/>
    <col min="15133" max="15133" width="8.875" style="6"/>
    <col min="15134" max="15134" width="16" style="6" customWidth="1"/>
    <col min="15135" max="15135" width="13.75" style="6" customWidth="1"/>
    <col min="15136" max="15137" width="9.75" style="6" customWidth="1"/>
    <col min="15138" max="15386" width="8.875" style="6"/>
    <col min="15387" max="15387" width="12" style="6" customWidth="1"/>
    <col min="15388" max="15388" width="7.125" style="6" customWidth="1"/>
    <col min="15389" max="15389" width="8.875" style="6"/>
    <col min="15390" max="15390" width="16" style="6" customWidth="1"/>
    <col min="15391" max="15391" width="13.75" style="6" customWidth="1"/>
    <col min="15392" max="15393" width="9.75" style="6" customWidth="1"/>
    <col min="15394" max="15642" width="8.875" style="6"/>
    <col min="15643" max="15643" width="12" style="6" customWidth="1"/>
    <col min="15644" max="15644" width="7.125" style="6" customWidth="1"/>
    <col min="15645" max="15645" width="8.875" style="6"/>
    <col min="15646" max="15646" width="16" style="6" customWidth="1"/>
    <col min="15647" max="15647" width="13.75" style="6" customWidth="1"/>
    <col min="15648" max="15649" width="9.75" style="6" customWidth="1"/>
    <col min="15650" max="15898" width="8.875" style="6"/>
    <col min="15899" max="15899" width="12" style="6" customWidth="1"/>
    <col min="15900" max="15900" width="7.125" style="6" customWidth="1"/>
    <col min="15901" max="15901" width="8.875" style="6"/>
    <col min="15902" max="15902" width="16" style="6" customWidth="1"/>
    <col min="15903" max="15903" width="13.75" style="6" customWidth="1"/>
    <col min="15904" max="15905" width="9.75" style="6" customWidth="1"/>
    <col min="15906" max="16154" width="8.875" style="6"/>
    <col min="16155" max="16155" width="12" style="6" customWidth="1"/>
    <col min="16156" max="16156" width="7.125" style="6" customWidth="1"/>
    <col min="16157" max="16157" width="8.875" style="6"/>
    <col min="16158" max="16158" width="16" style="6" customWidth="1"/>
    <col min="16159" max="16159" width="13.75" style="6" customWidth="1"/>
    <col min="16160" max="16161" width="9.75" style="6" customWidth="1"/>
    <col min="16162" max="16384" width="8.875" style="6"/>
  </cols>
  <sheetData>
    <row r="1" spans="1:36" s="2" customFormat="1" ht="23.25" customHeight="1" thickBot="1">
      <c r="A1" s="1" t="e">
        <f>IF(SUM(2:2)=0,"OK","NOK")</f>
        <v>#DIV/0!</v>
      </c>
      <c r="F1" s="43" t="s">
        <v>4594</v>
      </c>
      <c r="G1" s="1085" t="s">
        <v>4614</v>
      </c>
      <c r="H1" s="1086"/>
      <c r="I1" s="1085" t="s">
        <v>4629</v>
      </c>
      <c r="J1" s="1086"/>
      <c r="K1" s="1085" t="s">
        <v>4632</v>
      </c>
      <c r="L1" s="1086"/>
      <c r="M1" s="1085" t="s">
        <v>4737</v>
      </c>
      <c r="N1" s="1086"/>
      <c r="O1" s="1085" t="s">
        <v>4739</v>
      </c>
      <c r="P1" s="1086"/>
      <c r="Q1" s="1085" t="s">
        <v>4741</v>
      </c>
      <c r="R1" s="1086"/>
      <c r="S1" s="1085" t="s">
        <v>4743</v>
      </c>
      <c r="T1" s="1086"/>
      <c r="U1" s="1085" t="s">
        <v>8228</v>
      </c>
      <c r="V1" s="1086"/>
      <c r="W1" s="1085" t="s">
        <v>8229</v>
      </c>
      <c r="X1" s="1086"/>
      <c r="Y1" s="1085" t="s">
        <v>8230</v>
      </c>
      <c r="Z1" s="1086"/>
      <c r="AA1" s="1085" t="s">
        <v>8232</v>
      </c>
      <c r="AB1" s="1086"/>
      <c r="AC1" s="1085" t="s">
        <v>8233</v>
      </c>
      <c r="AD1" s="1086"/>
      <c r="AE1" s="1085" t="s">
        <v>8234</v>
      </c>
      <c r="AF1" s="1086"/>
      <c r="AG1" s="1085" t="s">
        <v>8235</v>
      </c>
      <c r="AH1" s="1086"/>
      <c r="AI1" s="44"/>
      <c r="AJ1" s="48" t="s">
        <v>10</v>
      </c>
    </row>
    <row r="2" spans="1:36" ht="13.5" thickBot="1">
      <c r="A2" s="3"/>
      <c r="B2" s="3"/>
      <c r="C2" s="3"/>
      <c r="D2" s="3"/>
      <c r="E2" s="3"/>
      <c r="F2" s="2"/>
      <c r="G2" s="4" t="s">
        <v>0</v>
      </c>
      <c r="H2" s="5">
        <f>SUMX2MY2(G5:G4947,H5:H4947)</f>
        <v>-6.4028427004814148E-10</v>
      </c>
      <c r="I2" s="4" t="s">
        <v>0</v>
      </c>
      <c r="J2" s="5">
        <f>SUMX2MY2(I5:I4947,J5:J4947)</f>
        <v>2.8100000000000005</v>
      </c>
      <c r="K2" s="4" t="s">
        <v>0</v>
      </c>
      <c r="L2" s="5">
        <f>SUMX2MY2(K5:K4947,L5:L4947)</f>
        <v>0</v>
      </c>
      <c r="M2" s="4" t="s">
        <v>0</v>
      </c>
      <c r="N2" s="5" t="e">
        <f>SUMX2MY2(M5:M4947,N5:N4947)</f>
        <v>#DIV/0!</v>
      </c>
      <c r="O2" s="4" t="s">
        <v>0</v>
      </c>
      <c r="P2" s="5" t="e">
        <f>SUMX2MY2(O5:O4947,P5:P4947)</f>
        <v>#DIV/0!</v>
      </c>
      <c r="Q2" s="4" t="s">
        <v>0</v>
      </c>
      <c r="R2" s="5">
        <f>SUMX2MY2(Q5:Q4947,R5:R4947)</f>
        <v>-8.6673423993488541E-10</v>
      </c>
      <c r="S2" s="4" t="s">
        <v>0</v>
      </c>
      <c r="T2" s="5">
        <f>SUMX2MY2(S5:S4947,T5:T4947)</f>
        <v>7.5632623428023571E-10</v>
      </c>
      <c r="U2" s="4" t="s">
        <v>0</v>
      </c>
      <c r="V2" s="5" t="e">
        <f>SUMX2MY2(U5:U4947,V5:V4947)</f>
        <v>#DIV/0!</v>
      </c>
      <c r="W2" s="470" t="s">
        <v>0</v>
      </c>
      <c r="X2" s="183" t="e">
        <f>SUMX2MY2(W5:W4975,X5:X4975)</f>
        <v>#DIV/0!</v>
      </c>
      <c r="Y2" s="552" t="s">
        <v>8231</v>
      </c>
      <c r="Z2" s="183" t="e">
        <f>SUMX2MY2(Y5:Y4975,Z5:Z4975)</f>
        <v>#DIV/0!</v>
      </c>
      <c r="AA2" s="552" t="s">
        <v>0</v>
      </c>
      <c r="AB2" s="183" t="e">
        <f>SUMX2MY2(AA5:AA4975,AB5:AB4975)</f>
        <v>#DIV/0!</v>
      </c>
      <c r="AC2" s="552" t="s">
        <v>0</v>
      </c>
      <c r="AD2" s="183" t="e">
        <f>SUMX2MY2(AC5:AC4975,AD5:AD4975)</f>
        <v>#DIV/0!</v>
      </c>
      <c r="AE2" s="552" t="s">
        <v>0</v>
      </c>
      <c r="AF2" s="183" t="e">
        <f>SUMX2MY2(AE5:AE4975,AF5:AF4975)</f>
        <v>#DIV/0!</v>
      </c>
      <c r="AG2" s="552" t="s">
        <v>0</v>
      </c>
      <c r="AH2" s="183" t="e">
        <f>SUMX2MY2(AG5:AG4975,AH5:AH4975)</f>
        <v>#DIV/0!</v>
      </c>
    </row>
    <row r="3" spans="1:36" ht="27.75" customHeight="1">
      <c r="A3" s="35" t="s">
        <v>1</v>
      </c>
      <c r="B3" s="36" t="s">
        <v>2</v>
      </c>
      <c r="C3" s="36" t="s">
        <v>3</v>
      </c>
      <c r="D3" s="36" t="s">
        <v>4</v>
      </c>
      <c r="E3" s="1087" t="s">
        <v>7</v>
      </c>
      <c r="F3" s="1088"/>
      <c r="G3" s="7" t="s">
        <v>5</v>
      </c>
      <c r="H3" s="8" t="s">
        <v>6</v>
      </c>
      <c r="I3" s="7" t="s">
        <v>5</v>
      </c>
      <c r="J3" s="8" t="s">
        <v>6</v>
      </c>
      <c r="K3" s="7" t="s">
        <v>5</v>
      </c>
      <c r="L3" s="8" t="s">
        <v>6</v>
      </c>
      <c r="M3" s="7" t="s">
        <v>5</v>
      </c>
      <c r="N3" s="8" t="s">
        <v>6</v>
      </c>
      <c r="O3" s="7" t="s">
        <v>5</v>
      </c>
      <c r="P3" s="8" t="s">
        <v>6</v>
      </c>
      <c r="Q3" s="7" t="s">
        <v>5</v>
      </c>
      <c r="R3" s="8" t="s">
        <v>6</v>
      </c>
      <c r="S3" s="7" t="s">
        <v>5</v>
      </c>
      <c r="T3" s="8" t="s">
        <v>6</v>
      </c>
      <c r="U3" s="7" t="s">
        <v>5</v>
      </c>
      <c r="V3" s="8" t="s">
        <v>6</v>
      </c>
      <c r="W3" s="472" t="s">
        <v>5</v>
      </c>
      <c r="X3" s="473" t="s">
        <v>6</v>
      </c>
      <c r="Y3" s="553" t="s">
        <v>5</v>
      </c>
      <c r="Z3" s="554" t="s">
        <v>6</v>
      </c>
      <c r="AA3" s="553" t="s">
        <v>5</v>
      </c>
      <c r="AB3" s="554" t="s">
        <v>6</v>
      </c>
      <c r="AC3" s="553" t="s">
        <v>5</v>
      </c>
      <c r="AD3" s="554" t="s">
        <v>6</v>
      </c>
      <c r="AE3" s="553" t="s">
        <v>5</v>
      </c>
      <c r="AF3" s="554" t="s">
        <v>6</v>
      </c>
      <c r="AG3" s="553" t="s">
        <v>5</v>
      </c>
      <c r="AH3" s="554" t="s">
        <v>6</v>
      </c>
    </row>
    <row r="4" spans="1:36" ht="15.75" customHeight="1" thickBot="1">
      <c r="A4" s="34"/>
      <c r="B4" s="33"/>
      <c r="C4" s="33"/>
      <c r="D4" s="33"/>
      <c r="E4" s="41" t="s">
        <v>9</v>
      </c>
      <c r="F4" s="42" t="s">
        <v>8</v>
      </c>
      <c r="G4" s="38">
        <v>0</v>
      </c>
      <c r="H4" s="39">
        <v>0</v>
      </c>
      <c r="I4" s="38">
        <v>0</v>
      </c>
      <c r="J4" s="39">
        <v>0</v>
      </c>
      <c r="K4" s="38">
        <v>0</v>
      </c>
      <c r="L4" s="39">
        <v>0</v>
      </c>
      <c r="M4" s="38">
        <v>0</v>
      </c>
      <c r="N4" s="39">
        <v>0</v>
      </c>
      <c r="O4" s="38">
        <v>0</v>
      </c>
      <c r="P4" s="39">
        <v>0</v>
      </c>
      <c r="Q4" s="38">
        <v>0</v>
      </c>
      <c r="R4" s="39">
        <v>0</v>
      </c>
      <c r="S4" s="38">
        <v>0</v>
      </c>
      <c r="T4" s="39">
        <v>0</v>
      </c>
      <c r="U4" s="38">
        <v>0</v>
      </c>
      <c r="V4" s="39">
        <v>0</v>
      </c>
      <c r="W4" s="487">
        <v>0</v>
      </c>
      <c r="X4" s="488">
        <v>0</v>
      </c>
      <c r="Y4" s="562">
        <v>0</v>
      </c>
      <c r="Z4" s="563">
        <v>0</v>
      </c>
      <c r="AA4" s="562">
        <v>0</v>
      </c>
      <c r="AB4" s="563">
        <v>0</v>
      </c>
      <c r="AC4" s="562">
        <v>0</v>
      </c>
      <c r="AD4" s="563">
        <v>0</v>
      </c>
      <c r="AE4" s="562">
        <v>0</v>
      </c>
      <c r="AF4" s="563">
        <v>0</v>
      </c>
      <c r="AG4" s="562">
        <v>0</v>
      </c>
      <c r="AH4" s="563">
        <v>0</v>
      </c>
    </row>
    <row r="5" spans="1:36" s="471" customFormat="1">
      <c r="A5" s="201" t="str">
        <f>VLOOKUP($D5,HeatExch_from_BP!$P:$AE,3,0)</f>
        <v>EZ2101A-F-Win.pdf, 2/24</v>
      </c>
      <c r="B5" s="782" t="s">
        <v>7785</v>
      </c>
      <c r="C5" s="474"/>
      <c r="D5" s="480" t="s">
        <v>7787</v>
      </c>
      <c r="E5" s="475"/>
      <c r="F5" s="556" t="s">
        <v>8963</v>
      </c>
      <c r="G5" s="614">
        <v>1680</v>
      </c>
      <c r="H5" s="476">
        <f>VLOOKUP($D5,HeatExch_from_BP!$P:$AE,4,0)/2</f>
        <v>1680</v>
      </c>
      <c r="I5" s="614">
        <v>1.0900000000000001</v>
      </c>
      <c r="J5" s="476">
        <f>VLOOKUP($D5,HeatExch_from_BP!$P:$AE,15,0)</f>
        <v>1.0900000000000001</v>
      </c>
      <c r="K5" s="614">
        <v>6.0960000000000001</v>
      </c>
      <c r="L5" s="610">
        <f>VLOOKUP($D5,HeatExch_from_BP!$P:$AE,14,0)</f>
        <v>6.0960000000000001</v>
      </c>
      <c r="M5" s="614">
        <v>100</v>
      </c>
      <c r="N5" s="476"/>
      <c r="O5" s="614">
        <v>100</v>
      </c>
      <c r="P5" s="476"/>
      <c r="Q5" s="614">
        <v>161.58750000000001</v>
      </c>
      <c r="R5" s="610">
        <f>VLOOKUP($D5,HeatExch_from_BP!$P:$AE,6,0)/3600/2</f>
        <v>161.58750000000001</v>
      </c>
      <c r="S5" s="614">
        <v>86.952083333333306</v>
      </c>
      <c r="T5" s="610">
        <f>VLOOKUP($D5,HeatExch_from_BP!$P:$AE,5,0)/3600/2</f>
        <v>86.952083333333334</v>
      </c>
      <c r="U5" s="614">
        <v>9727.5741500377208</v>
      </c>
      <c r="V5" s="476"/>
      <c r="W5" s="614">
        <v>9715.1694258856605</v>
      </c>
      <c r="X5" s="460"/>
      <c r="Y5" s="614">
        <v>7177578.5961048799</v>
      </c>
      <c r="Z5" s="460"/>
      <c r="AA5" s="614">
        <v>294.26339486440901</v>
      </c>
      <c r="AB5" s="460"/>
      <c r="AC5" s="614">
        <v>321.25434092914003</v>
      </c>
      <c r="AD5" s="460"/>
      <c r="AE5" s="614">
        <v>449.09230325194198</v>
      </c>
      <c r="AF5" s="460"/>
      <c r="AG5" s="614">
        <v>374.41386938017598</v>
      </c>
      <c r="AH5" s="460"/>
    </row>
    <row r="6" spans="1:36" s="471" customFormat="1">
      <c r="A6" s="201" t="str">
        <f>VLOOKUP($D6,HeatExch_from_BP!$P:$AE,3,0)</f>
        <v>EZ2101A-F-Win.pdf, 2/24</v>
      </c>
      <c r="B6" s="782" t="s">
        <v>7785</v>
      </c>
      <c r="C6" s="474"/>
      <c r="D6" s="480" t="s">
        <v>7787</v>
      </c>
      <c r="E6" s="475"/>
      <c r="F6" s="556" t="s">
        <v>8964</v>
      </c>
      <c r="G6" s="614">
        <v>1680</v>
      </c>
      <c r="H6" s="772">
        <f>VLOOKUP($D6,HeatExch_from_BP!$P:$AE,4,0)/2</f>
        <v>1680</v>
      </c>
      <c r="I6" s="614">
        <v>1.0900000000000001</v>
      </c>
      <c r="J6" s="476">
        <f>VLOOKUP($D6,HeatExch_from_BP!$P:$AE,15,0)</f>
        <v>1.0900000000000001</v>
      </c>
      <c r="K6" s="614">
        <v>6.0960000000000001</v>
      </c>
      <c r="L6" s="610">
        <f>VLOOKUP($D6,HeatExch_from_BP!$P:$AE,14,0)</f>
        <v>6.0960000000000001</v>
      </c>
      <c r="M6" s="614">
        <v>100</v>
      </c>
      <c r="N6" s="476"/>
      <c r="O6" s="614">
        <v>100</v>
      </c>
      <c r="P6" s="476"/>
      <c r="Q6" s="614">
        <v>161.58750000000001</v>
      </c>
      <c r="R6" s="610">
        <f>VLOOKUP($D6,HeatExch_from_BP!$P:$AE,6,0)/3600/2</f>
        <v>161.58750000000001</v>
      </c>
      <c r="S6" s="614">
        <v>86.952083333333306</v>
      </c>
      <c r="T6" s="610">
        <f>VLOOKUP($D6,HeatExch_from_BP!$P:$AE,5,0)/3600/2</f>
        <v>86.952083333333334</v>
      </c>
      <c r="U6" s="614">
        <v>9727.1622312183008</v>
      </c>
      <c r="V6" s="476"/>
      <c r="W6" s="614">
        <v>9715.1694258856605</v>
      </c>
      <c r="X6" s="460"/>
      <c r="Y6" s="614">
        <v>7177530.80310163</v>
      </c>
      <c r="Z6" s="460"/>
      <c r="AA6" s="614">
        <v>294.26339486440901</v>
      </c>
      <c r="AB6" s="460"/>
      <c r="AC6" s="614">
        <v>321.25472084910803</v>
      </c>
      <c r="AD6" s="460"/>
      <c r="AE6" s="614">
        <v>449.09230325194198</v>
      </c>
      <c r="AF6" s="460"/>
      <c r="AG6" s="614">
        <v>374.41439577827202</v>
      </c>
      <c r="AH6" s="460"/>
    </row>
    <row r="7" spans="1:36" s="471" customFormat="1">
      <c r="A7" s="201" t="str">
        <f>VLOOKUP($D7,HeatExch_from_BP!$P:$AE,3,0)</f>
        <v>EZ2102A-D-Win.pdf, 2/10</v>
      </c>
      <c r="B7" s="782" t="s">
        <v>7774</v>
      </c>
      <c r="C7" s="474"/>
      <c r="D7" s="480" t="s">
        <v>7781</v>
      </c>
      <c r="E7" s="609"/>
      <c r="F7" s="556" t="s">
        <v>8962</v>
      </c>
      <c r="G7" s="614">
        <v>1740</v>
      </c>
      <c r="H7" s="476">
        <f>VLOOKUP($D7,HeatExch_from_BP!$P:$AE,4,0)/2</f>
        <v>1740</v>
      </c>
      <c r="I7" s="614">
        <v>1.4</v>
      </c>
      <c r="J7" s="476">
        <f>VLOOKUP($D7,HeatExch_from_BP!$P:$AE,15,0)</f>
        <v>1.4</v>
      </c>
      <c r="K7" s="614">
        <v>9.0960000000000001</v>
      </c>
      <c r="L7" s="610">
        <f>VLOOKUP($D7,HeatExch_from_BP!$P:$AE,14,0)</f>
        <v>9.0960000000000001</v>
      </c>
      <c r="M7" s="614">
        <v>235</v>
      </c>
      <c r="N7" s="476"/>
      <c r="O7" s="614">
        <v>500</v>
      </c>
      <c r="P7" s="476"/>
      <c r="Q7" s="614">
        <v>161.35833333333301</v>
      </c>
      <c r="R7" s="610">
        <f>VLOOKUP($D7,HeatExch_from_BP!$P:$AE,6,0)/3600/2</f>
        <v>161.35833333333332</v>
      </c>
      <c r="S7" s="614">
        <v>45.6076388888889</v>
      </c>
      <c r="T7" s="610">
        <f>VLOOKUP($D7,HeatExch_from_BP!$P:$AE,5,0)/3600/2</f>
        <v>45.607638888888886</v>
      </c>
      <c r="U7" s="614">
        <v>9892.7226605475898</v>
      </c>
      <c r="V7" s="476"/>
      <c r="W7" s="614">
        <v>58420.827120391397</v>
      </c>
      <c r="X7" s="460"/>
      <c r="Y7" s="614">
        <v>20471952.215965498</v>
      </c>
      <c r="Z7" s="460"/>
      <c r="AA7" s="614">
        <v>321.25480171444099</v>
      </c>
      <c r="AB7" s="460"/>
      <c r="AC7" s="614">
        <v>390.01999994967099</v>
      </c>
      <c r="AD7" s="460"/>
      <c r="AE7" s="614">
        <v>475.35023066259498</v>
      </c>
      <c r="AF7" s="460"/>
      <c r="AG7" s="614">
        <v>393.09773636859597</v>
      </c>
      <c r="AH7" s="460"/>
    </row>
    <row r="8" spans="1:36" s="471" customFormat="1">
      <c r="A8" s="201" t="str">
        <f>VLOOKUP($D8,HeatExch_from_BP!$P:$AE,3,0)</f>
        <v>EZ2102A-D-Win.pdf, 2/10</v>
      </c>
      <c r="B8" s="782" t="s">
        <v>7774</v>
      </c>
      <c r="C8" s="474"/>
      <c r="D8" s="480" t="s">
        <v>7781</v>
      </c>
      <c r="E8" s="475"/>
      <c r="F8" s="481" t="s">
        <v>7788</v>
      </c>
      <c r="G8" s="482">
        <v>1740</v>
      </c>
      <c r="H8" s="476">
        <f>VLOOKUP($D8,HeatExch_from_BP!$P:$AE,4,0)/2</f>
        <v>1740</v>
      </c>
      <c r="I8" s="482">
        <v>1.4</v>
      </c>
      <c r="J8" s="476">
        <f>VLOOKUP($D8,HeatExch_from_BP!$P:$AE,15,0)</f>
        <v>1.4</v>
      </c>
      <c r="K8" s="482">
        <v>9.0960000000000001</v>
      </c>
      <c r="L8" s="610">
        <f>VLOOKUP($D8,HeatExch_from_BP!$P:$AE,14,0)</f>
        <v>9.0960000000000001</v>
      </c>
      <c r="M8" s="482">
        <v>235</v>
      </c>
      <c r="N8" s="476"/>
      <c r="O8" s="482">
        <v>500</v>
      </c>
      <c r="P8" s="476"/>
      <c r="Q8" s="482">
        <v>161.35833333333301</v>
      </c>
      <c r="R8" s="610">
        <f>VLOOKUP($D8,HeatExch_from_BP!$P:$AE,6,0)/3600/2</f>
        <v>161.35833333333332</v>
      </c>
      <c r="S8" s="482">
        <v>45.6076388888889</v>
      </c>
      <c r="T8" s="610">
        <f>VLOOKUP($D8,HeatExch_from_BP!$P:$AE,5,0)/3600/2</f>
        <v>45.607638888888886</v>
      </c>
      <c r="U8" s="482">
        <v>9892.3062296607495</v>
      </c>
      <c r="V8" s="476"/>
      <c r="W8" s="482">
        <v>58420.684930868098</v>
      </c>
      <c r="X8" s="460"/>
      <c r="Y8" s="557">
        <v>20471690.8857871</v>
      </c>
      <c r="Z8" s="460"/>
      <c r="AA8" s="557">
        <v>321.25518137561897</v>
      </c>
      <c r="AB8" s="460"/>
      <c r="AC8" s="557">
        <v>390.02083217796701</v>
      </c>
      <c r="AD8" s="460"/>
      <c r="AE8" s="557">
        <v>475.35023066259498</v>
      </c>
      <c r="AF8" s="460"/>
      <c r="AG8" s="557">
        <v>393.09871212026098</v>
      </c>
      <c r="AH8" s="460"/>
    </row>
    <row r="9" spans="1:36" s="471" customFormat="1">
      <c r="A9" s="201" t="str">
        <f>VLOOKUP($D9,HeatExch_from_BP!$P:$AE,3,0)</f>
        <v>EZ2103A-B-Win.pdf, 2/16</v>
      </c>
      <c r="B9" s="782" t="s">
        <v>7774</v>
      </c>
      <c r="C9" s="474"/>
      <c r="D9" s="480" t="s">
        <v>7782</v>
      </c>
      <c r="E9" s="475"/>
      <c r="F9" s="481" t="s">
        <v>7783</v>
      </c>
      <c r="G9" s="482">
        <v>197</v>
      </c>
      <c r="H9" s="476">
        <f>VLOOKUP($D9,HeatExch_from_BP!$P:$AE,4,0)/2</f>
        <v>197</v>
      </c>
      <c r="I9" s="482">
        <v>0.8</v>
      </c>
      <c r="J9" s="476">
        <f>VLOOKUP($D9,HeatExch_from_BP!$P:$AE,15,0)</f>
        <v>0.8</v>
      </c>
      <c r="K9" s="482">
        <v>6.3550000000000004</v>
      </c>
      <c r="L9" s="610">
        <f>VLOOKUP($D9,HeatExch_from_BP!$P:$AE,14,0)</f>
        <v>6.3550000000000004</v>
      </c>
      <c r="M9" s="482">
        <v>560</v>
      </c>
      <c r="N9" s="476"/>
      <c r="O9" s="482">
        <v>600</v>
      </c>
      <c r="P9" s="476"/>
      <c r="Q9" s="482">
        <v>161.35833333333301</v>
      </c>
      <c r="R9" s="610">
        <f>VLOOKUP($D9,HeatExch_from_BP!$P:$AE,6,0)/3600/2</f>
        <v>161.35833333333332</v>
      </c>
      <c r="S9" s="482">
        <v>102.272916666667</v>
      </c>
      <c r="T9" s="610">
        <f>VLOOKUP($D9,HeatExch_from_BP!$P:$AE,5,0)/3600/2</f>
        <v>102.27291666666666</v>
      </c>
      <c r="U9" s="482">
        <v>10454.2892625572</v>
      </c>
      <c r="V9" s="476"/>
      <c r="W9" s="482">
        <v>5689.7753697672197</v>
      </c>
      <c r="X9" s="460"/>
      <c r="Y9" s="557">
        <v>2980310.9121766998</v>
      </c>
      <c r="Z9" s="460"/>
      <c r="AA9" s="557">
        <v>390.01974374530101</v>
      </c>
      <c r="AB9" s="460"/>
      <c r="AC9" s="557">
        <v>399.16981001738998</v>
      </c>
      <c r="AD9" s="460"/>
      <c r="AE9" s="557">
        <v>460.02593783938403</v>
      </c>
      <c r="AF9" s="460"/>
      <c r="AG9" s="557">
        <v>446.12054118160199</v>
      </c>
      <c r="AH9" s="460"/>
    </row>
    <row r="10" spans="1:36" s="471" customFormat="1">
      <c r="A10" s="201" t="str">
        <f>VLOOKUP($D10,HeatExch_from_BP!$P:$AE,3,0)</f>
        <v>EZ2103A-B-Win.pdf, 2/16</v>
      </c>
      <c r="B10" s="782" t="s">
        <v>7774</v>
      </c>
      <c r="C10" s="474"/>
      <c r="D10" s="480" t="s">
        <v>7782</v>
      </c>
      <c r="E10" s="475"/>
      <c r="F10" s="481" t="s">
        <v>7784</v>
      </c>
      <c r="G10" s="482">
        <v>197</v>
      </c>
      <c r="H10" s="476">
        <f>VLOOKUP($D10,HeatExch_from_BP!$P:$AE,4,0)/2</f>
        <v>197</v>
      </c>
      <c r="I10" s="482">
        <v>0.8</v>
      </c>
      <c r="J10" s="476">
        <f>VLOOKUP($D10,HeatExch_from_BP!$P:$AE,15,0)</f>
        <v>0.8</v>
      </c>
      <c r="K10" s="482">
        <v>6.3550000000000004</v>
      </c>
      <c r="L10" s="610">
        <f>VLOOKUP($D10,HeatExch_from_BP!$P:$AE,14,0)</f>
        <v>6.3550000000000004</v>
      </c>
      <c r="M10" s="482">
        <v>560</v>
      </c>
      <c r="N10" s="476"/>
      <c r="O10" s="482">
        <v>600</v>
      </c>
      <c r="P10" s="476"/>
      <c r="Q10" s="482">
        <v>161.35833333333301</v>
      </c>
      <c r="R10" s="610">
        <f>VLOOKUP($D10,HeatExch_from_BP!$P:$AE,6,0)/3600/2</f>
        <v>161.35833333333332</v>
      </c>
      <c r="S10" s="482">
        <v>102.272916666667</v>
      </c>
      <c r="T10" s="610">
        <f>VLOOKUP($D10,HeatExch_from_BP!$P:$AE,5,0)/3600/2</f>
        <v>102.27291666666666</v>
      </c>
      <c r="U10" s="482">
        <v>10453.855087191099</v>
      </c>
      <c r="V10" s="476"/>
      <c r="W10" s="482">
        <v>5689.7753697672197</v>
      </c>
      <c r="X10" s="460"/>
      <c r="Y10" s="557">
        <v>2980249.8753440599</v>
      </c>
      <c r="Z10" s="460"/>
      <c r="AA10" s="557">
        <v>390.02057525171398</v>
      </c>
      <c r="AB10" s="460"/>
      <c r="AC10" s="557">
        <v>399.17062524699401</v>
      </c>
      <c r="AD10" s="460"/>
      <c r="AE10" s="557">
        <v>460.02593783938403</v>
      </c>
      <c r="AF10" s="460"/>
      <c r="AG10" s="557">
        <v>446.12082440895801</v>
      </c>
      <c r="AH10" s="460"/>
    </row>
    <row r="11" spans="1:36">
      <c r="A11" s="201" t="str">
        <f>VLOOKUP($D11,HeatExch_from_BP!$P:$AE,3,0)</f>
        <v>EZ2104A-B-Win.pdf, 2/11</v>
      </c>
      <c r="B11" s="782" t="s">
        <v>5384</v>
      </c>
      <c r="C11" s="421"/>
      <c r="D11" s="422" t="s">
        <v>6264</v>
      </c>
      <c r="E11" s="419"/>
      <c r="F11" s="423" t="s">
        <v>6265</v>
      </c>
      <c r="G11" s="424">
        <v>211</v>
      </c>
      <c r="H11" s="420">
        <f>VLOOKUP($D11,HeatExch_from_BP!$P:$AE,4,0)/2</f>
        <v>211</v>
      </c>
      <c r="I11" s="424">
        <v>0.88</v>
      </c>
      <c r="J11" s="426">
        <f>VLOOKUP($D11,HeatExch_from_BP!$P:$AE,15,0)</f>
        <v>0.88</v>
      </c>
      <c r="K11" s="424">
        <v>6.3869999999999996</v>
      </c>
      <c r="L11" s="610">
        <f>VLOOKUP($D11,HeatExch_from_BP!$P:$AE,14,0)</f>
        <v>6.3869999999999996</v>
      </c>
      <c r="M11" s="424">
        <v>900</v>
      </c>
      <c r="N11" s="420"/>
      <c r="O11" s="424">
        <v>1080</v>
      </c>
      <c r="P11" s="420"/>
      <c r="Q11" s="424">
        <v>161.59097222222201</v>
      </c>
      <c r="R11" s="610">
        <f>VLOOKUP($D11,HeatExch_from_BP!$P:$AE,6,0)/3600/2</f>
        <v>161.59097222222223</v>
      </c>
      <c r="S11" s="424">
        <v>102.272916666667</v>
      </c>
      <c r="T11" s="610">
        <f>VLOOKUP($D11,HeatExch_from_BP!$P:$AE,5,0)/3600/2</f>
        <v>102.27291666666666</v>
      </c>
      <c r="U11" s="19">
        <v>108963.067216756</v>
      </c>
      <c r="V11" s="13"/>
      <c r="W11" s="482">
        <v>30011.413746618698</v>
      </c>
      <c r="X11" s="460"/>
      <c r="Y11" s="557">
        <v>6369624.1006731801</v>
      </c>
      <c r="Z11" s="460"/>
      <c r="AA11" s="557">
        <v>394.651632886188</v>
      </c>
      <c r="AB11" s="460"/>
      <c r="AC11" s="557">
        <v>414.98495306120799</v>
      </c>
      <c r="AD11" s="460"/>
      <c r="AE11" s="557">
        <v>488.37131311883002</v>
      </c>
      <c r="AF11" s="460"/>
      <c r="AG11" s="557">
        <v>460.02479972255998</v>
      </c>
      <c r="AH11" s="460"/>
    </row>
    <row r="12" spans="1:36">
      <c r="A12" s="201" t="str">
        <f>VLOOKUP($D12,HeatExch_from_BP!$P:$AE,3,0)</f>
        <v>EZ2104A-B-Win.pdf, 2/11</v>
      </c>
      <c r="B12" s="782" t="s">
        <v>5384</v>
      </c>
      <c r="C12" s="421"/>
      <c r="D12" s="422" t="s">
        <v>6264</v>
      </c>
      <c r="E12" s="419"/>
      <c r="F12" s="423" t="s">
        <v>6266</v>
      </c>
      <c r="G12" s="424">
        <v>211</v>
      </c>
      <c r="H12" s="420">
        <f>VLOOKUP($D12,HeatExch_from_BP!$P:$AE,4,0)/2</f>
        <v>211</v>
      </c>
      <c r="I12" s="424">
        <v>0.88</v>
      </c>
      <c r="J12" s="426">
        <f>VLOOKUP($D12,HeatExch_from_BP!$P:$AE,15,0)</f>
        <v>0.88</v>
      </c>
      <c r="K12" s="424">
        <v>6.3869999999999996</v>
      </c>
      <c r="L12" s="610">
        <f>VLOOKUP($D12,HeatExch_from_BP!$P:$AE,14,0)</f>
        <v>6.3869999999999996</v>
      </c>
      <c r="M12" s="424">
        <v>900</v>
      </c>
      <c r="N12" s="420"/>
      <c r="O12" s="424">
        <v>1080</v>
      </c>
      <c r="P12" s="420"/>
      <c r="Q12" s="424">
        <v>161.59097222222201</v>
      </c>
      <c r="R12" s="610">
        <f>VLOOKUP($D12,HeatExch_from_BP!$P:$AE,6,0)/3600/2</f>
        <v>161.59097222222223</v>
      </c>
      <c r="S12" s="424">
        <v>102.272916666667</v>
      </c>
      <c r="T12" s="610">
        <f>VLOOKUP($D12,HeatExch_from_BP!$P:$AE,5,0)/3600/2</f>
        <v>102.27291666666666</v>
      </c>
      <c r="U12" s="19">
        <v>108858.727638914</v>
      </c>
      <c r="V12" s="13"/>
      <c r="W12" s="482">
        <v>30011.413746618698</v>
      </c>
      <c r="X12" s="460"/>
      <c r="Y12" s="557">
        <v>6368329.2990708798</v>
      </c>
      <c r="Z12" s="460"/>
      <c r="AA12" s="557">
        <v>394.651412389168</v>
      </c>
      <c r="AB12" s="460"/>
      <c r="AC12" s="557">
        <v>414.99003563128099</v>
      </c>
      <c r="AD12" s="460"/>
      <c r="AE12" s="557">
        <v>488.37131311883002</v>
      </c>
      <c r="AF12" s="460"/>
      <c r="AG12" s="557">
        <v>460.030719346566</v>
      </c>
      <c r="AH12" s="460"/>
    </row>
    <row r="13" spans="1:36">
      <c r="A13" s="201" t="str">
        <f>VLOOKUP($D13,HeatExch_from_BP!$P:$AE,3,0)</f>
        <v>EZ2105-Win.pdf, 1/6</v>
      </c>
      <c r="B13" s="782" t="s">
        <v>8107</v>
      </c>
      <c r="C13" s="16"/>
      <c r="D13" s="17" t="s">
        <v>8223</v>
      </c>
      <c r="E13" s="609"/>
      <c r="F13" s="714" t="s">
        <v>8223</v>
      </c>
      <c r="G13" s="715">
        <v>537</v>
      </c>
      <c r="H13" s="610">
        <f>VLOOKUP($D13,HeatExch_from_BP!$P:$AE,4,0)</f>
        <v>537</v>
      </c>
      <c r="I13" s="614">
        <v>1.2450000000000001</v>
      </c>
      <c r="J13" s="610">
        <f>VLOOKUP($D13,HeatExch_from_BP!$P:$AE,15,0)</f>
        <v>1.2450000000000001</v>
      </c>
      <c r="K13" s="614">
        <v>7.9669999999999996</v>
      </c>
      <c r="L13" s="610">
        <f>VLOOKUP($D13,HeatExch_from_BP!$P:$AE,14,0)</f>
        <v>7.9669999999999996</v>
      </c>
      <c r="M13" s="614">
        <v>716</v>
      </c>
      <c r="N13" s="610"/>
      <c r="O13" s="614">
        <v>714</v>
      </c>
      <c r="P13" s="610"/>
      <c r="Q13" s="614">
        <v>161.59166666666701</v>
      </c>
      <c r="R13" s="610">
        <f>VLOOKUP($D13,HeatExch_from_BP!$P:$AE,6,0)/3600</f>
        <v>161.59166666666667</v>
      </c>
      <c r="S13" s="614">
        <v>46.508333333333297</v>
      </c>
      <c r="T13" s="610">
        <f>VLOOKUP($D13,HeatExch_from_BP!$P:$AE,5,0)/3600</f>
        <v>46.508333333333333</v>
      </c>
      <c r="U13" s="19">
        <v>41199.664714749</v>
      </c>
      <c r="V13" s="13"/>
      <c r="W13" s="482">
        <v>10379.7646557973</v>
      </c>
      <c r="X13" s="460"/>
      <c r="Y13" s="557">
        <v>10435882.8686144</v>
      </c>
      <c r="Z13" s="460"/>
      <c r="AA13" s="557">
        <v>414.98323530183302</v>
      </c>
      <c r="AB13" s="460"/>
      <c r="AC13" s="557">
        <v>446.76993705687897</v>
      </c>
      <c r="AD13" s="460"/>
      <c r="AE13" s="557">
        <v>536.63015225032996</v>
      </c>
      <c r="AF13" s="460"/>
      <c r="AG13" s="557">
        <v>450.03805727303597</v>
      </c>
      <c r="AH13" s="460"/>
    </row>
    <row r="14" spans="1:36">
      <c r="A14" s="201" t="str">
        <f>VLOOKUP($D14,HeatExch_from_BP!$P:$AE,3,0)</f>
        <v>EZ2106-Win.pdf, 2/7</v>
      </c>
      <c r="B14" s="782" t="s">
        <v>8107</v>
      </c>
      <c r="C14" s="16"/>
      <c r="D14" s="17" t="s">
        <v>589</v>
      </c>
      <c r="E14" s="609"/>
      <c r="F14" s="714" t="s">
        <v>589</v>
      </c>
      <c r="G14" s="715">
        <v>280</v>
      </c>
      <c r="H14" s="610">
        <f>VLOOKUP($D14,HeatExch_from_BP!$P:$AE,4,0)</f>
        <v>280</v>
      </c>
      <c r="I14" s="614">
        <v>0.91600000000000004</v>
      </c>
      <c r="J14" s="610">
        <f>VLOOKUP($D14,HeatExch_from_BP!$P:$AE,15,0)</f>
        <v>0.91600000000000004</v>
      </c>
      <c r="K14" s="614">
        <v>1.62</v>
      </c>
      <c r="L14" s="610">
        <f>VLOOKUP($D14,HeatExch_from_BP!$P:$AE,14,0)</f>
        <v>1.62</v>
      </c>
      <c r="M14" s="614">
        <v>760</v>
      </c>
      <c r="N14" s="610"/>
      <c r="O14" s="614">
        <v>760</v>
      </c>
      <c r="P14" s="610"/>
      <c r="Q14" s="614">
        <v>161.590277777778</v>
      </c>
      <c r="R14" s="610">
        <f>VLOOKUP($D14,HeatExch_from_BP!$P:$AE,6,0)/3600</f>
        <v>161.59027777777777</v>
      </c>
      <c r="S14" s="614">
        <v>31.170833333333299</v>
      </c>
      <c r="T14" s="610">
        <f>VLOOKUP($D14,HeatExch_from_BP!$P:$AE,5,0)/3600</f>
        <v>31.170833333333334</v>
      </c>
      <c r="U14" s="19">
        <v>41160.123491631399</v>
      </c>
      <c r="V14" s="13"/>
      <c r="W14" s="482">
        <v>6175.6255172085903</v>
      </c>
      <c r="X14" s="460"/>
      <c r="Y14" s="557">
        <v>4873958.8756966405</v>
      </c>
      <c r="Z14" s="460"/>
      <c r="AA14" s="557">
        <v>414.98834909303901</v>
      </c>
      <c r="AB14" s="460"/>
      <c r="AC14" s="557">
        <v>430.059159722564</v>
      </c>
      <c r="AD14" s="460"/>
      <c r="AE14" s="557">
        <v>612.04699331674306</v>
      </c>
      <c r="AF14" s="460"/>
      <c r="AG14" s="557">
        <v>430.68389295314603</v>
      </c>
      <c r="AH14" s="460"/>
    </row>
    <row r="15" spans="1:36">
      <c r="A15" s="201" t="str">
        <f>VLOOKUP($D15,HeatExch_from_BP!$P:$AE,3,0)</f>
        <v>EZ2107A-B-Win.pdf</v>
      </c>
      <c r="B15" s="782" t="s">
        <v>8107</v>
      </c>
      <c r="C15" s="16"/>
      <c r="D15" s="599" t="s">
        <v>8851</v>
      </c>
      <c r="E15" s="609"/>
      <c r="F15" s="714" t="s">
        <v>8218</v>
      </c>
      <c r="G15" s="715">
        <v>570</v>
      </c>
      <c r="H15" s="610">
        <f>VLOOKUP($D15,HeatExch_from_BP!$P:$AE,4,0)/2</f>
        <v>570</v>
      </c>
      <c r="I15" s="614">
        <v>1.27</v>
      </c>
      <c r="J15" s="610">
        <f>VLOOKUP($D15,HeatExch_from_BP!$P:$AE,15,0)</f>
        <v>1.27</v>
      </c>
      <c r="K15" s="614">
        <v>6.0960000000000001</v>
      </c>
      <c r="L15" s="610">
        <f>VLOOKUP($D15,HeatExch_from_BP!$P:$AE,14,0)</f>
        <v>6.0960000000000001</v>
      </c>
      <c r="M15" s="614">
        <v>790</v>
      </c>
      <c r="N15" s="610"/>
      <c r="O15" s="614">
        <v>790</v>
      </c>
      <c r="P15" s="610"/>
      <c r="Q15" s="614">
        <v>161.59097222222201</v>
      </c>
      <c r="R15" s="610">
        <f>VLOOKUP($D15,HeatExch_from_BP!$P:$AE,6,0)/3600/2</f>
        <v>161.59097222222223</v>
      </c>
      <c r="S15" s="614">
        <v>101.009722222222</v>
      </c>
      <c r="T15" s="610">
        <f>VLOOKUP($D15,HeatExch_from_BP!$P:$AE,5,0)/3600/2</f>
        <v>101.00972222222222</v>
      </c>
      <c r="U15" s="19">
        <v>19335.1218395545</v>
      </c>
      <c r="V15" s="13"/>
      <c r="W15" s="482">
        <v>44262.605227033797</v>
      </c>
      <c r="X15" s="460"/>
      <c r="Y15" s="557">
        <v>5611853.55009815</v>
      </c>
      <c r="Z15" s="460"/>
      <c r="AA15" s="557">
        <v>446.76798687643202</v>
      </c>
      <c r="AB15" s="460"/>
      <c r="AC15" s="557">
        <v>463.16240104679798</v>
      </c>
      <c r="AD15" s="460"/>
      <c r="AE15" s="557">
        <v>493.76384939502901</v>
      </c>
      <c r="AF15" s="460"/>
      <c r="AG15" s="557">
        <v>470.88299156991798</v>
      </c>
      <c r="AH15" s="460"/>
    </row>
    <row r="16" spans="1:36">
      <c r="A16" s="201" t="str">
        <f>VLOOKUP($D16,HeatExch_from_BP!$P:$AE,3,0)</f>
        <v>EZ2107A-B-Win.pdf</v>
      </c>
      <c r="B16" s="782" t="s">
        <v>8107</v>
      </c>
      <c r="C16" s="16"/>
      <c r="D16" s="599" t="s">
        <v>8851</v>
      </c>
      <c r="E16" s="609"/>
      <c r="F16" s="714" t="s">
        <v>8226</v>
      </c>
      <c r="G16" s="715">
        <v>570</v>
      </c>
      <c r="H16" s="610">
        <f>VLOOKUP($D16,HeatExch_from_BP!$P:$AE,4,0)/2</f>
        <v>570</v>
      </c>
      <c r="I16" s="614">
        <v>1.27</v>
      </c>
      <c r="J16" s="610">
        <f>VLOOKUP($D16,HeatExch_from_BP!$P:$AE,15,0)</f>
        <v>1.27</v>
      </c>
      <c r="K16" s="614">
        <v>6.0960000000000001</v>
      </c>
      <c r="L16" s="610">
        <f>VLOOKUP($D16,HeatExch_from_BP!$P:$AE,14,0)</f>
        <v>6.0960000000000001</v>
      </c>
      <c r="M16" s="614">
        <v>1930</v>
      </c>
      <c r="N16" s="610"/>
      <c r="O16" s="614">
        <v>1824</v>
      </c>
      <c r="P16" s="610"/>
      <c r="Q16" s="614">
        <v>161.59097222222201</v>
      </c>
      <c r="R16" s="610">
        <f>VLOOKUP($D16,HeatExch_from_BP!$P:$AE,6,0)/3600/2</f>
        <v>161.59097222222223</v>
      </c>
      <c r="S16" s="614">
        <v>101.009722222222</v>
      </c>
      <c r="T16" s="610">
        <f>VLOOKUP($D16,HeatExch_from_BP!$P:$AE,5,0)/3600/2</f>
        <v>101.00972222222222</v>
      </c>
      <c r="U16" s="19">
        <v>18956.685333675701</v>
      </c>
      <c r="V16" s="13"/>
      <c r="W16" s="482">
        <v>33084.113777065199</v>
      </c>
      <c r="X16" s="460"/>
      <c r="Y16" s="557">
        <v>10357492.046928599</v>
      </c>
      <c r="Z16" s="460"/>
      <c r="AA16" s="557">
        <v>430.05672632275002</v>
      </c>
      <c r="AB16" s="460"/>
      <c r="AC16" s="557">
        <v>463.25779787143199</v>
      </c>
      <c r="AD16" s="460"/>
      <c r="AE16" s="557">
        <v>493.76384939502901</v>
      </c>
      <c r="AF16" s="460"/>
      <c r="AG16" s="557">
        <v>447.31993716406703</v>
      </c>
      <c r="AH16" s="460"/>
    </row>
    <row r="17" spans="1:39">
      <c r="A17" s="201" t="str">
        <f>VLOOKUP($D17,HeatExch_from_BP!$P:$AE,3,0)</f>
        <v>EZ2108A-C-Win -- full.pdf, 7/51</v>
      </c>
      <c r="B17" s="782" t="s">
        <v>8107</v>
      </c>
      <c r="C17" s="16"/>
      <c r="D17" s="599" t="s">
        <v>8849</v>
      </c>
      <c r="E17" s="609"/>
      <c r="F17" s="714" t="s">
        <v>8219</v>
      </c>
      <c r="G17" s="715">
        <v>453.33333333333297</v>
      </c>
      <c r="H17" s="610">
        <f>VLOOKUP($D17,HeatExch_from_BP!$P:$AE,4,0)/3</f>
        <v>453.33333333333331</v>
      </c>
      <c r="I17" s="614">
        <v>0.29299999999999998</v>
      </c>
      <c r="J17" s="610">
        <f>VLOOKUP($D17,HeatExch_from_BP!$P:$AE,15,0)</f>
        <v>0.29299999999999998</v>
      </c>
      <c r="K17" s="614">
        <v>7.7519999999999998</v>
      </c>
      <c r="L17" s="610">
        <f>VLOOKUP($D17,HeatExch_from_BP!$P:$AE,14,0)</f>
        <v>7.7519999999999998</v>
      </c>
      <c r="M17" s="614">
        <v>120</v>
      </c>
      <c r="N17" s="610"/>
      <c r="O17" s="614">
        <v>120</v>
      </c>
      <c r="P17" s="610"/>
      <c r="Q17" s="614">
        <v>323.18194444444401</v>
      </c>
      <c r="R17" s="610">
        <f>VLOOKUP($D17,HeatExch_from_BP!$P:$AE,6,0)/3600</f>
        <v>323.18194444444447</v>
      </c>
      <c r="S17" s="614">
        <v>173.90416666666701</v>
      </c>
      <c r="T17" s="610">
        <f>VLOOKUP($D17,HeatExch_from_BP!$P:$AE,5,0)/3600</f>
        <v>173.90416666666667</v>
      </c>
      <c r="U17" s="19">
        <v>19736.594268287499</v>
      </c>
      <c r="V17" s="13"/>
      <c r="W17" s="482">
        <v>27617.1508763083</v>
      </c>
      <c r="X17" s="460"/>
      <c r="Y17" s="557">
        <v>1371877.2149078101</v>
      </c>
      <c r="Z17" s="460"/>
      <c r="AA17" s="557">
        <v>463.24446684691901</v>
      </c>
      <c r="AB17" s="460"/>
      <c r="AC17" s="557">
        <v>467.39764313675602</v>
      </c>
      <c r="AD17" s="460"/>
      <c r="AE17" s="557">
        <v>544.596682207512</v>
      </c>
      <c r="AF17" s="460"/>
      <c r="AG17" s="557">
        <v>536.99795253249795</v>
      </c>
      <c r="AH17" s="460"/>
    </row>
    <row r="18" spans="1:39">
      <c r="A18" s="201" t="str">
        <f>VLOOKUP($D18,HeatExch_from_BP!$P:$AE,3,0)</f>
        <v>EZ2108A-C-Win -- full.pdf, 7/51</v>
      </c>
      <c r="B18" s="782" t="s">
        <v>8107</v>
      </c>
      <c r="C18" s="16"/>
      <c r="D18" s="599" t="s">
        <v>8849</v>
      </c>
      <c r="E18" s="609"/>
      <c r="F18" s="714" t="s">
        <v>8216</v>
      </c>
      <c r="G18" s="715">
        <v>453.33333333333297</v>
      </c>
      <c r="H18" s="610">
        <f>VLOOKUP($D18,HeatExch_from_BP!$P:$AE,4,0)/3</f>
        <v>453.33333333333331</v>
      </c>
      <c r="I18" s="614">
        <v>0.29299999999999998</v>
      </c>
      <c r="J18" s="610">
        <f>VLOOKUP($D18,HeatExch_from_BP!$P:$AE,15,0)</f>
        <v>0.29299999999999998</v>
      </c>
      <c r="K18" s="614">
        <v>7.7519999999999998</v>
      </c>
      <c r="L18" s="610">
        <f>VLOOKUP($D18,HeatExch_from_BP!$P:$AE,14,0)</f>
        <v>7.7519999999999998</v>
      </c>
      <c r="M18" s="614">
        <v>80</v>
      </c>
      <c r="N18" s="610"/>
      <c r="O18" s="614">
        <v>80</v>
      </c>
      <c r="P18" s="610"/>
      <c r="Q18" s="614">
        <v>323.18194444444401</v>
      </c>
      <c r="R18" s="610">
        <f>VLOOKUP($D18,HeatExch_from_BP!$P:$AE,6,0)/3600</f>
        <v>323.18194444444447</v>
      </c>
      <c r="S18" s="614">
        <v>173.90416666666701</v>
      </c>
      <c r="T18" s="610">
        <f>VLOOKUP($D18,HeatExch_from_BP!$P:$AE,5,0)/3600</f>
        <v>173.90416666666667</v>
      </c>
      <c r="U18" s="19">
        <v>19732.066652691901</v>
      </c>
      <c r="V18" s="13"/>
      <c r="W18" s="482">
        <v>27611.404568563699</v>
      </c>
      <c r="X18" s="460"/>
      <c r="Y18" s="557">
        <v>1369752.11275232</v>
      </c>
      <c r="Z18" s="460"/>
      <c r="AA18" s="557">
        <v>463.47120459700398</v>
      </c>
      <c r="AB18" s="460"/>
      <c r="AC18" s="557">
        <v>467.64010640593102</v>
      </c>
      <c r="AD18" s="460"/>
      <c r="AE18" s="557">
        <v>544.60222242746795</v>
      </c>
      <c r="AF18" s="460"/>
      <c r="AG18" s="557">
        <v>537.02965516958704</v>
      </c>
      <c r="AH18" s="460"/>
    </row>
    <row r="19" spans="1:39">
      <c r="A19" s="201" t="str">
        <f>VLOOKUP($D19,HeatExch_from_BP!$P:$AE,3,0)</f>
        <v>Ez-2109AB.pdf</v>
      </c>
      <c r="B19" s="781" t="s">
        <v>7907</v>
      </c>
      <c r="C19" s="613"/>
      <c r="D19" s="599" t="s">
        <v>7601</v>
      </c>
      <c r="E19" s="446"/>
      <c r="F19" s="467" t="s">
        <v>7602</v>
      </c>
      <c r="G19" s="466">
        <v>570</v>
      </c>
      <c r="H19" s="460">
        <f>VLOOKUP($D19,HeatExch_from_BP!$P:$AE,4,0)/2</f>
        <v>570</v>
      </c>
      <c r="I19" s="466">
        <v>1.27</v>
      </c>
      <c r="J19" s="468">
        <f>VLOOKUP($D19,HeatExch_from_BP!$P:$AE,15,0)</f>
        <v>1.27</v>
      </c>
      <c r="K19" s="466">
        <v>6.0960000000000001</v>
      </c>
      <c r="L19" s="610">
        <f>VLOOKUP($D19,HeatExch_from_BP!$P:$AE,14,0)</f>
        <v>6.0960000000000001</v>
      </c>
      <c r="M19" s="466">
        <v>877</v>
      </c>
      <c r="N19" s="468"/>
      <c r="O19" s="466">
        <v>877</v>
      </c>
      <c r="P19" s="468"/>
      <c r="Q19" s="466">
        <v>161.59097222222201</v>
      </c>
      <c r="R19" s="610">
        <f>VLOOKUP($D19,HeatExch_from_BP!$P:$AE,6,0)/3600/2</f>
        <v>161.59097222222223</v>
      </c>
      <c r="S19" s="466">
        <v>101.009722222222</v>
      </c>
      <c r="T19" s="610">
        <f>VLOOKUP($D19,HeatExch_from_BP!$P:$AE,5,0)/3600/2</f>
        <v>101.00972222222222</v>
      </c>
      <c r="U19" s="466">
        <v>11162.113811041199</v>
      </c>
      <c r="V19" s="468"/>
      <c r="W19" s="482">
        <v>4078.7969285929598</v>
      </c>
      <c r="X19" s="460"/>
      <c r="Y19" s="557">
        <v>10296061.123259099</v>
      </c>
      <c r="Z19" s="460"/>
      <c r="AA19" s="557">
        <v>467.44544488514498</v>
      </c>
      <c r="AB19" s="460"/>
      <c r="AC19" s="557">
        <v>495.81176176902699</v>
      </c>
      <c r="AD19" s="460"/>
      <c r="AE19" s="557">
        <v>545.15021340656006</v>
      </c>
      <c r="AF19" s="460"/>
      <c r="AG19" s="557">
        <v>506.63458659668299</v>
      </c>
      <c r="AH19" s="460"/>
    </row>
    <row r="20" spans="1:39">
      <c r="A20" s="201" t="str">
        <f>VLOOKUP($D20,HeatExch_from_BP!$P:$AE,3,0)</f>
        <v>Ez-2109AB.pdf</v>
      </c>
      <c r="B20" s="781" t="s">
        <v>7907</v>
      </c>
      <c r="C20" s="613"/>
      <c r="D20" s="599" t="s">
        <v>7603</v>
      </c>
      <c r="E20" s="446"/>
      <c r="F20" s="467" t="s">
        <v>7604</v>
      </c>
      <c r="G20" s="466">
        <v>570</v>
      </c>
      <c r="H20" s="460">
        <f>VLOOKUP($D20,HeatExch_from_BP!$P:$AE,4,0)/2</f>
        <v>570</v>
      </c>
      <c r="I20" s="466">
        <v>1.27</v>
      </c>
      <c r="J20" s="468">
        <f>VLOOKUP($D20,HeatExch_from_BP!$P:$AE,15,0)</f>
        <v>1.27</v>
      </c>
      <c r="K20" s="466">
        <v>6.0960000000000001</v>
      </c>
      <c r="L20" s="610">
        <f>VLOOKUP($D20,HeatExch_from_BP!$P:$AE,14,0)</f>
        <v>6.0960000000000001</v>
      </c>
      <c r="M20" s="466">
        <v>1018</v>
      </c>
      <c r="N20" s="468"/>
      <c r="O20" s="466">
        <v>1018</v>
      </c>
      <c r="P20" s="468"/>
      <c r="Q20" s="466">
        <v>161.59097222222201</v>
      </c>
      <c r="R20" s="610">
        <f>VLOOKUP($D20,HeatExch_from_BP!$P:$AE,6,0)/3600/2</f>
        <v>161.59097222222223</v>
      </c>
      <c r="S20" s="466">
        <v>101.009722222222</v>
      </c>
      <c r="T20" s="610">
        <f>VLOOKUP($D20,HeatExch_from_BP!$P:$AE,5,0)/3600/2</f>
        <v>101.00972222222222</v>
      </c>
      <c r="U20" s="466">
        <v>11159.4354581605</v>
      </c>
      <c r="V20" s="468"/>
      <c r="W20" s="482">
        <v>4078.7969285929598</v>
      </c>
      <c r="X20" s="460"/>
      <c r="Y20" s="557">
        <v>10526766.9750345</v>
      </c>
      <c r="Z20" s="460"/>
      <c r="AA20" s="557">
        <v>467.69518838120899</v>
      </c>
      <c r="AB20" s="460"/>
      <c r="AC20" s="557">
        <v>498.29952860244299</v>
      </c>
      <c r="AD20" s="460"/>
      <c r="AE20" s="557">
        <v>545.15021340656006</v>
      </c>
      <c r="AF20" s="460"/>
      <c r="AG20" s="557">
        <v>503.48376527453797</v>
      </c>
      <c r="AH20" s="460"/>
    </row>
    <row r="21" spans="1:39">
      <c r="A21" s="201" t="str">
        <f>VLOOKUP($D21,HeatExch_from_BP!$P:$AE,3,0)</f>
        <v>EZ2110A-D-Win.pdf, 3/12, 4/12</v>
      </c>
      <c r="B21" s="781" t="s">
        <v>7907</v>
      </c>
      <c r="C21" s="613"/>
      <c r="D21" s="599" t="s">
        <v>7605</v>
      </c>
      <c r="E21" s="446"/>
      <c r="F21" s="467" t="s">
        <v>7606</v>
      </c>
      <c r="G21" s="466">
        <v>544</v>
      </c>
      <c r="H21" s="468">
        <f>VLOOKUP($D21,HeatExch_from_BP!$P:$AE,4,0)/2</f>
        <v>544</v>
      </c>
      <c r="I21" s="466">
        <v>0.99099999999999999</v>
      </c>
      <c r="J21" s="468">
        <f>VLOOKUP($D21,HeatExch_from_BP!$P:$AE,15,0)</f>
        <v>0.99099999999999999</v>
      </c>
      <c r="K21" s="466">
        <v>4.875</v>
      </c>
      <c r="L21" s="610">
        <f>VLOOKUP($D21,HeatExch_from_BP!$P:$AE,14,0)</f>
        <v>4.875</v>
      </c>
      <c r="M21" s="466">
        <v>436</v>
      </c>
      <c r="N21" s="468"/>
      <c r="O21" s="466">
        <v>432</v>
      </c>
      <c r="P21" s="468"/>
      <c r="Q21" s="466">
        <v>138.888888888889</v>
      </c>
      <c r="R21" s="795"/>
      <c r="S21" s="466">
        <v>97.2222222222222</v>
      </c>
      <c r="T21" s="795"/>
      <c r="U21" s="466">
        <v>11627.786252596899</v>
      </c>
      <c r="V21" s="468"/>
      <c r="W21" s="482">
        <v>2070.6269320998099</v>
      </c>
      <c r="X21" s="460"/>
      <c r="Y21" s="557">
        <v>10296415.5440288</v>
      </c>
      <c r="Z21" s="460"/>
      <c r="AA21" s="557">
        <v>495.97922443394202</v>
      </c>
      <c r="AB21" s="460"/>
      <c r="AC21" s="557">
        <v>523.66637666328404</v>
      </c>
      <c r="AD21" s="460"/>
      <c r="AE21" s="557">
        <v>620.88761040418399</v>
      </c>
      <c r="AF21" s="460"/>
      <c r="AG21" s="557">
        <v>580.09611221537295</v>
      </c>
      <c r="AH21" s="460"/>
    </row>
    <row r="22" spans="1:39">
      <c r="A22" s="201" t="str">
        <f>VLOOKUP($D22,HeatExch_from_BP!$P:$AE,3,0)</f>
        <v>EZ2110A-D-Win.pdf, 3/12, 4/12</v>
      </c>
      <c r="B22" s="781" t="s">
        <v>7907</v>
      </c>
      <c r="C22" s="613"/>
      <c r="D22" s="599" t="s">
        <v>7607</v>
      </c>
      <c r="E22" s="446"/>
      <c r="F22" s="467" t="s">
        <v>7608</v>
      </c>
      <c r="G22" s="466">
        <v>544</v>
      </c>
      <c r="H22" s="772">
        <f>VLOOKUP($D22,HeatExch_from_BP!$P:$AE,4,0)/2</f>
        <v>544</v>
      </c>
      <c r="I22" s="466">
        <v>0.99099999999999999</v>
      </c>
      <c r="J22" s="468">
        <f>VLOOKUP($D22,HeatExch_from_BP!$P:$AE,15,0)</f>
        <v>0.99099999999999999</v>
      </c>
      <c r="K22" s="466">
        <v>4.875</v>
      </c>
      <c r="L22" s="610">
        <f>VLOOKUP($D22,HeatExch_from_BP!$P:$AE,14,0)</f>
        <v>4.875</v>
      </c>
      <c r="M22" s="466">
        <v>436</v>
      </c>
      <c r="N22" s="468"/>
      <c r="O22" s="466">
        <v>432</v>
      </c>
      <c r="P22" s="468"/>
      <c r="Q22" s="466">
        <v>138.888888888889</v>
      </c>
      <c r="R22" s="795"/>
      <c r="S22" s="466">
        <v>97.2222222222222</v>
      </c>
      <c r="T22" s="795"/>
      <c r="U22" s="466">
        <v>11666.4575032373</v>
      </c>
      <c r="V22" s="468"/>
      <c r="W22" s="482">
        <v>2070.6269320998099</v>
      </c>
      <c r="X22" s="460"/>
      <c r="Y22" s="557">
        <v>10103483.5767364</v>
      </c>
      <c r="Z22" s="460"/>
      <c r="AA22" s="557">
        <v>498.38082623628497</v>
      </c>
      <c r="AB22" s="460"/>
      <c r="AC22" s="557">
        <v>525.45234866526698</v>
      </c>
      <c r="AD22" s="460"/>
      <c r="AE22" s="557">
        <v>620.88761040418399</v>
      </c>
      <c r="AF22" s="460"/>
      <c r="AG22" s="557">
        <v>580.91088451909695</v>
      </c>
      <c r="AH22" s="460"/>
    </row>
    <row r="23" spans="1:39">
      <c r="A23" s="201" t="str">
        <f>VLOOKUP($D23,HeatExch_from_BP!$P:$AE,3,0)</f>
        <v>EZ2111A-B-Win.pdf, 1/5</v>
      </c>
      <c r="B23" s="781" t="s">
        <v>7907</v>
      </c>
      <c r="C23" s="613"/>
      <c r="D23" s="599" t="s">
        <v>7609</v>
      </c>
      <c r="E23" s="446"/>
      <c r="F23" s="467" t="s">
        <v>7610</v>
      </c>
      <c r="G23" s="466">
        <v>316</v>
      </c>
      <c r="H23" s="468">
        <f>VLOOKUP($D23,HeatExch_from_BP!$P:$AE,4,0)/2</f>
        <v>316</v>
      </c>
      <c r="I23" s="466">
        <v>1</v>
      </c>
      <c r="J23" s="468">
        <f>VLOOKUP($D23,HeatExch_from_BP!$P:$AE,15,0)</f>
        <v>1</v>
      </c>
      <c r="K23" s="466">
        <v>7.6870000000000003</v>
      </c>
      <c r="L23" s="610">
        <f>VLOOKUP($D23,HeatExch_from_BP!$P:$AE,14,0)</f>
        <v>7.6870000000000003</v>
      </c>
      <c r="M23" s="466">
        <v>160</v>
      </c>
      <c r="N23" s="468"/>
      <c r="O23" s="466">
        <v>200</v>
      </c>
      <c r="P23" s="468"/>
      <c r="Q23" s="466">
        <v>174.15416666666701</v>
      </c>
      <c r="R23" s="468">
        <f>VLOOKUP($D23,HeatExch_from_BP!$P:$AE,6,0)/3600</f>
        <v>174.15416666666667</v>
      </c>
      <c r="S23" s="466">
        <v>322.71666666666698</v>
      </c>
      <c r="T23" s="610">
        <f>VLOOKUP($D23,HeatExch_from_BP!$P:$AE,5,0)/3600</f>
        <v>322.71666666666664</v>
      </c>
      <c r="U23" s="466">
        <v>169971.24695456799</v>
      </c>
      <c r="V23" s="468"/>
      <c r="W23" s="482">
        <v>12188.1689780084</v>
      </c>
      <c r="X23" s="460"/>
      <c r="Y23" s="557">
        <v>-1133664.4520426299</v>
      </c>
      <c r="Z23" s="460"/>
      <c r="AA23" s="557">
        <v>601.58845951216904</v>
      </c>
      <c r="AB23" s="460"/>
      <c r="AC23" s="557">
        <v>595.82161116439795</v>
      </c>
      <c r="AD23" s="460"/>
      <c r="AE23" s="557">
        <v>523.66345103355604</v>
      </c>
      <c r="AF23" s="460"/>
      <c r="AG23" s="557">
        <v>526.45233765026398</v>
      </c>
      <c r="AH23" s="460"/>
    </row>
    <row r="24" spans="1:39">
      <c r="A24" s="201" t="str">
        <f>VLOOKUP($D24,HeatExch_from_BP!$P:$AE,3,0)</f>
        <v>EZ2111A-B-Win.pdf, 1/5</v>
      </c>
      <c r="B24" s="782" t="s">
        <v>7907</v>
      </c>
      <c r="C24" s="463"/>
      <c r="D24" s="464" t="s">
        <v>7609</v>
      </c>
      <c r="E24" s="459"/>
      <c r="F24" s="467" t="s">
        <v>7611</v>
      </c>
      <c r="G24" s="466">
        <v>316</v>
      </c>
      <c r="H24" s="772">
        <f>VLOOKUP($D24,HeatExch_from_BP!$P:$AE,4,0)/2</f>
        <v>316</v>
      </c>
      <c r="I24" s="466">
        <v>1</v>
      </c>
      <c r="J24" s="468">
        <f>VLOOKUP($D24,HeatExch_from_BP!$P:$AE,15,0)</f>
        <v>1</v>
      </c>
      <c r="K24" s="466">
        <v>7.6870000000000003</v>
      </c>
      <c r="L24" s="610">
        <f>VLOOKUP($D24,HeatExch_from_BP!$P:$AE,14,0)</f>
        <v>7.6870000000000003</v>
      </c>
      <c r="M24" s="466">
        <v>160</v>
      </c>
      <c r="N24" s="468"/>
      <c r="O24" s="466">
        <v>200</v>
      </c>
      <c r="P24" s="468"/>
      <c r="Q24" s="466">
        <v>174.15416666666701</v>
      </c>
      <c r="R24" s="468">
        <f>VLOOKUP($D24,HeatExch_from_BP!$P:$AE,6,0)/3600</f>
        <v>174.15416666666667</v>
      </c>
      <c r="S24" s="466">
        <v>322.71666666666698</v>
      </c>
      <c r="T24" s="610">
        <f>VLOOKUP($D24,HeatExch_from_BP!$P:$AE,5,0)/3600</f>
        <v>322.71666666666664</v>
      </c>
      <c r="U24" s="466">
        <v>169971.24695456799</v>
      </c>
      <c r="V24" s="468"/>
      <c r="W24" s="482">
        <v>12625.841430484799</v>
      </c>
      <c r="X24" s="460"/>
      <c r="Y24" s="557">
        <v>-1107859.03549563</v>
      </c>
      <c r="Z24" s="460"/>
      <c r="AA24" s="557">
        <v>601.58845951216904</v>
      </c>
      <c r="AB24" s="460"/>
      <c r="AC24" s="557">
        <v>595.95437762737197</v>
      </c>
      <c r="AD24" s="460"/>
      <c r="AE24" s="557">
        <v>525.45007885095299</v>
      </c>
      <c r="AF24" s="460"/>
      <c r="AG24" s="557">
        <v>528.12975335403405</v>
      </c>
      <c r="AH24" s="460"/>
      <c r="AJ24" s="471"/>
      <c r="AK24" s="471"/>
      <c r="AL24" s="471"/>
      <c r="AM24" s="471"/>
    </row>
    <row r="25" spans="1:39">
      <c r="A25" s="201" t="str">
        <f>VLOOKUP($D25,HeatExch_from_BP!$P:$AE,3,0)</f>
        <v>EZ2118-Win.pdf, 1/4</v>
      </c>
      <c r="B25" s="782" t="s">
        <v>8097</v>
      </c>
      <c r="C25" s="16"/>
      <c r="D25" s="17" t="s">
        <v>8221</v>
      </c>
      <c r="E25" s="609"/>
      <c r="F25" s="714" t="s">
        <v>8221</v>
      </c>
      <c r="G25" s="715">
        <v>200</v>
      </c>
      <c r="H25" s="610">
        <f>VLOOKUP($D25,HeatExch_from_BP!$P:$AE,4,0)</f>
        <v>200</v>
      </c>
      <c r="I25" s="614">
        <v>0.85</v>
      </c>
      <c r="J25" s="610">
        <f>VLOOKUP($D25,HeatExch_from_BP!$P:$AE,15,0)</f>
        <v>0.85</v>
      </c>
      <c r="K25" s="614">
        <v>5.74</v>
      </c>
      <c r="L25" s="610">
        <f>VLOOKUP($D25,HeatExch_from_BP!$P:$AE,14,0)</f>
        <v>5.74</v>
      </c>
      <c r="M25" s="614">
        <v>500</v>
      </c>
      <c r="N25" s="610"/>
      <c r="O25" s="614">
        <v>100</v>
      </c>
      <c r="P25" s="610"/>
      <c r="Q25" s="614">
        <v>8.2777777777777803</v>
      </c>
      <c r="R25" s="610">
        <f>VLOOKUP($D25,HeatExch_from_BP!$P:$AE,6,0)/3600</f>
        <v>8.2777777777777786</v>
      </c>
      <c r="S25" s="614">
        <v>3.6944444444444402</v>
      </c>
      <c r="T25" s="610">
        <f>VLOOKUP($D25,HeatExch_from_BP!$P:$AE,5,0)/3600</f>
        <v>3.6944444444444446</v>
      </c>
      <c r="U25" s="19">
        <v>118590.29786433501</v>
      </c>
      <c r="V25" s="13"/>
      <c r="W25" s="482">
        <v>1557.55120532924</v>
      </c>
      <c r="X25" s="460"/>
      <c r="Y25" s="557">
        <v>574889.26786484197</v>
      </c>
      <c r="Z25" s="460"/>
      <c r="AA25" s="557">
        <v>293.15066746436003</v>
      </c>
      <c r="AB25" s="460"/>
      <c r="AC25" s="557">
        <v>307.750981886803</v>
      </c>
      <c r="AD25" s="460"/>
      <c r="AE25" s="557">
        <v>425.36851519531399</v>
      </c>
      <c r="AF25" s="460"/>
      <c r="AG25" s="557">
        <v>316.43330843639501</v>
      </c>
      <c r="AH25" s="460"/>
    </row>
    <row r="26" spans="1:39" s="471" customFormat="1">
      <c r="A26" s="201" t="str">
        <f>VLOOKUP($D26,HeatExch_from_BP!$P:$AE,3,0)</f>
        <v>EZ2119A-D-Win.pdf, 2/12</v>
      </c>
      <c r="B26" s="782" t="s">
        <v>8116</v>
      </c>
      <c r="C26" s="474"/>
      <c r="D26" s="599" t="s">
        <v>7786</v>
      </c>
      <c r="E26" s="609"/>
      <c r="F26" s="556" t="s">
        <v>8965</v>
      </c>
      <c r="G26" s="614">
        <v>1220</v>
      </c>
      <c r="H26" s="476">
        <f>VLOOKUP($D26,HeatExch_from_BP!$P:$AE,4,0)/2</f>
        <v>1220</v>
      </c>
      <c r="I26" s="614">
        <v>1.327</v>
      </c>
      <c r="J26" s="476">
        <f>VLOOKUP($D26,HeatExch_from_BP!$P:$AE,15,0)</f>
        <v>1.327</v>
      </c>
      <c r="K26" s="614">
        <v>7.5419999999999998</v>
      </c>
      <c r="L26" s="610">
        <f>VLOOKUP($D26,HeatExch_from_BP!$P:$AE,14,0)</f>
        <v>7.5419999999999998</v>
      </c>
      <c r="M26" s="614">
        <v>2000</v>
      </c>
      <c r="N26" s="476"/>
      <c r="O26" s="614">
        <v>1200</v>
      </c>
      <c r="P26" s="476"/>
      <c r="Q26" s="614">
        <v>57.449305555555597</v>
      </c>
      <c r="R26" s="610">
        <f>VLOOKUP($D26,HeatExch_from_BP!$P:$AE,6,0)/3600/2</f>
        <v>57.449305555555554</v>
      </c>
      <c r="S26" s="614">
        <v>87.077083333333306</v>
      </c>
      <c r="T26" s="610">
        <f>VLOOKUP($D26,HeatExch_from_BP!$P:$AE,5,0)/3600/2</f>
        <v>87.077083333333334</v>
      </c>
      <c r="U26" s="614">
        <v>13381.9874285961</v>
      </c>
      <c r="V26" s="476"/>
      <c r="W26" s="614">
        <v>2365.1397518296699</v>
      </c>
      <c r="X26" s="460"/>
      <c r="Y26" s="614">
        <v>1616292.02077296</v>
      </c>
      <c r="Z26" s="460"/>
      <c r="AA26" s="614">
        <v>350.01105756864303</v>
      </c>
      <c r="AB26" s="460"/>
      <c r="AC26" s="614">
        <v>372.08287779193603</v>
      </c>
      <c r="AD26" s="460"/>
      <c r="AE26" s="614">
        <v>374.42003584722102</v>
      </c>
      <c r="AF26" s="460"/>
      <c r="AG26" s="614">
        <v>356.62458770089199</v>
      </c>
      <c r="AH26" s="460"/>
    </row>
    <row r="27" spans="1:39" s="471" customFormat="1">
      <c r="A27" s="201" t="str">
        <f>VLOOKUP($D27,HeatExch_from_BP!$P:$AE,3,0)</f>
        <v>EZ2119A-D-Win.pdf, 2/12</v>
      </c>
      <c r="B27" s="782" t="s">
        <v>8116</v>
      </c>
      <c r="C27" s="474"/>
      <c r="D27" s="599" t="s">
        <v>7786</v>
      </c>
      <c r="E27" s="609"/>
      <c r="F27" s="556" t="s">
        <v>8966</v>
      </c>
      <c r="G27" s="614">
        <v>1220</v>
      </c>
      <c r="H27" s="476">
        <f>VLOOKUP($D27,HeatExch_from_BP!$P:$AE,4,0)/2</f>
        <v>1220</v>
      </c>
      <c r="I27" s="614">
        <v>1.327</v>
      </c>
      <c r="J27" s="476">
        <f>VLOOKUP($D27,HeatExch_from_BP!$P:$AE,15,0)</f>
        <v>1.327</v>
      </c>
      <c r="K27" s="614">
        <v>7.5419999999999998</v>
      </c>
      <c r="L27" s="610">
        <f>VLOOKUP($D27,HeatExch_from_BP!$P:$AE,14,0)</f>
        <v>7.5419999999999998</v>
      </c>
      <c r="M27" s="614">
        <v>2000</v>
      </c>
      <c r="N27" s="476"/>
      <c r="O27" s="614">
        <v>1200</v>
      </c>
      <c r="P27" s="476"/>
      <c r="Q27" s="614">
        <v>57.449305555555597</v>
      </c>
      <c r="R27" s="610">
        <f>VLOOKUP($D27,HeatExch_from_BP!$P:$AE,6,0)/3600/2</f>
        <v>57.449305555555554</v>
      </c>
      <c r="S27" s="614">
        <v>87.077083333333306</v>
      </c>
      <c r="T27" s="610">
        <f>VLOOKUP($D27,HeatExch_from_BP!$P:$AE,5,0)/3600/2</f>
        <v>87.077083333333334</v>
      </c>
      <c r="U27" s="614">
        <v>13381.9874285961</v>
      </c>
      <c r="V27" s="476"/>
      <c r="W27" s="614">
        <v>2365.1397518296699</v>
      </c>
      <c r="X27" s="460"/>
      <c r="Y27" s="614">
        <v>1478473.97504242</v>
      </c>
      <c r="Z27" s="460"/>
      <c r="AA27" s="614">
        <v>350.01105756864303</v>
      </c>
      <c r="AB27" s="460"/>
      <c r="AC27" s="614">
        <v>372.695184833067</v>
      </c>
      <c r="AD27" s="460"/>
      <c r="AE27" s="614">
        <v>374.42003584722102</v>
      </c>
      <c r="AF27" s="460"/>
      <c r="AG27" s="614">
        <v>358.15971465318302</v>
      </c>
      <c r="AH27" s="460"/>
    </row>
    <row r="28" spans="1:39">
      <c r="A28" s="201" t="str">
        <f>VLOOKUP($D28,HeatExch_from_BP!$P:$AE,3,0)</f>
        <v>EZ2121A-B-Win.pdf, 2/6</v>
      </c>
      <c r="B28" s="782" t="s">
        <v>8100</v>
      </c>
      <c r="C28" s="16"/>
      <c r="D28" s="599" t="s">
        <v>8850</v>
      </c>
      <c r="E28" s="609"/>
      <c r="F28" s="714" t="s">
        <v>8225</v>
      </c>
      <c r="G28" s="715">
        <v>90</v>
      </c>
      <c r="H28" s="610">
        <f>VLOOKUP($D28,HeatExch_from_BP!$P:$AE,4,0)/2</f>
        <v>90</v>
      </c>
      <c r="I28" s="614">
        <v>0.78</v>
      </c>
      <c r="J28" s="610">
        <f>VLOOKUP($D28,HeatExch_from_BP!$P:$AE,15,0)</f>
        <v>0.78</v>
      </c>
      <c r="K28" s="614">
        <v>7.0720000000000001</v>
      </c>
      <c r="L28" s="610">
        <f>VLOOKUP($D28,HeatExch_from_BP!$P:$AE,14,0)</f>
        <v>7.0720000000000001</v>
      </c>
      <c r="M28" s="614">
        <v>480</v>
      </c>
      <c r="N28" s="610"/>
      <c r="O28" s="614">
        <v>480</v>
      </c>
      <c r="P28" s="610"/>
      <c r="Q28" s="614">
        <v>18.434722222222199</v>
      </c>
      <c r="R28" s="610">
        <f>VLOOKUP($D28,HeatExch_from_BP!$P:$AE,6,0)/3600</f>
        <v>18.434722222222224</v>
      </c>
      <c r="S28" s="614">
        <v>18.434722222222199</v>
      </c>
      <c r="T28" s="610">
        <f>VLOOKUP($D28,HeatExch_from_BP!$P:$AE,5,0)/3600</f>
        <v>18.434722222222224</v>
      </c>
      <c r="U28" s="19">
        <v>643.48137242160703</v>
      </c>
      <c r="V28" s="13"/>
      <c r="W28" s="482">
        <v>1162.25973338075</v>
      </c>
      <c r="X28" s="460"/>
      <c r="Y28" s="557">
        <v>-608217.54319399898</v>
      </c>
      <c r="Z28" s="460"/>
      <c r="AA28" s="557">
        <v>398.84979789249201</v>
      </c>
      <c r="AB28" s="460"/>
      <c r="AC28" s="557">
        <v>384.81157947260499</v>
      </c>
      <c r="AD28" s="460"/>
      <c r="AE28" s="557">
        <v>335.94713616204001</v>
      </c>
      <c r="AF28" s="460"/>
      <c r="AG28" s="557">
        <v>353.39284941843198</v>
      </c>
      <c r="AH28" s="460"/>
    </row>
    <row r="29" spans="1:39">
      <c r="A29" s="201" t="str">
        <f>VLOOKUP($D29,HeatExch_from_BP!$P:$AE,3,0)</f>
        <v>EZ2121A-B-Win.pdf, 2/6</v>
      </c>
      <c r="B29" s="782" t="s">
        <v>8100</v>
      </c>
      <c r="C29" s="16"/>
      <c r="D29" s="599" t="s">
        <v>8853</v>
      </c>
      <c r="E29" s="609"/>
      <c r="F29" s="714" t="s">
        <v>8214</v>
      </c>
      <c r="G29" s="715">
        <v>90</v>
      </c>
      <c r="H29" s="610">
        <f>VLOOKUP($D29,HeatExch_from_BP!$P:$AE,4,0)/2</f>
        <v>90</v>
      </c>
      <c r="I29" s="614">
        <v>0.78</v>
      </c>
      <c r="J29" s="610">
        <f>VLOOKUP($D29,HeatExch_from_BP!$P:$AE,15,0)</f>
        <v>0.78</v>
      </c>
      <c r="K29" s="614">
        <v>7.0720000000000001</v>
      </c>
      <c r="L29" s="610">
        <f>VLOOKUP($D29,HeatExch_from_BP!$P:$AE,14,0)</f>
        <v>7.0720000000000001</v>
      </c>
      <c r="M29" s="614">
        <v>480</v>
      </c>
      <c r="N29" s="610"/>
      <c r="O29" s="614">
        <v>480</v>
      </c>
      <c r="P29" s="610"/>
      <c r="Q29" s="614">
        <v>18.434722222222199</v>
      </c>
      <c r="R29" s="610">
        <f>VLOOKUP($D29,HeatExch_from_BP!$P:$AE,6,0)/3600</f>
        <v>18.434722222222224</v>
      </c>
      <c r="S29" s="614">
        <v>18.434722222222199</v>
      </c>
      <c r="T29" s="610">
        <f>VLOOKUP($D29,HeatExch_from_BP!$P:$AE,5,0)/3600</f>
        <v>18.434722222222224</v>
      </c>
      <c r="U29" s="19">
        <v>639.69889616663602</v>
      </c>
      <c r="V29" s="13"/>
      <c r="W29" s="482">
        <v>1469.4444298134199</v>
      </c>
      <c r="X29" s="460"/>
      <c r="Y29" s="557">
        <v>-631564.75306819903</v>
      </c>
      <c r="Z29" s="460"/>
      <c r="AA29" s="557">
        <v>398.84990377222402</v>
      </c>
      <c r="AB29" s="460"/>
      <c r="AC29" s="557">
        <v>384.22688226430699</v>
      </c>
      <c r="AD29" s="460"/>
      <c r="AE29" s="557">
        <v>335.94724690205101</v>
      </c>
      <c r="AF29" s="460"/>
      <c r="AG29" s="557">
        <v>352.061681919058</v>
      </c>
      <c r="AH29" s="460"/>
      <c r="AJ29" s="471"/>
      <c r="AK29" s="471"/>
      <c r="AL29" s="471"/>
      <c r="AM29" s="471"/>
    </row>
    <row r="30" spans="1:39">
      <c r="A30" s="201" t="str">
        <f>VLOOKUP($D30,HeatExch_from_BP!$P:$AE,3,0)</f>
        <v>Manufacturing Data Report - EZ2122 tube.pdf</v>
      </c>
      <c r="B30" s="782" t="s">
        <v>8097</v>
      </c>
      <c r="C30" s="16"/>
      <c r="D30" s="17" t="s">
        <v>8217</v>
      </c>
      <c r="E30" s="609"/>
      <c r="F30" s="714" t="s">
        <v>8217</v>
      </c>
      <c r="G30" s="715">
        <v>33.6</v>
      </c>
      <c r="H30" s="610">
        <f>VLOOKUP($D30,HeatExch_from_BP!$P:$AE,4,0)</f>
        <v>33.6</v>
      </c>
      <c r="I30" s="614">
        <v>0.6</v>
      </c>
      <c r="J30" s="610">
        <f>VLOOKUP($D30,HeatExch_from_BP!$P:$AE,15,0)</f>
        <v>0.6</v>
      </c>
      <c r="K30" s="614">
        <v>3.15</v>
      </c>
      <c r="L30" s="610">
        <f>VLOOKUP($D30,HeatExch_from_BP!$P:$AE,14,0)</f>
        <v>3.15</v>
      </c>
      <c r="M30" s="614">
        <v>2000</v>
      </c>
      <c r="N30" s="610"/>
      <c r="O30" s="614">
        <v>200</v>
      </c>
      <c r="P30" s="610"/>
      <c r="Q30" s="614">
        <v>6.9444444444444402</v>
      </c>
      <c r="R30" s="610">
        <f>VLOOKUP($D30,HeatExch_from_BP!$P:$AE,6,0)/3600</f>
        <v>6.9444444444444446</v>
      </c>
      <c r="S30" s="614">
        <v>0.32444444444444398</v>
      </c>
      <c r="T30" s="610">
        <f>VLOOKUP($D30,HeatExch_from_BP!$P:$AE,5,0)/3600</f>
        <v>0.32444444444444442</v>
      </c>
      <c r="U30" s="19">
        <v>119079.011355296</v>
      </c>
      <c r="V30" s="13"/>
      <c r="W30" s="482">
        <v>282.70962314991601</v>
      </c>
      <c r="X30" s="460"/>
      <c r="Y30" s="557">
        <v>332753.60179926298</v>
      </c>
      <c r="Z30" s="460"/>
      <c r="AA30" s="557">
        <v>293.15066746436003</v>
      </c>
      <c r="AB30" s="460"/>
      <c r="AC30" s="557">
        <v>305.48863198018302</v>
      </c>
      <c r="AD30" s="460"/>
      <c r="AE30" s="557">
        <v>378.83662100922101</v>
      </c>
      <c r="AF30" s="460"/>
      <c r="AG30" s="557">
        <v>345.793257913996</v>
      </c>
      <c r="AH30" s="460"/>
    </row>
    <row r="31" spans="1:39">
      <c r="A31" s="201" t="str">
        <f>VLOOKUP($D31,HeatExch_from_BP!$P:$AE,3,0)</f>
        <v>Manufacturing Data Report - EZ2123 tube.pdf</v>
      </c>
      <c r="B31" s="782" t="s">
        <v>8097</v>
      </c>
      <c r="C31" s="16"/>
      <c r="D31" s="17" t="s">
        <v>8222</v>
      </c>
      <c r="E31" s="609"/>
      <c r="F31" s="714" t="s">
        <v>8222</v>
      </c>
      <c r="G31" s="715">
        <v>11.41</v>
      </c>
      <c r="H31" s="610">
        <f>VLOOKUP($D31,HeatExch_from_BP!$P:$AE,4,0)</f>
        <v>11.41</v>
      </c>
      <c r="I31" s="614">
        <v>0.4</v>
      </c>
      <c r="J31" s="610">
        <f>VLOOKUP($D31,HeatExch_from_BP!$P:$AE,15,0)</f>
        <v>0.4</v>
      </c>
      <c r="K31" s="614">
        <v>3.13</v>
      </c>
      <c r="L31" s="610">
        <f>VLOOKUP($D31,HeatExch_from_BP!$P:$AE,14,0)</f>
        <v>3.13</v>
      </c>
      <c r="M31" s="614">
        <v>2500</v>
      </c>
      <c r="N31" s="610"/>
      <c r="O31" s="614">
        <v>217</v>
      </c>
      <c r="P31" s="610"/>
      <c r="Q31" s="614">
        <v>5.5555555555555598</v>
      </c>
      <c r="R31" s="610">
        <f>VLOOKUP($D31,HeatExch_from_BP!$P:$AE,6,0)/3600</f>
        <v>5.5555555555555554</v>
      </c>
      <c r="S31" s="614">
        <v>0.148611111111111</v>
      </c>
      <c r="T31" s="610">
        <f>VLOOKUP($D31,HeatExch_from_BP!$P:$AE,5,0)/3600</f>
        <v>0.14861111111111111</v>
      </c>
      <c r="U31" s="19">
        <v>119079.011355296</v>
      </c>
      <c r="V31" s="13"/>
      <c r="W31" s="482">
        <v>48.033902541094001</v>
      </c>
      <c r="X31" s="460"/>
      <c r="Y31" s="557">
        <v>76067.3297337166</v>
      </c>
      <c r="Z31" s="460"/>
      <c r="AA31" s="557">
        <v>293.15066746436003</v>
      </c>
      <c r="AB31" s="460"/>
      <c r="AC31" s="557">
        <v>293.74273120433998</v>
      </c>
      <c r="AD31" s="460"/>
      <c r="AE31" s="557">
        <v>486.00241267478299</v>
      </c>
      <c r="AF31" s="460"/>
      <c r="AG31" s="557">
        <v>294.30782690786998</v>
      </c>
      <c r="AH31" s="460"/>
    </row>
    <row r="32" spans="1:39">
      <c r="A32" s="201" t="str">
        <f>VLOOKUP($D32,HeatExch_from_BP!$P:$AE,3,0)</f>
        <v>OEM-Manual CDU4 rev. 2.pdf, 12/18</v>
      </c>
      <c r="B32" s="782" t="s">
        <v>5470</v>
      </c>
      <c r="C32" s="16"/>
      <c r="D32" s="599" t="s">
        <v>8852</v>
      </c>
      <c r="E32" s="609"/>
      <c r="F32" s="714" t="s">
        <v>8220</v>
      </c>
      <c r="G32" s="715">
        <v>1228</v>
      </c>
      <c r="H32" s="610">
        <f>VLOOKUP($D32,HeatExch_from_BP!$P:$AE,4,0)/2</f>
        <v>1228</v>
      </c>
      <c r="I32" s="614">
        <v>2.5</v>
      </c>
      <c r="J32" s="795"/>
      <c r="K32" s="614">
        <v>0</v>
      </c>
      <c r="L32" s="795"/>
      <c r="M32" s="614">
        <v>140</v>
      </c>
      <c r="N32" s="610"/>
      <c r="O32" s="614">
        <v>140</v>
      </c>
      <c r="P32" s="610"/>
      <c r="Q32" s="614">
        <v>74.4444444444444</v>
      </c>
      <c r="R32" s="795"/>
      <c r="S32" s="614">
        <v>63.666400000000003</v>
      </c>
      <c r="T32" s="795"/>
      <c r="U32" s="19">
        <v>1114.87234552005</v>
      </c>
      <c r="V32" s="13"/>
      <c r="W32" s="482">
        <v>531.69750144804095</v>
      </c>
      <c r="X32" s="460"/>
      <c r="Y32" s="557">
        <v>-7931194.5072942898</v>
      </c>
      <c r="Z32" s="460"/>
      <c r="AA32" s="557">
        <v>713.93924606067606</v>
      </c>
      <c r="AB32" s="460"/>
      <c r="AC32" s="557">
        <v>488.75768419332798</v>
      </c>
      <c r="AD32" s="460"/>
      <c r="AE32" s="557">
        <v>330.14543945441199</v>
      </c>
      <c r="AF32" s="460"/>
      <c r="AG32" s="557">
        <v>505.09033791434098</v>
      </c>
      <c r="AH32" s="460"/>
    </row>
    <row r="33" spans="1:34">
      <c r="A33" s="201" t="str">
        <f>VLOOKUP($D33,HeatExch_from_BP!$P:$AE,3,0)</f>
        <v>OEM-Manual CDU4 rev. 2.pdf, 12/18</v>
      </c>
      <c r="B33" s="782" t="s">
        <v>5470</v>
      </c>
      <c r="C33" s="16"/>
      <c r="D33" s="599" t="s">
        <v>8852</v>
      </c>
      <c r="E33" s="609"/>
      <c r="F33" s="714" t="s">
        <v>8224</v>
      </c>
      <c r="G33" s="715">
        <v>1228</v>
      </c>
      <c r="H33" s="772">
        <f>VLOOKUP($D33,HeatExch_from_BP!$P:$AE,4,0)/2</f>
        <v>1228</v>
      </c>
      <c r="I33" s="614">
        <v>2.5</v>
      </c>
      <c r="J33" s="795"/>
      <c r="K33" s="614">
        <v>0</v>
      </c>
      <c r="L33" s="795"/>
      <c r="M33" s="614">
        <v>140</v>
      </c>
      <c r="N33" s="610"/>
      <c r="O33" s="614">
        <v>140</v>
      </c>
      <c r="P33" s="610"/>
      <c r="Q33" s="614">
        <v>74.4444444444444</v>
      </c>
      <c r="R33" s="795"/>
      <c r="S33" s="614">
        <v>63.666400000000003</v>
      </c>
      <c r="T33" s="795"/>
      <c r="U33" s="19">
        <v>1114.8723455310201</v>
      </c>
      <c r="V33" s="13"/>
      <c r="W33" s="482">
        <v>531.69750144804095</v>
      </c>
      <c r="X33" s="460"/>
      <c r="Y33" s="557">
        <v>-7931194.5073057497</v>
      </c>
      <c r="Z33" s="460"/>
      <c r="AA33" s="557">
        <v>713.93924606067606</v>
      </c>
      <c r="AB33" s="460"/>
      <c r="AC33" s="557">
        <v>488.75768405883298</v>
      </c>
      <c r="AD33" s="460"/>
      <c r="AE33" s="557">
        <v>330.14543945441199</v>
      </c>
      <c r="AF33" s="460"/>
      <c r="AG33" s="557">
        <v>505.09033791501002</v>
      </c>
      <c r="AH33" s="460"/>
    </row>
    <row r="34" spans="1:34">
      <c r="A34" s="201" t="str">
        <f>VLOOKUP($D34,HeatExch_from_BP!$P:$AE,3,0)</f>
        <v>E  z -2127.pdf</v>
      </c>
      <c r="B34" s="782" t="s">
        <v>8100</v>
      </c>
      <c r="C34" s="16"/>
      <c r="D34" s="599" t="s">
        <v>8973</v>
      </c>
      <c r="E34" s="609"/>
      <c r="F34" s="714" t="s">
        <v>8215</v>
      </c>
      <c r="G34" s="715">
        <v>147</v>
      </c>
      <c r="H34" s="610">
        <f>VLOOKUP($D34,HeatExch_from_BP!$P:$AE,4,0)</f>
        <v>147</v>
      </c>
      <c r="I34" s="614">
        <v>0.70699999999999996</v>
      </c>
      <c r="J34" s="610">
        <f>VLOOKUP($D34,HeatExch_from_BP!$P:$AE,15,0)</f>
        <v>0.70699999999999996</v>
      </c>
      <c r="K34" s="614">
        <v>6.0960000000000001</v>
      </c>
      <c r="L34" s="610">
        <f>VLOOKUP($D34,HeatExch_from_BP!$P:$AE,14,0)</f>
        <v>6.0960000000000001</v>
      </c>
      <c r="M34" s="614">
        <v>1250</v>
      </c>
      <c r="N34" s="610"/>
      <c r="O34" s="614">
        <v>1250</v>
      </c>
      <c r="P34" s="610"/>
      <c r="Q34" s="614">
        <v>18.440000000000001</v>
      </c>
      <c r="R34" s="610">
        <f>VLOOKUP($D34,HeatExch_from_BP!$P:$AE,6,0)/3600</f>
        <v>18.440000000000001</v>
      </c>
      <c r="S34" s="614">
        <v>69.022222222222197</v>
      </c>
      <c r="T34" s="610">
        <f>VLOOKUP($D34,HeatExch_from_BP!$P:$AE,5,0)/3600</f>
        <v>69.022222222222226</v>
      </c>
      <c r="U34" s="19">
        <v>2486.2366308280002</v>
      </c>
      <c r="V34" s="13"/>
      <c r="W34" s="482">
        <v>6212.6695293249204</v>
      </c>
      <c r="X34" s="460"/>
      <c r="Y34" s="557">
        <v>-3142332.5532404999</v>
      </c>
      <c r="Z34" s="460"/>
      <c r="AA34" s="557">
        <v>356.756788269899</v>
      </c>
      <c r="AB34" s="460"/>
      <c r="AC34" s="557">
        <v>319.533834055054</v>
      </c>
      <c r="AD34" s="460"/>
      <c r="AE34" s="557">
        <v>295.24556768232202</v>
      </c>
      <c r="AF34" s="460"/>
      <c r="AG34" s="557">
        <v>306.91190792405001</v>
      </c>
      <c r="AH34" s="460"/>
    </row>
    <row r="35" spans="1:34">
      <c r="A35" s="201" t="str">
        <f>VLOOKUP($D35,HeatExch_from_BP!$P:$AE,3,0)</f>
        <v>EZ2151A-E-Win.pdf, 2/33</v>
      </c>
      <c r="B35" s="782" t="s">
        <v>4585</v>
      </c>
      <c r="C35" s="418"/>
      <c r="D35" s="599" t="s">
        <v>8976</v>
      </c>
      <c r="E35" s="609"/>
      <c r="F35" s="423" t="s">
        <v>6260</v>
      </c>
      <c r="G35" s="614">
        <v>934</v>
      </c>
      <c r="H35" s="460">
        <f>VLOOKUP($D35,HeatExch_from_BP!$P:$AE,4,0)/5</f>
        <v>934</v>
      </c>
      <c r="I35" s="614">
        <v>0.8</v>
      </c>
      <c r="J35" s="460">
        <f>VLOOKUP($D35,HeatExch_from_BP!$P:$AE,15,0)</f>
        <v>0.8</v>
      </c>
      <c r="K35" s="614">
        <v>8.3000000000000007</v>
      </c>
      <c r="L35" s="610">
        <f>VLOOKUP($D35,HeatExch_from_BP!$P:$AE,14,0)</f>
        <v>8.3000000000000007</v>
      </c>
      <c r="M35" s="614">
        <v>800</v>
      </c>
      <c r="N35" s="420"/>
      <c r="O35" s="614">
        <v>1020</v>
      </c>
      <c r="P35" s="460"/>
      <c r="Q35" s="614">
        <v>96.266666666666694</v>
      </c>
      <c r="R35" s="460">
        <f>VLOOKUP($D35,HeatExch_from_BP!$P:$AE,6,0)/3600</f>
        <v>96.266666666666666</v>
      </c>
      <c r="S35" s="614">
        <v>96.266666666666694</v>
      </c>
      <c r="T35" s="460">
        <f>VLOOKUP($D35,HeatExch_from_BP!$P:$AE,5,0)/3600</f>
        <v>96.266666666666666</v>
      </c>
      <c r="U35" s="614">
        <v>30953.9568625949</v>
      </c>
      <c r="V35" s="13"/>
      <c r="W35" s="614">
        <v>20638.1070145923</v>
      </c>
      <c r="X35" s="460"/>
      <c r="Y35" s="614">
        <v>-25408261.143915001</v>
      </c>
      <c r="Z35" s="460"/>
      <c r="AA35" s="614">
        <v>456.18517425362398</v>
      </c>
      <c r="AB35" s="460"/>
      <c r="AC35" s="614">
        <v>386.39593353229901</v>
      </c>
      <c r="AD35" s="460"/>
      <c r="AE35" s="614">
        <v>328.08609133656302</v>
      </c>
      <c r="AF35" s="460"/>
      <c r="AG35" s="614">
        <v>410.96514676572502</v>
      </c>
      <c r="AH35" s="460"/>
    </row>
    <row r="36" spans="1:34">
      <c r="A36" s="201" t="str">
        <f>VLOOKUP($D36,HeatExch_from_BP!$P:$AE,3,0)</f>
        <v>EZ2151A-E-Win.pdf, 2/33</v>
      </c>
      <c r="B36" s="782" t="s">
        <v>4585</v>
      </c>
      <c r="C36" s="421"/>
      <c r="D36" s="599" t="s">
        <v>8974</v>
      </c>
      <c r="E36" s="609"/>
      <c r="F36" s="423" t="s">
        <v>6261</v>
      </c>
      <c r="G36" s="614">
        <v>934</v>
      </c>
      <c r="H36" s="460">
        <f>VLOOKUP($D36,HeatExch_from_BP!$P:$AE,4,0)/5</f>
        <v>934</v>
      </c>
      <c r="I36" s="614">
        <v>0.8</v>
      </c>
      <c r="J36" s="460">
        <f>VLOOKUP($D36,HeatExch_from_BP!$P:$AE,15,0)</f>
        <v>0.8</v>
      </c>
      <c r="K36" s="614">
        <v>8.3000000000000007</v>
      </c>
      <c r="L36" s="610">
        <f>VLOOKUP($D36,HeatExch_from_BP!$P:$AE,14,0)</f>
        <v>8.3000000000000007</v>
      </c>
      <c r="M36" s="614">
        <v>800</v>
      </c>
      <c r="N36" s="426"/>
      <c r="O36" s="614">
        <v>1020</v>
      </c>
      <c r="P36" s="460"/>
      <c r="Q36" s="614">
        <v>96.266666666666694</v>
      </c>
      <c r="R36" s="460">
        <f>VLOOKUP($D36,HeatExch_from_BP!$P:$AE,6,0)/3600</f>
        <v>96.266666666666666</v>
      </c>
      <c r="S36" s="614">
        <v>96.266666666666694</v>
      </c>
      <c r="T36" s="460">
        <f>VLOOKUP($D36,HeatExch_from_BP!$P:$AE,5,0)/3600</f>
        <v>96.266666666666666</v>
      </c>
      <c r="U36" s="614">
        <v>34370.029442464001</v>
      </c>
      <c r="V36" s="13"/>
      <c r="W36" s="614">
        <v>9417.2822314184195</v>
      </c>
      <c r="X36" s="460"/>
      <c r="Y36" s="614">
        <v>-20007599.948707599</v>
      </c>
      <c r="Z36" s="460"/>
      <c r="AA36" s="614">
        <v>500.79956174368698</v>
      </c>
      <c r="AB36" s="460"/>
      <c r="AC36" s="614">
        <v>456.18851865129801</v>
      </c>
      <c r="AD36" s="460"/>
      <c r="AE36" s="614">
        <v>410.96281590957898</v>
      </c>
      <c r="AF36" s="460"/>
      <c r="AG36" s="614">
        <v>464.67805849111602</v>
      </c>
      <c r="AH36" s="460"/>
    </row>
    <row r="37" spans="1:34">
      <c r="A37" s="201" t="str">
        <f>VLOOKUP($D37,HeatExch_from_BP!$P:$AE,3,0)</f>
        <v>EZ2151A-E-Win.pdf, 2/33</v>
      </c>
      <c r="B37" s="782" t="s">
        <v>4585</v>
      </c>
      <c r="C37" s="421"/>
      <c r="D37" s="599" t="s">
        <v>8974</v>
      </c>
      <c r="E37" s="609"/>
      <c r="F37" s="423" t="s">
        <v>6263</v>
      </c>
      <c r="G37" s="614">
        <v>934</v>
      </c>
      <c r="H37" s="460">
        <f>VLOOKUP($D37,HeatExch_from_BP!$P:$AE,4,0)/5</f>
        <v>934</v>
      </c>
      <c r="I37" s="614">
        <v>0.8</v>
      </c>
      <c r="J37" s="460">
        <f>VLOOKUP($D37,HeatExch_from_BP!$P:$AE,15,0)</f>
        <v>0.8</v>
      </c>
      <c r="K37" s="614">
        <v>8.3000000000000007</v>
      </c>
      <c r="L37" s="610">
        <f>VLOOKUP($D37,HeatExch_from_BP!$P:$AE,14,0)</f>
        <v>8.3000000000000007</v>
      </c>
      <c r="M37" s="614">
        <v>800</v>
      </c>
      <c r="N37" s="426"/>
      <c r="O37" s="614">
        <v>1020</v>
      </c>
      <c r="P37" s="460"/>
      <c r="Q37" s="614">
        <v>96.266666666666694</v>
      </c>
      <c r="R37" s="460">
        <f>VLOOKUP($D37,HeatExch_from_BP!$P:$AE,6,0)/3600</f>
        <v>96.266666666666666</v>
      </c>
      <c r="S37" s="614">
        <v>96.266666666666694</v>
      </c>
      <c r="T37" s="460">
        <f>VLOOKUP($D37,HeatExch_from_BP!$P:$AE,5,0)/3600</f>
        <v>96.266666666666666</v>
      </c>
      <c r="U37" s="614">
        <v>37632.173067247</v>
      </c>
      <c r="V37" s="13"/>
      <c r="W37" s="614">
        <v>27922.840411170899</v>
      </c>
      <c r="X37" s="460"/>
      <c r="Y37" s="614">
        <v>-16277773.9049064</v>
      </c>
      <c r="Z37" s="460"/>
      <c r="AA37" s="614">
        <v>531.85043624113496</v>
      </c>
      <c r="AB37" s="460"/>
      <c r="AC37" s="614">
        <v>500.80274536391403</v>
      </c>
      <c r="AD37" s="460"/>
      <c r="AE37" s="614">
        <v>464.67488870696701</v>
      </c>
      <c r="AF37" s="460"/>
      <c r="AG37" s="614">
        <v>501.90040250543899</v>
      </c>
      <c r="AH37" s="460"/>
    </row>
    <row r="38" spans="1:34">
      <c r="A38" s="201" t="str">
        <f>VLOOKUP($D38,HeatExch_from_BP!$P:$AE,3,0)</f>
        <v>EZ2151A-E-Win.pdf, 2/33</v>
      </c>
      <c r="B38" s="782" t="s">
        <v>4585</v>
      </c>
      <c r="C38" s="421"/>
      <c r="D38" s="599" t="s">
        <v>8974</v>
      </c>
      <c r="E38" s="609"/>
      <c r="F38" s="423" t="s">
        <v>6262</v>
      </c>
      <c r="G38" s="614">
        <v>934</v>
      </c>
      <c r="H38" s="460">
        <f>VLOOKUP($D38,HeatExch_from_BP!$P:$AE,4,0)/5</f>
        <v>934</v>
      </c>
      <c r="I38" s="614">
        <v>0.8</v>
      </c>
      <c r="J38" s="460">
        <f>VLOOKUP($D38,HeatExch_from_BP!$P:$AE,15,0)</f>
        <v>0.8</v>
      </c>
      <c r="K38" s="614">
        <v>8.3000000000000007</v>
      </c>
      <c r="L38" s="610">
        <f>VLOOKUP($D38,HeatExch_from_BP!$P:$AE,14,0)</f>
        <v>8.3000000000000007</v>
      </c>
      <c r="M38" s="614">
        <v>800</v>
      </c>
      <c r="N38" s="426"/>
      <c r="O38" s="614">
        <v>1020</v>
      </c>
      <c r="P38" s="460"/>
      <c r="Q38" s="614">
        <v>96.266666666666694</v>
      </c>
      <c r="R38" s="460">
        <f>VLOOKUP($D38,HeatExch_from_BP!$P:$AE,6,0)/3600</f>
        <v>96.266666666666666</v>
      </c>
      <c r="S38" s="614">
        <v>96.266666666666694</v>
      </c>
      <c r="T38" s="460">
        <f>VLOOKUP($D38,HeatExch_from_BP!$P:$AE,5,0)/3600</f>
        <v>96.266666666666666</v>
      </c>
      <c r="U38" s="614">
        <v>40732.812613301001</v>
      </c>
      <c r="V38" s="13"/>
      <c r="W38" s="614">
        <v>31215.448748332001</v>
      </c>
      <c r="X38" s="460"/>
      <c r="Y38" s="614">
        <v>-13871791.8340392</v>
      </c>
      <c r="Z38" s="460"/>
      <c r="AA38" s="614">
        <v>555.81293741476304</v>
      </c>
      <c r="AB38" s="460"/>
      <c r="AC38" s="614">
        <v>531.85403690937596</v>
      </c>
      <c r="AD38" s="460"/>
      <c r="AE38" s="614">
        <v>501.89734736928102</v>
      </c>
      <c r="AF38" s="460"/>
      <c r="AG38" s="614">
        <v>529.58609622346705</v>
      </c>
      <c r="AH38" s="460"/>
    </row>
    <row r="39" spans="1:34">
      <c r="A39" s="201" t="str">
        <f>VLOOKUP($D39,HeatExch_from_BP!$P:$AE,3,0)</f>
        <v>EZ2151A-E-Win.pdf, 2/33</v>
      </c>
      <c r="B39" s="782" t="s">
        <v>4585</v>
      </c>
      <c r="C39" s="418"/>
      <c r="D39" s="599" t="s">
        <v>8976</v>
      </c>
      <c r="E39" s="609"/>
      <c r="F39" s="423" t="s">
        <v>6259</v>
      </c>
      <c r="G39" s="614">
        <v>934</v>
      </c>
      <c r="H39" s="420">
        <f>VLOOKUP($D39,HeatExch_from_BP!$P:$AE,4,0)/5</f>
        <v>934</v>
      </c>
      <c r="I39" s="614">
        <v>0.8</v>
      </c>
      <c r="J39" s="426">
        <f>VLOOKUP($D39,HeatExch_from_BP!$P:$AE,15,0)</f>
        <v>0.8</v>
      </c>
      <c r="K39" s="614">
        <v>8.3000000000000007</v>
      </c>
      <c r="L39" s="610">
        <f>VLOOKUP($D39,HeatExch_from_BP!$P:$AE,14,0)</f>
        <v>8.3000000000000007</v>
      </c>
      <c r="M39" s="614">
        <v>800</v>
      </c>
      <c r="N39" s="420"/>
      <c r="O39" s="614">
        <v>1020</v>
      </c>
      <c r="P39" s="460"/>
      <c r="Q39" s="614">
        <v>96.266666666666694</v>
      </c>
      <c r="R39" s="426">
        <f>VLOOKUP($D39,HeatExch_from_BP!$P:$AE,6,0)/3600</f>
        <v>96.266666666666666</v>
      </c>
      <c r="S39" s="614">
        <v>96.266666666666694</v>
      </c>
      <c r="T39" s="460">
        <f>VLOOKUP($D39,HeatExch_from_BP!$P:$AE,5,0)/3600</f>
        <v>96.266666666666666</v>
      </c>
      <c r="U39" s="614">
        <v>43322.942590744198</v>
      </c>
      <c r="V39" s="13"/>
      <c r="W39" s="614">
        <v>34883.9961672793</v>
      </c>
      <c r="X39" s="460"/>
      <c r="Y39" s="614">
        <v>-13395763.830623601</v>
      </c>
      <c r="Z39" s="460"/>
      <c r="AA39" s="614">
        <v>588.29778879269895</v>
      </c>
      <c r="AB39" s="460"/>
      <c r="AC39" s="614">
        <v>555.816330053363</v>
      </c>
      <c r="AD39" s="460"/>
      <c r="AE39" s="614">
        <v>529.58270869926002</v>
      </c>
      <c r="AF39" s="460"/>
      <c r="AG39" s="614">
        <v>553.465927696363</v>
      </c>
      <c r="AH39" s="460"/>
    </row>
    <row r="40" spans="1:34">
      <c r="A40" s="201" t="str">
        <f>VLOOKUP($D40,HeatExch_from_BP!$P:$AE,3,0)</f>
        <v>EZ2153A-B.pdf</v>
      </c>
      <c r="B40" s="782" t="s">
        <v>4912</v>
      </c>
      <c r="C40" s="421"/>
      <c r="D40" s="599" t="s">
        <v>8977</v>
      </c>
      <c r="E40" s="419"/>
      <c r="F40" s="714" t="s">
        <v>8978</v>
      </c>
      <c r="G40" s="715">
        <v>125</v>
      </c>
      <c r="H40" s="788"/>
      <c r="I40" s="614">
        <v>0.8</v>
      </c>
      <c r="J40" s="788"/>
      <c r="K40" s="614">
        <v>8.3000000000000007</v>
      </c>
      <c r="L40" s="795"/>
      <c r="M40" s="614">
        <v>450</v>
      </c>
      <c r="N40" s="420"/>
      <c r="O40" s="614">
        <v>1300</v>
      </c>
      <c r="P40" s="460"/>
      <c r="Q40" s="614">
        <v>27.7777777777778</v>
      </c>
      <c r="R40" s="788"/>
      <c r="S40" s="614">
        <v>96.266666666666694</v>
      </c>
      <c r="T40" s="788"/>
      <c r="U40" s="614">
        <v>322.882568339584</v>
      </c>
      <c r="V40" s="13"/>
      <c r="W40" s="614">
        <v>119124.181980885</v>
      </c>
      <c r="X40" s="460"/>
      <c r="Y40" s="614">
        <v>-229114.578781016</v>
      </c>
      <c r="Z40" s="460"/>
      <c r="AA40" s="614">
        <v>336.447580128494</v>
      </c>
      <c r="AB40" s="460"/>
      <c r="AC40" s="614">
        <v>302.90563096211201</v>
      </c>
      <c r="AD40" s="460"/>
      <c r="AE40" s="614">
        <v>293.15066746436003</v>
      </c>
      <c r="AF40" s="460"/>
      <c r="AG40" s="614">
        <v>293.66094319046999</v>
      </c>
      <c r="AH40" s="460"/>
    </row>
    <row r="41" spans="1:34">
      <c r="A41" s="201" t="str">
        <f>VLOOKUP($D41,HeatExch_from_BP!$P:$AE,3,0)</f>
        <v>EZ2201A-Win.pdf, 2/5</v>
      </c>
      <c r="B41" s="782" t="s">
        <v>5395</v>
      </c>
      <c r="C41" s="421"/>
      <c r="D41" s="422" t="s">
        <v>6267</v>
      </c>
      <c r="E41" s="419"/>
      <c r="F41" s="465" t="s">
        <v>8979</v>
      </c>
      <c r="G41" s="614">
        <v>177</v>
      </c>
      <c r="H41" s="420">
        <f>VLOOKUP($D41,HeatExch_from_BP!$P:$AE,4,0)</f>
        <v>177</v>
      </c>
      <c r="I41" s="614">
        <v>0.76200000000000001</v>
      </c>
      <c r="J41" s="460">
        <f>VLOOKUP($D41,HeatExch_from_BP!$P:$AE,15,0)</f>
        <v>0.76200000000000001</v>
      </c>
      <c r="K41" s="614">
        <v>6.0960000000000001</v>
      </c>
      <c r="L41" s="610">
        <f>VLOOKUP($D41,HeatExch_from_BP!$P:$AE,14,0)</f>
        <v>6.0960000000000001</v>
      </c>
      <c r="M41" s="614">
        <v>1000</v>
      </c>
      <c r="N41" s="420"/>
      <c r="O41" s="614">
        <v>1050</v>
      </c>
      <c r="P41" s="460"/>
      <c r="Q41" s="614">
        <v>29.975000000000001</v>
      </c>
      <c r="R41" s="426">
        <f>VLOOKUP($D41,HeatExch_from_BP!$P:$AE,6,0)/3600</f>
        <v>29.975000000000001</v>
      </c>
      <c r="S41" s="614">
        <v>93.815277777777794</v>
      </c>
      <c r="T41" s="460">
        <f>VLOOKUP($D41,HeatExch_from_BP!$P:$AE,5,0)/3600</f>
        <v>93.81527777777778</v>
      </c>
      <c r="U41" s="614">
        <v>14750.630099202001</v>
      </c>
      <c r="V41" s="13"/>
      <c r="W41" s="614">
        <v>7594.2871238170201</v>
      </c>
      <c r="X41" s="460"/>
      <c r="Y41" s="614">
        <v>-11313215.6067886</v>
      </c>
      <c r="Z41" s="460"/>
      <c r="AA41" s="614">
        <v>477.86866158012998</v>
      </c>
      <c r="AB41" s="460"/>
      <c r="AC41" s="614">
        <v>402.23004369749299</v>
      </c>
      <c r="AD41" s="460"/>
      <c r="AE41" s="614">
        <v>327.387504970115</v>
      </c>
      <c r="AF41" s="460"/>
      <c r="AG41" s="614">
        <v>370.56863082176301</v>
      </c>
      <c r="AH41" s="460"/>
    </row>
    <row r="42" spans="1:34">
      <c r="A42" s="201" t="str">
        <f>VLOOKUP($D42,HeatExch_from_BP!$P:$AE,3,0)</f>
        <v>EZ2202A-D-Win.pdf, 2/10</v>
      </c>
      <c r="B42" s="782" t="s">
        <v>5395</v>
      </c>
      <c r="C42" s="421"/>
      <c r="D42" s="422" t="s">
        <v>6268</v>
      </c>
      <c r="E42" s="419"/>
      <c r="F42" s="423" t="s">
        <v>6269</v>
      </c>
      <c r="G42" s="424">
        <v>1500</v>
      </c>
      <c r="H42" s="420">
        <f>VLOOKUP($D42,HeatExch_from_BP!$P:$AE,4,0)/2</f>
        <v>1500</v>
      </c>
      <c r="I42" s="424">
        <v>0.8</v>
      </c>
      <c r="J42" s="460">
        <f>VLOOKUP($D42,HeatExch_from_BP!$P:$AE,15,0)</f>
        <v>0</v>
      </c>
      <c r="K42" s="424">
        <v>0</v>
      </c>
      <c r="L42" s="610">
        <f>VLOOKUP($D42,HeatExch_from_BP!$P:$AE,14,0)</f>
        <v>0</v>
      </c>
      <c r="M42" s="424">
        <v>190</v>
      </c>
      <c r="N42" s="420"/>
      <c r="O42" s="424">
        <v>185</v>
      </c>
      <c r="P42" s="460"/>
      <c r="Q42" s="424">
        <v>86.952083333333306</v>
      </c>
      <c r="R42" s="426">
        <f>VLOOKUP($D42,HeatExch_from_BP!$P:$AE,6,0)/3600/2</f>
        <v>86.952083333333334</v>
      </c>
      <c r="S42" s="424">
        <v>46.213194444444397</v>
      </c>
      <c r="T42" s="460">
        <f>VLOOKUP($D42,HeatExch_from_BP!$P:$AE,5,0)/3600/2</f>
        <v>46.213194444444447</v>
      </c>
      <c r="U42" s="19">
        <v>448.27696298062801</v>
      </c>
      <c r="V42" s="13"/>
      <c r="W42" s="482">
        <v>3921.8426863810701</v>
      </c>
      <c r="X42" s="460"/>
      <c r="Y42" s="557">
        <v>-9510751.9246608708</v>
      </c>
      <c r="Z42" s="460"/>
      <c r="AA42" s="557">
        <v>537.03008047603498</v>
      </c>
      <c r="AB42" s="460"/>
      <c r="AC42" s="557">
        <v>447.39667815242098</v>
      </c>
      <c r="AD42" s="460"/>
      <c r="AE42" s="557">
        <v>370.567379288636</v>
      </c>
      <c r="AF42" s="460"/>
      <c r="AG42" s="557">
        <v>433.28563659649802</v>
      </c>
      <c r="AH42" s="460"/>
    </row>
    <row r="43" spans="1:34">
      <c r="A43" s="201" t="str">
        <f>VLOOKUP($D43,HeatExch_from_BP!$P:$AE,3,0)</f>
        <v>EZ2202A-D-Win.pdf, 2/10</v>
      </c>
      <c r="B43" s="782" t="s">
        <v>5395</v>
      </c>
      <c r="C43" s="421"/>
      <c r="D43" s="422" t="s">
        <v>6268</v>
      </c>
      <c r="E43" s="419"/>
      <c r="F43" s="423" t="s">
        <v>6270</v>
      </c>
      <c r="G43" s="424">
        <v>1500</v>
      </c>
      <c r="H43" s="460">
        <f>VLOOKUP($D43,HeatExch_from_BP!$P:$AE,4,0)/2</f>
        <v>1500</v>
      </c>
      <c r="I43" s="424">
        <v>0.8</v>
      </c>
      <c r="J43" s="460">
        <f>VLOOKUP($D43,HeatExch_from_BP!$P:$AE,15,0)</f>
        <v>0</v>
      </c>
      <c r="K43" s="424">
        <v>0</v>
      </c>
      <c r="L43" s="610">
        <f>VLOOKUP($D43,HeatExch_from_BP!$P:$AE,14,0)</f>
        <v>0</v>
      </c>
      <c r="M43" s="424">
        <v>190</v>
      </c>
      <c r="N43" s="420"/>
      <c r="O43" s="424">
        <v>185</v>
      </c>
      <c r="P43" s="460"/>
      <c r="Q43" s="424">
        <v>86.952083333333306</v>
      </c>
      <c r="R43" s="426">
        <f>VLOOKUP($D43,HeatExch_from_BP!$P:$AE,6,0)/3600/2</f>
        <v>86.952083333333334</v>
      </c>
      <c r="S43" s="424">
        <v>46.213194444444397</v>
      </c>
      <c r="T43" s="460">
        <f>VLOOKUP($D43,HeatExch_from_BP!$P:$AE,5,0)/3600/2</f>
        <v>46.213194444444447</v>
      </c>
      <c r="U43" s="19">
        <v>448.27696298062801</v>
      </c>
      <c r="V43" s="13"/>
      <c r="W43" s="482">
        <v>3922.4905581850298</v>
      </c>
      <c r="X43" s="460"/>
      <c r="Y43" s="557">
        <v>-9510941.7286746502</v>
      </c>
      <c r="Z43" s="460"/>
      <c r="AA43" s="557">
        <v>537.03008047603498</v>
      </c>
      <c r="AB43" s="460"/>
      <c r="AC43" s="557">
        <v>447.39720999609602</v>
      </c>
      <c r="AD43" s="460"/>
      <c r="AE43" s="557">
        <v>370.567379288636</v>
      </c>
      <c r="AF43" s="460"/>
      <c r="AG43" s="557">
        <v>433.28655352489</v>
      </c>
      <c r="AH43" s="460"/>
    </row>
    <row r="44" spans="1:34">
      <c r="A44" s="716" t="str">
        <f>VLOOKUP($D44,HeatExch_from_BP!$P:$AE,3,0)</f>
        <v>EZ2203A-Win.pdf, 2/7</v>
      </c>
      <c r="B44" s="785" t="s">
        <v>5394</v>
      </c>
      <c r="C44" s="717"/>
      <c r="D44" s="718" t="s">
        <v>633</v>
      </c>
      <c r="E44" s="719"/>
      <c r="F44" s="423" t="s">
        <v>6272</v>
      </c>
      <c r="G44" s="424">
        <v>335</v>
      </c>
      <c r="H44" s="420">
        <f>VLOOKUP($D44,HeatExch_from_BP!$P:$AE,4,0)/2</f>
        <v>335</v>
      </c>
      <c r="I44" s="424">
        <v>0.8</v>
      </c>
      <c r="J44" s="460">
        <f>VLOOKUP($D44,HeatExch_from_BP!$P:$AE,15,0)</f>
        <v>0</v>
      </c>
      <c r="K44" s="424">
        <v>0</v>
      </c>
      <c r="L44" s="610">
        <f>VLOOKUP($D44,HeatExch_from_BP!$P:$AE,14,0)</f>
        <v>0</v>
      </c>
      <c r="M44" s="424">
        <v>850</v>
      </c>
      <c r="N44" s="420"/>
      <c r="O44" s="424">
        <v>600</v>
      </c>
      <c r="P44" s="460"/>
      <c r="Q44" s="424">
        <v>69.661805555555603</v>
      </c>
      <c r="R44" s="426">
        <f>VLOOKUP($D44,HeatExch_from_BP!$P:$AE,6,0)/3600/2</f>
        <v>69.66180555555556</v>
      </c>
      <c r="S44" s="424">
        <v>63.731666666666698</v>
      </c>
      <c r="T44" s="460">
        <f>VLOOKUP($D44,HeatExch_from_BP!$P:$AE,5,0)/3600/2</f>
        <v>63.731666666666669</v>
      </c>
      <c r="U44" s="19">
        <v>1304.13442698214</v>
      </c>
      <c r="V44" s="13"/>
      <c r="W44" s="482">
        <v>15615.144157785</v>
      </c>
      <c r="X44" s="460"/>
      <c r="Y44" s="557">
        <v>-10066301.1737963</v>
      </c>
      <c r="Z44" s="460"/>
      <c r="AA44" s="557">
        <v>595.91755314934596</v>
      </c>
      <c r="AB44" s="460"/>
      <c r="AC44" s="557">
        <v>544.51719711794397</v>
      </c>
      <c r="AD44" s="460"/>
      <c r="AE44" s="557">
        <v>475.06808750363098</v>
      </c>
      <c r="AF44" s="460"/>
      <c r="AG44" s="557">
        <v>492.21154118139401</v>
      </c>
      <c r="AH44" s="460"/>
    </row>
    <row r="45" spans="1:34">
      <c r="A45" s="201" t="str">
        <f>VLOOKUP($D45,HeatExch_from_BP!$P:$AE,3,0)</f>
        <v>EZ2203A-Win.pdf, 2/7</v>
      </c>
      <c r="B45" s="782" t="s">
        <v>5394</v>
      </c>
      <c r="C45" s="421"/>
      <c r="D45" s="422" t="s">
        <v>633</v>
      </c>
      <c r="E45" s="419"/>
      <c r="F45" s="423" t="s">
        <v>6271</v>
      </c>
      <c r="G45" s="424">
        <v>335</v>
      </c>
      <c r="H45" s="420">
        <f>VLOOKUP($D45,HeatExch_from_BP!$P:$AE,4,0)/2</f>
        <v>335</v>
      </c>
      <c r="I45" s="424">
        <v>0.8</v>
      </c>
      <c r="J45" s="460">
        <f>VLOOKUP($D45,HeatExch_from_BP!$P:$AE,15,0)</f>
        <v>0</v>
      </c>
      <c r="K45" s="424">
        <v>0</v>
      </c>
      <c r="L45" s="610">
        <f>VLOOKUP($D45,HeatExch_from_BP!$P:$AE,14,0)</f>
        <v>0</v>
      </c>
      <c r="M45" s="424">
        <v>850</v>
      </c>
      <c r="N45" s="420"/>
      <c r="O45" s="424">
        <v>600</v>
      </c>
      <c r="P45" s="460"/>
      <c r="Q45" s="424">
        <v>69.661805555555603</v>
      </c>
      <c r="R45" s="426">
        <f>VLOOKUP($D45,HeatExch_from_BP!$P:$AE,6,0)/3600/2</f>
        <v>69.66180555555556</v>
      </c>
      <c r="S45" s="424">
        <v>63.731666666666698</v>
      </c>
      <c r="T45" s="460">
        <f>VLOOKUP($D45,HeatExch_from_BP!$P:$AE,5,0)/3600/2</f>
        <v>63.731666666666669</v>
      </c>
      <c r="U45" s="19">
        <v>1304.13442698075</v>
      </c>
      <c r="V45" s="13"/>
      <c r="W45" s="482">
        <v>15615.144157779199</v>
      </c>
      <c r="X45" s="460"/>
      <c r="Y45" s="557">
        <v>-10066301.1737966</v>
      </c>
      <c r="Z45" s="460"/>
      <c r="AA45" s="557">
        <v>595.91755314934596</v>
      </c>
      <c r="AB45" s="460"/>
      <c r="AC45" s="557">
        <v>544.51719711796602</v>
      </c>
      <c r="AD45" s="460"/>
      <c r="AE45" s="557">
        <v>475.06808750363098</v>
      </c>
      <c r="AF45" s="460"/>
      <c r="AG45" s="557">
        <v>492.21154118144898</v>
      </c>
      <c r="AH45" s="460"/>
    </row>
    <row r="46" spans="1:34">
      <c r="A46" s="201" t="str">
        <f>VLOOKUP($D46,HeatExch_from_BP!$P:$AE,3,0)</f>
        <v>EZ2205-Win, 2/6</v>
      </c>
      <c r="B46" s="781" t="s">
        <v>5988</v>
      </c>
      <c r="C46" s="489"/>
      <c r="D46" s="599" t="s">
        <v>8832</v>
      </c>
      <c r="E46" s="446"/>
      <c r="F46" s="465" t="s">
        <v>6254</v>
      </c>
      <c r="G46" s="19">
        <v>146</v>
      </c>
      <c r="H46" s="13">
        <f>VLOOKUP($F46,HeatExch_from_BP!$P:$AE,4,0)</f>
        <v>146</v>
      </c>
      <c r="I46" s="19">
        <v>0.5</v>
      </c>
      <c r="J46" s="460">
        <f>VLOOKUP($D46,HeatExch_from_BP!$P:$AE,15,0)</f>
        <v>0</v>
      </c>
      <c r="K46" s="19">
        <v>0</v>
      </c>
      <c r="L46" s="610">
        <f>VLOOKUP($D46,HeatExch_from_BP!$P:$AE,14,0)</f>
        <v>0</v>
      </c>
      <c r="M46" s="19">
        <v>1800</v>
      </c>
      <c r="N46" s="460"/>
      <c r="O46" s="19">
        <v>2900</v>
      </c>
      <c r="P46" s="460"/>
      <c r="Q46" s="19">
        <v>159.09166666666701</v>
      </c>
      <c r="R46" s="13">
        <f>VLOOKUP($F46,HeatExch_from_BP!$P:$AE,6,0)/3600</f>
        <v>159.09166666666667</v>
      </c>
      <c r="S46" s="19">
        <v>45.8963888888889</v>
      </c>
      <c r="T46" s="460">
        <f>VLOOKUP($F46,HeatExch_from_BP!$P:$AE,5,0)/3600</f>
        <v>45.896388888888886</v>
      </c>
      <c r="U46" s="19">
        <v>31534.748279092801</v>
      </c>
      <c r="V46" s="13"/>
      <c r="W46" s="482">
        <v>12779.009035893399</v>
      </c>
      <c r="X46" s="460"/>
      <c r="Y46" s="557">
        <v>-5955855.8412202299</v>
      </c>
      <c r="Z46" s="460"/>
      <c r="AA46" s="557">
        <v>505.12062473840803</v>
      </c>
      <c r="AB46" s="460"/>
      <c r="AC46" s="557">
        <v>463.19713209198898</v>
      </c>
      <c r="AD46" s="460"/>
      <c r="AE46" s="557">
        <v>416.12767748699201</v>
      </c>
      <c r="AF46" s="460"/>
      <c r="AG46" s="557">
        <v>416.92327334545803</v>
      </c>
      <c r="AH46" s="460"/>
    </row>
    <row r="47" spans="1:34">
      <c r="A47" s="611"/>
      <c r="B47" s="200"/>
      <c r="C47" s="16"/>
      <c r="D47" s="17"/>
      <c r="E47" s="12"/>
      <c r="F47" s="714"/>
      <c r="G47" s="715"/>
      <c r="H47" s="610"/>
      <c r="I47" s="19"/>
      <c r="J47" s="13"/>
      <c r="K47" s="19"/>
      <c r="L47" s="13"/>
      <c r="M47" s="19"/>
      <c r="N47" s="13"/>
      <c r="O47" s="19"/>
      <c r="P47" s="13"/>
      <c r="Q47" s="19"/>
      <c r="R47" s="13"/>
      <c r="S47" s="19"/>
      <c r="T47" s="13"/>
      <c r="U47" s="19"/>
      <c r="V47" s="13"/>
      <c r="W47" s="482"/>
      <c r="X47" s="460"/>
      <c r="Y47" s="557"/>
      <c r="Z47" s="460"/>
      <c r="AA47" s="557"/>
      <c r="AB47" s="460"/>
      <c r="AC47" s="557"/>
      <c r="AD47" s="460"/>
      <c r="AE47" s="557"/>
      <c r="AF47" s="460"/>
      <c r="AG47" s="557"/>
      <c r="AH47" s="460"/>
    </row>
    <row r="48" spans="1:34">
      <c r="A48" s="14"/>
      <c r="B48" s="15"/>
      <c r="C48" s="16"/>
      <c r="D48" s="17"/>
      <c r="E48" s="12"/>
      <c r="F48" s="18"/>
      <c r="G48" s="19"/>
      <c r="H48" s="13"/>
      <c r="I48" s="19"/>
      <c r="J48" s="13"/>
      <c r="K48" s="19"/>
      <c r="L48" s="13"/>
      <c r="M48" s="19"/>
      <c r="N48" s="13"/>
      <c r="O48" s="19"/>
      <c r="P48" s="13"/>
      <c r="Q48" s="19"/>
      <c r="R48" s="13"/>
      <c r="S48" s="19"/>
      <c r="T48" s="13"/>
      <c r="U48" s="19"/>
      <c r="V48" s="13"/>
      <c r="W48" s="482"/>
      <c r="X48" s="460"/>
      <c r="Y48" s="557"/>
      <c r="Z48" s="460"/>
      <c r="AA48" s="557"/>
      <c r="AB48" s="460"/>
      <c r="AC48" s="557"/>
      <c r="AD48" s="460"/>
      <c r="AE48" s="557"/>
      <c r="AF48" s="460"/>
      <c r="AG48" s="557"/>
      <c r="AH48" s="460"/>
    </row>
    <row r="49" spans="1:34">
      <c r="A49" s="14"/>
      <c r="B49" s="15"/>
      <c r="C49" s="16"/>
      <c r="D49" s="17"/>
      <c r="E49" s="12"/>
      <c r="F49" s="18"/>
      <c r="G49" s="19"/>
      <c r="H49" s="13"/>
      <c r="I49" s="19"/>
      <c r="J49" s="13"/>
      <c r="K49" s="19"/>
      <c r="L49" s="13"/>
      <c r="M49" s="19"/>
      <c r="N49" s="13"/>
      <c r="O49" s="19"/>
      <c r="P49" s="13"/>
      <c r="Q49" s="19"/>
      <c r="R49" s="13"/>
      <c r="S49" s="19"/>
      <c r="T49" s="13"/>
      <c r="U49" s="19"/>
      <c r="V49" s="13"/>
      <c r="W49" s="482"/>
      <c r="X49" s="460"/>
      <c r="Y49" s="557"/>
      <c r="Z49" s="460"/>
      <c r="AA49" s="557"/>
      <c r="AB49" s="460"/>
      <c r="AC49" s="557"/>
      <c r="AD49" s="460"/>
      <c r="AE49" s="557"/>
      <c r="AF49" s="460"/>
      <c r="AG49" s="557"/>
      <c r="AH49" s="460"/>
    </row>
    <row r="50" spans="1:34">
      <c r="A50" s="14"/>
      <c r="B50" s="15"/>
      <c r="C50" s="16"/>
      <c r="D50" s="17"/>
      <c r="E50" s="12"/>
      <c r="F50" s="18"/>
      <c r="G50" s="19"/>
      <c r="H50" s="13"/>
      <c r="I50" s="19"/>
      <c r="J50" s="13"/>
      <c r="K50" s="19"/>
      <c r="L50" s="13"/>
      <c r="M50" s="19"/>
      <c r="N50" s="13"/>
      <c r="O50" s="19"/>
      <c r="P50" s="13"/>
      <c r="Q50" s="19"/>
      <c r="R50" s="13"/>
      <c r="S50" s="19"/>
      <c r="T50" s="13"/>
      <c r="U50" s="19"/>
      <c r="V50" s="13"/>
      <c r="W50" s="482"/>
      <c r="X50" s="460"/>
      <c r="Y50" s="557"/>
      <c r="Z50" s="460"/>
      <c r="AA50" s="557"/>
      <c r="AB50" s="460"/>
      <c r="AC50" s="557"/>
      <c r="AD50" s="460"/>
      <c r="AE50" s="557"/>
      <c r="AF50" s="460"/>
      <c r="AG50" s="557"/>
      <c r="AH50" s="460"/>
    </row>
    <row r="51" spans="1:34">
      <c r="A51" s="14"/>
      <c r="B51" s="15"/>
      <c r="C51" s="16"/>
      <c r="D51" s="17"/>
      <c r="E51" s="12"/>
      <c r="F51" s="18"/>
      <c r="G51" s="19"/>
      <c r="H51" s="13"/>
      <c r="I51" s="19"/>
      <c r="J51" s="13"/>
      <c r="K51" s="19"/>
      <c r="L51" s="13"/>
      <c r="M51" s="19"/>
      <c r="N51" s="13"/>
      <c r="O51" s="19"/>
      <c r="P51" s="13"/>
      <c r="Q51" s="19"/>
      <c r="R51" s="13"/>
      <c r="S51" s="19"/>
      <c r="T51" s="13"/>
      <c r="U51" s="19"/>
      <c r="V51" s="13"/>
      <c r="W51" s="482"/>
      <c r="X51" s="460"/>
      <c r="Y51" s="557"/>
      <c r="Z51" s="460"/>
      <c r="AA51" s="557"/>
      <c r="AB51" s="460"/>
      <c r="AC51" s="557"/>
      <c r="AD51" s="460"/>
      <c r="AE51" s="557"/>
      <c r="AF51" s="460"/>
      <c r="AG51" s="557"/>
      <c r="AH51" s="460"/>
    </row>
    <row r="52" spans="1:34">
      <c r="A52" s="14"/>
      <c r="B52" s="15"/>
      <c r="C52" s="16"/>
      <c r="D52" s="17"/>
      <c r="E52" s="12"/>
      <c r="F52" s="18"/>
      <c r="G52" s="19"/>
      <c r="H52" s="13"/>
      <c r="I52" s="19"/>
      <c r="J52" s="13"/>
      <c r="K52" s="19"/>
      <c r="L52" s="13"/>
      <c r="M52" s="19"/>
      <c r="N52" s="13"/>
      <c r="O52" s="19"/>
      <c r="P52" s="13"/>
      <c r="Q52" s="19"/>
      <c r="R52" s="13"/>
      <c r="S52" s="19"/>
      <c r="T52" s="13"/>
      <c r="U52" s="19"/>
      <c r="V52" s="13"/>
      <c r="W52" s="482"/>
      <c r="X52" s="460"/>
      <c r="Y52" s="557"/>
      <c r="Z52" s="460"/>
      <c r="AA52" s="557"/>
      <c r="AB52" s="460"/>
      <c r="AC52" s="557"/>
      <c r="AD52" s="460"/>
      <c r="AE52" s="557"/>
      <c r="AF52" s="460"/>
      <c r="AG52" s="557"/>
      <c r="AH52" s="460"/>
    </row>
    <row r="53" spans="1:34">
      <c r="A53" s="14"/>
      <c r="B53" s="15"/>
      <c r="C53" s="16"/>
      <c r="D53" s="17"/>
      <c r="E53" s="12"/>
      <c r="F53" s="18"/>
      <c r="G53" s="19"/>
      <c r="H53" s="13"/>
      <c r="I53" s="19"/>
      <c r="J53" s="13"/>
      <c r="K53" s="19"/>
      <c r="L53" s="13"/>
      <c r="M53" s="19"/>
      <c r="N53" s="13"/>
      <c r="O53" s="19"/>
      <c r="P53" s="13"/>
      <c r="Q53" s="19"/>
      <c r="R53" s="13"/>
      <c r="S53" s="19"/>
      <c r="T53" s="13"/>
      <c r="U53" s="19"/>
      <c r="V53" s="13"/>
      <c r="W53" s="482"/>
      <c r="X53" s="460"/>
      <c r="Y53" s="557"/>
      <c r="Z53" s="460"/>
      <c r="AA53" s="557"/>
      <c r="AB53" s="460"/>
      <c r="AC53" s="557"/>
      <c r="AD53" s="460"/>
      <c r="AE53" s="557"/>
      <c r="AF53" s="460"/>
      <c r="AG53" s="557"/>
      <c r="AH53" s="460"/>
    </row>
    <row r="54" spans="1:34">
      <c r="A54" s="14"/>
      <c r="B54" s="15"/>
      <c r="C54" s="16"/>
      <c r="D54" s="17"/>
      <c r="E54" s="12"/>
      <c r="F54" s="18"/>
      <c r="G54" s="19"/>
      <c r="H54" s="13"/>
      <c r="I54" s="19"/>
      <c r="J54" s="13"/>
      <c r="K54" s="19"/>
      <c r="L54" s="13"/>
      <c r="M54" s="19"/>
      <c r="N54" s="13"/>
      <c r="O54" s="19"/>
      <c r="P54" s="13"/>
      <c r="Q54" s="19"/>
      <c r="R54" s="13"/>
      <c r="S54" s="19"/>
      <c r="T54" s="13"/>
      <c r="U54" s="19"/>
      <c r="V54" s="13"/>
      <c r="W54" s="482"/>
      <c r="X54" s="460"/>
      <c r="Y54" s="557"/>
      <c r="Z54" s="460"/>
      <c r="AA54" s="557"/>
      <c r="AB54" s="460"/>
      <c r="AC54" s="557"/>
      <c r="AD54" s="460"/>
      <c r="AE54" s="557"/>
      <c r="AF54" s="460"/>
      <c r="AG54" s="557"/>
      <c r="AH54" s="460"/>
    </row>
    <row r="55" spans="1:34">
      <c r="A55" s="14"/>
      <c r="B55" s="15"/>
      <c r="C55" s="16"/>
      <c r="D55" s="17"/>
      <c r="E55" s="12"/>
      <c r="F55" s="18"/>
      <c r="G55" s="19"/>
      <c r="H55" s="13"/>
      <c r="I55" s="19"/>
      <c r="J55" s="13"/>
      <c r="K55" s="19"/>
      <c r="L55" s="13"/>
      <c r="M55" s="19"/>
      <c r="N55" s="13"/>
      <c r="O55" s="19"/>
      <c r="P55" s="13"/>
      <c r="Q55" s="19"/>
      <c r="R55" s="13"/>
      <c r="S55" s="19"/>
      <c r="T55" s="13"/>
      <c r="U55" s="19"/>
      <c r="V55" s="13"/>
      <c r="W55" s="482"/>
      <c r="X55" s="460"/>
      <c r="Y55" s="557"/>
      <c r="Z55" s="460"/>
      <c r="AA55" s="557"/>
      <c r="AB55" s="460"/>
      <c r="AC55" s="557"/>
      <c r="AD55" s="460"/>
      <c r="AE55" s="557"/>
      <c r="AF55" s="460"/>
      <c r="AG55" s="557"/>
      <c r="AH55" s="460"/>
    </row>
    <row r="56" spans="1:34">
      <c r="A56" s="14"/>
      <c r="B56" s="15"/>
      <c r="C56" s="16"/>
      <c r="D56" s="17"/>
      <c r="E56" s="12"/>
      <c r="F56" s="18"/>
      <c r="G56" s="19"/>
      <c r="H56" s="13"/>
      <c r="I56" s="19"/>
      <c r="J56" s="13"/>
      <c r="K56" s="19"/>
      <c r="L56" s="13"/>
      <c r="M56" s="19"/>
      <c r="N56" s="13"/>
      <c r="O56" s="19"/>
      <c r="P56" s="13"/>
      <c r="Q56" s="19"/>
      <c r="R56" s="13"/>
      <c r="S56" s="19"/>
      <c r="T56" s="13"/>
      <c r="U56" s="19"/>
      <c r="V56" s="13"/>
      <c r="W56" s="482"/>
      <c r="X56" s="460"/>
      <c r="Y56" s="557"/>
      <c r="Z56" s="460"/>
      <c r="AA56" s="557"/>
      <c r="AB56" s="460"/>
      <c r="AC56" s="557"/>
      <c r="AD56" s="460"/>
      <c r="AE56" s="557"/>
      <c r="AF56" s="460"/>
      <c r="AG56" s="557"/>
      <c r="AH56" s="460"/>
    </row>
    <row r="57" spans="1:34">
      <c r="A57" s="14"/>
      <c r="B57" s="15"/>
      <c r="C57" s="16"/>
      <c r="D57" s="17"/>
      <c r="E57" s="12"/>
      <c r="F57" s="18"/>
      <c r="G57" s="19"/>
      <c r="H57" s="13"/>
      <c r="I57" s="19"/>
      <c r="J57" s="13"/>
      <c r="K57" s="19"/>
      <c r="L57" s="13"/>
      <c r="M57" s="19"/>
      <c r="N57" s="13"/>
      <c r="O57" s="19"/>
      <c r="P57" s="13"/>
      <c r="Q57" s="19"/>
      <c r="R57" s="13"/>
      <c r="S57" s="19"/>
      <c r="T57" s="13"/>
      <c r="U57" s="19"/>
      <c r="V57" s="13"/>
      <c r="W57" s="482"/>
      <c r="X57" s="460"/>
      <c r="Y57" s="557"/>
      <c r="Z57" s="460"/>
      <c r="AA57" s="557"/>
      <c r="AB57" s="460"/>
      <c r="AC57" s="557"/>
      <c r="AD57" s="460"/>
      <c r="AE57" s="557"/>
      <c r="AF57" s="460"/>
      <c r="AG57" s="557"/>
      <c r="AH57" s="460"/>
    </row>
    <row r="58" spans="1:34">
      <c r="A58" s="14"/>
      <c r="B58" s="15"/>
      <c r="C58" s="16"/>
      <c r="D58" s="17"/>
      <c r="E58" s="12"/>
      <c r="F58" s="18"/>
      <c r="G58" s="19"/>
      <c r="H58" s="13"/>
      <c r="I58" s="19"/>
      <c r="J58" s="13"/>
      <c r="K58" s="19"/>
      <c r="L58" s="13"/>
      <c r="M58" s="19"/>
      <c r="N58" s="13"/>
      <c r="O58" s="19"/>
      <c r="P58" s="13"/>
      <c r="Q58" s="19"/>
      <c r="R58" s="13"/>
      <c r="S58" s="19"/>
      <c r="T58" s="13"/>
      <c r="U58" s="19"/>
      <c r="V58" s="13"/>
      <c r="W58" s="482"/>
      <c r="X58" s="460"/>
      <c r="Y58" s="557"/>
      <c r="Z58" s="460"/>
      <c r="AA58" s="557"/>
      <c r="AB58" s="460"/>
      <c r="AC58" s="557"/>
      <c r="AD58" s="460"/>
      <c r="AE58" s="557"/>
      <c r="AF58" s="460"/>
      <c r="AG58" s="557"/>
      <c r="AH58" s="460"/>
    </row>
    <row r="59" spans="1:34">
      <c r="A59" s="14"/>
      <c r="B59" s="15"/>
      <c r="C59" s="16"/>
      <c r="D59" s="17"/>
      <c r="E59" s="12"/>
      <c r="F59" s="18"/>
      <c r="G59" s="19"/>
      <c r="H59" s="13"/>
      <c r="I59" s="19"/>
      <c r="J59" s="13"/>
      <c r="K59" s="19"/>
      <c r="L59" s="13"/>
      <c r="M59" s="19"/>
      <c r="N59" s="13"/>
      <c r="O59" s="19"/>
      <c r="P59" s="13"/>
      <c r="Q59" s="19"/>
      <c r="R59" s="13"/>
      <c r="S59" s="19"/>
      <c r="T59" s="13"/>
      <c r="U59" s="19"/>
      <c r="V59" s="13"/>
      <c r="W59" s="482"/>
      <c r="X59" s="460"/>
      <c r="Y59" s="557"/>
      <c r="Z59" s="460"/>
      <c r="AA59" s="557"/>
      <c r="AB59" s="460"/>
      <c r="AC59" s="557"/>
      <c r="AD59" s="460"/>
      <c r="AE59" s="557"/>
      <c r="AF59" s="460"/>
      <c r="AG59" s="557"/>
      <c r="AH59" s="460"/>
    </row>
    <row r="60" spans="1:34">
      <c r="A60" s="14"/>
      <c r="B60" s="15"/>
      <c r="C60" s="16"/>
      <c r="D60" s="17"/>
      <c r="E60" s="12"/>
      <c r="F60" s="18"/>
      <c r="G60" s="19"/>
      <c r="H60" s="13"/>
      <c r="I60" s="19"/>
      <c r="J60" s="13"/>
      <c r="K60" s="19"/>
      <c r="L60" s="13"/>
      <c r="M60" s="19"/>
      <c r="N60" s="13"/>
      <c r="O60" s="19"/>
      <c r="P60" s="13"/>
      <c r="Q60" s="19"/>
      <c r="R60" s="13"/>
      <c r="S60" s="19"/>
      <c r="T60" s="13"/>
      <c r="U60" s="19"/>
      <c r="V60" s="13"/>
      <c r="W60" s="482"/>
      <c r="X60" s="460"/>
      <c r="Y60" s="557"/>
      <c r="Z60" s="460"/>
      <c r="AA60" s="557"/>
      <c r="AB60" s="460"/>
      <c r="AC60" s="557"/>
      <c r="AD60" s="460"/>
      <c r="AE60" s="557"/>
      <c r="AF60" s="460"/>
      <c r="AG60" s="557"/>
      <c r="AH60" s="460"/>
    </row>
    <row r="61" spans="1:34">
      <c r="A61" s="14"/>
      <c r="B61" s="15"/>
      <c r="C61" s="16"/>
      <c r="D61" s="17"/>
      <c r="E61" s="12"/>
      <c r="F61" s="18"/>
      <c r="G61" s="19"/>
      <c r="H61" s="13"/>
      <c r="I61" s="19"/>
      <c r="J61" s="13"/>
      <c r="K61" s="19"/>
      <c r="L61" s="13"/>
      <c r="M61" s="19"/>
      <c r="N61" s="13"/>
      <c r="O61" s="19"/>
      <c r="P61" s="13"/>
      <c r="Q61" s="19"/>
      <c r="R61" s="13"/>
      <c r="S61" s="19"/>
      <c r="T61" s="13"/>
      <c r="U61" s="19"/>
      <c r="V61" s="13"/>
      <c r="W61" s="482"/>
      <c r="X61" s="460"/>
      <c r="Y61" s="557"/>
      <c r="Z61" s="460"/>
      <c r="AA61" s="557"/>
      <c r="AB61" s="460"/>
      <c r="AC61" s="557"/>
      <c r="AD61" s="460"/>
      <c r="AE61" s="557"/>
      <c r="AF61" s="460"/>
      <c r="AG61" s="557"/>
      <c r="AH61" s="460"/>
    </row>
    <row r="62" spans="1:34">
      <c r="A62" s="14"/>
      <c r="B62" s="15"/>
      <c r="C62" s="16"/>
      <c r="D62" s="17"/>
      <c r="E62" s="12"/>
      <c r="F62" s="18"/>
      <c r="G62" s="19"/>
      <c r="H62" s="13"/>
      <c r="I62" s="19"/>
      <c r="J62" s="13"/>
      <c r="K62" s="19"/>
      <c r="L62" s="13"/>
      <c r="M62" s="19"/>
      <c r="N62" s="13"/>
      <c r="O62" s="19"/>
      <c r="P62" s="13"/>
      <c r="Q62" s="19"/>
      <c r="R62" s="13"/>
      <c r="S62" s="19"/>
      <c r="T62" s="13"/>
      <c r="U62" s="19"/>
      <c r="V62" s="13"/>
      <c r="W62" s="482"/>
      <c r="X62" s="460"/>
      <c r="Y62" s="557"/>
      <c r="Z62" s="460"/>
      <c r="AA62" s="557"/>
      <c r="AB62" s="460"/>
      <c r="AC62" s="557"/>
      <c r="AD62" s="460"/>
      <c r="AE62" s="557"/>
      <c r="AF62" s="460"/>
      <c r="AG62" s="557"/>
      <c r="AH62" s="460"/>
    </row>
    <row r="63" spans="1:34">
      <c r="A63" s="14"/>
      <c r="B63" s="15"/>
      <c r="C63" s="16"/>
      <c r="D63" s="17"/>
      <c r="E63" s="12"/>
      <c r="F63" s="18"/>
      <c r="G63" s="19"/>
      <c r="H63" s="13"/>
      <c r="I63" s="19"/>
      <c r="J63" s="13"/>
      <c r="K63" s="19"/>
      <c r="L63" s="13"/>
      <c r="M63" s="19"/>
      <c r="N63" s="13"/>
      <c r="O63" s="19"/>
      <c r="P63" s="13"/>
      <c r="Q63" s="19"/>
      <c r="R63" s="13"/>
      <c r="S63" s="19"/>
      <c r="T63" s="13"/>
      <c r="U63" s="19"/>
      <c r="V63" s="13"/>
      <c r="W63" s="482"/>
      <c r="X63" s="460"/>
      <c r="Y63" s="557"/>
      <c r="Z63" s="460"/>
      <c r="AA63" s="557"/>
      <c r="AB63" s="460"/>
      <c r="AC63" s="557"/>
      <c r="AD63" s="460"/>
      <c r="AE63" s="557"/>
      <c r="AF63" s="460"/>
      <c r="AG63" s="557"/>
      <c r="AH63" s="460"/>
    </row>
    <row r="64" spans="1:34">
      <c r="A64" s="14"/>
      <c r="B64" s="15"/>
      <c r="C64" s="16"/>
      <c r="D64" s="17"/>
      <c r="E64" s="12"/>
      <c r="F64" s="18"/>
      <c r="G64" s="19"/>
      <c r="H64" s="13"/>
      <c r="I64" s="19"/>
      <c r="J64" s="13"/>
      <c r="K64" s="19"/>
      <c r="L64" s="13"/>
      <c r="M64" s="19"/>
      <c r="N64" s="13"/>
      <c r="O64" s="19"/>
      <c r="P64" s="13"/>
      <c r="Q64" s="19"/>
      <c r="R64" s="13"/>
      <c r="S64" s="19"/>
      <c r="T64" s="13"/>
      <c r="U64" s="19"/>
      <c r="V64" s="13"/>
      <c r="W64" s="482"/>
      <c r="X64" s="460"/>
      <c r="Y64" s="557"/>
      <c r="Z64" s="460"/>
      <c r="AA64" s="557"/>
      <c r="AB64" s="460"/>
      <c r="AC64" s="557"/>
      <c r="AD64" s="460"/>
      <c r="AE64" s="557"/>
      <c r="AF64" s="460"/>
      <c r="AG64" s="557"/>
      <c r="AH64" s="460"/>
    </row>
    <row r="65" spans="1:34">
      <c r="A65" s="14"/>
      <c r="B65" s="15"/>
      <c r="C65" s="16"/>
      <c r="D65" s="17"/>
      <c r="E65" s="12"/>
      <c r="F65" s="18"/>
      <c r="G65" s="19"/>
      <c r="H65" s="13"/>
      <c r="I65" s="19"/>
      <c r="J65" s="13"/>
      <c r="K65" s="19"/>
      <c r="L65" s="13"/>
      <c r="M65" s="19"/>
      <c r="N65" s="13"/>
      <c r="O65" s="19"/>
      <c r="P65" s="13"/>
      <c r="Q65" s="19"/>
      <c r="R65" s="13"/>
      <c r="S65" s="19"/>
      <c r="T65" s="13"/>
      <c r="U65" s="19"/>
      <c r="V65" s="13"/>
      <c r="W65" s="482"/>
      <c r="X65" s="460"/>
      <c r="Y65" s="557"/>
      <c r="Z65" s="460"/>
      <c r="AA65" s="557"/>
      <c r="AB65" s="460"/>
      <c r="AC65" s="557"/>
      <c r="AD65" s="460"/>
      <c r="AE65" s="557"/>
      <c r="AF65" s="460"/>
      <c r="AG65" s="557"/>
      <c r="AH65" s="460"/>
    </row>
    <row r="66" spans="1:34">
      <c r="A66" s="14"/>
      <c r="B66" s="15"/>
      <c r="C66" s="16"/>
      <c r="D66" s="17"/>
      <c r="E66" s="12"/>
      <c r="F66" s="18"/>
      <c r="G66" s="19"/>
      <c r="H66" s="13"/>
      <c r="I66" s="19"/>
      <c r="J66" s="13"/>
      <c r="K66" s="19"/>
      <c r="L66" s="13"/>
      <c r="M66" s="19"/>
      <c r="N66" s="13"/>
      <c r="O66" s="19"/>
      <c r="P66" s="13"/>
      <c r="Q66" s="19"/>
      <c r="R66" s="13"/>
      <c r="S66" s="19"/>
      <c r="T66" s="13"/>
      <c r="U66" s="19"/>
      <c r="V66" s="13"/>
      <c r="W66" s="482"/>
      <c r="X66" s="460"/>
      <c r="Y66" s="557"/>
      <c r="Z66" s="460"/>
      <c r="AA66" s="557"/>
      <c r="AB66" s="460"/>
      <c r="AC66" s="557"/>
      <c r="AD66" s="460"/>
      <c r="AE66" s="557"/>
      <c r="AF66" s="460"/>
      <c r="AG66" s="557"/>
      <c r="AH66" s="460"/>
    </row>
    <row r="67" spans="1:34">
      <c r="A67" s="14"/>
      <c r="B67" s="15"/>
      <c r="C67" s="16"/>
      <c r="D67" s="17"/>
      <c r="E67" s="12"/>
      <c r="F67" s="18"/>
      <c r="G67" s="19"/>
      <c r="H67" s="13"/>
      <c r="I67" s="19"/>
      <c r="J67" s="13"/>
      <c r="K67" s="19"/>
      <c r="L67" s="13"/>
      <c r="M67" s="19"/>
      <c r="N67" s="13"/>
      <c r="O67" s="19"/>
      <c r="P67" s="13"/>
      <c r="Q67" s="19"/>
      <c r="R67" s="13"/>
      <c r="S67" s="19"/>
      <c r="T67" s="13"/>
      <c r="U67" s="19"/>
      <c r="V67" s="13"/>
      <c r="W67" s="482"/>
      <c r="X67" s="460"/>
      <c r="Y67" s="557"/>
      <c r="Z67" s="460"/>
      <c r="AA67" s="557"/>
      <c r="AB67" s="460"/>
      <c r="AC67" s="557"/>
      <c r="AD67" s="460"/>
      <c r="AE67" s="557"/>
      <c r="AF67" s="460"/>
      <c r="AG67" s="557"/>
      <c r="AH67" s="460"/>
    </row>
    <row r="68" spans="1:34">
      <c r="A68" s="14"/>
      <c r="B68" s="15"/>
      <c r="C68" s="16"/>
      <c r="D68" s="17"/>
      <c r="E68" s="12"/>
      <c r="F68" s="18"/>
      <c r="G68" s="19"/>
      <c r="H68" s="13"/>
      <c r="I68" s="19"/>
      <c r="J68" s="13"/>
      <c r="K68" s="19"/>
      <c r="L68" s="13"/>
      <c r="M68" s="19"/>
      <c r="N68" s="13"/>
      <c r="O68" s="19"/>
      <c r="P68" s="13"/>
      <c r="Q68" s="19"/>
      <c r="R68" s="13"/>
      <c r="S68" s="19"/>
      <c r="T68" s="13"/>
      <c r="U68" s="19"/>
      <c r="V68" s="13"/>
      <c r="W68" s="482"/>
      <c r="X68" s="460"/>
      <c r="Y68" s="557"/>
      <c r="Z68" s="460"/>
      <c r="AA68" s="557"/>
      <c r="AB68" s="460"/>
      <c r="AC68" s="557"/>
      <c r="AD68" s="460"/>
      <c r="AE68" s="557"/>
      <c r="AF68" s="460"/>
      <c r="AG68" s="557"/>
      <c r="AH68" s="460"/>
    </row>
    <row r="69" spans="1:34">
      <c r="A69" s="14"/>
      <c r="B69" s="15"/>
      <c r="C69" s="16"/>
      <c r="D69" s="17"/>
      <c r="E69" s="12"/>
      <c r="F69" s="18"/>
      <c r="G69" s="19"/>
      <c r="H69" s="13"/>
      <c r="I69" s="19"/>
      <c r="J69" s="13"/>
      <c r="K69" s="19"/>
      <c r="L69" s="13"/>
      <c r="M69" s="19"/>
      <c r="N69" s="13"/>
      <c r="O69" s="19"/>
      <c r="P69" s="13"/>
      <c r="Q69" s="19"/>
      <c r="R69" s="13"/>
      <c r="S69" s="19"/>
      <c r="T69" s="13"/>
      <c r="U69" s="19"/>
      <c r="V69" s="13"/>
      <c r="W69" s="482"/>
      <c r="X69" s="460"/>
      <c r="Y69" s="557"/>
      <c r="Z69" s="460"/>
      <c r="AA69" s="557"/>
      <c r="AB69" s="460"/>
      <c r="AC69" s="557"/>
      <c r="AD69" s="460"/>
      <c r="AE69" s="557"/>
      <c r="AF69" s="460"/>
      <c r="AG69" s="557"/>
      <c r="AH69" s="460"/>
    </row>
    <row r="70" spans="1:34">
      <c r="A70" s="14"/>
      <c r="B70" s="15"/>
      <c r="C70" s="16"/>
      <c r="D70" s="17"/>
      <c r="E70" s="12"/>
      <c r="F70" s="18"/>
      <c r="G70" s="19"/>
      <c r="H70" s="13"/>
      <c r="I70" s="19"/>
      <c r="J70" s="13"/>
      <c r="K70" s="19"/>
      <c r="L70" s="13"/>
      <c r="M70" s="19"/>
      <c r="N70" s="13"/>
      <c r="O70" s="19"/>
      <c r="P70" s="13"/>
      <c r="Q70" s="19"/>
      <c r="R70" s="13"/>
      <c r="S70" s="19"/>
      <c r="T70" s="13"/>
      <c r="U70" s="19"/>
      <c r="V70" s="13"/>
      <c r="W70" s="482"/>
      <c r="X70" s="460"/>
      <c r="Y70" s="557"/>
      <c r="Z70" s="460"/>
      <c r="AA70" s="557"/>
      <c r="AB70" s="460"/>
      <c r="AC70" s="557"/>
      <c r="AD70" s="460"/>
      <c r="AE70" s="557"/>
      <c r="AF70" s="460"/>
      <c r="AG70" s="557"/>
      <c r="AH70" s="460"/>
    </row>
    <row r="71" spans="1:34">
      <c r="A71" s="14"/>
      <c r="B71" s="15"/>
      <c r="C71" s="16"/>
      <c r="D71" s="17"/>
      <c r="E71" s="12"/>
      <c r="F71" s="18"/>
      <c r="G71" s="19"/>
      <c r="H71" s="13"/>
      <c r="I71" s="19"/>
      <c r="J71" s="13"/>
      <c r="K71" s="19"/>
      <c r="L71" s="13"/>
      <c r="M71" s="19"/>
      <c r="N71" s="13"/>
      <c r="O71" s="19"/>
      <c r="P71" s="13"/>
      <c r="Q71" s="19"/>
      <c r="R71" s="13"/>
      <c r="S71" s="19"/>
      <c r="T71" s="13"/>
      <c r="U71" s="19"/>
      <c r="V71" s="13"/>
      <c r="W71" s="482"/>
      <c r="X71" s="460"/>
      <c r="Y71" s="557"/>
      <c r="Z71" s="460"/>
      <c r="AA71" s="557"/>
      <c r="AB71" s="460"/>
      <c r="AC71" s="557"/>
      <c r="AD71" s="460"/>
      <c r="AE71" s="557"/>
      <c r="AF71" s="460"/>
      <c r="AG71" s="557"/>
      <c r="AH71" s="460"/>
    </row>
    <row r="72" spans="1:34">
      <c r="A72" s="14"/>
      <c r="B72" s="15"/>
      <c r="C72" s="16"/>
      <c r="D72" s="17"/>
      <c r="E72" s="12"/>
      <c r="F72" s="18"/>
      <c r="G72" s="19"/>
      <c r="H72" s="13"/>
      <c r="I72" s="19"/>
      <c r="J72" s="13"/>
      <c r="K72" s="19"/>
      <c r="L72" s="13"/>
      <c r="M72" s="19"/>
      <c r="N72" s="13"/>
      <c r="O72" s="19"/>
      <c r="P72" s="13"/>
      <c r="Q72" s="19"/>
      <c r="R72" s="13"/>
      <c r="S72" s="19"/>
      <c r="T72" s="13"/>
      <c r="U72" s="19"/>
      <c r="V72" s="13"/>
      <c r="W72" s="482"/>
      <c r="X72" s="460"/>
      <c r="Y72" s="557"/>
      <c r="Z72" s="460"/>
      <c r="AA72" s="557"/>
      <c r="AB72" s="460"/>
      <c r="AC72" s="557"/>
      <c r="AD72" s="460"/>
      <c r="AE72" s="557"/>
      <c r="AF72" s="460"/>
      <c r="AG72" s="557"/>
      <c r="AH72" s="460"/>
    </row>
    <row r="73" spans="1:34">
      <c r="A73" s="14"/>
      <c r="B73" s="15"/>
      <c r="C73" s="16"/>
      <c r="D73" s="17"/>
      <c r="E73" s="12"/>
      <c r="F73" s="18"/>
      <c r="G73" s="19"/>
      <c r="H73" s="13"/>
      <c r="I73" s="19"/>
      <c r="J73" s="13"/>
      <c r="K73" s="19"/>
      <c r="L73" s="13"/>
      <c r="M73" s="19"/>
      <c r="N73" s="13"/>
      <c r="O73" s="19"/>
      <c r="P73" s="13"/>
      <c r="Q73" s="19"/>
      <c r="R73" s="13"/>
      <c r="S73" s="19"/>
      <c r="T73" s="13"/>
      <c r="U73" s="19"/>
      <c r="V73" s="13"/>
      <c r="W73" s="482"/>
      <c r="X73" s="460"/>
      <c r="Y73" s="557"/>
      <c r="Z73" s="460"/>
      <c r="AA73" s="557"/>
      <c r="AB73" s="460"/>
      <c r="AC73" s="557"/>
      <c r="AD73" s="460"/>
      <c r="AE73" s="557"/>
      <c r="AF73" s="460"/>
      <c r="AG73" s="557"/>
      <c r="AH73" s="460"/>
    </row>
    <row r="74" spans="1:34">
      <c r="A74" s="14"/>
      <c r="B74" s="15"/>
      <c r="C74" s="16"/>
      <c r="D74" s="17"/>
      <c r="E74" s="12"/>
      <c r="F74" s="18"/>
      <c r="G74" s="19"/>
      <c r="H74" s="13"/>
      <c r="I74" s="19"/>
      <c r="J74" s="13"/>
      <c r="K74" s="19"/>
      <c r="L74" s="13"/>
      <c r="M74" s="19"/>
      <c r="N74" s="13"/>
      <c r="O74" s="19"/>
      <c r="P74" s="13"/>
      <c r="Q74" s="19"/>
      <c r="R74" s="13"/>
      <c r="S74" s="19"/>
      <c r="T74" s="13"/>
      <c r="U74" s="19"/>
      <c r="V74" s="13"/>
      <c r="W74" s="482"/>
      <c r="X74" s="460"/>
      <c r="Y74" s="557"/>
      <c r="Z74" s="460"/>
      <c r="AA74" s="557"/>
      <c r="AB74" s="460"/>
      <c r="AC74" s="557"/>
      <c r="AD74" s="460"/>
      <c r="AE74" s="557"/>
      <c r="AF74" s="460"/>
      <c r="AG74" s="557"/>
      <c r="AH74" s="460"/>
    </row>
    <row r="75" spans="1:34">
      <c r="A75" s="14"/>
      <c r="B75" s="15"/>
      <c r="C75" s="16"/>
      <c r="D75" s="17"/>
      <c r="E75" s="12"/>
      <c r="F75" s="18"/>
      <c r="G75" s="19"/>
      <c r="H75" s="13"/>
      <c r="I75" s="19"/>
      <c r="J75" s="13"/>
      <c r="K75" s="19"/>
      <c r="L75" s="13"/>
      <c r="M75" s="19"/>
      <c r="N75" s="13"/>
      <c r="O75" s="19"/>
      <c r="P75" s="13"/>
      <c r="Q75" s="19"/>
      <c r="R75" s="13"/>
      <c r="S75" s="19"/>
      <c r="T75" s="13"/>
      <c r="U75" s="19"/>
      <c r="V75" s="13"/>
      <c r="W75" s="482"/>
      <c r="X75" s="460"/>
      <c r="Y75" s="557"/>
      <c r="Z75" s="460"/>
      <c r="AA75" s="557"/>
      <c r="AB75" s="460"/>
      <c r="AC75" s="557"/>
      <c r="AD75" s="460"/>
      <c r="AE75" s="557"/>
      <c r="AF75" s="460"/>
      <c r="AG75" s="557"/>
      <c r="AH75" s="460"/>
    </row>
    <row r="76" spans="1:34">
      <c r="A76" s="14"/>
      <c r="B76" s="15"/>
      <c r="C76" s="16"/>
      <c r="D76" s="17"/>
      <c r="E76" s="12"/>
      <c r="F76" s="18"/>
      <c r="G76" s="19"/>
      <c r="H76" s="13"/>
      <c r="I76" s="19"/>
      <c r="J76" s="13"/>
      <c r="K76" s="19"/>
      <c r="L76" s="13"/>
      <c r="M76" s="19"/>
      <c r="N76" s="13"/>
      <c r="O76" s="19"/>
      <c r="P76" s="13"/>
      <c r="Q76" s="19"/>
      <c r="R76" s="13"/>
      <c r="S76" s="19"/>
      <c r="T76" s="13"/>
      <c r="U76" s="19"/>
      <c r="V76" s="13"/>
      <c r="W76" s="482"/>
      <c r="X76" s="460"/>
      <c r="Y76" s="557"/>
      <c r="Z76" s="460"/>
      <c r="AA76" s="557"/>
      <c r="AB76" s="460"/>
      <c r="AC76" s="557"/>
      <c r="AD76" s="460"/>
      <c r="AE76" s="557"/>
      <c r="AF76" s="460"/>
      <c r="AG76" s="557"/>
      <c r="AH76" s="460"/>
    </row>
    <row r="77" spans="1:34">
      <c r="A77" s="14"/>
      <c r="B77" s="15"/>
      <c r="C77" s="16"/>
      <c r="D77" s="17"/>
      <c r="E77" s="12"/>
      <c r="F77" s="18"/>
      <c r="G77" s="19"/>
      <c r="H77" s="13"/>
      <c r="I77" s="19"/>
      <c r="J77" s="13"/>
      <c r="K77" s="19"/>
      <c r="L77" s="13"/>
      <c r="M77" s="19"/>
      <c r="N77" s="13"/>
      <c r="O77" s="19"/>
      <c r="P77" s="13"/>
      <c r="Q77" s="19"/>
      <c r="R77" s="13"/>
      <c r="S77" s="19"/>
      <c r="T77" s="13"/>
      <c r="U77" s="19"/>
      <c r="V77" s="13"/>
      <c r="W77" s="482"/>
      <c r="X77" s="460"/>
      <c r="Y77" s="557"/>
      <c r="Z77" s="460"/>
      <c r="AA77" s="557"/>
      <c r="AB77" s="460"/>
      <c r="AC77" s="557"/>
      <c r="AD77" s="460"/>
      <c r="AE77" s="557"/>
      <c r="AF77" s="460"/>
      <c r="AG77" s="557"/>
      <c r="AH77" s="460"/>
    </row>
    <row r="78" spans="1:34">
      <c r="A78" s="14"/>
      <c r="B78" s="15"/>
      <c r="C78" s="16"/>
      <c r="D78" s="17"/>
      <c r="E78" s="12"/>
      <c r="F78" s="18"/>
      <c r="G78" s="19"/>
      <c r="H78" s="13"/>
      <c r="I78" s="19"/>
      <c r="J78" s="13"/>
      <c r="K78" s="19"/>
      <c r="L78" s="13"/>
      <c r="M78" s="19"/>
      <c r="N78" s="13"/>
      <c r="O78" s="19"/>
      <c r="P78" s="13"/>
      <c r="Q78" s="19"/>
      <c r="R78" s="13"/>
      <c r="S78" s="19"/>
      <c r="T78" s="13"/>
      <c r="U78" s="19"/>
      <c r="V78" s="13"/>
      <c r="W78" s="482"/>
      <c r="X78" s="460"/>
      <c r="Y78" s="557"/>
      <c r="Z78" s="460"/>
      <c r="AA78" s="557"/>
      <c r="AB78" s="460"/>
      <c r="AC78" s="557"/>
      <c r="AD78" s="460"/>
      <c r="AE78" s="557"/>
      <c r="AF78" s="460"/>
      <c r="AG78" s="557"/>
      <c r="AH78" s="460"/>
    </row>
    <row r="79" spans="1:34">
      <c r="A79" s="14"/>
      <c r="B79" s="15"/>
      <c r="C79" s="16"/>
      <c r="D79" s="17"/>
      <c r="E79" s="12"/>
      <c r="F79" s="18"/>
      <c r="G79" s="19"/>
      <c r="H79" s="13"/>
      <c r="I79" s="19"/>
      <c r="J79" s="13"/>
      <c r="K79" s="19"/>
      <c r="L79" s="13"/>
      <c r="M79" s="19"/>
      <c r="N79" s="13"/>
      <c r="O79" s="19"/>
      <c r="P79" s="13"/>
      <c r="Q79" s="19"/>
      <c r="R79" s="13"/>
      <c r="S79" s="19"/>
      <c r="T79" s="13"/>
      <c r="U79" s="19"/>
      <c r="V79" s="13"/>
      <c r="W79" s="482"/>
      <c r="X79" s="460"/>
      <c r="Y79" s="557"/>
      <c r="Z79" s="460"/>
      <c r="AA79" s="557"/>
      <c r="AB79" s="460"/>
      <c r="AC79" s="557"/>
      <c r="AD79" s="460"/>
      <c r="AE79" s="557"/>
      <c r="AF79" s="460"/>
      <c r="AG79" s="557"/>
      <c r="AH79" s="460"/>
    </row>
    <row r="80" spans="1:34">
      <c r="A80" s="14"/>
      <c r="B80" s="15"/>
      <c r="C80" s="16"/>
      <c r="D80" s="17"/>
      <c r="E80" s="12"/>
      <c r="F80" s="18"/>
      <c r="G80" s="19"/>
      <c r="H80" s="13"/>
      <c r="I80" s="19"/>
      <c r="J80" s="13"/>
      <c r="K80" s="19"/>
      <c r="L80" s="13"/>
      <c r="M80" s="19"/>
      <c r="N80" s="13"/>
      <c r="O80" s="19"/>
      <c r="P80" s="13"/>
      <c r="Q80" s="19"/>
      <c r="R80" s="13"/>
      <c r="S80" s="19"/>
      <c r="T80" s="13"/>
      <c r="U80" s="19"/>
      <c r="V80" s="13"/>
      <c r="W80" s="482"/>
      <c r="X80" s="460"/>
      <c r="Y80" s="557"/>
      <c r="Z80" s="460"/>
      <c r="AA80" s="557"/>
      <c r="AB80" s="460"/>
      <c r="AC80" s="557"/>
      <c r="AD80" s="460"/>
      <c r="AE80" s="557"/>
      <c r="AF80" s="460"/>
      <c r="AG80" s="557"/>
      <c r="AH80" s="460"/>
    </row>
    <row r="81" spans="1:34">
      <c r="A81" s="14"/>
      <c r="B81" s="15"/>
      <c r="C81" s="16"/>
      <c r="D81" s="17"/>
      <c r="E81" s="12"/>
      <c r="F81" s="18"/>
      <c r="G81" s="19"/>
      <c r="H81" s="13"/>
      <c r="I81" s="19"/>
      <c r="J81" s="13"/>
      <c r="K81" s="19"/>
      <c r="L81" s="13"/>
      <c r="M81" s="19"/>
      <c r="N81" s="13"/>
      <c r="O81" s="19"/>
      <c r="P81" s="13"/>
      <c r="Q81" s="19"/>
      <c r="R81" s="13"/>
      <c r="S81" s="19"/>
      <c r="T81" s="13"/>
      <c r="U81" s="19"/>
      <c r="V81" s="13"/>
      <c r="W81" s="482"/>
      <c r="X81" s="460"/>
      <c r="Y81" s="557"/>
      <c r="Z81" s="460"/>
      <c r="AA81" s="557"/>
      <c r="AB81" s="460"/>
      <c r="AC81" s="557"/>
      <c r="AD81" s="460"/>
      <c r="AE81" s="557"/>
      <c r="AF81" s="460"/>
      <c r="AG81" s="557"/>
      <c r="AH81" s="460"/>
    </row>
    <row r="82" spans="1:34">
      <c r="A82" s="14"/>
      <c r="B82" s="15"/>
      <c r="C82" s="16"/>
      <c r="D82" s="17"/>
      <c r="E82" s="12"/>
      <c r="F82" s="18"/>
      <c r="G82" s="19"/>
      <c r="H82" s="13"/>
      <c r="I82" s="19"/>
      <c r="J82" s="13"/>
      <c r="K82" s="19"/>
      <c r="L82" s="13"/>
      <c r="M82" s="19"/>
      <c r="N82" s="13"/>
      <c r="O82" s="19"/>
      <c r="P82" s="13"/>
      <c r="Q82" s="19"/>
      <c r="R82" s="13"/>
      <c r="S82" s="19"/>
      <c r="T82" s="13"/>
      <c r="U82" s="19"/>
      <c r="V82" s="13"/>
      <c r="W82" s="482"/>
      <c r="X82" s="460"/>
      <c r="Y82" s="557"/>
      <c r="Z82" s="460"/>
      <c r="AA82" s="557"/>
      <c r="AB82" s="460"/>
      <c r="AC82" s="557"/>
      <c r="AD82" s="460"/>
      <c r="AE82" s="557"/>
      <c r="AF82" s="460"/>
      <c r="AG82" s="557"/>
      <c r="AH82" s="460"/>
    </row>
    <row r="83" spans="1:34">
      <c r="A83" s="14"/>
      <c r="B83" s="15"/>
      <c r="C83" s="16"/>
      <c r="D83" s="17"/>
      <c r="E83" s="12"/>
      <c r="F83" s="18"/>
      <c r="G83" s="19"/>
      <c r="H83" s="13"/>
      <c r="I83" s="19"/>
      <c r="J83" s="13"/>
      <c r="K83" s="19"/>
      <c r="L83" s="13"/>
      <c r="M83" s="19"/>
      <c r="N83" s="13"/>
      <c r="O83" s="19"/>
      <c r="P83" s="13"/>
      <c r="Q83" s="19"/>
      <c r="R83" s="13"/>
      <c r="S83" s="19"/>
      <c r="T83" s="13"/>
      <c r="U83" s="19"/>
      <c r="V83" s="13"/>
      <c r="W83" s="482"/>
      <c r="X83" s="460"/>
      <c r="Y83" s="557"/>
      <c r="Z83" s="460"/>
      <c r="AA83" s="557"/>
      <c r="AB83" s="460"/>
      <c r="AC83" s="557"/>
      <c r="AD83" s="460"/>
      <c r="AE83" s="557"/>
      <c r="AF83" s="460"/>
      <c r="AG83" s="557"/>
      <c r="AH83" s="460"/>
    </row>
    <row r="84" spans="1:34">
      <c r="A84" s="14"/>
      <c r="B84" s="15"/>
      <c r="C84" s="16"/>
      <c r="D84" s="17"/>
      <c r="E84" s="12"/>
      <c r="F84" s="18"/>
      <c r="G84" s="19"/>
      <c r="H84" s="13"/>
      <c r="I84" s="19"/>
      <c r="J84" s="13"/>
      <c r="K84" s="19"/>
      <c r="L84" s="13"/>
      <c r="M84" s="19"/>
      <c r="N84" s="13"/>
      <c r="O84" s="19"/>
      <c r="P84" s="13"/>
      <c r="Q84" s="19"/>
      <c r="R84" s="13"/>
      <c r="S84" s="19"/>
      <c r="T84" s="13"/>
      <c r="U84" s="19"/>
      <c r="V84" s="13"/>
      <c r="W84" s="482"/>
      <c r="X84" s="460"/>
      <c r="Y84" s="557"/>
      <c r="Z84" s="460"/>
      <c r="AA84" s="557"/>
      <c r="AB84" s="460"/>
      <c r="AC84" s="557"/>
      <c r="AD84" s="460"/>
      <c r="AE84" s="557"/>
      <c r="AF84" s="460"/>
      <c r="AG84" s="557"/>
      <c r="AH84" s="460"/>
    </row>
    <row r="85" spans="1:34">
      <c r="A85" s="14"/>
      <c r="B85" s="15"/>
      <c r="C85" s="16"/>
      <c r="D85" s="17"/>
      <c r="E85" s="12"/>
      <c r="F85" s="18"/>
      <c r="G85" s="19"/>
      <c r="H85" s="13"/>
      <c r="I85" s="19"/>
      <c r="J85" s="13"/>
      <c r="K85" s="19"/>
      <c r="L85" s="13"/>
      <c r="M85" s="19"/>
      <c r="N85" s="13"/>
      <c r="O85" s="19"/>
      <c r="P85" s="13"/>
      <c r="Q85" s="19"/>
      <c r="R85" s="13"/>
      <c r="S85" s="19"/>
      <c r="T85" s="13"/>
      <c r="U85" s="19"/>
      <c r="V85" s="13"/>
      <c r="W85" s="482"/>
      <c r="X85" s="460"/>
      <c r="Y85" s="557"/>
      <c r="Z85" s="460"/>
      <c r="AA85" s="557"/>
      <c r="AB85" s="460"/>
      <c r="AC85" s="557"/>
      <c r="AD85" s="460"/>
      <c r="AE85" s="557"/>
      <c r="AF85" s="460"/>
      <c r="AG85" s="557"/>
      <c r="AH85" s="460"/>
    </row>
    <row r="86" spans="1:34">
      <c r="A86" s="14"/>
      <c r="B86" s="15"/>
      <c r="C86" s="16"/>
      <c r="D86" s="17"/>
      <c r="E86" s="12"/>
      <c r="F86" s="18"/>
      <c r="G86" s="19"/>
      <c r="H86" s="13"/>
      <c r="I86" s="19"/>
      <c r="J86" s="13"/>
      <c r="K86" s="19"/>
      <c r="L86" s="13"/>
      <c r="M86" s="19"/>
      <c r="N86" s="13"/>
      <c r="O86" s="19"/>
      <c r="P86" s="13"/>
      <c r="Q86" s="19"/>
      <c r="R86" s="13"/>
      <c r="S86" s="19"/>
      <c r="T86" s="13"/>
      <c r="U86" s="19"/>
      <c r="V86" s="13"/>
      <c r="W86" s="482"/>
      <c r="X86" s="460"/>
      <c r="Y86" s="557"/>
      <c r="Z86" s="460"/>
      <c r="AA86" s="557"/>
      <c r="AB86" s="460"/>
      <c r="AC86" s="557"/>
      <c r="AD86" s="460"/>
      <c r="AE86" s="557"/>
      <c r="AF86" s="460"/>
      <c r="AG86" s="557"/>
      <c r="AH86" s="460"/>
    </row>
    <row r="87" spans="1:34">
      <c r="A87" s="14"/>
      <c r="B87" s="15"/>
      <c r="C87" s="16"/>
      <c r="D87" s="17"/>
      <c r="E87" s="12"/>
      <c r="F87" s="18"/>
      <c r="G87" s="19"/>
      <c r="H87" s="13"/>
      <c r="I87" s="19"/>
      <c r="J87" s="13"/>
      <c r="K87" s="19"/>
      <c r="L87" s="13"/>
      <c r="M87" s="19"/>
      <c r="N87" s="13"/>
      <c r="O87" s="19"/>
      <c r="P87" s="13"/>
      <c r="Q87" s="19"/>
      <c r="R87" s="13"/>
      <c r="S87" s="19"/>
      <c r="T87" s="13"/>
      <c r="U87" s="19"/>
      <c r="V87" s="13"/>
      <c r="W87" s="482"/>
      <c r="X87" s="460"/>
      <c r="Y87" s="557"/>
      <c r="Z87" s="460"/>
      <c r="AA87" s="557"/>
      <c r="AB87" s="460"/>
      <c r="AC87" s="557"/>
      <c r="AD87" s="460"/>
      <c r="AE87" s="557"/>
      <c r="AF87" s="460"/>
      <c r="AG87" s="557"/>
      <c r="AH87" s="460"/>
    </row>
    <row r="88" spans="1:34">
      <c r="A88" s="14"/>
      <c r="B88" s="15"/>
      <c r="C88" s="16"/>
      <c r="D88" s="17"/>
      <c r="E88" s="12"/>
      <c r="F88" s="18"/>
      <c r="G88" s="19"/>
      <c r="H88" s="13"/>
      <c r="I88" s="19"/>
      <c r="J88" s="13"/>
      <c r="K88" s="19"/>
      <c r="L88" s="13"/>
      <c r="M88" s="19"/>
      <c r="N88" s="13"/>
      <c r="O88" s="19"/>
      <c r="P88" s="13"/>
      <c r="Q88" s="19"/>
      <c r="R88" s="13"/>
      <c r="S88" s="19"/>
      <c r="T88" s="13"/>
      <c r="U88" s="19"/>
      <c r="V88" s="13"/>
      <c r="W88" s="482"/>
      <c r="X88" s="460"/>
      <c r="Y88" s="557"/>
      <c r="Z88" s="460"/>
      <c r="AA88" s="557"/>
      <c r="AB88" s="460"/>
      <c r="AC88" s="557"/>
      <c r="AD88" s="460"/>
      <c r="AE88" s="557"/>
      <c r="AF88" s="460"/>
      <c r="AG88" s="557"/>
      <c r="AH88" s="460"/>
    </row>
    <row r="89" spans="1:34">
      <c r="A89" s="14"/>
      <c r="B89" s="15"/>
      <c r="C89" s="16"/>
      <c r="D89" s="17"/>
      <c r="E89" s="12"/>
      <c r="F89" s="18"/>
      <c r="G89" s="19"/>
      <c r="H89" s="13"/>
      <c r="I89" s="19"/>
      <c r="J89" s="13"/>
      <c r="K89" s="19"/>
      <c r="L89" s="13"/>
      <c r="M89" s="19"/>
      <c r="N89" s="13"/>
      <c r="O89" s="19"/>
      <c r="P89" s="13"/>
      <c r="Q89" s="19"/>
      <c r="R89" s="13"/>
      <c r="S89" s="19"/>
      <c r="T89" s="13"/>
      <c r="U89" s="19"/>
      <c r="V89" s="13"/>
      <c r="W89" s="482"/>
      <c r="X89" s="460"/>
      <c r="Y89" s="557"/>
      <c r="Z89" s="460"/>
      <c r="AA89" s="557"/>
      <c r="AB89" s="460"/>
      <c r="AC89" s="557"/>
      <c r="AD89" s="460"/>
      <c r="AE89" s="557"/>
      <c r="AF89" s="460"/>
      <c r="AG89" s="557"/>
      <c r="AH89" s="460"/>
    </row>
    <row r="90" spans="1:34">
      <c r="A90" s="14"/>
      <c r="B90" s="15"/>
      <c r="C90" s="16"/>
      <c r="D90" s="17"/>
      <c r="E90" s="12"/>
      <c r="F90" s="18"/>
      <c r="G90" s="19"/>
      <c r="H90" s="13"/>
      <c r="I90" s="19"/>
      <c r="J90" s="13"/>
      <c r="K90" s="19"/>
      <c r="L90" s="13"/>
      <c r="M90" s="19"/>
      <c r="N90" s="13"/>
      <c r="O90" s="19"/>
      <c r="P90" s="13"/>
      <c r="Q90" s="19"/>
      <c r="R90" s="13"/>
      <c r="S90" s="19"/>
      <c r="T90" s="13"/>
      <c r="U90" s="19"/>
      <c r="V90" s="13"/>
      <c r="W90" s="482"/>
      <c r="X90" s="460"/>
      <c r="Y90" s="557"/>
      <c r="Z90" s="460"/>
      <c r="AA90" s="557"/>
      <c r="AB90" s="460"/>
      <c r="AC90" s="557"/>
      <c r="AD90" s="460"/>
      <c r="AE90" s="557"/>
      <c r="AF90" s="460"/>
      <c r="AG90" s="557"/>
      <c r="AH90" s="460"/>
    </row>
    <row r="91" spans="1:34">
      <c r="A91" s="14"/>
      <c r="B91" s="15"/>
      <c r="C91" s="16"/>
      <c r="D91" s="17"/>
      <c r="E91" s="12"/>
      <c r="F91" s="18"/>
      <c r="G91" s="19"/>
      <c r="H91" s="13"/>
      <c r="I91" s="19"/>
      <c r="J91" s="13"/>
      <c r="K91" s="19"/>
      <c r="L91" s="13"/>
      <c r="M91" s="19"/>
      <c r="N91" s="13"/>
      <c r="O91" s="19"/>
      <c r="P91" s="13"/>
      <c r="Q91" s="19"/>
      <c r="R91" s="13"/>
      <c r="S91" s="19"/>
      <c r="T91" s="13"/>
      <c r="U91" s="19"/>
      <c r="V91" s="13"/>
      <c r="W91" s="482"/>
      <c r="X91" s="460"/>
      <c r="Y91" s="557"/>
      <c r="Z91" s="460"/>
      <c r="AA91" s="557"/>
      <c r="AB91" s="460"/>
      <c r="AC91" s="557"/>
      <c r="AD91" s="460"/>
      <c r="AE91" s="557"/>
      <c r="AF91" s="460"/>
      <c r="AG91" s="557"/>
      <c r="AH91" s="460"/>
    </row>
    <row r="92" spans="1:34">
      <c r="A92" s="14"/>
      <c r="B92" s="15"/>
      <c r="C92" s="16"/>
      <c r="D92" s="17"/>
      <c r="E92" s="12"/>
      <c r="F92" s="18"/>
      <c r="G92" s="19"/>
      <c r="H92" s="13"/>
      <c r="I92" s="19"/>
      <c r="J92" s="13"/>
      <c r="K92" s="19"/>
      <c r="L92" s="13"/>
      <c r="M92" s="19"/>
      <c r="N92" s="13"/>
      <c r="O92" s="19"/>
      <c r="P92" s="13"/>
      <c r="Q92" s="19"/>
      <c r="R92" s="13"/>
      <c r="S92" s="19"/>
      <c r="T92" s="13"/>
      <c r="U92" s="19"/>
      <c r="V92" s="13"/>
      <c r="W92" s="482"/>
      <c r="X92" s="460"/>
      <c r="Y92" s="557"/>
      <c r="Z92" s="460"/>
      <c r="AA92" s="557"/>
      <c r="AB92" s="460"/>
      <c r="AC92" s="557"/>
      <c r="AD92" s="460"/>
      <c r="AE92" s="557"/>
      <c r="AF92" s="460"/>
      <c r="AG92" s="557"/>
      <c r="AH92" s="460"/>
    </row>
    <row r="93" spans="1:34">
      <c r="A93" s="14"/>
      <c r="B93" s="15"/>
      <c r="C93" s="16"/>
      <c r="D93" s="17"/>
      <c r="E93" s="12"/>
      <c r="F93" s="18"/>
      <c r="G93" s="19"/>
      <c r="H93" s="13"/>
      <c r="I93" s="19"/>
      <c r="J93" s="13"/>
      <c r="K93" s="19"/>
      <c r="L93" s="13"/>
      <c r="M93" s="19"/>
      <c r="N93" s="13"/>
      <c r="O93" s="19"/>
      <c r="P93" s="13"/>
      <c r="Q93" s="19"/>
      <c r="R93" s="13"/>
      <c r="S93" s="19"/>
      <c r="T93" s="13"/>
      <c r="U93" s="19"/>
      <c r="V93" s="13"/>
      <c r="W93" s="482"/>
      <c r="X93" s="460"/>
      <c r="Y93" s="557"/>
      <c r="Z93" s="460"/>
      <c r="AA93" s="557"/>
      <c r="AB93" s="460"/>
      <c r="AC93" s="557"/>
      <c r="AD93" s="460"/>
      <c r="AE93" s="557"/>
      <c r="AF93" s="460"/>
      <c r="AG93" s="557"/>
      <c r="AH93" s="460"/>
    </row>
    <row r="94" spans="1:34">
      <c r="A94" s="14"/>
      <c r="B94" s="15"/>
      <c r="C94" s="16"/>
      <c r="D94" s="17"/>
      <c r="E94" s="12"/>
      <c r="F94" s="18"/>
      <c r="G94" s="19"/>
      <c r="H94" s="13"/>
      <c r="I94" s="19"/>
      <c r="J94" s="13"/>
      <c r="K94" s="19"/>
      <c r="L94" s="13"/>
      <c r="M94" s="19"/>
      <c r="N94" s="13"/>
      <c r="O94" s="19"/>
      <c r="P94" s="13"/>
      <c r="Q94" s="19"/>
      <c r="R94" s="13"/>
      <c r="S94" s="19"/>
      <c r="T94" s="13"/>
      <c r="U94" s="19"/>
      <c r="V94" s="13"/>
      <c r="W94" s="482"/>
      <c r="X94" s="460"/>
      <c r="Y94" s="557"/>
      <c r="Z94" s="460"/>
      <c r="AA94" s="557"/>
      <c r="AB94" s="460"/>
      <c r="AC94" s="557"/>
      <c r="AD94" s="460"/>
      <c r="AE94" s="557"/>
      <c r="AF94" s="460"/>
      <c r="AG94" s="557"/>
      <c r="AH94" s="460"/>
    </row>
    <row r="95" spans="1:34">
      <c r="A95" s="14"/>
      <c r="B95" s="15"/>
      <c r="C95" s="16"/>
      <c r="D95" s="17"/>
      <c r="E95" s="12"/>
      <c r="F95" s="18"/>
      <c r="G95" s="19"/>
      <c r="H95" s="13"/>
      <c r="I95" s="19"/>
      <c r="J95" s="13"/>
      <c r="K95" s="19"/>
      <c r="L95" s="13"/>
      <c r="M95" s="19"/>
      <c r="N95" s="13"/>
      <c r="O95" s="19"/>
      <c r="P95" s="13"/>
      <c r="Q95" s="19"/>
      <c r="R95" s="13"/>
      <c r="S95" s="19"/>
      <c r="T95" s="13"/>
      <c r="U95" s="19"/>
      <c r="V95" s="13"/>
      <c r="W95" s="482"/>
      <c r="X95" s="460"/>
      <c r="Y95" s="557"/>
      <c r="Z95" s="460"/>
      <c r="AA95" s="557"/>
      <c r="AB95" s="460"/>
      <c r="AC95" s="557"/>
      <c r="AD95" s="460"/>
      <c r="AE95" s="557"/>
      <c r="AF95" s="460"/>
      <c r="AG95" s="557"/>
      <c r="AH95" s="460"/>
    </row>
    <row r="96" spans="1:34">
      <c r="A96" s="14"/>
      <c r="B96" s="15"/>
      <c r="C96" s="16"/>
      <c r="D96" s="17"/>
      <c r="E96" s="12"/>
      <c r="F96" s="18"/>
      <c r="G96" s="19"/>
      <c r="H96" s="13"/>
      <c r="I96" s="19"/>
      <c r="J96" s="13"/>
      <c r="K96" s="19"/>
      <c r="L96" s="13"/>
      <c r="M96" s="19"/>
      <c r="N96" s="13"/>
      <c r="O96" s="19"/>
      <c r="P96" s="13"/>
      <c r="Q96" s="19"/>
      <c r="R96" s="13"/>
      <c r="S96" s="19"/>
      <c r="T96" s="13"/>
      <c r="U96" s="19"/>
      <c r="V96" s="13"/>
      <c r="W96" s="482"/>
      <c r="X96" s="460"/>
      <c r="Y96" s="557"/>
      <c r="Z96" s="460"/>
      <c r="AA96" s="557"/>
      <c r="AB96" s="460"/>
      <c r="AC96" s="557"/>
      <c r="AD96" s="460"/>
      <c r="AE96" s="557"/>
      <c r="AF96" s="460"/>
      <c r="AG96" s="557"/>
      <c r="AH96" s="460"/>
    </row>
    <row r="97" spans="1:34">
      <c r="A97" s="14"/>
      <c r="B97" s="15"/>
      <c r="C97" s="16"/>
      <c r="D97" s="17"/>
      <c r="E97" s="12"/>
      <c r="F97" s="18"/>
      <c r="G97" s="19"/>
      <c r="H97" s="13"/>
      <c r="I97" s="19"/>
      <c r="J97" s="13"/>
      <c r="K97" s="19"/>
      <c r="L97" s="13"/>
      <c r="M97" s="19"/>
      <c r="N97" s="13"/>
      <c r="O97" s="19"/>
      <c r="P97" s="13"/>
      <c r="Q97" s="19"/>
      <c r="R97" s="13"/>
      <c r="S97" s="19"/>
      <c r="T97" s="13"/>
      <c r="U97" s="19"/>
      <c r="V97" s="13"/>
      <c r="W97" s="482"/>
      <c r="X97" s="460"/>
      <c r="Y97" s="557"/>
      <c r="Z97" s="460"/>
      <c r="AA97" s="557"/>
      <c r="AB97" s="460"/>
      <c r="AC97" s="557"/>
      <c r="AD97" s="460"/>
      <c r="AE97" s="557"/>
      <c r="AF97" s="460"/>
      <c r="AG97" s="557"/>
      <c r="AH97" s="460"/>
    </row>
    <row r="98" spans="1:34">
      <c r="A98" s="14"/>
      <c r="B98" s="15"/>
      <c r="C98" s="16"/>
      <c r="D98" s="17"/>
      <c r="E98" s="12"/>
      <c r="F98" s="18"/>
      <c r="G98" s="19"/>
      <c r="H98" s="13"/>
      <c r="I98" s="19"/>
      <c r="J98" s="13"/>
      <c r="K98" s="19"/>
      <c r="L98" s="13"/>
      <c r="M98" s="19"/>
      <c r="N98" s="13"/>
      <c r="O98" s="19"/>
      <c r="P98" s="13"/>
      <c r="Q98" s="19"/>
      <c r="R98" s="13"/>
      <c r="S98" s="19"/>
      <c r="T98" s="13"/>
      <c r="U98" s="19"/>
      <c r="V98" s="13"/>
      <c r="W98" s="482"/>
      <c r="X98" s="460"/>
      <c r="Y98" s="557"/>
      <c r="Z98" s="460"/>
      <c r="AA98" s="557"/>
      <c r="AB98" s="460"/>
      <c r="AC98" s="557"/>
      <c r="AD98" s="460"/>
      <c r="AE98" s="557"/>
      <c r="AF98" s="460"/>
      <c r="AG98" s="557"/>
      <c r="AH98" s="460"/>
    </row>
    <row r="99" spans="1:34">
      <c r="A99" s="14"/>
      <c r="B99" s="15"/>
      <c r="C99" s="16"/>
      <c r="D99" s="17"/>
      <c r="E99" s="12"/>
      <c r="F99" s="18"/>
      <c r="G99" s="19"/>
      <c r="H99" s="13"/>
      <c r="I99" s="19"/>
      <c r="J99" s="13"/>
      <c r="K99" s="19"/>
      <c r="L99" s="13"/>
      <c r="M99" s="19"/>
      <c r="N99" s="13"/>
      <c r="O99" s="19"/>
      <c r="P99" s="13"/>
      <c r="Q99" s="19"/>
      <c r="R99" s="13"/>
      <c r="S99" s="19"/>
      <c r="T99" s="13"/>
      <c r="U99" s="19"/>
      <c r="V99" s="13"/>
      <c r="W99" s="482"/>
      <c r="X99" s="460"/>
      <c r="Y99" s="557"/>
      <c r="Z99" s="460"/>
      <c r="AA99" s="557"/>
      <c r="AB99" s="460"/>
      <c r="AC99" s="557"/>
      <c r="AD99" s="460"/>
      <c r="AE99" s="557"/>
      <c r="AF99" s="460"/>
      <c r="AG99" s="557"/>
      <c r="AH99" s="460"/>
    </row>
    <row r="100" spans="1:34">
      <c r="A100" s="14"/>
      <c r="B100" s="15"/>
      <c r="C100" s="16"/>
      <c r="D100" s="17"/>
      <c r="E100" s="12"/>
      <c r="F100" s="18"/>
      <c r="G100" s="19"/>
      <c r="H100" s="13"/>
      <c r="I100" s="19"/>
      <c r="J100" s="13"/>
      <c r="K100" s="19"/>
      <c r="L100" s="13"/>
      <c r="M100" s="19"/>
      <c r="N100" s="13"/>
      <c r="O100" s="19"/>
      <c r="P100" s="13"/>
      <c r="Q100" s="19"/>
      <c r="R100" s="13"/>
      <c r="S100" s="19"/>
      <c r="T100" s="13"/>
      <c r="U100" s="19"/>
      <c r="V100" s="13"/>
      <c r="W100" s="482"/>
      <c r="X100" s="460"/>
      <c r="Y100" s="557"/>
      <c r="Z100" s="460"/>
      <c r="AA100" s="557"/>
      <c r="AB100" s="460"/>
      <c r="AC100" s="557"/>
      <c r="AD100" s="460"/>
      <c r="AE100" s="557"/>
      <c r="AF100" s="460"/>
      <c r="AG100" s="557"/>
      <c r="AH100" s="460"/>
    </row>
    <row r="101" spans="1:34">
      <c r="A101" s="14"/>
      <c r="B101" s="15"/>
      <c r="C101" s="16"/>
      <c r="D101" s="17"/>
      <c r="E101" s="12"/>
      <c r="F101" s="18"/>
      <c r="G101" s="19"/>
      <c r="H101" s="13"/>
      <c r="I101" s="19"/>
      <c r="J101" s="13"/>
      <c r="K101" s="19"/>
      <c r="L101" s="13"/>
      <c r="M101" s="19"/>
      <c r="N101" s="13"/>
      <c r="O101" s="19"/>
      <c r="P101" s="13"/>
      <c r="Q101" s="19"/>
      <c r="R101" s="13"/>
      <c r="S101" s="19"/>
      <c r="T101" s="13"/>
      <c r="U101" s="19"/>
      <c r="V101" s="13"/>
      <c r="W101" s="482"/>
      <c r="X101" s="460"/>
      <c r="Y101" s="557"/>
      <c r="Z101" s="460"/>
      <c r="AA101" s="557"/>
      <c r="AB101" s="460"/>
      <c r="AC101" s="557"/>
      <c r="AD101" s="460"/>
      <c r="AE101" s="557"/>
      <c r="AF101" s="460"/>
      <c r="AG101" s="557"/>
      <c r="AH101" s="460"/>
    </row>
    <row r="102" spans="1:34">
      <c r="A102" s="14"/>
      <c r="B102" s="15"/>
      <c r="C102" s="16"/>
      <c r="D102" s="17"/>
      <c r="E102" s="12"/>
      <c r="F102" s="18"/>
      <c r="G102" s="19"/>
      <c r="H102" s="13"/>
      <c r="I102" s="19"/>
      <c r="J102" s="13"/>
      <c r="K102" s="19"/>
      <c r="L102" s="13"/>
      <c r="M102" s="19"/>
      <c r="N102" s="13"/>
      <c r="O102" s="19"/>
      <c r="P102" s="13"/>
      <c r="Q102" s="19"/>
      <c r="R102" s="13"/>
      <c r="S102" s="19"/>
      <c r="T102" s="13"/>
      <c r="U102" s="19"/>
      <c r="V102" s="13"/>
      <c r="W102" s="482"/>
      <c r="X102" s="460"/>
      <c r="Y102" s="557"/>
      <c r="Z102" s="460"/>
      <c r="AA102" s="557"/>
      <c r="AB102" s="460"/>
      <c r="AC102" s="557"/>
      <c r="AD102" s="460"/>
      <c r="AE102" s="557"/>
      <c r="AF102" s="460"/>
      <c r="AG102" s="557"/>
      <c r="AH102" s="460"/>
    </row>
    <row r="103" spans="1:34">
      <c r="A103" s="14"/>
      <c r="B103" s="15"/>
      <c r="C103" s="16"/>
      <c r="D103" s="17"/>
      <c r="E103" s="12"/>
      <c r="F103" s="18"/>
      <c r="G103" s="19"/>
      <c r="H103" s="13"/>
      <c r="I103" s="19"/>
      <c r="J103" s="13"/>
      <c r="K103" s="19"/>
      <c r="L103" s="13"/>
      <c r="M103" s="19"/>
      <c r="N103" s="13"/>
      <c r="O103" s="19"/>
      <c r="P103" s="13"/>
      <c r="Q103" s="19"/>
      <c r="R103" s="13"/>
      <c r="S103" s="19"/>
      <c r="T103" s="13"/>
      <c r="U103" s="19"/>
      <c r="V103" s="13"/>
      <c r="W103" s="482"/>
      <c r="X103" s="460"/>
      <c r="Y103" s="557"/>
      <c r="Z103" s="460"/>
      <c r="AA103" s="557"/>
      <c r="AB103" s="460"/>
      <c r="AC103" s="557"/>
      <c r="AD103" s="460"/>
      <c r="AE103" s="557"/>
      <c r="AF103" s="460"/>
      <c r="AG103" s="557"/>
      <c r="AH103" s="460"/>
    </row>
    <row r="104" spans="1:34">
      <c r="A104" s="14"/>
      <c r="B104" s="15"/>
      <c r="C104" s="16"/>
      <c r="D104" s="17"/>
      <c r="E104" s="12"/>
      <c r="F104" s="18"/>
      <c r="G104" s="19"/>
      <c r="H104" s="13"/>
      <c r="I104" s="19"/>
      <c r="J104" s="13"/>
      <c r="K104" s="19"/>
      <c r="L104" s="13"/>
      <c r="M104" s="19"/>
      <c r="N104" s="13"/>
      <c r="O104" s="19"/>
      <c r="P104" s="13"/>
      <c r="Q104" s="19"/>
      <c r="R104" s="13"/>
      <c r="S104" s="19"/>
      <c r="T104" s="13"/>
      <c r="U104" s="19"/>
      <c r="V104" s="13"/>
      <c r="W104" s="482"/>
      <c r="X104" s="460"/>
      <c r="Y104" s="557"/>
      <c r="Z104" s="460"/>
      <c r="AA104" s="557"/>
      <c r="AB104" s="460"/>
      <c r="AC104" s="557"/>
      <c r="AD104" s="460"/>
      <c r="AE104" s="557"/>
      <c r="AF104" s="460"/>
      <c r="AG104" s="557"/>
      <c r="AH104" s="460"/>
    </row>
    <row r="105" spans="1:34">
      <c r="A105" s="14"/>
      <c r="B105" s="15"/>
      <c r="C105" s="16"/>
      <c r="D105" s="17"/>
      <c r="E105" s="12"/>
      <c r="F105" s="18"/>
      <c r="G105" s="19"/>
      <c r="H105" s="13"/>
      <c r="I105" s="19"/>
      <c r="J105" s="13"/>
      <c r="K105" s="19"/>
      <c r="L105" s="13"/>
      <c r="M105" s="19"/>
      <c r="N105" s="13"/>
      <c r="O105" s="19"/>
      <c r="P105" s="13"/>
      <c r="Q105" s="19"/>
      <c r="R105" s="13"/>
      <c r="S105" s="19"/>
      <c r="T105" s="13"/>
      <c r="U105" s="19"/>
      <c r="V105" s="13"/>
      <c r="W105" s="482"/>
      <c r="X105" s="460"/>
      <c r="Y105" s="557"/>
      <c r="Z105" s="460"/>
      <c r="AA105" s="557"/>
      <c r="AB105" s="460"/>
      <c r="AC105" s="557"/>
      <c r="AD105" s="460"/>
      <c r="AE105" s="557"/>
      <c r="AF105" s="460"/>
      <c r="AG105" s="557"/>
      <c r="AH105" s="460"/>
    </row>
    <row r="106" spans="1:34">
      <c r="A106" s="14"/>
      <c r="B106" s="15"/>
      <c r="C106" s="16"/>
      <c r="D106" s="17"/>
      <c r="E106" s="12"/>
      <c r="F106" s="18"/>
      <c r="G106" s="19"/>
      <c r="H106" s="13"/>
      <c r="I106" s="19"/>
      <c r="J106" s="13"/>
      <c r="K106" s="19"/>
      <c r="L106" s="13"/>
      <c r="M106" s="19"/>
      <c r="N106" s="13"/>
      <c r="O106" s="19"/>
      <c r="P106" s="13"/>
      <c r="Q106" s="19"/>
      <c r="R106" s="13"/>
      <c r="S106" s="19"/>
      <c r="T106" s="13"/>
      <c r="U106" s="19"/>
      <c r="V106" s="13"/>
      <c r="W106" s="482"/>
      <c r="X106" s="460"/>
      <c r="Y106" s="557"/>
      <c r="Z106" s="460"/>
      <c r="AA106" s="557"/>
      <c r="AB106" s="460"/>
      <c r="AC106" s="557"/>
      <c r="AD106" s="460"/>
      <c r="AE106" s="557"/>
      <c r="AF106" s="460"/>
      <c r="AG106" s="557"/>
      <c r="AH106" s="460"/>
    </row>
    <row r="107" spans="1:34">
      <c r="A107" s="14"/>
      <c r="B107" s="15"/>
      <c r="C107" s="16"/>
      <c r="D107" s="17"/>
      <c r="E107" s="12"/>
      <c r="F107" s="18"/>
      <c r="G107" s="19"/>
      <c r="H107" s="13"/>
      <c r="I107" s="19"/>
      <c r="J107" s="13"/>
      <c r="K107" s="19"/>
      <c r="L107" s="13"/>
      <c r="M107" s="19"/>
      <c r="N107" s="13"/>
      <c r="O107" s="19"/>
      <c r="P107" s="13"/>
      <c r="Q107" s="19"/>
      <c r="R107" s="13"/>
      <c r="S107" s="19"/>
      <c r="T107" s="13"/>
      <c r="U107" s="19"/>
      <c r="V107" s="13"/>
      <c r="W107" s="482"/>
      <c r="X107" s="460"/>
      <c r="Y107" s="557"/>
      <c r="Z107" s="460"/>
      <c r="AA107" s="557"/>
      <c r="AB107" s="460"/>
      <c r="AC107" s="557"/>
      <c r="AD107" s="460"/>
      <c r="AE107" s="557"/>
      <c r="AF107" s="460"/>
      <c r="AG107" s="557"/>
      <c r="AH107" s="460"/>
    </row>
    <row r="108" spans="1:34">
      <c r="A108" s="14"/>
      <c r="B108" s="15"/>
      <c r="C108" s="16"/>
      <c r="D108" s="17"/>
      <c r="E108" s="12"/>
      <c r="F108" s="18"/>
      <c r="G108" s="19"/>
      <c r="H108" s="13"/>
      <c r="I108" s="19"/>
      <c r="J108" s="13"/>
      <c r="K108" s="19"/>
      <c r="L108" s="13"/>
      <c r="M108" s="19"/>
      <c r="N108" s="13"/>
      <c r="O108" s="19"/>
      <c r="P108" s="13"/>
      <c r="Q108" s="19"/>
      <c r="R108" s="13"/>
      <c r="S108" s="19"/>
      <c r="T108" s="13"/>
      <c r="U108" s="19"/>
      <c r="V108" s="13"/>
      <c r="W108" s="482"/>
      <c r="X108" s="460"/>
      <c r="Y108" s="557"/>
      <c r="Z108" s="460"/>
      <c r="AA108" s="557"/>
      <c r="AB108" s="460"/>
      <c r="AC108" s="557"/>
      <c r="AD108" s="460"/>
      <c r="AE108" s="557"/>
      <c r="AF108" s="460"/>
      <c r="AG108" s="557"/>
      <c r="AH108" s="460"/>
    </row>
    <row r="109" spans="1:34">
      <c r="A109" s="14"/>
      <c r="B109" s="15"/>
      <c r="C109" s="16"/>
      <c r="D109" s="17"/>
      <c r="E109" s="12"/>
      <c r="F109" s="18"/>
      <c r="G109" s="19"/>
      <c r="H109" s="13"/>
      <c r="I109" s="19"/>
      <c r="J109" s="13"/>
      <c r="K109" s="19"/>
      <c r="L109" s="13"/>
      <c r="M109" s="19"/>
      <c r="N109" s="13"/>
      <c r="O109" s="19"/>
      <c r="P109" s="13"/>
      <c r="Q109" s="19"/>
      <c r="R109" s="13"/>
      <c r="S109" s="19"/>
      <c r="T109" s="13"/>
      <c r="U109" s="19"/>
      <c r="V109" s="13"/>
      <c r="W109" s="482"/>
      <c r="X109" s="460"/>
      <c r="Y109" s="557"/>
      <c r="Z109" s="460"/>
      <c r="AA109" s="557"/>
      <c r="AB109" s="460"/>
      <c r="AC109" s="557"/>
      <c r="AD109" s="460"/>
      <c r="AE109" s="557"/>
      <c r="AF109" s="460"/>
      <c r="AG109" s="557"/>
      <c r="AH109" s="460"/>
    </row>
    <row r="110" spans="1:34">
      <c r="A110" s="14"/>
      <c r="B110" s="15"/>
      <c r="C110" s="16"/>
      <c r="D110" s="17"/>
      <c r="E110" s="12"/>
      <c r="F110" s="18"/>
      <c r="G110" s="19"/>
      <c r="H110" s="13"/>
      <c r="I110" s="19"/>
      <c r="J110" s="13"/>
      <c r="K110" s="19"/>
      <c r="L110" s="13"/>
      <c r="M110" s="19"/>
      <c r="N110" s="13"/>
      <c r="O110" s="19"/>
      <c r="P110" s="13"/>
      <c r="Q110" s="19"/>
      <c r="R110" s="13"/>
      <c r="S110" s="19"/>
      <c r="T110" s="13"/>
      <c r="U110" s="19"/>
      <c r="V110" s="13"/>
      <c r="W110" s="482"/>
      <c r="X110" s="460"/>
      <c r="Y110" s="557"/>
      <c r="Z110" s="460"/>
      <c r="AA110" s="557"/>
      <c r="AB110" s="460"/>
      <c r="AC110" s="557"/>
      <c r="AD110" s="460"/>
      <c r="AE110" s="557"/>
      <c r="AF110" s="460"/>
      <c r="AG110" s="557"/>
      <c r="AH110" s="460"/>
    </row>
    <row r="111" spans="1:34">
      <c r="A111" s="14"/>
      <c r="B111" s="15"/>
      <c r="C111" s="16"/>
      <c r="D111" s="17"/>
      <c r="E111" s="12"/>
      <c r="F111" s="18"/>
      <c r="G111" s="19"/>
      <c r="H111" s="13"/>
      <c r="I111" s="19"/>
      <c r="J111" s="13"/>
      <c r="K111" s="19"/>
      <c r="L111" s="13"/>
      <c r="M111" s="19"/>
      <c r="N111" s="13"/>
      <c r="O111" s="19"/>
      <c r="P111" s="13"/>
      <c r="Q111" s="19"/>
      <c r="R111" s="13"/>
      <c r="S111" s="19"/>
      <c r="T111" s="13"/>
      <c r="U111" s="19"/>
      <c r="V111" s="13"/>
      <c r="W111" s="482"/>
      <c r="X111" s="460"/>
      <c r="Y111" s="557"/>
      <c r="Z111" s="460"/>
      <c r="AA111" s="557"/>
      <c r="AB111" s="460"/>
      <c r="AC111" s="557"/>
      <c r="AD111" s="460"/>
      <c r="AE111" s="557"/>
      <c r="AF111" s="460"/>
      <c r="AG111" s="557"/>
      <c r="AH111" s="460"/>
    </row>
    <row r="112" spans="1:34">
      <c r="A112" s="14"/>
      <c r="B112" s="15"/>
      <c r="C112" s="16"/>
      <c r="D112" s="17"/>
      <c r="E112" s="12"/>
      <c r="F112" s="18"/>
      <c r="G112" s="19"/>
      <c r="H112" s="13"/>
      <c r="I112" s="19"/>
      <c r="J112" s="13"/>
      <c r="K112" s="19"/>
      <c r="L112" s="13"/>
      <c r="M112" s="19"/>
      <c r="N112" s="13"/>
      <c r="O112" s="19"/>
      <c r="P112" s="13"/>
      <c r="Q112" s="19"/>
      <c r="R112" s="13"/>
      <c r="S112" s="19"/>
      <c r="T112" s="13"/>
      <c r="U112" s="19"/>
      <c r="V112" s="13"/>
      <c r="W112" s="482"/>
      <c r="X112" s="460"/>
      <c r="Y112" s="557"/>
      <c r="Z112" s="460"/>
      <c r="AA112" s="557"/>
      <c r="AB112" s="460"/>
      <c r="AC112" s="557"/>
      <c r="AD112" s="460"/>
      <c r="AE112" s="557"/>
      <c r="AF112" s="460"/>
      <c r="AG112" s="557"/>
      <c r="AH112" s="460"/>
    </row>
    <row r="113" spans="1:34">
      <c r="A113" s="14"/>
      <c r="B113" s="15"/>
      <c r="C113" s="16"/>
      <c r="D113" s="17"/>
      <c r="E113" s="12"/>
      <c r="F113" s="18"/>
      <c r="G113" s="19"/>
      <c r="H113" s="13"/>
      <c r="I113" s="19"/>
      <c r="J113" s="13"/>
      <c r="K113" s="19"/>
      <c r="L113" s="13"/>
      <c r="M113" s="19"/>
      <c r="N113" s="13"/>
      <c r="O113" s="19"/>
      <c r="P113" s="13"/>
      <c r="Q113" s="19"/>
      <c r="R113" s="13"/>
      <c r="S113" s="19"/>
      <c r="T113" s="13"/>
      <c r="U113" s="19"/>
      <c r="V113" s="13"/>
      <c r="W113" s="482"/>
      <c r="X113" s="460"/>
      <c r="Y113" s="557"/>
      <c r="Z113" s="460"/>
      <c r="AA113" s="557"/>
      <c r="AB113" s="460"/>
      <c r="AC113" s="557"/>
      <c r="AD113" s="460"/>
      <c r="AE113" s="557"/>
      <c r="AF113" s="460"/>
      <c r="AG113" s="557"/>
      <c r="AH113" s="460"/>
    </row>
    <row r="114" spans="1:34">
      <c r="A114" s="14"/>
      <c r="B114" s="15"/>
      <c r="C114" s="16"/>
      <c r="D114" s="17"/>
      <c r="E114" s="12"/>
      <c r="F114" s="18"/>
      <c r="G114" s="19"/>
      <c r="H114" s="13"/>
      <c r="I114" s="19"/>
      <c r="J114" s="13"/>
      <c r="K114" s="19"/>
      <c r="L114" s="13"/>
      <c r="M114" s="19"/>
      <c r="N114" s="13"/>
      <c r="O114" s="19"/>
      <c r="P114" s="13"/>
      <c r="Q114" s="19"/>
      <c r="R114" s="13"/>
      <c r="S114" s="19"/>
      <c r="T114" s="13"/>
      <c r="U114" s="19"/>
      <c r="V114" s="13"/>
      <c r="W114" s="482"/>
      <c r="X114" s="460"/>
      <c r="Y114" s="557"/>
      <c r="Z114" s="460"/>
      <c r="AA114" s="557"/>
      <c r="AB114" s="460"/>
      <c r="AC114" s="557"/>
      <c r="AD114" s="460"/>
      <c r="AE114" s="557"/>
      <c r="AF114" s="460"/>
      <c r="AG114" s="557"/>
      <c r="AH114" s="460"/>
    </row>
    <row r="115" spans="1:34">
      <c r="A115" s="14"/>
      <c r="B115" s="15"/>
      <c r="C115" s="16"/>
      <c r="D115" s="17"/>
      <c r="E115" s="12"/>
      <c r="F115" s="18"/>
      <c r="G115" s="19"/>
      <c r="H115" s="13"/>
      <c r="I115" s="19"/>
      <c r="J115" s="13"/>
      <c r="K115" s="19"/>
      <c r="L115" s="13"/>
      <c r="M115" s="19"/>
      <c r="N115" s="13"/>
      <c r="O115" s="19"/>
      <c r="P115" s="13"/>
      <c r="Q115" s="19"/>
      <c r="R115" s="13"/>
      <c r="S115" s="19"/>
      <c r="T115" s="13"/>
      <c r="U115" s="19"/>
      <c r="V115" s="13"/>
      <c r="W115" s="482"/>
      <c r="X115" s="460"/>
      <c r="Y115" s="557"/>
      <c r="Z115" s="460"/>
      <c r="AA115" s="557"/>
      <c r="AB115" s="460"/>
      <c r="AC115" s="557"/>
      <c r="AD115" s="460"/>
      <c r="AE115" s="557"/>
      <c r="AF115" s="460"/>
      <c r="AG115" s="557"/>
      <c r="AH115" s="460"/>
    </row>
    <row r="116" spans="1:34">
      <c r="A116" s="14"/>
      <c r="B116" s="15"/>
      <c r="C116" s="16"/>
      <c r="D116" s="17"/>
      <c r="E116" s="12"/>
      <c r="F116" s="18"/>
      <c r="G116" s="19"/>
      <c r="H116" s="13"/>
      <c r="I116" s="19"/>
      <c r="J116" s="13"/>
      <c r="K116" s="19"/>
      <c r="L116" s="13"/>
      <c r="M116" s="19"/>
      <c r="N116" s="13"/>
      <c r="O116" s="19"/>
      <c r="P116" s="13"/>
      <c r="Q116" s="19"/>
      <c r="R116" s="13"/>
      <c r="S116" s="19"/>
      <c r="T116" s="13"/>
      <c r="U116" s="19"/>
      <c r="V116" s="13"/>
      <c r="W116" s="482"/>
      <c r="X116" s="460"/>
      <c r="Y116" s="557"/>
      <c r="Z116" s="460"/>
      <c r="AA116" s="557"/>
      <c r="AB116" s="460"/>
      <c r="AC116" s="557"/>
      <c r="AD116" s="460"/>
      <c r="AE116" s="557"/>
      <c r="AF116" s="460"/>
      <c r="AG116" s="557"/>
      <c r="AH116" s="460"/>
    </row>
    <row r="117" spans="1:34">
      <c r="A117" s="14"/>
      <c r="B117" s="15"/>
      <c r="C117" s="16"/>
      <c r="D117" s="17"/>
      <c r="E117" s="12"/>
      <c r="F117" s="18"/>
      <c r="G117" s="19"/>
      <c r="H117" s="13"/>
      <c r="I117" s="19"/>
      <c r="J117" s="13"/>
      <c r="K117" s="19"/>
      <c r="L117" s="13"/>
      <c r="M117" s="19"/>
      <c r="N117" s="13"/>
      <c r="O117" s="19"/>
      <c r="P117" s="13"/>
      <c r="Q117" s="19"/>
      <c r="R117" s="13"/>
      <c r="S117" s="19"/>
      <c r="T117" s="13"/>
      <c r="U117" s="19"/>
      <c r="V117" s="13"/>
      <c r="W117" s="482"/>
      <c r="X117" s="460"/>
      <c r="Y117" s="557"/>
      <c r="Z117" s="460"/>
      <c r="AA117" s="557"/>
      <c r="AB117" s="460"/>
      <c r="AC117" s="557"/>
      <c r="AD117" s="460"/>
      <c r="AE117" s="557"/>
      <c r="AF117" s="460"/>
      <c r="AG117" s="557"/>
      <c r="AH117" s="460"/>
    </row>
    <row r="118" spans="1:34">
      <c r="A118" s="14"/>
      <c r="B118" s="15"/>
      <c r="C118" s="16"/>
      <c r="D118" s="17"/>
      <c r="E118" s="12"/>
      <c r="F118" s="18"/>
      <c r="G118" s="19"/>
      <c r="H118" s="13"/>
      <c r="I118" s="19"/>
      <c r="J118" s="13"/>
      <c r="K118" s="19"/>
      <c r="L118" s="13"/>
      <c r="M118" s="19"/>
      <c r="N118" s="13"/>
      <c r="O118" s="19"/>
      <c r="P118" s="13"/>
      <c r="Q118" s="19"/>
      <c r="R118" s="13"/>
      <c r="S118" s="19"/>
      <c r="T118" s="13"/>
      <c r="U118" s="19"/>
      <c r="V118" s="13"/>
      <c r="W118" s="482"/>
      <c r="X118" s="460"/>
      <c r="Y118" s="557"/>
      <c r="Z118" s="460"/>
      <c r="AA118" s="557"/>
      <c r="AB118" s="460"/>
      <c r="AC118" s="557"/>
      <c r="AD118" s="460"/>
      <c r="AE118" s="557"/>
      <c r="AF118" s="460"/>
      <c r="AG118" s="557"/>
      <c r="AH118" s="460"/>
    </row>
    <row r="119" spans="1:34">
      <c r="A119" s="14"/>
      <c r="B119" s="15"/>
      <c r="C119" s="16"/>
      <c r="D119" s="17"/>
      <c r="E119" s="12"/>
      <c r="F119" s="18"/>
      <c r="G119" s="19"/>
      <c r="H119" s="13"/>
      <c r="I119" s="19"/>
      <c r="J119" s="13"/>
      <c r="K119" s="19"/>
      <c r="L119" s="13"/>
      <c r="M119" s="19"/>
      <c r="N119" s="13"/>
      <c r="O119" s="19"/>
      <c r="P119" s="13"/>
      <c r="Q119" s="19"/>
      <c r="R119" s="13"/>
      <c r="S119" s="19"/>
      <c r="T119" s="13"/>
      <c r="U119" s="19"/>
      <c r="V119" s="13"/>
      <c r="W119" s="482"/>
      <c r="X119" s="460"/>
      <c r="Y119" s="557"/>
      <c r="Z119" s="460"/>
      <c r="AA119" s="557"/>
      <c r="AB119" s="460"/>
      <c r="AC119" s="557"/>
      <c r="AD119" s="460"/>
      <c r="AE119" s="557"/>
      <c r="AF119" s="460"/>
      <c r="AG119" s="557"/>
      <c r="AH119" s="460"/>
    </row>
    <row r="120" spans="1:34">
      <c r="A120" s="14"/>
      <c r="B120" s="15"/>
      <c r="C120" s="16"/>
      <c r="D120" s="17"/>
      <c r="E120" s="12"/>
      <c r="F120" s="18"/>
      <c r="G120" s="19"/>
      <c r="H120" s="13"/>
      <c r="I120" s="19"/>
      <c r="J120" s="13"/>
      <c r="K120" s="19"/>
      <c r="L120" s="13"/>
      <c r="M120" s="19"/>
      <c r="N120" s="13"/>
      <c r="O120" s="19"/>
      <c r="P120" s="13"/>
      <c r="Q120" s="19"/>
      <c r="R120" s="13"/>
      <c r="S120" s="19"/>
      <c r="T120" s="13"/>
      <c r="U120" s="19"/>
      <c r="V120" s="13"/>
      <c r="W120" s="482"/>
      <c r="X120" s="460"/>
      <c r="Y120" s="557"/>
      <c r="Z120" s="460"/>
      <c r="AA120" s="557"/>
      <c r="AB120" s="460"/>
      <c r="AC120" s="557"/>
      <c r="AD120" s="460"/>
      <c r="AE120" s="557"/>
      <c r="AF120" s="460"/>
      <c r="AG120" s="557"/>
      <c r="AH120" s="460"/>
    </row>
    <row r="121" spans="1:34">
      <c r="A121" s="14"/>
      <c r="B121" s="15"/>
      <c r="C121" s="16"/>
      <c r="D121" s="17"/>
      <c r="E121" s="12"/>
      <c r="F121" s="18"/>
      <c r="G121" s="19"/>
      <c r="H121" s="13"/>
      <c r="I121" s="19"/>
      <c r="J121" s="13"/>
      <c r="K121" s="19"/>
      <c r="L121" s="13"/>
      <c r="M121" s="19"/>
      <c r="N121" s="13"/>
      <c r="O121" s="19"/>
      <c r="P121" s="13"/>
      <c r="Q121" s="19"/>
      <c r="R121" s="13"/>
      <c r="S121" s="19"/>
      <c r="T121" s="13"/>
      <c r="U121" s="19"/>
      <c r="V121" s="13"/>
      <c r="W121" s="482"/>
      <c r="X121" s="460"/>
      <c r="Y121" s="557"/>
      <c r="Z121" s="460"/>
      <c r="AA121" s="557"/>
      <c r="AB121" s="460"/>
      <c r="AC121" s="557"/>
      <c r="AD121" s="460"/>
      <c r="AE121" s="557"/>
      <c r="AF121" s="460"/>
      <c r="AG121" s="557"/>
      <c r="AH121" s="460"/>
    </row>
    <row r="122" spans="1:34">
      <c r="A122" s="14"/>
      <c r="B122" s="15"/>
      <c r="C122" s="16"/>
      <c r="D122" s="17"/>
      <c r="E122" s="12"/>
      <c r="F122" s="18"/>
      <c r="G122" s="19"/>
      <c r="H122" s="13"/>
      <c r="I122" s="19"/>
      <c r="J122" s="13"/>
      <c r="K122" s="19"/>
      <c r="L122" s="13"/>
      <c r="M122" s="19"/>
      <c r="N122" s="13"/>
      <c r="O122" s="19"/>
      <c r="P122" s="13"/>
      <c r="Q122" s="19"/>
      <c r="R122" s="13"/>
      <c r="S122" s="19"/>
      <c r="T122" s="13"/>
      <c r="U122" s="19"/>
      <c r="V122" s="13"/>
      <c r="W122" s="482"/>
      <c r="X122" s="460"/>
      <c r="Y122" s="557"/>
      <c r="Z122" s="460"/>
      <c r="AA122" s="557"/>
      <c r="AB122" s="460"/>
      <c r="AC122" s="557"/>
      <c r="AD122" s="460"/>
      <c r="AE122" s="557"/>
      <c r="AF122" s="460"/>
      <c r="AG122" s="557"/>
      <c r="AH122" s="460"/>
    </row>
    <row r="123" spans="1:34">
      <c r="A123" s="14"/>
      <c r="B123" s="15"/>
      <c r="C123" s="16"/>
      <c r="D123" s="17"/>
      <c r="E123" s="12"/>
      <c r="F123" s="18"/>
      <c r="G123" s="19"/>
      <c r="H123" s="13"/>
      <c r="I123" s="19"/>
      <c r="J123" s="13"/>
      <c r="K123" s="19"/>
      <c r="L123" s="13"/>
      <c r="M123" s="19"/>
      <c r="N123" s="13"/>
      <c r="O123" s="19"/>
      <c r="P123" s="13"/>
      <c r="Q123" s="19"/>
      <c r="R123" s="13"/>
      <c r="S123" s="19"/>
      <c r="T123" s="13"/>
      <c r="U123" s="19"/>
      <c r="V123" s="13"/>
      <c r="W123" s="482"/>
      <c r="X123" s="460"/>
      <c r="Y123" s="557"/>
      <c r="Z123" s="460"/>
      <c r="AA123" s="557"/>
      <c r="AB123" s="460"/>
      <c r="AC123" s="557"/>
      <c r="AD123" s="460"/>
      <c r="AE123" s="557"/>
      <c r="AF123" s="460"/>
      <c r="AG123" s="557"/>
      <c r="AH123" s="460"/>
    </row>
    <row r="124" spans="1:34">
      <c r="A124" s="14"/>
      <c r="B124" s="15"/>
      <c r="C124" s="16"/>
      <c r="D124" s="17"/>
      <c r="E124" s="12"/>
      <c r="F124" s="18"/>
      <c r="G124" s="19"/>
      <c r="H124" s="13"/>
      <c r="I124" s="19"/>
      <c r="J124" s="13"/>
      <c r="K124" s="19"/>
      <c r="L124" s="13"/>
      <c r="M124" s="19"/>
      <c r="N124" s="13"/>
      <c r="O124" s="19"/>
      <c r="P124" s="13"/>
      <c r="Q124" s="19"/>
      <c r="R124" s="13"/>
      <c r="S124" s="19"/>
      <c r="T124" s="13"/>
      <c r="U124" s="19"/>
      <c r="V124" s="13"/>
      <c r="W124" s="482"/>
      <c r="X124" s="460"/>
      <c r="Y124" s="557"/>
      <c r="Z124" s="460"/>
      <c r="AA124" s="557"/>
      <c r="AB124" s="460"/>
      <c r="AC124" s="557"/>
      <c r="AD124" s="460"/>
      <c r="AE124" s="557"/>
      <c r="AF124" s="460"/>
      <c r="AG124" s="557"/>
      <c r="AH124" s="460"/>
    </row>
    <row r="125" spans="1:34">
      <c r="A125" s="14"/>
      <c r="B125" s="15"/>
      <c r="C125" s="16"/>
      <c r="D125" s="17"/>
      <c r="E125" s="12"/>
      <c r="F125" s="18"/>
      <c r="G125" s="19"/>
      <c r="H125" s="13"/>
      <c r="I125" s="19"/>
      <c r="J125" s="13"/>
      <c r="K125" s="19"/>
      <c r="L125" s="13"/>
      <c r="M125" s="19"/>
      <c r="N125" s="13"/>
      <c r="O125" s="19"/>
      <c r="P125" s="13"/>
      <c r="Q125" s="19"/>
      <c r="R125" s="13"/>
      <c r="S125" s="19"/>
      <c r="T125" s="13"/>
      <c r="U125" s="19"/>
      <c r="V125" s="13"/>
      <c r="W125" s="482"/>
      <c r="X125" s="460"/>
      <c r="Y125" s="557"/>
      <c r="Z125" s="460"/>
      <c r="AA125" s="557"/>
      <c r="AB125" s="460"/>
      <c r="AC125" s="557"/>
      <c r="AD125" s="460"/>
      <c r="AE125" s="557"/>
      <c r="AF125" s="460"/>
      <c r="AG125" s="557"/>
      <c r="AH125" s="460"/>
    </row>
    <row r="126" spans="1:34">
      <c r="A126" s="14"/>
      <c r="B126" s="15"/>
      <c r="C126" s="16"/>
      <c r="D126" s="17"/>
      <c r="E126" s="12"/>
      <c r="F126" s="18"/>
      <c r="G126" s="19"/>
      <c r="H126" s="13"/>
      <c r="I126" s="19"/>
      <c r="J126" s="13"/>
      <c r="K126" s="19"/>
      <c r="L126" s="13"/>
      <c r="M126" s="19"/>
      <c r="N126" s="13"/>
      <c r="O126" s="19"/>
      <c r="P126" s="13"/>
      <c r="Q126" s="19"/>
      <c r="R126" s="13"/>
      <c r="S126" s="19"/>
      <c r="T126" s="13"/>
      <c r="U126" s="19"/>
      <c r="V126" s="13"/>
      <c r="W126" s="482"/>
      <c r="X126" s="460"/>
      <c r="Y126" s="557"/>
      <c r="Z126" s="460"/>
      <c r="AA126" s="557"/>
      <c r="AB126" s="460"/>
      <c r="AC126" s="557"/>
      <c r="AD126" s="460"/>
      <c r="AE126" s="557"/>
      <c r="AF126" s="460"/>
      <c r="AG126" s="557"/>
      <c r="AH126" s="460"/>
    </row>
    <row r="127" spans="1:34">
      <c r="A127" s="14"/>
      <c r="B127" s="15"/>
      <c r="C127" s="16"/>
      <c r="D127" s="17"/>
      <c r="E127" s="12"/>
      <c r="F127" s="18"/>
      <c r="G127" s="19"/>
      <c r="H127" s="13"/>
      <c r="I127" s="19"/>
      <c r="J127" s="13"/>
      <c r="K127" s="19"/>
      <c r="L127" s="13"/>
      <c r="M127" s="19"/>
      <c r="N127" s="13"/>
      <c r="O127" s="19"/>
      <c r="P127" s="13"/>
      <c r="Q127" s="19"/>
      <c r="R127" s="13"/>
      <c r="S127" s="19"/>
      <c r="T127" s="13"/>
      <c r="U127" s="19"/>
      <c r="V127" s="13"/>
      <c r="W127" s="482"/>
      <c r="X127" s="460"/>
      <c r="Y127" s="557"/>
      <c r="Z127" s="460"/>
      <c r="AA127" s="557"/>
      <c r="AB127" s="460"/>
      <c r="AC127" s="557"/>
      <c r="AD127" s="460"/>
      <c r="AE127" s="557"/>
      <c r="AF127" s="460"/>
      <c r="AG127" s="557"/>
      <c r="AH127" s="460"/>
    </row>
    <row r="128" spans="1:34">
      <c r="A128" s="14"/>
      <c r="B128" s="15"/>
      <c r="C128" s="16"/>
      <c r="D128" s="17"/>
      <c r="E128" s="12"/>
      <c r="F128" s="18"/>
      <c r="G128" s="19"/>
      <c r="H128" s="13"/>
      <c r="I128" s="19"/>
      <c r="J128" s="13"/>
      <c r="K128" s="19"/>
      <c r="L128" s="13"/>
      <c r="M128" s="19"/>
      <c r="N128" s="13"/>
      <c r="O128" s="19"/>
      <c r="P128" s="13"/>
      <c r="Q128" s="19"/>
      <c r="R128" s="13"/>
      <c r="S128" s="19"/>
      <c r="T128" s="13"/>
      <c r="U128" s="19"/>
      <c r="V128" s="13"/>
      <c r="W128" s="482"/>
      <c r="X128" s="460"/>
      <c r="Y128" s="557"/>
      <c r="Z128" s="460"/>
      <c r="AA128" s="557"/>
      <c r="AB128" s="460"/>
      <c r="AC128" s="557"/>
      <c r="AD128" s="460"/>
      <c r="AE128" s="557"/>
      <c r="AF128" s="460"/>
      <c r="AG128" s="557"/>
      <c r="AH128" s="460"/>
    </row>
    <row r="129" spans="1:34">
      <c r="A129" s="14"/>
      <c r="B129" s="15"/>
      <c r="C129" s="16"/>
      <c r="D129" s="17"/>
      <c r="E129" s="12"/>
      <c r="F129" s="18"/>
      <c r="G129" s="19"/>
      <c r="H129" s="13"/>
      <c r="I129" s="19"/>
      <c r="J129" s="13"/>
      <c r="K129" s="19"/>
      <c r="L129" s="13"/>
      <c r="M129" s="19"/>
      <c r="N129" s="13"/>
      <c r="O129" s="19"/>
      <c r="P129" s="13"/>
      <c r="Q129" s="19"/>
      <c r="R129" s="13"/>
      <c r="S129" s="19"/>
      <c r="T129" s="13"/>
      <c r="U129" s="19"/>
      <c r="V129" s="13"/>
      <c r="W129" s="482"/>
      <c r="X129" s="460"/>
      <c r="Y129" s="557"/>
      <c r="Z129" s="460"/>
      <c r="AA129" s="557"/>
      <c r="AB129" s="460"/>
      <c r="AC129" s="557"/>
      <c r="AD129" s="460"/>
      <c r="AE129" s="557"/>
      <c r="AF129" s="460"/>
      <c r="AG129" s="557"/>
      <c r="AH129" s="460"/>
    </row>
    <row r="130" spans="1:34">
      <c r="A130" s="14"/>
      <c r="B130" s="15"/>
      <c r="C130" s="16"/>
      <c r="D130" s="17"/>
      <c r="E130" s="12"/>
      <c r="F130" s="18"/>
      <c r="G130" s="19"/>
      <c r="H130" s="13"/>
      <c r="I130" s="19"/>
      <c r="J130" s="13"/>
      <c r="K130" s="19"/>
      <c r="L130" s="13"/>
      <c r="M130" s="19"/>
      <c r="N130" s="13"/>
      <c r="O130" s="19"/>
      <c r="P130" s="13"/>
      <c r="Q130" s="19"/>
      <c r="R130" s="13"/>
      <c r="S130" s="19"/>
      <c r="T130" s="13"/>
      <c r="U130" s="19"/>
      <c r="V130" s="13"/>
      <c r="W130" s="482"/>
      <c r="X130" s="460"/>
      <c r="Y130" s="557"/>
      <c r="Z130" s="460"/>
      <c r="AA130" s="557"/>
      <c r="AB130" s="460"/>
      <c r="AC130" s="557"/>
      <c r="AD130" s="460"/>
      <c r="AE130" s="557"/>
      <c r="AF130" s="460"/>
      <c r="AG130" s="557"/>
      <c r="AH130" s="460"/>
    </row>
    <row r="131" spans="1:34">
      <c r="A131" s="14"/>
      <c r="B131" s="15"/>
      <c r="C131" s="16"/>
      <c r="D131" s="17"/>
      <c r="E131" s="12"/>
      <c r="F131" s="18"/>
      <c r="G131" s="19"/>
      <c r="H131" s="13"/>
      <c r="I131" s="19"/>
      <c r="J131" s="13"/>
      <c r="K131" s="19"/>
      <c r="L131" s="13"/>
      <c r="M131" s="19"/>
      <c r="N131" s="13"/>
      <c r="O131" s="19"/>
      <c r="P131" s="13"/>
      <c r="Q131" s="19"/>
      <c r="R131" s="13"/>
      <c r="S131" s="19"/>
      <c r="T131" s="13"/>
      <c r="U131" s="19"/>
      <c r="V131" s="13"/>
      <c r="W131" s="482"/>
      <c r="X131" s="460"/>
      <c r="Y131" s="557"/>
      <c r="Z131" s="460"/>
      <c r="AA131" s="557"/>
      <c r="AB131" s="460"/>
      <c r="AC131" s="557"/>
      <c r="AD131" s="460"/>
      <c r="AE131" s="557"/>
      <c r="AF131" s="460"/>
      <c r="AG131" s="557"/>
      <c r="AH131" s="460"/>
    </row>
    <row r="132" spans="1:34">
      <c r="A132" s="14"/>
      <c r="B132" s="15"/>
      <c r="C132" s="16"/>
      <c r="D132" s="17"/>
      <c r="E132" s="12"/>
      <c r="F132" s="18"/>
      <c r="G132" s="19"/>
      <c r="H132" s="13"/>
      <c r="I132" s="19"/>
      <c r="J132" s="13"/>
      <c r="K132" s="19"/>
      <c r="L132" s="13"/>
      <c r="M132" s="19"/>
      <c r="N132" s="13"/>
      <c r="O132" s="19"/>
      <c r="P132" s="13"/>
      <c r="Q132" s="19"/>
      <c r="R132" s="13"/>
      <c r="S132" s="19"/>
      <c r="T132" s="13"/>
      <c r="U132" s="19"/>
      <c r="V132" s="13"/>
      <c r="W132" s="482"/>
      <c r="X132" s="460"/>
      <c r="Y132" s="557"/>
      <c r="Z132" s="460"/>
      <c r="AA132" s="557"/>
      <c r="AB132" s="460"/>
      <c r="AC132" s="557"/>
      <c r="AD132" s="460"/>
      <c r="AE132" s="557"/>
      <c r="AF132" s="460"/>
      <c r="AG132" s="557"/>
      <c r="AH132" s="460"/>
    </row>
    <row r="133" spans="1:34">
      <c r="A133" s="14"/>
      <c r="B133" s="15"/>
      <c r="C133" s="16"/>
      <c r="D133" s="17"/>
      <c r="E133" s="12"/>
      <c r="F133" s="18"/>
      <c r="G133" s="19"/>
      <c r="H133" s="13"/>
      <c r="I133" s="19"/>
      <c r="J133" s="13"/>
      <c r="K133" s="19"/>
      <c r="L133" s="13"/>
      <c r="M133" s="19"/>
      <c r="N133" s="13"/>
      <c r="O133" s="19"/>
      <c r="P133" s="13"/>
      <c r="Q133" s="19"/>
      <c r="R133" s="13"/>
      <c r="S133" s="19"/>
      <c r="T133" s="13"/>
      <c r="U133" s="19"/>
      <c r="V133" s="13"/>
      <c r="W133" s="482"/>
      <c r="X133" s="460"/>
      <c r="Y133" s="557"/>
      <c r="Z133" s="460"/>
      <c r="AA133" s="557"/>
      <c r="AB133" s="460"/>
      <c r="AC133" s="557"/>
      <c r="AD133" s="460"/>
      <c r="AE133" s="557"/>
      <c r="AF133" s="460"/>
      <c r="AG133" s="557"/>
      <c r="AH133" s="460"/>
    </row>
    <row r="134" spans="1:34">
      <c r="A134" s="14"/>
      <c r="B134" s="15"/>
      <c r="C134" s="16"/>
      <c r="D134" s="17"/>
      <c r="E134" s="12"/>
      <c r="F134" s="18"/>
      <c r="G134" s="19"/>
      <c r="H134" s="13"/>
      <c r="I134" s="19"/>
      <c r="J134" s="13"/>
      <c r="K134" s="19"/>
      <c r="L134" s="13"/>
      <c r="M134" s="19"/>
      <c r="N134" s="13"/>
      <c r="O134" s="19"/>
      <c r="P134" s="13"/>
      <c r="Q134" s="19"/>
      <c r="R134" s="13"/>
      <c r="S134" s="19"/>
      <c r="T134" s="13"/>
      <c r="U134" s="19"/>
      <c r="V134" s="13"/>
      <c r="W134" s="482"/>
      <c r="X134" s="460"/>
      <c r="Y134" s="557"/>
      <c r="Z134" s="460"/>
      <c r="AA134" s="557"/>
      <c r="AB134" s="460"/>
      <c r="AC134" s="557"/>
      <c r="AD134" s="460"/>
      <c r="AE134" s="557"/>
      <c r="AF134" s="460"/>
      <c r="AG134" s="557"/>
      <c r="AH134" s="460"/>
    </row>
    <row r="135" spans="1:34">
      <c r="A135" s="14"/>
      <c r="B135" s="15"/>
      <c r="C135" s="16"/>
      <c r="D135" s="17"/>
      <c r="E135" s="12"/>
      <c r="F135" s="18"/>
      <c r="G135" s="19"/>
      <c r="H135" s="13"/>
      <c r="I135" s="19"/>
      <c r="J135" s="13"/>
      <c r="K135" s="19"/>
      <c r="L135" s="13"/>
      <c r="M135" s="19"/>
      <c r="N135" s="13"/>
      <c r="O135" s="19"/>
      <c r="P135" s="13"/>
      <c r="Q135" s="19"/>
      <c r="R135" s="13"/>
      <c r="S135" s="19"/>
      <c r="T135" s="13"/>
      <c r="U135" s="19"/>
      <c r="V135" s="13"/>
      <c r="W135" s="482"/>
      <c r="X135" s="460"/>
      <c r="Y135" s="557"/>
      <c r="Z135" s="460"/>
      <c r="AA135" s="557"/>
      <c r="AB135" s="460"/>
      <c r="AC135" s="557"/>
      <c r="AD135" s="460"/>
      <c r="AE135" s="557"/>
      <c r="AF135" s="460"/>
      <c r="AG135" s="557"/>
      <c r="AH135" s="460"/>
    </row>
    <row r="136" spans="1:34">
      <c r="A136" s="14"/>
      <c r="B136" s="15"/>
      <c r="C136" s="16"/>
      <c r="D136" s="17"/>
      <c r="E136" s="12"/>
      <c r="F136" s="18"/>
      <c r="G136" s="19"/>
      <c r="H136" s="13"/>
      <c r="I136" s="19"/>
      <c r="J136" s="13"/>
      <c r="K136" s="19"/>
      <c r="L136" s="13"/>
      <c r="M136" s="19"/>
      <c r="N136" s="13"/>
      <c r="O136" s="19"/>
      <c r="P136" s="13"/>
      <c r="Q136" s="19"/>
      <c r="R136" s="13"/>
      <c r="S136" s="19"/>
      <c r="T136" s="13"/>
      <c r="U136" s="19"/>
      <c r="V136" s="13"/>
      <c r="W136" s="482"/>
      <c r="X136" s="460"/>
      <c r="Y136" s="557"/>
      <c r="Z136" s="460"/>
      <c r="AA136" s="557"/>
      <c r="AB136" s="460"/>
      <c r="AC136" s="557"/>
      <c r="AD136" s="460"/>
      <c r="AE136" s="557"/>
      <c r="AF136" s="460"/>
      <c r="AG136" s="557"/>
      <c r="AH136" s="460"/>
    </row>
    <row r="137" spans="1:34">
      <c r="A137" s="14"/>
      <c r="B137" s="15"/>
      <c r="C137" s="16"/>
      <c r="D137" s="17"/>
      <c r="E137" s="12"/>
      <c r="F137" s="18"/>
      <c r="G137" s="19"/>
      <c r="H137" s="13"/>
      <c r="I137" s="19"/>
      <c r="J137" s="13"/>
      <c r="K137" s="19"/>
      <c r="L137" s="13"/>
      <c r="M137" s="19"/>
      <c r="N137" s="13"/>
      <c r="O137" s="19"/>
      <c r="P137" s="13"/>
      <c r="Q137" s="19"/>
      <c r="R137" s="13"/>
      <c r="S137" s="19"/>
      <c r="T137" s="13"/>
      <c r="U137" s="19"/>
      <c r="V137" s="13"/>
      <c r="W137" s="482"/>
      <c r="X137" s="460"/>
      <c r="Y137" s="557"/>
      <c r="Z137" s="460"/>
      <c r="AA137" s="557"/>
      <c r="AB137" s="460"/>
      <c r="AC137" s="557"/>
      <c r="AD137" s="460"/>
      <c r="AE137" s="557"/>
      <c r="AF137" s="460"/>
      <c r="AG137" s="557"/>
      <c r="AH137" s="460"/>
    </row>
    <row r="138" spans="1:34">
      <c r="A138" s="14"/>
      <c r="B138" s="15"/>
      <c r="C138" s="16"/>
      <c r="D138" s="17"/>
      <c r="E138" s="12"/>
      <c r="F138" s="18"/>
      <c r="G138" s="19"/>
      <c r="H138" s="13"/>
      <c r="I138" s="19"/>
      <c r="J138" s="13"/>
      <c r="K138" s="19"/>
      <c r="L138" s="13"/>
      <c r="M138" s="19"/>
      <c r="N138" s="13"/>
      <c r="O138" s="19"/>
      <c r="P138" s="13"/>
      <c r="Q138" s="19"/>
      <c r="R138" s="13"/>
      <c r="S138" s="19"/>
      <c r="T138" s="13"/>
      <c r="U138" s="19"/>
      <c r="V138" s="13"/>
      <c r="W138" s="482"/>
      <c r="X138" s="460"/>
      <c r="Y138" s="557"/>
      <c r="Z138" s="460"/>
      <c r="AA138" s="557"/>
      <c r="AB138" s="460"/>
      <c r="AC138" s="557"/>
      <c r="AD138" s="460"/>
      <c r="AE138" s="557"/>
      <c r="AF138" s="460"/>
      <c r="AG138" s="557"/>
      <c r="AH138" s="460"/>
    </row>
    <row r="139" spans="1:34">
      <c r="A139" s="14"/>
      <c r="B139" s="15"/>
      <c r="C139" s="16"/>
      <c r="D139" s="17"/>
      <c r="E139" s="12"/>
      <c r="F139" s="18"/>
      <c r="G139" s="19"/>
      <c r="H139" s="13"/>
      <c r="I139" s="19"/>
      <c r="J139" s="13"/>
      <c r="K139" s="19"/>
      <c r="L139" s="13"/>
      <c r="M139" s="19"/>
      <c r="N139" s="13"/>
      <c r="O139" s="19"/>
      <c r="P139" s="13"/>
      <c r="Q139" s="19"/>
      <c r="R139" s="13"/>
      <c r="S139" s="19"/>
      <c r="T139" s="13"/>
      <c r="U139" s="19"/>
      <c r="V139" s="13"/>
      <c r="W139" s="482"/>
      <c r="X139" s="460"/>
      <c r="Y139" s="557"/>
      <c r="Z139" s="460"/>
      <c r="AA139" s="557"/>
      <c r="AB139" s="460"/>
      <c r="AC139" s="557"/>
      <c r="AD139" s="460"/>
      <c r="AE139" s="557"/>
      <c r="AF139" s="460"/>
      <c r="AG139" s="557"/>
      <c r="AH139" s="460"/>
    </row>
    <row r="140" spans="1:34">
      <c r="A140" s="14"/>
      <c r="B140" s="15"/>
      <c r="C140" s="16"/>
      <c r="D140" s="17"/>
      <c r="E140" s="12"/>
      <c r="F140" s="18"/>
      <c r="G140" s="19"/>
      <c r="H140" s="13"/>
      <c r="I140" s="19"/>
      <c r="J140" s="13"/>
      <c r="K140" s="19"/>
      <c r="L140" s="13"/>
      <c r="M140" s="19"/>
      <c r="N140" s="13"/>
      <c r="O140" s="19"/>
      <c r="P140" s="13"/>
      <c r="Q140" s="19"/>
      <c r="R140" s="13"/>
      <c r="S140" s="19"/>
      <c r="T140" s="13"/>
      <c r="U140" s="19"/>
      <c r="V140" s="13"/>
      <c r="W140" s="482"/>
      <c r="X140" s="460"/>
      <c r="Y140" s="557"/>
      <c r="Z140" s="460"/>
      <c r="AA140" s="557"/>
      <c r="AB140" s="460"/>
      <c r="AC140" s="557"/>
      <c r="AD140" s="460"/>
      <c r="AE140" s="557"/>
      <c r="AF140" s="460"/>
      <c r="AG140" s="557"/>
      <c r="AH140" s="460"/>
    </row>
    <row r="141" spans="1:34">
      <c r="A141" s="14"/>
      <c r="B141" s="15"/>
      <c r="C141" s="16"/>
      <c r="D141" s="17"/>
      <c r="E141" s="12"/>
      <c r="F141" s="18"/>
      <c r="G141" s="19"/>
      <c r="H141" s="13"/>
      <c r="I141" s="19"/>
      <c r="J141" s="13"/>
      <c r="K141" s="19"/>
      <c r="L141" s="13"/>
      <c r="M141" s="19"/>
      <c r="N141" s="13"/>
      <c r="O141" s="19"/>
      <c r="P141" s="13"/>
      <c r="Q141" s="19"/>
      <c r="R141" s="13"/>
      <c r="S141" s="19"/>
      <c r="T141" s="13"/>
      <c r="U141" s="19"/>
      <c r="V141" s="13"/>
      <c r="W141" s="482"/>
      <c r="X141" s="460"/>
      <c r="Y141" s="557"/>
      <c r="Z141" s="460"/>
      <c r="AA141" s="557"/>
      <c r="AB141" s="460"/>
      <c r="AC141" s="557"/>
      <c r="AD141" s="460"/>
      <c r="AE141" s="557"/>
      <c r="AF141" s="460"/>
      <c r="AG141" s="557"/>
      <c r="AH141" s="460"/>
    </row>
    <row r="142" spans="1:34">
      <c r="A142" s="14"/>
      <c r="B142" s="15"/>
      <c r="C142" s="16"/>
      <c r="D142" s="17"/>
      <c r="E142" s="12"/>
      <c r="F142" s="18"/>
      <c r="G142" s="19"/>
      <c r="H142" s="13"/>
      <c r="I142" s="19"/>
      <c r="J142" s="13"/>
      <c r="K142" s="19"/>
      <c r="L142" s="13"/>
      <c r="M142" s="19"/>
      <c r="N142" s="13"/>
      <c r="O142" s="19"/>
      <c r="P142" s="13"/>
      <c r="Q142" s="19"/>
      <c r="R142" s="13"/>
      <c r="S142" s="19"/>
      <c r="T142" s="13"/>
      <c r="U142" s="19"/>
      <c r="V142" s="13"/>
      <c r="W142" s="482"/>
      <c r="X142" s="460"/>
      <c r="Y142" s="557"/>
      <c r="Z142" s="460"/>
      <c r="AA142" s="557"/>
      <c r="AB142" s="460"/>
      <c r="AC142" s="557"/>
      <c r="AD142" s="460"/>
      <c r="AE142" s="557"/>
      <c r="AF142" s="460"/>
      <c r="AG142" s="557"/>
      <c r="AH142" s="460"/>
    </row>
    <row r="143" spans="1:34">
      <c r="A143" s="14"/>
      <c r="B143" s="15"/>
      <c r="C143" s="16"/>
      <c r="D143" s="17"/>
      <c r="E143" s="12"/>
      <c r="F143" s="18"/>
      <c r="G143" s="19"/>
      <c r="H143" s="13"/>
      <c r="I143" s="19"/>
      <c r="J143" s="13"/>
      <c r="K143" s="19"/>
      <c r="L143" s="13"/>
      <c r="M143" s="19"/>
      <c r="N143" s="13"/>
      <c r="O143" s="19"/>
      <c r="P143" s="13"/>
      <c r="Q143" s="19"/>
      <c r="R143" s="13"/>
      <c r="S143" s="19"/>
      <c r="T143" s="13"/>
      <c r="U143" s="19"/>
      <c r="V143" s="13"/>
      <c r="W143" s="482"/>
      <c r="X143" s="460"/>
      <c r="Y143" s="557"/>
      <c r="Z143" s="460"/>
      <c r="AA143" s="557"/>
      <c r="AB143" s="460"/>
      <c r="AC143" s="557"/>
      <c r="AD143" s="460"/>
      <c r="AE143" s="557"/>
      <c r="AF143" s="460"/>
      <c r="AG143" s="557"/>
      <c r="AH143" s="460"/>
    </row>
    <row r="144" spans="1:34">
      <c r="A144" s="14"/>
      <c r="B144" s="15"/>
      <c r="C144" s="16"/>
      <c r="D144" s="17"/>
      <c r="E144" s="12"/>
      <c r="F144" s="18"/>
      <c r="G144" s="19"/>
      <c r="H144" s="13"/>
      <c r="I144" s="19"/>
      <c r="J144" s="13"/>
      <c r="K144" s="19"/>
      <c r="L144" s="13"/>
      <c r="M144" s="19"/>
      <c r="N144" s="13"/>
      <c r="O144" s="19"/>
      <c r="P144" s="13"/>
      <c r="Q144" s="19"/>
      <c r="R144" s="13"/>
      <c r="S144" s="19"/>
      <c r="T144" s="13"/>
      <c r="U144" s="19"/>
      <c r="V144" s="13"/>
      <c r="W144" s="482"/>
      <c r="X144" s="460"/>
      <c r="Y144" s="557"/>
      <c r="Z144" s="460"/>
      <c r="AA144" s="557"/>
      <c r="AB144" s="460"/>
      <c r="AC144" s="557"/>
      <c r="AD144" s="460"/>
      <c r="AE144" s="557"/>
      <c r="AF144" s="460"/>
      <c r="AG144" s="557"/>
      <c r="AH144" s="460"/>
    </row>
    <row r="145" spans="1:34">
      <c r="A145" s="14"/>
      <c r="B145" s="15"/>
      <c r="C145" s="16"/>
      <c r="D145" s="17"/>
      <c r="E145" s="12"/>
      <c r="F145" s="18"/>
      <c r="G145" s="19"/>
      <c r="H145" s="13"/>
      <c r="I145" s="19"/>
      <c r="J145" s="13"/>
      <c r="K145" s="19"/>
      <c r="L145" s="13"/>
      <c r="M145" s="19"/>
      <c r="N145" s="13"/>
      <c r="O145" s="19"/>
      <c r="P145" s="13"/>
      <c r="Q145" s="19"/>
      <c r="R145" s="13"/>
      <c r="S145" s="19"/>
      <c r="T145" s="13"/>
      <c r="U145" s="19"/>
      <c r="V145" s="13"/>
      <c r="W145" s="482"/>
      <c r="X145" s="460"/>
      <c r="Y145" s="557"/>
      <c r="Z145" s="460"/>
      <c r="AA145" s="557"/>
      <c r="AB145" s="460"/>
      <c r="AC145" s="557"/>
      <c r="AD145" s="460"/>
      <c r="AE145" s="557"/>
      <c r="AF145" s="460"/>
      <c r="AG145" s="557"/>
      <c r="AH145" s="460"/>
    </row>
    <row r="146" spans="1:34">
      <c r="A146" s="14"/>
      <c r="B146" s="15"/>
      <c r="C146" s="16"/>
      <c r="D146" s="17"/>
      <c r="E146" s="12"/>
      <c r="F146" s="18"/>
      <c r="G146" s="19"/>
      <c r="H146" s="13"/>
      <c r="I146" s="19"/>
      <c r="J146" s="13"/>
      <c r="K146" s="19"/>
      <c r="L146" s="13"/>
      <c r="M146" s="19"/>
      <c r="N146" s="13"/>
      <c r="O146" s="19"/>
      <c r="P146" s="13"/>
      <c r="Q146" s="19"/>
      <c r="R146" s="13"/>
      <c r="S146" s="19"/>
      <c r="T146" s="13"/>
      <c r="U146" s="19"/>
      <c r="V146" s="13"/>
      <c r="W146" s="482"/>
      <c r="X146" s="460"/>
      <c r="Y146" s="557"/>
      <c r="Z146" s="460"/>
      <c r="AA146" s="557"/>
      <c r="AB146" s="460"/>
      <c r="AC146" s="557"/>
      <c r="AD146" s="460"/>
      <c r="AE146" s="557"/>
      <c r="AF146" s="460"/>
      <c r="AG146" s="557"/>
      <c r="AH146" s="460"/>
    </row>
    <row r="147" spans="1:34">
      <c r="A147" s="14"/>
      <c r="B147" s="15"/>
      <c r="C147" s="16"/>
      <c r="D147" s="17"/>
      <c r="E147" s="12"/>
      <c r="F147" s="18"/>
      <c r="G147" s="19"/>
      <c r="H147" s="13"/>
      <c r="I147" s="19"/>
      <c r="J147" s="13"/>
      <c r="K147" s="19"/>
      <c r="L147" s="13"/>
      <c r="M147" s="19"/>
      <c r="N147" s="13"/>
      <c r="O147" s="19"/>
      <c r="P147" s="13"/>
      <c r="Q147" s="19"/>
      <c r="R147" s="13"/>
      <c r="S147" s="19"/>
      <c r="T147" s="13"/>
      <c r="U147" s="19"/>
      <c r="V147" s="13"/>
      <c r="W147" s="482"/>
      <c r="X147" s="460"/>
      <c r="Y147" s="557"/>
      <c r="Z147" s="460"/>
      <c r="AA147" s="557"/>
      <c r="AB147" s="460"/>
      <c r="AC147" s="557"/>
      <c r="AD147" s="460"/>
      <c r="AE147" s="557"/>
      <c r="AF147" s="460"/>
      <c r="AG147" s="557"/>
      <c r="AH147" s="460"/>
    </row>
    <row r="148" spans="1:34">
      <c r="A148" s="14"/>
      <c r="B148" s="15"/>
      <c r="C148" s="16"/>
      <c r="D148" s="17"/>
      <c r="E148" s="12"/>
      <c r="F148" s="18"/>
      <c r="G148" s="19"/>
      <c r="H148" s="13"/>
      <c r="I148" s="19"/>
      <c r="J148" s="13"/>
      <c r="K148" s="19"/>
      <c r="L148" s="13"/>
      <c r="M148" s="19"/>
      <c r="N148" s="13"/>
      <c r="O148" s="19"/>
      <c r="P148" s="13"/>
      <c r="Q148" s="19"/>
      <c r="R148" s="13"/>
      <c r="S148" s="19"/>
      <c r="T148" s="13"/>
      <c r="U148" s="19"/>
      <c r="V148" s="13"/>
      <c r="W148" s="482"/>
      <c r="X148" s="460"/>
      <c r="Y148" s="557"/>
      <c r="Z148" s="460"/>
      <c r="AA148" s="557"/>
      <c r="AB148" s="460"/>
      <c r="AC148" s="557"/>
      <c r="AD148" s="460"/>
      <c r="AE148" s="557"/>
      <c r="AF148" s="460"/>
      <c r="AG148" s="557"/>
      <c r="AH148" s="460"/>
    </row>
    <row r="149" spans="1:34">
      <c r="A149" s="14"/>
      <c r="B149" s="15"/>
      <c r="C149" s="16"/>
      <c r="D149" s="17"/>
      <c r="E149" s="12"/>
      <c r="F149" s="18"/>
      <c r="G149" s="19"/>
      <c r="H149" s="13"/>
      <c r="I149" s="19"/>
      <c r="J149" s="13"/>
      <c r="K149" s="19"/>
      <c r="L149" s="13"/>
      <c r="M149" s="19"/>
      <c r="N149" s="13"/>
      <c r="O149" s="19"/>
      <c r="P149" s="13"/>
      <c r="Q149" s="19"/>
      <c r="R149" s="13"/>
      <c r="S149" s="19"/>
      <c r="T149" s="13"/>
      <c r="U149" s="19"/>
      <c r="V149" s="13"/>
      <c r="W149" s="482"/>
      <c r="X149" s="460"/>
      <c r="Y149" s="557"/>
      <c r="Z149" s="460"/>
      <c r="AA149" s="557"/>
      <c r="AB149" s="460"/>
      <c r="AC149" s="557"/>
      <c r="AD149" s="460"/>
      <c r="AE149" s="557"/>
      <c r="AF149" s="460"/>
      <c r="AG149" s="557"/>
      <c r="AH149" s="460"/>
    </row>
    <row r="150" spans="1:34">
      <c r="A150" s="14"/>
      <c r="B150" s="15"/>
      <c r="C150" s="16"/>
      <c r="D150" s="17"/>
      <c r="E150" s="12"/>
      <c r="F150" s="18"/>
      <c r="G150" s="19"/>
      <c r="H150" s="13"/>
      <c r="I150" s="19"/>
      <c r="J150" s="13"/>
      <c r="K150" s="19"/>
      <c r="L150" s="13"/>
      <c r="M150" s="19"/>
      <c r="N150" s="13"/>
      <c r="O150" s="19"/>
      <c r="P150" s="13"/>
      <c r="Q150" s="19"/>
      <c r="R150" s="13"/>
      <c r="S150" s="19"/>
      <c r="T150" s="13"/>
      <c r="U150" s="19"/>
      <c r="V150" s="13"/>
      <c r="W150" s="482"/>
      <c r="X150" s="460"/>
      <c r="Y150" s="557"/>
      <c r="Z150" s="460"/>
      <c r="AA150" s="557"/>
      <c r="AB150" s="460"/>
      <c r="AC150" s="557"/>
      <c r="AD150" s="460"/>
      <c r="AE150" s="557"/>
      <c r="AF150" s="460"/>
      <c r="AG150" s="557"/>
      <c r="AH150" s="460"/>
    </row>
    <row r="151" spans="1:34">
      <c r="A151" s="14"/>
      <c r="B151" s="15"/>
      <c r="C151" s="16"/>
      <c r="D151" s="17"/>
      <c r="E151" s="12"/>
      <c r="F151" s="18"/>
      <c r="G151" s="19"/>
      <c r="H151" s="13"/>
      <c r="I151" s="19"/>
      <c r="J151" s="13"/>
      <c r="K151" s="19"/>
      <c r="L151" s="13"/>
      <c r="M151" s="19"/>
      <c r="N151" s="13"/>
      <c r="O151" s="19"/>
      <c r="P151" s="13"/>
      <c r="Q151" s="19"/>
      <c r="R151" s="13"/>
      <c r="S151" s="19"/>
      <c r="T151" s="13"/>
      <c r="U151" s="19"/>
      <c r="V151" s="13"/>
      <c r="W151" s="482"/>
      <c r="X151" s="460"/>
      <c r="Y151" s="557"/>
      <c r="Z151" s="460"/>
      <c r="AA151" s="557"/>
      <c r="AB151" s="460"/>
      <c r="AC151" s="557"/>
      <c r="AD151" s="460"/>
      <c r="AE151" s="557"/>
      <c r="AF151" s="460"/>
      <c r="AG151" s="557"/>
      <c r="AH151" s="460"/>
    </row>
    <row r="152" spans="1:34">
      <c r="A152" s="14"/>
      <c r="B152" s="15"/>
      <c r="C152" s="16"/>
      <c r="D152" s="17"/>
      <c r="E152" s="12"/>
      <c r="F152" s="18"/>
      <c r="G152" s="19"/>
      <c r="H152" s="13"/>
      <c r="I152" s="19"/>
      <c r="J152" s="13"/>
      <c r="K152" s="19"/>
      <c r="L152" s="13"/>
      <c r="M152" s="19"/>
      <c r="N152" s="13"/>
      <c r="O152" s="19"/>
      <c r="P152" s="13"/>
      <c r="Q152" s="19"/>
      <c r="R152" s="13"/>
      <c r="S152" s="19"/>
      <c r="T152" s="13"/>
      <c r="U152" s="19"/>
      <c r="V152" s="13"/>
      <c r="W152" s="482"/>
      <c r="X152" s="460"/>
      <c r="Y152" s="557"/>
      <c r="Z152" s="460"/>
      <c r="AA152" s="557"/>
      <c r="AB152" s="460"/>
      <c r="AC152" s="557"/>
      <c r="AD152" s="460"/>
      <c r="AE152" s="557"/>
      <c r="AF152" s="460"/>
      <c r="AG152" s="557"/>
      <c r="AH152" s="460"/>
    </row>
    <row r="153" spans="1:34">
      <c r="A153" s="14"/>
      <c r="B153" s="15"/>
      <c r="C153" s="16"/>
      <c r="D153" s="17"/>
      <c r="E153" s="12"/>
      <c r="F153" s="18"/>
      <c r="G153" s="19"/>
      <c r="H153" s="13"/>
      <c r="I153" s="19"/>
      <c r="J153" s="13"/>
      <c r="K153" s="19"/>
      <c r="L153" s="13"/>
      <c r="M153" s="19"/>
      <c r="N153" s="13"/>
      <c r="O153" s="19"/>
      <c r="P153" s="13"/>
      <c r="Q153" s="19"/>
      <c r="R153" s="13"/>
      <c r="S153" s="19"/>
      <c r="T153" s="13"/>
      <c r="U153" s="19"/>
      <c r="V153" s="13"/>
      <c r="W153" s="482"/>
      <c r="X153" s="460"/>
      <c r="Y153" s="557"/>
      <c r="Z153" s="460"/>
      <c r="AA153" s="557"/>
      <c r="AB153" s="460"/>
      <c r="AC153" s="557"/>
      <c r="AD153" s="460"/>
      <c r="AE153" s="557"/>
      <c r="AF153" s="460"/>
      <c r="AG153" s="557"/>
      <c r="AH153" s="460"/>
    </row>
    <row r="154" spans="1:34">
      <c r="A154" s="14"/>
      <c r="B154" s="15"/>
      <c r="C154" s="16"/>
      <c r="D154" s="17"/>
      <c r="E154" s="12"/>
      <c r="F154" s="18"/>
      <c r="G154" s="19"/>
      <c r="H154" s="13"/>
      <c r="I154" s="19"/>
      <c r="J154" s="13"/>
      <c r="K154" s="19"/>
      <c r="L154" s="13"/>
      <c r="M154" s="19"/>
      <c r="N154" s="13"/>
      <c r="O154" s="19"/>
      <c r="P154" s="13"/>
      <c r="Q154" s="19"/>
      <c r="R154" s="13"/>
      <c r="S154" s="19"/>
      <c r="T154" s="13"/>
      <c r="U154" s="19"/>
      <c r="V154" s="13"/>
      <c r="W154" s="482"/>
      <c r="X154" s="460"/>
      <c r="Y154" s="557"/>
      <c r="Z154" s="460"/>
      <c r="AA154" s="557"/>
      <c r="AB154" s="460"/>
      <c r="AC154" s="557"/>
      <c r="AD154" s="460"/>
      <c r="AE154" s="557"/>
      <c r="AF154" s="460"/>
      <c r="AG154" s="557"/>
      <c r="AH154" s="460"/>
    </row>
    <row r="155" spans="1:34">
      <c r="A155" s="14"/>
      <c r="B155" s="15"/>
      <c r="C155" s="16"/>
      <c r="D155" s="17"/>
      <c r="E155" s="12"/>
      <c r="F155" s="18"/>
      <c r="G155" s="19"/>
      <c r="H155" s="13"/>
      <c r="I155" s="19"/>
      <c r="J155" s="13"/>
      <c r="K155" s="19"/>
      <c r="L155" s="13"/>
      <c r="M155" s="19"/>
      <c r="N155" s="13"/>
      <c r="O155" s="19"/>
      <c r="P155" s="13"/>
      <c r="Q155" s="19"/>
      <c r="R155" s="13"/>
      <c r="S155" s="19"/>
      <c r="T155" s="13"/>
      <c r="U155" s="19"/>
      <c r="V155" s="13"/>
      <c r="W155" s="482"/>
      <c r="X155" s="460"/>
      <c r="Y155" s="557"/>
      <c r="Z155" s="460"/>
      <c r="AA155" s="557"/>
      <c r="AB155" s="460"/>
      <c r="AC155" s="557"/>
      <c r="AD155" s="460"/>
      <c r="AE155" s="557"/>
      <c r="AF155" s="460"/>
      <c r="AG155" s="557"/>
      <c r="AH155" s="460"/>
    </row>
    <row r="156" spans="1:34">
      <c r="A156" s="14"/>
      <c r="B156" s="15"/>
      <c r="C156" s="16"/>
      <c r="D156" s="17"/>
      <c r="E156" s="12"/>
      <c r="F156" s="18"/>
      <c r="G156" s="19"/>
      <c r="H156" s="13"/>
      <c r="I156" s="19"/>
      <c r="J156" s="13"/>
      <c r="K156" s="19"/>
      <c r="L156" s="13"/>
      <c r="M156" s="19"/>
      <c r="N156" s="13"/>
      <c r="O156" s="19"/>
      <c r="P156" s="13"/>
      <c r="Q156" s="19"/>
      <c r="R156" s="13"/>
      <c r="S156" s="19"/>
      <c r="T156" s="13"/>
      <c r="U156" s="19"/>
      <c r="V156" s="13"/>
      <c r="W156" s="482"/>
      <c r="X156" s="460"/>
      <c r="Y156" s="557"/>
      <c r="Z156" s="460"/>
      <c r="AA156" s="557"/>
      <c r="AB156" s="460"/>
      <c r="AC156" s="557"/>
      <c r="AD156" s="460"/>
      <c r="AE156" s="557"/>
      <c r="AF156" s="460"/>
      <c r="AG156" s="557"/>
      <c r="AH156" s="460"/>
    </row>
    <row r="157" spans="1:34">
      <c r="A157" s="14"/>
      <c r="B157" s="15"/>
      <c r="C157" s="16"/>
      <c r="D157" s="17"/>
      <c r="E157" s="12"/>
      <c r="F157" s="18"/>
      <c r="G157" s="19"/>
      <c r="H157" s="13"/>
      <c r="I157" s="19"/>
      <c r="J157" s="13"/>
      <c r="K157" s="19"/>
      <c r="L157" s="13"/>
      <c r="M157" s="19"/>
      <c r="N157" s="13"/>
      <c r="O157" s="19"/>
      <c r="P157" s="13"/>
      <c r="Q157" s="19"/>
      <c r="R157" s="13"/>
      <c r="S157" s="19"/>
      <c r="T157" s="13"/>
      <c r="U157" s="19"/>
      <c r="V157" s="13"/>
      <c r="W157" s="482"/>
      <c r="X157" s="460"/>
      <c r="Y157" s="557"/>
      <c r="Z157" s="460"/>
      <c r="AA157" s="557"/>
      <c r="AB157" s="460"/>
      <c r="AC157" s="557"/>
      <c r="AD157" s="460"/>
      <c r="AE157" s="557"/>
      <c r="AF157" s="460"/>
      <c r="AG157" s="557"/>
      <c r="AH157" s="460"/>
    </row>
    <row r="158" spans="1:34">
      <c r="A158" s="14"/>
      <c r="B158" s="15"/>
      <c r="C158" s="16"/>
      <c r="D158" s="17"/>
      <c r="E158" s="12"/>
      <c r="F158" s="18"/>
      <c r="G158" s="19"/>
      <c r="H158" s="13"/>
      <c r="I158" s="19"/>
      <c r="J158" s="13"/>
      <c r="K158" s="19"/>
      <c r="L158" s="13"/>
      <c r="M158" s="19"/>
      <c r="N158" s="13"/>
      <c r="O158" s="19"/>
      <c r="P158" s="13"/>
      <c r="Q158" s="19"/>
      <c r="R158" s="13"/>
      <c r="S158" s="19"/>
      <c r="T158" s="13"/>
      <c r="U158" s="19"/>
      <c r="V158" s="13"/>
      <c r="W158" s="482"/>
      <c r="X158" s="460"/>
      <c r="Y158" s="557"/>
      <c r="Z158" s="460"/>
      <c r="AA158" s="557"/>
      <c r="AB158" s="460"/>
      <c r="AC158" s="557"/>
      <c r="AD158" s="460"/>
      <c r="AE158" s="557"/>
      <c r="AF158" s="460"/>
      <c r="AG158" s="557"/>
      <c r="AH158" s="460"/>
    </row>
    <row r="159" spans="1:34">
      <c r="A159" s="14"/>
      <c r="B159" s="15"/>
      <c r="C159" s="16"/>
      <c r="D159" s="17"/>
      <c r="E159" s="12"/>
      <c r="F159" s="18"/>
      <c r="G159" s="19"/>
      <c r="H159" s="13"/>
      <c r="I159" s="19"/>
      <c r="J159" s="13"/>
      <c r="K159" s="19"/>
      <c r="L159" s="13"/>
      <c r="M159" s="19"/>
      <c r="N159" s="13"/>
      <c r="O159" s="19"/>
      <c r="P159" s="13"/>
      <c r="Q159" s="19"/>
      <c r="R159" s="13"/>
      <c r="S159" s="19"/>
      <c r="T159" s="13"/>
      <c r="U159" s="19"/>
      <c r="V159" s="13"/>
      <c r="W159" s="482"/>
      <c r="X159" s="460"/>
      <c r="Y159" s="557"/>
      <c r="Z159" s="460"/>
      <c r="AA159" s="557"/>
      <c r="AB159" s="460"/>
      <c r="AC159" s="557"/>
      <c r="AD159" s="460"/>
      <c r="AE159" s="557"/>
      <c r="AF159" s="460"/>
      <c r="AG159" s="557"/>
      <c r="AH159" s="460"/>
    </row>
    <row r="160" spans="1:34">
      <c r="A160" s="14"/>
      <c r="B160" s="15"/>
      <c r="C160" s="16"/>
      <c r="D160" s="17"/>
      <c r="E160" s="12"/>
      <c r="F160" s="18"/>
      <c r="G160" s="19"/>
      <c r="H160" s="13"/>
      <c r="I160" s="19"/>
      <c r="J160" s="13"/>
      <c r="K160" s="19"/>
      <c r="L160" s="13"/>
      <c r="M160" s="19"/>
      <c r="N160" s="13"/>
      <c r="O160" s="19"/>
      <c r="P160" s="13"/>
      <c r="Q160" s="19"/>
      <c r="R160" s="13"/>
      <c r="S160" s="19"/>
      <c r="T160" s="13"/>
      <c r="U160" s="19"/>
      <c r="V160" s="13"/>
      <c r="W160" s="482"/>
      <c r="X160" s="460"/>
      <c r="Y160" s="557"/>
      <c r="Z160" s="460"/>
      <c r="AA160" s="557"/>
      <c r="AB160" s="460"/>
      <c r="AC160" s="557"/>
      <c r="AD160" s="460"/>
      <c r="AE160" s="557"/>
      <c r="AF160" s="460"/>
      <c r="AG160" s="557"/>
      <c r="AH160" s="460"/>
    </row>
    <row r="161" spans="1:34">
      <c r="A161" s="14"/>
      <c r="B161" s="15"/>
      <c r="C161" s="16"/>
      <c r="D161" s="17"/>
      <c r="E161" s="12"/>
      <c r="F161" s="18"/>
      <c r="G161" s="19"/>
      <c r="H161" s="13"/>
      <c r="I161" s="19"/>
      <c r="J161" s="13"/>
      <c r="K161" s="19"/>
      <c r="L161" s="13"/>
      <c r="M161" s="19"/>
      <c r="N161" s="13"/>
      <c r="O161" s="19"/>
      <c r="P161" s="13"/>
      <c r="Q161" s="19"/>
      <c r="R161" s="13"/>
      <c r="S161" s="19"/>
      <c r="T161" s="13"/>
      <c r="U161" s="19"/>
      <c r="V161" s="13"/>
      <c r="W161" s="482"/>
      <c r="X161" s="460"/>
      <c r="Y161" s="557"/>
      <c r="Z161" s="460"/>
      <c r="AA161" s="557"/>
      <c r="AB161" s="460"/>
      <c r="AC161" s="557"/>
      <c r="AD161" s="460"/>
      <c r="AE161" s="557"/>
      <c r="AF161" s="460"/>
      <c r="AG161" s="557"/>
      <c r="AH161" s="460"/>
    </row>
    <row r="162" spans="1:34">
      <c r="A162" s="14"/>
      <c r="B162" s="15"/>
      <c r="C162" s="16"/>
      <c r="D162" s="17"/>
      <c r="E162" s="12"/>
      <c r="F162" s="18"/>
      <c r="G162" s="19"/>
      <c r="H162" s="13"/>
      <c r="I162" s="19"/>
      <c r="J162" s="13"/>
      <c r="K162" s="19"/>
      <c r="L162" s="13"/>
      <c r="M162" s="19"/>
      <c r="N162" s="13"/>
      <c r="O162" s="19"/>
      <c r="P162" s="13"/>
      <c r="Q162" s="19"/>
      <c r="R162" s="13"/>
      <c r="S162" s="19"/>
      <c r="T162" s="13"/>
      <c r="U162" s="19"/>
      <c r="V162" s="13"/>
      <c r="W162" s="482"/>
      <c r="X162" s="460"/>
      <c r="Y162" s="557"/>
      <c r="Z162" s="460"/>
      <c r="AA162" s="557"/>
      <c r="AB162" s="460"/>
      <c r="AC162" s="557"/>
      <c r="AD162" s="460"/>
      <c r="AE162" s="557"/>
      <c r="AF162" s="460"/>
      <c r="AG162" s="557"/>
      <c r="AH162" s="460"/>
    </row>
    <row r="163" spans="1:34">
      <c r="A163" s="14"/>
      <c r="B163" s="15"/>
      <c r="C163" s="16"/>
      <c r="D163" s="17"/>
      <c r="E163" s="12"/>
      <c r="F163" s="18"/>
      <c r="G163" s="19"/>
      <c r="H163" s="13"/>
      <c r="I163" s="19"/>
      <c r="J163" s="13"/>
      <c r="K163" s="19"/>
      <c r="L163" s="13"/>
      <c r="M163" s="19"/>
      <c r="N163" s="13"/>
      <c r="O163" s="19"/>
      <c r="P163" s="13"/>
      <c r="Q163" s="19"/>
      <c r="R163" s="13"/>
      <c r="S163" s="19"/>
      <c r="T163" s="13"/>
      <c r="U163" s="19"/>
      <c r="V163" s="13"/>
      <c r="W163" s="482"/>
      <c r="X163" s="460"/>
      <c r="Y163" s="557"/>
      <c r="Z163" s="460"/>
      <c r="AA163" s="557"/>
      <c r="AB163" s="460"/>
      <c r="AC163" s="557"/>
      <c r="AD163" s="460"/>
      <c r="AE163" s="557"/>
      <c r="AF163" s="460"/>
      <c r="AG163" s="557"/>
      <c r="AH163" s="460"/>
    </row>
    <row r="164" spans="1:34">
      <c r="A164" s="14"/>
      <c r="B164" s="15"/>
      <c r="C164" s="16"/>
      <c r="D164" s="17"/>
      <c r="E164" s="12"/>
      <c r="F164" s="18"/>
      <c r="G164" s="19"/>
      <c r="H164" s="13"/>
      <c r="I164" s="19"/>
      <c r="J164" s="13"/>
      <c r="K164" s="19"/>
      <c r="L164" s="13"/>
      <c r="M164" s="19"/>
      <c r="N164" s="13"/>
      <c r="O164" s="19"/>
      <c r="P164" s="13"/>
      <c r="Q164" s="19"/>
      <c r="R164" s="13"/>
      <c r="S164" s="19"/>
      <c r="T164" s="13"/>
      <c r="U164" s="19"/>
      <c r="V164" s="13"/>
      <c r="W164" s="482"/>
      <c r="X164" s="460"/>
      <c r="Y164" s="557"/>
      <c r="Z164" s="460"/>
      <c r="AA164" s="557"/>
      <c r="AB164" s="460"/>
      <c r="AC164" s="557"/>
      <c r="AD164" s="460"/>
      <c r="AE164" s="557"/>
      <c r="AF164" s="460"/>
      <c r="AG164" s="557"/>
      <c r="AH164" s="460"/>
    </row>
    <row r="165" spans="1:34">
      <c r="A165" s="14"/>
      <c r="B165" s="15"/>
      <c r="C165" s="16"/>
      <c r="D165" s="17"/>
      <c r="E165" s="12"/>
      <c r="F165" s="18"/>
      <c r="G165" s="19"/>
      <c r="H165" s="13"/>
      <c r="I165" s="19"/>
      <c r="J165" s="13"/>
      <c r="K165" s="19"/>
      <c r="L165" s="13"/>
      <c r="M165" s="19"/>
      <c r="N165" s="13"/>
      <c r="O165" s="19"/>
      <c r="P165" s="13"/>
      <c r="Q165" s="19"/>
      <c r="R165" s="13"/>
      <c r="S165" s="19"/>
      <c r="T165" s="13"/>
      <c r="U165" s="19"/>
      <c r="V165" s="13"/>
      <c r="W165" s="482"/>
      <c r="X165" s="460"/>
      <c r="Y165" s="557"/>
      <c r="Z165" s="460"/>
      <c r="AA165" s="557"/>
      <c r="AB165" s="460"/>
      <c r="AC165" s="557"/>
      <c r="AD165" s="460"/>
      <c r="AE165" s="557"/>
      <c r="AF165" s="460"/>
      <c r="AG165" s="557"/>
      <c r="AH165" s="460"/>
    </row>
    <row r="166" spans="1:34">
      <c r="A166" s="14"/>
      <c r="B166" s="15"/>
      <c r="C166" s="16"/>
      <c r="D166" s="17"/>
      <c r="E166" s="12"/>
      <c r="F166" s="18"/>
      <c r="G166" s="19"/>
      <c r="H166" s="13"/>
      <c r="I166" s="19"/>
      <c r="J166" s="13"/>
      <c r="K166" s="19"/>
      <c r="L166" s="13"/>
      <c r="M166" s="19"/>
      <c r="N166" s="13"/>
      <c r="O166" s="19"/>
      <c r="P166" s="13"/>
      <c r="Q166" s="19"/>
      <c r="R166" s="13"/>
      <c r="S166" s="19"/>
      <c r="T166" s="13"/>
      <c r="U166" s="19"/>
      <c r="V166" s="13"/>
      <c r="W166" s="482"/>
      <c r="X166" s="460"/>
      <c r="Y166" s="557"/>
      <c r="Z166" s="460"/>
      <c r="AA166" s="557"/>
      <c r="AB166" s="460"/>
      <c r="AC166" s="557"/>
      <c r="AD166" s="460"/>
      <c r="AE166" s="557"/>
      <c r="AF166" s="460"/>
      <c r="AG166" s="557"/>
      <c r="AH166" s="460"/>
    </row>
    <row r="167" spans="1:34">
      <c r="A167" s="14"/>
      <c r="B167" s="15"/>
      <c r="C167" s="16"/>
      <c r="D167" s="17"/>
      <c r="E167" s="12"/>
      <c r="F167" s="18"/>
      <c r="G167" s="19"/>
      <c r="H167" s="13"/>
      <c r="I167" s="19"/>
      <c r="J167" s="13"/>
      <c r="K167" s="19"/>
      <c r="L167" s="13"/>
      <c r="M167" s="19"/>
      <c r="N167" s="13"/>
      <c r="O167" s="19"/>
      <c r="P167" s="13"/>
      <c r="Q167" s="19"/>
      <c r="R167" s="13"/>
      <c r="S167" s="19"/>
      <c r="T167" s="13"/>
      <c r="U167" s="19"/>
      <c r="V167" s="13"/>
      <c r="W167" s="482"/>
      <c r="X167" s="460"/>
      <c r="Y167" s="557"/>
      <c r="Z167" s="460"/>
      <c r="AA167" s="557"/>
      <c r="AB167" s="460"/>
      <c r="AC167" s="557"/>
      <c r="AD167" s="460"/>
      <c r="AE167" s="557"/>
      <c r="AF167" s="460"/>
      <c r="AG167" s="557"/>
      <c r="AH167" s="460"/>
    </row>
    <row r="168" spans="1:34">
      <c r="A168" s="14"/>
      <c r="B168" s="15"/>
      <c r="C168" s="16"/>
      <c r="D168" s="17"/>
      <c r="E168" s="12"/>
      <c r="F168" s="18"/>
      <c r="G168" s="19"/>
      <c r="H168" s="13"/>
      <c r="I168" s="19"/>
      <c r="J168" s="13"/>
      <c r="K168" s="19"/>
      <c r="L168" s="13"/>
      <c r="M168" s="19"/>
      <c r="N168" s="13"/>
      <c r="O168" s="19"/>
      <c r="P168" s="13"/>
      <c r="Q168" s="19"/>
      <c r="R168" s="13"/>
      <c r="S168" s="19"/>
      <c r="T168" s="13"/>
      <c r="U168" s="19"/>
      <c r="V168" s="13"/>
      <c r="W168" s="482"/>
      <c r="X168" s="460"/>
      <c r="Y168" s="557"/>
      <c r="Z168" s="460"/>
      <c r="AA168" s="557"/>
      <c r="AB168" s="460"/>
      <c r="AC168" s="557"/>
      <c r="AD168" s="460"/>
      <c r="AE168" s="557"/>
      <c r="AF168" s="460"/>
      <c r="AG168" s="557"/>
      <c r="AH168" s="460"/>
    </row>
    <row r="169" spans="1:34">
      <c r="A169" s="14"/>
      <c r="B169" s="15"/>
      <c r="C169" s="16"/>
      <c r="D169" s="17"/>
      <c r="E169" s="12"/>
      <c r="F169" s="18"/>
      <c r="G169" s="19"/>
      <c r="H169" s="13"/>
      <c r="I169" s="19"/>
      <c r="J169" s="13"/>
      <c r="K169" s="19"/>
      <c r="L169" s="13"/>
      <c r="M169" s="19"/>
      <c r="N169" s="13"/>
      <c r="O169" s="19"/>
      <c r="P169" s="13"/>
      <c r="Q169" s="19"/>
      <c r="R169" s="13"/>
      <c r="S169" s="19"/>
      <c r="T169" s="13"/>
      <c r="U169" s="19"/>
      <c r="V169" s="13"/>
      <c r="W169" s="482"/>
      <c r="X169" s="460"/>
      <c r="Y169" s="557"/>
      <c r="Z169" s="460"/>
      <c r="AA169" s="557"/>
      <c r="AB169" s="460"/>
      <c r="AC169" s="557"/>
      <c r="AD169" s="460"/>
      <c r="AE169" s="557"/>
      <c r="AF169" s="460"/>
      <c r="AG169" s="557"/>
      <c r="AH169" s="460"/>
    </row>
    <row r="170" spans="1:34">
      <c r="A170" s="14"/>
      <c r="B170" s="15"/>
      <c r="C170" s="16"/>
      <c r="D170" s="17"/>
      <c r="E170" s="12"/>
      <c r="F170" s="18"/>
      <c r="G170" s="19"/>
      <c r="H170" s="13"/>
      <c r="I170" s="19"/>
      <c r="J170" s="13"/>
      <c r="K170" s="19"/>
      <c r="L170" s="13"/>
      <c r="M170" s="19"/>
      <c r="N170" s="13"/>
      <c r="O170" s="19"/>
      <c r="P170" s="13"/>
      <c r="Q170" s="19"/>
      <c r="R170" s="13"/>
      <c r="S170" s="19"/>
      <c r="T170" s="13"/>
      <c r="U170" s="19"/>
      <c r="V170" s="13"/>
      <c r="W170" s="482"/>
      <c r="X170" s="460"/>
      <c r="Y170" s="557"/>
      <c r="Z170" s="460"/>
      <c r="AA170" s="557"/>
      <c r="AB170" s="460"/>
      <c r="AC170" s="557"/>
      <c r="AD170" s="460"/>
      <c r="AE170" s="557"/>
      <c r="AF170" s="460"/>
      <c r="AG170" s="557"/>
      <c r="AH170" s="460"/>
    </row>
    <row r="171" spans="1:34">
      <c r="A171" s="14"/>
      <c r="B171" s="15"/>
      <c r="C171" s="16"/>
      <c r="D171" s="17"/>
      <c r="E171" s="12"/>
      <c r="F171" s="18"/>
      <c r="G171" s="19"/>
      <c r="H171" s="13"/>
      <c r="I171" s="19"/>
      <c r="J171" s="13"/>
      <c r="K171" s="19"/>
      <c r="L171" s="13"/>
      <c r="M171" s="19"/>
      <c r="N171" s="13"/>
      <c r="O171" s="19"/>
      <c r="P171" s="13"/>
      <c r="Q171" s="19"/>
      <c r="R171" s="13"/>
      <c r="S171" s="19"/>
      <c r="T171" s="13"/>
      <c r="U171" s="19"/>
      <c r="V171" s="13"/>
      <c r="W171" s="482"/>
      <c r="X171" s="460"/>
      <c r="Y171" s="557"/>
      <c r="Z171" s="460"/>
      <c r="AA171" s="557"/>
      <c r="AB171" s="460"/>
      <c r="AC171" s="557"/>
      <c r="AD171" s="460"/>
      <c r="AE171" s="557"/>
      <c r="AF171" s="460"/>
      <c r="AG171" s="557"/>
      <c r="AH171" s="460"/>
    </row>
    <row r="172" spans="1:34">
      <c r="A172" s="14"/>
      <c r="B172" s="15"/>
      <c r="C172" s="16"/>
      <c r="D172" s="17"/>
      <c r="E172" s="12"/>
      <c r="F172" s="18"/>
      <c r="G172" s="19"/>
      <c r="H172" s="13"/>
      <c r="I172" s="19"/>
      <c r="J172" s="13"/>
      <c r="K172" s="19"/>
      <c r="L172" s="13"/>
      <c r="M172" s="19"/>
      <c r="N172" s="13"/>
      <c r="O172" s="19"/>
      <c r="P172" s="13"/>
      <c r="Q172" s="19"/>
      <c r="R172" s="13"/>
      <c r="S172" s="19"/>
      <c r="T172" s="13"/>
      <c r="U172" s="19"/>
      <c r="V172" s="13"/>
      <c r="W172" s="482"/>
      <c r="X172" s="460"/>
      <c r="Y172" s="557"/>
      <c r="Z172" s="460"/>
      <c r="AA172" s="557"/>
      <c r="AB172" s="460"/>
      <c r="AC172" s="557"/>
      <c r="AD172" s="460"/>
      <c r="AE172" s="557"/>
      <c r="AF172" s="460"/>
      <c r="AG172" s="557"/>
      <c r="AH172" s="460"/>
    </row>
    <row r="173" spans="1:34">
      <c r="A173" s="14"/>
      <c r="B173" s="15"/>
      <c r="C173" s="16"/>
      <c r="D173" s="17"/>
      <c r="E173" s="12"/>
      <c r="F173" s="18"/>
      <c r="G173" s="19"/>
      <c r="H173" s="13"/>
      <c r="I173" s="19"/>
      <c r="J173" s="13"/>
      <c r="K173" s="19"/>
      <c r="L173" s="13"/>
      <c r="M173" s="19"/>
      <c r="N173" s="13"/>
      <c r="O173" s="19"/>
      <c r="P173" s="13"/>
      <c r="Q173" s="19"/>
      <c r="R173" s="13"/>
      <c r="S173" s="19"/>
      <c r="T173" s="13"/>
      <c r="U173" s="19"/>
      <c r="V173" s="13"/>
      <c r="W173" s="482"/>
      <c r="X173" s="460"/>
      <c r="Y173" s="557"/>
      <c r="Z173" s="460"/>
      <c r="AA173" s="557"/>
      <c r="AB173" s="460"/>
      <c r="AC173" s="557"/>
      <c r="AD173" s="460"/>
      <c r="AE173" s="557"/>
      <c r="AF173" s="460"/>
      <c r="AG173" s="557"/>
      <c r="AH173" s="460"/>
    </row>
    <row r="174" spans="1:34">
      <c r="A174" s="14"/>
      <c r="B174" s="15"/>
      <c r="C174" s="16"/>
      <c r="D174" s="17"/>
      <c r="E174" s="12"/>
      <c r="F174" s="18"/>
      <c r="G174" s="19"/>
      <c r="H174" s="13"/>
      <c r="I174" s="19"/>
      <c r="J174" s="13"/>
      <c r="K174" s="19"/>
      <c r="L174" s="13"/>
      <c r="M174" s="19"/>
      <c r="N174" s="13"/>
      <c r="O174" s="19"/>
      <c r="P174" s="13"/>
      <c r="Q174" s="19"/>
      <c r="R174" s="13"/>
      <c r="S174" s="19"/>
      <c r="T174" s="13"/>
      <c r="U174" s="19"/>
      <c r="V174" s="13"/>
      <c r="W174" s="482"/>
      <c r="X174" s="460"/>
      <c r="Y174" s="557"/>
      <c r="Z174" s="460"/>
      <c r="AA174" s="557"/>
      <c r="AB174" s="460"/>
      <c r="AC174" s="557"/>
      <c r="AD174" s="460"/>
      <c r="AE174" s="557"/>
      <c r="AF174" s="460"/>
      <c r="AG174" s="557"/>
      <c r="AH174" s="460"/>
    </row>
    <row r="175" spans="1:34">
      <c r="A175" s="14"/>
      <c r="B175" s="15"/>
      <c r="C175" s="16"/>
      <c r="D175" s="17"/>
      <c r="E175" s="12"/>
      <c r="F175" s="18"/>
      <c r="G175" s="19"/>
      <c r="H175" s="13"/>
      <c r="I175" s="19"/>
      <c r="J175" s="13"/>
      <c r="K175" s="19"/>
      <c r="L175" s="13"/>
      <c r="M175" s="19"/>
      <c r="N175" s="13"/>
      <c r="O175" s="19"/>
      <c r="P175" s="13"/>
      <c r="Q175" s="19"/>
      <c r="R175" s="13"/>
      <c r="S175" s="19"/>
      <c r="T175" s="13"/>
      <c r="U175" s="19"/>
      <c r="V175" s="13"/>
      <c r="W175" s="482"/>
      <c r="X175" s="460"/>
      <c r="Y175" s="557"/>
      <c r="Z175" s="460"/>
      <c r="AA175" s="557"/>
      <c r="AB175" s="460"/>
      <c r="AC175" s="557"/>
      <c r="AD175" s="460"/>
      <c r="AE175" s="557"/>
      <c r="AF175" s="460"/>
      <c r="AG175" s="557"/>
      <c r="AH175" s="460"/>
    </row>
    <row r="176" spans="1:34">
      <c r="A176" s="14"/>
      <c r="B176" s="15"/>
      <c r="C176" s="16"/>
      <c r="D176" s="17"/>
      <c r="E176" s="12"/>
      <c r="F176" s="18"/>
      <c r="G176" s="19"/>
      <c r="H176" s="13"/>
      <c r="I176" s="19"/>
      <c r="J176" s="13"/>
      <c r="K176" s="19"/>
      <c r="L176" s="13"/>
      <c r="M176" s="19"/>
      <c r="N176" s="13"/>
      <c r="O176" s="19"/>
      <c r="P176" s="13"/>
      <c r="Q176" s="19"/>
      <c r="R176" s="13"/>
      <c r="S176" s="19"/>
      <c r="T176" s="13"/>
      <c r="U176" s="19"/>
      <c r="V176" s="13"/>
      <c r="W176" s="482"/>
      <c r="X176" s="460"/>
      <c r="Y176" s="557"/>
      <c r="Z176" s="460"/>
      <c r="AA176" s="557"/>
      <c r="AB176" s="460"/>
      <c r="AC176" s="557"/>
      <c r="AD176" s="460"/>
      <c r="AE176" s="557"/>
      <c r="AF176" s="460"/>
      <c r="AG176" s="557"/>
      <c r="AH176" s="460"/>
    </row>
    <row r="177" spans="1:34">
      <c r="A177" s="14"/>
      <c r="B177" s="15"/>
      <c r="C177" s="16"/>
      <c r="D177" s="17"/>
      <c r="E177" s="12"/>
      <c r="F177" s="18"/>
      <c r="G177" s="19"/>
      <c r="H177" s="13"/>
      <c r="I177" s="19"/>
      <c r="J177" s="13"/>
      <c r="K177" s="19"/>
      <c r="L177" s="13"/>
      <c r="M177" s="19"/>
      <c r="N177" s="13"/>
      <c r="O177" s="19"/>
      <c r="P177" s="13"/>
      <c r="Q177" s="19"/>
      <c r="R177" s="13"/>
      <c r="S177" s="19"/>
      <c r="T177" s="13"/>
      <c r="U177" s="19"/>
      <c r="V177" s="13"/>
      <c r="W177" s="482"/>
      <c r="X177" s="460"/>
      <c r="Y177" s="557"/>
      <c r="Z177" s="460"/>
      <c r="AA177" s="557"/>
      <c r="AB177" s="460"/>
      <c r="AC177" s="557"/>
      <c r="AD177" s="460"/>
      <c r="AE177" s="557"/>
      <c r="AF177" s="460"/>
      <c r="AG177" s="557"/>
      <c r="AH177" s="460"/>
    </row>
    <row r="178" spans="1:34">
      <c r="A178" s="14"/>
      <c r="B178" s="15"/>
      <c r="C178" s="16"/>
      <c r="D178" s="17"/>
      <c r="E178" s="12"/>
      <c r="F178" s="18"/>
      <c r="G178" s="19"/>
      <c r="H178" s="13"/>
      <c r="I178" s="19"/>
      <c r="J178" s="13"/>
      <c r="K178" s="19"/>
      <c r="L178" s="13"/>
      <c r="M178" s="19"/>
      <c r="N178" s="13"/>
      <c r="O178" s="19"/>
      <c r="P178" s="13"/>
      <c r="Q178" s="19"/>
      <c r="R178" s="13"/>
      <c r="S178" s="19"/>
      <c r="T178" s="13"/>
      <c r="U178" s="19"/>
      <c r="V178" s="13"/>
      <c r="W178" s="482"/>
      <c r="X178" s="460"/>
      <c r="Y178" s="557"/>
      <c r="Z178" s="460"/>
      <c r="AA178" s="557"/>
      <c r="AB178" s="460"/>
      <c r="AC178" s="557"/>
      <c r="AD178" s="460"/>
      <c r="AE178" s="557"/>
      <c r="AF178" s="460"/>
      <c r="AG178" s="557"/>
      <c r="AH178" s="460"/>
    </row>
    <row r="179" spans="1:34">
      <c r="A179" s="14"/>
      <c r="B179" s="15"/>
      <c r="C179" s="16"/>
      <c r="D179" s="17"/>
      <c r="E179" s="12"/>
      <c r="F179" s="18"/>
      <c r="G179" s="19"/>
      <c r="H179" s="13"/>
      <c r="I179" s="19"/>
      <c r="J179" s="13"/>
      <c r="K179" s="19"/>
      <c r="L179" s="13"/>
      <c r="M179" s="19"/>
      <c r="N179" s="13"/>
      <c r="O179" s="19"/>
      <c r="P179" s="13"/>
      <c r="Q179" s="19"/>
      <c r="R179" s="13"/>
      <c r="S179" s="19"/>
      <c r="T179" s="13"/>
      <c r="U179" s="19"/>
      <c r="V179" s="13"/>
      <c r="W179" s="482"/>
      <c r="X179" s="460"/>
      <c r="Y179" s="557"/>
      <c r="Z179" s="460"/>
      <c r="AA179" s="557"/>
      <c r="AB179" s="460"/>
      <c r="AC179" s="557"/>
      <c r="AD179" s="460"/>
      <c r="AE179" s="557"/>
      <c r="AF179" s="460"/>
      <c r="AG179" s="557"/>
      <c r="AH179" s="460"/>
    </row>
    <row r="180" spans="1:34">
      <c r="A180" s="14"/>
      <c r="B180" s="15"/>
      <c r="C180" s="16"/>
      <c r="D180" s="17"/>
      <c r="E180" s="12"/>
      <c r="F180" s="18"/>
      <c r="G180" s="19"/>
      <c r="H180" s="13"/>
      <c r="I180" s="19"/>
      <c r="J180" s="13"/>
      <c r="K180" s="19"/>
      <c r="L180" s="13"/>
      <c r="M180" s="19"/>
      <c r="N180" s="13"/>
      <c r="O180" s="19"/>
      <c r="P180" s="13"/>
      <c r="Q180" s="19"/>
      <c r="R180" s="13"/>
      <c r="S180" s="19"/>
      <c r="T180" s="13"/>
      <c r="U180" s="19"/>
      <c r="V180" s="13"/>
      <c r="W180" s="482"/>
      <c r="X180" s="460"/>
      <c r="Y180" s="557"/>
      <c r="Z180" s="460"/>
      <c r="AA180" s="557"/>
      <c r="AB180" s="460"/>
      <c r="AC180" s="557"/>
      <c r="AD180" s="460"/>
      <c r="AE180" s="557"/>
      <c r="AF180" s="460"/>
      <c r="AG180" s="557"/>
      <c r="AH180" s="460"/>
    </row>
    <row r="181" spans="1:34">
      <c r="A181" s="14"/>
      <c r="B181" s="15"/>
      <c r="C181" s="16"/>
      <c r="D181" s="17"/>
      <c r="E181" s="12"/>
      <c r="F181" s="18"/>
      <c r="G181" s="19"/>
      <c r="H181" s="13"/>
      <c r="I181" s="19"/>
      <c r="J181" s="13"/>
      <c r="K181" s="19"/>
      <c r="L181" s="13"/>
      <c r="M181" s="19"/>
      <c r="N181" s="13"/>
      <c r="O181" s="19"/>
      <c r="P181" s="13"/>
      <c r="Q181" s="19"/>
      <c r="R181" s="13"/>
      <c r="S181" s="19"/>
      <c r="T181" s="13"/>
      <c r="U181" s="19"/>
      <c r="V181" s="13"/>
      <c r="W181" s="482"/>
      <c r="X181" s="460"/>
      <c r="Y181" s="557"/>
      <c r="Z181" s="460"/>
      <c r="AA181" s="557"/>
      <c r="AB181" s="460"/>
      <c r="AC181" s="557"/>
      <c r="AD181" s="460"/>
      <c r="AE181" s="557"/>
      <c r="AF181" s="460"/>
      <c r="AG181" s="557"/>
      <c r="AH181" s="460"/>
    </row>
    <row r="182" spans="1:34">
      <c r="A182" s="14"/>
      <c r="B182" s="15"/>
      <c r="C182" s="16"/>
      <c r="D182" s="17"/>
      <c r="E182" s="12"/>
      <c r="F182" s="18"/>
      <c r="G182" s="19"/>
      <c r="H182" s="13"/>
      <c r="I182" s="19"/>
      <c r="J182" s="13"/>
      <c r="K182" s="19"/>
      <c r="L182" s="13"/>
      <c r="M182" s="19"/>
      <c r="N182" s="13"/>
      <c r="O182" s="19"/>
      <c r="P182" s="13"/>
      <c r="Q182" s="19"/>
      <c r="R182" s="13"/>
      <c r="S182" s="19"/>
      <c r="T182" s="13"/>
      <c r="U182" s="19"/>
      <c r="V182" s="13"/>
      <c r="W182" s="482"/>
      <c r="X182" s="460"/>
      <c r="Y182" s="557"/>
      <c r="Z182" s="460"/>
      <c r="AA182" s="557"/>
      <c r="AB182" s="460"/>
      <c r="AC182" s="557"/>
      <c r="AD182" s="460"/>
      <c r="AE182" s="557"/>
      <c r="AF182" s="460"/>
      <c r="AG182" s="557"/>
      <c r="AH182" s="460"/>
    </row>
    <row r="183" spans="1:34">
      <c r="A183" s="14"/>
      <c r="B183" s="15"/>
      <c r="C183" s="16"/>
      <c r="D183" s="17"/>
      <c r="E183" s="12"/>
      <c r="F183" s="18"/>
      <c r="G183" s="19"/>
      <c r="H183" s="13"/>
      <c r="I183" s="19"/>
      <c r="J183" s="13"/>
      <c r="K183" s="19"/>
      <c r="L183" s="13"/>
      <c r="M183" s="19"/>
      <c r="N183" s="13"/>
      <c r="O183" s="19"/>
      <c r="P183" s="13"/>
      <c r="Q183" s="19"/>
      <c r="R183" s="13"/>
      <c r="S183" s="19"/>
      <c r="T183" s="13"/>
      <c r="U183" s="19"/>
      <c r="V183" s="13"/>
      <c r="W183" s="482"/>
      <c r="X183" s="460"/>
      <c r="Y183" s="557"/>
      <c r="Z183" s="460"/>
      <c r="AA183" s="557"/>
      <c r="AB183" s="460"/>
      <c r="AC183" s="557"/>
      <c r="AD183" s="460"/>
      <c r="AE183" s="557"/>
      <c r="AF183" s="460"/>
      <c r="AG183" s="557"/>
      <c r="AH183" s="460"/>
    </row>
    <row r="184" spans="1:34">
      <c r="A184" s="14"/>
      <c r="B184" s="15"/>
      <c r="C184" s="16"/>
      <c r="D184" s="17"/>
      <c r="E184" s="12"/>
      <c r="F184" s="18"/>
      <c r="G184" s="19"/>
      <c r="H184" s="13"/>
      <c r="I184" s="19"/>
      <c r="J184" s="13"/>
      <c r="K184" s="19"/>
      <c r="L184" s="13"/>
      <c r="M184" s="19"/>
      <c r="N184" s="13"/>
      <c r="O184" s="19"/>
      <c r="P184" s="13"/>
      <c r="Q184" s="19"/>
      <c r="R184" s="13"/>
      <c r="S184" s="19"/>
      <c r="T184" s="13"/>
      <c r="U184" s="19"/>
      <c r="V184" s="13"/>
      <c r="W184" s="482"/>
      <c r="X184" s="460"/>
      <c r="Y184" s="557"/>
      <c r="Z184" s="460"/>
      <c r="AA184" s="557"/>
      <c r="AB184" s="460"/>
      <c r="AC184" s="557"/>
      <c r="AD184" s="460"/>
      <c r="AE184" s="557"/>
      <c r="AF184" s="460"/>
      <c r="AG184" s="557"/>
      <c r="AH184" s="460"/>
    </row>
    <row r="185" spans="1:34">
      <c r="A185" s="14"/>
      <c r="B185" s="15"/>
      <c r="C185" s="16"/>
      <c r="D185" s="17"/>
      <c r="E185" s="12"/>
      <c r="F185" s="18"/>
      <c r="G185" s="19"/>
      <c r="H185" s="13"/>
      <c r="I185" s="19"/>
      <c r="J185" s="13"/>
      <c r="K185" s="19"/>
      <c r="L185" s="13"/>
      <c r="M185" s="19"/>
      <c r="N185" s="13"/>
      <c r="O185" s="19"/>
      <c r="P185" s="13"/>
      <c r="Q185" s="19"/>
      <c r="R185" s="13"/>
      <c r="S185" s="19"/>
      <c r="T185" s="13"/>
      <c r="U185" s="19"/>
      <c r="V185" s="13"/>
      <c r="W185" s="482"/>
      <c r="X185" s="460"/>
      <c r="Y185" s="557"/>
      <c r="Z185" s="460"/>
      <c r="AA185" s="557"/>
      <c r="AB185" s="460"/>
      <c r="AC185" s="557"/>
      <c r="AD185" s="460"/>
      <c r="AE185" s="557"/>
      <c r="AF185" s="460"/>
      <c r="AG185" s="557"/>
      <c r="AH185" s="460"/>
    </row>
    <row r="186" spans="1:34">
      <c r="A186" s="14"/>
      <c r="B186" s="15"/>
      <c r="C186" s="16"/>
      <c r="D186" s="17"/>
      <c r="E186" s="12"/>
      <c r="F186" s="18"/>
      <c r="G186" s="19"/>
      <c r="H186" s="13"/>
      <c r="I186" s="19"/>
      <c r="J186" s="13"/>
      <c r="K186" s="19"/>
      <c r="L186" s="13"/>
      <c r="M186" s="19"/>
      <c r="N186" s="13"/>
      <c r="O186" s="19"/>
      <c r="P186" s="13"/>
      <c r="Q186" s="19"/>
      <c r="R186" s="13"/>
      <c r="S186" s="19"/>
      <c r="T186" s="13"/>
      <c r="U186" s="19"/>
      <c r="V186" s="13"/>
      <c r="W186" s="482"/>
      <c r="X186" s="460"/>
      <c r="Y186" s="557"/>
      <c r="Z186" s="460"/>
      <c r="AA186" s="557"/>
      <c r="AB186" s="460"/>
      <c r="AC186" s="557"/>
      <c r="AD186" s="460"/>
      <c r="AE186" s="557"/>
      <c r="AF186" s="460"/>
      <c r="AG186" s="557"/>
      <c r="AH186" s="460"/>
    </row>
    <row r="187" spans="1:34">
      <c r="A187" s="14"/>
      <c r="B187" s="15"/>
      <c r="C187" s="16"/>
      <c r="D187" s="17"/>
      <c r="E187" s="12"/>
      <c r="F187" s="18"/>
      <c r="G187" s="19"/>
      <c r="H187" s="13"/>
      <c r="I187" s="19"/>
      <c r="J187" s="13"/>
      <c r="K187" s="19"/>
      <c r="L187" s="13"/>
      <c r="M187" s="19"/>
      <c r="N187" s="13"/>
      <c r="O187" s="19"/>
      <c r="P187" s="13"/>
      <c r="Q187" s="19"/>
      <c r="R187" s="13"/>
      <c r="S187" s="19"/>
      <c r="T187" s="13"/>
      <c r="U187" s="19"/>
      <c r="V187" s="13"/>
      <c r="W187" s="482"/>
      <c r="X187" s="460"/>
      <c r="Y187" s="557"/>
      <c r="Z187" s="460"/>
      <c r="AA187" s="557"/>
      <c r="AB187" s="460"/>
      <c r="AC187" s="557"/>
      <c r="AD187" s="460"/>
      <c r="AE187" s="557"/>
      <c r="AF187" s="460"/>
      <c r="AG187" s="557"/>
      <c r="AH187" s="460"/>
    </row>
    <row r="188" spans="1:34">
      <c r="A188" s="14"/>
      <c r="B188" s="15"/>
      <c r="C188" s="16"/>
      <c r="D188" s="17"/>
      <c r="E188" s="12"/>
      <c r="F188" s="18"/>
      <c r="G188" s="19"/>
      <c r="H188" s="13"/>
      <c r="I188" s="19"/>
      <c r="J188" s="13"/>
      <c r="K188" s="19"/>
      <c r="L188" s="13"/>
      <c r="M188" s="19"/>
      <c r="N188" s="13"/>
      <c r="O188" s="19"/>
      <c r="P188" s="13"/>
      <c r="Q188" s="19"/>
      <c r="R188" s="13"/>
      <c r="S188" s="19"/>
      <c r="T188" s="13"/>
      <c r="U188" s="19"/>
      <c r="V188" s="13"/>
      <c r="W188" s="482"/>
      <c r="X188" s="460"/>
      <c r="Y188" s="557"/>
      <c r="Z188" s="460"/>
      <c r="AA188" s="557"/>
      <c r="AB188" s="460"/>
      <c r="AC188" s="557"/>
      <c r="AD188" s="460"/>
      <c r="AE188" s="557"/>
      <c r="AF188" s="460"/>
      <c r="AG188" s="557"/>
      <c r="AH188" s="460"/>
    </row>
    <row r="189" spans="1:34">
      <c r="A189" s="14"/>
      <c r="B189" s="15"/>
      <c r="C189" s="16"/>
      <c r="D189" s="17"/>
      <c r="E189" s="12"/>
      <c r="F189" s="18"/>
      <c r="G189" s="19"/>
      <c r="H189" s="13"/>
      <c r="I189" s="19"/>
      <c r="J189" s="13"/>
      <c r="K189" s="19"/>
      <c r="L189" s="13"/>
      <c r="M189" s="19"/>
      <c r="N189" s="13"/>
      <c r="O189" s="19"/>
      <c r="P189" s="13"/>
      <c r="Q189" s="19"/>
      <c r="R189" s="13"/>
      <c r="S189" s="19"/>
      <c r="T189" s="13"/>
      <c r="U189" s="19"/>
      <c r="V189" s="13"/>
      <c r="W189" s="482"/>
      <c r="X189" s="460"/>
      <c r="Y189" s="557"/>
      <c r="Z189" s="460"/>
      <c r="AA189" s="557"/>
      <c r="AB189" s="460"/>
      <c r="AC189" s="557"/>
      <c r="AD189" s="460"/>
      <c r="AE189" s="557"/>
      <c r="AF189" s="460"/>
      <c r="AG189" s="557"/>
      <c r="AH189" s="460"/>
    </row>
    <row r="190" spans="1:34">
      <c r="A190" s="14"/>
      <c r="B190" s="15"/>
      <c r="C190" s="16"/>
      <c r="D190" s="17"/>
      <c r="E190" s="12"/>
      <c r="F190" s="18"/>
      <c r="G190" s="19"/>
      <c r="H190" s="13"/>
      <c r="I190" s="19"/>
      <c r="J190" s="13"/>
      <c r="K190" s="19"/>
      <c r="L190" s="13"/>
      <c r="M190" s="19"/>
      <c r="N190" s="13"/>
      <c r="O190" s="19"/>
      <c r="P190" s="13"/>
      <c r="Q190" s="19"/>
      <c r="R190" s="13"/>
      <c r="S190" s="19"/>
      <c r="T190" s="13"/>
      <c r="U190" s="19"/>
      <c r="V190" s="13"/>
      <c r="W190" s="482"/>
      <c r="X190" s="460"/>
      <c r="Y190" s="557"/>
      <c r="Z190" s="460"/>
      <c r="AA190" s="557"/>
      <c r="AB190" s="460"/>
      <c r="AC190" s="557"/>
      <c r="AD190" s="460"/>
      <c r="AE190" s="557"/>
      <c r="AF190" s="460"/>
      <c r="AG190" s="557"/>
      <c r="AH190" s="460"/>
    </row>
    <row r="191" spans="1:34">
      <c r="A191" s="14"/>
      <c r="B191" s="15"/>
      <c r="C191" s="16"/>
      <c r="D191" s="17"/>
      <c r="E191" s="12"/>
      <c r="F191" s="18"/>
      <c r="G191" s="19"/>
      <c r="H191" s="13"/>
      <c r="I191" s="19"/>
      <c r="J191" s="13"/>
      <c r="K191" s="19"/>
      <c r="L191" s="13"/>
      <c r="M191" s="19"/>
      <c r="N191" s="13"/>
      <c r="O191" s="19"/>
      <c r="P191" s="13"/>
      <c r="Q191" s="19"/>
      <c r="R191" s="13"/>
      <c r="S191" s="19"/>
      <c r="T191" s="13"/>
      <c r="U191" s="19"/>
      <c r="V191" s="13"/>
      <c r="W191" s="482"/>
      <c r="X191" s="460"/>
      <c r="Y191" s="557"/>
      <c r="Z191" s="460"/>
      <c r="AA191" s="557"/>
      <c r="AB191" s="460"/>
      <c r="AC191" s="557"/>
      <c r="AD191" s="460"/>
      <c r="AE191" s="557"/>
      <c r="AF191" s="460"/>
      <c r="AG191" s="557"/>
      <c r="AH191" s="460"/>
    </row>
    <row r="192" spans="1:34">
      <c r="A192" s="14"/>
      <c r="B192" s="15"/>
      <c r="C192" s="16"/>
      <c r="D192" s="17"/>
      <c r="E192" s="12"/>
      <c r="F192" s="18"/>
      <c r="G192" s="19"/>
      <c r="H192" s="13"/>
      <c r="I192" s="19"/>
      <c r="J192" s="13"/>
      <c r="K192" s="19"/>
      <c r="L192" s="13"/>
      <c r="M192" s="19"/>
      <c r="N192" s="13"/>
      <c r="O192" s="19"/>
      <c r="P192" s="13"/>
      <c r="Q192" s="19"/>
      <c r="R192" s="13"/>
      <c r="S192" s="19"/>
      <c r="T192" s="13"/>
      <c r="U192" s="19"/>
      <c r="V192" s="13"/>
      <c r="W192" s="482"/>
      <c r="X192" s="460"/>
      <c r="Y192" s="557"/>
      <c r="Z192" s="460"/>
      <c r="AA192" s="557"/>
      <c r="AB192" s="460"/>
      <c r="AC192" s="557"/>
      <c r="AD192" s="460"/>
      <c r="AE192" s="557"/>
      <c r="AF192" s="460"/>
      <c r="AG192" s="557"/>
      <c r="AH192" s="460"/>
    </row>
    <row r="193" spans="1:34">
      <c r="A193" s="14"/>
      <c r="B193" s="15"/>
      <c r="C193" s="16"/>
      <c r="D193" s="17"/>
      <c r="E193" s="12"/>
      <c r="F193" s="18"/>
      <c r="G193" s="19"/>
      <c r="H193" s="13"/>
      <c r="I193" s="19"/>
      <c r="J193" s="13"/>
      <c r="K193" s="19"/>
      <c r="L193" s="13"/>
      <c r="M193" s="19"/>
      <c r="N193" s="13"/>
      <c r="O193" s="19"/>
      <c r="P193" s="13"/>
      <c r="Q193" s="19"/>
      <c r="R193" s="13"/>
      <c r="S193" s="19"/>
      <c r="T193" s="13"/>
      <c r="U193" s="19"/>
      <c r="V193" s="13"/>
      <c r="W193" s="482"/>
      <c r="X193" s="460"/>
      <c r="Y193" s="557"/>
      <c r="Z193" s="460"/>
      <c r="AA193" s="557"/>
      <c r="AB193" s="460"/>
      <c r="AC193" s="557"/>
      <c r="AD193" s="460"/>
      <c r="AE193" s="557"/>
      <c r="AF193" s="460"/>
      <c r="AG193" s="557"/>
      <c r="AH193" s="460"/>
    </row>
    <row r="194" spans="1:34">
      <c r="A194" s="14"/>
      <c r="B194" s="15"/>
      <c r="C194" s="16"/>
      <c r="D194" s="17"/>
      <c r="E194" s="12"/>
      <c r="F194" s="18"/>
      <c r="G194" s="19"/>
      <c r="H194" s="13"/>
      <c r="I194" s="19"/>
      <c r="J194" s="13"/>
      <c r="K194" s="19"/>
      <c r="L194" s="13"/>
      <c r="M194" s="19"/>
      <c r="N194" s="13"/>
      <c r="O194" s="19"/>
      <c r="P194" s="13"/>
      <c r="Q194" s="19"/>
      <c r="R194" s="13"/>
      <c r="S194" s="19"/>
      <c r="T194" s="13"/>
      <c r="U194" s="19"/>
      <c r="V194" s="13"/>
      <c r="W194" s="482"/>
      <c r="X194" s="460"/>
      <c r="Y194" s="557"/>
      <c r="Z194" s="460"/>
      <c r="AA194" s="557"/>
      <c r="AB194" s="460"/>
      <c r="AC194" s="557"/>
      <c r="AD194" s="460"/>
      <c r="AE194" s="557"/>
      <c r="AF194" s="460"/>
      <c r="AG194" s="557"/>
      <c r="AH194" s="460"/>
    </row>
    <row r="195" spans="1:34">
      <c r="A195" s="14"/>
      <c r="B195" s="15"/>
      <c r="C195" s="16"/>
      <c r="D195" s="17"/>
      <c r="E195" s="12"/>
      <c r="F195" s="18"/>
      <c r="G195" s="19"/>
      <c r="H195" s="13"/>
      <c r="I195" s="19"/>
      <c r="J195" s="13"/>
      <c r="K195" s="19"/>
      <c r="L195" s="13"/>
      <c r="M195" s="19"/>
      <c r="N195" s="13"/>
      <c r="O195" s="19"/>
      <c r="P195" s="13"/>
      <c r="Q195" s="19"/>
      <c r="R195" s="13"/>
      <c r="S195" s="19"/>
      <c r="T195" s="13"/>
      <c r="U195" s="19"/>
      <c r="V195" s="13"/>
      <c r="W195" s="482"/>
      <c r="X195" s="460"/>
      <c r="Y195" s="557"/>
      <c r="Z195" s="460"/>
      <c r="AA195" s="557"/>
      <c r="AB195" s="460"/>
      <c r="AC195" s="557"/>
      <c r="AD195" s="460"/>
      <c r="AE195" s="557"/>
      <c r="AF195" s="460"/>
      <c r="AG195" s="557"/>
      <c r="AH195" s="460"/>
    </row>
    <row r="196" spans="1:34">
      <c r="A196" s="14"/>
      <c r="B196" s="15"/>
      <c r="C196" s="16"/>
      <c r="D196" s="17"/>
      <c r="E196" s="12"/>
      <c r="F196" s="18"/>
      <c r="G196" s="19"/>
      <c r="H196" s="13"/>
      <c r="I196" s="19"/>
      <c r="J196" s="13"/>
      <c r="K196" s="19"/>
      <c r="L196" s="13"/>
      <c r="M196" s="19"/>
      <c r="N196" s="13"/>
      <c r="O196" s="19"/>
      <c r="P196" s="13"/>
      <c r="Q196" s="19"/>
      <c r="R196" s="13"/>
      <c r="S196" s="19"/>
      <c r="T196" s="13"/>
      <c r="U196" s="19"/>
      <c r="V196" s="13"/>
      <c r="W196" s="482"/>
      <c r="X196" s="460"/>
      <c r="Y196" s="557"/>
      <c r="Z196" s="460"/>
      <c r="AA196" s="557"/>
      <c r="AB196" s="460"/>
      <c r="AC196" s="557"/>
      <c r="AD196" s="460"/>
      <c r="AE196" s="557"/>
      <c r="AF196" s="460"/>
      <c r="AG196" s="557"/>
      <c r="AH196" s="460"/>
    </row>
    <row r="197" spans="1:34">
      <c r="A197" s="14"/>
      <c r="B197" s="15"/>
      <c r="C197" s="16"/>
      <c r="D197" s="17"/>
      <c r="E197" s="12"/>
      <c r="F197" s="18"/>
      <c r="G197" s="19"/>
      <c r="H197" s="13"/>
      <c r="I197" s="19"/>
      <c r="J197" s="13"/>
      <c r="K197" s="19"/>
      <c r="L197" s="13"/>
      <c r="M197" s="19"/>
      <c r="N197" s="13"/>
      <c r="O197" s="19"/>
      <c r="P197" s="13"/>
      <c r="Q197" s="19"/>
      <c r="R197" s="13"/>
      <c r="S197" s="19"/>
      <c r="T197" s="13"/>
      <c r="U197" s="19"/>
      <c r="V197" s="13"/>
      <c r="W197" s="482"/>
      <c r="X197" s="460"/>
      <c r="Y197" s="557"/>
      <c r="Z197" s="460"/>
      <c r="AA197" s="557"/>
      <c r="AB197" s="460"/>
      <c r="AC197" s="557"/>
      <c r="AD197" s="460"/>
      <c r="AE197" s="557"/>
      <c r="AF197" s="460"/>
      <c r="AG197" s="557"/>
      <c r="AH197" s="460"/>
    </row>
    <row r="198" spans="1:34">
      <c r="A198" s="14"/>
      <c r="B198" s="15"/>
      <c r="C198" s="16"/>
      <c r="D198" s="17"/>
      <c r="E198" s="12"/>
      <c r="F198" s="18"/>
      <c r="G198" s="19"/>
      <c r="H198" s="13"/>
      <c r="I198" s="19"/>
      <c r="J198" s="13"/>
      <c r="K198" s="19"/>
      <c r="L198" s="13"/>
      <c r="M198" s="19"/>
      <c r="N198" s="13"/>
      <c r="O198" s="19"/>
      <c r="P198" s="13"/>
      <c r="Q198" s="19"/>
      <c r="R198" s="13"/>
      <c r="S198" s="19"/>
      <c r="T198" s="13"/>
      <c r="U198" s="19"/>
      <c r="V198" s="13"/>
      <c r="W198" s="482"/>
      <c r="X198" s="460"/>
      <c r="Y198" s="557"/>
      <c r="Z198" s="460"/>
      <c r="AA198" s="557"/>
      <c r="AB198" s="460"/>
      <c r="AC198" s="557"/>
      <c r="AD198" s="460"/>
      <c r="AE198" s="557"/>
      <c r="AF198" s="460"/>
      <c r="AG198" s="557"/>
      <c r="AH198" s="460"/>
    </row>
    <row r="199" spans="1:34">
      <c r="A199" s="14"/>
      <c r="B199" s="15"/>
      <c r="C199" s="16"/>
      <c r="D199" s="17"/>
      <c r="E199" s="12"/>
      <c r="F199" s="18"/>
      <c r="G199" s="19"/>
      <c r="H199" s="13"/>
      <c r="I199" s="19"/>
      <c r="J199" s="13"/>
      <c r="K199" s="19"/>
      <c r="L199" s="13"/>
      <c r="M199" s="19"/>
      <c r="N199" s="13"/>
      <c r="O199" s="19"/>
      <c r="P199" s="13"/>
      <c r="Q199" s="19"/>
      <c r="R199" s="13"/>
      <c r="S199" s="19"/>
      <c r="T199" s="13"/>
      <c r="U199" s="19"/>
      <c r="V199" s="13"/>
      <c r="W199" s="482"/>
      <c r="X199" s="460"/>
      <c r="Y199" s="557"/>
      <c r="Z199" s="460"/>
      <c r="AA199" s="557"/>
      <c r="AB199" s="460"/>
      <c r="AC199" s="557"/>
      <c r="AD199" s="460"/>
      <c r="AE199" s="557"/>
      <c r="AF199" s="460"/>
      <c r="AG199" s="557"/>
      <c r="AH199" s="460"/>
    </row>
    <row r="200" spans="1:34">
      <c r="A200" s="14"/>
      <c r="B200" s="15"/>
      <c r="C200" s="16"/>
      <c r="D200" s="17"/>
      <c r="E200" s="12"/>
      <c r="F200" s="18"/>
      <c r="G200" s="19"/>
      <c r="H200" s="13"/>
      <c r="I200" s="19"/>
      <c r="J200" s="13"/>
      <c r="K200" s="19"/>
      <c r="L200" s="13"/>
      <c r="M200" s="19"/>
      <c r="N200" s="13"/>
      <c r="O200" s="19"/>
      <c r="P200" s="13"/>
      <c r="Q200" s="19"/>
      <c r="R200" s="13"/>
      <c r="S200" s="19"/>
      <c r="T200" s="13"/>
      <c r="U200" s="19"/>
      <c r="V200" s="13"/>
      <c r="W200" s="482"/>
      <c r="X200" s="460"/>
      <c r="Y200" s="557"/>
      <c r="Z200" s="460"/>
      <c r="AA200" s="557"/>
      <c r="AB200" s="460"/>
      <c r="AC200" s="557"/>
      <c r="AD200" s="460"/>
      <c r="AE200" s="557"/>
      <c r="AF200" s="460"/>
      <c r="AG200" s="557"/>
      <c r="AH200" s="460"/>
    </row>
    <row r="201" spans="1:34">
      <c r="A201" s="14"/>
      <c r="B201" s="15"/>
      <c r="C201" s="16"/>
      <c r="D201" s="17"/>
      <c r="E201" s="12"/>
      <c r="F201" s="18"/>
      <c r="G201" s="19"/>
      <c r="H201" s="13"/>
      <c r="I201" s="19"/>
      <c r="J201" s="13"/>
      <c r="K201" s="19"/>
      <c r="L201" s="13"/>
      <c r="M201" s="19"/>
      <c r="N201" s="13"/>
      <c r="O201" s="19"/>
      <c r="P201" s="13"/>
      <c r="Q201" s="19"/>
      <c r="R201" s="13"/>
      <c r="S201" s="19"/>
      <c r="T201" s="13"/>
      <c r="U201" s="19"/>
      <c r="V201" s="13"/>
      <c r="W201" s="482"/>
      <c r="X201" s="460"/>
      <c r="Y201" s="557"/>
      <c r="Z201" s="460"/>
      <c r="AA201" s="557"/>
      <c r="AB201" s="460"/>
      <c r="AC201" s="557"/>
      <c r="AD201" s="460"/>
      <c r="AE201" s="557"/>
      <c r="AF201" s="460"/>
      <c r="AG201" s="557"/>
      <c r="AH201" s="460"/>
    </row>
    <row r="202" spans="1:34">
      <c r="A202" s="14"/>
      <c r="B202" s="15"/>
      <c r="C202" s="16"/>
      <c r="D202" s="17"/>
      <c r="E202" s="12"/>
      <c r="F202" s="18"/>
      <c r="G202" s="19"/>
      <c r="H202" s="13"/>
      <c r="I202" s="19"/>
      <c r="J202" s="13"/>
      <c r="K202" s="19"/>
      <c r="L202" s="13"/>
      <c r="M202" s="19"/>
      <c r="N202" s="13"/>
      <c r="O202" s="19"/>
      <c r="P202" s="13"/>
      <c r="Q202" s="19"/>
      <c r="R202" s="13"/>
      <c r="S202" s="19"/>
      <c r="T202" s="13"/>
      <c r="U202" s="19"/>
      <c r="V202" s="13"/>
      <c r="W202" s="482"/>
      <c r="X202" s="460"/>
      <c r="Y202" s="557"/>
      <c r="Z202" s="460"/>
      <c r="AA202" s="557"/>
      <c r="AB202" s="460"/>
      <c r="AC202" s="557"/>
      <c r="AD202" s="460"/>
      <c r="AE202" s="557"/>
      <c r="AF202" s="460"/>
      <c r="AG202" s="557"/>
      <c r="AH202" s="460"/>
    </row>
    <row r="203" spans="1:34">
      <c r="A203" s="14"/>
      <c r="B203" s="15"/>
      <c r="C203" s="16"/>
      <c r="D203" s="17"/>
      <c r="E203" s="12"/>
      <c r="F203" s="18"/>
      <c r="G203" s="19"/>
      <c r="H203" s="13"/>
      <c r="I203" s="19"/>
      <c r="J203" s="13"/>
      <c r="K203" s="19"/>
      <c r="L203" s="13"/>
      <c r="M203" s="19"/>
      <c r="N203" s="13"/>
      <c r="O203" s="19"/>
      <c r="P203" s="13"/>
      <c r="Q203" s="19"/>
      <c r="R203" s="13"/>
      <c r="S203" s="19"/>
      <c r="T203" s="13"/>
      <c r="U203" s="19"/>
      <c r="V203" s="13"/>
      <c r="W203" s="482"/>
      <c r="X203" s="460"/>
      <c r="Y203" s="557"/>
      <c r="Z203" s="460"/>
      <c r="AA203" s="557"/>
      <c r="AB203" s="460"/>
      <c r="AC203" s="557"/>
      <c r="AD203" s="460"/>
      <c r="AE203" s="557"/>
      <c r="AF203" s="460"/>
      <c r="AG203" s="557"/>
      <c r="AH203" s="460"/>
    </row>
    <row r="204" spans="1:34">
      <c r="A204" s="14"/>
      <c r="B204" s="15"/>
      <c r="C204" s="16"/>
      <c r="D204" s="17"/>
      <c r="E204" s="12"/>
      <c r="F204" s="18"/>
      <c r="G204" s="19"/>
      <c r="H204" s="13"/>
      <c r="I204" s="19"/>
      <c r="J204" s="13"/>
      <c r="K204" s="19"/>
      <c r="L204" s="13"/>
      <c r="M204" s="19"/>
      <c r="N204" s="13"/>
      <c r="O204" s="19"/>
      <c r="P204" s="13"/>
      <c r="Q204" s="19"/>
      <c r="R204" s="13"/>
      <c r="S204" s="19"/>
      <c r="T204" s="13"/>
      <c r="U204" s="19"/>
      <c r="V204" s="13"/>
      <c r="W204" s="482"/>
      <c r="X204" s="460"/>
      <c r="Y204" s="557"/>
      <c r="Z204" s="460"/>
      <c r="AA204" s="557"/>
      <c r="AB204" s="460"/>
      <c r="AC204" s="557"/>
      <c r="AD204" s="460"/>
      <c r="AE204" s="557"/>
      <c r="AF204" s="460"/>
      <c r="AG204" s="557"/>
      <c r="AH204" s="460"/>
    </row>
    <row r="205" spans="1:34">
      <c r="A205" s="14"/>
      <c r="B205" s="15"/>
      <c r="C205" s="16"/>
      <c r="D205" s="17"/>
      <c r="E205" s="12"/>
      <c r="F205" s="18"/>
      <c r="G205" s="19"/>
      <c r="H205" s="13"/>
      <c r="I205" s="19"/>
      <c r="J205" s="13"/>
      <c r="K205" s="19"/>
      <c r="L205" s="13"/>
      <c r="M205" s="19"/>
      <c r="N205" s="13"/>
      <c r="O205" s="19"/>
      <c r="P205" s="13"/>
      <c r="Q205" s="19"/>
      <c r="R205" s="13"/>
      <c r="S205" s="19"/>
      <c r="T205" s="13"/>
      <c r="U205" s="19"/>
      <c r="V205" s="13"/>
      <c r="W205" s="482"/>
      <c r="X205" s="460"/>
      <c r="Y205" s="557"/>
      <c r="Z205" s="460"/>
      <c r="AA205" s="557"/>
      <c r="AB205" s="460"/>
      <c r="AC205" s="557"/>
      <c r="AD205" s="460"/>
      <c r="AE205" s="557"/>
      <c r="AF205" s="460"/>
      <c r="AG205" s="557"/>
      <c r="AH205" s="460"/>
    </row>
    <row r="206" spans="1:34">
      <c r="A206" s="14"/>
      <c r="B206" s="15"/>
      <c r="C206" s="16"/>
      <c r="D206" s="17"/>
      <c r="E206" s="12"/>
      <c r="F206" s="18"/>
      <c r="G206" s="19"/>
      <c r="H206" s="13"/>
      <c r="I206" s="19"/>
      <c r="J206" s="13"/>
      <c r="K206" s="19"/>
      <c r="L206" s="13"/>
      <c r="M206" s="19"/>
      <c r="N206" s="13"/>
      <c r="O206" s="19"/>
      <c r="P206" s="13"/>
      <c r="Q206" s="19"/>
      <c r="R206" s="13"/>
      <c r="S206" s="19"/>
      <c r="T206" s="13"/>
      <c r="U206" s="19"/>
      <c r="V206" s="13"/>
      <c r="W206" s="482"/>
      <c r="X206" s="460"/>
      <c r="Y206" s="557"/>
      <c r="Z206" s="460"/>
      <c r="AA206" s="557"/>
      <c r="AB206" s="460"/>
      <c r="AC206" s="557"/>
      <c r="AD206" s="460"/>
      <c r="AE206" s="557"/>
      <c r="AF206" s="460"/>
      <c r="AG206" s="557"/>
      <c r="AH206" s="460"/>
    </row>
    <row r="207" spans="1:34">
      <c r="A207" s="14"/>
      <c r="B207" s="15"/>
      <c r="C207" s="16"/>
      <c r="D207" s="17"/>
      <c r="E207" s="12"/>
      <c r="F207" s="18"/>
      <c r="G207" s="19"/>
      <c r="H207" s="13"/>
      <c r="I207" s="19"/>
      <c r="J207" s="13"/>
      <c r="K207" s="19"/>
      <c r="L207" s="13"/>
      <c r="M207" s="19"/>
      <c r="N207" s="13"/>
      <c r="O207" s="19"/>
      <c r="P207" s="13"/>
      <c r="Q207" s="19"/>
      <c r="R207" s="13"/>
      <c r="S207" s="19"/>
      <c r="T207" s="13"/>
      <c r="U207" s="19"/>
      <c r="V207" s="13"/>
      <c r="W207" s="482"/>
      <c r="X207" s="460"/>
      <c r="Y207" s="557"/>
      <c r="Z207" s="460"/>
      <c r="AA207" s="557"/>
      <c r="AB207" s="460"/>
      <c r="AC207" s="557"/>
      <c r="AD207" s="460"/>
      <c r="AE207" s="557"/>
      <c r="AF207" s="460"/>
      <c r="AG207" s="557"/>
      <c r="AH207" s="460"/>
    </row>
    <row r="208" spans="1:34">
      <c r="A208" s="14"/>
      <c r="B208" s="15"/>
      <c r="C208" s="16"/>
      <c r="D208" s="17"/>
      <c r="E208" s="12"/>
      <c r="F208" s="18"/>
      <c r="G208" s="19"/>
      <c r="H208" s="13"/>
      <c r="I208" s="19"/>
      <c r="J208" s="13"/>
      <c r="K208" s="19"/>
      <c r="L208" s="13"/>
      <c r="M208" s="19"/>
      <c r="N208" s="13"/>
      <c r="O208" s="19"/>
      <c r="P208" s="13"/>
      <c r="Q208" s="19"/>
      <c r="R208" s="13"/>
      <c r="S208" s="19"/>
      <c r="T208" s="13"/>
      <c r="U208" s="19"/>
      <c r="V208" s="13"/>
      <c r="W208" s="482"/>
      <c r="X208" s="460"/>
      <c r="Y208" s="557"/>
      <c r="Z208" s="460"/>
      <c r="AA208" s="557"/>
      <c r="AB208" s="460"/>
      <c r="AC208" s="557"/>
      <c r="AD208" s="460"/>
      <c r="AE208" s="557"/>
      <c r="AF208" s="460"/>
      <c r="AG208" s="557"/>
      <c r="AH208" s="460"/>
    </row>
    <row r="209" spans="1:34">
      <c r="A209" s="14"/>
      <c r="B209" s="15"/>
      <c r="C209" s="16"/>
      <c r="D209" s="17"/>
      <c r="E209" s="12"/>
      <c r="F209" s="18"/>
      <c r="G209" s="19"/>
      <c r="H209" s="13"/>
      <c r="I209" s="19"/>
      <c r="J209" s="13"/>
      <c r="K209" s="19"/>
      <c r="L209" s="13"/>
      <c r="M209" s="19"/>
      <c r="N209" s="13"/>
      <c r="O209" s="19"/>
      <c r="P209" s="13"/>
      <c r="Q209" s="19"/>
      <c r="R209" s="13"/>
      <c r="S209" s="19"/>
      <c r="T209" s="13"/>
      <c r="U209" s="19"/>
      <c r="V209" s="13"/>
      <c r="W209" s="482"/>
      <c r="X209" s="460"/>
      <c r="Y209" s="557"/>
      <c r="Z209" s="460"/>
      <c r="AA209" s="557"/>
      <c r="AB209" s="460"/>
      <c r="AC209" s="557"/>
      <c r="AD209" s="460"/>
      <c r="AE209" s="557"/>
      <c r="AF209" s="460"/>
      <c r="AG209" s="557"/>
      <c r="AH209" s="460"/>
    </row>
    <row r="210" spans="1:34">
      <c r="A210" s="14"/>
      <c r="B210" s="15"/>
      <c r="C210" s="16"/>
      <c r="D210" s="17"/>
      <c r="E210" s="12"/>
      <c r="F210" s="18"/>
      <c r="G210" s="19"/>
      <c r="H210" s="13"/>
      <c r="I210" s="19"/>
      <c r="J210" s="13"/>
      <c r="K210" s="19"/>
      <c r="L210" s="13"/>
      <c r="M210" s="19"/>
      <c r="N210" s="13"/>
      <c r="O210" s="19"/>
      <c r="P210" s="13"/>
      <c r="Q210" s="19"/>
      <c r="R210" s="13"/>
      <c r="S210" s="19"/>
      <c r="T210" s="13"/>
      <c r="U210" s="19"/>
      <c r="V210" s="13"/>
      <c r="W210" s="482"/>
      <c r="X210" s="460"/>
      <c r="Y210" s="557"/>
      <c r="Z210" s="460"/>
      <c r="AA210" s="557"/>
      <c r="AB210" s="460"/>
      <c r="AC210" s="557"/>
      <c r="AD210" s="460"/>
      <c r="AE210" s="557"/>
      <c r="AF210" s="460"/>
      <c r="AG210" s="557"/>
      <c r="AH210" s="460"/>
    </row>
    <row r="211" spans="1:34">
      <c r="A211" s="14"/>
      <c r="B211" s="15"/>
      <c r="C211" s="16"/>
      <c r="D211" s="17"/>
      <c r="E211" s="12"/>
      <c r="F211" s="18"/>
      <c r="G211" s="19"/>
      <c r="H211" s="13"/>
      <c r="I211" s="19"/>
      <c r="J211" s="13"/>
      <c r="K211" s="19"/>
      <c r="L211" s="13"/>
      <c r="M211" s="19"/>
      <c r="N211" s="13"/>
      <c r="O211" s="19"/>
      <c r="P211" s="13"/>
      <c r="Q211" s="19"/>
      <c r="R211" s="13"/>
      <c r="S211" s="19"/>
      <c r="T211" s="13"/>
      <c r="U211" s="19"/>
      <c r="V211" s="13"/>
      <c r="W211" s="482"/>
      <c r="X211" s="460"/>
      <c r="Y211" s="557"/>
      <c r="Z211" s="460"/>
      <c r="AA211" s="557"/>
      <c r="AB211" s="460"/>
      <c r="AC211" s="557"/>
      <c r="AD211" s="460"/>
      <c r="AE211" s="557"/>
      <c r="AF211" s="460"/>
      <c r="AG211" s="557"/>
      <c r="AH211" s="460"/>
    </row>
    <row r="212" spans="1:34">
      <c r="A212" s="14"/>
      <c r="B212" s="15"/>
      <c r="C212" s="16"/>
      <c r="D212" s="17"/>
      <c r="E212" s="12"/>
      <c r="F212" s="18"/>
      <c r="G212" s="19"/>
      <c r="H212" s="13"/>
      <c r="I212" s="19"/>
      <c r="J212" s="13"/>
      <c r="K212" s="19"/>
      <c r="L212" s="13"/>
      <c r="M212" s="19"/>
      <c r="N212" s="13"/>
      <c r="O212" s="19"/>
      <c r="P212" s="13"/>
      <c r="Q212" s="19"/>
      <c r="R212" s="13"/>
      <c r="S212" s="19"/>
      <c r="T212" s="13"/>
      <c r="U212" s="19"/>
      <c r="V212" s="13"/>
      <c r="W212" s="482"/>
      <c r="X212" s="460"/>
      <c r="Y212" s="557"/>
      <c r="Z212" s="460"/>
      <c r="AA212" s="557"/>
      <c r="AB212" s="460"/>
      <c r="AC212" s="557"/>
      <c r="AD212" s="460"/>
      <c r="AE212" s="557"/>
      <c r="AF212" s="460"/>
      <c r="AG212" s="557"/>
      <c r="AH212" s="460"/>
    </row>
    <row r="213" spans="1:34">
      <c r="A213" s="14"/>
      <c r="B213" s="15"/>
      <c r="C213" s="16"/>
      <c r="D213" s="17"/>
      <c r="E213" s="12"/>
      <c r="F213" s="18"/>
      <c r="G213" s="19"/>
      <c r="H213" s="13"/>
      <c r="I213" s="19"/>
      <c r="J213" s="13"/>
      <c r="K213" s="19"/>
      <c r="L213" s="13"/>
      <c r="M213" s="19"/>
      <c r="N213" s="13"/>
      <c r="O213" s="19"/>
      <c r="P213" s="13"/>
      <c r="Q213" s="19"/>
      <c r="R213" s="13"/>
      <c r="S213" s="19"/>
      <c r="T213" s="13"/>
      <c r="U213" s="19"/>
      <c r="V213" s="13"/>
      <c r="W213" s="482"/>
      <c r="X213" s="460"/>
      <c r="Y213" s="557"/>
      <c r="Z213" s="460"/>
      <c r="AA213" s="557"/>
      <c r="AB213" s="460"/>
      <c r="AC213" s="557"/>
      <c r="AD213" s="460"/>
      <c r="AE213" s="557"/>
      <c r="AF213" s="460"/>
      <c r="AG213" s="557"/>
      <c r="AH213" s="460"/>
    </row>
    <row r="214" spans="1:34">
      <c r="A214" s="14"/>
      <c r="B214" s="15"/>
      <c r="C214" s="16"/>
      <c r="D214" s="17"/>
      <c r="E214" s="12"/>
      <c r="F214" s="18"/>
      <c r="G214" s="19"/>
      <c r="H214" s="13"/>
      <c r="I214" s="19"/>
      <c r="J214" s="13"/>
      <c r="K214" s="19"/>
      <c r="L214" s="13"/>
      <c r="M214" s="19"/>
      <c r="N214" s="13"/>
      <c r="O214" s="19"/>
      <c r="P214" s="13"/>
      <c r="Q214" s="19"/>
      <c r="R214" s="13"/>
      <c r="S214" s="19"/>
      <c r="T214" s="13"/>
      <c r="U214" s="19"/>
      <c r="V214" s="13"/>
      <c r="W214" s="482"/>
      <c r="X214" s="460"/>
      <c r="Y214" s="557"/>
      <c r="Z214" s="460"/>
      <c r="AA214" s="557"/>
      <c r="AB214" s="460"/>
      <c r="AC214" s="557"/>
      <c r="AD214" s="460"/>
      <c r="AE214" s="557"/>
      <c r="AF214" s="460"/>
      <c r="AG214" s="557"/>
      <c r="AH214" s="460"/>
    </row>
    <row r="215" spans="1:34">
      <c r="A215" s="14"/>
      <c r="B215" s="15"/>
      <c r="C215" s="16"/>
      <c r="D215" s="17"/>
      <c r="E215" s="12"/>
      <c r="F215" s="18"/>
      <c r="G215" s="19"/>
      <c r="H215" s="13"/>
      <c r="I215" s="19"/>
      <c r="J215" s="13"/>
      <c r="K215" s="19"/>
      <c r="L215" s="13"/>
      <c r="M215" s="19"/>
      <c r="N215" s="13"/>
      <c r="O215" s="19"/>
      <c r="P215" s="13"/>
      <c r="Q215" s="19"/>
      <c r="R215" s="13"/>
      <c r="S215" s="19"/>
      <c r="T215" s="13"/>
      <c r="U215" s="19"/>
      <c r="V215" s="13"/>
      <c r="W215" s="482"/>
      <c r="X215" s="460"/>
      <c r="Y215" s="557"/>
      <c r="Z215" s="460"/>
      <c r="AA215" s="557"/>
      <c r="AB215" s="460"/>
      <c r="AC215" s="557"/>
      <c r="AD215" s="460"/>
      <c r="AE215" s="557"/>
      <c r="AF215" s="460"/>
      <c r="AG215" s="557"/>
      <c r="AH215" s="460"/>
    </row>
    <row r="216" spans="1:34">
      <c r="A216" s="14"/>
      <c r="B216" s="15"/>
      <c r="C216" s="16"/>
      <c r="D216" s="17"/>
      <c r="E216" s="12"/>
      <c r="F216" s="18"/>
      <c r="G216" s="19"/>
      <c r="H216" s="13"/>
      <c r="I216" s="19"/>
      <c r="J216" s="13"/>
      <c r="K216" s="19"/>
      <c r="L216" s="13"/>
      <c r="M216" s="19"/>
      <c r="N216" s="13"/>
      <c r="O216" s="19"/>
      <c r="P216" s="13"/>
      <c r="Q216" s="19"/>
      <c r="R216" s="13"/>
      <c r="S216" s="19"/>
      <c r="T216" s="13"/>
      <c r="U216" s="19"/>
      <c r="V216" s="13"/>
      <c r="W216" s="482"/>
      <c r="X216" s="460"/>
      <c r="Y216" s="557"/>
      <c r="Z216" s="460"/>
      <c r="AA216" s="557"/>
      <c r="AB216" s="460"/>
      <c r="AC216" s="557"/>
      <c r="AD216" s="460"/>
      <c r="AE216" s="557"/>
      <c r="AF216" s="460"/>
      <c r="AG216" s="557"/>
      <c r="AH216" s="460"/>
    </row>
    <row r="217" spans="1:34">
      <c r="A217" s="14"/>
      <c r="B217" s="15"/>
      <c r="C217" s="16"/>
      <c r="D217" s="17"/>
      <c r="E217" s="12"/>
      <c r="F217" s="18"/>
      <c r="G217" s="19"/>
      <c r="H217" s="13"/>
      <c r="I217" s="19"/>
      <c r="J217" s="13"/>
      <c r="K217" s="19"/>
      <c r="L217" s="13"/>
      <c r="M217" s="19"/>
      <c r="N217" s="13"/>
      <c r="O217" s="19"/>
      <c r="P217" s="13"/>
      <c r="Q217" s="19"/>
      <c r="R217" s="13"/>
      <c r="S217" s="19"/>
      <c r="T217" s="13"/>
      <c r="U217" s="19"/>
      <c r="V217" s="13"/>
      <c r="W217" s="482"/>
      <c r="X217" s="460"/>
      <c r="Y217" s="557"/>
      <c r="Z217" s="460"/>
      <c r="AA217" s="557"/>
      <c r="AB217" s="460"/>
      <c r="AC217" s="557"/>
      <c r="AD217" s="460"/>
      <c r="AE217" s="557"/>
      <c r="AF217" s="460"/>
      <c r="AG217" s="557"/>
      <c r="AH217" s="460"/>
    </row>
    <row r="218" spans="1:34">
      <c r="A218" s="14"/>
      <c r="B218" s="15"/>
      <c r="C218" s="16"/>
      <c r="D218" s="17"/>
      <c r="E218" s="12"/>
      <c r="F218" s="18"/>
      <c r="G218" s="19"/>
      <c r="H218" s="13"/>
      <c r="I218" s="19"/>
      <c r="J218" s="13"/>
      <c r="K218" s="19"/>
      <c r="L218" s="13"/>
      <c r="M218" s="19"/>
      <c r="N218" s="13"/>
      <c r="O218" s="19"/>
      <c r="P218" s="13"/>
      <c r="Q218" s="19"/>
      <c r="R218" s="13"/>
      <c r="S218" s="19"/>
      <c r="T218" s="13"/>
      <c r="U218" s="19"/>
      <c r="V218" s="13"/>
      <c r="W218" s="482"/>
      <c r="X218" s="460"/>
      <c r="Y218" s="557"/>
      <c r="Z218" s="460"/>
      <c r="AA218" s="557"/>
      <c r="AB218" s="460"/>
      <c r="AC218" s="557"/>
      <c r="AD218" s="460"/>
      <c r="AE218" s="557"/>
      <c r="AF218" s="460"/>
      <c r="AG218" s="557"/>
      <c r="AH218" s="460"/>
    </row>
    <row r="219" spans="1:34">
      <c r="A219" s="14"/>
      <c r="B219" s="15"/>
      <c r="C219" s="16"/>
      <c r="D219" s="17"/>
      <c r="E219" s="12"/>
      <c r="F219" s="18"/>
      <c r="G219" s="19"/>
      <c r="H219" s="13"/>
      <c r="I219" s="19"/>
      <c r="J219" s="13"/>
      <c r="K219" s="19"/>
      <c r="L219" s="13"/>
      <c r="M219" s="19"/>
      <c r="N219" s="13"/>
      <c r="O219" s="19"/>
      <c r="P219" s="13"/>
      <c r="Q219" s="19"/>
      <c r="R219" s="13"/>
      <c r="S219" s="19"/>
      <c r="T219" s="13"/>
      <c r="U219" s="19"/>
      <c r="V219" s="13"/>
      <c r="W219" s="482"/>
      <c r="X219" s="460"/>
      <c r="Y219" s="557"/>
      <c r="Z219" s="460"/>
      <c r="AA219" s="557"/>
      <c r="AB219" s="460"/>
      <c r="AC219" s="557"/>
      <c r="AD219" s="460"/>
      <c r="AE219" s="557"/>
      <c r="AF219" s="460"/>
      <c r="AG219" s="557"/>
      <c r="AH219" s="460"/>
    </row>
    <row r="220" spans="1:34">
      <c r="A220" s="14"/>
      <c r="B220" s="15"/>
      <c r="C220" s="16"/>
      <c r="D220" s="17"/>
      <c r="E220" s="12"/>
      <c r="F220" s="18"/>
      <c r="G220" s="19"/>
      <c r="H220" s="13"/>
      <c r="I220" s="19"/>
      <c r="J220" s="13"/>
      <c r="K220" s="19"/>
      <c r="L220" s="13"/>
      <c r="M220" s="19"/>
      <c r="N220" s="13"/>
      <c r="O220" s="19"/>
      <c r="P220" s="13"/>
      <c r="Q220" s="19"/>
      <c r="R220" s="13"/>
      <c r="S220" s="19"/>
      <c r="T220" s="13"/>
      <c r="U220" s="19"/>
      <c r="V220" s="13"/>
      <c r="W220" s="482"/>
      <c r="X220" s="460"/>
      <c r="Y220" s="557"/>
      <c r="Z220" s="460"/>
      <c r="AA220" s="557"/>
      <c r="AB220" s="460"/>
      <c r="AC220" s="557"/>
      <c r="AD220" s="460"/>
      <c r="AE220" s="557"/>
      <c r="AF220" s="460"/>
      <c r="AG220" s="557"/>
      <c r="AH220" s="460"/>
    </row>
    <row r="221" spans="1:34">
      <c r="A221" s="14"/>
      <c r="B221" s="15"/>
      <c r="C221" s="16"/>
      <c r="D221" s="17"/>
      <c r="E221" s="12"/>
      <c r="F221" s="18"/>
      <c r="G221" s="19"/>
      <c r="H221" s="13"/>
      <c r="I221" s="19"/>
      <c r="J221" s="13"/>
      <c r="K221" s="19"/>
      <c r="L221" s="13"/>
      <c r="M221" s="19"/>
      <c r="N221" s="13"/>
      <c r="O221" s="19"/>
      <c r="P221" s="13"/>
      <c r="Q221" s="19"/>
      <c r="R221" s="13"/>
      <c r="S221" s="19"/>
      <c r="T221" s="13"/>
      <c r="U221" s="19"/>
      <c r="V221" s="13"/>
      <c r="W221" s="482"/>
      <c r="X221" s="460"/>
      <c r="Y221" s="557"/>
      <c r="Z221" s="460"/>
      <c r="AA221" s="557"/>
      <c r="AB221" s="460"/>
      <c r="AC221" s="557"/>
      <c r="AD221" s="460"/>
      <c r="AE221" s="557"/>
      <c r="AF221" s="460"/>
      <c r="AG221" s="557"/>
      <c r="AH221" s="460"/>
    </row>
    <row r="222" spans="1:34">
      <c r="A222" s="14"/>
      <c r="B222" s="15"/>
      <c r="C222" s="16"/>
      <c r="D222" s="17"/>
      <c r="E222" s="12"/>
      <c r="F222" s="18"/>
      <c r="G222" s="19"/>
      <c r="H222" s="13"/>
      <c r="I222" s="19"/>
      <c r="J222" s="13"/>
      <c r="K222" s="19"/>
      <c r="L222" s="13"/>
      <c r="M222" s="19"/>
      <c r="N222" s="13"/>
      <c r="O222" s="19"/>
      <c r="P222" s="13"/>
      <c r="Q222" s="19"/>
      <c r="R222" s="13"/>
      <c r="S222" s="19"/>
      <c r="T222" s="13"/>
      <c r="U222" s="19"/>
      <c r="V222" s="13"/>
      <c r="W222" s="482"/>
      <c r="X222" s="460"/>
      <c r="Y222" s="557"/>
      <c r="Z222" s="460"/>
      <c r="AA222" s="557"/>
      <c r="AB222" s="460"/>
      <c r="AC222" s="557"/>
      <c r="AD222" s="460"/>
      <c r="AE222" s="557"/>
      <c r="AF222" s="460"/>
      <c r="AG222" s="557"/>
      <c r="AH222" s="460"/>
    </row>
    <row r="223" spans="1:34">
      <c r="A223" s="14"/>
      <c r="B223" s="15"/>
      <c r="C223" s="16"/>
      <c r="D223" s="17"/>
      <c r="E223" s="12"/>
      <c r="F223" s="18"/>
      <c r="G223" s="19"/>
      <c r="H223" s="13"/>
      <c r="I223" s="19"/>
      <c r="J223" s="13"/>
      <c r="K223" s="19"/>
      <c r="L223" s="13"/>
      <c r="M223" s="19"/>
      <c r="N223" s="13"/>
      <c r="O223" s="19"/>
      <c r="P223" s="13"/>
      <c r="Q223" s="19"/>
      <c r="R223" s="13"/>
      <c r="S223" s="19"/>
      <c r="T223" s="13"/>
      <c r="U223" s="19"/>
      <c r="V223" s="13"/>
      <c r="W223" s="482"/>
      <c r="X223" s="460"/>
      <c r="Y223" s="557"/>
      <c r="Z223" s="460"/>
      <c r="AA223" s="557"/>
      <c r="AB223" s="460"/>
      <c r="AC223" s="557"/>
      <c r="AD223" s="460"/>
      <c r="AE223" s="557"/>
      <c r="AF223" s="460"/>
      <c r="AG223" s="557"/>
      <c r="AH223" s="460"/>
    </row>
    <row r="224" spans="1:34">
      <c r="A224" s="14"/>
      <c r="B224" s="15"/>
      <c r="C224" s="16"/>
      <c r="D224" s="17"/>
      <c r="E224" s="12"/>
      <c r="F224" s="18"/>
      <c r="G224" s="19"/>
      <c r="H224" s="13"/>
      <c r="I224" s="19"/>
      <c r="J224" s="13"/>
      <c r="K224" s="19"/>
      <c r="L224" s="13"/>
      <c r="M224" s="19"/>
      <c r="N224" s="13"/>
      <c r="O224" s="19"/>
      <c r="P224" s="13"/>
      <c r="Q224" s="19"/>
      <c r="R224" s="13"/>
      <c r="S224" s="19"/>
      <c r="T224" s="13"/>
      <c r="U224" s="19"/>
      <c r="V224" s="13"/>
      <c r="W224" s="482"/>
      <c r="X224" s="460"/>
      <c r="Y224" s="557"/>
      <c r="Z224" s="460"/>
      <c r="AA224" s="557"/>
      <c r="AB224" s="460"/>
      <c r="AC224" s="557"/>
      <c r="AD224" s="460"/>
      <c r="AE224" s="557"/>
      <c r="AF224" s="460"/>
      <c r="AG224" s="557"/>
      <c r="AH224" s="460"/>
    </row>
    <row r="225" spans="1:34">
      <c r="A225" s="14"/>
      <c r="B225" s="15"/>
      <c r="C225" s="16"/>
      <c r="D225" s="17"/>
      <c r="E225" s="12"/>
      <c r="F225" s="18"/>
      <c r="G225" s="19"/>
      <c r="H225" s="13"/>
      <c r="I225" s="19"/>
      <c r="J225" s="13"/>
      <c r="K225" s="19"/>
      <c r="L225" s="13"/>
      <c r="M225" s="19"/>
      <c r="N225" s="13"/>
      <c r="O225" s="19"/>
      <c r="P225" s="13"/>
      <c r="Q225" s="19"/>
      <c r="R225" s="13"/>
      <c r="S225" s="19"/>
      <c r="T225" s="13"/>
      <c r="U225" s="19"/>
      <c r="V225" s="13"/>
      <c r="W225" s="482"/>
      <c r="X225" s="460"/>
      <c r="Y225" s="557"/>
      <c r="Z225" s="460"/>
      <c r="AA225" s="557"/>
      <c r="AB225" s="460"/>
      <c r="AC225" s="557"/>
      <c r="AD225" s="460"/>
      <c r="AE225" s="557"/>
      <c r="AF225" s="460"/>
      <c r="AG225" s="557"/>
      <c r="AH225" s="460"/>
    </row>
    <row r="226" spans="1:34">
      <c r="A226" s="14"/>
      <c r="B226" s="15"/>
      <c r="C226" s="16"/>
      <c r="D226" s="17"/>
      <c r="E226" s="12"/>
      <c r="F226" s="18"/>
      <c r="G226" s="19"/>
      <c r="H226" s="13"/>
      <c r="I226" s="19"/>
      <c r="J226" s="13"/>
      <c r="K226" s="19"/>
      <c r="L226" s="13"/>
      <c r="M226" s="19"/>
      <c r="N226" s="13"/>
      <c r="O226" s="19"/>
      <c r="P226" s="13"/>
      <c r="Q226" s="19"/>
      <c r="R226" s="13"/>
      <c r="S226" s="19"/>
      <c r="T226" s="13"/>
      <c r="U226" s="19"/>
      <c r="V226" s="13"/>
      <c r="W226" s="482"/>
      <c r="X226" s="460"/>
      <c r="Y226" s="557"/>
      <c r="Z226" s="460"/>
      <c r="AA226" s="557"/>
      <c r="AB226" s="460"/>
      <c r="AC226" s="557"/>
      <c r="AD226" s="460"/>
      <c r="AE226" s="557"/>
      <c r="AF226" s="460"/>
      <c r="AG226" s="557"/>
      <c r="AH226" s="460"/>
    </row>
    <row r="227" spans="1:34">
      <c r="A227" s="14"/>
      <c r="B227" s="15"/>
      <c r="C227" s="16"/>
      <c r="D227" s="17"/>
      <c r="E227" s="12"/>
      <c r="F227" s="18"/>
      <c r="G227" s="19"/>
      <c r="H227" s="13"/>
      <c r="I227" s="19"/>
      <c r="J227" s="13"/>
      <c r="K227" s="19"/>
      <c r="L227" s="13"/>
      <c r="M227" s="19"/>
      <c r="N227" s="13"/>
      <c r="O227" s="19"/>
      <c r="P227" s="13"/>
      <c r="Q227" s="19"/>
      <c r="R227" s="13"/>
      <c r="S227" s="19"/>
      <c r="T227" s="13"/>
      <c r="U227" s="19"/>
      <c r="V227" s="13"/>
      <c r="W227" s="482"/>
      <c r="X227" s="460"/>
      <c r="Y227" s="557"/>
      <c r="Z227" s="460"/>
      <c r="AA227" s="557"/>
      <c r="AB227" s="460"/>
      <c r="AC227" s="557"/>
      <c r="AD227" s="460"/>
      <c r="AE227" s="557"/>
      <c r="AF227" s="460"/>
      <c r="AG227" s="557"/>
      <c r="AH227" s="460"/>
    </row>
    <row r="228" spans="1:34">
      <c r="A228" s="14"/>
      <c r="B228" s="15"/>
      <c r="C228" s="16"/>
      <c r="D228" s="17"/>
      <c r="E228" s="12"/>
      <c r="F228" s="18"/>
      <c r="G228" s="19"/>
      <c r="H228" s="13"/>
      <c r="I228" s="19"/>
      <c r="J228" s="13"/>
      <c r="K228" s="19"/>
      <c r="L228" s="13"/>
      <c r="M228" s="19"/>
      <c r="N228" s="13"/>
      <c r="O228" s="19"/>
      <c r="P228" s="13"/>
      <c r="Q228" s="19"/>
      <c r="R228" s="13"/>
      <c r="S228" s="19"/>
      <c r="T228" s="13"/>
      <c r="U228" s="19"/>
      <c r="V228" s="13"/>
      <c r="W228" s="482"/>
      <c r="X228" s="460"/>
      <c r="Y228" s="557"/>
      <c r="Z228" s="460"/>
      <c r="AA228" s="557"/>
      <c r="AB228" s="460"/>
      <c r="AC228" s="557"/>
      <c r="AD228" s="460"/>
      <c r="AE228" s="557"/>
      <c r="AF228" s="460"/>
      <c r="AG228" s="557"/>
      <c r="AH228" s="460"/>
    </row>
    <row r="229" spans="1:34">
      <c r="A229" s="14"/>
      <c r="B229" s="15"/>
      <c r="C229" s="16"/>
      <c r="D229" s="17"/>
      <c r="E229" s="12"/>
      <c r="F229" s="18"/>
      <c r="G229" s="19"/>
      <c r="H229" s="13"/>
      <c r="I229" s="19"/>
      <c r="J229" s="13"/>
      <c r="K229" s="19"/>
      <c r="L229" s="13"/>
      <c r="M229" s="19"/>
      <c r="N229" s="13"/>
      <c r="O229" s="19"/>
      <c r="P229" s="13"/>
      <c r="Q229" s="19"/>
      <c r="R229" s="13"/>
      <c r="S229" s="19"/>
      <c r="T229" s="13"/>
      <c r="U229" s="19"/>
      <c r="V229" s="13"/>
      <c r="W229" s="482"/>
      <c r="X229" s="460"/>
      <c r="Y229" s="557"/>
      <c r="Z229" s="460"/>
      <c r="AA229" s="557"/>
      <c r="AB229" s="460"/>
      <c r="AC229" s="557"/>
      <c r="AD229" s="460"/>
      <c r="AE229" s="557"/>
      <c r="AF229" s="460"/>
      <c r="AG229" s="557"/>
      <c r="AH229" s="460"/>
    </row>
    <row r="230" spans="1:34">
      <c r="A230" s="14"/>
      <c r="B230" s="15"/>
      <c r="C230" s="16"/>
      <c r="D230" s="17"/>
      <c r="E230" s="12"/>
      <c r="F230" s="18"/>
      <c r="G230" s="19"/>
      <c r="H230" s="13"/>
      <c r="I230" s="19"/>
      <c r="J230" s="13"/>
      <c r="K230" s="19"/>
      <c r="L230" s="13"/>
      <c r="M230" s="19"/>
      <c r="N230" s="13"/>
      <c r="O230" s="19"/>
      <c r="P230" s="13"/>
      <c r="Q230" s="19"/>
      <c r="R230" s="13"/>
      <c r="S230" s="19"/>
      <c r="T230" s="13"/>
      <c r="U230" s="19"/>
      <c r="V230" s="13"/>
      <c r="W230" s="482"/>
      <c r="X230" s="460"/>
      <c r="Y230" s="557"/>
      <c r="Z230" s="460"/>
      <c r="AA230" s="557"/>
      <c r="AB230" s="460"/>
      <c r="AC230" s="557"/>
      <c r="AD230" s="460"/>
      <c r="AE230" s="557"/>
      <c r="AF230" s="460"/>
      <c r="AG230" s="557"/>
      <c r="AH230" s="460"/>
    </row>
    <row r="231" spans="1:34">
      <c r="A231" s="14"/>
      <c r="B231" s="15"/>
      <c r="C231" s="16"/>
      <c r="D231" s="17"/>
      <c r="E231" s="12"/>
      <c r="F231" s="18"/>
      <c r="G231" s="19"/>
      <c r="H231" s="13"/>
      <c r="I231" s="19"/>
      <c r="J231" s="13"/>
      <c r="K231" s="19"/>
      <c r="L231" s="13"/>
      <c r="M231" s="19"/>
      <c r="N231" s="13"/>
      <c r="O231" s="19"/>
      <c r="P231" s="13"/>
      <c r="Q231" s="19"/>
      <c r="R231" s="13"/>
      <c r="S231" s="19"/>
      <c r="T231" s="13"/>
      <c r="U231" s="19"/>
      <c r="V231" s="13"/>
      <c r="W231" s="482"/>
      <c r="X231" s="460"/>
      <c r="Y231" s="557"/>
      <c r="Z231" s="460"/>
      <c r="AA231" s="557"/>
      <c r="AB231" s="460"/>
      <c r="AC231" s="557"/>
      <c r="AD231" s="460"/>
      <c r="AE231" s="557"/>
      <c r="AF231" s="460"/>
      <c r="AG231" s="557"/>
      <c r="AH231" s="460"/>
    </row>
    <row r="232" spans="1:34">
      <c r="A232" s="14"/>
      <c r="B232" s="15"/>
      <c r="C232" s="16"/>
      <c r="D232" s="17"/>
      <c r="E232" s="12"/>
      <c r="F232" s="18"/>
      <c r="G232" s="19"/>
      <c r="H232" s="13"/>
      <c r="I232" s="19"/>
      <c r="J232" s="13"/>
      <c r="K232" s="19"/>
      <c r="L232" s="13"/>
      <c r="M232" s="19"/>
      <c r="N232" s="13"/>
      <c r="O232" s="19"/>
      <c r="P232" s="13"/>
      <c r="Q232" s="19"/>
      <c r="R232" s="13"/>
      <c r="S232" s="19"/>
      <c r="T232" s="13"/>
      <c r="U232" s="19"/>
      <c r="V232" s="13"/>
      <c r="W232" s="482"/>
      <c r="X232" s="460"/>
      <c r="Y232" s="557"/>
      <c r="Z232" s="460"/>
      <c r="AA232" s="557"/>
      <c r="AB232" s="460"/>
      <c r="AC232" s="557"/>
      <c r="AD232" s="460"/>
      <c r="AE232" s="557"/>
      <c r="AF232" s="460"/>
      <c r="AG232" s="557"/>
      <c r="AH232" s="460"/>
    </row>
    <row r="233" spans="1:34">
      <c r="A233" s="14"/>
      <c r="B233" s="15"/>
      <c r="C233" s="16"/>
      <c r="D233" s="17"/>
      <c r="E233" s="12"/>
      <c r="F233" s="18"/>
      <c r="G233" s="19"/>
      <c r="H233" s="13"/>
      <c r="I233" s="19"/>
      <c r="J233" s="13"/>
      <c r="K233" s="19"/>
      <c r="L233" s="13"/>
      <c r="M233" s="19"/>
      <c r="N233" s="13"/>
      <c r="O233" s="19"/>
      <c r="P233" s="13"/>
      <c r="Q233" s="19"/>
      <c r="R233" s="13"/>
      <c r="S233" s="19"/>
      <c r="T233" s="13"/>
      <c r="U233" s="19"/>
      <c r="V233" s="13"/>
      <c r="W233" s="482"/>
      <c r="X233" s="460"/>
      <c r="Y233" s="557"/>
      <c r="Z233" s="460"/>
      <c r="AA233" s="557"/>
      <c r="AB233" s="460"/>
      <c r="AC233" s="557"/>
      <c r="AD233" s="460"/>
      <c r="AE233" s="557"/>
      <c r="AF233" s="460"/>
      <c r="AG233" s="557"/>
      <c r="AH233" s="460"/>
    </row>
    <row r="234" spans="1:34">
      <c r="A234" s="14"/>
      <c r="B234" s="15"/>
      <c r="C234" s="16"/>
      <c r="D234" s="17"/>
      <c r="E234" s="12"/>
      <c r="F234" s="18"/>
      <c r="G234" s="19"/>
      <c r="H234" s="13"/>
      <c r="I234" s="19"/>
      <c r="J234" s="13"/>
      <c r="K234" s="19"/>
      <c r="L234" s="13"/>
      <c r="M234" s="19"/>
      <c r="N234" s="13"/>
      <c r="O234" s="19"/>
      <c r="P234" s="13"/>
      <c r="Q234" s="19"/>
      <c r="R234" s="13"/>
      <c r="S234" s="19"/>
      <c r="T234" s="13"/>
      <c r="U234" s="19"/>
      <c r="V234" s="13"/>
      <c r="W234" s="482"/>
      <c r="X234" s="460"/>
      <c r="Y234" s="557"/>
      <c r="Z234" s="460"/>
      <c r="AA234" s="557"/>
      <c r="AB234" s="460"/>
      <c r="AC234" s="557"/>
      <c r="AD234" s="460"/>
      <c r="AE234" s="557"/>
      <c r="AF234" s="460"/>
      <c r="AG234" s="557"/>
      <c r="AH234" s="460"/>
    </row>
    <row r="235" spans="1:34">
      <c r="A235" s="14"/>
      <c r="B235" s="15"/>
      <c r="C235" s="16"/>
      <c r="D235" s="17"/>
      <c r="E235" s="12"/>
      <c r="F235" s="18"/>
      <c r="G235" s="19"/>
      <c r="H235" s="13"/>
      <c r="I235" s="19"/>
      <c r="J235" s="13"/>
      <c r="K235" s="19"/>
      <c r="L235" s="13"/>
      <c r="M235" s="19"/>
      <c r="N235" s="13"/>
      <c r="O235" s="19"/>
      <c r="P235" s="13"/>
      <c r="Q235" s="19"/>
      <c r="R235" s="13"/>
      <c r="S235" s="19"/>
      <c r="T235" s="13"/>
      <c r="U235" s="19"/>
      <c r="V235" s="13"/>
      <c r="W235" s="482"/>
      <c r="X235" s="460"/>
      <c r="Y235" s="557"/>
      <c r="Z235" s="460"/>
      <c r="AA235" s="557"/>
      <c r="AB235" s="460"/>
      <c r="AC235" s="557"/>
      <c r="AD235" s="460"/>
      <c r="AE235" s="557"/>
      <c r="AF235" s="460"/>
      <c r="AG235" s="557"/>
      <c r="AH235" s="460"/>
    </row>
    <row r="236" spans="1:34">
      <c r="A236" s="14"/>
      <c r="B236" s="15"/>
      <c r="C236" s="16"/>
      <c r="D236" s="17"/>
      <c r="E236" s="12"/>
      <c r="F236" s="18"/>
      <c r="G236" s="19"/>
      <c r="H236" s="13"/>
      <c r="I236" s="19"/>
      <c r="J236" s="13"/>
      <c r="K236" s="19"/>
      <c r="L236" s="13"/>
      <c r="M236" s="19"/>
      <c r="N236" s="13"/>
      <c r="O236" s="19"/>
      <c r="P236" s="13"/>
      <c r="Q236" s="19"/>
      <c r="R236" s="13"/>
      <c r="S236" s="19"/>
      <c r="T236" s="13"/>
      <c r="U236" s="19"/>
      <c r="V236" s="13"/>
      <c r="W236" s="482"/>
      <c r="X236" s="460"/>
      <c r="Y236" s="557"/>
      <c r="Z236" s="460"/>
      <c r="AA236" s="557"/>
      <c r="AB236" s="460"/>
      <c r="AC236" s="557"/>
      <c r="AD236" s="460"/>
      <c r="AE236" s="557"/>
      <c r="AF236" s="460"/>
      <c r="AG236" s="557"/>
      <c r="AH236" s="460"/>
    </row>
    <row r="237" spans="1:34">
      <c r="A237" s="14"/>
      <c r="B237" s="15"/>
      <c r="C237" s="16"/>
      <c r="D237" s="17"/>
      <c r="E237" s="12"/>
      <c r="F237" s="18"/>
      <c r="G237" s="19"/>
      <c r="H237" s="13"/>
      <c r="I237" s="19"/>
      <c r="J237" s="13"/>
      <c r="K237" s="19"/>
      <c r="L237" s="13"/>
      <c r="M237" s="19"/>
      <c r="N237" s="13"/>
      <c r="O237" s="19"/>
      <c r="P237" s="13"/>
      <c r="Q237" s="19"/>
      <c r="R237" s="13"/>
      <c r="S237" s="19"/>
      <c r="T237" s="13"/>
      <c r="U237" s="19"/>
      <c r="V237" s="13"/>
      <c r="W237" s="482"/>
      <c r="X237" s="460"/>
      <c r="Y237" s="557"/>
      <c r="Z237" s="460"/>
      <c r="AA237" s="557"/>
      <c r="AB237" s="460"/>
      <c r="AC237" s="557"/>
      <c r="AD237" s="460"/>
      <c r="AE237" s="557"/>
      <c r="AF237" s="460"/>
      <c r="AG237" s="557"/>
      <c r="AH237" s="460"/>
    </row>
    <row r="238" spans="1:34">
      <c r="A238" s="14"/>
      <c r="B238" s="15"/>
      <c r="C238" s="16"/>
      <c r="D238" s="17"/>
      <c r="E238" s="12"/>
      <c r="F238" s="18"/>
      <c r="G238" s="19"/>
      <c r="H238" s="13"/>
      <c r="I238" s="19"/>
      <c r="J238" s="13"/>
      <c r="K238" s="19"/>
      <c r="L238" s="13"/>
      <c r="M238" s="19"/>
      <c r="N238" s="13"/>
      <c r="O238" s="19"/>
      <c r="P238" s="13"/>
      <c r="Q238" s="19"/>
      <c r="R238" s="13"/>
      <c r="S238" s="19"/>
      <c r="T238" s="13"/>
      <c r="U238" s="19"/>
      <c r="V238" s="13"/>
      <c r="W238" s="482"/>
      <c r="X238" s="460"/>
      <c r="Y238" s="557"/>
      <c r="Z238" s="460"/>
      <c r="AA238" s="557"/>
      <c r="AB238" s="460"/>
      <c r="AC238" s="557"/>
      <c r="AD238" s="460"/>
      <c r="AE238" s="557"/>
      <c r="AF238" s="460"/>
      <c r="AG238" s="557"/>
      <c r="AH238" s="460"/>
    </row>
    <row r="239" spans="1:34">
      <c r="A239" s="14"/>
      <c r="B239" s="15"/>
      <c r="C239" s="16"/>
      <c r="D239" s="17"/>
      <c r="E239" s="12"/>
      <c r="F239" s="18"/>
      <c r="G239" s="19"/>
      <c r="H239" s="13"/>
      <c r="I239" s="19"/>
      <c r="J239" s="13"/>
      <c r="K239" s="19"/>
      <c r="L239" s="13"/>
      <c r="M239" s="19"/>
      <c r="N239" s="13"/>
      <c r="O239" s="19"/>
      <c r="P239" s="13"/>
      <c r="Q239" s="19"/>
      <c r="R239" s="13"/>
      <c r="S239" s="19"/>
      <c r="T239" s="13"/>
      <c r="U239" s="19"/>
      <c r="V239" s="13"/>
      <c r="W239" s="482"/>
      <c r="X239" s="460"/>
      <c r="Y239" s="557"/>
      <c r="Z239" s="460"/>
      <c r="AA239" s="557"/>
      <c r="AB239" s="460"/>
      <c r="AC239" s="557"/>
      <c r="AD239" s="460"/>
      <c r="AE239" s="557"/>
      <c r="AF239" s="460"/>
      <c r="AG239" s="557"/>
      <c r="AH239" s="460"/>
    </row>
    <row r="240" spans="1:34">
      <c r="A240" s="14"/>
      <c r="B240" s="15"/>
      <c r="C240" s="16"/>
      <c r="D240" s="17"/>
      <c r="E240" s="12"/>
      <c r="F240" s="18"/>
      <c r="G240" s="19"/>
      <c r="H240" s="13"/>
      <c r="I240" s="19"/>
      <c r="J240" s="13"/>
      <c r="K240" s="19"/>
      <c r="L240" s="13"/>
      <c r="M240" s="19"/>
      <c r="N240" s="13"/>
      <c r="O240" s="19"/>
      <c r="P240" s="13"/>
      <c r="Q240" s="19"/>
      <c r="R240" s="13"/>
      <c r="S240" s="19"/>
      <c r="T240" s="13"/>
      <c r="U240" s="19"/>
      <c r="V240" s="13"/>
      <c r="W240" s="482"/>
      <c r="X240" s="460"/>
      <c r="Y240" s="557"/>
      <c r="Z240" s="460"/>
      <c r="AA240" s="557"/>
      <c r="AB240" s="460"/>
      <c r="AC240" s="557"/>
      <c r="AD240" s="460"/>
      <c r="AE240" s="557"/>
      <c r="AF240" s="460"/>
      <c r="AG240" s="557"/>
      <c r="AH240" s="460"/>
    </row>
    <row r="241" spans="1:34">
      <c r="A241" s="14"/>
      <c r="B241" s="15"/>
      <c r="C241" s="16"/>
      <c r="D241" s="17"/>
      <c r="E241" s="12"/>
      <c r="F241" s="18"/>
      <c r="G241" s="19"/>
      <c r="H241" s="13"/>
      <c r="I241" s="19"/>
      <c r="J241" s="13"/>
      <c r="K241" s="19"/>
      <c r="L241" s="13"/>
      <c r="M241" s="19"/>
      <c r="N241" s="13"/>
      <c r="O241" s="19"/>
      <c r="P241" s="13"/>
      <c r="Q241" s="19"/>
      <c r="R241" s="13"/>
      <c r="S241" s="19"/>
      <c r="T241" s="13"/>
      <c r="U241" s="19"/>
      <c r="V241" s="13"/>
      <c r="W241" s="482"/>
      <c r="X241" s="460"/>
      <c r="Y241" s="557"/>
      <c r="Z241" s="460"/>
      <c r="AA241" s="557"/>
      <c r="AB241" s="460"/>
      <c r="AC241" s="557"/>
      <c r="AD241" s="460"/>
      <c r="AE241" s="557"/>
      <c r="AF241" s="460"/>
      <c r="AG241" s="557"/>
      <c r="AH241" s="460"/>
    </row>
    <row r="242" spans="1:34">
      <c r="A242" s="14"/>
      <c r="B242" s="15"/>
      <c r="C242" s="16"/>
      <c r="D242" s="17"/>
      <c r="E242" s="12"/>
      <c r="F242" s="18"/>
      <c r="G242" s="19"/>
      <c r="H242" s="13"/>
      <c r="I242" s="19"/>
      <c r="J242" s="13"/>
      <c r="K242" s="19"/>
      <c r="L242" s="13"/>
      <c r="M242" s="19"/>
      <c r="N242" s="13"/>
      <c r="O242" s="19"/>
      <c r="P242" s="13"/>
      <c r="Q242" s="19"/>
      <c r="R242" s="13"/>
      <c r="S242" s="19"/>
      <c r="T242" s="13"/>
      <c r="U242" s="19"/>
      <c r="V242" s="13"/>
      <c r="W242" s="482"/>
      <c r="X242" s="460"/>
      <c r="Y242" s="557"/>
      <c r="Z242" s="460"/>
      <c r="AA242" s="557"/>
      <c r="AB242" s="460"/>
      <c r="AC242" s="557"/>
      <c r="AD242" s="460"/>
      <c r="AE242" s="557"/>
      <c r="AF242" s="460"/>
      <c r="AG242" s="557"/>
      <c r="AH242" s="460"/>
    </row>
    <row r="243" spans="1:34">
      <c r="A243" s="14"/>
      <c r="B243" s="15"/>
      <c r="C243" s="16"/>
      <c r="D243" s="17"/>
      <c r="E243" s="12"/>
      <c r="F243" s="18"/>
      <c r="G243" s="19"/>
      <c r="H243" s="13"/>
      <c r="I243" s="19"/>
      <c r="J243" s="13"/>
      <c r="K243" s="19"/>
      <c r="L243" s="13"/>
      <c r="M243" s="19"/>
      <c r="N243" s="13"/>
      <c r="O243" s="19"/>
      <c r="P243" s="13"/>
      <c r="Q243" s="19"/>
      <c r="R243" s="13"/>
      <c r="S243" s="19"/>
      <c r="T243" s="13"/>
      <c r="U243" s="19"/>
      <c r="V243" s="13"/>
      <c r="W243" s="482"/>
      <c r="X243" s="460"/>
      <c r="Y243" s="557"/>
      <c r="Z243" s="460"/>
      <c r="AA243" s="557"/>
      <c r="AB243" s="460"/>
      <c r="AC243" s="557"/>
      <c r="AD243" s="460"/>
      <c r="AE243" s="557"/>
      <c r="AF243" s="460"/>
      <c r="AG243" s="557"/>
      <c r="AH243" s="460"/>
    </row>
    <row r="244" spans="1:34">
      <c r="A244" s="14"/>
      <c r="B244" s="15"/>
      <c r="C244" s="16"/>
      <c r="D244" s="17"/>
      <c r="E244" s="12"/>
      <c r="F244" s="18"/>
      <c r="G244" s="19"/>
      <c r="H244" s="13"/>
      <c r="I244" s="19"/>
      <c r="J244" s="13"/>
      <c r="K244" s="19"/>
      <c r="L244" s="13"/>
      <c r="M244" s="19"/>
      <c r="N244" s="13"/>
      <c r="O244" s="19"/>
      <c r="P244" s="13"/>
      <c r="Q244" s="19"/>
      <c r="R244" s="13"/>
      <c r="S244" s="19"/>
      <c r="T244" s="13"/>
      <c r="U244" s="19"/>
      <c r="V244" s="13"/>
      <c r="W244" s="482"/>
      <c r="X244" s="460"/>
      <c r="Y244" s="557"/>
      <c r="Z244" s="460"/>
      <c r="AA244" s="557"/>
      <c r="AB244" s="460"/>
      <c r="AC244" s="557"/>
      <c r="AD244" s="460"/>
      <c r="AE244" s="557"/>
      <c r="AF244" s="460"/>
      <c r="AG244" s="557"/>
      <c r="AH244" s="460"/>
    </row>
    <row r="245" spans="1:34">
      <c r="A245" s="14"/>
      <c r="B245" s="15"/>
      <c r="C245" s="16"/>
      <c r="D245" s="17"/>
      <c r="E245" s="12"/>
      <c r="F245" s="18"/>
      <c r="G245" s="19"/>
      <c r="H245" s="13"/>
      <c r="I245" s="19"/>
      <c r="J245" s="13"/>
      <c r="K245" s="19"/>
      <c r="L245" s="13"/>
      <c r="M245" s="19"/>
      <c r="N245" s="13"/>
      <c r="O245" s="19"/>
      <c r="P245" s="13"/>
      <c r="Q245" s="19"/>
      <c r="R245" s="13"/>
      <c r="S245" s="19"/>
      <c r="T245" s="13"/>
      <c r="U245" s="19"/>
      <c r="V245" s="13"/>
      <c r="W245" s="482"/>
      <c r="X245" s="460"/>
      <c r="Y245" s="557"/>
      <c r="Z245" s="460"/>
      <c r="AA245" s="557"/>
      <c r="AB245" s="460"/>
      <c r="AC245" s="557"/>
      <c r="AD245" s="460"/>
      <c r="AE245" s="557"/>
      <c r="AF245" s="460"/>
      <c r="AG245" s="557"/>
      <c r="AH245" s="460"/>
    </row>
    <row r="246" spans="1:34">
      <c r="A246" s="14"/>
      <c r="B246" s="15"/>
      <c r="C246" s="16"/>
      <c r="D246" s="17"/>
      <c r="E246" s="12"/>
      <c r="F246" s="18"/>
      <c r="G246" s="19"/>
      <c r="H246" s="13"/>
      <c r="I246" s="19"/>
      <c r="J246" s="13"/>
      <c r="K246" s="19"/>
      <c r="L246" s="13"/>
      <c r="M246" s="19"/>
      <c r="N246" s="13"/>
      <c r="O246" s="19"/>
      <c r="P246" s="13"/>
      <c r="Q246" s="19"/>
      <c r="R246" s="13"/>
      <c r="S246" s="19"/>
      <c r="T246" s="13"/>
      <c r="U246" s="19"/>
      <c r="V246" s="13"/>
      <c r="W246" s="482"/>
      <c r="X246" s="460"/>
      <c r="Y246" s="557"/>
      <c r="Z246" s="460"/>
      <c r="AA246" s="557"/>
      <c r="AB246" s="460"/>
      <c r="AC246" s="557"/>
      <c r="AD246" s="460"/>
      <c r="AE246" s="557"/>
      <c r="AF246" s="460"/>
      <c r="AG246" s="557"/>
      <c r="AH246" s="460"/>
    </row>
    <row r="247" spans="1:34">
      <c r="A247" s="14"/>
      <c r="B247" s="15"/>
      <c r="C247" s="16"/>
      <c r="D247" s="17"/>
      <c r="E247" s="12"/>
      <c r="F247" s="18"/>
      <c r="G247" s="19"/>
      <c r="H247" s="13"/>
      <c r="I247" s="19"/>
      <c r="J247" s="13"/>
      <c r="K247" s="19"/>
      <c r="L247" s="13"/>
      <c r="M247" s="19"/>
      <c r="N247" s="13"/>
      <c r="O247" s="19"/>
      <c r="P247" s="13"/>
      <c r="Q247" s="19"/>
      <c r="R247" s="13"/>
      <c r="S247" s="19"/>
      <c r="T247" s="13"/>
      <c r="U247" s="19"/>
      <c r="V247" s="13"/>
      <c r="W247" s="482"/>
      <c r="X247" s="460"/>
      <c r="Y247" s="557"/>
      <c r="Z247" s="460"/>
      <c r="AA247" s="557"/>
      <c r="AB247" s="460"/>
      <c r="AC247" s="557"/>
      <c r="AD247" s="460"/>
      <c r="AE247" s="557"/>
      <c r="AF247" s="460"/>
      <c r="AG247" s="557"/>
      <c r="AH247" s="460"/>
    </row>
    <row r="248" spans="1:34">
      <c r="A248" s="14"/>
      <c r="B248" s="15"/>
      <c r="C248" s="16"/>
      <c r="D248" s="17"/>
      <c r="E248" s="12"/>
      <c r="F248" s="18"/>
      <c r="G248" s="19"/>
      <c r="H248" s="13"/>
      <c r="I248" s="19"/>
      <c r="J248" s="13"/>
      <c r="K248" s="19"/>
      <c r="L248" s="13"/>
      <c r="M248" s="19"/>
      <c r="N248" s="13"/>
      <c r="O248" s="19"/>
      <c r="P248" s="13"/>
      <c r="Q248" s="19"/>
      <c r="R248" s="13"/>
      <c r="S248" s="19"/>
      <c r="T248" s="13"/>
      <c r="U248" s="19"/>
      <c r="V248" s="13"/>
      <c r="W248" s="482"/>
      <c r="X248" s="460"/>
      <c r="Y248" s="557"/>
      <c r="Z248" s="460"/>
      <c r="AA248" s="557"/>
      <c r="AB248" s="460"/>
      <c r="AC248" s="557"/>
      <c r="AD248" s="460"/>
      <c r="AE248" s="557"/>
      <c r="AF248" s="460"/>
      <c r="AG248" s="557"/>
      <c r="AH248" s="460"/>
    </row>
    <row r="249" spans="1:34">
      <c r="A249" s="14"/>
      <c r="B249" s="15"/>
      <c r="C249" s="16"/>
      <c r="D249" s="17"/>
      <c r="E249" s="12"/>
      <c r="F249" s="18"/>
      <c r="G249" s="19"/>
      <c r="H249" s="13"/>
      <c r="I249" s="19"/>
      <c r="J249" s="13"/>
      <c r="K249" s="19"/>
      <c r="L249" s="13"/>
      <c r="M249" s="19"/>
      <c r="N249" s="13"/>
      <c r="O249" s="19"/>
      <c r="P249" s="13"/>
      <c r="Q249" s="19"/>
      <c r="R249" s="13"/>
      <c r="S249" s="19"/>
      <c r="T249" s="13"/>
      <c r="U249" s="19"/>
      <c r="V249" s="13"/>
      <c r="W249" s="482"/>
      <c r="X249" s="460"/>
      <c r="Y249" s="557"/>
      <c r="Z249" s="460"/>
      <c r="AA249" s="557"/>
      <c r="AB249" s="460"/>
      <c r="AC249" s="557"/>
      <c r="AD249" s="460"/>
      <c r="AE249" s="557"/>
      <c r="AF249" s="460"/>
      <c r="AG249" s="557"/>
      <c r="AH249" s="460"/>
    </row>
    <row r="250" spans="1:34">
      <c r="A250" s="14"/>
      <c r="B250" s="15"/>
      <c r="C250" s="16"/>
      <c r="D250" s="17"/>
      <c r="E250" s="12"/>
      <c r="F250" s="18"/>
      <c r="G250" s="19"/>
      <c r="H250" s="13"/>
      <c r="I250" s="19"/>
      <c r="J250" s="13"/>
      <c r="K250" s="19"/>
      <c r="L250" s="13"/>
      <c r="M250" s="19"/>
      <c r="N250" s="13"/>
      <c r="O250" s="19"/>
      <c r="P250" s="13"/>
      <c r="Q250" s="19"/>
      <c r="R250" s="13"/>
      <c r="S250" s="19"/>
      <c r="T250" s="13"/>
      <c r="U250" s="19"/>
      <c r="V250" s="13"/>
      <c r="W250" s="482"/>
      <c r="X250" s="460"/>
      <c r="Y250" s="557"/>
      <c r="Z250" s="460"/>
      <c r="AA250" s="557"/>
      <c r="AB250" s="460"/>
      <c r="AC250" s="557"/>
      <c r="AD250" s="460"/>
      <c r="AE250" s="557"/>
      <c r="AF250" s="460"/>
      <c r="AG250" s="557"/>
      <c r="AH250" s="460"/>
    </row>
    <row r="251" spans="1:34">
      <c r="A251" s="14"/>
      <c r="B251" s="15"/>
      <c r="C251" s="16"/>
      <c r="D251" s="17"/>
      <c r="E251" s="12"/>
      <c r="F251" s="18"/>
      <c r="G251" s="19"/>
      <c r="H251" s="13"/>
      <c r="I251" s="19"/>
      <c r="J251" s="13"/>
      <c r="K251" s="19"/>
      <c r="L251" s="13"/>
      <c r="M251" s="19"/>
      <c r="N251" s="13"/>
      <c r="O251" s="19"/>
      <c r="P251" s="13"/>
      <c r="Q251" s="19"/>
      <c r="R251" s="13"/>
      <c r="S251" s="19"/>
      <c r="T251" s="13"/>
      <c r="U251" s="19"/>
      <c r="V251" s="13"/>
      <c r="W251" s="482"/>
      <c r="X251" s="460"/>
      <c r="Y251" s="557"/>
      <c r="Z251" s="460"/>
      <c r="AA251" s="557"/>
      <c r="AB251" s="460"/>
      <c r="AC251" s="557"/>
      <c r="AD251" s="460"/>
      <c r="AE251" s="557"/>
      <c r="AF251" s="460"/>
      <c r="AG251" s="557"/>
      <c r="AH251" s="460"/>
    </row>
    <row r="252" spans="1:34">
      <c r="A252" s="14"/>
      <c r="B252" s="15"/>
      <c r="C252" s="16"/>
      <c r="D252" s="17"/>
      <c r="E252" s="12"/>
      <c r="F252" s="18"/>
      <c r="G252" s="19"/>
      <c r="H252" s="13"/>
      <c r="I252" s="19"/>
      <c r="J252" s="13"/>
      <c r="K252" s="19"/>
      <c r="L252" s="13"/>
      <c r="M252" s="19"/>
      <c r="N252" s="13"/>
      <c r="O252" s="19"/>
      <c r="P252" s="13"/>
      <c r="Q252" s="19"/>
      <c r="R252" s="13"/>
      <c r="S252" s="19"/>
      <c r="T252" s="13"/>
      <c r="U252" s="19"/>
      <c r="V252" s="13"/>
      <c r="W252" s="482"/>
      <c r="X252" s="460"/>
      <c r="Y252" s="557"/>
      <c r="Z252" s="460"/>
      <c r="AA252" s="557"/>
      <c r="AB252" s="460"/>
      <c r="AC252" s="557"/>
      <c r="AD252" s="460"/>
      <c r="AE252" s="557"/>
      <c r="AF252" s="460"/>
      <c r="AG252" s="557"/>
      <c r="AH252" s="460"/>
    </row>
    <row r="253" spans="1:34">
      <c r="A253" s="14"/>
      <c r="B253" s="15"/>
      <c r="C253" s="16"/>
      <c r="D253" s="17"/>
      <c r="E253" s="12"/>
      <c r="F253" s="18"/>
      <c r="G253" s="19"/>
      <c r="H253" s="13"/>
      <c r="I253" s="19"/>
      <c r="J253" s="13"/>
      <c r="K253" s="19"/>
      <c r="L253" s="13"/>
      <c r="M253" s="19"/>
      <c r="N253" s="13"/>
      <c r="O253" s="19"/>
      <c r="P253" s="13"/>
      <c r="Q253" s="19"/>
      <c r="R253" s="13"/>
      <c r="S253" s="19"/>
      <c r="T253" s="13"/>
      <c r="U253" s="19"/>
      <c r="V253" s="13"/>
      <c r="W253" s="482"/>
      <c r="X253" s="460"/>
      <c r="Y253" s="557"/>
      <c r="Z253" s="460"/>
      <c r="AA253" s="557"/>
      <c r="AB253" s="460"/>
      <c r="AC253" s="557"/>
      <c r="AD253" s="460"/>
      <c r="AE253" s="557"/>
      <c r="AF253" s="460"/>
      <c r="AG253" s="557"/>
      <c r="AH253" s="460"/>
    </row>
    <row r="254" spans="1:34">
      <c r="A254" s="14"/>
      <c r="B254" s="15"/>
      <c r="C254" s="16"/>
      <c r="D254" s="17"/>
      <c r="E254" s="12"/>
      <c r="F254" s="18"/>
      <c r="G254" s="19"/>
      <c r="H254" s="13"/>
      <c r="I254" s="19"/>
      <c r="J254" s="13"/>
      <c r="K254" s="19"/>
      <c r="L254" s="13"/>
      <c r="M254" s="19"/>
      <c r="N254" s="13"/>
      <c r="O254" s="19"/>
      <c r="P254" s="13"/>
      <c r="Q254" s="19"/>
      <c r="R254" s="13"/>
      <c r="S254" s="19"/>
      <c r="T254" s="13"/>
      <c r="U254" s="19"/>
      <c r="V254" s="13"/>
      <c r="W254" s="482"/>
      <c r="X254" s="460"/>
      <c r="Y254" s="557"/>
      <c r="Z254" s="460"/>
      <c r="AA254" s="557"/>
      <c r="AB254" s="460"/>
      <c r="AC254" s="557"/>
      <c r="AD254" s="460"/>
      <c r="AE254" s="557"/>
      <c r="AF254" s="460"/>
      <c r="AG254" s="557"/>
      <c r="AH254" s="460"/>
    </row>
    <row r="255" spans="1:34">
      <c r="A255" s="14"/>
      <c r="B255" s="15"/>
      <c r="C255" s="16"/>
      <c r="D255" s="17"/>
      <c r="E255" s="12"/>
      <c r="F255" s="18"/>
      <c r="G255" s="19"/>
      <c r="H255" s="13"/>
      <c r="I255" s="19"/>
      <c r="J255" s="13"/>
      <c r="K255" s="19"/>
      <c r="L255" s="13"/>
      <c r="M255" s="19"/>
      <c r="N255" s="13"/>
      <c r="O255" s="19"/>
      <c r="P255" s="13"/>
      <c r="Q255" s="19"/>
      <c r="R255" s="13"/>
      <c r="S255" s="19"/>
      <c r="T255" s="13"/>
      <c r="U255" s="19"/>
      <c r="V255" s="13"/>
      <c r="W255" s="482"/>
      <c r="X255" s="460"/>
      <c r="Y255" s="557"/>
      <c r="Z255" s="460"/>
      <c r="AA255" s="557"/>
      <c r="AB255" s="460"/>
      <c r="AC255" s="557"/>
      <c r="AD255" s="460"/>
      <c r="AE255" s="557"/>
      <c r="AF255" s="460"/>
      <c r="AG255" s="557"/>
      <c r="AH255" s="460"/>
    </row>
    <row r="256" spans="1:34">
      <c r="A256" s="14"/>
      <c r="B256" s="15"/>
      <c r="C256" s="16"/>
      <c r="D256" s="17"/>
      <c r="E256" s="12"/>
      <c r="F256" s="18"/>
      <c r="G256" s="19"/>
      <c r="H256" s="13"/>
      <c r="I256" s="19"/>
      <c r="J256" s="13"/>
      <c r="K256" s="19"/>
      <c r="L256" s="13"/>
      <c r="M256" s="19"/>
      <c r="N256" s="13"/>
      <c r="O256" s="19"/>
      <c r="P256" s="13"/>
      <c r="Q256" s="19"/>
      <c r="R256" s="13"/>
      <c r="S256" s="19"/>
      <c r="T256" s="13"/>
      <c r="U256" s="19"/>
      <c r="V256" s="13"/>
      <c r="W256" s="482"/>
      <c r="X256" s="460"/>
      <c r="Y256" s="557"/>
      <c r="Z256" s="460"/>
      <c r="AA256" s="557"/>
      <c r="AB256" s="460"/>
      <c r="AC256" s="557"/>
      <c r="AD256" s="460"/>
      <c r="AE256" s="557"/>
      <c r="AF256" s="460"/>
      <c r="AG256" s="557"/>
      <c r="AH256" s="460"/>
    </row>
    <row r="257" spans="1:34">
      <c r="A257" s="14"/>
      <c r="B257" s="15"/>
      <c r="C257" s="16"/>
      <c r="D257" s="17"/>
      <c r="E257" s="12"/>
      <c r="F257" s="18"/>
      <c r="G257" s="19"/>
      <c r="H257" s="13"/>
      <c r="I257" s="19"/>
      <c r="J257" s="13"/>
      <c r="K257" s="19"/>
      <c r="L257" s="13"/>
      <c r="M257" s="19"/>
      <c r="N257" s="13"/>
      <c r="O257" s="19"/>
      <c r="P257" s="13"/>
      <c r="Q257" s="19"/>
      <c r="R257" s="13"/>
      <c r="S257" s="19"/>
      <c r="T257" s="13"/>
      <c r="U257" s="19"/>
      <c r="V257" s="13"/>
      <c r="W257" s="482"/>
      <c r="X257" s="460"/>
      <c r="Y257" s="557"/>
      <c r="Z257" s="460"/>
      <c r="AA257" s="557"/>
      <c r="AB257" s="460"/>
      <c r="AC257" s="557"/>
      <c r="AD257" s="460"/>
      <c r="AE257" s="557"/>
      <c r="AF257" s="460"/>
      <c r="AG257" s="557"/>
      <c r="AH257" s="460"/>
    </row>
    <row r="258" spans="1:34">
      <c r="A258" s="14"/>
      <c r="B258" s="15"/>
      <c r="C258" s="16"/>
      <c r="D258" s="17"/>
      <c r="E258" s="12"/>
      <c r="F258" s="18"/>
      <c r="G258" s="19"/>
      <c r="H258" s="13"/>
      <c r="I258" s="19"/>
      <c r="J258" s="13"/>
      <c r="K258" s="19"/>
      <c r="L258" s="13"/>
      <c r="M258" s="19"/>
      <c r="N258" s="13"/>
      <c r="O258" s="19"/>
      <c r="P258" s="13"/>
      <c r="Q258" s="19"/>
      <c r="R258" s="13"/>
      <c r="S258" s="19"/>
      <c r="T258" s="13"/>
      <c r="U258" s="19"/>
      <c r="V258" s="13"/>
      <c r="W258" s="482"/>
      <c r="X258" s="460"/>
      <c r="Y258" s="557"/>
      <c r="Z258" s="460"/>
      <c r="AA258" s="557"/>
      <c r="AB258" s="460"/>
      <c r="AC258" s="557"/>
      <c r="AD258" s="460"/>
      <c r="AE258" s="557"/>
      <c r="AF258" s="460"/>
      <c r="AG258" s="557"/>
      <c r="AH258" s="460"/>
    </row>
    <row r="259" spans="1:34">
      <c r="A259" s="14"/>
      <c r="B259" s="15"/>
      <c r="C259" s="16"/>
      <c r="D259" s="17"/>
      <c r="E259" s="12"/>
      <c r="F259" s="18"/>
      <c r="G259" s="19"/>
      <c r="H259" s="13"/>
      <c r="I259" s="19"/>
      <c r="J259" s="13"/>
      <c r="K259" s="19"/>
      <c r="L259" s="13"/>
      <c r="M259" s="19"/>
      <c r="N259" s="13"/>
      <c r="O259" s="19"/>
      <c r="P259" s="13"/>
      <c r="Q259" s="19"/>
      <c r="R259" s="13"/>
      <c r="S259" s="19"/>
      <c r="T259" s="13"/>
      <c r="U259" s="19"/>
      <c r="V259" s="13"/>
      <c r="W259" s="482"/>
      <c r="X259" s="460"/>
      <c r="Y259" s="557"/>
      <c r="Z259" s="460"/>
      <c r="AA259" s="557"/>
      <c r="AB259" s="460"/>
      <c r="AC259" s="557"/>
      <c r="AD259" s="460"/>
      <c r="AE259" s="557"/>
      <c r="AF259" s="460"/>
      <c r="AG259" s="557"/>
      <c r="AH259" s="460"/>
    </row>
    <row r="260" spans="1:34">
      <c r="A260" s="14"/>
      <c r="B260" s="15"/>
      <c r="C260" s="16"/>
      <c r="D260" s="17"/>
      <c r="E260" s="12"/>
      <c r="F260" s="18"/>
      <c r="G260" s="19"/>
      <c r="H260" s="13"/>
      <c r="I260" s="19"/>
      <c r="J260" s="13"/>
      <c r="K260" s="19"/>
      <c r="L260" s="13"/>
      <c r="M260" s="19"/>
      <c r="N260" s="13"/>
      <c r="O260" s="19"/>
      <c r="P260" s="13"/>
      <c r="Q260" s="19"/>
      <c r="R260" s="13"/>
      <c r="S260" s="19"/>
      <c r="T260" s="13"/>
      <c r="U260" s="19"/>
      <c r="V260" s="13"/>
      <c r="W260" s="482"/>
      <c r="X260" s="460"/>
      <c r="Y260" s="557"/>
      <c r="Z260" s="460"/>
      <c r="AA260" s="557"/>
      <c r="AB260" s="460"/>
      <c r="AC260" s="557"/>
      <c r="AD260" s="460"/>
      <c r="AE260" s="557"/>
      <c r="AF260" s="460"/>
      <c r="AG260" s="557"/>
      <c r="AH260" s="460"/>
    </row>
    <row r="261" spans="1:34">
      <c r="A261" s="14"/>
      <c r="B261" s="15"/>
      <c r="C261" s="16"/>
      <c r="D261" s="17"/>
      <c r="E261" s="12"/>
      <c r="F261" s="18"/>
      <c r="G261" s="19"/>
      <c r="H261" s="13"/>
      <c r="I261" s="19"/>
      <c r="J261" s="13"/>
      <c r="K261" s="19"/>
      <c r="L261" s="13"/>
      <c r="M261" s="19"/>
      <c r="N261" s="13"/>
      <c r="O261" s="19"/>
      <c r="P261" s="13"/>
      <c r="Q261" s="19"/>
      <c r="R261" s="13"/>
      <c r="S261" s="19"/>
      <c r="T261" s="13"/>
      <c r="U261" s="19"/>
      <c r="V261" s="13"/>
      <c r="W261" s="482"/>
      <c r="X261" s="460"/>
      <c r="Y261" s="557"/>
      <c r="Z261" s="460"/>
      <c r="AA261" s="557"/>
      <c r="AB261" s="460"/>
      <c r="AC261" s="557"/>
      <c r="AD261" s="460"/>
      <c r="AE261" s="557"/>
      <c r="AF261" s="460"/>
      <c r="AG261" s="557"/>
      <c r="AH261" s="460"/>
    </row>
    <row r="262" spans="1:34">
      <c r="A262" s="14"/>
      <c r="B262" s="15"/>
      <c r="C262" s="16"/>
      <c r="D262" s="17"/>
      <c r="E262" s="12"/>
      <c r="F262" s="18"/>
      <c r="G262" s="19"/>
      <c r="H262" s="13"/>
      <c r="I262" s="19"/>
      <c r="J262" s="13"/>
      <c r="K262" s="19"/>
      <c r="L262" s="13"/>
      <c r="M262" s="19"/>
      <c r="N262" s="13"/>
      <c r="O262" s="19"/>
      <c r="P262" s="13"/>
      <c r="Q262" s="19"/>
      <c r="R262" s="13"/>
      <c r="S262" s="19"/>
      <c r="T262" s="13"/>
      <c r="U262" s="19"/>
      <c r="V262" s="13"/>
      <c r="W262" s="482"/>
      <c r="X262" s="460"/>
      <c r="Y262" s="557"/>
      <c r="Z262" s="460"/>
      <c r="AA262" s="557"/>
      <c r="AB262" s="460"/>
      <c r="AC262" s="557"/>
      <c r="AD262" s="460"/>
      <c r="AE262" s="557"/>
      <c r="AF262" s="460"/>
      <c r="AG262" s="557"/>
      <c r="AH262" s="460"/>
    </row>
    <row r="263" spans="1:34">
      <c r="A263" s="14"/>
      <c r="B263" s="15"/>
      <c r="C263" s="16"/>
      <c r="D263" s="17"/>
      <c r="E263" s="12"/>
      <c r="F263" s="18"/>
      <c r="G263" s="19"/>
      <c r="H263" s="13"/>
      <c r="I263" s="19"/>
      <c r="J263" s="13"/>
      <c r="K263" s="19"/>
      <c r="L263" s="13"/>
      <c r="M263" s="19"/>
      <c r="N263" s="13"/>
      <c r="O263" s="19"/>
      <c r="P263" s="13"/>
      <c r="Q263" s="19"/>
      <c r="R263" s="13"/>
      <c r="S263" s="19"/>
      <c r="T263" s="13"/>
      <c r="U263" s="19"/>
      <c r="V263" s="13"/>
      <c r="W263" s="482"/>
      <c r="X263" s="460"/>
      <c r="Y263" s="557"/>
      <c r="Z263" s="460"/>
      <c r="AA263" s="557"/>
      <c r="AB263" s="460"/>
      <c r="AC263" s="557"/>
      <c r="AD263" s="460"/>
      <c r="AE263" s="557"/>
      <c r="AF263" s="460"/>
      <c r="AG263" s="557"/>
      <c r="AH263" s="460"/>
    </row>
    <row r="264" spans="1:34">
      <c r="A264" s="14"/>
      <c r="B264" s="15"/>
      <c r="C264" s="16"/>
      <c r="D264" s="17"/>
      <c r="E264" s="12"/>
      <c r="F264" s="18"/>
      <c r="G264" s="19"/>
      <c r="H264" s="13"/>
      <c r="I264" s="19"/>
      <c r="J264" s="13"/>
      <c r="K264" s="19"/>
      <c r="L264" s="13"/>
      <c r="M264" s="19"/>
      <c r="N264" s="13"/>
      <c r="O264" s="19"/>
      <c r="P264" s="13"/>
      <c r="Q264" s="19"/>
      <c r="R264" s="13"/>
      <c r="S264" s="19"/>
      <c r="T264" s="13"/>
      <c r="U264" s="19"/>
      <c r="V264" s="13"/>
      <c r="W264" s="482"/>
      <c r="X264" s="460"/>
      <c r="Y264" s="557"/>
      <c r="Z264" s="460"/>
      <c r="AA264" s="557"/>
      <c r="AB264" s="460"/>
      <c r="AC264" s="557"/>
      <c r="AD264" s="460"/>
      <c r="AE264" s="557"/>
      <c r="AF264" s="460"/>
      <c r="AG264" s="557"/>
      <c r="AH264" s="460"/>
    </row>
    <row r="265" spans="1:34">
      <c r="A265" s="14"/>
      <c r="B265" s="15"/>
      <c r="C265" s="16"/>
      <c r="D265" s="17"/>
      <c r="E265" s="12"/>
      <c r="F265" s="18"/>
      <c r="G265" s="19"/>
      <c r="H265" s="13"/>
      <c r="I265" s="19"/>
      <c r="J265" s="13"/>
      <c r="K265" s="19"/>
      <c r="L265" s="13"/>
      <c r="M265" s="19"/>
      <c r="N265" s="13"/>
      <c r="O265" s="19"/>
      <c r="P265" s="13"/>
      <c r="Q265" s="19"/>
      <c r="R265" s="13"/>
      <c r="S265" s="19"/>
      <c r="T265" s="13"/>
      <c r="U265" s="19"/>
      <c r="V265" s="13"/>
      <c r="W265" s="482"/>
      <c r="X265" s="460"/>
      <c r="Y265" s="557"/>
      <c r="Z265" s="460"/>
      <c r="AA265" s="557"/>
      <c r="AB265" s="460"/>
      <c r="AC265" s="557"/>
      <c r="AD265" s="460"/>
      <c r="AE265" s="557"/>
      <c r="AF265" s="460"/>
      <c r="AG265" s="557"/>
      <c r="AH265" s="460"/>
    </row>
    <row r="266" spans="1:34">
      <c r="A266" s="14"/>
      <c r="B266" s="15"/>
      <c r="C266" s="16"/>
      <c r="D266" s="17"/>
      <c r="E266" s="12"/>
      <c r="F266" s="18"/>
      <c r="G266" s="19"/>
      <c r="H266" s="13"/>
      <c r="I266" s="19"/>
      <c r="J266" s="13"/>
      <c r="K266" s="19"/>
      <c r="L266" s="13"/>
      <c r="M266" s="19"/>
      <c r="N266" s="13"/>
      <c r="O266" s="19"/>
      <c r="P266" s="13"/>
      <c r="Q266" s="19"/>
      <c r="R266" s="13"/>
      <c r="S266" s="19"/>
      <c r="T266" s="13"/>
      <c r="U266" s="19"/>
      <c r="V266" s="13"/>
      <c r="W266" s="482"/>
      <c r="X266" s="460"/>
      <c r="Y266" s="557"/>
      <c r="Z266" s="460"/>
      <c r="AA266" s="557"/>
      <c r="AB266" s="460"/>
      <c r="AC266" s="557"/>
      <c r="AD266" s="460"/>
      <c r="AE266" s="557"/>
      <c r="AF266" s="460"/>
      <c r="AG266" s="557"/>
      <c r="AH266" s="460"/>
    </row>
    <row r="267" spans="1:34">
      <c r="A267" s="14"/>
      <c r="B267" s="15"/>
      <c r="C267" s="16"/>
      <c r="D267" s="17"/>
      <c r="E267" s="12"/>
      <c r="F267" s="18"/>
      <c r="G267" s="19"/>
      <c r="H267" s="13"/>
      <c r="I267" s="19"/>
      <c r="J267" s="13"/>
      <c r="K267" s="19"/>
      <c r="L267" s="13"/>
      <c r="M267" s="19"/>
      <c r="N267" s="13"/>
      <c r="O267" s="19"/>
      <c r="P267" s="13"/>
      <c r="Q267" s="19"/>
      <c r="R267" s="13"/>
      <c r="S267" s="19"/>
      <c r="T267" s="13"/>
      <c r="U267" s="19"/>
      <c r="V267" s="13"/>
      <c r="W267" s="482"/>
      <c r="X267" s="460"/>
      <c r="Y267" s="557"/>
      <c r="Z267" s="460"/>
      <c r="AA267" s="557"/>
      <c r="AB267" s="460"/>
      <c r="AC267" s="557"/>
      <c r="AD267" s="460"/>
      <c r="AE267" s="557"/>
      <c r="AF267" s="460"/>
      <c r="AG267" s="557"/>
      <c r="AH267" s="460"/>
    </row>
    <row r="268" spans="1:34">
      <c r="A268" s="14"/>
      <c r="B268" s="15"/>
      <c r="C268" s="16"/>
      <c r="D268" s="17"/>
      <c r="E268" s="12"/>
      <c r="F268" s="18"/>
      <c r="G268" s="19"/>
      <c r="H268" s="13"/>
      <c r="I268" s="19"/>
      <c r="J268" s="13"/>
      <c r="K268" s="19"/>
      <c r="L268" s="13"/>
      <c r="M268" s="19"/>
      <c r="N268" s="13"/>
      <c r="O268" s="19"/>
      <c r="P268" s="13"/>
      <c r="Q268" s="19"/>
      <c r="R268" s="13"/>
      <c r="S268" s="19"/>
      <c r="T268" s="13"/>
      <c r="U268" s="19"/>
      <c r="V268" s="13"/>
      <c r="W268" s="482"/>
      <c r="X268" s="460"/>
      <c r="Y268" s="557"/>
      <c r="Z268" s="460"/>
      <c r="AA268" s="557"/>
      <c r="AB268" s="460"/>
      <c r="AC268" s="557"/>
      <c r="AD268" s="460"/>
      <c r="AE268" s="557"/>
      <c r="AF268" s="460"/>
      <c r="AG268" s="557"/>
      <c r="AH268" s="460"/>
    </row>
    <row r="269" spans="1:34">
      <c r="A269" s="14"/>
      <c r="B269" s="15"/>
      <c r="C269" s="16"/>
      <c r="D269" s="17"/>
      <c r="E269" s="12"/>
      <c r="F269" s="18"/>
      <c r="G269" s="19"/>
      <c r="H269" s="13"/>
      <c r="I269" s="19"/>
      <c r="J269" s="13"/>
      <c r="K269" s="19"/>
      <c r="L269" s="13"/>
      <c r="M269" s="19"/>
      <c r="N269" s="13"/>
      <c r="O269" s="19"/>
      <c r="P269" s="13"/>
      <c r="Q269" s="19"/>
      <c r="R269" s="13"/>
      <c r="S269" s="19"/>
      <c r="T269" s="13"/>
      <c r="U269" s="19"/>
      <c r="V269" s="13"/>
      <c r="W269" s="482"/>
      <c r="X269" s="460"/>
      <c r="Y269" s="557"/>
      <c r="Z269" s="460"/>
      <c r="AA269" s="557"/>
      <c r="AB269" s="460"/>
      <c r="AC269" s="557"/>
      <c r="AD269" s="460"/>
      <c r="AE269" s="557"/>
      <c r="AF269" s="460"/>
      <c r="AG269" s="557"/>
      <c r="AH269" s="460"/>
    </row>
    <row r="270" spans="1:34">
      <c r="A270" s="14"/>
      <c r="B270" s="15"/>
      <c r="C270" s="16"/>
      <c r="D270" s="17"/>
      <c r="E270" s="12"/>
      <c r="F270" s="18"/>
      <c r="G270" s="19"/>
      <c r="H270" s="13"/>
      <c r="I270" s="19"/>
      <c r="J270" s="13"/>
      <c r="K270" s="19"/>
      <c r="L270" s="13"/>
      <c r="M270" s="19"/>
      <c r="N270" s="13"/>
      <c r="O270" s="19"/>
      <c r="P270" s="13"/>
      <c r="Q270" s="19"/>
      <c r="R270" s="13"/>
      <c r="S270" s="19"/>
      <c r="T270" s="13"/>
      <c r="U270" s="19"/>
      <c r="V270" s="13"/>
      <c r="W270" s="482"/>
      <c r="X270" s="460"/>
      <c r="Y270" s="557"/>
      <c r="Z270" s="460"/>
      <c r="AA270" s="557"/>
      <c r="AB270" s="460"/>
      <c r="AC270" s="557"/>
      <c r="AD270" s="460"/>
      <c r="AE270" s="557"/>
      <c r="AF270" s="460"/>
      <c r="AG270" s="557"/>
      <c r="AH270" s="460"/>
    </row>
    <row r="271" spans="1:34">
      <c r="A271" s="14"/>
      <c r="B271" s="15"/>
      <c r="C271" s="16"/>
      <c r="D271" s="17"/>
      <c r="E271" s="12"/>
      <c r="F271" s="18"/>
      <c r="G271" s="19"/>
      <c r="H271" s="13"/>
      <c r="I271" s="19"/>
      <c r="J271" s="13"/>
      <c r="K271" s="19"/>
      <c r="L271" s="13"/>
      <c r="M271" s="19"/>
      <c r="N271" s="13"/>
      <c r="O271" s="19"/>
      <c r="P271" s="13"/>
      <c r="Q271" s="19"/>
      <c r="R271" s="13"/>
      <c r="S271" s="19"/>
      <c r="T271" s="13"/>
      <c r="U271" s="19"/>
      <c r="V271" s="13"/>
      <c r="W271" s="482"/>
      <c r="X271" s="460"/>
      <c r="Y271" s="557"/>
      <c r="Z271" s="460"/>
      <c r="AA271" s="557"/>
      <c r="AB271" s="460"/>
      <c r="AC271" s="557"/>
      <c r="AD271" s="460"/>
      <c r="AE271" s="557"/>
      <c r="AF271" s="460"/>
      <c r="AG271" s="557"/>
      <c r="AH271" s="460"/>
    </row>
    <row r="272" spans="1:34">
      <c r="A272" s="14"/>
      <c r="B272" s="15"/>
      <c r="C272" s="16"/>
      <c r="D272" s="17"/>
      <c r="E272" s="12"/>
      <c r="F272" s="18"/>
      <c r="G272" s="19"/>
      <c r="H272" s="13"/>
      <c r="I272" s="19"/>
      <c r="J272" s="13"/>
      <c r="K272" s="19"/>
      <c r="L272" s="13"/>
      <c r="M272" s="19"/>
      <c r="N272" s="13"/>
      <c r="O272" s="19"/>
      <c r="P272" s="13"/>
      <c r="Q272" s="19"/>
      <c r="R272" s="13"/>
      <c r="S272" s="19"/>
      <c r="T272" s="13"/>
      <c r="U272" s="19"/>
      <c r="V272" s="13"/>
      <c r="W272" s="482"/>
      <c r="X272" s="460"/>
      <c r="Y272" s="557"/>
      <c r="Z272" s="460"/>
      <c r="AA272" s="557"/>
      <c r="AB272" s="460"/>
      <c r="AC272" s="557"/>
      <c r="AD272" s="460"/>
      <c r="AE272" s="557"/>
      <c r="AF272" s="460"/>
      <c r="AG272" s="557"/>
      <c r="AH272" s="460"/>
    </row>
    <row r="273" spans="1:34">
      <c r="A273" s="14"/>
      <c r="B273" s="15"/>
      <c r="C273" s="16"/>
      <c r="D273" s="17"/>
      <c r="E273" s="12"/>
      <c r="F273" s="18"/>
      <c r="G273" s="19"/>
      <c r="H273" s="13"/>
      <c r="I273" s="19"/>
      <c r="J273" s="13"/>
      <c r="K273" s="19"/>
      <c r="L273" s="13"/>
      <c r="M273" s="19"/>
      <c r="N273" s="13"/>
      <c r="O273" s="19"/>
      <c r="P273" s="13"/>
      <c r="Q273" s="19"/>
      <c r="R273" s="13"/>
      <c r="S273" s="19"/>
      <c r="T273" s="13"/>
      <c r="U273" s="19"/>
      <c r="V273" s="13"/>
      <c r="W273" s="482"/>
      <c r="X273" s="460"/>
      <c r="Y273" s="557"/>
      <c r="Z273" s="460"/>
      <c r="AA273" s="557"/>
      <c r="AB273" s="460"/>
      <c r="AC273" s="557"/>
      <c r="AD273" s="460"/>
      <c r="AE273" s="557"/>
      <c r="AF273" s="460"/>
      <c r="AG273" s="557"/>
      <c r="AH273" s="460"/>
    </row>
    <row r="274" spans="1:34">
      <c r="A274" s="14"/>
      <c r="B274" s="15"/>
      <c r="C274" s="16"/>
      <c r="D274" s="17"/>
      <c r="E274" s="12"/>
      <c r="F274" s="18"/>
      <c r="G274" s="19"/>
      <c r="H274" s="13"/>
      <c r="I274" s="19"/>
      <c r="J274" s="13"/>
      <c r="K274" s="19"/>
      <c r="L274" s="13"/>
      <c r="M274" s="19"/>
      <c r="N274" s="13"/>
      <c r="O274" s="19"/>
      <c r="P274" s="13"/>
      <c r="Q274" s="19"/>
      <c r="R274" s="13"/>
      <c r="S274" s="19"/>
      <c r="T274" s="13"/>
      <c r="U274" s="19"/>
      <c r="V274" s="13"/>
      <c r="W274" s="482"/>
      <c r="X274" s="460"/>
      <c r="Y274" s="557"/>
      <c r="Z274" s="460"/>
      <c r="AA274" s="557"/>
      <c r="AB274" s="460"/>
      <c r="AC274" s="557"/>
      <c r="AD274" s="460"/>
      <c r="AE274" s="557"/>
      <c r="AF274" s="460"/>
      <c r="AG274" s="557"/>
      <c r="AH274" s="460"/>
    </row>
    <row r="275" spans="1:34">
      <c r="A275" s="14"/>
      <c r="B275" s="15"/>
      <c r="C275" s="16"/>
      <c r="D275" s="17"/>
      <c r="E275" s="12"/>
      <c r="F275" s="18"/>
      <c r="G275" s="19"/>
      <c r="H275" s="13"/>
      <c r="I275" s="19"/>
      <c r="J275" s="13"/>
      <c r="K275" s="19"/>
      <c r="L275" s="13"/>
      <c r="M275" s="19"/>
      <c r="N275" s="13"/>
      <c r="O275" s="19"/>
      <c r="P275" s="13"/>
      <c r="Q275" s="19"/>
      <c r="R275" s="13"/>
      <c r="S275" s="19"/>
      <c r="T275" s="13"/>
      <c r="U275" s="19"/>
      <c r="V275" s="13"/>
      <c r="W275" s="482"/>
      <c r="X275" s="460"/>
      <c r="Y275" s="557"/>
      <c r="Z275" s="460"/>
      <c r="AA275" s="557"/>
      <c r="AB275" s="460"/>
      <c r="AC275" s="557"/>
      <c r="AD275" s="460"/>
      <c r="AE275" s="557"/>
      <c r="AF275" s="460"/>
      <c r="AG275" s="557"/>
      <c r="AH275" s="460"/>
    </row>
    <row r="276" spans="1:34">
      <c r="A276" s="14"/>
      <c r="B276" s="15"/>
      <c r="C276" s="16"/>
      <c r="D276" s="17"/>
      <c r="E276" s="12"/>
      <c r="F276" s="18"/>
      <c r="G276" s="19"/>
      <c r="H276" s="13"/>
      <c r="I276" s="19"/>
      <c r="J276" s="13"/>
      <c r="K276" s="19"/>
      <c r="L276" s="13"/>
      <c r="M276" s="19"/>
      <c r="N276" s="13"/>
      <c r="O276" s="19"/>
      <c r="P276" s="13"/>
      <c r="Q276" s="19"/>
      <c r="R276" s="13"/>
      <c r="S276" s="19"/>
      <c r="T276" s="13"/>
      <c r="U276" s="19"/>
      <c r="V276" s="13"/>
      <c r="W276" s="482"/>
      <c r="X276" s="460"/>
      <c r="Y276" s="557"/>
      <c r="Z276" s="460"/>
      <c r="AA276" s="557"/>
      <c r="AB276" s="460"/>
      <c r="AC276" s="557"/>
      <c r="AD276" s="460"/>
      <c r="AE276" s="557"/>
      <c r="AF276" s="460"/>
      <c r="AG276" s="557"/>
      <c r="AH276" s="460"/>
    </row>
    <row r="277" spans="1:34">
      <c r="A277" s="14"/>
      <c r="B277" s="15"/>
      <c r="C277" s="16"/>
      <c r="D277" s="17"/>
      <c r="E277" s="12"/>
      <c r="F277" s="18"/>
      <c r="G277" s="19"/>
      <c r="H277" s="13"/>
      <c r="I277" s="19"/>
      <c r="J277" s="13"/>
      <c r="K277" s="19"/>
      <c r="L277" s="13"/>
      <c r="M277" s="19"/>
      <c r="N277" s="13"/>
      <c r="O277" s="19"/>
      <c r="P277" s="13"/>
      <c r="Q277" s="19"/>
      <c r="R277" s="13"/>
      <c r="S277" s="19"/>
      <c r="T277" s="13"/>
      <c r="U277" s="19"/>
      <c r="V277" s="13"/>
      <c r="W277" s="482"/>
      <c r="X277" s="460"/>
      <c r="Y277" s="557"/>
      <c r="Z277" s="460"/>
      <c r="AA277" s="557"/>
      <c r="AB277" s="460"/>
      <c r="AC277" s="557"/>
      <c r="AD277" s="460"/>
      <c r="AE277" s="557"/>
      <c r="AF277" s="460"/>
      <c r="AG277" s="557"/>
      <c r="AH277" s="460"/>
    </row>
    <row r="278" spans="1:34">
      <c r="A278" s="14"/>
      <c r="B278" s="15"/>
      <c r="C278" s="16"/>
      <c r="D278" s="17"/>
      <c r="E278" s="12"/>
      <c r="F278" s="18"/>
      <c r="G278" s="19"/>
      <c r="H278" s="13"/>
      <c r="I278" s="19"/>
      <c r="J278" s="13"/>
      <c r="K278" s="19"/>
      <c r="L278" s="13"/>
      <c r="M278" s="19"/>
      <c r="N278" s="13"/>
      <c r="O278" s="19"/>
      <c r="P278" s="13"/>
      <c r="Q278" s="19"/>
      <c r="R278" s="13"/>
      <c r="S278" s="19"/>
      <c r="T278" s="13"/>
      <c r="U278" s="19"/>
      <c r="V278" s="13"/>
      <c r="W278" s="482"/>
      <c r="X278" s="460"/>
      <c r="Y278" s="557"/>
      <c r="Z278" s="460"/>
      <c r="AA278" s="557"/>
      <c r="AB278" s="460"/>
      <c r="AC278" s="557"/>
      <c r="AD278" s="460"/>
      <c r="AE278" s="557"/>
      <c r="AF278" s="460"/>
      <c r="AG278" s="557"/>
      <c r="AH278" s="460"/>
    </row>
    <row r="279" spans="1:34">
      <c r="A279" s="14"/>
      <c r="B279" s="15"/>
      <c r="C279" s="16"/>
      <c r="D279" s="17"/>
      <c r="E279" s="12"/>
      <c r="F279" s="18"/>
      <c r="G279" s="19"/>
      <c r="H279" s="13"/>
      <c r="I279" s="19"/>
      <c r="J279" s="13"/>
      <c r="K279" s="19"/>
      <c r="L279" s="13"/>
      <c r="M279" s="19"/>
      <c r="N279" s="13"/>
      <c r="O279" s="19"/>
      <c r="P279" s="13"/>
      <c r="Q279" s="19"/>
      <c r="R279" s="13"/>
      <c r="S279" s="19"/>
      <c r="T279" s="13"/>
      <c r="U279" s="19"/>
      <c r="V279" s="13"/>
      <c r="W279" s="482"/>
      <c r="X279" s="460"/>
      <c r="Y279" s="557"/>
      <c r="Z279" s="460"/>
      <c r="AA279" s="557"/>
      <c r="AB279" s="460"/>
      <c r="AC279" s="557"/>
      <c r="AD279" s="460"/>
      <c r="AE279" s="557"/>
      <c r="AF279" s="460"/>
      <c r="AG279" s="557"/>
      <c r="AH279" s="460"/>
    </row>
    <row r="280" spans="1:34">
      <c r="A280" s="14"/>
      <c r="B280" s="15"/>
      <c r="C280" s="16"/>
      <c r="D280" s="17"/>
      <c r="E280" s="12"/>
      <c r="F280" s="18"/>
      <c r="G280" s="19"/>
      <c r="H280" s="13"/>
      <c r="I280" s="19"/>
      <c r="J280" s="13"/>
      <c r="K280" s="19"/>
      <c r="L280" s="13"/>
      <c r="M280" s="19"/>
      <c r="N280" s="13"/>
      <c r="O280" s="19"/>
      <c r="P280" s="13"/>
      <c r="Q280" s="19"/>
      <c r="R280" s="13"/>
      <c r="S280" s="19"/>
      <c r="T280" s="13"/>
      <c r="U280" s="19"/>
      <c r="V280" s="13"/>
      <c r="W280" s="482"/>
      <c r="X280" s="460"/>
      <c r="Y280" s="557"/>
      <c r="Z280" s="460"/>
      <c r="AA280" s="557"/>
      <c r="AB280" s="460"/>
      <c r="AC280" s="557"/>
      <c r="AD280" s="460"/>
      <c r="AE280" s="557"/>
      <c r="AF280" s="460"/>
      <c r="AG280" s="557"/>
      <c r="AH280" s="460"/>
    </row>
    <row r="281" spans="1:34">
      <c r="A281" s="14"/>
      <c r="B281" s="15"/>
      <c r="C281" s="16"/>
      <c r="D281" s="17"/>
      <c r="E281" s="12"/>
      <c r="F281" s="18"/>
      <c r="G281" s="19"/>
      <c r="H281" s="13"/>
      <c r="I281" s="19"/>
      <c r="J281" s="13"/>
      <c r="K281" s="19"/>
      <c r="L281" s="13"/>
      <c r="M281" s="19"/>
      <c r="N281" s="13"/>
      <c r="O281" s="19"/>
      <c r="P281" s="13"/>
      <c r="Q281" s="19"/>
      <c r="R281" s="13"/>
      <c r="S281" s="19"/>
      <c r="T281" s="13"/>
      <c r="U281" s="19"/>
      <c r="V281" s="13"/>
      <c r="W281" s="482"/>
      <c r="X281" s="460"/>
      <c r="Y281" s="557"/>
      <c r="Z281" s="460"/>
      <c r="AA281" s="557"/>
      <c r="AB281" s="460"/>
      <c r="AC281" s="557"/>
      <c r="AD281" s="460"/>
      <c r="AE281" s="557"/>
      <c r="AF281" s="460"/>
      <c r="AG281" s="557"/>
      <c r="AH281" s="460"/>
    </row>
    <row r="282" spans="1:34">
      <c r="A282" s="14"/>
      <c r="B282" s="15"/>
      <c r="C282" s="16"/>
      <c r="D282" s="17"/>
      <c r="E282" s="12"/>
      <c r="F282" s="18"/>
      <c r="G282" s="19"/>
      <c r="H282" s="13"/>
      <c r="I282" s="19"/>
      <c r="J282" s="13"/>
      <c r="K282" s="19"/>
      <c r="L282" s="13"/>
      <c r="M282" s="19"/>
      <c r="N282" s="13"/>
      <c r="O282" s="19"/>
      <c r="P282" s="13"/>
      <c r="Q282" s="19"/>
      <c r="R282" s="13"/>
      <c r="S282" s="19"/>
      <c r="T282" s="13"/>
      <c r="U282" s="19"/>
      <c r="V282" s="13"/>
      <c r="W282" s="482"/>
      <c r="X282" s="460"/>
      <c r="Y282" s="557"/>
      <c r="Z282" s="460"/>
      <c r="AA282" s="557"/>
      <c r="AB282" s="460"/>
      <c r="AC282" s="557"/>
      <c r="AD282" s="460"/>
      <c r="AE282" s="557"/>
      <c r="AF282" s="460"/>
      <c r="AG282" s="557"/>
      <c r="AH282" s="460"/>
    </row>
    <row r="283" spans="1:34">
      <c r="A283" s="14"/>
      <c r="B283" s="15"/>
      <c r="C283" s="16"/>
      <c r="D283" s="17"/>
      <c r="E283" s="12"/>
      <c r="F283" s="18"/>
      <c r="G283" s="19"/>
      <c r="H283" s="13"/>
      <c r="I283" s="19"/>
      <c r="J283" s="13"/>
      <c r="K283" s="19"/>
      <c r="L283" s="13"/>
      <c r="M283" s="19"/>
      <c r="N283" s="13"/>
      <c r="O283" s="19"/>
      <c r="P283" s="13"/>
      <c r="Q283" s="19"/>
      <c r="R283" s="13"/>
      <c r="S283" s="19"/>
      <c r="T283" s="13"/>
      <c r="U283" s="19"/>
      <c r="V283" s="13"/>
      <c r="W283" s="482"/>
      <c r="X283" s="460"/>
      <c r="Y283" s="557"/>
      <c r="Z283" s="460"/>
      <c r="AA283" s="557"/>
      <c r="AB283" s="460"/>
      <c r="AC283" s="557"/>
      <c r="AD283" s="460"/>
      <c r="AE283" s="557"/>
      <c r="AF283" s="460"/>
      <c r="AG283" s="557"/>
      <c r="AH283" s="460"/>
    </row>
    <row r="284" spans="1:34">
      <c r="A284" s="14"/>
      <c r="B284" s="15"/>
      <c r="C284" s="16"/>
      <c r="D284" s="17"/>
      <c r="E284" s="12"/>
      <c r="F284" s="18"/>
      <c r="G284" s="19"/>
      <c r="H284" s="13"/>
      <c r="I284" s="19"/>
      <c r="J284" s="13"/>
      <c r="K284" s="19"/>
      <c r="L284" s="13"/>
      <c r="M284" s="19"/>
      <c r="N284" s="13"/>
      <c r="O284" s="19"/>
      <c r="P284" s="13"/>
      <c r="Q284" s="19"/>
      <c r="R284" s="13"/>
      <c r="S284" s="19"/>
      <c r="T284" s="13"/>
      <c r="U284" s="19"/>
      <c r="V284" s="13"/>
      <c r="W284" s="482"/>
      <c r="X284" s="460"/>
      <c r="Y284" s="557"/>
      <c r="Z284" s="460"/>
      <c r="AA284" s="557"/>
      <c r="AB284" s="460"/>
      <c r="AC284" s="557"/>
      <c r="AD284" s="460"/>
      <c r="AE284" s="557"/>
      <c r="AF284" s="460"/>
      <c r="AG284" s="557"/>
      <c r="AH284" s="460"/>
    </row>
    <row r="285" spans="1:34">
      <c r="A285" s="14"/>
      <c r="B285" s="15"/>
      <c r="C285" s="16"/>
      <c r="D285" s="17"/>
      <c r="E285" s="12"/>
      <c r="F285" s="18"/>
      <c r="G285" s="19"/>
      <c r="H285" s="13"/>
      <c r="I285" s="19"/>
      <c r="J285" s="13"/>
      <c r="K285" s="19"/>
      <c r="L285" s="13"/>
      <c r="M285" s="19"/>
      <c r="N285" s="13"/>
      <c r="O285" s="19"/>
      <c r="P285" s="13"/>
      <c r="Q285" s="19"/>
      <c r="R285" s="13"/>
      <c r="S285" s="19"/>
      <c r="T285" s="13"/>
      <c r="U285" s="19"/>
      <c r="V285" s="13"/>
      <c r="W285" s="482"/>
      <c r="X285" s="460"/>
      <c r="Y285" s="557"/>
      <c r="Z285" s="460"/>
      <c r="AA285" s="557"/>
      <c r="AB285" s="460"/>
      <c r="AC285" s="557"/>
      <c r="AD285" s="460"/>
      <c r="AE285" s="557"/>
      <c r="AF285" s="460"/>
      <c r="AG285" s="557"/>
      <c r="AH285" s="460"/>
    </row>
    <row r="286" spans="1:34">
      <c r="A286" s="14"/>
      <c r="B286" s="15"/>
      <c r="C286" s="16"/>
      <c r="D286" s="17"/>
      <c r="E286" s="12"/>
      <c r="F286" s="18"/>
      <c r="G286" s="19"/>
      <c r="H286" s="13"/>
      <c r="I286" s="19"/>
      <c r="J286" s="13"/>
      <c r="K286" s="19"/>
      <c r="L286" s="13"/>
      <c r="M286" s="19"/>
      <c r="N286" s="13"/>
      <c r="O286" s="19"/>
      <c r="P286" s="13"/>
      <c r="Q286" s="19"/>
      <c r="R286" s="13"/>
      <c r="S286" s="19"/>
      <c r="T286" s="13"/>
      <c r="U286" s="19"/>
      <c r="V286" s="13"/>
      <c r="W286" s="482"/>
      <c r="X286" s="460"/>
      <c r="Y286" s="557"/>
      <c r="Z286" s="460"/>
      <c r="AA286" s="557"/>
      <c r="AB286" s="460"/>
      <c r="AC286" s="557"/>
      <c r="AD286" s="460"/>
      <c r="AE286" s="557"/>
      <c r="AF286" s="460"/>
      <c r="AG286" s="557"/>
      <c r="AH286" s="460"/>
    </row>
    <row r="287" spans="1:34">
      <c r="A287" s="14"/>
      <c r="B287" s="15"/>
      <c r="C287" s="16"/>
      <c r="D287" s="17"/>
      <c r="E287" s="12"/>
      <c r="F287" s="18"/>
      <c r="G287" s="19"/>
      <c r="H287" s="13"/>
      <c r="I287" s="19"/>
      <c r="J287" s="13"/>
      <c r="K287" s="19"/>
      <c r="L287" s="13"/>
      <c r="M287" s="19"/>
      <c r="N287" s="13"/>
      <c r="O287" s="19"/>
      <c r="P287" s="13"/>
      <c r="Q287" s="19"/>
      <c r="R287" s="13"/>
      <c r="S287" s="19"/>
      <c r="T287" s="13"/>
      <c r="U287" s="19"/>
      <c r="V287" s="13"/>
      <c r="W287" s="482"/>
      <c r="X287" s="460"/>
      <c r="Y287" s="557"/>
      <c r="Z287" s="460"/>
      <c r="AA287" s="557"/>
      <c r="AB287" s="460"/>
      <c r="AC287" s="557"/>
      <c r="AD287" s="460"/>
      <c r="AE287" s="557"/>
      <c r="AF287" s="460"/>
      <c r="AG287" s="557"/>
      <c r="AH287" s="460"/>
    </row>
    <row r="288" spans="1:34">
      <c r="A288" s="14"/>
      <c r="B288" s="15"/>
      <c r="C288" s="16"/>
      <c r="D288" s="17"/>
      <c r="E288" s="12"/>
      <c r="F288" s="18"/>
      <c r="G288" s="19"/>
      <c r="H288" s="13"/>
      <c r="I288" s="19"/>
      <c r="J288" s="13"/>
      <c r="K288" s="19"/>
      <c r="L288" s="13"/>
      <c r="M288" s="19"/>
      <c r="N288" s="13"/>
      <c r="O288" s="19"/>
      <c r="P288" s="13"/>
      <c r="Q288" s="19"/>
      <c r="R288" s="13"/>
      <c r="S288" s="19"/>
      <c r="T288" s="13"/>
      <c r="U288" s="19"/>
      <c r="V288" s="13"/>
      <c r="W288" s="482"/>
      <c r="X288" s="460"/>
      <c r="Y288" s="557"/>
      <c r="Z288" s="460"/>
      <c r="AA288" s="557"/>
      <c r="AB288" s="460"/>
      <c r="AC288" s="557"/>
      <c r="AD288" s="460"/>
      <c r="AE288" s="557"/>
      <c r="AF288" s="460"/>
      <c r="AG288" s="557"/>
      <c r="AH288" s="460"/>
    </row>
    <row r="289" spans="1:34">
      <c r="A289" s="14"/>
      <c r="B289" s="15"/>
      <c r="C289" s="16"/>
      <c r="D289" s="17"/>
      <c r="E289" s="12"/>
      <c r="F289" s="18"/>
      <c r="G289" s="19"/>
      <c r="H289" s="13"/>
      <c r="I289" s="19"/>
      <c r="J289" s="13"/>
      <c r="K289" s="19"/>
      <c r="L289" s="13"/>
      <c r="M289" s="19"/>
      <c r="N289" s="13"/>
      <c r="O289" s="19"/>
      <c r="P289" s="13"/>
      <c r="Q289" s="19"/>
      <c r="R289" s="13"/>
      <c r="S289" s="19"/>
      <c r="T289" s="13"/>
      <c r="U289" s="19"/>
      <c r="V289" s="13"/>
      <c r="W289" s="482"/>
      <c r="X289" s="460"/>
      <c r="Y289" s="557"/>
      <c r="Z289" s="460"/>
      <c r="AA289" s="557"/>
      <c r="AB289" s="460"/>
      <c r="AC289" s="557"/>
      <c r="AD289" s="460"/>
      <c r="AE289" s="557"/>
      <c r="AF289" s="460"/>
      <c r="AG289" s="557"/>
      <c r="AH289" s="460"/>
    </row>
    <row r="290" spans="1:34">
      <c r="A290" s="14"/>
      <c r="B290" s="15"/>
      <c r="C290" s="16"/>
      <c r="D290" s="17"/>
      <c r="E290" s="12"/>
      <c r="F290" s="18"/>
      <c r="G290" s="19"/>
      <c r="H290" s="13"/>
      <c r="I290" s="19"/>
      <c r="J290" s="13"/>
      <c r="K290" s="19"/>
      <c r="L290" s="13"/>
      <c r="M290" s="19"/>
      <c r="N290" s="13"/>
      <c r="O290" s="19"/>
      <c r="P290" s="13"/>
      <c r="Q290" s="19"/>
      <c r="R290" s="13"/>
      <c r="S290" s="19"/>
      <c r="T290" s="13"/>
      <c r="U290" s="19"/>
      <c r="V290" s="13"/>
      <c r="W290" s="482"/>
      <c r="X290" s="460"/>
      <c r="Y290" s="557"/>
      <c r="Z290" s="460"/>
      <c r="AA290" s="557"/>
      <c r="AB290" s="460"/>
      <c r="AC290" s="557"/>
      <c r="AD290" s="460"/>
      <c r="AE290" s="557"/>
      <c r="AF290" s="460"/>
      <c r="AG290" s="557"/>
      <c r="AH290" s="460"/>
    </row>
    <row r="291" spans="1:34">
      <c r="A291" s="14"/>
      <c r="B291" s="15"/>
      <c r="C291" s="16"/>
      <c r="D291" s="17"/>
      <c r="E291" s="12"/>
      <c r="F291" s="18"/>
      <c r="G291" s="19"/>
      <c r="H291" s="13"/>
      <c r="I291" s="19"/>
      <c r="J291" s="13"/>
      <c r="K291" s="19"/>
      <c r="L291" s="13"/>
      <c r="M291" s="19"/>
      <c r="N291" s="13"/>
      <c r="O291" s="19"/>
      <c r="P291" s="13"/>
      <c r="Q291" s="19"/>
      <c r="R291" s="13"/>
      <c r="S291" s="19"/>
      <c r="T291" s="13"/>
      <c r="U291" s="19"/>
      <c r="V291" s="13"/>
      <c r="W291" s="482"/>
      <c r="X291" s="460"/>
      <c r="Y291" s="557"/>
      <c r="Z291" s="460"/>
      <c r="AA291" s="557"/>
      <c r="AB291" s="460"/>
      <c r="AC291" s="557"/>
      <c r="AD291" s="460"/>
      <c r="AE291" s="557"/>
      <c r="AF291" s="460"/>
      <c r="AG291" s="557"/>
      <c r="AH291" s="460"/>
    </row>
    <row r="292" spans="1:34">
      <c r="A292" s="14"/>
      <c r="B292" s="15"/>
      <c r="C292" s="16"/>
      <c r="D292" s="17"/>
      <c r="E292" s="12"/>
      <c r="F292" s="18"/>
      <c r="G292" s="19"/>
      <c r="H292" s="13"/>
      <c r="I292" s="19"/>
      <c r="J292" s="13"/>
      <c r="K292" s="19"/>
      <c r="L292" s="13"/>
      <c r="M292" s="19"/>
      <c r="N292" s="13"/>
      <c r="O292" s="19"/>
      <c r="P292" s="13"/>
      <c r="Q292" s="19"/>
      <c r="R292" s="13"/>
      <c r="S292" s="19"/>
      <c r="T292" s="13"/>
      <c r="U292" s="19"/>
      <c r="V292" s="13"/>
      <c r="W292" s="482"/>
      <c r="X292" s="460"/>
      <c r="Y292" s="557"/>
      <c r="Z292" s="460"/>
      <c r="AA292" s="557"/>
      <c r="AB292" s="460"/>
      <c r="AC292" s="557"/>
      <c r="AD292" s="460"/>
      <c r="AE292" s="557"/>
      <c r="AF292" s="460"/>
      <c r="AG292" s="557"/>
      <c r="AH292" s="460"/>
    </row>
    <row r="293" spans="1:34">
      <c r="A293" s="14"/>
      <c r="B293" s="15"/>
      <c r="C293" s="16"/>
      <c r="D293" s="17"/>
      <c r="E293" s="12"/>
      <c r="F293" s="18"/>
      <c r="G293" s="19"/>
      <c r="H293" s="13"/>
      <c r="I293" s="19"/>
      <c r="J293" s="13"/>
      <c r="K293" s="19"/>
      <c r="L293" s="13"/>
      <c r="M293" s="19"/>
      <c r="N293" s="13"/>
      <c r="O293" s="19"/>
      <c r="P293" s="13"/>
      <c r="Q293" s="19"/>
      <c r="R293" s="13"/>
      <c r="S293" s="19"/>
      <c r="T293" s="13"/>
      <c r="U293" s="19"/>
      <c r="V293" s="13"/>
      <c r="W293" s="482"/>
      <c r="X293" s="460"/>
      <c r="Y293" s="557"/>
      <c r="Z293" s="460"/>
      <c r="AA293" s="557"/>
      <c r="AB293" s="460"/>
      <c r="AC293" s="557"/>
      <c r="AD293" s="460"/>
      <c r="AE293" s="557"/>
      <c r="AF293" s="460"/>
      <c r="AG293" s="557"/>
      <c r="AH293" s="460"/>
    </row>
    <row r="294" spans="1:34">
      <c r="A294" s="14"/>
      <c r="B294" s="15"/>
      <c r="C294" s="16"/>
      <c r="D294" s="17"/>
      <c r="E294" s="12"/>
      <c r="F294" s="18"/>
      <c r="G294" s="19"/>
      <c r="H294" s="13"/>
      <c r="I294" s="19"/>
      <c r="J294" s="13"/>
      <c r="K294" s="19"/>
      <c r="L294" s="13"/>
      <c r="M294" s="19"/>
      <c r="N294" s="13"/>
      <c r="O294" s="19"/>
      <c r="P294" s="13"/>
      <c r="Q294" s="19"/>
      <c r="R294" s="13"/>
      <c r="S294" s="19"/>
      <c r="T294" s="13"/>
      <c r="U294" s="19"/>
      <c r="V294" s="13"/>
      <c r="W294" s="482"/>
      <c r="X294" s="460"/>
      <c r="Y294" s="557"/>
      <c r="Z294" s="460"/>
      <c r="AA294" s="557"/>
      <c r="AB294" s="460"/>
      <c r="AC294" s="557"/>
      <c r="AD294" s="460"/>
      <c r="AE294" s="557"/>
      <c r="AF294" s="460"/>
      <c r="AG294" s="557"/>
      <c r="AH294" s="460"/>
    </row>
    <row r="295" spans="1:34">
      <c r="A295" s="14"/>
      <c r="B295" s="15"/>
      <c r="C295" s="16"/>
      <c r="D295" s="17"/>
      <c r="E295" s="12"/>
      <c r="F295" s="18"/>
      <c r="G295" s="19"/>
      <c r="H295" s="13"/>
      <c r="I295" s="19"/>
      <c r="J295" s="13"/>
      <c r="K295" s="19"/>
      <c r="L295" s="13"/>
      <c r="M295" s="19"/>
      <c r="N295" s="13"/>
      <c r="O295" s="19"/>
      <c r="P295" s="13"/>
      <c r="Q295" s="19"/>
      <c r="R295" s="13"/>
      <c r="S295" s="19"/>
      <c r="T295" s="13"/>
      <c r="U295" s="19"/>
      <c r="V295" s="13"/>
      <c r="W295" s="482"/>
      <c r="X295" s="460"/>
      <c r="Y295" s="557"/>
      <c r="Z295" s="460"/>
      <c r="AA295" s="557"/>
      <c r="AB295" s="460"/>
      <c r="AC295" s="557"/>
      <c r="AD295" s="460"/>
      <c r="AE295" s="557"/>
      <c r="AF295" s="460"/>
      <c r="AG295" s="557"/>
      <c r="AH295" s="460"/>
    </row>
    <row r="296" spans="1:34">
      <c r="A296" s="14"/>
      <c r="B296" s="15"/>
      <c r="C296" s="16"/>
      <c r="D296" s="17"/>
      <c r="E296" s="12"/>
      <c r="F296" s="18"/>
      <c r="G296" s="19"/>
      <c r="H296" s="13"/>
      <c r="I296" s="19"/>
      <c r="J296" s="13"/>
      <c r="K296" s="19"/>
      <c r="L296" s="13"/>
      <c r="M296" s="19"/>
      <c r="N296" s="13"/>
      <c r="O296" s="19"/>
      <c r="P296" s="13"/>
      <c r="Q296" s="19"/>
      <c r="R296" s="13"/>
      <c r="S296" s="19"/>
      <c r="T296" s="13"/>
      <c r="U296" s="19"/>
      <c r="V296" s="13"/>
      <c r="W296" s="482"/>
      <c r="X296" s="460"/>
      <c r="Y296" s="557"/>
      <c r="Z296" s="460"/>
      <c r="AA296" s="557"/>
      <c r="AB296" s="460"/>
      <c r="AC296" s="557"/>
      <c r="AD296" s="460"/>
      <c r="AE296" s="557"/>
      <c r="AF296" s="460"/>
      <c r="AG296" s="557"/>
      <c r="AH296" s="460"/>
    </row>
    <row r="297" spans="1:34">
      <c r="A297" s="14"/>
      <c r="B297" s="15"/>
      <c r="C297" s="16"/>
      <c r="D297" s="17"/>
      <c r="E297" s="12"/>
      <c r="F297" s="18"/>
      <c r="G297" s="19"/>
      <c r="H297" s="13"/>
      <c r="I297" s="19"/>
      <c r="J297" s="13"/>
      <c r="K297" s="19"/>
      <c r="L297" s="13"/>
      <c r="M297" s="19"/>
      <c r="N297" s="13"/>
      <c r="O297" s="19"/>
      <c r="P297" s="13"/>
      <c r="Q297" s="19"/>
      <c r="R297" s="13"/>
      <c r="S297" s="19"/>
      <c r="T297" s="13"/>
      <c r="U297" s="19"/>
      <c r="V297" s="13"/>
      <c r="W297" s="482"/>
      <c r="X297" s="460"/>
      <c r="Y297" s="557"/>
      <c r="Z297" s="460"/>
      <c r="AA297" s="557"/>
      <c r="AB297" s="460"/>
      <c r="AC297" s="557"/>
      <c r="AD297" s="460"/>
      <c r="AE297" s="557"/>
      <c r="AF297" s="460"/>
      <c r="AG297" s="557"/>
      <c r="AH297" s="460"/>
    </row>
    <row r="298" spans="1:34">
      <c r="A298" s="14"/>
      <c r="B298" s="15"/>
      <c r="C298" s="16"/>
      <c r="D298" s="17"/>
      <c r="E298" s="12"/>
      <c r="F298" s="18"/>
      <c r="G298" s="19"/>
      <c r="H298" s="13"/>
      <c r="I298" s="19"/>
      <c r="J298" s="13"/>
      <c r="K298" s="19"/>
      <c r="L298" s="13"/>
      <c r="M298" s="19"/>
      <c r="N298" s="13"/>
      <c r="O298" s="19"/>
      <c r="P298" s="13"/>
      <c r="Q298" s="19"/>
      <c r="R298" s="13"/>
      <c r="S298" s="19"/>
      <c r="T298" s="13"/>
      <c r="U298" s="19"/>
      <c r="V298" s="13"/>
      <c r="W298" s="482"/>
      <c r="X298" s="460"/>
      <c r="Y298" s="557"/>
      <c r="Z298" s="460"/>
      <c r="AA298" s="557"/>
      <c r="AB298" s="460"/>
      <c r="AC298" s="557"/>
      <c r="AD298" s="460"/>
      <c r="AE298" s="557"/>
      <c r="AF298" s="460"/>
      <c r="AG298" s="557"/>
      <c r="AH298" s="460"/>
    </row>
    <row r="299" spans="1:34">
      <c r="A299" s="14"/>
      <c r="B299" s="15"/>
      <c r="C299" s="16"/>
      <c r="D299" s="17"/>
      <c r="E299" s="12"/>
      <c r="F299" s="18"/>
      <c r="G299" s="19"/>
      <c r="H299" s="13"/>
      <c r="I299" s="19"/>
      <c r="J299" s="13"/>
      <c r="K299" s="19"/>
      <c r="L299" s="13"/>
      <c r="M299" s="19"/>
      <c r="N299" s="13"/>
      <c r="O299" s="19"/>
      <c r="P299" s="13"/>
      <c r="Q299" s="19"/>
      <c r="R299" s="13"/>
      <c r="S299" s="19"/>
      <c r="T299" s="13"/>
      <c r="U299" s="19"/>
      <c r="V299" s="13"/>
      <c r="W299" s="482"/>
      <c r="X299" s="460"/>
      <c r="Y299" s="557"/>
      <c r="Z299" s="460"/>
      <c r="AA299" s="557"/>
      <c r="AB299" s="460"/>
      <c r="AC299" s="557"/>
      <c r="AD299" s="460"/>
      <c r="AE299" s="557"/>
      <c r="AF299" s="460"/>
      <c r="AG299" s="557"/>
      <c r="AH299" s="460"/>
    </row>
    <row r="300" spans="1:34">
      <c r="A300" s="14"/>
      <c r="B300" s="15"/>
      <c r="C300" s="16"/>
      <c r="D300" s="17"/>
      <c r="E300" s="12"/>
      <c r="F300" s="18"/>
      <c r="G300" s="19"/>
      <c r="H300" s="13"/>
      <c r="I300" s="19"/>
      <c r="J300" s="13"/>
      <c r="K300" s="19"/>
      <c r="L300" s="13"/>
      <c r="M300" s="19"/>
      <c r="N300" s="13"/>
      <c r="O300" s="19"/>
      <c r="P300" s="13"/>
      <c r="Q300" s="19"/>
      <c r="R300" s="13"/>
      <c r="S300" s="19"/>
      <c r="T300" s="13"/>
      <c r="U300" s="19"/>
      <c r="V300" s="13"/>
      <c r="W300" s="482"/>
      <c r="X300" s="460"/>
      <c r="Y300" s="557"/>
      <c r="Z300" s="460"/>
      <c r="AA300" s="557"/>
      <c r="AB300" s="460"/>
      <c r="AC300" s="557"/>
      <c r="AD300" s="460"/>
      <c r="AE300" s="557"/>
      <c r="AF300" s="460"/>
      <c r="AG300" s="557"/>
      <c r="AH300" s="460"/>
    </row>
    <row r="301" spans="1:34">
      <c r="A301" s="14"/>
      <c r="B301" s="15"/>
      <c r="C301" s="16"/>
      <c r="D301" s="17"/>
      <c r="E301" s="12"/>
      <c r="F301" s="18"/>
      <c r="G301" s="19"/>
      <c r="H301" s="13"/>
      <c r="I301" s="19"/>
      <c r="J301" s="13"/>
      <c r="K301" s="19"/>
      <c r="L301" s="13"/>
      <c r="M301" s="19"/>
      <c r="N301" s="13"/>
      <c r="O301" s="19"/>
      <c r="P301" s="13"/>
      <c r="Q301" s="19"/>
      <c r="R301" s="13"/>
      <c r="S301" s="19"/>
      <c r="T301" s="13"/>
      <c r="U301" s="19"/>
      <c r="V301" s="13"/>
      <c r="W301" s="482"/>
      <c r="X301" s="460"/>
      <c r="Y301" s="557"/>
      <c r="Z301" s="460"/>
      <c r="AA301" s="557"/>
      <c r="AB301" s="460"/>
      <c r="AC301" s="557"/>
      <c r="AD301" s="460"/>
      <c r="AE301" s="557"/>
      <c r="AF301" s="460"/>
      <c r="AG301" s="557"/>
      <c r="AH301" s="460"/>
    </row>
    <row r="302" spans="1:34">
      <c r="A302" s="14"/>
      <c r="B302" s="15"/>
      <c r="C302" s="16"/>
      <c r="D302" s="17"/>
      <c r="E302" s="12"/>
      <c r="F302" s="18"/>
      <c r="G302" s="19"/>
      <c r="H302" s="13"/>
      <c r="I302" s="19"/>
      <c r="J302" s="13"/>
      <c r="K302" s="19"/>
      <c r="L302" s="13"/>
      <c r="M302" s="19"/>
      <c r="N302" s="13"/>
      <c r="O302" s="19"/>
      <c r="P302" s="13"/>
      <c r="Q302" s="19"/>
      <c r="R302" s="13"/>
      <c r="S302" s="19"/>
      <c r="T302" s="13"/>
      <c r="U302" s="19"/>
      <c r="V302" s="13"/>
      <c r="W302" s="482"/>
      <c r="X302" s="460"/>
      <c r="Y302" s="557"/>
      <c r="Z302" s="460"/>
      <c r="AA302" s="557"/>
      <c r="AB302" s="460"/>
      <c r="AC302" s="557"/>
      <c r="AD302" s="460"/>
      <c r="AE302" s="557"/>
      <c r="AF302" s="460"/>
      <c r="AG302" s="557"/>
      <c r="AH302" s="460"/>
    </row>
    <row r="303" spans="1:34">
      <c r="A303" s="14"/>
      <c r="B303" s="15"/>
      <c r="C303" s="16"/>
      <c r="D303" s="17"/>
      <c r="E303" s="12"/>
      <c r="F303" s="18"/>
      <c r="G303" s="19"/>
      <c r="H303" s="13"/>
      <c r="I303" s="19"/>
      <c r="J303" s="13"/>
      <c r="K303" s="19"/>
      <c r="L303" s="13"/>
      <c r="M303" s="19"/>
      <c r="N303" s="13"/>
      <c r="O303" s="19"/>
      <c r="P303" s="13"/>
      <c r="Q303" s="19"/>
      <c r="R303" s="13"/>
      <c r="S303" s="19"/>
      <c r="T303" s="13"/>
      <c r="U303" s="19"/>
      <c r="V303" s="13"/>
      <c r="W303" s="482"/>
      <c r="X303" s="460"/>
      <c r="Y303" s="557"/>
      <c r="Z303" s="460"/>
      <c r="AA303" s="557"/>
      <c r="AB303" s="460"/>
      <c r="AC303" s="557"/>
      <c r="AD303" s="460"/>
      <c r="AE303" s="557"/>
      <c r="AF303" s="460"/>
      <c r="AG303" s="557"/>
      <c r="AH303" s="460"/>
    </row>
    <row r="304" spans="1:34">
      <c r="A304" s="14"/>
      <c r="B304" s="15"/>
      <c r="C304" s="16"/>
      <c r="D304" s="17"/>
      <c r="E304" s="12"/>
      <c r="F304" s="18"/>
      <c r="G304" s="19"/>
      <c r="H304" s="13"/>
      <c r="I304" s="19"/>
      <c r="J304" s="13"/>
      <c r="K304" s="19"/>
      <c r="L304" s="13"/>
      <c r="M304" s="19"/>
      <c r="N304" s="13"/>
      <c r="O304" s="19"/>
      <c r="P304" s="13"/>
      <c r="Q304" s="19"/>
      <c r="R304" s="13"/>
      <c r="S304" s="19"/>
      <c r="T304" s="13"/>
      <c r="U304" s="19"/>
      <c r="V304" s="13"/>
      <c r="W304" s="482"/>
      <c r="X304" s="460"/>
      <c r="Y304" s="557"/>
      <c r="Z304" s="460"/>
      <c r="AA304" s="557"/>
      <c r="AB304" s="460"/>
      <c r="AC304" s="557"/>
      <c r="AD304" s="460"/>
      <c r="AE304" s="557"/>
      <c r="AF304" s="460"/>
      <c r="AG304" s="557"/>
      <c r="AH304" s="460"/>
    </row>
    <row r="305" spans="1:34">
      <c r="A305" s="14"/>
      <c r="B305" s="15"/>
      <c r="C305" s="16"/>
      <c r="D305" s="17"/>
      <c r="E305" s="12"/>
      <c r="F305" s="18"/>
      <c r="G305" s="19"/>
      <c r="H305" s="13"/>
      <c r="I305" s="19"/>
      <c r="J305" s="13"/>
      <c r="K305" s="19"/>
      <c r="L305" s="13"/>
      <c r="M305" s="19"/>
      <c r="N305" s="13"/>
      <c r="O305" s="19"/>
      <c r="P305" s="13"/>
      <c r="Q305" s="19"/>
      <c r="R305" s="13"/>
      <c r="S305" s="19"/>
      <c r="T305" s="13"/>
      <c r="U305" s="19"/>
      <c r="V305" s="13"/>
      <c r="W305" s="482"/>
      <c r="X305" s="460"/>
      <c r="Y305" s="557"/>
      <c r="Z305" s="460"/>
      <c r="AA305" s="557"/>
      <c r="AB305" s="460"/>
      <c r="AC305" s="557"/>
      <c r="AD305" s="460"/>
      <c r="AE305" s="557"/>
      <c r="AF305" s="460"/>
      <c r="AG305" s="557"/>
      <c r="AH305" s="460"/>
    </row>
    <row r="306" spans="1:34">
      <c r="A306" s="14"/>
      <c r="B306" s="15"/>
      <c r="C306" s="16"/>
      <c r="D306" s="17"/>
      <c r="E306" s="12"/>
      <c r="F306" s="18"/>
      <c r="G306" s="19"/>
      <c r="H306" s="13"/>
      <c r="I306" s="19"/>
      <c r="J306" s="13"/>
      <c r="K306" s="19"/>
      <c r="L306" s="13"/>
      <c r="M306" s="19"/>
      <c r="N306" s="13"/>
      <c r="O306" s="19"/>
      <c r="P306" s="13"/>
      <c r="Q306" s="19"/>
      <c r="R306" s="13"/>
      <c r="S306" s="19"/>
      <c r="T306" s="13"/>
      <c r="U306" s="19"/>
      <c r="V306" s="13"/>
      <c r="W306" s="482"/>
      <c r="X306" s="460"/>
      <c r="Y306" s="557"/>
      <c r="Z306" s="460"/>
      <c r="AA306" s="557"/>
      <c r="AB306" s="460"/>
      <c r="AC306" s="557"/>
      <c r="AD306" s="460"/>
      <c r="AE306" s="557"/>
      <c r="AF306" s="460"/>
      <c r="AG306" s="557"/>
      <c r="AH306" s="460"/>
    </row>
    <row r="307" spans="1:34">
      <c r="A307" s="14"/>
      <c r="B307" s="15"/>
      <c r="C307" s="16"/>
      <c r="D307" s="17"/>
      <c r="E307" s="12"/>
      <c r="F307" s="18"/>
      <c r="G307" s="19"/>
      <c r="H307" s="13"/>
      <c r="I307" s="19"/>
      <c r="J307" s="13"/>
      <c r="K307" s="19"/>
      <c r="L307" s="13"/>
      <c r="M307" s="19"/>
      <c r="N307" s="13"/>
      <c r="O307" s="19"/>
      <c r="P307" s="13"/>
      <c r="Q307" s="19"/>
      <c r="R307" s="13"/>
      <c r="S307" s="19"/>
      <c r="T307" s="13"/>
      <c r="U307" s="19"/>
      <c r="V307" s="13"/>
      <c r="W307" s="482"/>
      <c r="X307" s="460"/>
      <c r="Y307" s="557"/>
      <c r="Z307" s="460"/>
      <c r="AA307" s="557"/>
      <c r="AB307" s="460"/>
      <c r="AC307" s="557"/>
      <c r="AD307" s="460"/>
      <c r="AE307" s="557"/>
      <c r="AF307" s="460"/>
      <c r="AG307" s="557"/>
      <c r="AH307" s="460"/>
    </row>
    <row r="308" spans="1:34">
      <c r="A308" s="14"/>
      <c r="B308" s="15"/>
      <c r="C308" s="16"/>
      <c r="D308" s="17"/>
      <c r="E308" s="12"/>
      <c r="F308" s="18"/>
      <c r="G308" s="19"/>
      <c r="H308" s="13"/>
      <c r="I308" s="19"/>
      <c r="J308" s="13"/>
      <c r="K308" s="19"/>
      <c r="L308" s="13"/>
      <c r="M308" s="19"/>
      <c r="N308" s="13"/>
      <c r="O308" s="19"/>
      <c r="P308" s="13"/>
      <c r="Q308" s="19"/>
      <c r="R308" s="13"/>
      <c r="S308" s="19"/>
      <c r="T308" s="13"/>
      <c r="U308" s="19"/>
      <c r="V308" s="13"/>
      <c r="W308" s="482"/>
      <c r="X308" s="460"/>
      <c r="Y308" s="557"/>
      <c r="Z308" s="460"/>
      <c r="AA308" s="557"/>
      <c r="AB308" s="460"/>
      <c r="AC308" s="557"/>
      <c r="AD308" s="460"/>
      <c r="AE308" s="557"/>
      <c r="AF308" s="460"/>
      <c r="AG308" s="557"/>
      <c r="AH308" s="460"/>
    </row>
    <row r="309" spans="1:34">
      <c r="A309" s="14"/>
      <c r="B309" s="15"/>
      <c r="C309" s="16"/>
      <c r="D309" s="17"/>
      <c r="E309" s="12"/>
      <c r="F309" s="18"/>
      <c r="G309" s="19"/>
      <c r="H309" s="13"/>
      <c r="I309" s="19"/>
      <c r="J309" s="13"/>
      <c r="K309" s="19"/>
      <c r="L309" s="13"/>
      <c r="M309" s="19"/>
      <c r="N309" s="13"/>
      <c r="O309" s="19"/>
      <c r="P309" s="13"/>
      <c r="Q309" s="19"/>
      <c r="R309" s="13"/>
      <c r="S309" s="19"/>
      <c r="T309" s="13"/>
      <c r="U309" s="19"/>
      <c r="V309" s="13"/>
      <c r="W309" s="482"/>
      <c r="X309" s="460"/>
      <c r="Y309" s="557"/>
      <c r="Z309" s="460"/>
      <c r="AA309" s="557"/>
      <c r="AB309" s="460"/>
      <c r="AC309" s="557"/>
      <c r="AD309" s="460"/>
      <c r="AE309" s="557"/>
      <c r="AF309" s="460"/>
      <c r="AG309" s="557"/>
      <c r="AH309" s="460"/>
    </row>
    <row r="310" spans="1:34">
      <c r="A310" s="14"/>
      <c r="B310" s="15"/>
      <c r="C310" s="16"/>
      <c r="D310" s="17"/>
      <c r="E310" s="12"/>
      <c r="F310" s="18"/>
      <c r="G310" s="19"/>
      <c r="H310" s="13"/>
      <c r="I310" s="19"/>
      <c r="J310" s="13"/>
      <c r="K310" s="19"/>
      <c r="L310" s="13"/>
      <c r="M310" s="19"/>
      <c r="N310" s="13"/>
      <c r="O310" s="19"/>
      <c r="P310" s="13"/>
      <c r="Q310" s="19"/>
      <c r="R310" s="13"/>
      <c r="S310" s="19"/>
      <c r="T310" s="13"/>
      <c r="U310" s="19"/>
      <c r="V310" s="13"/>
      <c r="W310" s="482"/>
      <c r="X310" s="460"/>
      <c r="Y310" s="557"/>
      <c r="Z310" s="460"/>
      <c r="AA310" s="557"/>
      <c r="AB310" s="460"/>
      <c r="AC310" s="557"/>
      <c r="AD310" s="460"/>
      <c r="AE310" s="557"/>
      <c r="AF310" s="460"/>
      <c r="AG310" s="557"/>
      <c r="AH310" s="460"/>
    </row>
    <row r="311" spans="1:34">
      <c r="A311" s="14"/>
      <c r="B311" s="15"/>
      <c r="C311" s="16"/>
      <c r="D311" s="17"/>
      <c r="E311" s="12"/>
      <c r="F311" s="18"/>
      <c r="G311" s="19"/>
      <c r="H311" s="13"/>
      <c r="I311" s="19"/>
      <c r="J311" s="13"/>
      <c r="K311" s="19"/>
      <c r="L311" s="13"/>
      <c r="M311" s="19"/>
      <c r="N311" s="13"/>
      <c r="O311" s="19"/>
      <c r="P311" s="13"/>
      <c r="Q311" s="19"/>
      <c r="R311" s="13"/>
      <c r="S311" s="19"/>
      <c r="T311" s="13"/>
      <c r="U311" s="19"/>
      <c r="V311" s="13"/>
      <c r="W311" s="482"/>
      <c r="X311" s="460"/>
      <c r="Y311" s="557"/>
      <c r="Z311" s="460"/>
      <c r="AA311" s="557"/>
      <c r="AB311" s="460"/>
      <c r="AC311" s="557"/>
      <c r="AD311" s="460"/>
      <c r="AE311" s="557"/>
      <c r="AF311" s="460"/>
      <c r="AG311" s="557"/>
      <c r="AH311" s="460"/>
    </row>
    <row r="312" spans="1:34">
      <c r="A312" s="14"/>
      <c r="B312" s="15"/>
      <c r="C312" s="16"/>
      <c r="D312" s="17"/>
      <c r="E312" s="12"/>
      <c r="F312" s="18"/>
      <c r="G312" s="19"/>
      <c r="H312" s="13"/>
      <c r="I312" s="19"/>
      <c r="J312" s="13"/>
      <c r="K312" s="19"/>
      <c r="L312" s="13"/>
      <c r="M312" s="19"/>
      <c r="N312" s="13"/>
      <c r="O312" s="19"/>
      <c r="P312" s="13"/>
      <c r="Q312" s="19"/>
      <c r="R312" s="13"/>
      <c r="S312" s="19"/>
      <c r="T312" s="13"/>
      <c r="U312" s="19"/>
      <c r="V312" s="13"/>
      <c r="W312" s="482"/>
      <c r="X312" s="460"/>
      <c r="Y312" s="557"/>
      <c r="Z312" s="460"/>
      <c r="AA312" s="557"/>
      <c r="AB312" s="460"/>
      <c r="AC312" s="557"/>
      <c r="AD312" s="460"/>
      <c r="AE312" s="557"/>
      <c r="AF312" s="460"/>
      <c r="AG312" s="557"/>
      <c r="AH312" s="460"/>
    </row>
    <row r="313" spans="1:34">
      <c r="A313" s="14"/>
      <c r="B313" s="15"/>
      <c r="C313" s="16"/>
      <c r="D313" s="17"/>
      <c r="E313" s="12"/>
      <c r="F313" s="18"/>
      <c r="G313" s="19"/>
      <c r="H313" s="13"/>
      <c r="I313" s="19"/>
      <c r="J313" s="13"/>
      <c r="K313" s="19"/>
      <c r="L313" s="13"/>
      <c r="M313" s="19"/>
      <c r="N313" s="13"/>
      <c r="O313" s="19"/>
      <c r="P313" s="13"/>
      <c r="Q313" s="19"/>
      <c r="R313" s="13"/>
      <c r="S313" s="19"/>
      <c r="T313" s="13"/>
      <c r="U313" s="19"/>
      <c r="V313" s="13"/>
      <c r="W313" s="482"/>
      <c r="X313" s="460"/>
      <c r="Y313" s="557"/>
      <c r="Z313" s="460"/>
      <c r="AA313" s="557"/>
      <c r="AB313" s="460"/>
      <c r="AC313" s="557"/>
      <c r="AD313" s="460"/>
      <c r="AE313" s="557"/>
      <c r="AF313" s="460"/>
      <c r="AG313" s="557"/>
      <c r="AH313" s="460"/>
    </row>
    <row r="314" spans="1:34">
      <c r="A314" s="14"/>
      <c r="B314" s="15"/>
      <c r="C314" s="16"/>
      <c r="D314" s="17"/>
      <c r="E314" s="12"/>
      <c r="F314" s="18"/>
      <c r="G314" s="19"/>
      <c r="H314" s="13"/>
      <c r="I314" s="19"/>
      <c r="J314" s="13"/>
      <c r="K314" s="19"/>
      <c r="L314" s="13"/>
      <c r="M314" s="19"/>
      <c r="N314" s="13"/>
      <c r="O314" s="19"/>
      <c r="P314" s="13"/>
      <c r="Q314" s="19"/>
      <c r="R314" s="13"/>
      <c r="S314" s="19"/>
      <c r="T314" s="13"/>
      <c r="U314" s="19"/>
      <c r="V314" s="13"/>
      <c r="W314" s="482"/>
      <c r="X314" s="460"/>
      <c r="Y314" s="557"/>
      <c r="Z314" s="460"/>
      <c r="AA314" s="557"/>
      <c r="AB314" s="460"/>
      <c r="AC314" s="557"/>
      <c r="AD314" s="460"/>
      <c r="AE314" s="557"/>
      <c r="AF314" s="460"/>
      <c r="AG314" s="557"/>
      <c r="AH314" s="460"/>
    </row>
    <row r="315" spans="1:34">
      <c r="A315" s="14"/>
      <c r="B315" s="15"/>
      <c r="C315" s="16"/>
      <c r="D315" s="17"/>
      <c r="E315" s="12"/>
      <c r="F315" s="18"/>
      <c r="G315" s="19"/>
      <c r="H315" s="13"/>
      <c r="I315" s="19"/>
      <c r="J315" s="13"/>
      <c r="K315" s="19"/>
      <c r="L315" s="13"/>
      <c r="M315" s="19"/>
      <c r="N315" s="13"/>
      <c r="O315" s="19"/>
      <c r="P315" s="13"/>
      <c r="Q315" s="19"/>
      <c r="R315" s="13"/>
      <c r="S315" s="19"/>
      <c r="T315" s="13"/>
      <c r="U315" s="19"/>
      <c r="V315" s="13"/>
      <c r="W315" s="482"/>
      <c r="X315" s="460"/>
      <c r="Y315" s="557"/>
      <c r="Z315" s="460"/>
      <c r="AA315" s="557"/>
      <c r="AB315" s="460"/>
      <c r="AC315" s="557"/>
      <c r="AD315" s="460"/>
      <c r="AE315" s="557"/>
      <c r="AF315" s="460"/>
      <c r="AG315" s="557"/>
      <c r="AH315" s="460"/>
    </row>
    <row r="316" spans="1:34">
      <c r="A316" s="14"/>
      <c r="B316" s="15"/>
      <c r="C316" s="16"/>
      <c r="D316" s="17"/>
      <c r="E316" s="12"/>
      <c r="F316" s="18"/>
      <c r="G316" s="19"/>
      <c r="H316" s="13"/>
      <c r="I316" s="19"/>
      <c r="J316" s="13"/>
      <c r="K316" s="19"/>
      <c r="L316" s="13"/>
      <c r="M316" s="19"/>
      <c r="N316" s="13"/>
      <c r="O316" s="19"/>
      <c r="P316" s="13"/>
      <c r="Q316" s="19"/>
      <c r="R316" s="13"/>
      <c r="S316" s="19"/>
      <c r="T316" s="13"/>
      <c r="U316" s="19"/>
      <c r="V316" s="13"/>
      <c r="W316" s="482"/>
      <c r="X316" s="460"/>
      <c r="Y316" s="557"/>
      <c r="Z316" s="460"/>
      <c r="AA316" s="557"/>
      <c r="AB316" s="460"/>
      <c r="AC316" s="557"/>
      <c r="AD316" s="460"/>
      <c r="AE316" s="557"/>
      <c r="AF316" s="460"/>
      <c r="AG316" s="557"/>
      <c r="AH316" s="460"/>
    </row>
    <row r="317" spans="1:34">
      <c r="A317" s="14"/>
      <c r="B317" s="15"/>
      <c r="C317" s="16"/>
      <c r="D317" s="17"/>
      <c r="E317" s="12"/>
      <c r="F317" s="18"/>
      <c r="G317" s="19"/>
      <c r="H317" s="13"/>
      <c r="I317" s="19"/>
      <c r="J317" s="13"/>
      <c r="K317" s="19"/>
      <c r="L317" s="13"/>
      <c r="M317" s="19"/>
      <c r="N317" s="13"/>
      <c r="O317" s="19"/>
      <c r="P317" s="13"/>
      <c r="Q317" s="19"/>
      <c r="R317" s="13"/>
      <c r="S317" s="19"/>
      <c r="T317" s="13"/>
      <c r="U317" s="19"/>
      <c r="V317" s="13"/>
      <c r="W317" s="482"/>
      <c r="X317" s="460"/>
      <c r="Y317" s="557"/>
      <c r="Z317" s="460"/>
      <c r="AA317" s="557"/>
      <c r="AB317" s="460"/>
      <c r="AC317" s="557"/>
      <c r="AD317" s="460"/>
      <c r="AE317" s="557"/>
      <c r="AF317" s="460"/>
      <c r="AG317" s="557"/>
      <c r="AH317" s="460"/>
    </row>
    <row r="318" spans="1:34">
      <c r="A318" s="14"/>
      <c r="B318" s="15"/>
      <c r="C318" s="16"/>
      <c r="D318" s="17"/>
      <c r="E318" s="12"/>
      <c r="F318" s="18"/>
      <c r="G318" s="19"/>
      <c r="H318" s="13"/>
      <c r="I318" s="19"/>
      <c r="J318" s="13"/>
      <c r="K318" s="19"/>
      <c r="L318" s="13"/>
      <c r="M318" s="19"/>
      <c r="N318" s="13"/>
      <c r="O318" s="19"/>
      <c r="P318" s="13"/>
      <c r="Q318" s="19"/>
      <c r="R318" s="13"/>
      <c r="S318" s="19"/>
      <c r="T318" s="13"/>
      <c r="U318" s="19"/>
      <c r="V318" s="13"/>
      <c r="W318" s="482"/>
      <c r="X318" s="460"/>
      <c r="Y318" s="557"/>
      <c r="Z318" s="460"/>
      <c r="AA318" s="557"/>
      <c r="AB318" s="460"/>
      <c r="AC318" s="557"/>
      <c r="AD318" s="460"/>
      <c r="AE318" s="557"/>
      <c r="AF318" s="460"/>
      <c r="AG318" s="557"/>
      <c r="AH318" s="460"/>
    </row>
    <row r="319" spans="1:34">
      <c r="A319" s="14"/>
      <c r="B319" s="15"/>
      <c r="C319" s="16"/>
      <c r="D319" s="17"/>
      <c r="E319" s="12"/>
      <c r="F319" s="18"/>
      <c r="G319" s="19"/>
      <c r="H319" s="13"/>
      <c r="I319" s="19"/>
      <c r="J319" s="13"/>
      <c r="K319" s="19"/>
      <c r="L319" s="13"/>
      <c r="M319" s="19"/>
      <c r="N319" s="13"/>
      <c r="O319" s="19"/>
      <c r="P319" s="13"/>
      <c r="Q319" s="19"/>
      <c r="R319" s="13"/>
      <c r="S319" s="19"/>
      <c r="T319" s="13"/>
      <c r="U319" s="19"/>
      <c r="V319" s="13"/>
      <c r="W319" s="482"/>
      <c r="X319" s="460"/>
      <c r="Y319" s="557"/>
      <c r="Z319" s="460"/>
      <c r="AA319" s="557"/>
      <c r="AB319" s="460"/>
      <c r="AC319" s="557"/>
      <c r="AD319" s="460"/>
      <c r="AE319" s="557"/>
      <c r="AF319" s="460"/>
      <c r="AG319" s="557"/>
      <c r="AH319" s="460"/>
    </row>
    <row r="320" spans="1:34">
      <c r="A320" s="14"/>
      <c r="B320" s="15"/>
      <c r="C320" s="16"/>
      <c r="D320" s="17"/>
      <c r="E320" s="12"/>
      <c r="F320" s="18"/>
      <c r="G320" s="19"/>
      <c r="H320" s="13"/>
      <c r="I320" s="19"/>
      <c r="J320" s="13"/>
      <c r="K320" s="19"/>
      <c r="L320" s="13"/>
      <c r="M320" s="19"/>
      <c r="N320" s="13"/>
      <c r="O320" s="19"/>
      <c r="P320" s="13"/>
      <c r="Q320" s="19"/>
      <c r="R320" s="13"/>
      <c r="S320" s="19"/>
      <c r="T320" s="13"/>
      <c r="U320" s="19"/>
      <c r="V320" s="13"/>
      <c r="W320" s="482"/>
      <c r="X320" s="460"/>
      <c r="Y320" s="557"/>
      <c r="Z320" s="460"/>
      <c r="AA320" s="557"/>
      <c r="AB320" s="460"/>
      <c r="AC320" s="557"/>
      <c r="AD320" s="460"/>
      <c r="AE320" s="557"/>
      <c r="AF320" s="460"/>
      <c r="AG320" s="557"/>
      <c r="AH320" s="460"/>
    </row>
    <row r="321" spans="1:34">
      <c r="A321" s="14"/>
      <c r="B321" s="15"/>
      <c r="C321" s="16"/>
      <c r="D321" s="17"/>
      <c r="E321" s="12"/>
      <c r="F321" s="18"/>
      <c r="G321" s="19"/>
      <c r="H321" s="13"/>
      <c r="I321" s="19"/>
      <c r="J321" s="13"/>
      <c r="K321" s="19"/>
      <c r="L321" s="13"/>
      <c r="M321" s="19"/>
      <c r="N321" s="13"/>
      <c r="O321" s="19"/>
      <c r="P321" s="13"/>
      <c r="Q321" s="19"/>
      <c r="R321" s="13"/>
      <c r="S321" s="19"/>
      <c r="T321" s="13"/>
      <c r="U321" s="19"/>
      <c r="V321" s="13"/>
      <c r="W321" s="482"/>
      <c r="X321" s="460"/>
      <c r="Y321" s="557"/>
      <c r="Z321" s="460"/>
      <c r="AA321" s="557"/>
      <c r="AB321" s="460"/>
      <c r="AC321" s="557"/>
      <c r="AD321" s="460"/>
      <c r="AE321" s="557"/>
      <c r="AF321" s="460"/>
      <c r="AG321" s="557"/>
      <c r="AH321" s="460"/>
    </row>
    <row r="322" spans="1:34">
      <c r="A322" s="14"/>
      <c r="B322" s="15"/>
      <c r="C322" s="16"/>
      <c r="D322" s="17"/>
      <c r="E322" s="12"/>
      <c r="F322" s="18"/>
      <c r="G322" s="19"/>
      <c r="H322" s="13"/>
      <c r="I322" s="19"/>
      <c r="J322" s="13"/>
      <c r="K322" s="19"/>
      <c r="L322" s="13"/>
      <c r="M322" s="19"/>
      <c r="N322" s="13"/>
      <c r="O322" s="19"/>
      <c r="P322" s="13"/>
      <c r="Q322" s="19"/>
      <c r="R322" s="13"/>
      <c r="S322" s="19"/>
      <c r="T322" s="13"/>
      <c r="U322" s="19"/>
      <c r="V322" s="13"/>
      <c r="W322" s="482"/>
      <c r="X322" s="460"/>
      <c r="Y322" s="557"/>
      <c r="Z322" s="460"/>
      <c r="AA322" s="557"/>
      <c r="AB322" s="460"/>
      <c r="AC322" s="557"/>
      <c r="AD322" s="460"/>
      <c r="AE322" s="557"/>
      <c r="AF322" s="460"/>
      <c r="AG322" s="557"/>
      <c r="AH322" s="460"/>
    </row>
    <row r="323" spans="1:34">
      <c r="A323" s="14"/>
      <c r="B323" s="15"/>
      <c r="C323" s="16"/>
      <c r="D323" s="17"/>
      <c r="E323" s="12"/>
      <c r="F323" s="18"/>
      <c r="G323" s="19"/>
      <c r="H323" s="13"/>
      <c r="I323" s="19"/>
      <c r="J323" s="13"/>
      <c r="K323" s="19"/>
      <c r="L323" s="13"/>
      <c r="M323" s="19"/>
      <c r="N323" s="13"/>
      <c r="O323" s="19"/>
      <c r="P323" s="13"/>
      <c r="Q323" s="19"/>
      <c r="R323" s="13"/>
      <c r="S323" s="19"/>
      <c r="T323" s="13"/>
      <c r="U323" s="19"/>
      <c r="V323" s="13"/>
      <c r="W323" s="482"/>
      <c r="X323" s="460"/>
      <c r="Y323" s="557"/>
      <c r="Z323" s="460"/>
      <c r="AA323" s="557"/>
      <c r="AB323" s="460"/>
      <c r="AC323" s="557"/>
      <c r="AD323" s="460"/>
      <c r="AE323" s="557"/>
      <c r="AF323" s="460"/>
      <c r="AG323" s="557"/>
      <c r="AH323" s="460"/>
    </row>
    <row r="324" spans="1:34">
      <c r="A324" s="14"/>
      <c r="B324" s="15"/>
      <c r="C324" s="16"/>
      <c r="D324" s="17"/>
      <c r="E324" s="12"/>
      <c r="F324" s="18"/>
      <c r="G324" s="19"/>
      <c r="H324" s="13"/>
      <c r="I324" s="19"/>
      <c r="J324" s="13"/>
      <c r="K324" s="19"/>
      <c r="L324" s="13"/>
      <c r="M324" s="19"/>
      <c r="N324" s="13"/>
      <c r="O324" s="19"/>
      <c r="P324" s="13"/>
      <c r="Q324" s="19"/>
      <c r="R324" s="13"/>
      <c r="S324" s="19"/>
      <c r="T324" s="13"/>
      <c r="U324" s="19"/>
      <c r="V324" s="13"/>
      <c r="W324" s="482"/>
      <c r="X324" s="460"/>
      <c r="Y324" s="557"/>
      <c r="Z324" s="460"/>
      <c r="AA324" s="557"/>
      <c r="AB324" s="460"/>
      <c r="AC324" s="557"/>
      <c r="AD324" s="460"/>
      <c r="AE324" s="557"/>
      <c r="AF324" s="460"/>
      <c r="AG324" s="557"/>
      <c r="AH324" s="460"/>
    </row>
    <row r="325" spans="1:34">
      <c r="A325" s="14"/>
      <c r="B325" s="15"/>
      <c r="C325" s="16"/>
      <c r="D325" s="17"/>
      <c r="E325" s="12"/>
      <c r="F325" s="18"/>
      <c r="G325" s="19"/>
      <c r="H325" s="13"/>
      <c r="I325" s="19"/>
      <c r="J325" s="13"/>
      <c r="K325" s="19"/>
      <c r="L325" s="13"/>
      <c r="M325" s="19"/>
      <c r="N325" s="13"/>
      <c r="O325" s="19"/>
      <c r="P325" s="13"/>
      <c r="Q325" s="19"/>
      <c r="R325" s="13"/>
      <c r="S325" s="19"/>
      <c r="T325" s="13"/>
      <c r="U325" s="19"/>
      <c r="V325" s="13"/>
      <c r="W325" s="482"/>
      <c r="X325" s="460"/>
      <c r="Y325" s="557"/>
      <c r="Z325" s="460"/>
      <c r="AA325" s="557"/>
      <c r="AB325" s="460"/>
      <c r="AC325" s="557"/>
      <c r="AD325" s="460"/>
      <c r="AE325" s="557"/>
      <c r="AF325" s="460"/>
      <c r="AG325" s="557"/>
      <c r="AH325" s="460"/>
    </row>
    <row r="326" spans="1:34">
      <c r="A326" s="14"/>
      <c r="B326" s="15"/>
      <c r="C326" s="16"/>
      <c r="D326" s="17"/>
      <c r="E326" s="12"/>
      <c r="F326" s="18"/>
      <c r="G326" s="19"/>
      <c r="H326" s="13"/>
      <c r="I326" s="19"/>
      <c r="J326" s="13"/>
      <c r="K326" s="19"/>
      <c r="L326" s="13"/>
      <c r="M326" s="19"/>
      <c r="N326" s="13"/>
      <c r="O326" s="19"/>
      <c r="P326" s="13"/>
      <c r="Q326" s="19"/>
      <c r="R326" s="13"/>
      <c r="S326" s="19"/>
      <c r="T326" s="13"/>
      <c r="U326" s="19"/>
      <c r="V326" s="13"/>
      <c r="W326" s="482"/>
      <c r="X326" s="460"/>
      <c r="Y326" s="557"/>
      <c r="Z326" s="460"/>
      <c r="AA326" s="557"/>
      <c r="AB326" s="460"/>
      <c r="AC326" s="557"/>
      <c r="AD326" s="460"/>
      <c r="AE326" s="557"/>
      <c r="AF326" s="460"/>
      <c r="AG326" s="557"/>
      <c r="AH326" s="460"/>
    </row>
    <row r="327" spans="1:34">
      <c r="A327" s="14"/>
      <c r="B327" s="15"/>
      <c r="C327" s="16"/>
      <c r="D327" s="17"/>
      <c r="E327" s="12"/>
      <c r="F327" s="18"/>
      <c r="G327" s="19"/>
      <c r="H327" s="13"/>
      <c r="I327" s="19"/>
      <c r="J327" s="13"/>
      <c r="K327" s="19"/>
      <c r="L327" s="13"/>
      <c r="M327" s="19"/>
      <c r="N327" s="13"/>
      <c r="O327" s="19"/>
      <c r="P327" s="13"/>
      <c r="Q327" s="19"/>
      <c r="R327" s="13"/>
      <c r="S327" s="19"/>
      <c r="T327" s="13"/>
      <c r="U327" s="19"/>
      <c r="V327" s="13"/>
      <c r="W327" s="482"/>
      <c r="X327" s="460"/>
      <c r="Y327" s="557"/>
      <c r="Z327" s="460"/>
      <c r="AA327" s="557"/>
      <c r="AB327" s="460"/>
      <c r="AC327" s="557"/>
      <c r="AD327" s="460"/>
      <c r="AE327" s="557"/>
      <c r="AF327" s="460"/>
      <c r="AG327" s="557"/>
      <c r="AH327" s="460"/>
    </row>
    <row r="328" spans="1:34">
      <c r="A328" s="14"/>
      <c r="B328" s="15"/>
      <c r="C328" s="16"/>
      <c r="D328" s="17"/>
      <c r="E328" s="12"/>
      <c r="F328" s="18"/>
      <c r="G328" s="19"/>
      <c r="H328" s="13"/>
      <c r="I328" s="19"/>
      <c r="J328" s="13"/>
      <c r="K328" s="19"/>
      <c r="L328" s="13"/>
      <c r="M328" s="19"/>
      <c r="N328" s="13"/>
      <c r="O328" s="19"/>
      <c r="P328" s="13"/>
      <c r="Q328" s="19"/>
      <c r="R328" s="13"/>
      <c r="S328" s="19"/>
      <c r="T328" s="13"/>
      <c r="U328" s="19"/>
      <c r="V328" s="13"/>
      <c r="W328" s="482"/>
      <c r="X328" s="460"/>
      <c r="Y328" s="557"/>
      <c r="Z328" s="460"/>
      <c r="AA328" s="557"/>
      <c r="AB328" s="460"/>
      <c r="AC328" s="557"/>
      <c r="AD328" s="460"/>
      <c r="AE328" s="557"/>
      <c r="AF328" s="460"/>
      <c r="AG328" s="557"/>
      <c r="AH328" s="460"/>
    </row>
    <row r="329" spans="1:34">
      <c r="A329" s="14"/>
      <c r="B329" s="15"/>
      <c r="C329" s="16"/>
      <c r="D329" s="17"/>
      <c r="E329" s="12"/>
      <c r="F329" s="18"/>
      <c r="G329" s="19"/>
      <c r="H329" s="13"/>
      <c r="I329" s="19"/>
      <c r="J329" s="13"/>
      <c r="K329" s="19"/>
      <c r="L329" s="13"/>
      <c r="M329" s="19"/>
      <c r="N329" s="13"/>
      <c r="O329" s="19"/>
      <c r="P329" s="13"/>
      <c r="Q329" s="19"/>
      <c r="R329" s="13"/>
      <c r="S329" s="19"/>
      <c r="T329" s="13"/>
      <c r="U329" s="19"/>
      <c r="V329" s="13"/>
      <c r="W329" s="482"/>
      <c r="X329" s="460"/>
      <c r="Y329" s="557"/>
      <c r="Z329" s="460"/>
      <c r="AA329" s="557"/>
      <c r="AB329" s="460"/>
      <c r="AC329" s="557"/>
      <c r="AD329" s="460"/>
      <c r="AE329" s="557"/>
      <c r="AF329" s="460"/>
      <c r="AG329" s="557"/>
      <c r="AH329" s="460"/>
    </row>
    <row r="330" spans="1:34">
      <c r="A330" s="14"/>
      <c r="B330" s="15"/>
      <c r="C330" s="16"/>
      <c r="D330" s="17"/>
      <c r="E330" s="12"/>
      <c r="F330" s="18"/>
      <c r="G330" s="19"/>
      <c r="H330" s="13"/>
      <c r="I330" s="19"/>
      <c r="J330" s="13"/>
      <c r="K330" s="19"/>
      <c r="L330" s="13"/>
      <c r="M330" s="19"/>
      <c r="N330" s="13"/>
      <c r="O330" s="19"/>
      <c r="P330" s="13"/>
      <c r="Q330" s="19"/>
      <c r="R330" s="13"/>
      <c r="S330" s="19"/>
      <c r="T330" s="13"/>
      <c r="U330" s="19"/>
      <c r="V330" s="13"/>
      <c r="W330" s="482"/>
      <c r="X330" s="460"/>
      <c r="Y330" s="557"/>
      <c r="Z330" s="460"/>
      <c r="AA330" s="557"/>
      <c r="AB330" s="460"/>
      <c r="AC330" s="557"/>
      <c r="AD330" s="460"/>
      <c r="AE330" s="557"/>
      <c r="AF330" s="460"/>
      <c r="AG330" s="557"/>
      <c r="AH330" s="460"/>
    </row>
    <row r="331" spans="1:34">
      <c r="A331" s="14"/>
      <c r="B331" s="15"/>
      <c r="C331" s="16"/>
      <c r="D331" s="17"/>
      <c r="E331" s="12"/>
      <c r="F331" s="18"/>
      <c r="G331" s="19"/>
      <c r="H331" s="13"/>
      <c r="I331" s="19"/>
      <c r="J331" s="13"/>
      <c r="K331" s="19"/>
      <c r="L331" s="13"/>
      <c r="M331" s="19"/>
      <c r="N331" s="13"/>
      <c r="O331" s="19"/>
      <c r="P331" s="13"/>
      <c r="Q331" s="19"/>
      <c r="R331" s="13"/>
      <c r="S331" s="19"/>
      <c r="T331" s="13"/>
      <c r="U331" s="19"/>
      <c r="V331" s="13"/>
      <c r="W331" s="482"/>
      <c r="X331" s="460"/>
      <c r="Y331" s="557"/>
      <c r="Z331" s="460"/>
      <c r="AA331" s="557"/>
      <c r="AB331" s="460"/>
      <c r="AC331" s="557"/>
      <c r="AD331" s="460"/>
      <c r="AE331" s="557"/>
      <c r="AF331" s="460"/>
      <c r="AG331" s="557"/>
      <c r="AH331" s="460"/>
    </row>
    <row r="332" spans="1:34">
      <c r="A332" s="14"/>
      <c r="B332" s="15"/>
      <c r="C332" s="16"/>
      <c r="D332" s="17"/>
      <c r="E332" s="12"/>
      <c r="F332" s="18"/>
      <c r="G332" s="19"/>
      <c r="H332" s="13"/>
      <c r="I332" s="19"/>
      <c r="J332" s="13"/>
      <c r="K332" s="19"/>
      <c r="L332" s="13"/>
      <c r="M332" s="19"/>
      <c r="N332" s="13"/>
      <c r="O332" s="19"/>
      <c r="P332" s="13"/>
      <c r="Q332" s="19"/>
      <c r="R332" s="13"/>
      <c r="S332" s="19"/>
      <c r="T332" s="13"/>
      <c r="U332" s="19"/>
      <c r="V332" s="13"/>
      <c r="W332" s="482"/>
      <c r="X332" s="460"/>
      <c r="Y332" s="557"/>
      <c r="Z332" s="460"/>
      <c r="AA332" s="557"/>
      <c r="AB332" s="460"/>
      <c r="AC332" s="557"/>
      <c r="AD332" s="460"/>
      <c r="AE332" s="557"/>
      <c r="AF332" s="460"/>
      <c r="AG332" s="557"/>
      <c r="AH332" s="460"/>
    </row>
    <row r="333" spans="1:34">
      <c r="A333" s="14"/>
      <c r="B333" s="15"/>
      <c r="C333" s="16"/>
      <c r="D333" s="17"/>
      <c r="E333" s="12"/>
      <c r="F333" s="18"/>
      <c r="G333" s="19"/>
      <c r="H333" s="13"/>
      <c r="I333" s="19"/>
      <c r="J333" s="13"/>
      <c r="K333" s="19"/>
      <c r="L333" s="13"/>
      <c r="M333" s="19"/>
      <c r="N333" s="13"/>
      <c r="O333" s="19"/>
      <c r="P333" s="13"/>
      <c r="Q333" s="19"/>
      <c r="R333" s="13"/>
      <c r="S333" s="19"/>
      <c r="T333" s="13"/>
      <c r="U333" s="19"/>
      <c r="V333" s="13"/>
      <c r="W333" s="482"/>
      <c r="X333" s="460"/>
      <c r="Y333" s="557"/>
      <c r="Z333" s="460"/>
      <c r="AA333" s="557"/>
      <c r="AB333" s="460"/>
      <c r="AC333" s="557"/>
      <c r="AD333" s="460"/>
      <c r="AE333" s="557"/>
      <c r="AF333" s="460"/>
      <c r="AG333" s="557"/>
      <c r="AH333" s="460"/>
    </row>
    <row r="334" spans="1:34">
      <c r="A334" s="14"/>
      <c r="B334" s="15"/>
      <c r="C334" s="16"/>
      <c r="D334" s="17"/>
      <c r="E334" s="12"/>
      <c r="F334" s="18"/>
      <c r="G334" s="19"/>
      <c r="H334" s="13"/>
      <c r="I334" s="19"/>
      <c r="J334" s="13"/>
      <c r="K334" s="19"/>
      <c r="L334" s="13"/>
      <c r="M334" s="19"/>
      <c r="N334" s="13"/>
      <c r="O334" s="19"/>
      <c r="P334" s="13"/>
      <c r="Q334" s="19"/>
      <c r="R334" s="13"/>
      <c r="S334" s="19"/>
      <c r="T334" s="13"/>
      <c r="U334" s="19"/>
      <c r="V334" s="13"/>
      <c r="W334" s="482"/>
      <c r="X334" s="460"/>
      <c r="Y334" s="557"/>
      <c r="Z334" s="460"/>
      <c r="AA334" s="557"/>
      <c r="AB334" s="460"/>
      <c r="AC334" s="557"/>
      <c r="AD334" s="460"/>
      <c r="AE334" s="557"/>
      <c r="AF334" s="460"/>
      <c r="AG334" s="557"/>
      <c r="AH334" s="460"/>
    </row>
    <row r="335" spans="1:34">
      <c r="A335" s="14"/>
      <c r="B335" s="15"/>
      <c r="C335" s="16"/>
      <c r="D335" s="17"/>
      <c r="E335" s="12"/>
      <c r="F335" s="18"/>
      <c r="G335" s="19"/>
      <c r="H335" s="13"/>
      <c r="I335" s="19"/>
      <c r="J335" s="13"/>
      <c r="K335" s="19"/>
      <c r="L335" s="13"/>
      <c r="M335" s="19"/>
      <c r="N335" s="13"/>
      <c r="O335" s="19"/>
      <c r="P335" s="13"/>
      <c r="Q335" s="19"/>
      <c r="R335" s="13"/>
      <c r="S335" s="19"/>
      <c r="T335" s="13"/>
      <c r="U335" s="19"/>
      <c r="V335" s="13"/>
      <c r="W335" s="482"/>
      <c r="X335" s="460"/>
      <c r="Y335" s="557"/>
      <c r="Z335" s="460"/>
      <c r="AA335" s="557"/>
      <c r="AB335" s="460"/>
      <c r="AC335" s="557"/>
      <c r="AD335" s="460"/>
      <c r="AE335" s="557"/>
      <c r="AF335" s="460"/>
      <c r="AG335" s="557"/>
      <c r="AH335" s="460"/>
    </row>
    <row r="336" spans="1:34">
      <c r="A336" s="14"/>
      <c r="B336" s="15"/>
      <c r="C336" s="16"/>
      <c r="D336" s="17"/>
      <c r="E336" s="12"/>
      <c r="F336" s="18"/>
      <c r="G336" s="19"/>
      <c r="H336" s="13"/>
      <c r="I336" s="19"/>
      <c r="J336" s="13"/>
      <c r="K336" s="19"/>
      <c r="L336" s="13"/>
      <c r="M336" s="19"/>
      <c r="N336" s="13"/>
      <c r="O336" s="19"/>
      <c r="P336" s="13"/>
      <c r="Q336" s="19"/>
      <c r="R336" s="13"/>
      <c r="S336" s="19"/>
      <c r="T336" s="13"/>
      <c r="U336" s="19"/>
      <c r="V336" s="13"/>
      <c r="W336" s="482"/>
      <c r="X336" s="460"/>
      <c r="Y336" s="557"/>
      <c r="Z336" s="460"/>
      <c r="AA336" s="557"/>
      <c r="AB336" s="460"/>
      <c r="AC336" s="557"/>
      <c r="AD336" s="460"/>
      <c r="AE336" s="557"/>
      <c r="AF336" s="460"/>
      <c r="AG336" s="557"/>
      <c r="AH336" s="460"/>
    </row>
    <row r="337" spans="1:34">
      <c r="A337" s="14"/>
      <c r="B337" s="15"/>
      <c r="C337" s="16"/>
      <c r="D337" s="17"/>
      <c r="E337" s="12"/>
      <c r="F337" s="18"/>
      <c r="G337" s="19"/>
      <c r="H337" s="13"/>
      <c r="I337" s="19"/>
      <c r="J337" s="13"/>
      <c r="K337" s="19"/>
      <c r="L337" s="13"/>
      <c r="M337" s="19"/>
      <c r="N337" s="13"/>
      <c r="O337" s="19"/>
      <c r="P337" s="13"/>
      <c r="Q337" s="19"/>
      <c r="R337" s="13"/>
      <c r="S337" s="19"/>
      <c r="T337" s="13"/>
      <c r="U337" s="19"/>
      <c r="V337" s="13"/>
      <c r="W337" s="482"/>
      <c r="X337" s="460"/>
      <c r="Y337" s="557"/>
      <c r="Z337" s="460"/>
      <c r="AA337" s="557"/>
      <c r="AB337" s="460"/>
      <c r="AC337" s="557"/>
      <c r="AD337" s="460"/>
      <c r="AE337" s="557"/>
      <c r="AF337" s="460"/>
      <c r="AG337" s="557"/>
      <c r="AH337" s="460"/>
    </row>
    <row r="338" spans="1:34">
      <c r="A338" s="14"/>
      <c r="B338" s="15"/>
      <c r="C338" s="16"/>
      <c r="D338" s="17"/>
      <c r="E338" s="12"/>
      <c r="F338" s="18"/>
      <c r="G338" s="19"/>
      <c r="H338" s="13"/>
      <c r="I338" s="19"/>
      <c r="J338" s="13"/>
      <c r="K338" s="19"/>
      <c r="L338" s="13"/>
      <c r="M338" s="19"/>
      <c r="N338" s="13"/>
      <c r="O338" s="19"/>
      <c r="P338" s="13"/>
      <c r="Q338" s="19"/>
      <c r="R338" s="13"/>
      <c r="S338" s="19"/>
      <c r="T338" s="13"/>
      <c r="U338" s="19"/>
      <c r="V338" s="13"/>
      <c r="W338" s="482"/>
      <c r="X338" s="460"/>
      <c r="Y338" s="557"/>
      <c r="Z338" s="460"/>
      <c r="AA338" s="557"/>
      <c r="AB338" s="460"/>
      <c r="AC338" s="557"/>
      <c r="AD338" s="460"/>
      <c r="AE338" s="557"/>
      <c r="AF338" s="460"/>
      <c r="AG338" s="557"/>
      <c r="AH338" s="460"/>
    </row>
    <row r="339" spans="1:34">
      <c r="A339" s="14"/>
      <c r="B339" s="15"/>
      <c r="C339" s="16"/>
      <c r="D339" s="17"/>
      <c r="E339" s="12"/>
      <c r="F339" s="18"/>
      <c r="G339" s="19"/>
      <c r="H339" s="13"/>
      <c r="I339" s="19"/>
      <c r="J339" s="13"/>
      <c r="K339" s="19"/>
      <c r="L339" s="13"/>
      <c r="M339" s="19"/>
      <c r="N339" s="13"/>
      <c r="O339" s="19"/>
      <c r="P339" s="13"/>
      <c r="Q339" s="19"/>
      <c r="R339" s="13"/>
      <c r="S339" s="19"/>
      <c r="T339" s="13"/>
      <c r="U339" s="19"/>
      <c r="V339" s="13"/>
      <c r="W339" s="482"/>
      <c r="X339" s="460"/>
      <c r="Y339" s="557"/>
      <c r="Z339" s="460"/>
      <c r="AA339" s="557"/>
      <c r="AB339" s="460"/>
      <c r="AC339" s="557"/>
      <c r="AD339" s="460"/>
      <c r="AE339" s="557"/>
      <c r="AF339" s="460"/>
      <c r="AG339" s="557"/>
      <c r="AH339" s="460"/>
    </row>
    <row r="340" spans="1:34">
      <c r="A340" s="14"/>
      <c r="B340" s="15"/>
      <c r="C340" s="16"/>
      <c r="D340" s="17"/>
      <c r="E340" s="12"/>
      <c r="F340" s="18"/>
      <c r="G340" s="19"/>
      <c r="H340" s="13"/>
      <c r="I340" s="19"/>
      <c r="J340" s="13"/>
      <c r="K340" s="19"/>
      <c r="L340" s="13"/>
      <c r="M340" s="19"/>
      <c r="N340" s="13"/>
      <c r="O340" s="19"/>
      <c r="P340" s="13"/>
      <c r="Q340" s="19"/>
      <c r="R340" s="13"/>
      <c r="S340" s="19"/>
      <c r="T340" s="13"/>
      <c r="U340" s="19"/>
      <c r="V340" s="13"/>
      <c r="W340" s="482"/>
      <c r="X340" s="460"/>
      <c r="Y340" s="557"/>
      <c r="Z340" s="460"/>
      <c r="AA340" s="557"/>
      <c r="AB340" s="460"/>
      <c r="AC340" s="557"/>
      <c r="AD340" s="460"/>
      <c r="AE340" s="557"/>
      <c r="AF340" s="460"/>
      <c r="AG340" s="557"/>
      <c r="AH340" s="460"/>
    </row>
    <row r="341" spans="1:34">
      <c r="A341" s="14"/>
      <c r="B341" s="15"/>
      <c r="C341" s="16"/>
      <c r="D341" s="17"/>
      <c r="E341" s="12"/>
      <c r="F341" s="18"/>
      <c r="G341" s="19"/>
      <c r="H341" s="13"/>
      <c r="I341" s="19"/>
      <c r="J341" s="13"/>
      <c r="K341" s="19"/>
      <c r="L341" s="13"/>
      <c r="M341" s="19"/>
      <c r="N341" s="13"/>
      <c r="O341" s="19"/>
      <c r="P341" s="13"/>
      <c r="Q341" s="19"/>
      <c r="R341" s="13"/>
      <c r="S341" s="19"/>
      <c r="T341" s="13"/>
      <c r="U341" s="19"/>
      <c r="V341" s="13"/>
      <c r="W341" s="482"/>
      <c r="X341" s="460"/>
      <c r="Y341" s="557"/>
      <c r="Z341" s="460"/>
      <c r="AA341" s="557"/>
      <c r="AB341" s="460"/>
      <c r="AC341" s="557"/>
      <c r="AD341" s="460"/>
      <c r="AE341" s="557"/>
      <c r="AF341" s="460"/>
      <c r="AG341" s="557"/>
      <c r="AH341" s="460"/>
    </row>
    <row r="342" spans="1:34">
      <c r="A342" s="14"/>
      <c r="B342" s="15"/>
      <c r="C342" s="16"/>
      <c r="D342" s="17"/>
      <c r="E342" s="12"/>
      <c r="F342" s="18"/>
      <c r="G342" s="19"/>
      <c r="H342" s="13"/>
      <c r="I342" s="19"/>
      <c r="J342" s="13"/>
      <c r="K342" s="19"/>
      <c r="L342" s="13"/>
      <c r="M342" s="19"/>
      <c r="N342" s="13"/>
      <c r="O342" s="19"/>
      <c r="P342" s="13"/>
      <c r="Q342" s="19"/>
      <c r="R342" s="13"/>
      <c r="S342" s="19"/>
      <c r="T342" s="13"/>
      <c r="U342" s="19"/>
      <c r="V342" s="13"/>
      <c r="W342" s="482"/>
      <c r="X342" s="460"/>
      <c r="Y342" s="557"/>
      <c r="Z342" s="460"/>
      <c r="AA342" s="557"/>
      <c r="AB342" s="460"/>
      <c r="AC342" s="557"/>
      <c r="AD342" s="460"/>
      <c r="AE342" s="557"/>
      <c r="AF342" s="460"/>
      <c r="AG342" s="557"/>
      <c r="AH342" s="460"/>
    </row>
    <row r="343" spans="1:34">
      <c r="A343" s="14"/>
      <c r="B343" s="15"/>
      <c r="C343" s="16"/>
      <c r="D343" s="17"/>
      <c r="E343" s="12"/>
      <c r="F343" s="18"/>
      <c r="G343" s="19"/>
      <c r="H343" s="13"/>
      <c r="I343" s="19"/>
      <c r="J343" s="13"/>
      <c r="K343" s="19"/>
      <c r="L343" s="13"/>
      <c r="M343" s="19"/>
      <c r="N343" s="13"/>
      <c r="O343" s="19"/>
      <c r="P343" s="13"/>
      <c r="Q343" s="19"/>
      <c r="R343" s="13"/>
      <c r="S343" s="19"/>
      <c r="T343" s="13"/>
      <c r="U343" s="19"/>
      <c r="V343" s="13"/>
      <c r="W343" s="482"/>
      <c r="X343" s="460"/>
      <c r="Y343" s="557"/>
      <c r="Z343" s="460"/>
      <c r="AA343" s="557"/>
      <c r="AB343" s="460"/>
      <c r="AC343" s="557"/>
      <c r="AD343" s="460"/>
      <c r="AE343" s="557"/>
      <c r="AF343" s="460"/>
      <c r="AG343" s="557"/>
      <c r="AH343" s="460"/>
    </row>
    <row r="344" spans="1:34">
      <c r="A344" s="14"/>
      <c r="B344" s="15"/>
      <c r="C344" s="16"/>
      <c r="D344" s="17"/>
      <c r="E344" s="12"/>
      <c r="F344" s="18"/>
      <c r="G344" s="19"/>
      <c r="H344" s="13"/>
      <c r="I344" s="19"/>
      <c r="J344" s="13"/>
      <c r="K344" s="19"/>
      <c r="L344" s="13"/>
      <c r="M344" s="19"/>
      <c r="N344" s="13"/>
      <c r="O344" s="19"/>
      <c r="P344" s="13"/>
      <c r="Q344" s="19"/>
      <c r="R344" s="13"/>
      <c r="S344" s="19"/>
      <c r="T344" s="13"/>
      <c r="U344" s="19"/>
      <c r="V344" s="13"/>
      <c r="W344" s="482"/>
      <c r="X344" s="460"/>
      <c r="Y344" s="557"/>
      <c r="Z344" s="460"/>
      <c r="AA344" s="557"/>
      <c r="AB344" s="460"/>
      <c r="AC344" s="557"/>
      <c r="AD344" s="460"/>
      <c r="AE344" s="557"/>
      <c r="AF344" s="460"/>
      <c r="AG344" s="557"/>
      <c r="AH344" s="460"/>
    </row>
    <row r="345" spans="1:34">
      <c r="A345" s="14"/>
      <c r="B345" s="15"/>
      <c r="C345" s="16"/>
      <c r="D345" s="17"/>
      <c r="E345" s="12"/>
      <c r="F345" s="18"/>
      <c r="G345" s="19"/>
      <c r="H345" s="13"/>
      <c r="I345" s="19"/>
      <c r="J345" s="13"/>
      <c r="K345" s="19"/>
      <c r="L345" s="13"/>
      <c r="M345" s="19"/>
      <c r="N345" s="13"/>
      <c r="O345" s="19"/>
      <c r="P345" s="13"/>
      <c r="Q345" s="19"/>
      <c r="R345" s="13"/>
      <c r="S345" s="19"/>
      <c r="T345" s="13"/>
      <c r="U345" s="19"/>
      <c r="V345" s="13"/>
      <c r="W345" s="482"/>
      <c r="X345" s="460"/>
      <c r="Y345" s="557"/>
      <c r="Z345" s="460"/>
      <c r="AA345" s="557"/>
      <c r="AB345" s="460"/>
      <c r="AC345" s="557"/>
      <c r="AD345" s="460"/>
      <c r="AE345" s="557"/>
      <c r="AF345" s="460"/>
      <c r="AG345" s="557"/>
      <c r="AH345" s="460"/>
    </row>
    <row r="346" spans="1:34">
      <c r="A346" s="14"/>
      <c r="B346" s="15"/>
      <c r="C346" s="16"/>
      <c r="D346" s="17"/>
      <c r="E346" s="12"/>
      <c r="F346" s="18"/>
      <c r="G346" s="19"/>
      <c r="H346" s="13"/>
      <c r="I346" s="19"/>
      <c r="J346" s="13"/>
      <c r="K346" s="19"/>
      <c r="L346" s="13"/>
      <c r="M346" s="19"/>
      <c r="N346" s="13"/>
      <c r="O346" s="19"/>
      <c r="P346" s="13"/>
      <c r="Q346" s="19"/>
      <c r="R346" s="13"/>
      <c r="S346" s="19"/>
      <c r="T346" s="13"/>
      <c r="U346" s="19"/>
      <c r="V346" s="13"/>
      <c r="W346" s="482"/>
      <c r="X346" s="460"/>
      <c r="Y346" s="557"/>
      <c r="Z346" s="460"/>
      <c r="AA346" s="557"/>
      <c r="AB346" s="460"/>
      <c r="AC346" s="557"/>
      <c r="AD346" s="460"/>
      <c r="AE346" s="557"/>
      <c r="AF346" s="460"/>
      <c r="AG346" s="557"/>
      <c r="AH346" s="460"/>
    </row>
    <row r="347" spans="1:34">
      <c r="A347" s="14"/>
      <c r="B347" s="15"/>
      <c r="C347" s="16"/>
      <c r="D347" s="17"/>
      <c r="E347" s="12"/>
      <c r="F347" s="18"/>
      <c r="G347" s="19"/>
      <c r="H347" s="13"/>
      <c r="I347" s="19"/>
      <c r="J347" s="13"/>
      <c r="K347" s="19"/>
      <c r="L347" s="13"/>
      <c r="M347" s="19"/>
      <c r="N347" s="13"/>
      <c r="O347" s="19"/>
      <c r="P347" s="13"/>
      <c r="Q347" s="19"/>
      <c r="R347" s="13"/>
      <c r="S347" s="19"/>
      <c r="T347" s="13"/>
      <c r="U347" s="19"/>
      <c r="V347" s="13"/>
      <c r="W347" s="482"/>
      <c r="X347" s="460"/>
      <c r="Y347" s="557"/>
      <c r="Z347" s="460"/>
      <c r="AA347" s="557"/>
      <c r="AB347" s="460"/>
      <c r="AC347" s="557"/>
      <c r="AD347" s="460"/>
      <c r="AE347" s="557"/>
      <c r="AF347" s="460"/>
      <c r="AG347" s="557"/>
      <c r="AH347" s="460"/>
    </row>
    <row r="348" spans="1:34">
      <c r="A348" s="14"/>
      <c r="B348" s="15"/>
      <c r="C348" s="16"/>
      <c r="D348" s="17"/>
      <c r="E348" s="12"/>
      <c r="F348" s="18"/>
      <c r="G348" s="19"/>
      <c r="H348" s="13"/>
      <c r="I348" s="19"/>
      <c r="J348" s="13"/>
      <c r="K348" s="19"/>
      <c r="L348" s="13"/>
      <c r="M348" s="19"/>
      <c r="N348" s="13"/>
      <c r="O348" s="19"/>
      <c r="P348" s="13"/>
      <c r="Q348" s="19"/>
      <c r="R348" s="13"/>
      <c r="S348" s="19"/>
      <c r="T348" s="13"/>
      <c r="U348" s="19"/>
      <c r="V348" s="13"/>
      <c r="W348" s="482"/>
      <c r="X348" s="460"/>
      <c r="Y348" s="557"/>
      <c r="Z348" s="460"/>
      <c r="AA348" s="557"/>
      <c r="AB348" s="460"/>
      <c r="AC348" s="557"/>
      <c r="AD348" s="460"/>
      <c r="AE348" s="557"/>
      <c r="AF348" s="460"/>
      <c r="AG348" s="557"/>
      <c r="AH348" s="460"/>
    </row>
    <row r="349" spans="1:34">
      <c r="A349" s="14"/>
      <c r="B349" s="15"/>
      <c r="C349" s="16"/>
      <c r="D349" s="17"/>
      <c r="E349" s="12"/>
      <c r="F349" s="18"/>
      <c r="G349" s="19"/>
      <c r="H349" s="13"/>
      <c r="I349" s="19"/>
      <c r="J349" s="13"/>
      <c r="K349" s="19"/>
      <c r="L349" s="13"/>
      <c r="M349" s="19"/>
      <c r="N349" s="13"/>
      <c r="O349" s="19"/>
      <c r="P349" s="13"/>
      <c r="Q349" s="19"/>
      <c r="R349" s="13"/>
      <c r="S349" s="19"/>
      <c r="T349" s="13"/>
      <c r="U349" s="19"/>
      <c r="V349" s="13"/>
      <c r="W349" s="482"/>
      <c r="X349" s="460"/>
      <c r="Y349" s="557"/>
      <c r="Z349" s="460"/>
      <c r="AA349" s="557"/>
      <c r="AB349" s="460"/>
      <c r="AC349" s="557"/>
      <c r="AD349" s="460"/>
      <c r="AE349" s="557"/>
      <c r="AF349" s="460"/>
      <c r="AG349" s="557"/>
      <c r="AH349" s="460"/>
    </row>
    <row r="350" spans="1:34">
      <c r="A350" s="14"/>
      <c r="B350" s="15"/>
      <c r="C350" s="16"/>
      <c r="D350" s="17"/>
      <c r="E350" s="12"/>
      <c r="F350" s="18"/>
      <c r="G350" s="19"/>
      <c r="H350" s="13"/>
      <c r="I350" s="19"/>
      <c r="J350" s="13"/>
      <c r="K350" s="19"/>
      <c r="L350" s="13"/>
      <c r="M350" s="19"/>
      <c r="N350" s="13"/>
      <c r="O350" s="19"/>
      <c r="P350" s="13"/>
      <c r="Q350" s="19"/>
      <c r="R350" s="13"/>
      <c r="S350" s="19"/>
      <c r="T350" s="13"/>
      <c r="U350" s="19"/>
      <c r="V350" s="13"/>
      <c r="W350" s="482"/>
      <c r="X350" s="460"/>
      <c r="Y350" s="557"/>
      <c r="Z350" s="460"/>
      <c r="AA350" s="557"/>
      <c r="AB350" s="460"/>
      <c r="AC350" s="557"/>
      <c r="AD350" s="460"/>
      <c r="AE350" s="557"/>
      <c r="AF350" s="460"/>
      <c r="AG350" s="557"/>
      <c r="AH350" s="460"/>
    </row>
    <row r="351" spans="1:34">
      <c r="A351" s="14"/>
      <c r="B351" s="15"/>
      <c r="C351" s="16"/>
      <c r="D351" s="17"/>
      <c r="E351" s="12"/>
      <c r="F351" s="18"/>
      <c r="G351" s="19"/>
      <c r="H351" s="13"/>
      <c r="I351" s="19"/>
      <c r="J351" s="13"/>
      <c r="K351" s="19"/>
      <c r="L351" s="13"/>
      <c r="M351" s="19"/>
      <c r="N351" s="13"/>
      <c r="O351" s="19"/>
      <c r="P351" s="13"/>
      <c r="Q351" s="19"/>
      <c r="R351" s="13"/>
      <c r="S351" s="19"/>
      <c r="T351" s="13"/>
      <c r="U351" s="19"/>
      <c r="V351" s="13"/>
      <c r="W351" s="482"/>
      <c r="X351" s="460"/>
      <c r="Y351" s="557"/>
      <c r="Z351" s="460"/>
      <c r="AA351" s="557"/>
      <c r="AB351" s="460"/>
      <c r="AC351" s="557"/>
      <c r="AD351" s="460"/>
      <c r="AE351" s="557"/>
      <c r="AF351" s="460"/>
      <c r="AG351" s="557"/>
      <c r="AH351" s="460"/>
    </row>
    <row r="352" spans="1:34">
      <c r="A352" s="14"/>
      <c r="B352" s="15"/>
      <c r="C352" s="16"/>
      <c r="D352" s="17"/>
      <c r="E352" s="12"/>
      <c r="F352" s="18"/>
      <c r="G352" s="19"/>
      <c r="H352" s="13"/>
      <c r="I352" s="19"/>
      <c r="J352" s="13"/>
      <c r="K352" s="19"/>
      <c r="L352" s="13"/>
      <c r="M352" s="19"/>
      <c r="N352" s="13"/>
      <c r="O352" s="19"/>
      <c r="P352" s="13"/>
      <c r="Q352" s="19"/>
      <c r="R352" s="13"/>
      <c r="S352" s="19"/>
      <c r="T352" s="13"/>
      <c r="U352" s="19"/>
      <c r="V352" s="13"/>
      <c r="W352" s="482"/>
      <c r="X352" s="460"/>
      <c r="Y352" s="557"/>
      <c r="Z352" s="460"/>
      <c r="AA352" s="557"/>
      <c r="AB352" s="460"/>
      <c r="AC352" s="557"/>
      <c r="AD352" s="460"/>
      <c r="AE352" s="557"/>
      <c r="AF352" s="460"/>
      <c r="AG352" s="557"/>
      <c r="AH352" s="460"/>
    </row>
    <row r="353" spans="1:34">
      <c r="A353" s="14"/>
      <c r="B353" s="15"/>
      <c r="C353" s="16"/>
      <c r="D353" s="17"/>
      <c r="E353" s="12"/>
      <c r="F353" s="18"/>
      <c r="G353" s="19"/>
      <c r="H353" s="13"/>
      <c r="I353" s="19"/>
      <c r="J353" s="13"/>
      <c r="K353" s="19"/>
      <c r="L353" s="13"/>
      <c r="M353" s="19"/>
      <c r="N353" s="13"/>
      <c r="O353" s="19"/>
      <c r="P353" s="13"/>
      <c r="Q353" s="19"/>
      <c r="R353" s="13"/>
      <c r="S353" s="19"/>
      <c r="T353" s="13"/>
      <c r="U353" s="19"/>
      <c r="V353" s="13"/>
      <c r="W353" s="482"/>
      <c r="X353" s="460"/>
      <c r="Y353" s="557"/>
      <c r="Z353" s="460"/>
      <c r="AA353" s="557"/>
      <c r="AB353" s="460"/>
      <c r="AC353" s="557"/>
      <c r="AD353" s="460"/>
      <c r="AE353" s="557"/>
      <c r="AF353" s="460"/>
      <c r="AG353" s="557"/>
      <c r="AH353" s="460"/>
    </row>
    <row r="354" spans="1:34">
      <c r="A354" s="14"/>
      <c r="B354" s="15"/>
      <c r="C354" s="16"/>
      <c r="D354" s="17"/>
      <c r="E354" s="12"/>
      <c r="F354" s="18"/>
      <c r="G354" s="19"/>
      <c r="H354" s="13"/>
      <c r="I354" s="19"/>
      <c r="J354" s="13"/>
      <c r="K354" s="19"/>
      <c r="L354" s="13"/>
      <c r="M354" s="19"/>
      <c r="N354" s="13"/>
      <c r="O354" s="19"/>
      <c r="P354" s="13"/>
      <c r="Q354" s="19"/>
      <c r="R354" s="13"/>
      <c r="S354" s="19"/>
      <c r="T354" s="13"/>
      <c r="U354" s="19"/>
      <c r="V354" s="13"/>
      <c r="W354" s="482"/>
      <c r="X354" s="460"/>
      <c r="Y354" s="557"/>
      <c r="Z354" s="460"/>
      <c r="AA354" s="557"/>
      <c r="AB354" s="460"/>
      <c r="AC354" s="557"/>
      <c r="AD354" s="460"/>
      <c r="AE354" s="557"/>
      <c r="AF354" s="460"/>
      <c r="AG354" s="557"/>
      <c r="AH354" s="460"/>
    </row>
    <row r="355" spans="1:34">
      <c r="A355" s="14"/>
      <c r="B355" s="15"/>
      <c r="C355" s="16"/>
      <c r="D355" s="17"/>
      <c r="E355" s="12"/>
      <c r="F355" s="18"/>
      <c r="G355" s="19"/>
      <c r="H355" s="13"/>
      <c r="I355" s="19"/>
      <c r="J355" s="13"/>
      <c r="K355" s="19"/>
      <c r="L355" s="13"/>
      <c r="M355" s="19"/>
      <c r="N355" s="13"/>
      <c r="O355" s="19"/>
      <c r="P355" s="13"/>
      <c r="Q355" s="19"/>
      <c r="R355" s="13"/>
      <c r="S355" s="19"/>
      <c r="T355" s="13"/>
      <c r="U355" s="19"/>
      <c r="V355" s="13"/>
      <c r="W355" s="482"/>
      <c r="X355" s="460"/>
      <c r="Y355" s="557"/>
      <c r="Z355" s="460"/>
      <c r="AA355" s="557"/>
      <c r="AB355" s="460"/>
      <c r="AC355" s="557"/>
      <c r="AD355" s="460"/>
      <c r="AE355" s="557"/>
      <c r="AF355" s="460"/>
      <c r="AG355" s="557"/>
      <c r="AH355" s="460"/>
    </row>
    <row r="356" spans="1:34">
      <c r="A356" s="14"/>
      <c r="B356" s="15"/>
      <c r="C356" s="16"/>
      <c r="D356" s="17"/>
      <c r="E356" s="12"/>
      <c r="F356" s="18"/>
      <c r="G356" s="19"/>
      <c r="H356" s="13"/>
      <c r="I356" s="19"/>
      <c r="J356" s="13"/>
      <c r="K356" s="19"/>
      <c r="L356" s="13"/>
      <c r="M356" s="19"/>
      <c r="N356" s="13"/>
      <c r="O356" s="19"/>
      <c r="P356" s="13"/>
      <c r="Q356" s="19"/>
      <c r="R356" s="13"/>
      <c r="S356" s="19"/>
      <c r="T356" s="13"/>
      <c r="U356" s="19"/>
      <c r="V356" s="13"/>
      <c r="W356" s="482"/>
      <c r="X356" s="460"/>
      <c r="Y356" s="557"/>
      <c r="Z356" s="460"/>
      <c r="AA356" s="557"/>
      <c r="AB356" s="460"/>
      <c r="AC356" s="557"/>
      <c r="AD356" s="460"/>
      <c r="AE356" s="557"/>
      <c r="AF356" s="460"/>
      <c r="AG356" s="557"/>
      <c r="AH356" s="460"/>
    </row>
    <row r="357" spans="1:34">
      <c r="A357" s="14"/>
      <c r="B357" s="15"/>
      <c r="C357" s="16"/>
      <c r="D357" s="17"/>
      <c r="E357" s="12"/>
      <c r="F357" s="18"/>
      <c r="G357" s="19"/>
      <c r="H357" s="13"/>
      <c r="I357" s="19"/>
      <c r="J357" s="13"/>
      <c r="K357" s="19"/>
      <c r="L357" s="13"/>
      <c r="M357" s="19"/>
      <c r="N357" s="13"/>
      <c r="O357" s="19"/>
      <c r="P357" s="13"/>
      <c r="Q357" s="19"/>
      <c r="R357" s="13"/>
      <c r="S357" s="19"/>
      <c r="T357" s="13"/>
      <c r="U357" s="19"/>
      <c r="V357" s="13"/>
      <c r="W357" s="482"/>
      <c r="X357" s="460"/>
      <c r="Y357" s="557"/>
      <c r="Z357" s="460"/>
      <c r="AA357" s="557"/>
      <c r="AB357" s="460"/>
      <c r="AC357" s="557"/>
      <c r="AD357" s="460"/>
      <c r="AE357" s="557"/>
      <c r="AF357" s="460"/>
      <c r="AG357" s="557"/>
      <c r="AH357" s="460"/>
    </row>
    <row r="358" spans="1:34">
      <c r="A358" s="14"/>
      <c r="B358" s="15"/>
      <c r="C358" s="16"/>
      <c r="D358" s="17"/>
      <c r="E358" s="12"/>
      <c r="F358" s="18"/>
      <c r="G358" s="19"/>
      <c r="H358" s="13"/>
      <c r="I358" s="19"/>
      <c r="J358" s="13"/>
      <c r="K358" s="19"/>
      <c r="L358" s="13"/>
      <c r="M358" s="19"/>
      <c r="N358" s="13"/>
      <c r="O358" s="19"/>
      <c r="P358" s="13"/>
      <c r="Q358" s="19"/>
      <c r="R358" s="13"/>
      <c r="S358" s="19"/>
      <c r="T358" s="13"/>
      <c r="U358" s="19"/>
      <c r="V358" s="13"/>
      <c r="W358" s="482"/>
      <c r="X358" s="460"/>
      <c r="Y358" s="557"/>
      <c r="Z358" s="460"/>
      <c r="AA358" s="557"/>
      <c r="AB358" s="460"/>
      <c r="AC358" s="557"/>
      <c r="AD358" s="460"/>
      <c r="AE358" s="557"/>
      <c r="AF358" s="460"/>
      <c r="AG358" s="557"/>
      <c r="AH358" s="460"/>
    </row>
    <row r="359" spans="1:34">
      <c r="A359" s="14"/>
      <c r="B359" s="15"/>
      <c r="C359" s="16"/>
      <c r="D359" s="17"/>
      <c r="E359" s="12"/>
      <c r="F359" s="18"/>
      <c r="G359" s="19"/>
      <c r="H359" s="13"/>
      <c r="I359" s="19"/>
      <c r="J359" s="13"/>
      <c r="K359" s="19"/>
      <c r="L359" s="13"/>
      <c r="M359" s="19"/>
      <c r="N359" s="13"/>
      <c r="O359" s="19"/>
      <c r="P359" s="13"/>
      <c r="Q359" s="19"/>
      <c r="R359" s="13"/>
      <c r="S359" s="19"/>
      <c r="T359" s="13"/>
      <c r="U359" s="19"/>
      <c r="V359" s="13"/>
      <c r="W359" s="482"/>
      <c r="X359" s="460"/>
      <c r="Y359" s="557"/>
      <c r="Z359" s="460"/>
      <c r="AA359" s="557"/>
      <c r="AB359" s="460"/>
      <c r="AC359" s="557"/>
      <c r="AD359" s="460"/>
      <c r="AE359" s="557"/>
      <c r="AF359" s="460"/>
      <c r="AG359" s="557"/>
      <c r="AH359" s="460"/>
    </row>
    <row r="360" spans="1:34">
      <c r="A360" s="14"/>
      <c r="B360" s="15"/>
      <c r="C360" s="16"/>
      <c r="D360" s="17"/>
      <c r="E360" s="12"/>
      <c r="F360" s="18"/>
      <c r="G360" s="19"/>
      <c r="H360" s="13"/>
      <c r="I360" s="19"/>
      <c r="J360" s="13"/>
      <c r="K360" s="19"/>
      <c r="L360" s="13"/>
      <c r="M360" s="19"/>
      <c r="N360" s="13"/>
      <c r="O360" s="19"/>
      <c r="P360" s="13"/>
      <c r="Q360" s="19"/>
      <c r="R360" s="13"/>
      <c r="S360" s="19"/>
      <c r="T360" s="13"/>
      <c r="U360" s="19"/>
      <c r="V360" s="13"/>
      <c r="W360" s="482"/>
      <c r="X360" s="460"/>
      <c r="Y360" s="557"/>
      <c r="Z360" s="460"/>
      <c r="AA360" s="557"/>
      <c r="AB360" s="460"/>
      <c r="AC360" s="557"/>
      <c r="AD360" s="460"/>
      <c r="AE360" s="557"/>
      <c r="AF360" s="460"/>
      <c r="AG360" s="557"/>
      <c r="AH360" s="460"/>
    </row>
    <row r="361" spans="1:34">
      <c r="A361" s="14"/>
      <c r="B361" s="15"/>
      <c r="C361" s="16"/>
      <c r="D361" s="17"/>
      <c r="E361" s="12"/>
      <c r="F361" s="18"/>
      <c r="G361" s="19"/>
      <c r="H361" s="13"/>
      <c r="I361" s="19"/>
      <c r="J361" s="13"/>
      <c r="K361" s="19"/>
      <c r="L361" s="13"/>
      <c r="M361" s="19"/>
      <c r="N361" s="13"/>
      <c r="O361" s="19"/>
      <c r="P361" s="13"/>
      <c r="Q361" s="19"/>
      <c r="R361" s="13"/>
      <c r="S361" s="19"/>
      <c r="T361" s="13"/>
      <c r="U361" s="19"/>
      <c r="V361" s="13"/>
      <c r="W361" s="482"/>
      <c r="X361" s="460"/>
      <c r="Y361" s="557"/>
      <c r="Z361" s="460"/>
      <c r="AA361" s="557"/>
      <c r="AB361" s="460"/>
      <c r="AC361" s="557"/>
      <c r="AD361" s="460"/>
      <c r="AE361" s="557"/>
      <c r="AF361" s="460"/>
      <c r="AG361" s="557"/>
      <c r="AH361" s="460"/>
    </row>
    <row r="362" spans="1:34">
      <c r="A362" s="14"/>
      <c r="B362" s="15"/>
      <c r="C362" s="16"/>
      <c r="D362" s="17"/>
      <c r="E362" s="12"/>
      <c r="F362" s="18"/>
      <c r="G362" s="19"/>
      <c r="H362" s="13"/>
      <c r="I362" s="19"/>
      <c r="J362" s="13"/>
      <c r="K362" s="19"/>
      <c r="L362" s="13"/>
      <c r="M362" s="19"/>
      <c r="N362" s="13"/>
      <c r="O362" s="19"/>
      <c r="P362" s="13"/>
      <c r="Q362" s="19"/>
      <c r="R362" s="13"/>
      <c r="S362" s="19"/>
      <c r="T362" s="13"/>
      <c r="U362" s="19"/>
      <c r="V362" s="13"/>
      <c r="W362" s="482"/>
      <c r="X362" s="460"/>
      <c r="Y362" s="557"/>
      <c r="Z362" s="460"/>
      <c r="AA362" s="557"/>
      <c r="AB362" s="460"/>
      <c r="AC362" s="557"/>
      <c r="AD362" s="460"/>
      <c r="AE362" s="557"/>
      <c r="AF362" s="460"/>
      <c r="AG362" s="557"/>
      <c r="AH362" s="460"/>
    </row>
    <row r="363" spans="1:34">
      <c r="A363" s="14"/>
      <c r="B363" s="15"/>
      <c r="C363" s="16"/>
      <c r="D363" s="17"/>
      <c r="E363" s="12"/>
      <c r="F363" s="18"/>
      <c r="G363" s="19"/>
      <c r="H363" s="13"/>
      <c r="I363" s="19"/>
      <c r="J363" s="13"/>
      <c r="K363" s="19"/>
      <c r="L363" s="13"/>
      <c r="M363" s="19"/>
      <c r="N363" s="13"/>
      <c r="O363" s="19"/>
      <c r="P363" s="13"/>
      <c r="Q363" s="19"/>
      <c r="R363" s="13"/>
      <c r="S363" s="19"/>
      <c r="T363" s="13"/>
      <c r="U363" s="19"/>
      <c r="V363" s="13"/>
      <c r="W363" s="482"/>
      <c r="X363" s="460"/>
      <c r="Y363" s="557"/>
      <c r="Z363" s="460"/>
      <c r="AA363" s="557"/>
      <c r="AB363" s="460"/>
      <c r="AC363" s="557"/>
      <c r="AD363" s="460"/>
      <c r="AE363" s="557"/>
      <c r="AF363" s="460"/>
      <c r="AG363" s="557"/>
      <c r="AH363" s="460"/>
    </row>
    <row r="364" spans="1:34">
      <c r="A364" s="14"/>
      <c r="B364" s="15"/>
      <c r="C364" s="16"/>
      <c r="D364" s="17"/>
      <c r="E364" s="12"/>
      <c r="F364" s="18"/>
      <c r="G364" s="19"/>
      <c r="H364" s="13"/>
      <c r="I364" s="19"/>
      <c r="J364" s="13"/>
      <c r="K364" s="19"/>
      <c r="L364" s="13"/>
      <c r="M364" s="19"/>
      <c r="N364" s="13"/>
      <c r="O364" s="19"/>
      <c r="P364" s="13"/>
      <c r="Q364" s="19"/>
      <c r="R364" s="13"/>
      <c r="S364" s="19"/>
      <c r="T364" s="13"/>
      <c r="U364" s="19"/>
      <c r="V364" s="13"/>
      <c r="W364" s="482"/>
      <c r="X364" s="460"/>
      <c r="Y364" s="557"/>
      <c r="Z364" s="460"/>
      <c r="AA364" s="557"/>
      <c r="AB364" s="460"/>
      <c r="AC364" s="557"/>
      <c r="AD364" s="460"/>
      <c r="AE364" s="557"/>
      <c r="AF364" s="460"/>
      <c r="AG364" s="557"/>
      <c r="AH364" s="460"/>
    </row>
    <row r="365" spans="1:34">
      <c r="A365" s="14"/>
      <c r="B365" s="15"/>
      <c r="C365" s="16"/>
      <c r="D365" s="17"/>
      <c r="E365" s="12"/>
      <c r="F365" s="18"/>
      <c r="G365" s="19"/>
      <c r="H365" s="13"/>
      <c r="I365" s="19"/>
      <c r="J365" s="13"/>
      <c r="K365" s="19"/>
      <c r="L365" s="13"/>
      <c r="M365" s="19"/>
      <c r="N365" s="13"/>
      <c r="O365" s="19"/>
      <c r="P365" s="13"/>
      <c r="Q365" s="19"/>
      <c r="R365" s="13"/>
      <c r="S365" s="19"/>
      <c r="T365" s="13"/>
      <c r="U365" s="19"/>
      <c r="V365" s="13"/>
      <c r="W365" s="482"/>
      <c r="X365" s="460"/>
      <c r="Y365" s="557"/>
      <c r="Z365" s="460"/>
      <c r="AA365" s="557"/>
      <c r="AB365" s="460"/>
      <c r="AC365" s="557"/>
      <c r="AD365" s="460"/>
      <c r="AE365" s="557"/>
      <c r="AF365" s="460"/>
      <c r="AG365" s="557"/>
      <c r="AH365" s="460"/>
    </row>
    <row r="366" spans="1:34">
      <c r="A366" s="14"/>
      <c r="B366" s="15"/>
      <c r="C366" s="16"/>
      <c r="D366" s="17"/>
      <c r="E366" s="12"/>
      <c r="F366" s="18"/>
      <c r="G366" s="19"/>
      <c r="H366" s="13"/>
      <c r="I366" s="19"/>
      <c r="J366" s="13"/>
      <c r="K366" s="19"/>
      <c r="L366" s="13"/>
      <c r="M366" s="19"/>
      <c r="N366" s="13"/>
      <c r="O366" s="19"/>
      <c r="P366" s="13"/>
      <c r="Q366" s="19"/>
      <c r="R366" s="13"/>
      <c r="S366" s="19"/>
      <c r="T366" s="13"/>
      <c r="U366" s="19"/>
      <c r="V366" s="13"/>
      <c r="W366" s="482"/>
      <c r="X366" s="460"/>
      <c r="Y366" s="557"/>
      <c r="Z366" s="460"/>
      <c r="AA366" s="557"/>
      <c r="AB366" s="460"/>
      <c r="AC366" s="557"/>
      <c r="AD366" s="460"/>
      <c r="AE366" s="557"/>
      <c r="AF366" s="460"/>
      <c r="AG366" s="557"/>
      <c r="AH366" s="460"/>
    </row>
    <row r="367" spans="1:34">
      <c r="A367" s="14"/>
      <c r="B367" s="15"/>
      <c r="C367" s="16"/>
      <c r="D367" s="17"/>
      <c r="E367" s="12"/>
      <c r="F367" s="18"/>
      <c r="G367" s="19"/>
      <c r="H367" s="13"/>
      <c r="I367" s="19"/>
      <c r="J367" s="13"/>
      <c r="K367" s="19"/>
      <c r="L367" s="13"/>
      <c r="M367" s="19"/>
      <c r="N367" s="13"/>
      <c r="O367" s="19"/>
      <c r="P367" s="13"/>
      <c r="Q367" s="19"/>
      <c r="R367" s="13"/>
      <c r="S367" s="19"/>
      <c r="T367" s="13"/>
      <c r="U367" s="19"/>
      <c r="V367" s="13"/>
      <c r="W367" s="482"/>
      <c r="X367" s="460"/>
      <c r="Y367" s="557"/>
      <c r="Z367" s="460"/>
      <c r="AA367" s="557"/>
      <c r="AB367" s="460"/>
      <c r="AC367" s="557"/>
      <c r="AD367" s="460"/>
      <c r="AE367" s="557"/>
      <c r="AF367" s="460"/>
      <c r="AG367" s="557"/>
      <c r="AH367" s="460"/>
    </row>
    <row r="368" spans="1:34">
      <c r="A368" s="14"/>
      <c r="B368" s="15"/>
      <c r="C368" s="16"/>
      <c r="D368" s="17"/>
      <c r="E368" s="12"/>
      <c r="F368" s="18"/>
      <c r="G368" s="19"/>
      <c r="H368" s="13"/>
      <c r="I368" s="19"/>
      <c r="J368" s="13"/>
      <c r="K368" s="19"/>
      <c r="L368" s="13"/>
      <c r="M368" s="19"/>
      <c r="N368" s="13"/>
      <c r="O368" s="19"/>
      <c r="P368" s="13"/>
      <c r="Q368" s="19"/>
      <c r="R368" s="13"/>
      <c r="S368" s="19"/>
      <c r="T368" s="13"/>
      <c r="U368" s="19"/>
      <c r="V368" s="13"/>
      <c r="W368" s="482"/>
      <c r="X368" s="460"/>
      <c r="Y368" s="557"/>
      <c r="Z368" s="460"/>
      <c r="AA368" s="557"/>
      <c r="AB368" s="460"/>
      <c r="AC368" s="557"/>
      <c r="AD368" s="460"/>
      <c r="AE368" s="557"/>
      <c r="AF368" s="460"/>
      <c r="AG368" s="557"/>
      <c r="AH368" s="460"/>
    </row>
    <row r="369" spans="1:34">
      <c r="A369" s="14"/>
      <c r="B369" s="15"/>
      <c r="C369" s="16"/>
      <c r="D369" s="17"/>
      <c r="E369" s="12"/>
      <c r="F369" s="18"/>
      <c r="G369" s="19"/>
      <c r="H369" s="13"/>
      <c r="I369" s="19"/>
      <c r="J369" s="13"/>
      <c r="K369" s="19"/>
      <c r="L369" s="13"/>
      <c r="M369" s="19"/>
      <c r="N369" s="13"/>
      <c r="O369" s="19"/>
      <c r="P369" s="13"/>
      <c r="Q369" s="19"/>
      <c r="R369" s="13"/>
      <c r="S369" s="19"/>
      <c r="T369" s="13"/>
      <c r="U369" s="19"/>
      <c r="V369" s="13"/>
      <c r="W369" s="482"/>
      <c r="X369" s="460"/>
      <c r="Y369" s="557"/>
      <c r="Z369" s="460"/>
      <c r="AA369" s="557"/>
      <c r="AB369" s="460"/>
      <c r="AC369" s="557"/>
      <c r="AD369" s="460"/>
      <c r="AE369" s="557"/>
      <c r="AF369" s="460"/>
      <c r="AG369" s="557"/>
      <c r="AH369" s="460"/>
    </row>
    <row r="370" spans="1:34">
      <c r="A370" s="14"/>
      <c r="B370" s="15"/>
      <c r="C370" s="16"/>
      <c r="D370" s="17"/>
      <c r="E370" s="12"/>
      <c r="F370" s="18"/>
      <c r="G370" s="19"/>
      <c r="H370" s="13"/>
      <c r="I370" s="19"/>
      <c r="J370" s="13"/>
      <c r="K370" s="19"/>
      <c r="L370" s="13"/>
      <c r="M370" s="19"/>
      <c r="N370" s="13"/>
      <c r="O370" s="19"/>
      <c r="P370" s="13"/>
      <c r="Q370" s="19"/>
      <c r="R370" s="13"/>
      <c r="S370" s="19"/>
      <c r="T370" s="13"/>
      <c r="U370" s="19"/>
      <c r="V370" s="13"/>
      <c r="W370" s="482"/>
      <c r="X370" s="460"/>
      <c r="Y370" s="557"/>
      <c r="Z370" s="460"/>
      <c r="AA370" s="557"/>
      <c r="AB370" s="460"/>
      <c r="AC370" s="557"/>
      <c r="AD370" s="460"/>
      <c r="AE370" s="557"/>
      <c r="AF370" s="460"/>
      <c r="AG370" s="557"/>
      <c r="AH370" s="460"/>
    </row>
    <row r="371" spans="1:34">
      <c r="A371" s="14"/>
      <c r="B371" s="15"/>
      <c r="C371" s="16"/>
      <c r="D371" s="17"/>
      <c r="E371" s="12"/>
      <c r="F371" s="18"/>
      <c r="G371" s="19"/>
      <c r="H371" s="13"/>
      <c r="I371" s="19"/>
      <c r="J371" s="13"/>
      <c r="K371" s="19"/>
      <c r="L371" s="13"/>
      <c r="M371" s="19"/>
      <c r="N371" s="13"/>
      <c r="O371" s="19"/>
      <c r="P371" s="13"/>
      <c r="Q371" s="19"/>
      <c r="R371" s="13"/>
      <c r="S371" s="19"/>
      <c r="T371" s="13"/>
      <c r="U371" s="19"/>
      <c r="V371" s="13"/>
      <c r="W371" s="482"/>
      <c r="X371" s="460"/>
      <c r="Y371" s="557"/>
      <c r="Z371" s="460"/>
      <c r="AA371" s="557"/>
      <c r="AB371" s="460"/>
      <c r="AC371" s="557"/>
      <c r="AD371" s="460"/>
      <c r="AE371" s="557"/>
      <c r="AF371" s="460"/>
      <c r="AG371" s="557"/>
      <c r="AH371" s="460"/>
    </row>
    <row r="372" spans="1:34">
      <c r="A372" s="14"/>
      <c r="B372" s="15"/>
      <c r="C372" s="16"/>
      <c r="D372" s="17"/>
      <c r="E372" s="12"/>
      <c r="F372" s="18"/>
      <c r="G372" s="19"/>
      <c r="H372" s="13"/>
      <c r="I372" s="19"/>
      <c r="J372" s="13"/>
      <c r="K372" s="19"/>
      <c r="L372" s="13"/>
      <c r="M372" s="19"/>
      <c r="N372" s="13"/>
      <c r="O372" s="19"/>
      <c r="P372" s="13"/>
      <c r="Q372" s="19"/>
      <c r="R372" s="13"/>
      <c r="S372" s="19"/>
      <c r="T372" s="13"/>
      <c r="U372" s="19"/>
      <c r="V372" s="13"/>
      <c r="W372" s="482"/>
      <c r="X372" s="460"/>
      <c r="Y372" s="557"/>
      <c r="Z372" s="460"/>
      <c r="AA372" s="557"/>
      <c r="AB372" s="460"/>
      <c r="AC372" s="557"/>
      <c r="AD372" s="460"/>
      <c r="AE372" s="557"/>
      <c r="AF372" s="460"/>
      <c r="AG372" s="557"/>
      <c r="AH372" s="460"/>
    </row>
    <row r="373" spans="1:34">
      <c r="A373" s="14"/>
      <c r="B373" s="15"/>
      <c r="C373" s="16"/>
      <c r="D373" s="17"/>
      <c r="E373" s="12"/>
      <c r="F373" s="18"/>
      <c r="G373" s="19"/>
      <c r="H373" s="13"/>
      <c r="I373" s="19"/>
      <c r="J373" s="13"/>
      <c r="K373" s="19"/>
      <c r="L373" s="13"/>
      <c r="M373" s="19"/>
      <c r="N373" s="13"/>
      <c r="O373" s="19"/>
      <c r="P373" s="13"/>
      <c r="Q373" s="19"/>
      <c r="R373" s="13"/>
      <c r="S373" s="19"/>
      <c r="T373" s="13"/>
      <c r="U373" s="19"/>
      <c r="V373" s="13"/>
      <c r="W373" s="482"/>
      <c r="X373" s="460"/>
      <c r="Y373" s="557"/>
      <c r="Z373" s="460"/>
      <c r="AA373" s="557"/>
      <c r="AB373" s="460"/>
      <c r="AC373" s="557"/>
      <c r="AD373" s="460"/>
      <c r="AE373" s="557"/>
      <c r="AF373" s="460"/>
      <c r="AG373" s="557"/>
      <c r="AH373" s="460"/>
    </row>
    <row r="374" spans="1:34">
      <c r="A374" s="14"/>
      <c r="B374" s="15"/>
      <c r="C374" s="16"/>
      <c r="D374" s="17"/>
      <c r="E374" s="12"/>
      <c r="F374" s="18"/>
      <c r="G374" s="19"/>
      <c r="H374" s="13"/>
      <c r="I374" s="19"/>
      <c r="J374" s="13"/>
      <c r="K374" s="19"/>
      <c r="L374" s="13"/>
      <c r="M374" s="19"/>
      <c r="N374" s="13"/>
      <c r="O374" s="19"/>
      <c r="P374" s="13"/>
      <c r="Q374" s="19"/>
      <c r="R374" s="13"/>
      <c r="S374" s="19"/>
      <c r="T374" s="13"/>
      <c r="U374" s="19"/>
      <c r="V374" s="13"/>
      <c r="W374" s="482"/>
      <c r="X374" s="460"/>
      <c r="Y374" s="557"/>
      <c r="Z374" s="460"/>
      <c r="AA374" s="557"/>
      <c r="AB374" s="460"/>
      <c r="AC374" s="557"/>
      <c r="AD374" s="460"/>
      <c r="AE374" s="557"/>
      <c r="AF374" s="460"/>
      <c r="AG374" s="557"/>
      <c r="AH374" s="460"/>
    </row>
    <row r="375" spans="1:34">
      <c r="A375" s="14"/>
      <c r="B375" s="15"/>
      <c r="C375" s="16"/>
      <c r="D375" s="17"/>
      <c r="E375" s="12"/>
      <c r="F375" s="18"/>
      <c r="G375" s="19"/>
      <c r="H375" s="13"/>
      <c r="I375" s="19"/>
      <c r="J375" s="13"/>
      <c r="K375" s="19"/>
      <c r="L375" s="13"/>
      <c r="M375" s="19"/>
      <c r="N375" s="13"/>
      <c r="O375" s="19"/>
      <c r="P375" s="13"/>
      <c r="Q375" s="19"/>
      <c r="R375" s="13"/>
      <c r="S375" s="19"/>
      <c r="T375" s="13"/>
      <c r="U375" s="19"/>
      <c r="V375" s="13"/>
      <c r="W375" s="482"/>
      <c r="X375" s="460"/>
      <c r="Y375" s="557"/>
      <c r="Z375" s="460"/>
      <c r="AA375" s="557"/>
      <c r="AB375" s="460"/>
      <c r="AC375" s="557"/>
      <c r="AD375" s="460"/>
      <c r="AE375" s="557"/>
      <c r="AF375" s="460"/>
      <c r="AG375" s="557"/>
      <c r="AH375" s="460"/>
    </row>
    <row r="376" spans="1:34">
      <c r="A376" s="14"/>
      <c r="B376" s="15"/>
      <c r="C376" s="16"/>
      <c r="D376" s="17"/>
      <c r="E376" s="12"/>
      <c r="F376" s="18"/>
      <c r="G376" s="19"/>
      <c r="H376" s="13"/>
      <c r="I376" s="19"/>
      <c r="J376" s="13"/>
      <c r="K376" s="19"/>
      <c r="L376" s="13"/>
      <c r="M376" s="19"/>
      <c r="N376" s="13"/>
      <c r="O376" s="19"/>
      <c r="P376" s="13"/>
      <c r="Q376" s="19"/>
      <c r="R376" s="13"/>
      <c r="S376" s="19"/>
      <c r="T376" s="13"/>
      <c r="U376" s="19"/>
      <c r="V376" s="13"/>
      <c r="W376" s="482"/>
      <c r="X376" s="460"/>
      <c r="Y376" s="557"/>
      <c r="Z376" s="460"/>
      <c r="AA376" s="557"/>
      <c r="AB376" s="460"/>
      <c r="AC376" s="557"/>
      <c r="AD376" s="460"/>
      <c r="AE376" s="557"/>
      <c r="AF376" s="460"/>
      <c r="AG376" s="557"/>
      <c r="AH376" s="460"/>
    </row>
    <row r="377" spans="1:34">
      <c r="A377" s="14"/>
      <c r="B377" s="15"/>
      <c r="C377" s="16"/>
      <c r="D377" s="17"/>
      <c r="E377" s="12"/>
      <c r="F377" s="18"/>
      <c r="G377" s="19"/>
      <c r="H377" s="13"/>
      <c r="I377" s="19"/>
      <c r="J377" s="13"/>
      <c r="K377" s="19"/>
      <c r="L377" s="13"/>
      <c r="M377" s="19"/>
      <c r="N377" s="13"/>
      <c r="O377" s="19"/>
      <c r="P377" s="13"/>
      <c r="Q377" s="19"/>
      <c r="R377" s="13"/>
      <c r="S377" s="19"/>
      <c r="T377" s="13"/>
      <c r="U377" s="19"/>
      <c r="V377" s="13"/>
      <c r="W377" s="482"/>
      <c r="X377" s="460"/>
      <c r="Y377" s="557"/>
      <c r="Z377" s="460"/>
      <c r="AA377" s="557"/>
      <c r="AB377" s="460"/>
      <c r="AC377" s="557"/>
      <c r="AD377" s="460"/>
      <c r="AE377" s="557"/>
      <c r="AF377" s="460"/>
      <c r="AG377" s="557"/>
      <c r="AH377" s="460"/>
    </row>
    <row r="378" spans="1:34">
      <c r="A378" s="14"/>
      <c r="B378" s="15"/>
      <c r="C378" s="16"/>
      <c r="D378" s="17"/>
      <c r="E378" s="12"/>
      <c r="F378" s="18"/>
      <c r="G378" s="19"/>
      <c r="H378" s="13"/>
      <c r="I378" s="19"/>
      <c r="J378" s="13"/>
      <c r="K378" s="19"/>
      <c r="L378" s="13"/>
      <c r="M378" s="19"/>
      <c r="N378" s="13"/>
      <c r="O378" s="19"/>
      <c r="P378" s="13"/>
      <c r="Q378" s="19"/>
      <c r="R378" s="13"/>
      <c r="S378" s="19"/>
      <c r="T378" s="13"/>
      <c r="U378" s="19"/>
      <c r="V378" s="13"/>
      <c r="W378" s="482"/>
      <c r="X378" s="460"/>
      <c r="Y378" s="557"/>
      <c r="Z378" s="460"/>
      <c r="AA378" s="557"/>
      <c r="AB378" s="460"/>
      <c r="AC378" s="557"/>
      <c r="AD378" s="460"/>
      <c r="AE378" s="557"/>
      <c r="AF378" s="460"/>
      <c r="AG378" s="557"/>
      <c r="AH378" s="460"/>
    </row>
    <row r="379" spans="1:34">
      <c r="A379" s="14"/>
      <c r="B379" s="15"/>
      <c r="C379" s="16"/>
      <c r="D379" s="17"/>
      <c r="E379" s="12"/>
      <c r="F379" s="18"/>
      <c r="G379" s="19"/>
      <c r="H379" s="13"/>
      <c r="I379" s="19"/>
      <c r="J379" s="13"/>
      <c r="K379" s="19"/>
      <c r="L379" s="13"/>
      <c r="M379" s="19"/>
      <c r="N379" s="13"/>
      <c r="O379" s="19"/>
      <c r="P379" s="13"/>
      <c r="Q379" s="19"/>
      <c r="R379" s="13"/>
      <c r="S379" s="19"/>
      <c r="T379" s="13"/>
      <c r="U379" s="19"/>
      <c r="V379" s="13"/>
      <c r="W379" s="482"/>
      <c r="X379" s="460"/>
      <c r="Y379" s="557"/>
      <c r="Z379" s="460"/>
      <c r="AA379" s="557"/>
      <c r="AB379" s="460"/>
      <c r="AC379" s="557"/>
      <c r="AD379" s="460"/>
      <c r="AE379" s="557"/>
      <c r="AF379" s="460"/>
      <c r="AG379" s="557"/>
      <c r="AH379" s="460"/>
    </row>
    <row r="380" spans="1:34">
      <c r="A380" s="14"/>
      <c r="B380" s="15"/>
      <c r="C380" s="16"/>
      <c r="D380" s="17"/>
      <c r="E380" s="12"/>
      <c r="F380" s="18"/>
      <c r="G380" s="19"/>
      <c r="H380" s="13"/>
      <c r="I380" s="19"/>
      <c r="J380" s="13"/>
      <c r="K380" s="19"/>
      <c r="L380" s="13"/>
      <c r="M380" s="19"/>
      <c r="N380" s="13"/>
      <c r="O380" s="19"/>
      <c r="P380" s="13"/>
      <c r="Q380" s="19"/>
      <c r="R380" s="13"/>
      <c r="S380" s="19"/>
      <c r="T380" s="13"/>
      <c r="U380" s="19"/>
      <c r="V380" s="13"/>
      <c r="W380" s="482"/>
      <c r="X380" s="460"/>
      <c r="Y380" s="557"/>
      <c r="Z380" s="460"/>
      <c r="AA380" s="557"/>
      <c r="AB380" s="460"/>
      <c r="AC380" s="557"/>
      <c r="AD380" s="460"/>
      <c r="AE380" s="557"/>
      <c r="AF380" s="460"/>
      <c r="AG380" s="557"/>
      <c r="AH380" s="460"/>
    </row>
    <row r="381" spans="1:34">
      <c r="A381" s="14"/>
      <c r="B381" s="15"/>
      <c r="C381" s="16"/>
      <c r="D381" s="17"/>
      <c r="E381" s="12"/>
      <c r="F381" s="18"/>
      <c r="G381" s="19"/>
      <c r="H381" s="13"/>
      <c r="I381" s="19"/>
      <c r="J381" s="13"/>
      <c r="K381" s="19"/>
      <c r="L381" s="13"/>
      <c r="M381" s="19"/>
      <c r="N381" s="13"/>
      <c r="O381" s="19"/>
      <c r="P381" s="13"/>
      <c r="Q381" s="19"/>
      <c r="R381" s="13"/>
      <c r="S381" s="19"/>
      <c r="T381" s="13"/>
      <c r="U381" s="19"/>
      <c r="V381" s="13"/>
      <c r="W381" s="482"/>
      <c r="X381" s="460"/>
      <c r="Y381" s="557"/>
      <c r="Z381" s="460"/>
      <c r="AA381" s="557"/>
      <c r="AB381" s="460"/>
      <c r="AC381" s="557"/>
      <c r="AD381" s="460"/>
      <c r="AE381" s="557"/>
      <c r="AF381" s="460"/>
      <c r="AG381" s="557"/>
      <c r="AH381" s="460"/>
    </row>
    <row r="382" spans="1:34">
      <c r="A382" s="14"/>
      <c r="B382" s="15"/>
      <c r="C382" s="16"/>
      <c r="D382" s="17"/>
      <c r="E382" s="12"/>
      <c r="F382" s="18"/>
      <c r="G382" s="19"/>
      <c r="H382" s="13"/>
      <c r="I382" s="19"/>
      <c r="J382" s="13"/>
      <c r="K382" s="19"/>
      <c r="L382" s="13"/>
      <c r="M382" s="19"/>
      <c r="N382" s="13"/>
      <c r="O382" s="19"/>
      <c r="P382" s="13"/>
      <c r="Q382" s="19"/>
      <c r="R382" s="13"/>
      <c r="S382" s="19"/>
      <c r="T382" s="13"/>
      <c r="U382" s="19"/>
      <c r="V382" s="13"/>
      <c r="W382" s="482"/>
      <c r="X382" s="460"/>
      <c r="Y382" s="557"/>
      <c r="Z382" s="460"/>
      <c r="AA382" s="557"/>
      <c r="AB382" s="460"/>
      <c r="AC382" s="557"/>
      <c r="AD382" s="460"/>
      <c r="AE382" s="557"/>
      <c r="AF382" s="460"/>
      <c r="AG382" s="557"/>
      <c r="AH382" s="460"/>
    </row>
    <row r="383" spans="1:34">
      <c r="A383" s="14"/>
      <c r="B383" s="15"/>
      <c r="C383" s="16"/>
      <c r="D383" s="17"/>
      <c r="E383" s="12"/>
      <c r="F383" s="18"/>
      <c r="G383" s="19"/>
      <c r="H383" s="13"/>
      <c r="I383" s="19"/>
      <c r="J383" s="13"/>
      <c r="K383" s="19"/>
      <c r="L383" s="13"/>
      <c r="M383" s="19"/>
      <c r="N383" s="13"/>
      <c r="O383" s="19"/>
      <c r="P383" s="13"/>
      <c r="Q383" s="19"/>
      <c r="R383" s="13"/>
      <c r="S383" s="19"/>
      <c r="T383" s="13"/>
      <c r="U383" s="19"/>
      <c r="V383" s="13"/>
      <c r="W383" s="482"/>
      <c r="X383" s="460"/>
      <c r="Y383" s="557"/>
      <c r="Z383" s="460"/>
      <c r="AA383" s="557"/>
      <c r="AB383" s="460"/>
      <c r="AC383" s="557"/>
      <c r="AD383" s="460"/>
      <c r="AE383" s="557"/>
      <c r="AF383" s="460"/>
      <c r="AG383" s="557"/>
      <c r="AH383" s="460"/>
    </row>
    <row r="384" spans="1:34">
      <c r="A384" s="14"/>
      <c r="B384" s="15"/>
      <c r="C384" s="16"/>
      <c r="D384" s="17"/>
      <c r="E384" s="12"/>
      <c r="F384" s="18"/>
      <c r="G384" s="19"/>
      <c r="H384" s="13"/>
      <c r="I384" s="19"/>
      <c r="J384" s="13"/>
      <c r="K384" s="19"/>
      <c r="L384" s="13"/>
      <c r="M384" s="19"/>
      <c r="N384" s="13"/>
      <c r="O384" s="19"/>
      <c r="P384" s="13"/>
      <c r="Q384" s="19"/>
      <c r="R384" s="13"/>
      <c r="S384" s="19"/>
      <c r="T384" s="13"/>
      <c r="U384" s="19"/>
      <c r="V384" s="13"/>
      <c r="W384" s="482"/>
      <c r="X384" s="460"/>
      <c r="Y384" s="557"/>
      <c r="Z384" s="460"/>
      <c r="AA384" s="557"/>
      <c r="AB384" s="460"/>
      <c r="AC384" s="557"/>
      <c r="AD384" s="460"/>
      <c r="AE384" s="557"/>
      <c r="AF384" s="460"/>
      <c r="AG384" s="557"/>
      <c r="AH384" s="460"/>
    </row>
    <row r="385" spans="1:34">
      <c r="A385" s="14"/>
      <c r="B385" s="15"/>
      <c r="C385" s="16"/>
      <c r="D385" s="17"/>
      <c r="E385" s="12"/>
      <c r="F385" s="18"/>
      <c r="G385" s="19"/>
      <c r="H385" s="13"/>
      <c r="I385" s="19"/>
      <c r="J385" s="13"/>
      <c r="K385" s="19"/>
      <c r="L385" s="13"/>
      <c r="M385" s="19"/>
      <c r="N385" s="13"/>
      <c r="O385" s="19"/>
      <c r="P385" s="13"/>
      <c r="Q385" s="19"/>
      <c r="R385" s="13"/>
      <c r="S385" s="19"/>
      <c r="T385" s="13"/>
      <c r="U385" s="19"/>
      <c r="V385" s="13"/>
      <c r="W385" s="482"/>
      <c r="X385" s="460"/>
      <c r="Y385" s="557"/>
      <c r="Z385" s="460"/>
      <c r="AA385" s="557"/>
      <c r="AB385" s="460"/>
      <c r="AC385" s="557"/>
      <c r="AD385" s="460"/>
      <c r="AE385" s="557"/>
      <c r="AF385" s="460"/>
      <c r="AG385" s="557"/>
      <c r="AH385" s="460"/>
    </row>
    <row r="386" spans="1:34">
      <c r="A386" s="14"/>
      <c r="B386" s="15"/>
      <c r="C386" s="16"/>
      <c r="D386" s="17"/>
      <c r="E386" s="12"/>
      <c r="F386" s="18"/>
      <c r="G386" s="19"/>
      <c r="H386" s="13"/>
      <c r="I386" s="19"/>
      <c r="J386" s="13"/>
      <c r="K386" s="19"/>
      <c r="L386" s="13"/>
      <c r="M386" s="19"/>
      <c r="N386" s="13"/>
      <c r="O386" s="19"/>
      <c r="P386" s="13"/>
      <c r="Q386" s="19"/>
      <c r="R386" s="13"/>
      <c r="S386" s="19"/>
      <c r="T386" s="13"/>
      <c r="U386" s="19"/>
      <c r="V386" s="13"/>
      <c r="W386" s="482"/>
      <c r="X386" s="460"/>
      <c r="Y386" s="557"/>
      <c r="Z386" s="460"/>
      <c r="AA386" s="557"/>
      <c r="AB386" s="460"/>
      <c r="AC386" s="557"/>
      <c r="AD386" s="460"/>
      <c r="AE386" s="557"/>
      <c r="AF386" s="460"/>
      <c r="AG386" s="557"/>
      <c r="AH386" s="460"/>
    </row>
    <row r="387" spans="1:34">
      <c r="A387" s="14"/>
      <c r="B387" s="15"/>
      <c r="C387" s="16"/>
      <c r="D387" s="17"/>
      <c r="E387" s="12"/>
      <c r="F387" s="18"/>
      <c r="G387" s="19"/>
      <c r="H387" s="13"/>
      <c r="I387" s="19"/>
      <c r="J387" s="13"/>
      <c r="K387" s="19"/>
      <c r="L387" s="13"/>
      <c r="M387" s="19"/>
      <c r="N387" s="13"/>
      <c r="O387" s="19"/>
      <c r="P387" s="13"/>
      <c r="Q387" s="19"/>
      <c r="R387" s="13"/>
      <c r="S387" s="19"/>
      <c r="T387" s="13"/>
      <c r="U387" s="19"/>
      <c r="V387" s="13"/>
      <c r="W387" s="482"/>
      <c r="X387" s="460"/>
      <c r="Y387" s="557"/>
      <c r="Z387" s="460"/>
      <c r="AA387" s="557"/>
      <c r="AB387" s="460"/>
      <c r="AC387" s="557"/>
      <c r="AD387" s="460"/>
      <c r="AE387" s="557"/>
      <c r="AF387" s="460"/>
      <c r="AG387" s="557"/>
      <c r="AH387" s="460"/>
    </row>
    <row r="388" spans="1:34">
      <c r="A388" s="14"/>
      <c r="B388" s="15"/>
      <c r="C388" s="16"/>
      <c r="D388" s="17"/>
      <c r="E388" s="12"/>
      <c r="F388" s="18"/>
      <c r="G388" s="19"/>
      <c r="H388" s="13"/>
      <c r="I388" s="19"/>
      <c r="J388" s="13"/>
      <c r="K388" s="19"/>
      <c r="L388" s="13"/>
      <c r="M388" s="19"/>
      <c r="N388" s="13"/>
      <c r="O388" s="19"/>
      <c r="P388" s="13"/>
      <c r="Q388" s="19"/>
      <c r="R388" s="13"/>
      <c r="S388" s="19"/>
      <c r="T388" s="13"/>
      <c r="U388" s="19"/>
      <c r="V388" s="13"/>
      <c r="W388" s="482"/>
      <c r="X388" s="460"/>
      <c r="Y388" s="557"/>
      <c r="Z388" s="460"/>
      <c r="AA388" s="557"/>
      <c r="AB388" s="460"/>
      <c r="AC388" s="557"/>
      <c r="AD388" s="460"/>
      <c r="AE388" s="557"/>
      <c r="AF388" s="460"/>
      <c r="AG388" s="557"/>
      <c r="AH388" s="460"/>
    </row>
    <row r="389" spans="1:34">
      <c r="A389" s="14"/>
      <c r="B389" s="15"/>
      <c r="C389" s="16"/>
      <c r="D389" s="17"/>
      <c r="E389" s="12"/>
      <c r="F389" s="18"/>
      <c r="G389" s="19"/>
      <c r="H389" s="13"/>
      <c r="I389" s="19"/>
      <c r="J389" s="13"/>
      <c r="K389" s="19"/>
      <c r="L389" s="13"/>
      <c r="M389" s="19"/>
      <c r="N389" s="13"/>
      <c r="O389" s="19"/>
      <c r="P389" s="13"/>
      <c r="Q389" s="19"/>
      <c r="R389" s="13"/>
      <c r="S389" s="19"/>
      <c r="T389" s="13"/>
      <c r="U389" s="19"/>
      <c r="V389" s="13"/>
      <c r="W389" s="482"/>
      <c r="X389" s="460"/>
      <c r="Y389" s="557"/>
      <c r="Z389" s="460"/>
      <c r="AA389" s="557"/>
      <c r="AB389" s="460"/>
      <c r="AC389" s="557"/>
      <c r="AD389" s="460"/>
      <c r="AE389" s="557"/>
      <c r="AF389" s="460"/>
      <c r="AG389" s="557"/>
      <c r="AH389" s="460"/>
    </row>
    <row r="390" spans="1:34">
      <c r="A390" s="14"/>
      <c r="B390" s="15"/>
      <c r="C390" s="16"/>
      <c r="D390" s="17"/>
      <c r="E390" s="12"/>
      <c r="F390" s="18"/>
      <c r="G390" s="19"/>
      <c r="H390" s="13"/>
      <c r="I390" s="19"/>
      <c r="J390" s="13"/>
      <c r="K390" s="19"/>
      <c r="L390" s="13"/>
      <c r="M390" s="19"/>
      <c r="N390" s="13"/>
      <c r="O390" s="19"/>
      <c r="P390" s="13"/>
      <c r="Q390" s="19"/>
      <c r="R390" s="13"/>
      <c r="S390" s="19"/>
      <c r="T390" s="13"/>
      <c r="U390" s="19"/>
      <c r="V390" s="13"/>
      <c r="W390" s="482"/>
      <c r="X390" s="460"/>
      <c r="Y390" s="557"/>
      <c r="Z390" s="460"/>
      <c r="AA390" s="557"/>
      <c r="AB390" s="460"/>
      <c r="AC390" s="557"/>
      <c r="AD390" s="460"/>
      <c r="AE390" s="557"/>
      <c r="AF390" s="460"/>
      <c r="AG390" s="557"/>
      <c r="AH390" s="460"/>
    </row>
    <row r="391" spans="1:34">
      <c r="A391" s="14"/>
      <c r="B391" s="15"/>
      <c r="C391" s="16"/>
      <c r="D391" s="17"/>
      <c r="E391" s="12"/>
      <c r="F391" s="18"/>
      <c r="G391" s="19"/>
      <c r="H391" s="13"/>
      <c r="I391" s="19"/>
      <c r="J391" s="13"/>
      <c r="K391" s="19"/>
      <c r="L391" s="13"/>
      <c r="M391" s="19"/>
      <c r="N391" s="13"/>
      <c r="O391" s="19"/>
      <c r="P391" s="13"/>
      <c r="Q391" s="19"/>
      <c r="R391" s="13"/>
      <c r="S391" s="19"/>
      <c r="T391" s="13"/>
      <c r="U391" s="19"/>
      <c r="V391" s="13"/>
      <c r="W391" s="482"/>
      <c r="X391" s="460"/>
      <c r="Y391" s="557"/>
      <c r="Z391" s="460"/>
      <c r="AA391" s="557"/>
      <c r="AB391" s="460"/>
      <c r="AC391" s="557"/>
      <c r="AD391" s="460"/>
      <c r="AE391" s="557"/>
      <c r="AF391" s="460"/>
      <c r="AG391" s="557"/>
      <c r="AH391" s="460"/>
    </row>
    <row r="392" spans="1:34">
      <c r="A392" s="14"/>
      <c r="B392" s="15"/>
      <c r="C392" s="16"/>
      <c r="D392" s="17"/>
      <c r="E392" s="12"/>
      <c r="F392" s="18"/>
      <c r="G392" s="19"/>
      <c r="H392" s="13"/>
      <c r="I392" s="19"/>
      <c r="J392" s="13"/>
      <c r="K392" s="19"/>
      <c r="L392" s="13"/>
      <c r="M392" s="19"/>
      <c r="N392" s="13"/>
      <c r="O392" s="19"/>
      <c r="P392" s="13"/>
      <c r="Q392" s="19"/>
      <c r="R392" s="13"/>
      <c r="S392" s="19"/>
      <c r="T392" s="13"/>
      <c r="U392" s="19"/>
      <c r="V392" s="13"/>
      <c r="W392" s="482"/>
      <c r="X392" s="460"/>
      <c r="Y392" s="557"/>
      <c r="Z392" s="460"/>
      <c r="AA392" s="557"/>
      <c r="AB392" s="460"/>
      <c r="AC392" s="557"/>
      <c r="AD392" s="460"/>
      <c r="AE392" s="557"/>
      <c r="AF392" s="460"/>
      <c r="AG392" s="557"/>
      <c r="AH392" s="460"/>
    </row>
    <row r="393" spans="1:34">
      <c r="A393" s="14"/>
      <c r="B393" s="15"/>
      <c r="C393" s="16"/>
      <c r="D393" s="17"/>
      <c r="E393" s="12"/>
      <c r="F393" s="18"/>
      <c r="G393" s="19"/>
      <c r="H393" s="13"/>
      <c r="I393" s="19"/>
      <c r="J393" s="13"/>
      <c r="K393" s="19"/>
      <c r="L393" s="13"/>
      <c r="M393" s="19"/>
      <c r="N393" s="13"/>
      <c r="O393" s="19"/>
      <c r="P393" s="13"/>
      <c r="Q393" s="19"/>
      <c r="R393" s="13"/>
      <c r="S393" s="19"/>
      <c r="T393" s="13"/>
      <c r="U393" s="19"/>
      <c r="V393" s="13"/>
      <c r="W393" s="482"/>
      <c r="X393" s="460"/>
      <c r="Y393" s="557"/>
      <c r="Z393" s="460"/>
      <c r="AA393" s="557"/>
      <c r="AB393" s="460"/>
      <c r="AC393" s="557"/>
      <c r="AD393" s="460"/>
      <c r="AE393" s="557"/>
      <c r="AF393" s="460"/>
      <c r="AG393" s="557"/>
      <c r="AH393" s="460"/>
    </row>
    <row r="394" spans="1:34">
      <c r="A394" s="14"/>
      <c r="B394" s="15"/>
      <c r="C394" s="16"/>
      <c r="D394" s="17"/>
      <c r="E394" s="12"/>
      <c r="F394" s="18"/>
      <c r="G394" s="19"/>
      <c r="H394" s="13"/>
      <c r="I394" s="19"/>
      <c r="J394" s="13"/>
      <c r="K394" s="19"/>
      <c r="L394" s="13"/>
      <c r="M394" s="19"/>
      <c r="N394" s="13"/>
      <c r="O394" s="19"/>
      <c r="P394" s="13"/>
      <c r="Q394" s="19"/>
      <c r="R394" s="13"/>
      <c r="S394" s="19"/>
      <c r="T394" s="13"/>
      <c r="U394" s="19"/>
      <c r="V394" s="13"/>
      <c r="W394" s="482"/>
      <c r="X394" s="460"/>
      <c r="Y394" s="557"/>
      <c r="Z394" s="460"/>
      <c r="AA394" s="557"/>
      <c r="AB394" s="460"/>
      <c r="AC394" s="557"/>
      <c r="AD394" s="460"/>
      <c r="AE394" s="557"/>
      <c r="AF394" s="460"/>
      <c r="AG394" s="557"/>
      <c r="AH394" s="460"/>
    </row>
    <row r="395" spans="1:34">
      <c r="A395" s="14"/>
      <c r="B395" s="15"/>
      <c r="C395" s="16"/>
      <c r="D395" s="17"/>
      <c r="E395" s="12"/>
      <c r="F395" s="18"/>
      <c r="G395" s="19"/>
      <c r="H395" s="13"/>
      <c r="I395" s="19"/>
      <c r="J395" s="13"/>
      <c r="K395" s="19"/>
      <c r="L395" s="13"/>
      <c r="M395" s="19"/>
      <c r="N395" s="13"/>
      <c r="O395" s="19"/>
      <c r="P395" s="13"/>
      <c r="Q395" s="19"/>
      <c r="R395" s="13"/>
      <c r="S395" s="19"/>
      <c r="T395" s="13"/>
      <c r="U395" s="19"/>
      <c r="V395" s="13"/>
      <c r="W395" s="482"/>
      <c r="X395" s="460"/>
      <c r="Y395" s="557"/>
      <c r="Z395" s="460"/>
      <c r="AA395" s="557"/>
      <c r="AB395" s="460"/>
      <c r="AC395" s="557"/>
      <c r="AD395" s="460"/>
      <c r="AE395" s="557"/>
      <c r="AF395" s="460"/>
      <c r="AG395" s="557"/>
      <c r="AH395" s="460"/>
    </row>
    <row r="396" spans="1:34">
      <c r="A396" s="14"/>
      <c r="B396" s="15"/>
      <c r="C396" s="16"/>
      <c r="D396" s="17"/>
      <c r="E396" s="12"/>
      <c r="F396" s="18"/>
      <c r="G396" s="19"/>
      <c r="H396" s="13"/>
      <c r="I396" s="19"/>
      <c r="J396" s="13"/>
      <c r="K396" s="19"/>
      <c r="L396" s="13"/>
      <c r="M396" s="19"/>
      <c r="N396" s="13"/>
      <c r="O396" s="19"/>
      <c r="P396" s="13"/>
      <c r="Q396" s="19"/>
      <c r="R396" s="13"/>
      <c r="S396" s="19"/>
      <c r="T396" s="13"/>
      <c r="U396" s="19"/>
      <c r="V396" s="13"/>
      <c r="W396" s="482"/>
      <c r="X396" s="460"/>
      <c r="Y396" s="557"/>
      <c r="Z396" s="460"/>
      <c r="AA396" s="557"/>
      <c r="AB396" s="460"/>
      <c r="AC396" s="557"/>
      <c r="AD396" s="460"/>
      <c r="AE396" s="557"/>
      <c r="AF396" s="460"/>
      <c r="AG396" s="557"/>
      <c r="AH396" s="460"/>
    </row>
    <row r="397" spans="1:34">
      <c r="A397" s="14"/>
      <c r="B397" s="15"/>
      <c r="C397" s="16"/>
      <c r="D397" s="17"/>
      <c r="E397" s="12"/>
      <c r="F397" s="18"/>
      <c r="G397" s="19"/>
      <c r="H397" s="13"/>
      <c r="I397" s="19"/>
      <c r="J397" s="13"/>
      <c r="K397" s="19"/>
      <c r="L397" s="13"/>
      <c r="M397" s="19"/>
      <c r="N397" s="13"/>
      <c r="O397" s="19"/>
      <c r="P397" s="13"/>
      <c r="Q397" s="19"/>
      <c r="R397" s="13"/>
      <c r="S397" s="19"/>
      <c r="T397" s="13"/>
      <c r="U397" s="19"/>
      <c r="V397" s="13"/>
      <c r="W397" s="482"/>
      <c r="X397" s="460"/>
      <c r="Y397" s="557"/>
      <c r="Z397" s="460"/>
      <c r="AA397" s="557"/>
      <c r="AB397" s="460"/>
      <c r="AC397" s="557"/>
      <c r="AD397" s="460"/>
      <c r="AE397" s="557"/>
      <c r="AF397" s="460"/>
      <c r="AG397" s="557"/>
      <c r="AH397" s="460"/>
    </row>
    <row r="398" spans="1:34">
      <c r="A398" s="14"/>
      <c r="B398" s="15"/>
      <c r="C398" s="16"/>
      <c r="D398" s="17"/>
      <c r="E398" s="12"/>
      <c r="F398" s="18"/>
      <c r="G398" s="19"/>
      <c r="H398" s="13"/>
      <c r="I398" s="19"/>
      <c r="J398" s="13"/>
      <c r="K398" s="19"/>
      <c r="L398" s="13"/>
      <c r="M398" s="19"/>
      <c r="N398" s="13"/>
      <c r="O398" s="19"/>
      <c r="P398" s="13"/>
      <c r="Q398" s="19"/>
      <c r="R398" s="13"/>
      <c r="S398" s="19"/>
      <c r="T398" s="13"/>
      <c r="U398" s="19"/>
      <c r="V398" s="13"/>
      <c r="W398" s="482"/>
      <c r="X398" s="460"/>
      <c r="Y398" s="557"/>
      <c r="Z398" s="460"/>
      <c r="AA398" s="557"/>
      <c r="AB398" s="460"/>
      <c r="AC398" s="557"/>
      <c r="AD398" s="460"/>
      <c r="AE398" s="557"/>
      <c r="AF398" s="460"/>
      <c r="AG398" s="557"/>
      <c r="AH398" s="460"/>
    </row>
    <row r="399" spans="1:34">
      <c r="A399" s="14"/>
      <c r="B399" s="15"/>
      <c r="C399" s="16"/>
      <c r="D399" s="17"/>
      <c r="E399" s="12"/>
      <c r="F399" s="18"/>
      <c r="G399" s="19"/>
      <c r="H399" s="13"/>
      <c r="I399" s="19"/>
      <c r="J399" s="13"/>
      <c r="K399" s="19"/>
      <c r="L399" s="13"/>
      <c r="M399" s="19"/>
      <c r="N399" s="13"/>
      <c r="O399" s="19"/>
      <c r="P399" s="13"/>
      <c r="Q399" s="19"/>
      <c r="R399" s="13"/>
      <c r="S399" s="19"/>
      <c r="T399" s="13"/>
      <c r="U399" s="19"/>
      <c r="V399" s="13"/>
      <c r="W399" s="482"/>
      <c r="X399" s="460"/>
      <c r="Y399" s="557"/>
      <c r="Z399" s="460"/>
      <c r="AA399" s="557"/>
      <c r="AB399" s="460"/>
      <c r="AC399" s="557"/>
      <c r="AD399" s="460"/>
      <c r="AE399" s="557"/>
      <c r="AF399" s="460"/>
      <c r="AG399" s="557"/>
      <c r="AH399" s="460"/>
    </row>
    <row r="400" spans="1:34">
      <c r="A400" s="14"/>
      <c r="B400" s="15"/>
      <c r="C400" s="16"/>
      <c r="D400" s="17"/>
      <c r="E400" s="12"/>
      <c r="F400" s="18"/>
      <c r="G400" s="19"/>
      <c r="H400" s="13"/>
      <c r="I400" s="19"/>
      <c r="J400" s="13"/>
      <c r="K400" s="19"/>
      <c r="L400" s="13"/>
      <c r="M400" s="19"/>
      <c r="N400" s="13"/>
      <c r="O400" s="19"/>
      <c r="P400" s="13"/>
      <c r="Q400" s="19"/>
      <c r="R400" s="13"/>
      <c r="S400" s="19"/>
      <c r="T400" s="13"/>
      <c r="U400" s="19"/>
      <c r="V400" s="13"/>
      <c r="W400" s="482"/>
      <c r="X400" s="460"/>
      <c r="Y400" s="557"/>
      <c r="Z400" s="460"/>
      <c r="AA400" s="557"/>
      <c r="AB400" s="460"/>
      <c r="AC400" s="557"/>
      <c r="AD400" s="460"/>
      <c r="AE400" s="557"/>
      <c r="AF400" s="460"/>
      <c r="AG400" s="557"/>
      <c r="AH400" s="460"/>
    </row>
    <row r="401" spans="1:34">
      <c r="A401" s="14"/>
      <c r="B401" s="15"/>
      <c r="C401" s="16"/>
      <c r="D401" s="17"/>
      <c r="E401" s="12"/>
      <c r="F401" s="18"/>
      <c r="G401" s="19"/>
      <c r="H401" s="13"/>
      <c r="I401" s="19"/>
      <c r="J401" s="13"/>
      <c r="K401" s="19"/>
      <c r="L401" s="13"/>
      <c r="M401" s="19"/>
      <c r="N401" s="13"/>
      <c r="O401" s="19"/>
      <c r="P401" s="13"/>
      <c r="Q401" s="19"/>
      <c r="R401" s="13"/>
      <c r="S401" s="19"/>
      <c r="T401" s="13"/>
      <c r="U401" s="19"/>
      <c r="V401" s="13"/>
      <c r="W401" s="482"/>
      <c r="X401" s="460"/>
      <c r="Y401" s="557"/>
      <c r="Z401" s="460"/>
      <c r="AA401" s="557"/>
      <c r="AB401" s="460"/>
      <c r="AC401" s="557"/>
      <c r="AD401" s="460"/>
      <c r="AE401" s="557"/>
      <c r="AF401" s="460"/>
      <c r="AG401" s="557"/>
      <c r="AH401" s="460"/>
    </row>
    <row r="402" spans="1:34">
      <c r="A402" s="14"/>
      <c r="B402" s="15"/>
      <c r="C402" s="16"/>
      <c r="D402" s="17"/>
      <c r="E402" s="12"/>
      <c r="F402" s="18"/>
      <c r="G402" s="19"/>
      <c r="H402" s="13"/>
      <c r="I402" s="19"/>
      <c r="J402" s="13"/>
      <c r="K402" s="19"/>
      <c r="L402" s="13"/>
      <c r="M402" s="19"/>
      <c r="N402" s="13"/>
      <c r="O402" s="19"/>
      <c r="P402" s="13"/>
      <c r="Q402" s="19"/>
      <c r="R402" s="13"/>
      <c r="S402" s="19"/>
      <c r="T402" s="13"/>
      <c r="U402" s="19"/>
      <c r="V402" s="13"/>
      <c r="W402" s="482"/>
      <c r="X402" s="460"/>
      <c r="Y402" s="557"/>
      <c r="Z402" s="460"/>
      <c r="AA402" s="557"/>
      <c r="AB402" s="460"/>
      <c r="AC402" s="557"/>
      <c r="AD402" s="460"/>
      <c r="AE402" s="557"/>
      <c r="AF402" s="460"/>
      <c r="AG402" s="557"/>
      <c r="AH402" s="460"/>
    </row>
    <row r="403" spans="1:34">
      <c r="A403" s="14"/>
      <c r="B403" s="15"/>
      <c r="C403" s="16"/>
      <c r="D403" s="17"/>
      <c r="E403" s="12"/>
      <c r="F403" s="18"/>
      <c r="G403" s="19"/>
      <c r="H403" s="13"/>
      <c r="I403" s="19"/>
      <c r="J403" s="13"/>
      <c r="K403" s="19"/>
      <c r="L403" s="13"/>
      <c r="M403" s="19"/>
      <c r="N403" s="13"/>
      <c r="O403" s="19"/>
      <c r="P403" s="13"/>
      <c r="Q403" s="19"/>
      <c r="R403" s="13"/>
      <c r="S403" s="19"/>
      <c r="T403" s="13"/>
      <c r="U403" s="19"/>
      <c r="V403" s="13"/>
      <c r="W403" s="482"/>
      <c r="X403" s="460"/>
      <c r="Y403" s="557"/>
      <c r="Z403" s="460"/>
      <c r="AA403" s="557"/>
      <c r="AB403" s="460"/>
      <c r="AC403" s="557"/>
      <c r="AD403" s="460"/>
      <c r="AE403" s="557"/>
      <c r="AF403" s="460"/>
      <c r="AG403" s="557"/>
      <c r="AH403" s="460"/>
    </row>
    <row r="404" spans="1:34">
      <c r="A404" s="14"/>
      <c r="B404" s="15"/>
      <c r="C404" s="16"/>
      <c r="D404" s="17"/>
      <c r="E404" s="12"/>
      <c r="F404" s="18"/>
      <c r="G404" s="19"/>
      <c r="H404" s="13"/>
      <c r="I404" s="19"/>
      <c r="J404" s="13"/>
      <c r="K404" s="19"/>
      <c r="L404" s="13"/>
      <c r="M404" s="19"/>
      <c r="N404" s="13"/>
      <c r="O404" s="19"/>
      <c r="P404" s="13"/>
      <c r="Q404" s="19"/>
      <c r="R404" s="13"/>
      <c r="S404" s="19"/>
      <c r="T404" s="13"/>
      <c r="U404" s="19"/>
      <c r="V404" s="13"/>
      <c r="W404" s="482"/>
      <c r="X404" s="460"/>
      <c r="Y404" s="557"/>
      <c r="Z404" s="460"/>
      <c r="AA404" s="557"/>
      <c r="AB404" s="460"/>
      <c r="AC404" s="557"/>
      <c r="AD404" s="460"/>
      <c r="AE404" s="557"/>
      <c r="AF404" s="460"/>
      <c r="AG404" s="557"/>
      <c r="AH404" s="460"/>
    </row>
    <row r="405" spans="1:34">
      <c r="A405" s="14"/>
      <c r="B405" s="15"/>
      <c r="C405" s="16"/>
      <c r="D405" s="17"/>
      <c r="E405" s="12"/>
      <c r="F405" s="18"/>
      <c r="G405" s="19"/>
      <c r="H405" s="13"/>
      <c r="I405" s="19"/>
      <c r="J405" s="13"/>
      <c r="K405" s="19"/>
      <c r="L405" s="13"/>
      <c r="M405" s="19"/>
      <c r="N405" s="13"/>
      <c r="O405" s="19"/>
      <c r="P405" s="13"/>
      <c r="Q405" s="19"/>
      <c r="R405" s="13"/>
      <c r="S405" s="19"/>
      <c r="T405" s="13"/>
      <c r="U405" s="19"/>
      <c r="V405" s="13"/>
      <c r="W405" s="482"/>
      <c r="X405" s="460"/>
      <c r="Y405" s="557"/>
      <c r="Z405" s="460"/>
      <c r="AA405" s="557"/>
      <c r="AB405" s="460"/>
      <c r="AC405" s="557"/>
      <c r="AD405" s="460"/>
      <c r="AE405" s="557"/>
      <c r="AF405" s="460"/>
      <c r="AG405" s="557"/>
      <c r="AH405" s="460"/>
    </row>
    <row r="406" spans="1:34">
      <c r="A406" s="14"/>
      <c r="B406" s="15"/>
      <c r="C406" s="16"/>
      <c r="D406" s="17"/>
      <c r="E406" s="12"/>
      <c r="F406" s="18"/>
      <c r="G406" s="19"/>
      <c r="H406" s="13"/>
      <c r="I406" s="19"/>
      <c r="J406" s="13"/>
      <c r="K406" s="19"/>
      <c r="L406" s="13"/>
      <c r="M406" s="19"/>
      <c r="N406" s="13"/>
      <c r="O406" s="19"/>
      <c r="P406" s="13"/>
      <c r="Q406" s="19"/>
      <c r="R406" s="13"/>
      <c r="S406" s="19"/>
      <c r="T406" s="13"/>
      <c r="U406" s="19"/>
      <c r="V406" s="13"/>
      <c r="W406" s="482"/>
      <c r="X406" s="460"/>
      <c r="Y406" s="557"/>
      <c r="Z406" s="460"/>
      <c r="AA406" s="557"/>
      <c r="AB406" s="460"/>
      <c r="AC406" s="557"/>
      <c r="AD406" s="460"/>
      <c r="AE406" s="557"/>
      <c r="AF406" s="460"/>
      <c r="AG406" s="557"/>
      <c r="AH406" s="460"/>
    </row>
    <row r="407" spans="1:34">
      <c r="A407" s="14"/>
      <c r="B407" s="15"/>
      <c r="C407" s="16"/>
      <c r="D407" s="17"/>
      <c r="E407" s="12"/>
      <c r="F407" s="18"/>
      <c r="G407" s="19"/>
      <c r="H407" s="13"/>
      <c r="I407" s="19"/>
      <c r="J407" s="13"/>
      <c r="K407" s="19"/>
      <c r="L407" s="13"/>
      <c r="M407" s="19"/>
      <c r="N407" s="13"/>
      <c r="O407" s="19"/>
      <c r="P407" s="13"/>
      <c r="Q407" s="19"/>
      <c r="R407" s="13"/>
      <c r="S407" s="19"/>
      <c r="T407" s="13"/>
      <c r="U407" s="19"/>
      <c r="V407" s="13"/>
      <c r="W407" s="482"/>
      <c r="X407" s="460"/>
      <c r="Y407" s="557"/>
      <c r="Z407" s="460"/>
      <c r="AA407" s="557"/>
      <c r="AB407" s="460"/>
      <c r="AC407" s="557"/>
      <c r="AD407" s="460"/>
      <c r="AE407" s="557"/>
      <c r="AF407" s="460"/>
      <c r="AG407" s="557"/>
      <c r="AH407" s="460"/>
    </row>
    <row r="408" spans="1:34">
      <c r="A408" s="14"/>
      <c r="B408" s="15"/>
      <c r="C408" s="16"/>
      <c r="D408" s="17"/>
      <c r="E408" s="12"/>
      <c r="F408" s="18"/>
      <c r="G408" s="19"/>
      <c r="H408" s="13"/>
      <c r="I408" s="19"/>
      <c r="J408" s="13"/>
      <c r="K408" s="19"/>
      <c r="L408" s="13"/>
      <c r="M408" s="19"/>
      <c r="N408" s="13"/>
      <c r="O408" s="19"/>
      <c r="P408" s="13"/>
      <c r="Q408" s="19"/>
      <c r="R408" s="13"/>
      <c r="S408" s="19"/>
      <c r="T408" s="13"/>
      <c r="U408" s="19"/>
      <c r="V408" s="13"/>
      <c r="W408" s="482"/>
      <c r="X408" s="460"/>
      <c r="Y408" s="557"/>
      <c r="Z408" s="460"/>
      <c r="AA408" s="557"/>
      <c r="AB408" s="460"/>
      <c r="AC408" s="557"/>
      <c r="AD408" s="460"/>
      <c r="AE408" s="557"/>
      <c r="AF408" s="460"/>
      <c r="AG408" s="557"/>
      <c r="AH408" s="460"/>
    </row>
    <row r="409" spans="1:34">
      <c r="A409" s="14"/>
      <c r="B409" s="15"/>
      <c r="C409" s="16"/>
      <c r="D409" s="17"/>
      <c r="E409" s="12"/>
      <c r="F409" s="18"/>
      <c r="G409" s="19"/>
      <c r="H409" s="13"/>
      <c r="I409" s="19"/>
      <c r="J409" s="13"/>
      <c r="K409" s="19"/>
      <c r="L409" s="13"/>
      <c r="M409" s="19"/>
      <c r="N409" s="13"/>
      <c r="O409" s="19"/>
      <c r="P409" s="13"/>
      <c r="Q409" s="19"/>
      <c r="R409" s="13"/>
      <c r="S409" s="19"/>
      <c r="T409" s="13"/>
      <c r="U409" s="19"/>
      <c r="V409" s="13"/>
      <c r="W409" s="482"/>
      <c r="X409" s="460"/>
      <c r="Y409" s="557"/>
      <c r="Z409" s="460"/>
      <c r="AA409" s="557"/>
      <c r="AB409" s="460"/>
      <c r="AC409" s="557"/>
      <c r="AD409" s="460"/>
      <c r="AE409" s="557"/>
      <c r="AF409" s="460"/>
      <c r="AG409" s="557"/>
      <c r="AH409" s="460"/>
    </row>
    <row r="410" spans="1:34">
      <c r="A410" s="14"/>
      <c r="B410" s="15"/>
      <c r="C410" s="16"/>
      <c r="D410" s="17"/>
      <c r="E410" s="12"/>
      <c r="F410" s="18"/>
      <c r="G410" s="19"/>
      <c r="H410" s="13"/>
      <c r="I410" s="19"/>
      <c r="J410" s="13"/>
      <c r="K410" s="19"/>
      <c r="L410" s="13"/>
      <c r="M410" s="19"/>
      <c r="N410" s="13"/>
      <c r="O410" s="19"/>
      <c r="P410" s="13"/>
      <c r="Q410" s="19"/>
      <c r="R410" s="13"/>
      <c r="S410" s="19"/>
      <c r="T410" s="13"/>
      <c r="U410" s="19"/>
      <c r="V410" s="13"/>
      <c r="W410" s="482"/>
      <c r="X410" s="460"/>
      <c r="Y410" s="557"/>
      <c r="Z410" s="460"/>
      <c r="AA410" s="557"/>
      <c r="AB410" s="460"/>
      <c r="AC410" s="557"/>
      <c r="AD410" s="460"/>
      <c r="AE410" s="557"/>
      <c r="AF410" s="460"/>
      <c r="AG410" s="557"/>
      <c r="AH410" s="460"/>
    </row>
    <row r="411" spans="1:34">
      <c r="A411" s="14"/>
      <c r="B411" s="15"/>
      <c r="C411" s="16"/>
      <c r="D411" s="17"/>
      <c r="E411" s="12"/>
      <c r="F411" s="18"/>
      <c r="G411" s="19"/>
      <c r="H411" s="13"/>
      <c r="I411" s="19"/>
      <c r="J411" s="13"/>
      <c r="K411" s="19"/>
      <c r="L411" s="13"/>
      <c r="M411" s="19"/>
      <c r="N411" s="13"/>
      <c r="O411" s="19"/>
      <c r="P411" s="13"/>
      <c r="Q411" s="19"/>
      <c r="R411" s="13"/>
      <c r="S411" s="19"/>
      <c r="T411" s="13"/>
      <c r="U411" s="19"/>
      <c r="V411" s="13"/>
      <c r="W411" s="482"/>
      <c r="X411" s="460"/>
      <c r="Y411" s="557"/>
      <c r="Z411" s="460"/>
      <c r="AA411" s="557"/>
      <c r="AB411" s="460"/>
      <c r="AC411" s="557"/>
      <c r="AD411" s="460"/>
      <c r="AE411" s="557"/>
      <c r="AF411" s="460"/>
      <c r="AG411" s="557"/>
      <c r="AH411" s="460"/>
    </row>
    <row r="412" spans="1:34">
      <c r="A412" s="14"/>
      <c r="B412" s="15"/>
      <c r="C412" s="16"/>
      <c r="D412" s="17"/>
      <c r="E412" s="12"/>
      <c r="F412" s="18"/>
      <c r="G412" s="19"/>
      <c r="H412" s="13"/>
      <c r="I412" s="19"/>
      <c r="J412" s="13"/>
      <c r="K412" s="19"/>
      <c r="L412" s="13"/>
      <c r="M412" s="19"/>
      <c r="N412" s="13"/>
      <c r="O412" s="19"/>
      <c r="P412" s="13"/>
      <c r="Q412" s="19"/>
      <c r="R412" s="13"/>
      <c r="S412" s="19"/>
      <c r="T412" s="13"/>
      <c r="U412" s="19"/>
      <c r="V412" s="13"/>
      <c r="W412" s="482"/>
      <c r="X412" s="460"/>
      <c r="Y412" s="557"/>
      <c r="Z412" s="460"/>
      <c r="AA412" s="557"/>
      <c r="AB412" s="460"/>
      <c r="AC412" s="557"/>
      <c r="AD412" s="460"/>
      <c r="AE412" s="557"/>
      <c r="AF412" s="460"/>
      <c r="AG412" s="557"/>
      <c r="AH412" s="460"/>
    </row>
    <row r="413" spans="1:34">
      <c r="A413" s="14"/>
      <c r="B413" s="15"/>
      <c r="C413" s="16"/>
      <c r="D413" s="17"/>
      <c r="E413" s="12"/>
      <c r="F413" s="18"/>
      <c r="G413" s="19"/>
      <c r="H413" s="13"/>
      <c r="I413" s="19"/>
      <c r="J413" s="13"/>
      <c r="K413" s="19"/>
      <c r="L413" s="13"/>
      <c r="M413" s="19"/>
      <c r="N413" s="13"/>
      <c r="O413" s="19"/>
      <c r="P413" s="13"/>
      <c r="Q413" s="19"/>
      <c r="R413" s="13"/>
      <c r="S413" s="19"/>
      <c r="T413" s="13"/>
      <c r="U413" s="19"/>
      <c r="V413" s="13"/>
      <c r="W413" s="482"/>
      <c r="X413" s="460"/>
      <c r="Y413" s="557"/>
      <c r="Z413" s="460"/>
      <c r="AA413" s="557"/>
      <c r="AB413" s="460"/>
      <c r="AC413" s="557"/>
      <c r="AD413" s="460"/>
      <c r="AE413" s="557"/>
      <c r="AF413" s="460"/>
      <c r="AG413" s="557"/>
      <c r="AH413" s="460"/>
    </row>
    <row r="414" spans="1:34">
      <c r="A414" s="14"/>
      <c r="B414" s="15"/>
      <c r="C414" s="16"/>
      <c r="D414" s="17"/>
      <c r="E414" s="12"/>
      <c r="F414" s="18"/>
      <c r="G414" s="19"/>
      <c r="H414" s="13"/>
      <c r="I414" s="19"/>
      <c r="J414" s="13"/>
      <c r="K414" s="19"/>
      <c r="L414" s="13"/>
      <c r="M414" s="19"/>
      <c r="N414" s="13"/>
      <c r="O414" s="19"/>
      <c r="P414" s="13"/>
      <c r="Q414" s="19"/>
      <c r="R414" s="13"/>
      <c r="S414" s="19"/>
      <c r="T414" s="13"/>
      <c r="U414" s="19"/>
      <c r="V414" s="13"/>
      <c r="W414" s="482"/>
      <c r="X414" s="460"/>
      <c r="Y414" s="557"/>
      <c r="Z414" s="460"/>
      <c r="AA414" s="557"/>
      <c r="AB414" s="460"/>
      <c r="AC414" s="557"/>
      <c r="AD414" s="460"/>
      <c r="AE414" s="557"/>
      <c r="AF414" s="460"/>
      <c r="AG414" s="557"/>
      <c r="AH414" s="460"/>
    </row>
    <row r="415" spans="1:34">
      <c r="A415" s="14"/>
      <c r="B415" s="15"/>
      <c r="C415" s="16"/>
      <c r="D415" s="17"/>
      <c r="E415" s="12"/>
      <c r="F415" s="18"/>
      <c r="G415" s="19"/>
      <c r="H415" s="13"/>
      <c r="I415" s="19"/>
      <c r="J415" s="13"/>
      <c r="K415" s="19"/>
      <c r="L415" s="13"/>
      <c r="M415" s="19"/>
      <c r="N415" s="13"/>
      <c r="O415" s="19"/>
      <c r="P415" s="13"/>
      <c r="Q415" s="19"/>
      <c r="R415" s="13"/>
      <c r="S415" s="19"/>
      <c r="T415" s="13"/>
      <c r="U415" s="19"/>
      <c r="V415" s="13"/>
      <c r="W415" s="482"/>
      <c r="X415" s="460"/>
      <c r="Y415" s="557"/>
      <c r="Z415" s="460"/>
      <c r="AA415" s="557"/>
      <c r="AB415" s="460"/>
      <c r="AC415" s="557"/>
      <c r="AD415" s="460"/>
      <c r="AE415" s="557"/>
      <c r="AF415" s="460"/>
      <c r="AG415" s="557"/>
      <c r="AH415" s="460"/>
    </row>
    <row r="416" spans="1:34">
      <c r="A416" s="14"/>
      <c r="B416" s="15"/>
      <c r="C416" s="16"/>
      <c r="D416" s="17"/>
      <c r="E416" s="12"/>
      <c r="F416" s="18"/>
      <c r="G416" s="19"/>
      <c r="H416" s="13"/>
      <c r="I416" s="19"/>
      <c r="J416" s="13"/>
      <c r="K416" s="19"/>
      <c r="L416" s="13"/>
      <c r="M416" s="19"/>
      <c r="N416" s="13"/>
      <c r="O416" s="19"/>
      <c r="P416" s="13"/>
      <c r="Q416" s="19"/>
      <c r="R416" s="13"/>
      <c r="S416" s="19"/>
      <c r="T416" s="13"/>
      <c r="U416" s="19"/>
      <c r="V416" s="13"/>
      <c r="W416" s="482"/>
      <c r="X416" s="460"/>
      <c r="Y416" s="557"/>
      <c r="Z416" s="460"/>
      <c r="AA416" s="557"/>
      <c r="AB416" s="460"/>
      <c r="AC416" s="557"/>
      <c r="AD416" s="460"/>
      <c r="AE416" s="557"/>
      <c r="AF416" s="460"/>
      <c r="AG416" s="557"/>
      <c r="AH416" s="460"/>
    </row>
    <row r="417" spans="1:34">
      <c r="A417" s="14"/>
      <c r="B417" s="15"/>
      <c r="C417" s="16"/>
      <c r="D417" s="17"/>
      <c r="E417" s="12"/>
      <c r="F417" s="18"/>
      <c r="G417" s="19"/>
      <c r="H417" s="13"/>
      <c r="I417" s="19"/>
      <c r="J417" s="13"/>
      <c r="K417" s="19"/>
      <c r="L417" s="13"/>
      <c r="M417" s="19"/>
      <c r="N417" s="13"/>
      <c r="O417" s="19"/>
      <c r="P417" s="13"/>
      <c r="Q417" s="19"/>
      <c r="R417" s="13"/>
      <c r="S417" s="19"/>
      <c r="T417" s="13"/>
      <c r="U417" s="19"/>
      <c r="V417" s="13"/>
      <c r="W417" s="482"/>
      <c r="X417" s="460"/>
      <c r="Y417" s="557"/>
      <c r="Z417" s="460"/>
      <c r="AA417" s="557"/>
      <c r="AB417" s="460"/>
      <c r="AC417" s="557"/>
      <c r="AD417" s="460"/>
      <c r="AE417" s="557"/>
      <c r="AF417" s="460"/>
      <c r="AG417" s="557"/>
      <c r="AH417" s="460"/>
    </row>
    <row r="418" spans="1:34">
      <c r="A418" s="14"/>
      <c r="B418" s="15"/>
      <c r="C418" s="16"/>
      <c r="D418" s="17"/>
      <c r="E418" s="12"/>
      <c r="F418" s="18"/>
      <c r="G418" s="19"/>
      <c r="H418" s="13"/>
      <c r="I418" s="19"/>
      <c r="J418" s="13"/>
      <c r="K418" s="19"/>
      <c r="L418" s="13"/>
      <c r="M418" s="19"/>
      <c r="N418" s="13"/>
      <c r="O418" s="19"/>
      <c r="P418" s="13"/>
      <c r="Q418" s="19"/>
      <c r="R418" s="13"/>
      <c r="S418" s="19"/>
      <c r="T418" s="13"/>
      <c r="U418" s="19"/>
      <c r="V418" s="13"/>
      <c r="W418" s="482"/>
      <c r="X418" s="460"/>
      <c r="Y418" s="557"/>
      <c r="Z418" s="460"/>
      <c r="AA418" s="557"/>
      <c r="AB418" s="460"/>
      <c r="AC418" s="557"/>
      <c r="AD418" s="460"/>
      <c r="AE418" s="557"/>
      <c r="AF418" s="460"/>
      <c r="AG418" s="557"/>
      <c r="AH418" s="460"/>
    </row>
    <row r="419" spans="1:34">
      <c r="A419" s="14"/>
      <c r="B419" s="15"/>
      <c r="C419" s="16"/>
      <c r="D419" s="17"/>
      <c r="E419" s="12"/>
      <c r="F419" s="18"/>
      <c r="G419" s="19"/>
      <c r="H419" s="13"/>
      <c r="I419" s="19"/>
      <c r="J419" s="13"/>
      <c r="K419" s="19"/>
      <c r="L419" s="13"/>
      <c r="M419" s="19"/>
      <c r="N419" s="13"/>
      <c r="O419" s="19"/>
      <c r="P419" s="13"/>
      <c r="Q419" s="19"/>
      <c r="R419" s="13"/>
      <c r="S419" s="19"/>
      <c r="T419" s="13"/>
      <c r="U419" s="19"/>
      <c r="V419" s="13"/>
      <c r="W419" s="482"/>
      <c r="X419" s="460"/>
      <c r="Y419" s="557"/>
      <c r="Z419" s="460"/>
      <c r="AA419" s="557"/>
      <c r="AB419" s="460"/>
      <c r="AC419" s="557"/>
      <c r="AD419" s="460"/>
      <c r="AE419" s="557"/>
      <c r="AF419" s="460"/>
      <c r="AG419" s="557"/>
      <c r="AH419" s="460"/>
    </row>
    <row r="420" spans="1:34">
      <c r="A420" s="14"/>
      <c r="B420" s="15"/>
      <c r="C420" s="16"/>
      <c r="D420" s="17"/>
      <c r="E420" s="12"/>
      <c r="F420" s="18"/>
      <c r="G420" s="19"/>
      <c r="H420" s="13"/>
      <c r="I420" s="19"/>
      <c r="J420" s="13"/>
      <c r="K420" s="19"/>
      <c r="L420" s="13"/>
      <c r="M420" s="19"/>
      <c r="N420" s="13"/>
      <c r="O420" s="19"/>
      <c r="P420" s="13"/>
      <c r="Q420" s="19"/>
      <c r="R420" s="13"/>
      <c r="S420" s="19"/>
      <c r="T420" s="13"/>
      <c r="U420" s="19"/>
      <c r="V420" s="13"/>
      <c r="W420" s="482"/>
      <c r="X420" s="460"/>
      <c r="Y420" s="557"/>
      <c r="Z420" s="460"/>
      <c r="AA420" s="557"/>
      <c r="AB420" s="460"/>
      <c r="AC420" s="557"/>
      <c r="AD420" s="460"/>
      <c r="AE420" s="557"/>
      <c r="AF420" s="460"/>
      <c r="AG420" s="557"/>
      <c r="AH420" s="460"/>
    </row>
    <row r="421" spans="1:34">
      <c r="A421" s="14"/>
      <c r="B421" s="15"/>
      <c r="C421" s="16"/>
      <c r="D421" s="17"/>
      <c r="E421" s="12"/>
      <c r="F421" s="18"/>
      <c r="G421" s="19"/>
      <c r="H421" s="13"/>
      <c r="I421" s="19"/>
      <c r="J421" s="13"/>
      <c r="K421" s="19"/>
      <c r="L421" s="13"/>
      <c r="M421" s="19"/>
      <c r="N421" s="13"/>
      <c r="O421" s="19"/>
      <c r="P421" s="13"/>
      <c r="Q421" s="19"/>
      <c r="R421" s="13"/>
      <c r="S421" s="19"/>
      <c r="T421" s="13"/>
      <c r="U421" s="19"/>
      <c r="V421" s="13"/>
      <c r="W421" s="482"/>
      <c r="X421" s="460"/>
      <c r="Y421" s="557"/>
      <c r="Z421" s="460"/>
      <c r="AA421" s="557"/>
      <c r="AB421" s="460"/>
      <c r="AC421" s="557"/>
      <c r="AD421" s="460"/>
      <c r="AE421" s="557"/>
      <c r="AF421" s="460"/>
      <c r="AG421" s="557"/>
      <c r="AH421" s="460"/>
    </row>
    <row r="422" spans="1:34">
      <c r="A422" s="14"/>
      <c r="B422" s="15"/>
      <c r="C422" s="16"/>
      <c r="D422" s="17"/>
      <c r="E422" s="12"/>
      <c r="F422" s="18"/>
      <c r="G422" s="19"/>
      <c r="H422" s="13"/>
      <c r="I422" s="19"/>
      <c r="J422" s="13"/>
      <c r="K422" s="19"/>
      <c r="L422" s="13"/>
      <c r="M422" s="19"/>
      <c r="N422" s="13"/>
      <c r="O422" s="19"/>
      <c r="P422" s="13"/>
      <c r="Q422" s="19"/>
      <c r="R422" s="13"/>
      <c r="S422" s="19"/>
      <c r="T422" s="13"/>
      <c r="U422" s="19"/>
      <c r="V422" s="13"/>
      <c r="W422" s="482"/>
      <c r="X422" s="460"/>
      <c r="Y422" s="557"/>
      <c r="Z422" s="460"/>
      <c r="AA422" s="557"/>
      <c r="AB422" s="460"/>
      <c r="AC422" s="557"/>
      <c r="AD422" s="460"/>
      <c r="AE422" s="557"/>
      <c r="AF422" s="460"/>
      <c r="AG422" s="557"/>
      <c r="AH422" s="460"/>
    </row>
    <row r="423" spans="1:34">
      <c r="A423" s="14"/>
      <c r="B423" s="15"/>
      <c r="C423" s="16"/>
      <c r="D423" s="17"/>
      <c r="E423" s="12"/>
      <c r="F423" s="18"/>
      <c r="G423" s="19"/>
      <c r="H423" s="13"/>
      <c r="I423" s="19"/>
      <c r="J423" s="13"/>
      <c r="K423" s="19"/>
      <c r="L423" s="13"/>
      <c r="M423" s="19"/>
      <c r="N423" s="13"/>
      <c r="O423" s="19"/>
      <c r="P423" s="13"/>
      <c r="Q423" s="19"/>
      <c r="R423" s="13"/>
      <c r="S423" s="19"/>
      <c r="T423" s="13"/>
      <c r="U423" s="19"/>
      <c r="V423" s="13"/>
      <c r="W423" s="482"/>
      <c r="X423" s="460"/>
      <c r="Y423" s="557"/>
      <c r="Z423" s="460"/>
      <c r="AA423" s="557"/>
      <c r="AB423" s="460"/>
      <c r="AC423" s="557"/>
      <c r="AD423" s="460"/>
      <c r="AE423" s="557"/>
      <c r="AF423" s="460"/>
      <c r="AG423" s="557"/>
      <c r="AH423" s="460"/>
    </row>
    <row r="424" spans="1:34">
      <c r="A424" s="14"/>
      <c r="B424" s="15"/>
      <c r="C424" s="16"/>
      <c r="D424" s="17"/>
      <c r="E424" s="12"/>
      <c r="F424" s="18"/>
      <c r="G424" s="19"/>
      <c r="H424" s="13"/>
      <c r="I424" s="19"/>
      <c r="J424" s="13"/>
      <c r="K424" s="19"/>
      <c r="L424" s="13"/>
      <c r="M424" s="19"/>
      <c r="N424" s="13"/>
      <c r="O424" s="19"/>
      <c r="P424" s="13"/>
      <c r="Q424" s="19"/>
      <c r="R424" s="13"/>
      <c r="S424" s="19"/>
      <c r="T424" s="13"/>
      <c r="U424" s="19"/>
      <c r="V424" s="13"/>
      <c r="W424" s="482"/>
      <c r="X424" s="460"/>
      <c r="Y424" s="557"/>
      <c r="Z424" s="460"/>
      <c r="AA424" s="557"/>
      <c r="AB424" s="460"/>
      <c r="AC424" s="557"/>
      <c r="AD424" s="460"/>
      <c r="AE424" s="557"/>
      <c r="AF424" s="460"/>
      <c r="AG424" s="557"/>
      <c r="AH424" s="460"/>
    </row>
    <row r="425" spans="1:34">
      <c r="A425" s="14"/>
      <c r="B425" s="15"/>
      <c r="C425" s="16"/>
      <c r="D425" s="17"/>
      <c r="E425" s="12"/>
      <c r="F425" s="18"/>
      <c r="G425" s="19"/>
      <c r="H425" s="13"/>
      <c r="I425" s="19"/>
      <c r="J425" s="13"/>
      <c r="K425" s="19"/>
      <c r="L425" s="13"/>
      <c r="M425" s="19"/>
      <c r="N425" s="13"/>
      <c r="O425" s="19"/>
      <c r="P425" s="13"/>
      <c r="Q425" s="19"/>
      <c r="R425" s="13"/>
      <c r="S425" s="19"/>
      <c r="T425" s="13"/>
      <c r="U425" s="19"/>
      <c r="V425" s="13"/>
      <c r="W425" s="482"/>
      <c r="X425" s="460"/>
      <c r="Y425" s="557"/>
      <c r="Z425" s="460"/>
      <c r="AA425" s="557"/>
      <c r="AB425" s="460"/>
      <c r="AC425" s="557"/>
      <c r="AD425" s="460"/>
      <c r="AE425" s="557"/>
      <c r="AF425" s="460"/>
      <c r="AG425" s="557"/>
      <c r="AH425" s="460"/>
    </row>
    <row r="426" spans="1:34">
      <c r="A426" s="14"/>
      <c r="B426" s="15"/>
      <c r="C426" s="16"/>
      <c r="D426" s="17"/>
      <c r="E426" s="12"/>
      <c r="F426" s="18"/>
      <c r="G426" s="19"/>
      <c r="H426" s="13"/>
      <c r="I426" s="19"/>
      <c r="J426" s="13"/>
      <c r="K426" s="19"/>
      <c r="L426" s="13"/>
      <c r="M426" s="19"/>
      <c r="N426" s="13"/>
      <c r="O426" s="19"/>
      <c r="P426" s="13"/>
      <c r="Q426" s="19"/>
      <c r="R426" s="13"/>
      <c r="S426" s="19"/>
      <c r="T426" s="13"/>
      <c r="U426" s="19"/>
      <c r="V426" s="13"/>
      <c r="W426" s="482"/>
      <c r="X426" s="460"/>
      <c r="Y426" s="557"/>
      <c r="Z426" s="460"/>
      <c r="AA426" s="557"/>
      <c r="AB426" s="460"/>
      <c r="AC426" s="557"/>
      <c r="AD426" s="460"/>
      <c r="AE426" s="557"/>
      <c r="AF426" s="460"/>
      <c r="AG426" s="557"/>
      <c r="AH426" s="460"/>
    </row>
    <row r="427" spans="1:34">
      <c r="A427" s="14"/>
      <c r="B427" s="15"/>
      <c r="C427" s="16"/>
      <c r="D427" s="17"/>
      <c r="E427" s="12"/>
      <c r="F427" s="18"/>
      <c r="G427" s="19"/>
      <c r="H427" s="13"/>
      <c r="I427" s="19"/>
      <c r="J427" s="13"/>
      <c r="K427" s="19"/>
      <c r="L427" s="13"/>
      <c r="M427" s="19"/>
      <c r="N427" s="13"/>
      <c r="O427" s="19"/>
      <c r="P427" s="13"/>
      <c r="Q427" s="19"/>
      <c r="R427" s="13"/>
      <c r="S427" s="19"/>
      <c r="T427" s="13"/>
      <c r="U427" s="19"/>
      <c r="V427" s="13"/>
      <c r="W427" s="482"/>
      <c r="X427" s="460"/>
      <c r="Y427" s="557"/>
      <c r="Z427" s="460"/>
      <c r="AA427" s="557"/>
      <c r="AB427" s="460"/>
      <c r="AC427" s="557"/>
      <c r="AD427" s="460"/>
      <c r="AE427" s="557"/>
      <c r="AF427" s="460"/>
      <c r="AG427" s="557"/>
      <c r="AH427" s="460"/>
    </row>
    <row r="428" spans="1:34">
      <c r="A428" s="14"/>
      <c r="B428" s="15"/>
      <c r="C428" s="16"/>
      <c r="D428" s="17"/>
      <c r="E428" s="12"/>
      <c r="F428" s="18"/>
      <c r="G428" s="19"/>
      <c r="H428" s="13"/>
      <c r="I428" s="19"/>
      <c r="J428" s="13"/>
      <c r="K428" s="19"/>
      <c r="L428" s="13"/>
      <c r="M428" s="19"/>
      <c r="N428" s="13"/>
      <c r="O428" s="19"/>
      <c r="P428" s="13"/>
      <c r="Q428" s="19"/>
      <c r="R428" s="13"/>
      <c r="S428" s="19"/>
      <c r="T428" s="13"/>
      <c r="U428" s="19"/>
      <c r="V428" s="13"/>
      <c r="W428" s="482"/>
      <c r="X428" s="460"/>
      <c r="Y428" s="557"/>
      <c r="Z428" s="460"/>
      <c r="AA428" s="557"/>
      <c r="AB428" s="460"/>
      <c r="AC428" s="557"/>
      <c r="AD428" s="460"/>
      <c r="AE428" s="557"/>
      <c r="AF428" s="460"/>
      <c r="AG428" s="557"/>
      <c r="AH428" s="460"/>
    </row>
    <row r="429" spans="1:34">
      <c r="A429" s="14"/>
      <c r="B429" s="15"/>
      <c r="C429" s="16"/>
      <c r="D429" s="17"/>
      <c r="E429" s="12"/>
      <c r="F429" s="18"/>
      <c r="G429" s="19"/>
      <c r="H429" s="13"/>
      <c r="I429" s="19"/>
      <c r="J429" s="13"/>
      <c r="K429" s="19"/>
      <c r="L429" s="13"/>
      <c r="M429" s="19"/>
      <c r="N429" s="13"/>
      <c r="O429" s="19"/>
      <c r="P429" s="13"/>
      <c r="Q429" s="19"/>
      <c r="R429" s="13"/>
      <c r="S429" s="19"/>
      <c r="T429" s="13"/>
      <c r="U429" s="19"/>
      <c r="V429" s="13"/>
      <c r="W429" s="482"/>
      <c r="X429" s="460"/>
      <c r="Y429" s="557"/>
      <c r="Z429" s="460"/>
      <c r="AA429" s="557"/>
      <c r="AB429" s="460"/>
      <c r="AC429" s="557"/>
      <c r="AD429" s="460"/>
      <c r="AE429" s="557"/>
      <c r="AF429" s="460"/>
      <c r="AG429" s="557"/>
      <c r="AH429" s="460"/>
    </row>
    <row r="430" spans="1:34">
      <c r="A430" s="14"/>
      <c r="B430" s="15"/>
      <c r="C430" s="16"/>
      <c r="D430" s="17"/>
      <c r="E430" s="12"/>
      <c r="F430" s="18"/>
      <c r="G430" s="19"/>
      <c r="H430" s="13"/>
      <c r="I430" s="19"/>
      <c r="J430" s="13"/>
      <c r="K430" s="19"/>
      <c r="L430" s="13"/>
      <c r="M430" s="19"/>
      <c r="N430" s="13"/>
      <c r="O430" s="19"/>
      <c r="P430" s="13"/>
      <c r="Q430" s="19"/>
      <c r="R430" s="13"/>
      <c r="S430" s="19"/>
      <c r="T430" s="13"/>
      <c r="U430" s="19"/>
      <c r="V430" s="13"/>
      <c r="W430" s="482"/>
      <c r="X430" s="460"/>
      <c r="Y430" s="557"/>
      <c r="Z430" s="460"/>
      <c r="AA430" s="557"/>
      <c r="AB430" s="460"/>
      <c r="AC430" s="557"/>
      <c r="AD430" s="460"/>
      <c r="AE430" s="557"/>
      <c r="AF430" s="460"/>
      <c r="AG430" s="557"/>
      <c r="AH430" s="460"/>
    </row>
    <row r="431" spans="1:34">
      <c r="A431" s="14"/>
      <c r="B431" s="15"/>
      <c r="C431" s="16"/>
      <c r="D431" s="17"/>
      <c r="E431" s="12"/>
      <c r="F431" s="18"/>
      <c r="G431" s="19"/>
      <c r="H431" s="13"/>
      <c r="I431" s="19"/>
      <c r="J431" s="13"/>
      <c r="K431" s="19"/>
      <c r="L431" s="13"/>
      <c r="M431" s="19"/>
      <c r="N431" s="13"/>
      <c r="O431" s="19"/>
      <c r="P431" s="13"/>
      <c r="Q431" s="19"/>
      <c r="R431" s="13"/>
      <c r="S431" s="19"/>
      <c r="T431" s="13"/>
      <c r="U431" s="19"/>
      <c r="V431" s="13"/>
      <c r="W431" s="482"/>
      <c r="X431" s="460"/>
      <c r="Y431" s="557"/>
      <c r="Z431" s="460"/>
      <c r="AA431" s="557"/>
      <c r="AB431" s="460"/>
      <c r="AC431" s="557"/>
      <c r="AD431" s="460"/>
      <c r="AE431" s="557"/>
      <c r="AF431" s="460"/>
      <c r="AG431" s="557"/>
      <c r="AH431" s="460"/>
    </row>
    <row r="432" spans="1:34">
      <c r="A432" s="14"/>
      <c r="B432" s="15"/>
      <c r="C432" s="16"/>
      <c r="D432" s="17"/>
      <c r="E432" s="12"/>
      <c r="F432" s="18"/>
      <c r="G432" s="19"/>
      <c r="H432" s="13"/>
      <c r="I432" s="19"/>
      <c r="J432" s="13"/>
      <c r="K432" s="19"/>
      <c r="L432" s="13"/>
      <c r="M432" s="19"/>
      <c r="N432" s="13"/>
      <c r="O432" s="19"/>
      <c r="P432" s="13"/>
      <c r="Q432" s="19"/>
      <c r="R432" s="13"/>
      <c r="S432" s="19"/>
      <c r="T432" s="13"/>
      <c r="U432" s="19"/>
      <c r="V432" s="13"/>
      <c r="W432" s="482"/>
      <c r="X432" s="460"/>
      <c r="Y432" s="557"/>
      <c r="Z432" s="460"/>
      <c r="AA432" s="557"/>
      <c r="AB432" s="460"/>
      <c r="AC432" s="557"/>
      <c r="AD432" s="460"/>
      <c r="AE432" s="557"/>
      <c r="AF432" s="460"/>
      <c r="AG432" s="557"/>
      <c r="AH432" s="460"/>
    </row>
    <row r="433" spans="1:34">
      <c r="A433" s="14"/>
      <c r="B433" s="15"/>
      <c r="C433" s="16"/>
      <c r="D433" s="17"/>
      <c r="E433" s="12"/>
      <c r="F433" s="18"/>
      <c r="G433" s="19"/>
      <c r="H433" s="13"/>
      <c r="I433" s="19"/>
      <c r="J433" s="13"/>
      <c r="K433" s="19"/>
      <c r="L433" s="13"/>
      <c r="M433" s="19"/>
      <c r="N433" s="13"/>
      <c r="O433" s="19"/>
      <c r="P433" s="13"/>
      <c r="Q433" s="19"/>
      <c r="R433" s="13"/>
      <c r="S433" s="19"/>
      <c r="T433" s="13"/>
      <c r="U433" s="19"/>
      <c r="V433" s="13"/>
      <c r="W433" s="482"/>
      <c r="X433" s="460"/>
      <c r="Y433" s="557"/>
      <c r="Z433" s="460"/>
      <c r="AA433" s="557"/>
      <c r="AB433" s="460"/>
      <c r="AC433" s="557"/>
      <c r="AD433" s="460"/>
      <c r="AE433" s="557"/>
      <c r="AF433" s="460"/>
      <c r="AG433" s="557"/>
      <c r="AH433" s="460"/>
    </row>
    <row r="434" spans="1:34">
      <c r="A434" s="14"/>
      <c r="B434" s="15"/>
      <c r="C434" s="16"/>
      <c r="D434" s="17"/>
      <c r="E434" s="12"/>
      <c r="F434" s="18"/>
      <c r="G434" s="19"/>
      <c r="H434" s="13"/>
      <c r="I434" s="19"/>
      <c r="J434" s="13"/>
      <c r="K434" s="19"/>
      <c r="L434" s="13"/>
      <c r="M434" s="19"/>
      <c r="N434" s="13"/>
      <c r="O434" s="19"/>
      <c r="P434" s="13"/>
      <c r="Q434" s="19"/>
      <c r="R434" s="13"/>
      <c r="S434" s="19"/>
      <c r="T434" s="13"/>
      <c r="U434" s="19"/>
      <c r="V434" s="13"/>
      <c r="W434" s="482"/>
      <c r="X434" s="460"/>
      <c r="Y434" s="557"/>
      <c r="Z434" s="460"/>
      <c r="AA434" s="557"/>
      <c r="AB434" s="460"/>
      <c r="AC434" s="557"/>
      <c r="AD434" s="460"/>
      <c r="AE434" s="557"/>
      <c r="AF434" s="460"/>
      <c r="AG434" s="557"/>
      <c r="AH434" s="460"/>
    </row>
    <row r="435" spans="1:34">
      <c r="A435" s="14"/>
      <c r="B435" s="15"/>
      <c r="C435" s="16"/>
      <c r="D435" s="17"/>
      <c r="E435" s="12"/>
      <c r="F435" s="18"/>
      <c r="G435" s="19"/>
      <c r="H435" s="13"/>
      <c r="I435" s="19"/>
      <c r="J435" s="13"/>
      <c r="K435" s="19"/>
      <c r="L435" s="13"/>
      <c r="M435" s="19"/>
      <c r="N435" s="13"/>
      <c r="O435" s="19"/>
      <c r="P435" s="13"/>
      <c r="Q435" s="19"/>
      <c r="R435" s="13"/>
      <c r="S435" s="19"/>
      <c r="T435" s="13"/>
      <c r="U435" s="19"/>
      <c r="V435" s="13"/>
      <c r="W435" s="482"/>
      <c r="X435" s="460"/>
      <c r="Y435" s="557"/>
      <c r="Z435" s="460"/>
      <c r="AA435" s="557"/>
      <c r="AB435" s="460"/>
      <c r="AC435" s="557"/>
      <c r="AD435" s="460"/>
      <c r="AE435" s="557"/>
      <c r="AF435" s="460"/>
      <c r="AG435" s="557"/>
      <c r="AH435" s="460"/>
    </row>
    <row r="436" spans="1:34">
      <c r="A436" s="14"/>
      <c r="B436" s="15"/>
      <c r="C436" s="16"/>
      <c r="D436" s="17"/>
      <c r="E436" s="12"/>
      <c r="F436" s="18"/>
      <c r="G436" s="19"/>
      <c r="H436" s="13"/>
      <c r="I436" s="19"/>
      <c r="J436" s="13"/>
      <c r="K436" s="19"/>
      <c r="L436" s="13"/>
      <c r="M436" s="19"/>
      <c r="N436" s="13"/>
      <c r="O436" s="19"/>
      <c r="P436" s="13"/>
      <c r="Q436" s="19"/>
      <c r="R436" s="13"/>
      <c r="S436" s="19"/>
      <c r="T436" s="13"/>
      <c r="U436" s="19"/>
      <c r="V436" s="13"/>
      <c r="W436" s="482"/>
      <c r="X436" s="460"/>
      <c r="Y436" s="557"/>
      <c r="Z436" s="460"/>
      <c r="AA436" s="557"/>
      <c r="AB436" s="460"/>
      <c r="AC436" s="557"/>
      <c r="AD436" s="460"/>
      <c r="AE436" s="557"/>
      <c r="AF436" s="460"/>
      <c r="AG436" s="557"/>
      <c r="AH436" s="460"/>
    </row>
    <row r="437" spans="1:34">
      <c r="A437" s="14"/>
      <c r="B437" s="15"/>
      <c r="C437" s="16"/>
      <c r="D437" s="17"/>
      <c r="E437" s="12"/>
      <c r="F437" s="18"/>
      <c r="G437" s="19"/>
      <c r="H437" s="13"/>
      <c r="I437" s="19"/>
      <c r="J437" s="13"/>
      <c r="K437" s="19"/>
      <c r="L437" s="13"/>
      <c r="M437" s="19"/>
      <c r="N437" s="13"/>
      <c r="O437" s="19"/>
      <c r="P437" s="13"/>
      <c r="Q437" s="19"/>
      <c r="R437" s="13"/>
      <c r="S437" s="19"/>
      <c r="T437" s="13"/>
      <c r="U437" s="19"/>
      <c r="V437" s="13"/>
      <c r="W437" s="482"/>
      <c r="X437" s="460"/>
      <c r="Y437" s="557"/>
      <c r="Z437" s="460"/>
      <c r="AA437" s="557"/>
      <c r="AB437" s="460"/>
      <c r="AC437" s="557"/>
      <c r="AD437" s="460"/>
      <c r="AE437" s="557"/>
      <c r="AF437" s="460"/>
      <c r="AG437" s="557"/>
      <c r="AH437" s="460"/>
    </row>
    <row r="438" spans="1:34">
      <c r="A438" s="14"/>
      <c r="B438" s="15"/>
      <c r="C438" s="16"/>
      <c r="D438" s="17"/>
      <c r="E438" s="12"/>
      <c r="F438" s="18"/>
      <c r="G438" s="19"/>
      <c r="H438" s="13"/>
      <c r="I438" s="19"/>
      <c r="J438" s="13"/>
      <c r="K438" s="19"/>
      <c r="L438" s="13"/>
      <c r="M438" s="19"/>
      <c r="N438" s="13"/>
      <c r="O438" s="19"/>
      <c r="P438" s="13"/>
      <c r="Q438" s="19"/>
      <c r="R438" s="13"/>
      <c r="S438" s="19"/>
      <c r="T438" s="13"/>
      <c r="U438" s="19"/>
      <c r="V438" s="13"/>
      <c r="W438" s="482"/>
      <c r="X438" s="460"/>
      <c r="Y438" s="557"/>
      <c r="Z438" s="460"/>
      <c r="AA438" s="557"/>
      <c r="AB438" s="460"/>
      <c r="AC438" s="557"/>
      <c r="AD438" s="460"/>
      <c r="AE438" s="557"/>
      <c r="AF438" s="460"/>
      <c r="AG438" s="557"/>
      <c r="AH438" s="460"/>
    </row>
    <row r="439" spans="1:34">
      <c r="A439" s="14"/>
      <c r="B439" s="15"/>
      <c r="C439" s="16"/>
      <c r="D439" s="17"/>
      <c r="E439" s="12"/>
      <c r="F439" s="18"/>
      <c r="G439" s="19"/>
      <c r="H439" s="13"/>
      <c r="I439" s="19"/>
      <c r="J439" s="13"/>
      <c r="K439" s="19"/>
      <c r="L439" s="13"/>
      <c r="M439" s="19"/>
      <c r="N439" s="13"/>
      <c r="O439" s="19"/>
      <c r="P439" s="13"/>
      <c r="Q439" s="19"/>
      <c r="R439" s="13"/>
      <c r="S439" s="19"/>
      <c r="T439" s="13"/>
      <c r="U439" s="19"/>
      <c r="V439" s="13"/>
      <c r="W439" s="482"/>
      <c r="X439" s="460"/>
      <c r="Y439" s="557"/>
      <c r="Z439" s="460"/>
      <c r="AA439" s="557"/>
      <c r="AB439" s="460"/>
      <c r="AC439" s="557"/>
      <c r="AD439" s="460"/>
      <c r="AE439" s="557"/>
      <c r="AF439" s="460"/>
      <c r="AG439" s="557"/>
      <c r="AH439" s="460"/>
    </row>
    <row r="440" spans="1:34">
      <c r="A440" s="14"/>
      <c r="B440" s="15"/>
      <c r="C440" s="16"/>
      <c r="D440" s="17"/>
      <c r="E440" s="12"/>
      <c r="F440" s="18"/>
      <c r="G440" s="19"/>
      <c r="H440" s="13"/>
      <c r="I440" s="19"/>
      <c r="J440" s="13"/>
      <c r="K440" s="19"/>
      <c r="L440" s="13"/>
      <c r="M440" s="19"/>
      <c r="N440" s="13"/>
      <c r="O440" s="19"/>
      <c r="P440" s="13"/>
      <c r="Q440" s="19"/>
      <c r="R440" s="13"/>
      <c r="S440" s="19"/>
      <c r="T440" s="13"/>
      <c r="U440" s="19"/>
      <c r="V440" s="13"/>
      <c r="W440" s="482"/>
      <c r="X440" s="460"/>
      <c r="Y440" s="557"/>
      <c r="Z440" s="460"/>
      <c r="AA440" s="557"/>
      <c r="AB440" s="460"/>
      <c r="AC440" s="557"/>
      <c r="AD440" s="460"/>
      <c r="AE440" s="557"/>
      <c r="AF440" s="460"/>
      <c r="AG440" s="557"/>
      <c r="AH440" s="460"/>
    </row>
    <row r="441" spans="1:34">
      <c r="A441" s="14"/>
      <c r="B441" s="15"/>
      <c r="C441" s="16"/>
      <c r="D441" s="17"/>
      <c r="E441" s="12"/>
      <c r="F441" s="18"/>
      <c r="G441" s="19"/>
      <c r="H441" s="13"/>
      <c r="I441" s="19"/>
      <c r="J441" s="13"/>
      <c r="K441" s="19"/>
      <c r="L441" s="13"/>
      <c r="M441" s="19"/>
      <c r="N441" s="13"/>
      <c r="O441" s="19"/>
      <c r="P441" s="13"/>
      <c r="Q441" s="19"/>
      <c r="R441" s="13"/>
      <c r="S441" s="19"/>
      <c r="T441" s="13"/>
      <c r="U441" s="19"/>
      <c r="V441" s="13"/>
      <c r="W441" s="482"/>
      <c r="X441" s="460"/>
      <c r="Y441" s="557"/>
      <c r="Z441" s="460"/>
      <c r="AA441" s="557"/>
      <c r="AB441" s="460"/>
      <c r="AC441" s="557"/>
      <c r="AD441" s="460"/>
      <c r="AE441" s="557"/>
      <c r="AF441" s="460"/>
      <c r="AG441" s="557"/>
      <c r="AH441" s="460"/>
    </row>
    <row r="442" spans="1:34">
      <c r="A442" s="14"/>
      <c r="B442" s="15"/>
      <c r="C442" s="16"/>
      <c r="D442" s="17"/>
      <c r="E442" s="12"/>
      <c r="F442" s="18"/>
      <c r="G442" s="19"/>
      <c r="H442" s="13"/>
      <c r="I442" s="19"/>
      <c r="J442" s="13"/>
      <c r="K442" s="19"/>
      <c r="L442" s="13"/>
      <c r="M442" s="19"/>
      <c r="N442" s="13"/>
      <c r="O442" s="19"/>
      <c r="P442" s="13"/>
      <c r="Q442" s="19"/>
      <c r="R442" s="13"/>
      <c r="S442" s="19"/>
      <c r="T442" s="13"/>
      <c r="U442" s="19"/>
      <c r="V442" s="13"/>
      <c r="W442" s="482"/>
      <c r="X442" s="460"/>
      <c r="Y442" s="557"/>
      <c r="Z442" s="460"/>
      <c r="AA442" s="557"/>
      <c r="AB442" s="460"/>
      <c r="AC442" s="557"/>
      <c r="AD442" s="460"/>
      <c r="AE442" s="557"/>
      <c r="AF442" s="460"/>
      <c r="AG442" s="557"/>
      <c r="AH442" s="460"/>
    </row>
    <row r="443" spans="1:34">
      <c r="A443" s="14"/>
      <c r="B443" s="15"/>
      <c r="C443" s="16"/>
      <c r="D443" s="17"/>
      <c r="E443" s="12"/>
      <c r="F443" s="18"/>
      <c r="G443" s="19"/>
      <c r="H443" s="13"/>
      <c r="I443" s="19"/>
      <c r="J443" s="13"/>
      <c r="K443" s="19"/>
      <c r="L443" s="13"/>
      <c r="M443" s="19"/>
      <c r="N443" s="13"/>
      <c r="O443" s="19"/>
      <c r="P443" s="13"/>
      <c r="Q443" s="19"/>
      <c r="R443" s="13"/>
      <c r="S443" s="19"/>
      <c r="T443" s="13"/>
      <c r="U443" s="19"/>
      <c r="V443" s="13"/>
      <c r="W443" s="482"/>
      <c r="X443" s="460"/>
      <c r="Y443" s="557"/>
      <c r="Z443" s="460"/>
      <c r="AA443" s="557"/>
      <c r="AB443" s="460"/>
      <c r="AC443" s="557"/>
      <c r="AD443" s="460"/>
      <c r="AE443" s="557"/>
      <c r="AF443" s="460"/>
      <c r="AG443" s="557"/>
      <c r="AH443" s="460"/>
    </row>
    <row r="444" spans="1:34">
      <c r="A444" s="14"/>
      <c r="B444" s="15"/>
      <c r="C444" s="16"/>
      <c r="D444" s="20"/>
      <c r="E444" s="12"/>
      <c r="F444" s="18"/>
      <c r="G444" s="19"/>
      <c r="H444" s="13"/>
      <c r="I444" s="19"/>
      <c r="J444" s="13"/>
      <c r="K444" s="19"/>
      <c r="L444" s="13"/>
      <c r="M444" s="19"/>
      <c r="N444" s="13"/>
      <c r="O444" s="19"/>
      <c r="P444" s="13"/>
      <c r="Q444" s="19"/>
      <c r="R444" s="13"/>
      <c r="S444" s="19"/>
      <c r="T444" s="13"/>
      <c r="U444" s="19"/>
      <c r="V444" s="13"/>
      <c r="W444" s="482"/>
      <c r="X444" s="460"/>
      <c r="Y444" s="557"/>
      <c r="Z444" s="460"/>
      <c r="AA444" s="557"/>
      <c r="AB444" s="460"/>
      <c r="AC444" s="557"/>
      <c r="AD444" s="460"/>
      <c r="AE444" s="557"/>
      <c r="AF444" s="460"/>
      <c r="AG444" s="557"/>
      <c r="AH444" s="460"/>
    </row>
    <row r="445" spans="1:34">
      <c r="A445" s="14"/>
      <c r="B445" s="15"/>
      <c r="C445" s="16"/>
      <c r="D445" s="20"/>
      <c r="E445" s="12"/>
      <c r="F445" s="18"/>
      <c r="G445" s="19"/>
      <c r="H445" s="13"/>
      <c r="I445" s="19"/>
      <c r="J445" s="13"/>
      <c r="K445" s="19"/>
      <c r="L445" s="13"/>
      <c r="M445" s="19"/>
      <c r="N445" s="13"/>
      <c r="O445" s="19"/>
      <c r="P445" s="13"/>
      <c r="Q445" s="19"/>
      <c r="R445" s="13"/>
      <c r="S445" s="19"/>
      <c r="T445" s="13"/>
      <c r="U445" s="19"/>
      <c r="V445" s="13"/>
      <c r="W445" s="482"/>
      <c r="X445" s="460"/>
      <c r="Y445" s="557"/>
      <c r="Z445" s="460"/>
      <c r="AA445" s="557"/>
      <c r="AB445" s="460"/>
      <c r="AC445" s="557"/>
      <c r="AD445" s="460"/>
      <c r="AE445" s="557"/>
      <c r="AF445" s="460"/>
      <c r="AG445" s="557"/>
      <c r="AH445" s="460"/>
    </row>
    <row r="446" spans="1:34" ht="13.5" thickBot="1">
      <c r="A446" s="21"/>
      <c r="B446" s="22"/>
      <c r="C446" s="23"/>
      <c r="D446" s="24"/>
      <c r="E446" s="37"/>
      <c r="F446" s="25"/>
      <c r="G446" s="26"/>
      <c r="H446" s="27"/>
      <c r="I446" s="26"/>
      <c r="J446" s="27"/>
      <c r="K446" s="26"/>
      <c r="L446" s="27"/>
      <c r="M446" s="26"/>
      <c r="N446" s="27"/>
      <c r="O446" s="26"/>
      <c r="P446" s="27"/>
      <c r="Q446" s="26"/>
      <c r="R446" s="27"/>
      <c r="S446" s="26"/>
      <c r="T446" s="27"/>
      <c r="U446" s="26"/>
      <c r="V446" s="27"/>
      <c r="W446" s="482"/>
      <c r="X446" s="460"/>
      <c r="Y446" s="557"/>
      <c r="Z446" s="460"/>
      <c r="AA446" s="557"/>
      <c r="AB446" s="460"/>
      <c r="AC446" s="557"/>
      <c r="AD446" s="460"/>
      <c r="AE446" s="557"/>
      <c r="AF446" s="460"/>
      <c r="AG446" s="557"/>
      <c r="AH446" s="460"/>
    </row>
    <row r="447" spans="1:34">
      <c r="W447" s="482"/>
      <c r="X447" s="460"/>
      <c r="Y447" s="557"/>
      <c r="Z447" s="460"/>
      <c r="AA447" s="557"/>
      <c r="AB447" s="460"/>
      <c r="AC447" s="557"/>
      <c r="AD447" s="460"/>
      <c r="AE447" s="557"/>
      <c r="AF447" s="460"/>
      <c r="AG447" s="557"/>
      <c r="AH447" s="460"/>
    </row>
    <row r="448" spans="1:34">
      <c r="W448" s="482"/>
      <c r="X448" s="460"/>
      <c r="Y448" s="557"/>
      <c r="Z448" s="460"/>
      <c r="AA448" s="557"/>
      <c r="AB448" s="460"/>
      <c r="AC448" s="557"/>
      <c r="AD448" s="460"/>
      <c r="AE448" s="557"/>
      <c r="AF448" s="460"/>
      <c r="AG448" s="557"/>
      <c r="AH448" s="460"/>
    </row>
    <row r="449" spans="23:34" s="6" customFormat="1">
      <c r="W449" s="482"/>
      <c r="X449" s="460"/>
      <c r="Y449" s="557"/>
      <c r="Z449" s="460"/>
      <c r="AA449" s="557"/>
      <c r="AB449" s="460"/>
      <c r="AC449" s="557"/>
      <c r="AD449" s="460"/>
      <c r="AE449" s="557"/>
      <c r="AF449" s="460"/>
      <c r="AG449" s="557"/>
      <c r="AH449" s="460"/>
    </row>
    <row r="450" spans="23:34" s="6" customFormat="1">
      <c r="W450" s="482"/>
      <c r="X450" s="460"/>
      <c r="Y450" s="557"/>
      <c r="Z450" s="460"/>
      <c r="AA450" s="557"/>
      <c r="AB450" s="460"/>
      <c r="AC450" s="557"/>
      <c r="AD450" s="460"/>
      <c r="AE450" s="557"/>
      <c r="AF450" s="460"/>
      <c r="AG450" s="557"/>
      <c r="AH450" s="460"/>
    </row>
    <row r="451" spans="23:34" s="6" customFormat="1">
      <c r="W451" s="482"/>
      <c r="X451" s="460"/>
      <c r="Y451" s="557"/>
      <c r="Z451" s="460"/>
      <c r="AA451" s="557"/>
      <c r="AB451" s="460"/>
      <c r="AC451" s="557"/>
      <c r="AD451" s="460"/>
      <c r="AE451" s="557"/>
      <c r="AF451" s="460"/>
      <c r="AG451" s="557"/>
      <c r="AH451" s="460"/>
    </row>
    <row r="452" spans="23:34" s="6" customFormat="1">
      <c r="W452" s="482"/>
      <c r="X452" s="460"/>
      <c r="Y452" s="557"/>
      <c r="Z452" s="460"/>
      <c r="AA452" s="557"/>
      <c r="AB452" s="460"/>
      <c r="AC452" s="557"/>
      <c r="AD452" s="460"/>
      <c r="AE452" s="557"/>
      <c r="AF452" s="460"/>
      <c r="AG452" s="557"/>
      <c r="AH452" s="460"/>
    </row>
    <row r="453" spans="23:34" s="6" customFormat="1">
      <c r="W453" s="482"/>
      <c r="X453" s="460"/>
      <c r="Y453" s="557"/>
      <c r="Z453" s="460"/>
      <c r="AA453" s="557"/>
      <c r="AB453" s="460"/>
      <c r="AC453" s="557"/>
      <c r="AD453" s="460"/>
      <c r="AE453" s="557"/>
      <c r="AF453" s="460"/>
      <c r="AG453" s="557"/>
      <c r="AH453" s="460"/>
    </row>
    <row r="454" spans="23:34" s="6" customFormat="1">
      <c r="W454" s="482"/>
      <c r="X454" s="460"/>
      <c r="Y454" s="557"/>
      <c r="Z454" s="460"/>
      <c r="AA454" s="557"/>
      <c r="AB454" s="460"/>
      <c r="AC454" s="557"/>
      <c r="AD454" s="460"/>
      <c r="AE454" s="557"/>
      <c r="AF454" s="460"/>
      <c r="AG454" s="557"/>
      <c r="AH454" s="460"/>
    </row>
    <row r="455" spans="23:34" s="6" customFormat="1">
      <c r="W455" s="482"/>
      <c r="X455" s="460"/>
      <c r="Y455" s="557"/>
      <c r="Z455" s="460"/>
      <c r="AA455" s="557"/>
      <c r="AB455" s="460"/>
      <c r="AC455" s="557"/>
      <c r="AD455" s="460"/>
      <c r="AE455" s="557"/>
      <c r="AF455" s="460"/>
      <c r="AG455" s="557"/>
      <c r="AH455" s="460"/>
    </row>
    <row r="456" spans="23:34" s="6" customFormat="1">
      <c r="W456" s="482"/>
      <c r="X456" s="460"/>
      <c r="Y456" s="557"/>
      <c r="Z456" s="460"/>
      <c r="AA456" s="557"/>
      <c r="AB456" s="460"/>
      <c r="AC456" s="557"/>
      <c r="AD456" s="460"/>
      <c r="AE456" s="557"/>
      <c r="AF456" s="460"/>
      <c r="AG456" s="557"/>
      <c r="AH456" s="460"/>
    </row>
    <row r="457" spans="23:34" s="6" customFormat="1">
      <c r="W457" s="482"/>
      <c r="X457" s="460"/>
      <c r="Y457" s="557"/>
      <c r="Z457" s="460"/>
      <c r="AA457" s="557"/>
      <c r="AB457" s="460"/>
      <c r="AC457" s="557"/>
      <c r="AD457" s="460"/>
      <c r="AE457" s="557"/>
      <c r="AF457" s="460"/>
      <c r="AG457" s="557"/>
      <c r="AH457" s="460"/>
    </row>
    <row r="458" spans="23:34" s="6" customFormat="1">
      <c r="W458" s="482"/>
      <c r="X458" s="460"/>
      <c r="Y458" s="557"/>
      <c r="Z458" s="460"/>
      <c r="AA458" s="557"/>
      <c r="AB458" s="460"/>
      <c r="AC458" s="557"/>
      <c r="AD458" s="460"/>
      <c r="AE458" s="557"/>
      <c r="AF458" s="460"/>
      <c r="AG458" s="557"/>
      <c r="AH458" s="460"/>
    </row>
    <row r="459" spans="23:34" s="6" customFormat="1">
      <c r="W459" s="482"/>
      <c r="X459" s="460"/>
      <c r="Y459" s="557"/>
      <c r="Z459" s="460"/>
      <c r="AA459" s="557"/>
      <c r="AB459" s="460"/>
      <c r="AC459" s="557"/>
      <c r="AD459" s="460"/>
      <c r="AE459" s="557"/>
      <c r="AF459" s="460"/>
      <c r="AG459" s="557"/>
      <c r="AH459" s="460"/>
    </row>
    <row r="460" spans="23:34" s="6" customFormat="1">
      <c r="W460" s="482"/>
      <c r="X460" s="460"/>
      <c r="Y460" s="557"/>
      <c r="Z460" s="460"/>
      <c r="AA460" s="557"/>
      <c r="AB460" s="460"/>
      <c r="AC460" s="557"/>
      <c r="AD460" s="460"/>
      <c r="AE460" s="557"/>
      <c r="AF460" s="460"/>
      <c r="AG460" s="557"/>
      <c r="AH460" s="460"/>
    </row>
    <row r="461" spans="23:34" s="6" customFormat="1">
      <c r="W461" s="482"/>
      <c r="X461" s="460"/>
      <c r="Y461" s="557"/>
      <c r="Z461" s="460"/>
      <c r="AA461" s="557"/>
      <c r="AB461" s="460"/>
      <c r="AC461" s="557"/>
      <c r="AD461" s="460"/>
      <c r="AE461" s="557"/>
      <c r="AF461" s="460"/>
      <c r="AG461" s="557"/>
      <c r="AH461" s="460"/>
    </row>
    <row r="462" spans="23:34" s="6" customFormat="1">
      <c r="W462" s="482"/>
      <c r="X462" s="460"/>
      <c r="Y462" s="557"/>
      <c r="Z462" s="460"/>
      <c r="AA462" s="557"/>
      <c r="AB462" s="460"/>
      <c r="AC462" s="557"/>
      <c r="AD462" s="460"/>
      <c r="AE462" s="557"/>
      <c r="AF462" s="460"/>
      <c r="AG462" s="557"/>
      <c r="AH462" s="460"/>
    </row>
    <row r="463" spans="23:34" s="6" customFormat="1">
      <c r="W463" s="482"/>
      <c r="X463" s="460"/>
      <c r="Y463" s="557"/>
      <c r="Z463" s="460"/>
      <c r="AA463" s="557"/>
      <c r="AB463" s="460"/>
      <c r="AC463" s="557"/>
      <c r="AD463" s="460"/>
      <c r="AE463" s="557"/>
      <c r="AF463" s="460"/>
      <c r="AG463" s="557"/>
      <c r="AH463" s="460"/>
    </row>
    <row r="464" spans="23:34" s="6" customFormat="1">
      <c r="W464" s="482"/>
      <c r="X464" s="460"/>
      <c r="Y464" s="557"/>
      <c r="Z464" s="460"/>
      <c r="AA464" s="557"/>
      <c r="AB464" s="460"/>
      <c r="AC464" s="557"/>
      <c r="AD464" s="460"/>
      <c r="AE464" s="557"/>
      <c r="AF464" s="460"/>
      <c r="AG464" s="557"/>
      <c r="AH464" s="460"/>
    </row>
    <row r="465" spans="23:34" s="6" customFormat="1">
      <c r="W465" s="482"/>
      <c r="X465" s="460"/>
      <c r="Y465" s="557"/>
      <c r="Z465" s="460"/>
      <c r="AA465" s="557"/>
      <c r="AB465" s="460"/>
      <c r="AC465" s="557"/>
      <c r="AD465" s="460"/>
      <c r="AE465" s="557"/>
      <c r="AF465" s="460"/>
      <c r="AG465" s="557"/>
      <c r="AH465" s="460"/>
    </row>
    <row r="466" spans="23:34" s="6" customFormat="1">
      <c r="W466" s="482"/>
      <c r="X466" s="460"/>
      <c r="Y466" s="557"/>
      <c r="Z466" s="460"/>
      <c r="AA466" s="557"/>
      <c r="AB466" s="460"/>
      <c r="AC466" s="557"/>
      <c r="AD466" s="460"/>
      <c r="AE466" s="557"/>
      <c r="AF466" s="460"/>
      <c r="AG466" s="557"/>
      <c r="AH466" s="460"/>
    </row>
    <row r="467" spans="23:34" s="6" customFormat="1">
      <c r="W467" s="482"/>
      <c r="X467" s="460"/>
      <c r="Y467" s="557"/>
      <c r="Z467" s="460"/>
      <c r="AA467" s="557"/>
      <c r="AB467" s="460"/>
      <c r="AC467" s="557"/>
      <c r="AD467" s="460"/>
      <c r="AE467" s="557"/>
      <c r="AF467" s="460"/>
      <c r="AG467" s="557"/>
      <c r="AH467" s="460"/>
    </row>
    <row r="468" spans="23:34" s="6" customFormat="1">
      <c r="W468" s="482"/>
      <c r="X468" s="460"/>
      <c r="Y468" s="557"/>
      <c r="Z468" s="460"/>
      <c r="AA468" s="557"/>
      <c r="AB468" s="460"/>
      <c r="AC468" s="557"/>
      <c r="AD468" s="460"/>
      <c r="AE468" s="557"/>
      <c r="AF468" s="460"/>
      <c r="AG468" s="557"/>
      <c r="AH468" s="460"/>
    </row>
    <row r="469" spans="23:34" s="6" customFormat="1">
      <c r="W469" s="482"/>
      <c r="X469" s="460"/>
      <c r="Y469" s="557"/>
      <c r="Z469" s="460"/>
      <c r="AA469" s="557"/>
      <c r="AB469" s="460"/>
      <c r="AC469" s="557"/>
      <c r="AD469" s="460"/>
      <c r="AE469" s="557"/>
      <c r="AF469" s="460"/>
      <c r="AG469" s="557"/>
      <c r="AH469" s="460"/>
    </row>
    <row r="470" spans="23:34" s="6" customFormat="1">
      <c r="W470" s="482"/>
      <c r="X470" s="460"/>
      <c r="Y470" s="557"/>
      <c r="Z470" s="460"/>
      <c r="AA470" s="557"/>
      <c r="AB470" s="460"/>
      <c r="AC470" s="557"/>
      <c r="AD470" s="460"/>
      <c r="AE470" s="557"/>
      <c r="AF470" s="460"/>
      <c r="AG470" s="557"/>
      <c r="AH470" s="460"/>
    </row>
    <row r="471" spans="23:34" s="6" customFormat="1">
      <c r="W471" s="482"/>
      <c r="X471" s="460"/>
      <c r="Y471" s="557"/>
      <c r="Z471" s="460"/>
      <c r="AA471" s="557"/>
      <c r="AB471" s="460"/>
      <c r="AC471" s="557"/>
      <c r="AD471" s="460"/>
      <c r="AE471" s="557"/>
      <c r="AF471" s="460"/>
      <c r="AG471" s="557"/>
      <c r="AH471" s="460"/>
    </row>
    <row r="472" spans="23:34" s="6" customFormat="1">
      <c r="W472" s="482"/>
      <c r="X472" s="460"/>
      <c r="Y472" s="557"/>
      <c r="Z472" s="460"/>
      <c r="AA472" s="557"/>
      <c r="AB472" s="460"/>
      <c r="AC472" s="557"/>
      <c r="AD472" s="460"/>
      <c r="AE472" s="557"/>
      <c r="AF472" s="460"/>
      <c r="AG472" s="557"/>
      <c r="AH472" s="460"/>
    </row>
    <row r="473" spans="23:34" s="6" customFormat="1">
      <c r="W473" s="482"/>
      <c r="X473" s="460"/>
      <c r="Y473" s="557"/>
      <c r="Z473" s="460"/>
      <c r="AA473" s="557"/>
      <c r="AB473" s="460"/>
      <c r="AC473" s="557"/>
      <c r="AD473" s="460"/>
      <c r="AE473" s="557"/>
      <c r="AF473" s="460"/>
      <c r="AG473" s="557"/>
      <c r="AH473" s="460"/>
    </row>
    <row r="474" spans="23:34" s="6" customFormat="1" ht="13.5" thickBot="1">
      <c r="W474" s="483"/>
      <c r="X474" s="484"/>
      <c r="Y474" s="558"/>
      <c r="Z474" s="559"/>
      <c r="AA474" s="558"/>
      <c r="AB474" s="559"/>
      <c r="AC474" s="558"/>
      <c r="AD474" s="559"/>
      <c r="AE474" s="558"/>
      <c r="AF474" s="559"/>
      <c r="AG474" s="558"/>
      <c r="AH474" s="559"/>
    </row>
  </sheetData>
  <sheetProtection sheet="1" objects="1" scenarios="1" formatCells="0" formatColumns="0" formatRows="0" insertColumns="0" insertRows="0" insertHyperlinks="0" deleteColumns="0" deleteRows="0" sort="0" autoFilter="0" pivotTables="0"/>
  <dataConsolidate/>
  <mergeCells count="15">
    <mergeCell ref="W1:X1"/>
    <mergeCell ref="Q1:R1"/>
    <mergeCell ref="S1:T1"/>
    <mergeCell ref="U1:V1"/>
    <mergeCell ref="G1:H1"/>
    <mergeCell ref="E3:F3"/>
    <mergeCell ref="I1:J1"/>
    <mergeCell ref="K1:L1"/>
    <mergeCell ref="M1:N1"/>
    <mergeCell ref="O1:P1"/>
    <mergeCell ref="Y1:Z1"/>
    <mergeCell ref="AA1:AB1"/>
    <mergeCell ref="AC1:AD1"/>
    <mergeCell ref="AE1:AF1"/>
    <mergeCell ref="AG1:AH1"/>
  </mergeCells>
  <phoneticPr fontId="14" type="noConversion"/>
  <conditionalFormatting sqref="A1">
    <cfRule type="cellIs" dxfId="10343" priority="32" stopIfTrue="1" operator="equal">
      <formula>"NOK"</formula>
    </cfRule>
  </conditionalFormatting>
  <conditionalFormatting sqref="U5:U446 G5:G446 I5:I446 M5:M446 O5:O446 Q5:Q446 S5:S446 K5:K446 W5:W474 Y5:Y474 AA5:AA474 AC5:AC474 AE5:AE474 AG5:AG474">
    <cfRule type="cellIs" dxfId="10342" priority="31" stopIfTrue="1" operator="notEqual">
      <formula>H5</formula>
    </cfRule>
  </conditionalFormatting>
  <conditionalFormatting sqref="G19:G24">
    <cfRule type="cellIs" dxfId="10341" priority="23" stopIfTrue="1" operator="notEqual">
      <formula>H19</formula>
    </cfRule>
  </conditionalFormatting>
  <conditionalFormatting sqref="I19:I24">
    <cfRule type="cellIs" dxfId="10340" priority="22" stopIfTrue="1" operator="notEqual">
      <formula>J19</formula>
    </cfRule>
  </conditionalFormatting>
  <conditionalFormatting sqref="M19:M24">
    <cfRule type="cellIs" dxfId="10339" priority="20" stopIfTrue="1" operator="notEqual">
      <formula>N19</formula>
    </cfRule>
  </conditionalFormatting>
  <conditionalFormatting sqref="O19:O24">
    <cfRule type="cellIs" dxfId="10338" priority="19" stopIfTrue="1" operator="notEqual">
      <formula>P19</formula>
    </cfRule>
  </conditionalFormatting>
  <conditionalFormatting sqref="Q19:Q24">
    <cfRule type="cellIs" dxfId="10337" priority="18" stopIfTrue="1" operator="notEqual">
      <formula>R19</formula>
    </cfRule>
  </conditionalFormatting>
  <conditionalFormatting sqref="S19:S24">
    <cfRule type="cellIs" dxfId="10336" priority="17" stopIfTrue="1" operator="notEqual">
      <formula>T19</formula>
    </cfRule>
  </conditionalFormatting>
  <conditionalFormatting sqref="U19:U24">
    <cfRule type="cellIs" dxfId="10335" priority="16" stopIfTrue="1" operator="notEqual">
      <formula>V19</formula>
    </cfRule>
  </conditionalFormatting>
  <conditionalFormatting sqref="G19:G24">
    <cfRule type="cellIs" dxfId="10334" priority="15" stopIfTrue="1" operator="notEqual">
      <formula>H19</formula>
    </cfRule>
  </conditionalFormatting>
  <conditionalFormatting sqref="I19:I24">
    <cfRule type="cellIs" dxfId="10333" priority="14" stopIfTrue="1" operator="notEqual">
      <formula>J19</formula>
    </cfRule>
  </conditionalFormatting>
  <conditionalFormatting sqref="M19:M24">
    <cfRule type="cellIs" dxfId="10332" priority="12" stopIfTrue="1" operator="notEqual">
      <formula>N19</formula>
    </cfRule>
  </conditionalFormatting>
  <conditionalFormatting sqref="O19:O24">
    <cfRule type="cellIs" dxfId="10331" priority="11" stopIfTrue="1" operator="notEqual">
      <formula>P19</formula>
    </cfRule>
  </conditionalFormatting>
  <conditionalFormatting sqref="Q19:Q24">
    <cfRule type="cellIs" dxfId="10330" priority="10" stopIfTrue="1" operator="notEqual">
      <formula>R19</formula>
    </cfRule>
  </conditionalFormatting>
  <conditionalFormatting sqref="S19:S24">
    <cfRule type="cellIs" dxfId="10329" priority="9" stopIfTrue="1" operator="notEqual">
      <formula>T19</formula>
    </cfRule>
  </conditionalFormatting>
  <conditionalFormatting sqref="U19:U24">
    <cfRule type="cellIs" dxfId="10328" priority="8" stopIfTrue="1" operator="notEqual">
      <formula>V19</formula>
    </cfRule>
  </conditionalFormatting>
  <dataValidations count="1">
    <dataValidation type="list" allowBlank="1" showInputMessage="1" showErrorMessage="1" sqref="W1 Y1 AA1 AC1 AE1 AG1">
      <formula1>HeatExchVariablesList</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sheetPr codeName="Sheet66">
    <tabColor rgb="FF92D050"/>
  </sheetPr>
  <dimension ref="A1:Z498"/>
  <sheetViews>
    <sheetView showGridLines="0" zoomScale="85" zoomScaleNormal="85" workbookViewId="0">
      <pane xSplit="6" ySplit="4" topLeftCell="Q5" activePane="bottomRight" state="frozenSplit"/>
      <selection activeCell="I6" sqref="I6"/>
      <selection pane="topRight" activeCell="I6" sqref="I6"/>
      <selection pane="bottomLeft" activeCell="I6" sqref="I6"/>
      <selection pane="bottomRight" activeCell="F1" sqref="F1"/>
    </sheetView>
  </sheetViews>
  <sheetFormatPr defaultRowHeight="12.75"/>
  <cols>
    <col min="1" max="1" width="40.625" style="28" customWidth="1"/>
    <col min="2" max="2" width="7.125" style="28" customWidth="1"/>
    <col min="3" max="3" width="8.875" style="29"/>
    <col min="4" max="4" width="9.75" style="28" customWidth="1"/>
    <col min="5" max="5" width="16.625" style="28" customWidth="1"/>
    <col min="6" max="6" width="16.625" style="30" customWidth="1"/>
    <col min="7" max="7" width="10.625" style="31" customWidth="1"/>
    <col min="8" max="8" width="10.625" style="32" customWidth="1"/>
    <col min="9" max="9" width="10.625" style="31" customWidth="1"/>
    <col min="10" max="10" width="10.625" style="32" customWidth="1"/>
    <col min="11" max="11" width="10.625" style="31" customWidth="1"/>
    <col min="12" max="12" width="10.625" style="32" customWidth="1"/>
    <col min="13" max="13" width="10.625" style="31" customWidth="1"/>
    <col min="14" max="14" width="10.625" style="32" customWidth="1"/>
    <col min="15" max="15" width="10.625" style="31" customWidth="1"/>
    <col min="16" max="16" width="10.625" style="32" customWidth="1"/>
    <col min="17" max="17" width="10.625" style="31" customWidth="1"/>
    <col min="18" max="18" width="10.625" style="32" customWidth="1"/>
    <col min="19" max="19" width="9.75" style="560" customWidth="1"/>
    <col min="20" max="20" width="9.75" style="561" customWidth="1"/>
    <col min="21" max="21" width="9.75" style="560" customWidth="1"/>
    <col min="22" max="22" width="9.75" style="561" customWidth="1"/>
    <col min="23" max="23" width="13.25" style="560" customWidth="1"/>
    <col min="24" max="24" width="9.75" style="561" customWidth="1"/>
    <col min="25" max="25" width="1.25" style="6" customWidth="1"/>
    <col min="26" max="26" width="21.375" style="6" customWidth="1"/>
    <col min="27" max="272" width="8.875" style="6"/>
    <col min="273" max="273" width="12" style="6" customWidth="1"/>
    <col min="274" max="274" width="7.125" style="6" customWidth="1"/>
    <col min="275" max="275" width="8.875" style="6"/>
    <col min="276" max="276" width="16" style="6" customWidth="1"/>
    <col min="277" max="277" width="13.75" style="6" customWidth="1"/>
    <col min="278" max="279" width="9.75" style="6" customWidth="1"/>
    <col min="280" max="528" width="8.875" style="6"/>
    <col min="529" max="529" width="12" style="6" customWidth="1"/>
    <col min="530" max="530" width="7.125" style="6" customWidth="1"/>
    <col min="531" max="531" width="8.875" style="6"/>
    <col min="532" max="532" width="16" style="6" customWidth="1"/>
    <col min="533" max="533" width="13.75" style="6" customWidth="1"/>
    <col min="534" max="535" width="9.75" style="6" customWidth="1"/>
    <col min="536" max="784" width="8.875" style="6"/>
    <col min="785" max="785" width="12" style="6" customWidth="1"/>
    <col min="786" max="786" width="7.125" style="6" customWidth="1"/>
    <col min="787" max="787" width="8.875" style="6"/>
    <col min="788" max="788" width="16" style="6" customWidth="1"/>
    <col min="789" max="789" width="13.75" style="6" customWidth="1"/>
    <col min="790" max="791" width="9.75" style="6" customWidth="1"/>
    <col min="792" max="1040" width="8.875" style="6"/>
    <col min="1041" max="1041" width="12" style="6" customWidth="1"/>
    <col min="1042" max="1042" width="7.125" style="6" customWidth="1"/>
    <col min="1043" max="1043" width="8.875" style="6"/>
    <col min="1044" max="1044" width="16" style="6" customWidth="1"/>
    <col min="1045" max="1045" width="13.75" style="6" customWidth="1"/>
    <col min="1046" max="1047" width="9.75" style="6" customWidth="1"/>
    <col min="1048" max="1296" width="8.875" style="6"/>
    <col min="1297" max="1297" width="12" style="6" customWidth="1"/>
    <col min="1298" max="1298" width="7.125" style="6" customWidth="1"/>
    <col min="1299" max="1299" width="8.875" style="6"/>
    <col min="1300" max="1300" width="16" style="6" customWidth="1"/>
    <col min="1301" max="1301" width="13.75" style="6" customWidth="1"/>
    <col min="1302" max="1303" width="9.75" style="6" customWidth="1"/>
    <col min="1304" max="1552" width="8.875" style="6"/>
    <col min="1553" max="1553" width="12" style="6" customWidth="1"/>
    <col min="1554" max="1554" width="7.125" style="6" customWidth="1"/>
    <col min="1555" max="1555" width="8.875" style="6"/>
    <col min="1556" max="1556" width="16" style="6" customWidth="1"/>
    <col min="1557" max="1557" width="13.75" style="6" customWidth="1"/>
    <col min="1558" max="1559" width="9.75" style="6" customWidth="1"/>
    <col min="1560" max="1808" width="8.875" style="6"/>
    <col min="1809" max="1809" width="12" style="6" customWidth="1"/>
    <col min="1810" max="1810" width="7.125" style="6" customWidth="1"/>
    <col min="1811" max="1811" width="8.875" style="6"/>
    <col min="1812" max="1812" width="16" style="6" customWidth="1"/>
    <col min="1813" max="1813" width="13.75" style="6" customWidth="1"/>
    <col min="1814" max="1815" width="9.75" style="6" customWidth="1"/>
    <col min="1816" max="2064" width="8.875" style="6"/>
    <col min="2065" max="2065" width="12" style="6" customWidth="1"/>
    <col min="2066" max="2066" width="7.125" style="6" customWidth="1"/>
    <col min="2067" max="2067" width="8.875" style="6"/>
    <col min="2068" max="2068" width="16" style="6" customWidth="1"/>
    <col min="2069" max="2069" width="13.75" style="6" customWidth="1"/>
    <col min="2070" max="2071" width="9.75" style="6" customWidth="1"/>
    <col min="2072" max="2320" width="8.875" style="6"/>
    <col min="2321" max="2321" width="12" style="6" customWidth="1"/>
    <col min="2322" max="2322" width="7.125" style="6" customWidth="1"/>
    <col min="2323" max="2323" width="8.875" style="6"/>
    <col min="2324" max="2324" width="16" style="6" customWidth="1"/>
    <col min="2325" max="2325" width="13.75" style="6" customWidth="1"/>
    <col min="2326" max="2327" width="9.75" style="6" customWidth="1"/>
    <col min="2328" max="2576" width="8.875" style="6"/>
    <col min="2577" max="2577" width="12" style="6" customWidth="1"/>
    <col min="2578" max="2578" width="7.125" style="6" customWidth="1"/>
    <col min="2579" max="2579" width="8.875" style="6"/>
    <col min="2580" max="2580" width="16" style="6" customWidth="1"/>
    <col min="2581" max="2581" width="13.75" style="6" customWidth="1"/>
    <col min="2582" max="2583" width="9.75" style="6" customWidth="1"/>
    <col min="2584" max="2832" width="8.875" style="6"/>
    <col min="2833" max="2833" width="12" style="6" customWidth="1"/>
    <col min="2834" max="2834" width="7.125" style="6" customWidth="1"/>
    <col min="2835" max="2835" width="8.875" style="6"/>
    <col min="2836" max="2836" width="16" style="6" customWidth="1"/>
    <col min="2837" max="2837" width="13.75" style="6" customWidth="1"/>
    <col min="2838" max="2839" width="9.75" style="6" customWidth="1"/>
    <col min="2840" max="3088" width="8.875" style="6"/>
    <col min="3089" max="3089" width="12" style="6" customWidth="1"/>
    <col min="3090" max="3090" width="7.125" style="6" customWidth="1"/>
    <col min="3091" max="3091" width="8.875" style="6"/>
    <col min="3092" max="3092" width="16" style="6" customWidth="1"/>
    <col min="3093" max="3093" width="13.75" style="6" customWidth="1"/>
    <col min="3094" max="3095" width="9.75" style="6" customWidth="1"/>
    <col min="3096" max="3344" width="8.875" style="6"/>
    <col min="3345" max="3345" width="12" style="6" customWidth="1"/>
    <col min="3346" max="3346" width="7.125" style="6" customWidth="1"/>
    <col min="3347" max="3347" width="8.875" style="6"/>
    <col min="3348" max="3348" width="16" style="6" customWidth="1"/>
    <col min="3349" max="3349" width="13.75" style="6" customWidth="1"/>
    <col min="3350" max="3351" width="9.75" style="6" customWidth="1"/>
    <col min="3352" max="3600" width="8.875" style="6"/>
    <col min="3601" max="3601" width="12" style="6" customWidth="1"/>
    <col min="3602" max="3602" width="7.125" style="6" customWidth="1"/>
    <col min="3603" max="3603" width="8.875" style="6"/>
    <col min="3604" max="3604" width="16" style="6" customWidth="1"/>
    <col min="3605" max="3605" width="13.75" style="6" customWidth="1"/>
    <col min="3606" max="3607" width="9.75" style="6" customWidth="1"/>
    <col min="3608" max="3856" width="8.875" style="6"/>
    <col min="3857" max="3857" width="12" style="6" customWidth="1"/>
    <col min="3858" max="3858" width="7.125" style="6" customWidth="1"/>
    <col min="3859" max="3859" width="8.875" style="6"/>
    <col min="3860" max="3860" width="16" style="6" customWidth="1"/>
    <col min="3861" max="3861" width="13.75" style="6" customWidth="1"/>
    <col min="3862" max="3863" width="9.75" style="6" customWidth="1"/>
    <col min="3864" max="4112" width="8.875" style="6"/>
    <col min="4113" max="4113" width="12" style="6" customWidth="1"/>
    <col min="4114" max="4114" width="7.125" style="6" customWidth="1"/>
    <col min="4115" max="4115" width="8.875" style="6"/>
    <col min="4116" max="4116" width="16" style="6" customWidth="1"/>
    <col min="4117" max="4117" width="13.75" style="6" customWidth="1"/>
    <col min="4118" max="4119" width="9.75" style="6" customWidth="1"/>
    <col min="4120" max="4368" width="8.875" style="6"/>
    <col min="4369" max="4369" width="12" style="6" customWidth="1"/>
    <col min="4370" max="4370" width="7.125" style="6" customWidth="1"/>
    <col min="4371" max="4371" width="8.875" style="6"/>
    <col min="4372" max="4372" width="16" style="6" customWidth="1"/>
    <col min="4373" max="4373" width="13.75" style="6" customWidth="1"/>
    <col min="4374" max="4375" width="9.75" style="6" customWidth="1"/>
    <col min="4376" max="4624" width="8.875" style="6"/>
    <col min="4625" max="4625" width="12" style="6" customWidth="1"/>
    <col min="4626" max="4626" width="7.125" style="6" customWidth="1"/>
    <col min="4627" max="4627" width="8.875" style="6"/>
    <col min="4628" max="4628" width="16" style="6" customWidth="1"/>
    <col min="4629" max="4629" width="13.75" style="6" customWidth="1"/>
    <col min="4630" max="4631" width="9.75" style="6" customWidth="1"/>
    <col min="4632" max="4880" width="8.875" style="6"/>
    <col min="4881" max="4881" width="12" style="6" customWidth="1"/>
    <col min="4882" max="4882" width="7.125" style="6" customWidth="1"/>
    <col min="4883" max="4883" width="8.875" style="6"/>
    <col min="4884" max="4884" width="16" style="6" customWidth="1"/>
    <col min="4885" max="4885" width="13.75" style="6" customWidth="1"/>
    <col min="4886" max="4887" width="9.75" style="6" customWidth="1"/>
    <col min="4888" max="5136" width="8.875" style="6"/>
    <col min="5137" max="5137" width="12" style="6" customWidth="1"/>
    <col min="5138" max="5138" width="7.125" style="6" customWidth="1"/>
    <col min="5139" max="5139" width="8.875" style="6"/>
    <col min="5140" max="5140" width="16" style="6" customWidth="1"/>
    <col min="5141" max="5141" width="13.75" style="6" customWidth="1"/>
    <col min="5142" max="5143" width="9.75" style="6" customWidth="1"/>
    <col min="5144" max="5392" width="8.875" style="6"/>
    <col min="5393" max="5393" width="12" style="6" customWidth="1"/>
    <col min="5394" max="5394" width="7.125" style="6" customWidth="1"/>
    <col min="5395" max="5395" width="8.875" style="6"/>
    <col min="5396" max="5396" width="16" style="6" customWidth="1"/>
    <col min="5397" max="5397" width="13.75" style="6" customWidth="1"/>
    <col min="5398" max="5399" width="9.75" style="6" customWidth="1"/>
    <col min="5400" max="5648" width="8.875" style="6"/>
    <col min="5649" max="5649" width="12" style="6" customWidth="1"/>
    <col min="5650" max="5650" width="7.125" style="6" customWidth="1"/>
    <col min="5651" max="5651" width="8.875" style="6"/>
    <col min="5652" max="5652" width="16" style="6" customWidth="1"/>
    <col min="5653" max="5653" width="13.75" style="6" customWidth="1"/>
    <col min="5654" max="5655" width="9.75" style="6" customWidth="1"/>
    <col min="5656" max="5904" width="8.875" style="6"/>
    <col min="5905" max="5905" width="12" style="6" customWidth="1"/>
    <col min="5906" max="5906" width="7.125" style="6" customWidth="1"/>
    <col min="5907" max="5907" width="8.875" style="6"/>
    <col min="5908" max="5908" width="16" style="6" customWidth="1"/>
    <col min="5909" max="5909" width="13.75" style="6" customWidth="1"/>
    <col min="5910" max="5911" width="9.75" style="6" customWidth="1"/>
    <col min="5912" max="6160" width="8.875" style="6"/>
    <col min="6161" max="6161" width="12" style="6" customWidth="1"/>
    <col min="6162" max="6162" width="7.125" style="6" customWidth="1"/>
    <col min="6163" max="6163" width="8.875" style="6"/>
    <col min="6164" max="6164" width="16" style="6" customWidth="1"/>
    <col min="6165" max="6165" width="13.75" style="6" customWidth="1"/>
    <col min="6166" max="6167" width="9.75" style="6" customWidth="1"/>
    <col min="6168" max="6416" width="8.875" style="6"/>
    <col min="6417" max="6417" width="12" style="6" customWidth="1"/>
    <col min="6418" max="6418" width="7.125" style="6" customWidth="1"/>
    <col min="6419" max="6419" width="8.875" style="6"/>
    <col min="6420" max="6420" width="16" style="6" customWidth="1"/>
    <col min="6421" max="6421" width="13.75" style="6" customWidth="1"/>
    <col min="6422" max="6423" width="9.75" style="6" customWidth="1"/>
    <col min="6424" max="6672" width="8.875" style="6"/>
    <col min="6673" max="6673" width="12" style="6" customWidth="1"/>
    <col min="6674" max="6674" width="7.125" style="6" customWidth="1"/>
    <col min="6675" max="6675" width="8.875" style="6"/>
    <col min="6676" max="6676" width="16" style="6" customWidth="1"/>
    <col min="6677" max="6677" width="13.75" style="6" customWidth="1"/>
    <col min="6678" max="6679" width="9.75" style="6" customWidth="1"/>
    <col min="6680" max="6928" width="8.875" style="6"/>
    <col min="6929" max="6929" width="12" style="6" customWidth="1"/>
    <col min="6930" max="6930" width="7.125" style="6" customWidth="1"/>
    <col min="6931" max="6931" width="8.875" style="6"/>
    <col min="6932" max="6932" width="16" style="6" customWidth="1"/>
    <col min="6933" max="6933" width="13.75" style="6" customWidth="1"/>
    <col min="6934" max="6935" width="9.75" style="6" customWidth="1"/>
    <col min="6936" max="7184" width="8.875" style="6"/>
    <col min="7185" max="7185" width="12" style="6" customWidth="1"/>
    <col min="7186" max="7186" width="7.125" style="6" customWidth="1"/>
    <col min="7187" max="7187" width="8.875" style="6"/>
    <col min="7188" max="7188" width="16" style="6" customWidth="1"/>
    <col min="7189" max="7189" width="13.75" style="6" customWidth="1"/>
    <col min="7190" max="7191" width="9.75" style="6" customWidth="1"/>
    <col min="7192" max="7440" width="8.875" style="6"/>
    <col min="7441" max="7441" width="12" style="6" customWidth="1"/>
    <col min="7442" max="7442" width="7.125" style="6" customWidth="1"/>
    <col min="7443" max="7443" width="8.875" style="6"/>
    <col min="7444" max="7444" width="16" style="6" customWidth="1"/>
    <col min="7445" max="7445" width="13.75" style="6" customWidth="1"/>
    <col min="7446" max="7447" width="9.75" style="6" customWidth="1"/>
    <col min="7448" max="7696" width="8.875" style="6"/>
    <col min="7697" max="7697" width="12" style="6" customWidth="1"/>
    <col min="7698" max="7698" width="7.125" style="6" customWidth="1"/>
    <col min="7699" max="7699" width="8.875" style="6"/>
    <col min="7700" max="7700" width="16" style="6" customWidth="1"/>
    <col min="7701" max="7701" width="13.75" style="6" customWidth="1"/>
    <col min="7702" max="7703" width="9.75" style="6" customWidth="1"/>
    <col min="7704" max="7952" width="8.875" style="6"/>
    <col min="7953" max="7953" width="12" style="6" customWidth="1"/>
    <col min="7954" max="7954" width="7.125" style="6" customWidth="1"/>
    <col min="7955" max="7955" width="8.875" style="6"/>
    <col min="7956" max="7956" width="16" style="6" customWidth="1"/>
    <col min="7957" max="7957" width="13.75" style="6" customWidth="1"/>
    <col min="7958" max="7959" width="9.75" style="6" customWidth="1"/>
    <col min="7960" max="8208" width="8.875" style="6"/>
    <col min="8209" max="8209" width="12" style="6" customWidth="1"/>
    <col min="8210" max="8210" width="7.125" style="6" customWidth="1"/>
    <col min="8211" max="8211" width="8.875" style="6"/>
    <col min="8212" max="8212" width="16" style="6" customWidth="1"/>
    <col min="8213" max="8213" width="13.75" style="6" customWidth="1"/>
    <col min="8214" max="8215" width="9.75" style="6" customWidth="1"/>
    <col min="8216" max="8464" width="8.875" style="6"/>
    <col min="8465" max="8465" width="12" style="6" customWidth="1"/>
    <col min="8466" max="8466" width="7.125" style="6" customWidth="1"/>
    <col min="8467" max="8467" width="8.875" style="6"/>
    <col min="8468" max="8468" width="16" style="6" customWidth="1"/>
    <col min="8469" max="8469" width="13.75" style="6" customWidth="1"/>
    <col min="8470" max="8471" width="9.75" style="6" customWidth="1"/>
    <col min="8472" max="8720" width="8.875" style="6"/>
    <col min="8721" max="8721" width="12" style="6" customWidth="1"/>
    <col min="8722" max="8722" width="7.125" style="6" customWidth="1"/>
    <col min="8723" max="8723" width="8.875" style="6"/>
    <col min="8724" max="8724" width="16" style="6" customWidth="1"/>
    <col min="8725" max="8725" width="13.75" style="6" customWidth="1"/>
    <col min="8726" max="8727" width="9.75" style="6" customWidth="1"/>
    <col min="8728" max="8976" width="8.875" style="6"/>
    <col min="8977" max="8977" width="12" style="6" customWidth="1"/>
    <col min="8978" max="8978" width="7.125" style="6" customWidth="1"/>
    <col min="8979" max="8979" width="8.875" style="6"/>
    <col min="8980" max="8980" width="16" style="6" customWidth="1"/>
    <col min="8981" max="8981" width="13.75" style="6" customWidth="1"/>
    <col min="8982" max="8983" width="9.75" style="6" customWidth="1"/>
    <col min="8984" max="9232" width="8.875" style="6"/>
    <col min="9233" max="9233" width="12" style="6" customWidth="1"/>
    <col min="9234" max="9234" width="7.125" style="6" customWidth="1"/>
    <col min="9235" max="9235" width="8.875" style="6"/>
    <col min="9236" max="9236" width="16" style="6" customWidth="1"/>
    <col min="9237" max="9237" width="13.75" style="6" customWidth="1"/>
    <col min="9238" max="9239" width="9.75" style="6" customWidth="1"/>
    <col min="9240" max="9488" width="8.875" style="6"/>
    <col min="9489" max="9489" width="12" style="6" customWidth="1"/>
    <col min="9490" max="9490" width="7.125" style="6" customWidth="1"/>
    <col min="9491" max="9491" width="8.875" style="6"/>
    <col min="9492" max="9492" width="16" style="6" customWidth="1"/>
    <col min="9493" max="9493" width="13.75" style="6" customWidth="1"/>
    <col min="9494" max="9495" width="9.75" style="6" customWidth="1"/>
    <col min="9496" max="9744" width="8.875" style="6"/>
    <col min="9745" max="9745" width="12" style="6" customWidth="1"/>
    <col min="9746" max="9746" width="7.125" style="6" customWidth="1"/>
    <col min="9747" max="9747" width="8.875" style="6"/>
    <col min="9748" max="9748" width="16" style="6" customWidth="1"/>
    <col min="9749" max="9749" width="13.75" style="6" customWidth="1"/>
    <col min="9750" max="9751" width="9.75" style="6" customWidth="1"/>
    <col min="9752" max="10000" width="8.875" style="6"/>
    <col min="10001" max="10001" width="12" style="6" customWidth="1"/>
    <col min="10002" max="10002" width="7.125" style="6" customWidth="1"/>
    <col min="10003" max="10003" width="8.875" style="6"/>
    <col min="10004" max="10004" width="16" style="6" customWidth="1"/>
    <col min="10005" max="10005" width="13.75" style="6" customWidth="1"/>
    <col min="10006" max="10007" width="9.75" style="6" customWidth="1"/>
    <col min="10008" max="10256" width="8.875" style="6"/>
    <col min="10257" max="10257" width="12" style="6" customWidth="1"/>
    <col min="10258" max="10258" width="7.125" style="6" customWidth="1"/>
    <col min="10259" max="10259" width="8.875" style="6"/>
    <col min="10260" max="10260" width="16" style="6" customWidth="1"/>
    <col min="10261" max="10261" width="13.75" style="6" customWidth="1"/>
    <col min="10262" max="10263" width="9.75" style="6" customWidth="1"/>
    <col min="10264" max="10512" width="8.875" style="6"/>
    <col min="10513" max="10513" width="12" style="6" customWidth="1"/>
    <col min="10514" max="10514" width="7.125" style="6" customWidth="1"/>
    <col min="10515" max="10515" width="8.875" style="6"/>
    <col min="10516" max="10516" width="16" style="6" customWidth="1"/>
    <col min="10517" max="10517" width="13.75" style="6" customWidth="1"/>
    <col min="10518" max="10519" width="9.75" style="6" customWidth="1"/>
    <col min="10520" max="10768" width="8.875" style="6"/>
    <col min="10769" max="10769" width="12" style="6" customWidth="1"/>
    <col min="10770" max="10770" width="7.125" style="6" customWidth="1"/>
    <col min="10771" max="10771" width="8.875" style="6"/>
    <col min="10772" max="10772" width="16" style="6" customWidth="1"/>
    <col min="10773" max="10773" width="13.75" style="6" customWidth="1"/>
    <col min="10774" max="10775" width="9.75" style="6" customWidth="1"/>
    <col min="10776" max="11024" width="8.875" style="6"/>
    <col min="11025" max="11025" width="12" style="6" customWidth="1"/>
    <col min="11026" max="11026" width="7.125" style="6" customWidth="1"/>
    <col min="11027" max="11027" width="8.875" style="6"/>
    <col min="11028" max="11028" width="16" style="6" customWidth="1"/>
    <col min="11029" max="11029" width="13.75" style="6" customWidth="1"/>
    <col min="11030" max="11031" width="9.75" style="6" customWidth="1"/>
    <col min="11032" max="11280" width="8.875" style="6"/>
    <col min="11281" max="11281" width="12" style="6" customWidth="1"/>
    <col min="11282" max="11282" width="7.125" style="6" customWidth="1"/>
    <col min="11283" max="11283" width="8.875" style="6"/>
    <col min="11284" max="11284" width="16" style="6" customWidth="1"/>
    <col min="11285" max="11285" width="13.75" style="6" customWidth="1"/>
    <col min="11286" max="11287" width="9.75" style="6" customWidth="1"/>
    <col min="11288" max="11536" width="8.875" style="6"/>
    <col min="11537" max="11537" width="12" style="6" customWidth="1"/>
    <col min="11538" max="11538" width="7.125" style="6" customWidth="1"/>
    <col min="11539" max="11539" width="8.875" style="6"/>
    <col min="11540" max="11540" width="16" style="6" customWidth="1"/>
    <col min="11541" max="11541" width="13.75" style="6" customWidth="1"/>
    <col min="11542" max="11543" width="9.75" style="6" customWidth="1"/>
    <col min="11544" max="11792" width="8.875" style="6"/>
    <col min="11793" max="11793" width="12" style="6" customWidth="1"/>
    <col min="11794" max="11794" width="7.125" style="6" customWidth="1"/>
    <col min="11795" max="11795" width="8.875" style="6"/>
    <col min="11796" max="11796" width="16" style="6" customWidth="1"/>
    <col min="11797" max="11797" width="13.75" style="6" customWidth="1"/>
    <col min="11798" max="11799" width="9.75" style="6" customWidth="1"/>
    <col min="11800" max="12048" width="8.875" style="6"/>
    <col min="12049" max="12049" width="12" style="6" customWidth="1"/>
    <col min="12050" max="12050" width="7.125" style="6" customWidth="1"/>
    <col min="12051" max="12051" width="8.875" style="6"/>
    <col min="12052" max="12052" width="16" style="6" customWidth="1"/>
    <col min="12053" max="12053" width="13.75" style="6" customWidth="1"/>
    <col min="12054" max="12055" width="9.75" style="6" customWidth="1"/>
    <col min="12056" max="12304" width="8.875" style="6"/>
    <col min="12305" max="12305" width="12" style="6" customWidth="1"/>
    <col min="12306" max="12306" width="7.125" style="6" customWidth="1"/>
    <col min="12307" max="12307" width="8.875" style="6"/>
    <col min="12308" max="12308" width="16" style="6" customWidth="1"/>
    <col min="12309" max="12309" width="13.75" style="6" customWidth="1"/>
    <col min="12310" max="12311" width="9.75" style="6" customWidth="1"/>
    <col min="12312" max="12560" width="8.875" style="6"/>
    <col min="12561" max="12561" width="12" style="6" customWidth="1"/>
    <col min="12562" max="12562" width="7.125" style="6" customWidth="1"/>
    <col min="12563" max="12563" width="8.875" style="6"/>
    <col min="12564" max="12564" width="16" style="6" customWidth="1"/>
    <col min="12565" max="12565" width="13.75" style="6" customWidth="1"/>
    <col min="12566" max="12567" width="9.75" style="6" customWidth="1"/>
    <col min="12568" max="12816" width="8.875" style="6"/>
    <col min="12817" max="12817" width="12" style="6" customWidth="1"/>
    <col min="12818" max="12818" width="7.125" style="6" customWidth="1"/>
    <col min="12819" max="12819" width="8.875" style="6"/>
    <col min="12820" max="12820" width="16" style="6" customWidth="1"/>
    <col min="12821" max="12821" width="13.75" style="6" customWidth="1"/>
    <col min="12822" max="12823" width="9.75" style="6" customWidth="1"/>
    <col min="12824" max="13072" width="8.875" style="6"/>
    <col min="13073" max="13073" width="12" style="6" customWidth="1"/>
    <col min="13074" max="13074" width="7.125" style="6" customWidth="1"/>
    <col min="13075" max="13075" width="8.875" style="6"/>
    <col min="13076" max="13076" width="16" style="6" customWidth="1"/>
    <col min="13077" max="13077" width="13.75" style="6" customWidth="1"/>
    <col min="13078" max="13079" width="9.75" style="6" customWidth="1"/>
    <col min="13080" max="13328" width="8.875" style="6"/>
    <col min="13329" max="13329" width="12" style="6" customWidth="1"/>
    <col min="13330" max="13330" width="7.125" style="6" customWidth="1"/>
    <col min="13331" max="13331" width="8.875" style="6"/>
    <col min="13332" max="13332" width="16" style="6" customWidth="1"/>
    <col min="13333" max="13333" width="13.75" style="6" customWidth="1"/>
    <col min="13334" max="13335" width="9.75" style="6" customWidth="1"/>
    <col min="13336" max="13584" width="8.875" style="6"/>
    <col min="13585" max="13585" width="12" style="6" customWidth="1"/>
    <col min="13586" max="13586" width="7.125" style="6" customWidth="1"/>
    <col min="13587" max="13587" width="8.875" style="6"/>
    <col min="13588" max="13588" width="16" style="6" customWidth="1"/>
    <col min="13589" max="13589" width="13.75" style="6" customWidth="1"/>
    <col min="13590" max="13591" width="9.75" style="6" customWidth="1"/>
    <col min="13592" max="13840" width="8.875" style="6"/>
    <col min="13841" max="13841" width="12" style="6" customWidth="1"/>
    <col min="13842" max="13842" width="7.125" style="6" customWidth="1"/>
    <col min="13843" max="13843" width="8.875" style="6"/>
    <col min="13844" max="13844" width="16" style="6" customWidth="1"/>
    <col min="13845" max="13845" width="13.75" style="6" customWidth="1"/>
    <col min="13846" max="13847" width="9.75" style="6" customWidth="1"/>
    <col min="13848" max="14096" width="8.875" style="6"/>
    <col min="14097" max="14097" width="12" style="6" customWidth="1"/>
    <col min="14098" max="14098" width="7.125" style="6" customWidth="1"/>
    <col min="14099" max="14099" width="8.875" style="6"/>
    <col min="14100" max="14100" width="16" style="6" customWidth="1"/>
    <col min="14101" max="14101" width="13.75" style="6" customWidth="1"/>
    <col min="14102" max="14103" width="9.75" style="6" customWidth="1"/>
    <col min="14104" max="14352" width="8.875" style="6"/>
    <col min="14353" max="14353" width="12" style="6" customWidth="1"/>
    <col min="14354" max="14354" width="7.125" style="6" customWidth="1"/>
    <col min="14355" max="14355" width="8.875" style="6"/>
    <col min="14356" max="14356" width="16" style="6" customWidth="1"/>
    <col min="14357" max="14357" width="13.75" style="6" customWidth="1"/>
    <col min="14358" max="14359" width="9.75" style="6" customWidth="1"/>
    <col min="14360" max="14608" width="8.875" style="6"/>
    <col min="14609" max="14609" width="12" style="6" customWidth="1"/>
    <col min="14610" max="14610" width="7.125" style="6" customWidth="1"/>
    <col min="14611" max="14611" width="8.875" style="6"/>
    <col min="14612" max="14612" width="16" style="6" customWidth="1"/>
    <col min="14613" max="14613" width="13.75" style="6" customWidth="1"/>
    <col min="14614" max="14615" width="9.75" style="6" customWidth="1"/>
    <col min="14616" max="14864" width="8.875" style="6"/>
    <col min="14865" max="14865" width="12" style="6" customWidth="1"/>
    <col min="14866" max="14866" width="7.125" style="6" customWidth="1"/>
    <col min="14867" max="14867" width="8.875" style="6"/>
    <col min="14868" max="14868" width="16" style="6" customWidth="1"/>
    <col min="14869" max="14869" width="13.75" style="6" customWidth="1"/>
    <col min="14870" max="14871" width="9.75" style="6" customWidth="1"/>
    <col min="14872" max="15120" width="8.875" style="6"/>
    <col min="15121" max="15121" width="12" style="6" customWidth="1"/>
    <col min="15122" max="15122" width="7.125" style="6" customWidth="1"/>
    <col min="15123" max="15123" width="8.875" style="6"/>
    <col min="15124" max="15124" width="16" style="6" customWidth="1"/>
    <col min="15125" max="15125" width="13.75" style="6" customWidth="1"/>
    <col min="15126" max="15127" width="9.75" style="6" customWidth="1"/>
    <col min="15128" max="15376" width="8.875" style="6"/>
    <col min="15377" max="15377" width="12" style="6" customWidth="1"/>
    <col min="15378" max="15378" width="7.125" style="6" customWidth="1"/>
    <col min="15379" max="15379" width="8.875" style="6"/>
    <col min="15380" max="15380" width="16" style="6" customWidth="1"/>
    <col min="15381" max="15381" width="13.75" style="6" customWidth="1"/>
    <col min="15382" max="15383" width="9.75" style="6" customWidth="1"/>
    <col min="15384" max="15632" width="8.875" style="6"/>
    <col min="15633" max="15633" width="12" style="6" customWidth="1"/>
    <col min="15634" max="15634" width="7.125" style="6" customWidth="1"/>
    <col min="15635" max="15635" width="8.875" style="6"/>
    <col min="15636" max="15636" width="16" style="6" customWidth="1"/>
    <col min="15637" max="15637" width="13.75" style="6" customWidth="1"/>
    <col min="15638" max="15639" width="9.75" style="6" customWidth="1"/>
    <col min="15640" max="15888" width="8.875" style="6"/>
    <col min="15889" max="15889" width="12" style="6" customWidth="1"/>
    <col min="15890" max="15890" width="7.125" style="6" customWidth="1"/>
    <col min="15891" max="15891" width="8.875" style="6"/>
    <col min="15892" max="15892" width="16" style="6" customWidth="1"/>
    <col min="15893" max="15893" width="13.75" style="6" customWidth="1"/>
    <col min="15894" max="15895" width="9.75" style="6" customWidth="1"/>
    <col min="15896" max="16144" width="8.875" style="6"/>
    <col min="16145" max="16145" width="12" style="6" customWidth="1"/>
    <col min="16146" max="16146" width="7.125" style="6" customWidth="1"/>
    <col min="16147" max="16147" width="8.875" style="6"/>
    <col min="16148" max="16148" width="16" style="6" customWidth="1"/>
    <col min="16149" max="16149" width="13.75" style="6" customWidth="1"/>
    <col min="16150" max="16151" width="9.75" style="6" customWidth="1"/>
    <col min="16152" max="16384" width="8.875" style="6"/>
  </cols>
  <sheetData>
    <row r="1" spans="1:26" s="2" customFormat="1" ht="23.25" customHeight="1" thickBot="1">
      <c r="A1" s="1" t="e">
        <f>IF(SUM(2:2)=0,"OK","NOK")</f>
        <v>#DIV/0!</v>
      </c>
      <c r="F1" s="43" t="s">
        <v>4959</v>
      </c>
      <c r="G1" s="1085" t="s">
        <v>4961</v>
      </c>
      <c r="H1" s="1086"/>
      <c r="I1" s="1085" t="s">
        <v>372</v>
      </c>
      <c r="J1" s="1086"/>
      <c r="K1" s="1085" t="s">
        <v>4986</v>
      </c>
      <c r="L1" s="1086"/>
      <c r="M1" s="1085" t="s">
        <v>5056</v>
      </c>
      <c r="N1" s="1086"/>
      <c r="O1" s="1085" t="s">
        <v>5057</v>
      </c>
      <c r="P1" s="1086"/>
      <c r="Q1" s="1085" t="s">
        <v>8244</v>
      </c>
      <c r="R1" s="1086"/>
      <c r="S1" s="1085" t="s">
        <v>8245</v>
      </c>
      <c r="T1" s="1086"/>
      <c r="U1" s="1085" t="s">
        <v>8246</v>
      </c>
      <c r="V1" s="1086"/>
      <c r="W1" s="1085" t="s">
        <v>8247</v>
      </c>
      <c r="X1" s="1086"/>
      <c r="Y1" s="44"/>
      <c r="Z1" s="48" t="s">
        <v>10</v>
      </c>
    </row>
    <row r="2" spans="1:26" ht="13.5" thickBot="1">
      <c r="A2" s="3"/>
      <c r="B2" s="3"/>
      <c r="C2" s="3"/>
      <c r="D2" s="3"/>
      <c r="E2" s="3"/>
      <c r="F2" s="2"/>
      <c r="G2" s="4" t="s">
        <v>0</v>
      </c>
      <c r="H2" s="5">
        <f>SUMX2MY2(G5:G4993,H5:H4993)</f>
        <v>-5.7127635955112055E-12</v>
      </c>
      <c r="I2" s="4" t="s">
        <v>0</v>
      </c>
      <c r="J2" s="5">
        <f>SUMX2MY2(I5:I4993,J5:J4993)</f>
        <v>0</v>
      </c>
      <c r="K2" s="4" t="s">
        <v>0</v>
      </c>
      <c r="L2" s="5">
        <f>SUMX2MY2(K5:K4993,L5:L4993)</f>
        <v>-4.3655745685100555E-11</v>
      </c>
      <c r="M2" s="4" t="s">
        <v>0</v>
      </c>
      <c r="N2" s="5">
        <f>SUMX2MY2(M5:M4993,N5:N4993)</f>
        <v>0</v>
      </c>
      <c r="O2" s="4" t="s">
        <v>0</v>
      </c>
      <c r="P2" s="5">
        <f>SUMX2MY2(O5:O4993,P5:P4993)</f>
        <v>0</v>
      </c>
      <c r="Q2" s="4" t="s">
        <v>0</v>
      </c>
      <c r="R2" s="5" t="e">
        <f>SUMX2MY2(Q5:Q4993,R5:R4993)</f>
        <v>#DIV/0!</v>
      </c>
      <c r="S2" s="552" t="s">
        <v>0</v>
      </c>
      <c r="T2" s="183" t="e">
        <f>SUMX2MY2(S5:S4999,T5:T4999)</f>
        <v>#DIV/0!</v>
      </c>
      <c r="U2" s="552" t="s">
        <v>0</v>
      </c>
      <c r="V2" s="183" t="e">
        <f>SUMX2MY2(U5:U4999,V5:V4999)</f>
        <v>#DIV/0!</v>
      </c>
      <c r="W2" s="552" t="s">
        <v>0</v>
      </c>
      <c r="X2" s="183" t="e">
        <f>SUMX2MY2(W5:W4999,X5:X4999)</f>
        <v>#DIV/0!</v>
      </c>
    </row>
    <row r="3" spans="1:26" ht="27.75" customHeight="1">
      <c r="A3" s="35" t="s">
        <v>1</v>
      </c>
      <c r="B3" s="36" t="s">
        <v>2</v>
      </c>
      <c r="C3" s="36" t="s">
        <v>3</v>
      </c>
      <c r="D3" s="36" t="s">
        <v>4</v>
      </c>
      <c r="E3" s="1087" t="s">
        <v>7</v>
      </c>
      <c r="F3" s="1088"/>
      <c r="G3" s="7" t="s">
        <v>5</v>
      </c>
      <c r="H3" s="8" t="s">
        <v>6</v>
      </c>
      <c r="I3" s="7" t="s">
        <v>5</v>
      </c>
      <c r="J3" s="8" t="s">
        <v>6</v>
      </c>
      <c r="K3" s="7" t="s">
        <v>5</v>
      </c>
      <c r="L3" s="8" t="s">
        <v>6</v>
      </c>
      <c r="M3" s="7" t="s">
        <v>5</v>
      </c>
      <c r="N3" s="8" t="s">
        <v>6</v>
      </c>
      <c r="O3" s="7" t="s">
        <v>5</v>
      </c>
      <c r="P3" s="8" t="s">
        <v>6</v>
      </c>
      <c r="Q3" s="7" t="s">
        <v>5</v>
      </c>
      <c r="R3" s="8" t="s">
        <v>6</v>
      </c>
      <c r="S3" s="553" t="s">
        <v>5</v>
      </c>
      <c r="T3" s="554" t="s">
        <v>6</v>
      </c>
      <c r="U3" s="553" t="s">
        <v>5</v>
      </c>
      <c r="V3" s="554" t="s">
        <v>6</v>
      </c>
      <c r="W3" s="553" t="s">
        <v>5</v>
      </c>
      <c r="X3" s="554" t="s">
        <v>6</v>
      </c>
    </row>
    <row r="4" spans="1:26" ht="15.75" customHeight="1" thickBot="1">
      <c r="A4" s="34"/>
      <c r="B4" s="33"/>
      <c r="C4" s="33"/>
      <c r="D4" s="33"/>
      <c r="E4" s="41" t="s">
        <v>9</v>
      </c>
      <c r="F4" s="42" t="s">
        <v>8</v>
      </c>
      <c r="G4" s="38">
        <v>0</v>
      </c>
      <c r="H4" s="39">
        <v>0</v>
      </c>
      <c r="I4" s="38">
        <v>0</v>
      </c>
      <c r="J4" s="39">
        <v>0</v>
      </c>
      <c r="K4" s="38">
        <v>0</v>
      </c>
      <c r="L4" s="39">
        <v>0</v>
      </c>
      <c r="M4" s="38">
        <v>0</v>
      </c>
      <c r="N4" s="39">
        <v>0</v>
      </c>
      <c r="O4" s="38">
        <v>0</v>
      </c>
      <c r="P4" s="39">
        <v>0</v>
      </c>
      <c r="Q4" s="38">
        <v>0</v>
      </c>
      <c r="R4" s="39">
        <v>0</v>
      </c>
      <c r="S4" s="562">
        <v>0</v>
      </c>
      <c r="T4" s="563">
        <v>0</v>
      </c>
      <c r="U4" s="562">
        <v>0</v>
      </c>
      <c r="V4" s="563">
        <v>0</v>
      </c>
      <c r="W4" s="562">
        <v>0</v>
      </c>
      <c r="X4" s="563">
        <v>0</v>
      </c>
    </row>
    <row r="5" spans="1:26">
      <c r="A5" s="201" t="str">
        <f>VLOOKUP($D5,HeatExch_from_BP!$P:$AE,3,0)</f>
        <v>EZ2112A-N-Win.pdf</v>
      </c>
      <c r="B5" s="782"/>
      <c r="C5" s="415"/>
      <c r="D5" s="599" t="s">
        <v>8967</v>
      </c>
      <c r="E5" s="782"/>
      <c r="F5" s="465" t="s">
        <v>8980</v>
      </c>
      <c r="G5" s="783">
        <v>49.2818055555556</v>
      </c>
      <c r="H5" s="460">
        <f>VLOOKUP($D5,HeatExch_from_BP!$P:$AE,6,0)/3600/2</f>
        <v>49.281805555555557</v>
      </c>
      <c r="I5" s="783">
        <v>14000</v>
      </c>
      <c r="J5" s="788"/>
      <c r="K5" s="783">
        <v>277.777777777778</v>
      </c>
      <c r="L5" s="460"/>
      <c r="M5" s="783">
        <v>1855</v>
      </c>
      <c r="N5" s="610">
        <f>VLOOKUP($D5,HeatExch_from_BP!$P:$AE,16,0)*7</f>
        <v>1855</v>
      </c>
      <c r="O5" s="783">
        <v>3</v>
      </c>
      <c r="P5" s="416">
        <v>3</v>
      </c>
      <c r="Q5" s="783">
        <v>21919.024083725599</v>
      </c>
      <c r="R5" s="13"/>
      <c r="S5" s="783">
        <v>388.79794141679798</v>
      </c>
      <c r="T5" s="460"/>
      <c r="U5" s="783">
        <v>326.881187831315</v>
      </c>
      <c r="V5" s="460"/>
      <c r="W5" s="783">
        <v>-16726068.328288401</v>
      </c>
      <c r="X5" s="460"/>
    </row>
    <row r="6" spans="1:26">
      <c r="A6" s="201" t="str">
        <f>VLOOKUP($D6,HeatExch_from_BP!$P:$AE,3,0)</f>
        <v>EZ2112A-N-Win.pdf</v>
      </c>
      <c r="B6" s="782"/>
      <c r="C6" s="417"/>
      <c r="D6" s="599" t="s">
        <v>8967</v>
      </c>
      <c r="E6" s="782"/>
      <c r="F6" s="465" t="s">
        <v>8981</v>
      </c>
      <c r="G6" s="783">
        <v>49.2818055555556</v>
      </c>
      <c r="H6" s="460">
        <f>VLOOKUP($D6,HeatExch_from_BP!$P:$AE,6,0)/3600/2</f>
        <v>49.281805555555557</v>
      </c>
      <c r="I6" s="783">
        <v>14000</v>
      </c>
      <c r="J6" s="788"/>
      <c r="K6" s="783">
        <v>277.777777777778</v>
      </c>
      <c r="L6" s="460"/>
      <c r="M6" s="783">
        <v>1855</v>
      </c>
      <c r="N6" s="610">
        <f>VLOOKUP($D6,HeatExch_from_BP!$P:$AE,16,0)*7</f>
        <v>1855</v>
      </c>
      <c r="O6" s="783">
        <v>3</v>
      </c>
      <c r="P6" s="416">
        <v>3</v>
      </c>
      <c r="Q6" s="783">
        <v>21919.096053930702</v>
      </c>
      <c r="R6" s="13"/>
      <c r="S6" s="783">
        <v>388.80655522702801</v>
      </c>
      <c r="T6" s="460"/>
      <c r="U6" s="783">
        <v>326.882404636459</v>
      </c>
      <c r="V6" s="460"/>
      <c r="W6" s="783">
        <v>-16727573.099852299</v>
      </c>
      <c r="X6" s="460"/>
    </row>
    <row r="7" spans="1:26">
      <c r="A7" s="201" t="str">
        <f>VLOOKUP($D7,HeatExch_from_BP!$P:$AE,3,0)</f>
        <v>EZ2113A-B-Win.pdf, 2/5</v>
      </c>
      <c r="B7" s="782"/>
      <c r="C7" s="447"/>
      <c r="D7" s="464" t="s">
        <v>7775</v>
      </c>
      <c r="E7" s="782"/>
      <c r="F7" s="556" t="s">
        <v>8985</v>
      </c>
      <c r="G7" s="783">
        <v>204.166666666667</v>
      </c>
      <c r="H7" s="460">
        <f>VLOOKUP($D7,HeatExch_from_BP!$P:$AE,6,0)/3600</f>
        <v>204.16666666666666</v>
      </c>
      <c r="I7" s="783">
        <v>4980</v>
      </c>
      <c r="J7" s="460">
        <f>VLOOKUP($D7,HeatExch_from_BP!$P:$AE,4,0)</f>
        <v>4980</v>
      </c>
      <c r="K7" s="783">
        <v>41.6666666666667</v>
      </c>
      <c r="L7" s="460"/>
      <c r="M7" s="783">
        <v>530</v>
      </c>
      <c r="N7" s="468">
        <f>VLOOKUP($D7,HeatExch_from_BP!$P:$AE,16,0)*2</f>
        <v>530</v>
      </c>
      <c r="O7" s="783">
        <v>3</v>
      </c>
      <c r="P7" s="468">
        <v>3</v>
      </c>
      <c r="Q7" s="783">
        <v>6417.1751863678201</v>
      </c>
      <c r="R7" s="13"/>
      <c r="S7" s="783">
        <v>446.15206571299899</v>
      </c>
      <c r="T7" s="460"/>
      <c r="U7" s="783">
        <v>435.55742965271901</v>
      </c>
      <c r="V7" s="460"/>
      <c r="W7" s="783">
        <v>-4497581.8558617802</v>
      </c>
      <c r="X7" s="460"/>
    </row>
    <row r="8" spans="1:26">
      <c r="A8" s="201" t="str">
        <f>VLOOKUP($D8,HeatExch_from_BP!$P:$AE,3,0)</f>
        <v>EZ2114-Win.pdf</v>
      </c>
      <c r="B8" s="782"/>
      <c r="C8" s="16"/>
      <c r="D8" s="17" t="s">
        <v>8250</v>
      </c>
      <c r="E8" s="782"/>
      <c r="F8" s="465" t="s">
        <v>8250</v>
      </c>
      <c r="G8" s="783">
        <v>202.083333333333</v>
      </c>
      <c r="H8" s="460">
        <f>VLOOKUP($D8,HeatExch_from_BP!$P:$AE,6,0)/3600</f>
        <v>202.08333333333334</v>
      </c>
      <c r="I8" s="783">
        <v>2700</v>
      </c>
      <c r="J8" s="460">
        <f>VLOOKUP($D8,HeatExch_from_BP!$P:$AE,4,0)</f>
        <v>2700</v>
      </c>
      <c r="K8" s="783">
        <v>41.6666666666667</v>
      </c>
      <c r="L8" s="460"/>
      <c r="M8" s="783">
        <v>265</v>
      </c>
      <c r="N8" s="555">
        <f>VLOOKUP($D8,HeatExch_from_BP!$P:$AE,16,0)</f>
        <v>265</v>
      </c>
      <c r="O8" s="783">
        <v>3</v>
      </c>
      <c r="P8" s="555">
        <v>3</v>
      </c>
      <c r="Q8" s="783">
        <v>15107.044716075299</v>
      </c>
      <c r="R8" s="460"/>
      <c r="S8" s="783">
        <v>459.30217395245899</v>
      </c>
      <c r="T8" s="460"/>
      <c r="U8" s="783">
        <v>456.873584855263</v>
      </c>
      <c r="V8" s="460"/>
      <c r="W8" s="783">
        <v>-1161203.6720092499</v>
      </c>
      <c r="X8" s="460"/>
    </row>
    <row r="9" spans="1:26">
      <c r="A9" s="201" t="str">
        <f>VLOOKUP($D9,HeatExch_from_BP!$P:$AE,3,0)</f>
        <v>EZ2115-Win.pdf</v>
      </c>
      <c r="B9" s="782"/>
      <c r="C9" s="16"/>
      <c r="D9" s="17" t="s">
        <v>8248</v>
      </c>
      <c r="E9" s="782"/>
      <c r="F9" s="465" t="s">
        <v>8248</v>
      </c>
      <c r="G9" s="783">
        <v>56.1111111111111</v>
      </c>
      <c r="H9" s="460">
        <f>VLOOKUP($D9,HeatExch_from_BP!$P:$AE,6,0)/3600</f>
        <v>56.111111111111114</v>
      </c>
      <c r="I9" s="783">
        <v>1670</v>
      </c>
      <c r="J9" s="460">
        <f>VLOOKUP($D9,HeatExch_from_BP!$P:$AE,4,0)</f>
        <v>1670</v>
      </c>
      <c r="K9" s="783">
        <v>111.111111111111</v>
      </c>
      <c r="L9" s="460"/>
      <c r="M9" s="783">
        <v>265</v>
      </c>
      <c r="N9" s="555">
        <f>VLOOKUP($D9,HeatExch_from_BP!$P:$AE,16,0)</f>
        <v>265</v>
      </c>
      <c r="O9" s="783">
        <v>3</v>
      </c>
      <c r="P9" s="555">
        <v>3</v>
      </c>
      <c r="Q9" s="783">
        <v>2811.9612835910498</v>
      </c>
      <c r="R9" s="460"/>
      <c r="S9" s="783">
        <v>457.189320281069</v>
      </c>
      <c r="T9" s="460"/>
      <c r="U9" s="783">
        <v>431.62210975144097</v>
      </c>
      <c r="V9" s="460"/>
      <c r="W9" s="783">
        <v>-4335916.4766114904</v>
      </c>
      <c r="X9" s="460"/>
    </row>
    <row r="10" spans="1:26">
      <c r="A10" s="201" t="str">
        <f>VLOOKUP($D10,HeatExch_from_BP!$P:$AE,3,0)</f>
        <v>EZ2116A-C-Win.pdf</v>
      </c>
      <c r="B10" s="782"/>
      <c r="C10" s="16"/>
      <c r="D10" s="522" t="s">
        <v>8263</v>
      </c>
      <c r="E10" s="782"/>
      <c r="F10" s="465" t="s">
        <v>8986</v>
      </c>
      <c r="G10" s="783">
        <v>53.4722222222222</v>
      </c>
      <c r="H10" s="460">
        <f>VLOOKUP($D10,HeatExch_from_BP!$P:$AE,6,0)/3600</f>
        <v>53.472222222222221</v>
      </c>
      <c r="I10" s="783">
        <v>2560</v>
      </c>
      <c r="J10" s="460">
        <f>VLOOKUP($D10,HeatExch_from_BP!$P:$AE,4,0)/3</f>
        <v>2560</v>
      </c>
      <c r="K10" s="783">
        <v>208.333333333333</v>
      </c>
      <c r="L10" s="460"/>
      <c r="M10" s="783">
        <v>795</v>
      </c>
      <c r="N10" s="555">
        <f>VLOOKUP($D10,HeatExch_from_BP!$P:$AE,16,0)*3</f>
        <v>795</v>
      </c>
      <c r="O10" s="783">
        <v>3</v>
      </c>
      <c r="P10" s="555">
        <v>3</v>
      </c>
      <c r="Q10" s="783">
        <v>1178.31464525661</v>
      </c>
      <c r="R10" s="460"/>
      <c r="S10" s="783">
        <v>430.12332373649798</v>
      </c>
      <c r="T10" s="460"/>
      <c r="U10" s="783">
        <v>351.40734873687501</v>
      </c>
      <c r="V10" s="460"/>
      <c r="W10" s="783">
        <v>-11690328.0327443</v>
      </c>
      <c r="X10" s="460"/>
    </row>
    <row r="11" spans="1:26">
      <c r="A11" s="201" t="str">
        <f>VLOOKUP($D11,HeatExch_from_BP!$P:$AE,3,0)</f>
        <v>EZ2117A-C-Win.pdf</v>
      </c>
      <c r="B11" s="782"/>
      <c r="C11" s="16"/>
      <c r="D11" s="522" t="s">
        <v>8264</v>
      </c>
      <c r="E11" s="782"/>
      <c r="F11" s="465" t="s">
        <v>8987</v>
      </c>
      <c r="G11" s="783">
        <v>31.1111111111111</v>
      </c>
      <c r="H11" s="460">
        <f>VLOOKUP($D11,HeatExch_from_BP!$P:$AE,6,0)/3600</f>
        <v>31.111111111111111</v>
      </c>
      <c r="I11" s="783">
        <v>1710</v>
      </c>
      <c r="J11" s="460">
        <f>VLOOKUP($D11,HeatExch_from_BP!$P:$AE,4,0)/3</f>
        <v>1710</v>
      </c>
      <c r="K11" s="783">
        <v>83.3333333333333</v>
      </c>
      <c r="L11" s="460"/>
      <c r="M11" s="783">
        <v>795</v>
      </c>
      <c r="N11" s="555">
        <f>VLOOKUP($D11,HeatExch_from_BP!$P:$AE,16,0)*3</f>
        <v>795</v>
      </c>
      <c r="O11" s="783">
        <v>3</v>
      </c>
      <c r="P11" s="555">
        <v>3</v>
      </c>
      <c r="Q11" s="783">
        <v>2578.7245342435799</v>
      </c>
      <c r="R11" s="460"/>
      <c r="S11" s="783">
        <v>439.566251328352</v>
      </c>
      <c r="T11" s="460"/>
      <c r="U11" s="783">
        <v>343.89466521703503</v>
      </c>
      <c r="V11" s="460"/>
      <c r="W11" s="783">
        <v>-2213561.0406086398</v>
      </c>
      <c r="X11" s="460"/>
    </row>
    <row r="12" spans="1:26">
      <c r="A12" s="201" t="str">
        <f>VLOOKUP($D12,HeatExch_from_BP!$P:$AE,3,0)</f>
        <v>EZ2120A-F-Win.pdf, 2/14</v>
      </c>
      <c r="B12" s="782"/>
      <c r="C12" s="447"/>
      <c r="D12" s="599" t="s">
        <v>8970</v>
      </c>
      <c r="E12" s="782"/>
      <c r="F12" s="556" t="s">
        <v>8984</v>
      </c>
      <c r="G12" s="783">
        <v>11.9444444444444</v>
      </c>
      <c r="H12" s="460">
        <f>VLOOKUP($D12,HeatExch_from_BP!$P:$AE,6,0)/3600</f>
        <v>11.944444444444445</v>
      </c>
      <c r="I12" s="783">
        <v>14040</v>
      </c>
      <c r="J12" s="460">
        <f>VLOOKUP($D12,HeatExch_from_BP!$P:$AE,4,0)</f>
        <v>14040</v>
      </c>
      <c r="K12" s="783">
        <v>66.6666666666667</v>
      </c>
      <c r="L12" s="460"/>
      <c r="M12" s="783">
        <v>1590</v>
      </c>
      <c r="N12" s="468">
        <f>VLOOKUP($D12,HeatExch_from_BP!$P:$AE,16,0)*6</f>
        <v>1590</v>
      </c>
      <c r="O12" s="783">
        <v>3</v>
      </c>
      <c r="P12" s="468">
        <v>3</v>
      </c>
      <c r="Q12" s="783">
        <v>3794.1785936262499</v>
      </c>
      <c r="R12" s="13"/>
      <c r="S12" s="783">
        <v>364.94635535606801</v>
      </c>
      <c r="T12" s="460"/>
      <c r="U12" s="783">
        <v>349.336741671494</v>
      </c>
      <c r="V12" s="460"/>
      <c r="W12" s="783">
        <v>-3239220.7951485701</v>
      </c>
      <c r="X12" s="460"/>
    </row>
    <row r="13" spans="1:26">
      <c r="A13" s="201" t="str">
        <f>VLOOKUP($D13,HeatExch_from_BP!$P:$AE,3,0)</f>
        <v>Ez-2131 AB Pages from MM-10000.pdf</v>
      </c>
      <c r="B13" s="782"/>
      <c r="C13" s="16"/>
      <c r="D13" s="522" t="s">
        <v>8265</v>
      </c>
      <c r="E13" s="782"/>
      <c r="F13" s="465" t="s">
        <v>8249</v>
      </c>
      <c r="G13" s="783">
        <v>20.8336111111111</v>
      </c>
      <c r="H13" s="460">
        <f>VLOOKUP($D13,HeatExch_from_BP!$P:$AE,6,0)/3600</f>
        <v>20.833611111111111</v>
      </c>
      <c r="I13" s="783">
        <v>3500</v>
      </c>
      <c r="J13" s="460">
        <f>VLOOKUP($D13,HeatExch_from_BP!$P:$AE,4,0)*2</f>
        <v>3500</v>
      </c>
      <c r="K13" s="783">
        <v>83.208888888888893</v>
      </c>
      <c r="L13" s="460">
        <f>VLOOKUP($D13,HeatExch_from_BP!$P:$AE,5,0)/3600</f>
        <v>83.208888888888893</v>
      </c>
      <c r="M13" s="783">
        <v>660</v>
      </c>
      <c r="N13" s="555">
        <f>VLOOKUP($D13,HeatExch_from_BP!$P:$AE,16,0)*2</f>
        <v>660</v>
      </c>
      <c r="O13" s="783">
        <v>3</v>
      </c>
      <c r="P13" s="555">
        <v>3</v>
      </c>
      <c r="Q13" s="783">
        <v>2144.2888804515801</v>
      </c>
      <c r="R13" s="460"/>
      <c r="S13" s="783">
        <v>384.51868627902502</v>
      </c>
      <c r="T13" s="460"/>
      <c r="U13" s="783">
        <v>308.42038672838999</v>
      </c>
      <c r="V13" s="460"/>
      <c r="W13" s="783">
        <v>-2371981.4046888398</v>
      </c>
      <c r="X13" s="460"/>
    </row>
    <row r="14" spans="1:26">
      <c r="A14" s="201" t="str">
        <f>VLOOKUP($D14,HeatExch_from_BP!$P:$AE,3,0)</f>
        <v>EZ2152A-F-Win.pdf, 2/14</v>
      </c>
      <c r="B14" s="782"/>
      <c r="C14" s="415"/>
      <c r="D14" s="599" t="s">
        <v>8988</v>
      </c>
      <c r="E14" s="782"/>
      <c r="F14" s="465" t="s">
        <v>8989</v>
      </c>
      <c r="G14" s="783">
        <v>96.3888888888889</v>
      </c>
      <c r="H14" s="460">
        <f>VLOOKUP($D14,HeatExch_from_BP!$P:$AE,6,0)/3600</f>
        <v>96.388888888888886</v>
      </c>
      <c r="I14" s="783">
        <v>16440</v>
      </c>
      <c r="J14" s="460">
        <f>VLOOKUP($D14,HeatExch_from_BP!$P:$AE,4,0)</f>
        <v>16440</v>
      </c>
      <c r="K14" s="783">
        <v>277.777777777778</v>
      </c>
      <c r="L14" s="460"/>
      <c r="M14" s="783">
        <v>1644</v>
      </c>
      <c r="N14" s="610">
        <f>VLOOKUP($D14,HeatExch_from_BP!$P:$AE,16,0)*6</f>
        <v>1644</v>
      </c>
      <c r="O14" s="783">
        <v>3</v>
      </c>
      <c r="P14" s="416">
        <v>3</v>
      </c>
      <c r="Q14" s="783">
        <v>31855.273833135601</v>
      </c>
      <c r="R14" s="13"/>
      <c r="S14" s="783">
        <v>380.90181290630602</v>
      </c>
      <c r="T14" s="460"/>
      <c r="U14" s="783">
        <v>325.591569684234</v>
      </c>
      <c r="V14" s="460"/>
      <c r="W14" s="783">
        <v>-18073059.662092</v>
      </c>
      <c r="X14" s="460"/>
    </row>
    <row r="15" spans="1:26">
      <c r="A15" s="201" t="str">
        <f>VLOOKUP($D15,HeatExch_from_BP!$P:$AE,3,0)</f>
        <v>EZ2204A-F-Win.pdf, 2/14</v>
      </c>
      <c r="B15" s="782"/>
      <c r="C15" s="417"/>
      <c r="D15" s="599" t="s">
        <v>8969</v>
      </c>
      <c r="E15" s="782"/>
      <c r="F15" s="465" t="s">
        <v>8983</v>
      </c>
      <c r="G15" s="783">
        <v>32.0277777777778</v>
      </c>
      <c r="H15" s="460">
        <f>VLOOKUP($D15,HeatExch_from_BP!$P:$AE,6,0)/3600</f>
        <v>32.027777777777779</v>
      </c>
      <c r="I15" s="783">
        <v>14850</v>
      </c>
      <c r="J15" s="460">
        <f>VLOOKUP($D15,HeatExch_from_BP!$P:$AE,4,0)</f>
        <v>14850</v>
      </c>
      <c r="K15" s="783">
        <v>333.33333333333297</v>
      </c>
      <c r="L15" s="460"/>
      <c r="M15" s="783">
        <v>1590</v>
      </c>
      <c r="N15" s="416">
        <f>VLOOKUP($D15,HeatExch_from_BP!$P:$AE,16,0)*6</f>
        <v>1590</v>
      </c>
      <c r="O15" s="783">
        <v>3</v>
      </c>
      <c r="P15" s="416">
        <v>3</v>
      </c>
      <c r="Q15" s="783">
        <v>10374.799561625799</v>
      </c>
      <c r="R15" s="13"/>
      <c r="S15" s="783">
        <v>341.89413203117698</v>
      </c>
      <c r="T15" s="460"/>
      <c r="U15" s="783">
        <v>314.753229792198</v>
      </c>
      <c r="V15" s="460"/>
      <c r="W15" s="783">
        <v>-9436500.1415603794</v>
      </c>
      <c r="X15" s="460"/>
    </row>
    <row r="16" spans="1:26" s="184" customFormat="1">
      <c r="A16" s="201" t="str">
        <f>VLOOKUP($D16,HeatExch_from_BP!$P:$AE,3,0)</f>
        <v>EZ2206A-T-Win, p1</v>
      </c>
      <c r="B16" s="782"/>
      <c r="C16" s="197"/>
      <c r="D16" s="198" t="s">
        <v>6149</v>
      </c>
      <c r="E16" s="782"/>
      <c r="F16" s="465" t="s">
        <v>6147</v>
      </c>
      <c r="G16" s="783">
        <v>69.4444444444444</v>
      </c>
      <c r="H16" s="193">
        <f>VLOOKUP($D16,HeatExch_from_BP!$P:$AE,6,0)/3600/2</f>
        <v>69.444444444444443</v>
      </c>
      <c r="I16" s="783">
        <v>38900</v>
      </c>
      <c r="J16" s="193">
        <f>VLOOKUP($D16,HeatExch_from_BP!$P:$AE,4,0)/2</f>
        <v>38900</v>
      </c>
      <c r="K16" s="783">
        <v>347.222222222222</v>
      </c>
      <c r="L16" s="460"/>
      <c r="M16" s="783">
        <v>2450</v>
      </c>
      <c r="N16" s="193">
        <f>VLOOKUP($D16,HeatExch_from_BP!$P:$AE,16,0)*10</f>
        <v>2450</v>
      </c>
      <c r="O16" s="783">
        <v>3</v>
      </c>
      <c r="P16" s="193">
        <v>3</v>
      </c>
      <c r="Q16" s="783">
        <v>7680.3598488034604</v>
      </c>
      <c r="R16" s="193"/>
      <c r="S16" s="783">
        <v>364.687257948357</v>
      </c>
      <c r="T16" s="460"/>
      <c r="U16" s="783">
        <v>336.51409709548</v>
      </c>
      <c r="V16" s="460"/>
      <c r="W16" s="783">
        <v>-21887736.923900101</v>
      </c>
      <c r="X16" s="460"/>
    </row>
    <row r="17" spans="1:24" s="184" customFormat="1">
      <c r="A17" s="201" t="str">
        <f>VLOOKUP($D17,HeatExch_from_BP!$P:$AE,3,0)</f>
        <v>EZ2206A-T-Win, p1</v>
      </c>
      <c r="B17" s="782"/>
      <c r="C17" s="197"/>
      <c r="D17" s="198" t="s">
        <v>6149</v>
      </c>
      <c r="E17" s="782"/>
      <c r="F17" s="465" t="s">
        <v>6148</v>
      </c>
      <c r="G17" s="783">
        <v>69.4444444444444</v>
      </c>
      <c r="H17" s="193">
        <f>VLOOKUP($D17,HeatExch_from_BP!$P:$AE,6,0)/3600/2</f>
        <v>69.444444444444443</v>
      </c>
      <c r="I17" s="783">
        <v>38900</v>
      </c>
      <c r="J17" s="193">
        <f>VLOOKUP($D17,HeatExch_from_BP!$P:$AE,4,0)/2</f>
        <v>38900</v>
      </c>
      <c r="K17" s="783">
        <v>347.222222222222</v>
      </c>
      <c r="L17" s="460"/>
      <c r="M17" s="783">
        <v>2450</v>
      </c>
      <c r="N17" s="193">
        <f>VLOOKUP($D17,HeatExch_from_BP!$P:$AE,16,0)*10</f>
        <v>2450</v>
      </c>
      <c r="O17" s="783">
        <v>3</v>
      </c>
      <c r="P17" s="193">
        <v>3</v>
      </c>
      <c r="Q17" s="783">
        <v>7680.3598488034604</v>
      </c>
      <c r="R17" s="193"/>
      <c r="S17" s="783">
        <v>364.687257948357</v>
      </c>
      <c r="T17" s="460"/>
      <c r="U17" s="783">
        <v>336.51409709548</v>
      </c>
      <c r="V17" s="460"/>
      <c r="W17" s="783">
        <v>-21887736.923900101</v>
      </c>
      <c r="X17" s="460"/>
    </row>
    <row r="18" spans="1:24" s="184" customFormat="1">
      <c r="A18" s="201" t="str">
        <f>VLOOKUP($D18,HeatExch_from_BP!$P:$AE,3,0)</f>
        <v>EZ2207 Technical Requisition TAR2011.pdf, 22/105</v>
      </c>
      <c r="B18" s="782"/>
      <c r="C18" s="197"/>
      <c r="D18" s="198" t="s">
        <v>6249</v>
      </c>
      <c r="E18" s="782"/>
      <c r="F18" s="465" t="s">
        <v>6247</v>
      </c>
      <c r="G18" s="783">
        <v>37.5</v>
      </c>
      <c r="H18" s="193">
        <f>VLOOKUP($D18,HeatExch_from_BP!$P:$AE,6,0)/3600</f>
        <v>37.5</v>
      </c>
      <c r="I18" s="783">
        <v>3383</v>
      </c>
      <c r="J18" s="193">
        <f>VLOOKUP($D18,HeatExch_from_BP!$P:$AE,4,0)</f>
        <v>3383</v>
      </c>
      <c r="K18" s="783">
        <v>202.00111111111099</v>
      </c>
      <c r="L18" s="460">
        <f>VLOOKUP($D18,HeatExch_from_BP!$P:$AE,5,0)/3600</f>
        <v>202.0011111111111</v>
      </c>
      <c r="M18" s="783">
        <v>530</v>
      </c>
      <c r="N18" s="193">
        <f>VLOOKUP($D18,HeatExch_from_BP!$P:$AE,16,0)*2</f>
        <v>530</v>
      </c>
      <c r="O18" s="783">
        <v>3</v>
      </c>
      <c r="P18" s="193">
        <v>3</v>
      </c>
      <c r="Q18" s="783">
        <v>61069.008303964903</v>
      </c>
      <c r="R18" s="193"/>
      <c r="S18" s="783">
        <v>336.99376679978297</v>
      </c>
      <c r="T18" s="460"/>
      <c r="U18" s="783">
        <v>312.76293148469898</v>
      </c>
      <c r="V18" s="460"/>
      <c r="W18" s="783">
        <v>-1708022.1905185799</v>
      </c>
      <c r="X18" s="460"/>
    </row>
    <row r="19" spans="1:24" s="184" customFormat="1">
      <c r="A19" s="720" t="str">
        <f>VLOOKUP($D19,HeatExch_from_BP!$P:$AE,3,0)</f>
        <v>EZ2208A-D-Win, p2</v>
      </c>
      <c r="B19" s="782"/>
      <c r="C19" s="197"/>
      <c r="D19" s="198" t="s">
        <v>6186</v>
      </c>
      <c r="E19" s="782"/>
      <c r="F19" s="465" t="s">
        <v>6187</v>
      </c>
      <c r="G19" s="783">
        <v>42.7777777777778</v>
      </c>
      <c r="H19" s="193">
        <f>VLOOKUP($D19,HeatExch_from_BP!$P:$AE,6,0)/3600</f>
        <v>42.777777777777779</v>
      </c>
      <c r="I19" s="783">
        <v>8920</v>
      </c>
      <c r="J19" s="193">
        <f>VLOOKUP($D19,HeatExch_from_BP!$P:$AE,4,0)</f>
        <v>8920</v>
      </c>
      <c r="K19" s="783">
        <v>104.166666666667</v>
      </c>
      <c r="L19" s="460"/>
      <c r="M19" s="783">
        <v>1060</v>
      </c>
      <c r="N19" s="193">
        <f>VLOOKUP($D19,HeatExch_from_BP!$P:$AE,16,0)*4</f>
        <v>1060</v>
      </c>
      <c r="O19" s="783">
        <v>3</v>
      </c>
      <c r="P19" s="193">
        <v>3</v>
      </c>
      <c r="Q19" s="783">
        <v>71803.273741491095</v>
      </c>
      <c r="R19" s="193"/>
      <c r="S19" s="783">
        <v>416.14543278858702</v>
      </c>
      <c r="T19" s="460"/>
      <c r="U19" s="783">
        <v>313.47630281677601</v>
      </c>
      <c r="V19" s="460"/>
      <c r="W19" s="783">
        <v>-6381657.8469868796</v>
      </c>
      <c r="X19" s="460"/>
    </row>
    <row r="20" spans="1:24">
      <c r="A20" s="201" t="str">
        <f>VLOOKUP($D20,HeatExch_from_BP!$P:$AE,3,0)</f>
        <v>EZ2209A-D-Win, p2</v>
      </c>
      <c r="B20" s="782"/>
      <c r="C20" s="417"/>
      <c r="D20" s="599" t="s">
        <v>8968</v>
      </c>
      <c r="E20" s="782"/>
      <c r="F20" s="465" t="s">
        <v>8982</v>
      </c>
      <c r="G20" s="783">
        <v>45</v>
      </c>
      <c r="H20" s="460">
        <f>VLOOKUP($D20,HeatExch_from_BP!$P:$AE,6,0)/3600</f>
        <v>45</v>
      </c>
      <c r="I20" s="783">
        <v>8240</v>
      </c>
      <c r="J20" s="460">
        <f>VLOOKUP($D20,HeatExch_from_BP!$P:$AE,4,0)</f>
        <v>8240</v>
      </c>
      <c r="K20" s="783">
        <v>277.777777777778</v>
      </c>
      <c r="L20" s="460"/>
      <c r="M20" s="783">
        <v>1060</v>
      </c>
      <c r="N20" s="416">
        <f>VLOOKUP($D20,HeatExch_from_BP!$P:$AE,16,0)*4</f>
        <v>1060</v>
      </c>
      <c r="O20" s="783">
        <v>3</v>
      </c>
      <c r="P20" s="416">
        <v>3</v>
      </c>
      <c r="Q20" s="783">
        <v>682.62789737596199</v>
      </c>
      <c r="R20" s="13"/>
      <c r="S20" s="783">
        <v>401.72499597754899</v>
      </c>
      <c r="T20" s="460"/>
      <c r="U20" s="783">
        <v>309.04105378084398</v>
      </c>
      <c r="V20" s="460"/>
      <c r="W20" s="783">
        <v>-9183510.8199791498</v>
      </c>
      <c r="X20" s="460"/>
    </row>
    <row r="21" spans="1:24">
      <c r="A21" s="14"/>
      <c r="B21" s="15"/>
      <c r="C21" s="16"/>
      <c r="D21" s="17"/>
      <c r="E21" s="12"/>
      <c r="F21" s="18"/>
      <c r="G21" s="19"/>
      <c r="H21" s="13"/>
      <c r="I21" s="19"/>
      <c r="J21" s="13"/>
      <c r="K21" s="19"/>
      <c r="L21" s="13"/>
      <c r="M21" s="19"/>
      <c r="N21" s="13"/>
      <c r="O21" s="19"/>
      <c r="P21" s="13"/>
      <c r="Q21" s="19"/>
      <c r="R21" s="13"/>
      <c r="S21" s="557"/>
      <c r="T21" s="460"/>
      <c r="U21" s="557"/>
      <c r="V21" s="460"/>
      <c r="W21" s="557"/>
      <c r="X21" s="460"/>
    </row>
    <row r="22" spans="1:24">
      <c r="A22" s="14"/>
      <c r="B22" s="15"/>
      <c r="C22" s="16"/>
      <c r="D22" s="17"/>
      <c r="E22" s="754"/>
      <c r="F22" s="18"/>
      <c r="G22" s="19"/>
      <c r="H22" s="13"/>
      <c r="I22" s="19"/>
      <c r="J22" s="13"/>
      <c r="K22" s="19"/>
      <c r="L22" s="13"/>
      <c r="M22" s="19"/>
      <c r="N22" s="13"/>
      <c r="O22" s="19"/>
      <c r="P22" s="13"/>
      <c r="Q22" s="19"/>
      <c r="R22" s="13"/>
      <c r="S22" s="557"/>
      <c r="T22" s="460"/>
      <c r="U22" s="557"/>
      <c r="V22" s="460"/>
      <c r="W22" s="557"/>
      <c r="X22" s="460"/>
    </row>
    <row r="23" spans="1:24">
      <c r="A23" s="14"/>
      <c r="B23" s="15"/>
      <c r="C23" s="16"/>
      <c r="D23" s="17"/>
      <c r="E23" s="754"/>
      <c r="F23" s="18"/>
      <c r="G23" s="19"/>
      <c r="H23" s="13"/>
      <c r="I23" s="19"/>
      <c r="J23" s="13"/>
      <c r="K23" s="19"/>
      <c r="L23" s="13"/>
      <c r="M23" s="19"/>
      <c r="N23" s="13"/>
      <c r="O23" s="19"/>
      <c r="P23" s="13"/>
      <c r="Q23" s="19"/>
      <c r="R23" s="13"/>
      <c r="S23" s="557"/>
      <c r="T23" s="460"/>
      <c r="U23" s="557"/>
      <c r="V23" s="460"/>
      <c r="W23" s="557"/>
      <c r="X23" s="460"/>
    </row>
    <row r="24" spans="1:24">
      <c r="A24" s="14"/>
      <c r="B24" s="15"/>
      <c r="C24" s="16"/>
      <c r="D24" s="17"/>
      <c r="E24" s="754"/>
      <c r="F24" s="18"/>
      <c r="G24" s="19"/>
      <c r="H24" s="13"/>
      <c r="I24" s="19"/>
      <c r="J24" s="13"/>
      <c r="K24" s="19"/>
      <c r="L24" s="13"/>
      <c r="M24" s="19"/>
      <c r="N24" s="13"/>
      <c r="O24" s="19"/>
      <c r="P24" s="13"/>
      <c r="Q24" s="19"/>
      <c r="R24" s="13"/>
      <c r="S24" s="557"/>
      <c r="T24" s="460"/>
      <c r="U24" s="557"/>
      <c r="V24" s="460"/>
      <c r="W24" s="557"/>
      <c r="X24" s="460"/>
    </row>
    <row r="25" spans="1:24">
      <c r="A25" s="14"/>
      <c r="B25" s="15"/>
      <c r="C25" s="16"/>
      <c r="D25" s="17"/>
      <c r="E25" s="754"/>
      <c r="F25" s="18"/>
      <c r="G25" s="19"/>
      <c r="H25" s="13"/>
      <c r="I25" s="19"/>
      <c r="J25" s="13"/>
      <c r="K25" s="19"/>
      <c r="L25" s="13"/>
      <c r="M25" s="19"/>
      <c r="N25" s="13"/>
      <c r="O25" s="19"/>
      <c r="P25" s="13"/>
      <c r="Q25" s="19"/>
      <c r="R25" s="13"/>
      <c r="S25" s="557"/>
      <c r="T25" s="460"/>
      <c r="U25" s="557"/>
      <c r="V25" s="460"/>
      <c r="W25" s="557"/>
      <c r="X25" s="460"/>
    </row>
    <row r="26" spans="1:24">
      <c r="A26" s="14"/>
      <c r="B26" s="15"/>
      <c r="C26" s="16"/>
      <c r="D26" s="17"/>
      <c r="E26" s="754"/>
      <c r="F26" s="18"/>
      <c r="G26" s="19"/>
      <c r="H26" s="13"/>
      <c r="I26" s="19"/>
      <c r="J26" s="13"/>
      <c r="K26" s="19"/>
      <c r="L26" s="13"/>
      <c r="M26" s="19"/>
      <c r="N26" s="13"/>
      <c r="O26" s="19"/>
      <c r="P26" s="13"/>
      <c r="Q26" s="19"/>
      <c r="R26" s="13"/>
      <c r="S26" s="557"/>
      <c r="T26" s="460"/>
      <c r="U26" s="557"/>
      <c r="V26" s="460"/>
      <c r="W26" s="557"/>
      <c r="X26" s="460"/>
    </row>
    <row r="27" spans="1:24">
      <c r="A27" s="14"/>
      <c r="B27" s="15"/>
      <c r="C27" s="16"/>
      <c r="D27" s="17"/>
      <c r="E27" s="754"/>
      <c r="F27" s="18"/>
      <c r="G27" s="19"/>
      <c r="H27" s="13"/>
      <c r="I27" s="19"/>
      <c r="J27" s="13"/>
      <c r="K27" s="19"/>
      <c r="L27" s="13"/>
      <c r="M27" s="19"/>
      <c r="N27" s="13"/>
      <c r="O27" s="19"/>
      <c r="P27" s="13"/>
      <c r="Q27" s="19"/>
      <c r="R27" s="13"/>
      <c r="S27" s="557"/>
      <c r="T27" s="460"/>
      <c r="U27" s="557"/>
      <c r="V27" s="460"/>
      <c r="W27" s="557"/>
      <c r="X27" s="460"/>
    </row>
    <row r="28" spans="1:24">
      <c r="A28" s="14"/>
      <c r="B28" s="15"/>
      <c r="C28" s="16"/>
      <c r="D28" s="17"/>
      <c r="E28" s="754"/>
      <c r="F28" s="18"/>
      <c r="G28" s="19"/>
      <c r="H28" s="13"/>
      <c r="I28" s="19"/>
      <c r="J28" s="13"/>
      <c r="K28" s="19"/>
      <c r="L28" s="13"/>
      <c r="M28" s="19"/>
      <c r="N28" s="13"/>
      <c r="O28" s="19"/>
      <c r="P28" s="13"/>
      <c r="Q28" s="19"/>
      <c r="R28" s="13"/>
      <c r="S28" s="557"/>
      <c r="T28" s="460"/>
      <c r="U28" s="557"/>
      <c r="V28" s="460"/>
      <c r="W28" s="557"/>
      <c r="X28" s="460"/>
    </row>
    <row r="29" spans="1:24">
      <c r="A29" s="14"/>
      <c r="B29" s="15"/>
      <c r="C29" s="16"/>
      <c r="D29" s="17"/>
      <c r="E29" s="754"/>
      <c r="F29" s="18"/>
      <c r="G29" s="19"/>
      <c r="H29" s="13"/>
      <c r="I29" s="19"/>
      <c r="J29" s="13"/>
      <c r="K29" s="19"/>
      <c r="L29" s="13"/>
      <c r="M29" s="19"/>
      <c r="N29" s="13"/>
      <c r="O29" s="19"/>
      <c r="P29" s="13"/>
      <c r="Q29" s="19"/>
      <c r="R29" s="13"/>
      <c r="S29" s="557"/>
      <c r="T29" s="460"/>
      <c r="U29" s="557"/>
      <c r="V29" s="460"/>
      <c r="W29" s="557"/>
      <c r="X29" s="460"/>
    </row>
    <row r="30" spans="1:24">
      <c r="A30" s="14"/>
      <c r="B30" s="15"/>
      <c r="C30" s="16"/>
      <c r="D30" s="17"/>
      <c r="E30" s="754"/>
      <c r="F30" s="18"/>
      <c r="G30" s="19"/>
      <c r="H30" s="13"/>
      <c r="I30" s="19"/>
      <c r="J30" s="13"/>
      <c r="K30" s="19"/>
      <c r="L30" s="13"/>
      <c r="M30" s="19"/>
      <c r="N30" s="13"/>
      <c r="O30" s="19"/>
      <c r="P30" s="13"/>
      <c r="Q30" s="19"/>
      <c r="R30" s="13"/>
      <c r="S30" s="557"/>
      <c r="T30" s="460"/>
      <c r="U30" s="557"/>
      <c r="V30" s="460"/>
      <c r="W30" s="557"/>
      <c r="X30" s="460"/>
    </row>
    <row r="31" spans="1:24">
      <c r="A31" s="14"/>
      <c r="B31" s="15"/>
      <c r="C31" s="16"/>
      <c r="D31" s="17"/>
      <c r="E31" s="754"/>
      <c r="F31" s="18"/>
      <c r="G31" s="19"/>
      <c r="H31" s="13"/>
      <c r="I31" s="19"/>
      <c r="J31" s="13"/>
      <c r="K31" s="19"/>
      <c r="L31" s="13"/>
      <c r="M31" s="19"/>
      <c r="N31" s="13"/>
      <c r="O31" s="19"/>
      <c r="P31" s="13"/>
      <c r="Q31" s="19"/>
      <c r="R31" s="13"/>
      <c r="S31" s="557"/>
      <c r="T31" s="460"/>
      <c r="U31" s="557"/>
      <c r="V31" s="460"/>
      <c r="W31" s="557"/>
      <c r="X31" s="460"/>
    </row>
    <row r="32" spans="1:24">
      <c r="A32" s="14"/>
      <c r="B32" s="15"/>
      <c r="C32" s="16"/>
      <c r="D32" s="17"/>
      <c r="E32" s="754"/>
      <c r="F32" s="18"/>
      <c r="G32" s="19"/>
      <c r="H32" s="13"/>
      <c r="I32" s="19"/>
      <c r="J32" s="13"/>
      <c r="K32" s="19"/>
      <c r="L32" s="13"/>
      <c r="M32" s="19"/>
      <c r="N32" s="13"/>
      <c r="O32" s="19"/>
      <c r="P32" s="13"/>
      <c r="Q32" s="19"/>
      <c r="R32" s="13"/>
      <c r="S32" s="557"/>
      <c r="T32" s="460"/>
      <c r="U32" s="557"/>
      <c r="V32" s="460"/>
      <c r="W32" s="557"/>
      <c r="X32" s="460"/>
    </row>
    <row r="33" spans="1:24">
      <c r="A33" s="14"/>
      <c r="B33" s="15"/>
      <c r="C33" s="16"/>
      <c r="D33" s="17"/>
      <c r="E33" s="754"/>
      <c r="F33" s="18"/>
      <c r="G33" s="19"/>
      <c r="H33" s="13"/>
      <c r="I33" s="19"/>
      <c r="J33" s="13"/>
      <c r="K33" s="19"/>
      <c r="L33" s="13"/>
      <c r="M33" s="19"/>
      <c r="N33" s="13"/>
      <c r="O33" s="19"/>
      <c r="P33" s="13"/>
      <c r="Q33" s="19"/>
      <c r="R33" s="13"/>
      <c r="S33" s="557"/>
      <c r="T33" s="460"/>
      <c r="U33" s="557"/>
      <c r="V33" s="460"/>
      <c r="W33" s="557"/>
      <c r="X33" s="460"/>
    </row>
    <row r="34" spans="1:24">
      <c r="A34" s="14"/>
      <c r="B34" s="15"/>
      <c r="C34" s="16"/>
      <c r="D34" s="17"/>
      <c r="E34" s="754"/>
      <c r="F34" s="18"/>
      <c r="G34" s="19"/>
      <c r="H34" s="13"/>
      <c r="I34" s="19"/>
      <c r="J34" s="13"/>
      <c r="K34" s="19"/>
      <c r="L34" s="13"/>
      <c r="M34" s="19"/>
      <c r="N34" s="13"/>
      <c r="O34" s="19"/>
      <c r="P34" s="13"/>
      <c r="Q34" s="19"/>
      <c r="R34" s="13"/>
      <c r="S34" s="557"/>
      <c r="T34" s="460"/>
      <c r="U34" s="557"/>
      <c r="V34" s="460"/>
      <c r="W34" s="557"/>
      <c r="X34" s="460"/>
    </row>
    <row r="35" spans="1:24">
      <c r="A35" s="14"/>
      <c r="B35" s="15"/>
      <c r="C35" s="16"/>
      <c r="D35" s="17"/>
      <c r="E35" s="754"/>
      <c r="F35" s="18"/>
      <c r="G35" s="19"/>
      <c r="H35" s="13"/>
      <c r="I35" s="19"/>
      <c r="J35" s="13"/>
      <c r="K35" s="19"/>
      <c r="L35" s="13"/>
      <c r="M35" s="19"/>
      <c r="N35" s="13"/>
      <c r="O35" s="19"/>
      <c r="P35" s="13"/>
      <c r="Q35" s="19"/>
      <c r="R35" s="13"/>
      <c r="S35" s="557"/>
      <c r="T35" s="460"/>
      <c r="U35" s="557"/>
      <c r="V35" s="460"/>
      <c r="W35" s="557"/>
      <c r="X35" s="460"/>
    </row>
    <row r="36" spans="1:24">
      <c r="A36" s="14"/>
      <c r="B36" s="15"/>
      <c r="C36" s="16"/>
      <c r="D36" s="17"/>
      <c r="E36" s="754"/>
      <c r="F36" s="18"/>
      <c r="G36" s="19"/>
      <c r="H36" s="13"/>
      <c r="I36" s="19"/>
      <c r="J36" s="13"/>
      <c r="K36" s="19"/>
      <c r="L36" s="13"/>
      <c r="M36" s="19"/>
      <c r="N36" s="13"/>
      <c r="O36" s="19"/>
      <c r="P36" s="13"/>
      <c r="Q36" s="19"/>
      <c r="R36" s="13"/>
      <c r="S36" s="557"/>
      <c r="T36" s="460"/>
      <c r="U36" s="557"/>
      <c r="V36" s="460"/>
      <c r="W36" s="557"/>
      <c r="X36" s="460"/>
    </row>
    <row r="37" spans="1:24">
      <c r="A37" s="14"/>
      <c r="B37" s="15"/>
      <c r="C37" s="16"/>
      <c r="D37" s="17"/>
      <c r="E37" s="754"/>
      <c r="F37" s="18"/>
      <c r="G37" s="19"/>
      <c r="H37" s="13"/>
      <c r="I37" s="19"/>
      <c r="J37" s="13"/>
      <c r="K37" s="19"/>
      <c r="L37" s="13"/>
      <c r="M37" s="19"/>
      <c r="N37" s="13"/>
      <c r="O37" s="19"/>
      <c r="P37" s="13"/>
      <c r="Q37" s="19"/>
      <c r="R37" s="13"/>
      <c r="S37" s="557"/>
      <c r="T37" s="460"/>
      <c r="U37" s="557"/>
      <c r="V37" s="460"/>
      <c r="W37" s="557"/>
      <c r="X37" s="460"/>
    </row>
    <row r="38" spans="1:24">
      <c r="A38" s="14"/>
      <c r="B38" s="15"/>
      <c r="C38" s="16"/>
      <c r="D38" s="17"/>
      <c r="E38" s="12"/>
      <c r="F38" s="18"/>
      <c r="G38" s="19"/>
      <c r="H38" s="13"/>
      <c r="I38" s="19"/>
      <c r="J38" s="13"/>
      <c r="K38" s="19"/>
      <c r="L38" s="13"/>
      <c r="M38" s="19"/>
      <c r="N38" s="13"/>
      <c r="O38" s="19"/>
      <c r="P38" s="13"/>
      <c r="Q38" s="19"/>
      <c r="R38" s="13"/>
      <c r="S38" s="557"/>
      <c r="T38" s="460"/>
      <c r="U38" s="557"/>
      <c r="V38" s="460"/>
      <c r="W38" s="557"/>
      <c r="X38" s="460"/>
    </row>
    <row r="39" spans="1:24">
      <c r="A39" s="14"/>
      <c r="B39" s="15"/>
      <c r="C39" s="16"/>
      <c r="D39" s="17"/>
      <c r="E39" s="12"/>
      <c r="F39" s="18"/>
      <c r="G39" s="19"/>
      <c r="H39" s="13"/>
      <c r="I39" s="19"/>
      <c r="J39" s="13"/>
      <c r="K39" s="19"/>
      <c r="L39" s="13"/>
      <c r="M39" s="19"/>
      <c r="N39" s="13"/>
      <c r="O39" s="19"/>
      <c r="P39" s="13"/>
      <c r="Q39" s="19"/>
      <c r="R39" s="13"/>
      <c r="S39" s="557"/>
      <c r="T39" s="460"/>
      <c r="U39" s="557"/>
      <c r="V39" s="460"/>
      <c r="W39" s="557"/>
      <c r="X39" s="460"/>
    </row>
    <row r="40" spans="1:24">
      <c r="A40" s="14"/>
      <c r="B40" s="15"/>
      <c r="C40" s="16"/>
      <c r="D40" s="17"/>
      <c r="E40" s="12"/>
      <c r="F40" s="18"/>
      <c r="G40" s="19"/>
      <c r="H40" s="13"/>
      <c r="I40" s="19"/>
      <c r="J40" s="13"/>
      <c r="K40" s="19"/>
      <c r="L40" s="13"/>
      <c r="M40" s="19"/>
      <c r="N40" s="13"/>
      <c r="O40" s="19"/>
      <c r="P40" s="13"/>
      <c r="Q40" s="19"/>
      <c r="R40" s="13"/>
      <c r="S40" s="557"/>
      <c r="T40" s="460"/>
      <c r="U40" s="557"/>
      <c r="V40" s="460"/>
      <c r="W40" s="557"/>
      <c r="X40" s="460"/>
    </row>
    <row r="41" spans="1:24">
      <c r="A41" s="14"/>
      <c r="B41" s="15"/>
      <c r="C41" s="16"/>
      <c r="D41" s="17"/>
      <c r="E41" s="12"/>
      <c r="F41" s="18"/>
      <c r="G41" s="19"/>
      <c r="H41" s="13"/>
      <c r="I41" s="19"/>
      <c r="J41" s="13"/>
      <c r="K41" s="19"/>
      <c r="L41" s="13"/>
      <c r="M41" s="19"/>
      <c r="N41" s="13"/>
      <c r="O41" s="19"/>
      <c r="P41" s="13"/>
      <c r="Q41" s="19"/>
      <c r="R41" s="13"/>
      <c r="S41" s="557"/>
      <c r="T41" s="460"/>
      <c r="U41" s="557"/>
      <c r="V41" s="460"/>
      <c r="W41" s="557"/>
      <c r="X41" s="460"/>
    </row>
    <row r="42" spans="1:24">
      <c r="A42" s="14"/>
      <c r="B42" s="15"/>
      <c r="C42" s="16"/>
      <c r="D42" s="17"/>
      <c r="E42" s="12"/>
      <c r="F42" s="18"/>
      <c r="G42" s="19"/>
      <c r="H42" s="13"/>
      <c r="I42" s="19"/>
      <c r="J42" s="13"/>
      <c r="K42" s="19"/>
      <c r="L42" s="13"/>
      <c r="M42" s="19"/>
      <c r="N42" s="13"/>
      <c r="O42" s="19"/>
      <c r="P42" s="13"/>
      <c r="Q42" s="19"/>
      <c r="R42" s="13"/>
      <c r="S42" s="557"/>
      <c r="T42" s="460"/>
      <c r="U42" s="557"/>
      <c r="V42" s="460"/>
      <c r="W42" s="557"/>
      <c r="X42" s="460"/>
    </row>
    <row r="43" spans="1:24">
      <c r="A43" s="14"/>
      <c r="B43" s="15"/>
      <c r="C43" s="16"/>
      <c r="D43" s="17"/>
      <c r="E43" s="12"/>
      <c r="F43" s="18"/>
      <c r="G43" s="19"/>
      <c r="H43" s="13"/>
      <c r="I43" s="19"/>
      <c r="J43" s="13"/>
      <c r="K43" s="19"/>
      <c r="L43" s="13"/>
      <c r="M43" s="19"/>
      <c r="N43" s="13"/>
      <c r="O43" s="19"/>
      <c r="P43" s="13"/>
      <c r="Q43" s="19"/>
      <c r="R43" s="13"/>
      <c r="S43" s="557"/>
      <c r="T43" s="460"/>
      <c r="U43" s="557"/>
      <c r="V43" s="460"/>
      <c r="W43" s="557"/>
      <c r="X43" s="460"/>
    </row>
    <row r="44" spans="1:24">
      <c r="A44" s="14"/>
      <c r="B44" s="15"/>
      <c r="C44" s="16"/>
      <c r="D44" s="17"/>
      <c r="E44" s="12"/>
      <c r="F44" s="18"/>
      <c r="G44" s="19"/>
      <c r="H44" s="13"/>
      <c r="I44" s="19"/>
      <c r="J44" s="13"/>
      <c r="K44" s="19"/>
      <c r="L44" s="13"/>
      <c r="M44" s="19"/>
      <c r="N44" s="13"/>
      <c r="O44" s="19"/>
      <c r="P44" s="13"/>
      <c r="Q44" s="19"/>
      <c r="R44" s="13"/>
      <c r="S44" s="557"/>
      <c r="T44" s="460"/>
      <c r="U44" s="557"/>
      <c r="V44" s="460"/>
      <c r="W44" s="557"/>
      <c r="X44" s="460"/>
    </row>
    <row r="45" spans="1:24">
      <c r="A45" s="14"/>
      <c r="B45" s="15"/>
      <c r="C45" s="16"/>
      <c r="D45" s="17"/>
      <c r="E45" s="12"/>
      <c r="F45" s="18"/>
      <c r="G45" s="19"/>
      <c r="H45" s="13"/>
      <c r="I45" s="19"/>
      <c r="J45" s="13"/>
      <c r="K45" s="19"/>
      <c r="L45" s="13"/>
      <c r="M45" s="19"/>
      <c r="N45" s="13"/>
      <c r="O45" s="19"/>
      <c r="P45" s="13"/>
      <c r="Q45" s="19"/>
      <c r="R45" s="13"/>
      <c r="S45" s="557"/>
      <c r="T45" s="460"/>
      <c r="U45" s="557"/>
      <c r="V45" s="460"/>
      <c r="W45" s="557"/>
      <c r="X45" s="460"/>
    </row>
    <row r="46" spans="1:24">
      <c r="A46" s="14"/>
      <c r="B46" s="15"/>
      <c r="C46" s="16"/>
      <c r="D46" s="17"/>
      <c r="E46" s="12"/>
      <c r="F46" s="18"/>
      <c r="G46" s="19"/>
      <c r="H46" s="13"/>
      <c r="I46" s="19"/>
      <c r="J46" s="13"/>
      <c r="K46" s="19"/>
      <c r="L46" s="13"/>
      <c r="M46" s="19"/>
      <c r="N46" s="13"/>
      <c r="O46" s="19"/>
      <c r="P46" s="13"/>
      <c r="Q46" s="19"/>
      <c r="R46" s="13"/>
      <c r="S46" s="557"/>
      <c r="T46" s="460"/>
      <c r="U46" s="557"/>
      <c r="V46" s="460"/>
      <c r="W46" s="557"/>
      <c r="X46" s="460"/>
    </row>
    <row r="47" spans="1:24">
      <c r="A47" s="14"/>
      <c r="B47" s="15"/>
      <c r="C47" s="16"/>
      <c r="D47" s="17"/>
      <c r="E47" s="12"/>
      <c r="F47" s="18"/>
      <c r="G47" s="19"/>
      <c r="H47" s="13"/>
      <c r="I47" s="19"/>
      <c r="J47" s="13"/>
      <c r="K47" s="19"/>
      <c r="L47" s="13"/>
      <c r="M47" s="19"/>
      <c r="N47" s="13"/>
      <c r="O47" s="19"/>
      <c r="P47" s="13"/>
      <c r="Q47" s="19"/>
      <c r="R47" s="13"/>
      <c r="S47" s="557"/>
      <c r="T47" s="460"/>
      <c r="U47" s="557"/>
      <c r="V47" s="460"/>
      <c r="W47" s="557"/>
      <c r="X47" s="460"/>
    </row>
    <row r="48" spans="1:24">
      <c r="A48" s="14"/>
      <c r="B48" s="15"/>
      <c r="C48" s="16"/>
      <c r="D48" s="17"/>
      <c r="E48" s="12"/>
      <c r="F48" s="18"/>
      <c r="G48" s="19"/>
      <c r="H48" s="13"/>
      <c r="I48" s="19"/>
      <c r="J48" s="13"/>
      <c r="K48" s="19"/>
      <c r="L48" s="13"/>
      <c r="M48" s="19"/>
      <c r="N48" s="13"/>
      <c r="O48" s="19"/>
      <c r="P48" s="13"/>
      <c r="Q48" s="19"/>
      <c r="R48" s="13"/>
      <c r="S48" s="557"/>
      <c r="T48" s="460"/>
      <c r="U48" s="557"/>
      <c r="V48" s="460"/>
      <c r="W48" s="557"/>
      <c r="X48" s="460"/>
    </row>
    <row r="49" spans="1:24">
      <c r="A49" s="14"/>
      <c r="B49" s="15"/>
      <c r="C49" s="16"/>
      <c r="D49" s="17"/>
      <c r="E49" s="12"/>
      <c r="F49" s="18"/>
      <c r="G49" s="19"/>
      <c r="H49" s="13"/>
      <c r="I49" s="19"/>
      <c r="J49" s="13"/>
      <c r="K49" s="19"/>
      <c r="L49" s="13"/>
      <c r="M49" s="19"/>
      <c r="N49" s="13"/>
      <c r="O49" s="19"/>
      <c r="P49" s="13"/>
      <c r="Q49" s="19"/>
      <c r="R49" s="13"/>
      <c r="S49" s="557"/>
      <c r="T49" s="460"/>
      <c r="U49" s="557"/>
      <c r="V49" s="460"/>
      <c r="W49" s="557"/>
      <c r="X49" s="460"/>
    </row>
    <row r="50" spans="1:24">
      <c r="A50" s="14"/>
      <c r="B50" s="15"/>
      <c r="C50" s="16"/>
      <c r="D50" s="17"/>
      <c r="E50" s="12"/>
      <c r="F50" s="18"/>
      <c r="G50" s="19"/>
      <c r="H50" s="13"/>
      <c r="I50" s="19"/>
      <c r="J50" s="13"/>
      <c r="K50" s="19"/>
      <c r="L50" s="13"/>
      <c r="M50" s="19"/>
      <c r="N50" s="13"/>
      <c r="O50" s="19"/>
      <c r="P50" s="13"/>
      <c r="Q50" s="19"/>
      <c r="R50" s="13"/>
      <c r="S50" s="557"/>
      <c r="T50" s="460"/>
      <c r="U50" s="557"/>
      <c r="V50" s="460"/>
      <c r="W50" s="557"/>
      <c r="X50" s="460"/>
    </row>
    <row r="51" spans="1:24">
      <c r="A51" s="14"/>
      <c r="B51" s="15"/>
      <c r="C51" s="16"/>
      <c r="D51" s="17"/>
      <c r="E51" s="12"/>
      <c r="F51" s="18"/>
      <c r="G51" s="19"/>
      <c r="H51" s="13"/>
      <c r="I51" s="19"/>
      <c r="J51" s="13"/>
      <c r="K51" s="19"/>
      <c r="L51" s="13"/>
      <c r="M51" s="19"/>
      <c r="N51" s="13"/>
      <c r="O51" s="19"/>
      <c r="P51" s="13"/>
      <c r="Q51" s="19"/>
      <c r="R51" s="13"/>
      <c r="S51" s="557"/>
      <c r="T51" s="460"/>
      <c r="U51" s="557"/>
      <c r="V51" s="460"/>
      <c r="W51" s="557"/>
      <c r="X51" s="460"/>
    </row>
    <row r="52" spans="1:24">
      <c r="A52" s="14"/>
      <c r="B52" s="15"/>
      <c r="C52" s="16"/>
      <c r="D52" s="17"/>
      <c r="E52" s="12"/>
      <c r="F52" s="18"/>
      <c r="G52" s="19"/>
      <c r="H52" s="13"/>
      <c r="I52" s="19"/>
      <c r="J52" s="13"/>
      <c r="K52" s="19"/>
      <c r="L52" s="13"/>
      <c r="M52" s="19"/>
      <c r="N52" s="13"/>
      <c r="O52" s="19"/>
      <c r="P52" s="13"/>
      <c r="Q52" s="19"/>
      <c r="R52" s="13"/>
      <c r="S52" s="557"/>
      <c r="T52" s="460"/>
      <c r="U52" s="557"/>
      <c r="V52" s="460"/>
      <c r="W52" s="557"/>
      <c r="X52" s="460"/>
    </row>
    <row r="53" spans="1:24">
      <c r="A53" s="14"/>
      <c r="B53" s="15"/>
      <c r="C53" s="16"/>
      <c r="D53" s="17"/>
      <c r="E53" s="12"/>
      <c r="F53" s="18"/>
      <c r="G53" s="19"/>
      <c r="H53" s="13"/>
      <c r="I53" s="19"/>
      <c r="J53" s="13"/>
      <c r="K53" s="19"/>
      <c r="L53" s="13"/>
      <c r="M53" s="19"/>
      <c r="N53" s="13"/>
      <c r="O53" s="19"/>
      <c r="P53" s="13"/>
      <c r="Q53" s="19"/>
      <c r="R53" s="13"/>
      <c r="S53" s="557"/>
      <c r="T53" s="460"/>
      <c r="U53" s="557"/>
      <c r="V53" s="460"/>
      <c r="W53" s="557"/>
      <c r="X53" s="460"/>
    </row>
    <row r="54" spans="1:24">
      <c r="A54" s="14"/>
      <c r="B54" s="15"/>
      <c r="C54" s="16"/>
      <c r="D54" s="17"/>
      <c r="E54" s="12"/>
      <c r="F54" s="18"/>
      <c r="G54" s="19"/>
      <c r="H54" s="13"/>
      <c r="I54" s="19"/>
      <c r="J54" s="13"/>
      <c r="K54" s="19"/>
      <c r="L54" s="13"/>
      <c r="M54" s="19"/>
      <c r="N54" s="13"/>
      <c r="O54" s="19"/>
      <c r="P54" s="13"/>
      <c r="Q54" s="19"/>
      <c r="R54" s="13"/>
      <c r="S54" s="557"/>
      <c r="T54" s="460"/>
      <c r="U54" s="557"/>
      <c r="V54" s="460"/>
      <c r="W54" s="557"/>
      <c r="X54" s="460"/>
    </row>
    <row r="55" spans="1:24">
      <c r="A55" s="14"/>
      <c r="B55" s="15"/>
      <c r="C55" s="16"/>
      <c r="D55" s="17"/>
      <c r="E55" s="12"/>
      <c r="F55" s="18"/>
      <c r="G55" s="19"/>
      <c r="H55" s="13"/>
      <c r="I55" s="19"/>
      <c r="J55" s="13"/>
      <c r="K55" s="19"/>
      <c r="L55" s="13"/>
      <c r="M55" s="19"/>
      <c r="N55" s="13"/>
      <c r="O55" s="19"/>
      <c r="P55" s="13"/>
      <c r="Q55" s="19"/>
      <c r="R55" s="13"/>
      <c r="S55" s="557"/>
      <c r="T55" s="460"/>
      <c r="U55" s="557"/>
      <c r="V55" s="460"/>
      <c r="W55" s="557"/>
      <c r="X55" s="460"/>
    </row>
    <row r="56" spans="1:24">
      <c r="A56" s="14"/>
      <c r="B56" s="15"/>
      <c r="C56" s="16"/>
      <c r="D56" s="17"/>
      <c r="E56" s="12"/>
      <c r="F56" s="18"/>
      <c r="G56" s="19"/>
      <c r="H56" s="13"/>
      <c r="I56" s="19"/>
      <c r="J56" s="13"/>
      <c r="K56" s="19"/>
      <c r="L56" s="13"/>
      <c r="M56" s="19"/>
      <c r="N56" s="13"/>
      <c r="O56" s="19"/>
      <c r="P56" s="13"/>
      <c r="Q56" s="19"/>
      <c r="R56" s="13"/>
      <c r="S56" s="557"/>
      <c r="T56" s="460"/>
      <c r="U56" s="557"/>
      <c r="V56" s="460"/>
      <c r="W56" s="557"/>
      <c r="X56" s="460"/>
    </row>
    <row r="57" spans="1:24">
      <c r="A57" s="14"/>
      <c r="B57" s="15"/>
      <c r="C57" s="16"/>
      <c r="D57" s="17"/>
      <c r="E57" s="12"/>
      <c r="F57" s="18"/>
      <c r="G57" s="19"/>
      <c r="H57" s="13"/>
      <c r="I57" s="19"/>
      <c r="J57" s="13"/>
      <c r="K57" s="19"/>
      <c r="L57" s="13"/>
      <c r="M57" s="19"/>
      <c r="N57" s="13"/>
      <c r="O57" s="19"/>
      <c r="P57" s="13"/>
      <c r="Q57" s="19"/>
      <c r="R57" s="13"/>
      <c r="S57" s="557"/>
      <c r="T57" s="460"/>
      <c r="U57" s="557"/>
      <c r="V57" s="460"/>
      <c r="W57" s="557"/>
      <c r="X57" s="460"/>
    </row>
    <row r="58" spans="1:24">
      <c r="A58" s="14"/>
      <c r="B58" s="15"/>
      <c r="C58" s="16"/>
      <c r="D58" s="17"/>
      <c r="E58" s="12"/>
      <c r="F58" s="18"/>
      <c r="G58" s="19"/>
      <c r="H58" s="13"/>
      <c r="I58" s="19"/>
      <c r="J58" s="13"/>
      <c r="K58" s="19"/>
      <c r="L58" s="13"/>
      <c r="M58" s="19"/>
      <c r="N58" s="13"/>
      <c r="O58" s="19"/>
      <c r="P58" s="13"/>
      <c r="Q58" s="19"/>
      <c r="R58" s="13"/>
      <c r="S58" s="557"/>
      <c r="T58" s="460"/>
      <c r="U58" s="557"/>
      <c r="V58" s="460"/>
      <c r="W58" s="557"/>
      <c r="X58" s="460"/>
    </row>
    <row r="59" spans="1:24">
      <c r="A59" s="14"/>
      <c r="B59" s="15"/>
      <c r="C59" s="16"/>
      <c r="D59" s="17"/>
      <c r="E59" s="12"/>
      <c r="F59" s="18"/>
      <c r="G59" s="19"/>
      <c r="H59" s="13"/>
      <c r="I59" s="19"/>
      <c r="J59" s="13"/>
      <c r="K59" s="19"/>
      <c r="L59" s="13"/>
      <c r="M59" s="19"/>
      <c r="N59" s="13"/>
      <c r="O59" s="19"/>
      <c r="P59" s="13"/>
      <c r="Q59" s="19"/>
      <c r="R59" s="13"/>
      <c r="S59" s="557"/>
      <c r="T59" s="460"/>
      <c r="U59" s="557"/>
      <c r="V59" s="460"/>
      <c r="W59" s="557"/>
      <c r="X59" s="460"/>
    </row>
    <row r="60" spans="1:24">
      <c r="A60" s="14"/>
      <c r="B60" s="15"/>
      <c r="C60" s="16"/>
      <c r="D60" s="17"/>
      <c r="E60" s="12"/>
      <c r="F60" s="18"/>
      <c r="G60" s="19"/>
      <c r="H60" s="13"/>
      <c r="I60" s="19"/>
      <c r="J60" s="13"/>
      <c r="K60" s="19"/>
      <c r="L60" s="13"/>
      <c r="M60" s="19"/>
      <c r="N60" s="13"/>
      <c r="O60" s="19"/>
      <c r="P60" s="13"/>
      <c r="Q60" s="19"/>
      <c r="R60" s="13"/>
      <c r="S60" s="557"/>
      <c r="T60" s="460"/>
      <c r="U60" s="557"/>
      <c r="V60" s="460"/>
      <c r="W60" s="557"/>
      <c r="X60" s="460"/>
    </row>
    <row r="61" spans="1:24">
      <c r="A61" s="14"/>
      <c r="B61" s="15"/>
      <c r="C61" s="16"/>
      <c r="D61" s="17"/>
      <c r="E61" s="12"/>
      <c r="F61" s="18"/>
      <c r="G61" s="19"/>
      <c r="H61" s="13"/>
      <c r="I61" s="19"/>
      <c r="J61" s="13"/>
      <c r="K61" s="19"/>
      <c r="L61" s="13"/>
      <c r="M61" s="19"/>
      <c r="N61" s="13"/>
      <c r="O61" s="19"/>
      <c r="P61" s="13"/>
      <c r="Q61" s="19"/>
      <c r="R61" s="13"/>
      <c r="S61" s="557"/>
      <c r="T61" s="460"/>
      <c r="U61" s="557"/>
      <c r="V61" s="460"/>
      <c r="W61" s="557"/>
      <c r="X61" s="460"/>
    </row>
    <row r="62" spans="1:24">
      <c r="A62" s="14"/>
      <c r="B62" s="15"/>
      <c r="C62" s="16"/>
      <c r="D62" s="17"/>
      <c r="E62" s="12"/>
      <c r="F62" s="18"/>
      <c r="G62" s="19"/>
      <c r="H62" s="13"/>
      <c r="I62" s="19"/>
      <c r="J62" s="13"/>
      <c r="K62" s="19"/>
      <c r="L62" s="13"/>
      <c r="M62" s="19"/>
      <c r="N62" s="13"/>
      <c r="O62" s="19"/>
      <c r="P62" s="13"/>
      <c r="Q62" s="19"/>
      <c r="R62" s="13"/>
      <c r="S62" s="557"/>
      <c r="T62" s="460"/>
      <c r="U62" s="557"/>
      <c r="V62" s="460"/>
      <c r="W62" s="557"/>
      <c r="X62" s="460"/>
    </row>
    <row r="63" spans="1:24">
      <c r="A63" s="14"/>
      <c r="B63" s="15"/>
      <c r="C63" s="16"/>
      <c r="D63" s="17"/>
      <c r="E63" s="12"/>
      <c r="F63" s="18"/>
      <c r="G63" s="19"/>
      <c r="H63" s="13"/>
      <c r="I63" s="19"/>
      <c r="J63" s="13"/>
      <c r="K63" s="19"/>
      <c r="L63" s="13"/>
      <c r="M63" s="19"/>
      <c r="N63" s="13"/>
      <c r="O63" s="19"/>
      <c r="P63" s="13"/>
      <c r="Q63" s="19"/>
      <c r="R63" s="13"/>
      <c r="S63" s="557"/>
      <c r="T63" s="460"/>
      <c r="U63" s="557"/>
      <c r="V63" s="460"/>
      <c r="W63" s="557"/>
      <c r="X63" s="460"/>
    </row>
    <row r="64" spans="1:24">
      <c r="A64" s="14"/>
      <c r="B64" s="15"/>
      <c r="C64" s="16"/>
      <c r="D64" s="17"/>
      <c r="E64" s="12"/>
      <c r="F64" s="18"/>
      <c r="G64" s="19"/>
      <c r="H64" s="13"/>
      <c r="I64" s="19"/>
      <c r="J64" s="13"/>
      <c r="K64" s="19"/>
      <c r="L64" s="13"/>
      <c r="M64" s="19"/>
      <c r="N64" s="13"/>
      <c r="O64" s="19"/>
      <c r="P64" s="13"/>
      <c r="Q64" s="19"/>
      <c r="R64" s="13"/>
      <c r="S64" s="557"/>
      <c r="T64" s="460"/>
      <c r="U64" s="557"/>
      <c r="V64" s="460"/>
      <c r="W64" s="557"/>
      <c r="X64" s="460"/>
    </row>
    <row r="65" spans="1:24">
      <c r="A65" s="14"/>
      <c r="B65" s="15"/>
      <c r="C65" s="16"/>
      <c r="D65" s="17"/>
      <c r="E65" s="12"/>
      <c r="F65" s="18"/>
      <c r="G65" s="19"/>
      <c r="H65" s="13"/>
      <c r="I65" s="19"/>
      <c r="J65" s="13"/>
      <c r="K65" s="19"/>
      <c r="L65" s="13"/>
      <c r="M65" s="19"/>
      <c r="N65" s="13"/>
      <c r="O65" s="19"/>
      <c r="P65" s="13"/>
      <c r="Q65" s="19"/>
      <c r="R65" s="13"/>
      <c r="S65" s="557"/>
      <c r="T65" s="460"/>
      <c r="U65" s="557"/>
      <c r="V65" s="460"/>
      <c r="W65" s="557"/>
      <c r="X65" s="460"/>
    </row>
    <row r="66" spans="1:24">
      <c r="A66" s="14"/>
      <c r="B66" s="15"/>
      <c r="C66" s="16"/>
      <c r="D66" s="17"/>
      <c r="E66" s="12"/>
      <c r="F66" s="18"/>
      <c r="G66" s="19"/>
      <c r="H66" s="13"/>
      <c r="I66" s="19"/>
      <c r="J66" s="13"/>
      <c r="K66" s="19"/>
      <c r="L66" s="13"/>
      <c r="M66" s="19"/>
      <c r="N66" s="13"/>
      <c r="O66" s="19"/>
      <c r="P66" s="13"/>
      <c r="Q66" s="19"/>
      <c r="R66" s="13"/>
      <c r="S66" s="557"/>
      <c r="T66" s="460"/>
      <c r="U66" s="557"/>
      <c r="V66" s="460"/>
      <c r="W66" s="557"/>
      <c r="X66" s="460"/>
    </row>
    <row r="67" spans="1:24">
      <c r="A67" s="14"/>
      <c r="B67" s="15"/>
      <c r="C67" s="16"/>
      <c r="D67" s="17"/>
      <c r="E67" s="12"/>
      <c r="F67" s="18"/>
      <c r="G67" s="19"/>
      <c r="H67" s="13"/>
      <c r="I67" s="19"/>
      <c r="J67" s="13"/>
      <c r="K67" s="19"/>
      <c r="L67" s="13"/>
      <c r="M67" s="19"/>
      <c r="N67" s="13"/>
      <c r="O67" s="19"/>
      <c r="P67" s="13"/>
      <c r="Q67" s="19"/>
      <c r="R67" s="13"/>
      <c r="S67" s="557"/>
      <c r="T67" s="460"/>
      <c r="U67" s="557"/>
      <c r="V67" s="460"/>
      <c r="W67" s="557"/>
      <c r="X67" s="460"/>
    </row>
    <row r="68" spans="1:24">
      <c r="A68" s="14"/>
      <c r="B68" s="15"/>
      <c r="C68" s="16"/>
      <c r="D68" s="17"/>
      <c r="E68" s="12"/>
      <c r="F68" s="18"/>
      <c r="G68" s="19"/>
      <c r="H68" s="13"/>
      <c r="I68" s="19"/>
      <c r="J68" s="13"/>
      <c r="K68" s="19"/>
      <c r="L68" s="13"/>
      <c r="M68" s="19"/>
      <c r="N68" s="13"/>
      <c r="O68" s="19"/>
      <c r="P68" s="13"/>
      <c r="Q68" s="19"/>
      <c r="R68" s="13"/>
      <c r="S68" s="557"/>
      <c r="T68" s="460"/>
      <c r="U68" s="557"/>
      <c r="V68" s="460"/>
      <c r="W68" s="557"/>
      <c r="X68" s="460"/>
    </row>
    <row r="69" spans="1:24">
      <c r="A69" s="14"/>
      <c r="B69" s="15"/>
      <c r="C69" s="16"/>
      <c r="D69" s="17"/>
      <c r="E69" s="12"/>
      <c r="F69" s="18"/>
      <c r="G69" s="19"/>
      <c r="H69" s="13"/>
      <c r="I69" s="19"/>
      <c r="J69" s="13"/>
      <c r="K69" s="19"/>
      <c r="L69" s="13"/>
      <c r="M69" s="19"/>
      <c r="N69" s="13"/>
      <c r="O69" s="19"/>
      <c r="P69" s="13"/>
      <c r="Q69" s="19"/>
      <c r="R69" s="13"/>
      <c r="S69" s="557"/>
      <c r="T69" s="460"/>
      <c r="U69" s="557"/>
      <c r="V69" s="460"/>
      <c r="W69" s="557"/>
      <c r="X69" s="460"/>
    </row>
    <row r="70" spans="1:24">
      <c r="A70" s="14"/>
      <c r="B70" s="15"/>
      <c r="C70" s="16"/>
      <c r="D70" s="17"/>
      <c r="E70" s="12"/>
      <c r="F70" s="18"/>
      <c r="G70" s="19"/>
      <c r="H70" s="13"/>
      <c r="I70" s="19"/>
      <c r="J70" s="13"/>
      <c r="K70" s="19"/>
      <c r="L70" s="13"/>
      <c r="M70" s="19"/>
      <c r="N70" s="13"/>
      <c r="O70" s="19"/>
      <c r="P70" s="13"/>
      <c r="Q70" s="19"/>
      <c r="R70" s="13"/>
      <c r="S70" s="557"/>
      <c r="T70" s="460"/>
      <c r="U70" s="557"/>
      <c r="V70" s="460"/>
      <c r="W70" s="557"/>
      <c r="X70" s="460"/>
    </row>
    <row r="71" spans="1:24">
      <c r="A71" s="14"/>
      <c r="B71" s="15"/>
      <c r="C71" s="16"/>
      <c r="D71" s="17"/>
      <c r="E71" s="12"/>
      <c r="F71" s="18"/>
      <c r="G71" s="19"/>
      <c r="H71" s="13"/>
      <c r="I71" s="19"/>
      <c r="J71" s="13"/>
      <c r="K71" s="19"/>
      <c r="L71" s="13"/>
      <c r="M71" s="19"/>
      <c r="N71" s="13"/>
      <c r="O71" s="19"/>
      <c r="P71" s="13"/>
      <c r="Q71" s="19"/>
      <c r="R71" s="13"/>
      <c r="S71" s="557"/>
      <c r="T71" s="460"/>
      <c r="U71" s="557"/>
      <c r="V71" s="460"/>
      <c r="W71" s="557"/>
      <c r="X71" s="460"/>
    </row>
    <row r="72" spans="1:24">
      <c r="A72" s="14"/>
      <c r="B72" s="15"/>
      <c r="C72" s="16"/>
      <c r="D72" s="17"/>
      <c r="E72" s="12"/>
      <c r="F72" s="18"/>
      <c r="G72" s="19"/>
      <c r="H72" s="13"/>
      <c r="I72" s="19"/>
      <c r="J72" s="13"/>
      <c r="K72" s="19"/>
      <c r="L72" s="13"/>
      <c r="M72" s="19"/>
      <c r="N72" s="13"/>
      <c r="O72" s="19"/>
      <c r="P72" s="13"/>
      <c r="Q72" s="19"/>
      <c r="R72" s="13"/>
      <c r="S72" s="557"/>
      <c r="T72" s="460"/>
      <c r="U72" s="557"/>
      <c r="V72" s="460"/>
      <c r="W72" s="557"/>
      <c r="X72" s="460"/>
    </row>
    <row r="73" spans="1:24">
      <c r="A73" s="14"/>
      <c r="B73" s="15"/>
      <c r="C73" s="16"/>
      <c r="D73" s="17"/>
      <c r="E73" s="12"/>
      <c r="F73" s="18"/>
      <c r="G73" s="19"/>
      <c r="H73" s="13"/>
      <c r="I73" s="19"/>
      <c r="J73" s="13"/>
      <c r="K73" s="19"/>
      <c r="L73" s="13"/>
      <c r="M73" s="19"/>
      <c r="N73" s="13"/>
      <c r="O73" s="19"/>
      <c r="P73" s="13"/>
      <c r="Q73" s="19"/>
      <c r="R73" s="13"/>
      <c r="S73" s="557"/>
      <c r="T73" s="460"/>
      <c r="U73" s="557"/>
      <c r="V73" s="460"/>
      <c r="W73" s="557"/>
      <c r="X73" s="460"/>
    </row>
    <row r="74" spans="1:24">
      <c r="A74" s="14"/>
      <c r="B74" s="15"/>
      <c r="C74" s="16"/>
      <c r="D74" s="17"/>
      <c r="E74" s="12"/>
      <c r="F74" s="18"/>
      <c r="G74" s="19"/>
      <c r="H74" s="13"/>
      <c r="I74" s="19"/>
      <c r="J74" s="13"/>
      <c r="K74" s="19"/>
      <c r="L74" s="13"/>
      <c r="M74" s="19"/>
      <c r="N74" s="13"/>
      <c r="O74" s="19"/>
      <c r="P74" s="13"/>
      <c r="Q74" s="19"/>
      <c r="R74" s="13"/>
      <c r="S74" s="557"/>
      <c r="T74" s="460"/>
      <c r="U74" s="557"/>
      <c r="V74" s="460"/>
      <c r="W74" s="557"/>
      <c r="X74" s="460"/>
    </row>
    <row r="75" spans="1:24">
      <c r="A75" s="14"/>
      <c r="B75" s="15"/>
      <c r="C75" s="16"/>
      <c r="D75" s="17"/>
      <c r="E75" s="12"/>
      <c r="F75" s="18"/>
      <c r="G75" s="19"/>
      <c r="H75" s="13"/>
      <c r="I75" s="19"/>
      <c r="J75" s="13"/>
      <c r="K75" s="19"/>
      <c r="L75" s="13"/>
      <c r="M75" s="19"/>
      <c r="N75" s="13"/>
      <c r="O75" s="19"/>
      <c r="P75" s="13"/>
      <c r="Q75" s="19"/>
      <c r="R75" s="13"/>
      <c r="S75" s="557"/>
      <c r="T75" s="460"/>
      <c r="U75" s="557"/>
      <c r="V75" s="460"/>
      <c r="W75" s="557"/>
      <c r="X75" s="460"/>
    </row>
    <row r="76" spans="1:24">
      <c r="A76" s="14"/>
      <c r="B76" s="15"/>
      <c r="C76" s="16"/>
      <c r="D76" s="17"/>
      <c r="E76" s="12"/>
      <c r="F76" s="18"/>
      <c r="G76" s="19"/>
      <c r="H76" s="13"/>
      <c r="I76" s="19"/>
      <c r="J76" s="13"/>
      <c r="K76" s="19"/>
      <c r="L76" s="13"/>
      <c r="M76" s="19"/>
      <c r="N76" s="13"/>
      <c r="O76" s="19"/>
      <c r="P76" s="13"/>
      <c r="Q76" s="19"/>
      <c r="R76" s="13"/>
      <c r="S76" s="557"/>
      <c r="T76" s="460"/>
      <c r="U76" s="557"/>
      <c r="V76" s="460"/>
      <c r="W76" s="557"/>
      <c r="X76" s="460"/>
    </row>
    <row r="77" spans="1:24">
      <c r="A77" s="14"/>
      <c r="B77" s="15"/>
      <c r="C77" s="16"/>
      <c r="D77" s="17"/>
      <c r="E77" s="12"/>
      <c r="F77" s="18"/>
      <c r="G77" s="19"/>
      <c r="H77" s="13"/>
      <c r="I77" s="19"/>
      <c r="J77" s="13"/>
      <c r="K77" s="19"/>
      <c r="L77" s="13"/>
      <c r="M77" s="19"/>
      <c r="N77" s="13"/>
      <c r="O77" s="19"/>
      <c r="P77" s="13"/>
      <c r="Q77" s="19"/>
      <c r="R77" s="13"/>
      <c r="S77" s="557"/>
      <c r="T77" s="460"/>
      <c r="U77" s="557"/>
      <c r="V77" s="460"/>
      <c r="W77" s="557"/>
      <c r="X77" s="460"/>
    </row>
    <row r="78" spans="1:24">
      <c r="A78" s="14"/>
      <c r="B78" s="15"/>
      <c r="C78" s="16"/>
      <c r="D78" s="17"/>
      <c r="E78" s="12"/>
      <c r="F78" s="18"/>
      <c r="G78" s="19"/>
      <c r="H78" s="13"/>
      <c r="I78" s="19"/>
      <c r="J78" s="13"/>
      <c r="K78" s="19"/>
      <c r="L78" s="13"/>
      <c r="M78" s="19"/>
      <c r="N78" s="13"/>
      <c r="O78" s="19"/>
      <c r="P78" s="13"/>
      <c r="Q78" s="19"/>
      <c r="R78" s="13"/>
      <c r="S78" s="557"/>
      <c r="T78" s="460"/>
      <c r="U78" s="557"/>
      <c r="V78" s="460"/>
      <c r="W78" s="557"/>
      <c r="X78" s="460"/>
    </row>
    <row r="79" spans="1:24">
      <c r="A79" s="14"/>
      <c r="B79" s="15"/>
      <c r="C79" s="16"/>
      <c r="D79" s="17"/>
      <c r="E79" s="12"/>
      <c r="F79" s="18"/>
      <c r="G79" s="19"/>
      <c r="H79" s="13"/>
      <c r="I79" s="19"/>
      <c r="J79" s="13"/>
      <c r="K79" s="19"/>
      <c r="L79" s="13"/>
      <c r="M79" s="19"/>
      <c r="N79" s="13"/>
      <c r="O79" s="19"/>
      <c r="P79" s="13"/>
      <c r="Q79" s="19"/>
      <c r="R79" s="13"/>
      <c r="S79" s="557"/>
      <c r="T79" s="460"/>
      <c r="U79" s="557"/>
      <c r="V79" s="460"/>
      <c r="W79" s="557"/>
      <c r="X79" s="460"/>
    </row>
    <row r="80" spans="1:24">
      <c r="A80" s="14"/>
      <c r="B80" s="15"/>
      <c r="C80" s="16"/>
      <c r="D80" s="17"/>
      <c r="E80" s="12"/>
      <c r="F80" s="18"/>
      <c r="G80" s="19"/>
      <c r="H80" s="13"/>
      <c r="I80" s="19"/>
      <c r="J80" s="13"/>
      <c r="K80" s="19"/>
      <c r="L80" s="13"/>
      <c r="M80" s="19"/>
      <c r="N80" s="13"/>
      <c r="O80" s="19"/>
      <c r="P80" s="13"/>
      <c r="Q80" s="19"/>
      <c r="R80" s="13"/>
      <c r="S80" s="557"/>
      <c r="T80" s="460"/>
      <c r="U80" s="557"/>
      <c r="V80" s="460"/>
      <c r="W80" s="557"/>
      <c r="X80" s="460"/>
    </row>
    <row r="81" spans="1:24">
      <c r="A81" s="14"/>
      <c r="B81" s="15"/>
      <c r="C81" s="16"/>
      <c r="D81" s="17"/>
      <c r="E81" s="12"/>
      <c r="F81" s="18"/>
      <c r="G81" s="19"/>
      <c r="H81" s="13"/>
      <c r="I81" s="19"/>
      <c r="J81" s="13"/>
      <c r="K81" s="19"/>
      <c r="L81" s="13"/>
      <c r="M81" s="19"/>
      <c r="N81" s="13"/>
      <c r="O81" s="19"/>
      <c r="P81" s="13"/>
      <c r="Q81" s="19"/>
      <c r="R81" s="13"/>
      <c r="S81" s="557"/>
      <c r="T81" s="460"/>
      <c r="U81" s="557"/>
      <c r="V81" s="460"/>
      <c r="W81" s="557"/>
      <c r="X81" s="460"/>
    </row>
    <row r="82" spans="1:24">
      <c r="A82" s="14"/>
      <c r="B82" s="15"/>
      <c r="C82" s="16"/>
      <c r="D82" s="17"/>
      <c r="E82" s="12"/>
      <c r="F82" s="18"/>
      <c r="G82" s="19"/>
      <c r="H82" s="13"/>
      <c r="I82" s="19"/>
      <c r="J82" s="13"/>
      <c r="K82" s="19"/>
      <c r="L82" s="13"/>
      <c r="M82" s="19"/>
      <c r="N82" s="13"/>
      <c r="O82" s="19"/>
      <c r="P82" s="13"/>
      <c r="Q82" s="19"/>
      <c r="R82" s="13"/>
      <c r="S82" s="557"/>
      <c r="T82" s="460"/>
      <c r="U82" s="557"/>
      <c r="V82" s="460"/>
      <c r="W82" s="557"/>
      <c r="X82" s="460"/>
    </row>
    <row r="83" spans="1:24">
      <c r="A83" s="14"/>
      <c r="B83" s="15"/>
      <c r="C83" s="16"/>
      <c r="D83" s="17"/>
      <c r="E83" s="12"/>
      <c r="F83" s="18"/>
      <c r="G83" s="19"/>
      <c r="H83" s="13"/>
      <c r="I83" s="19"/>
      <c r="J83" s="13"/>
      <c r="K83" s="19"/>
      <c r="L83" s="13"/>
      <c r="M83" s="19"/>
      <c r="N83" s="13"/>
      <c r="O83" s="19"/>
      <c r="P83" s="13"/>
      <c r="Q83" s="19"/>
      <c r="R83" s="13"/>
      <c r="S83" s="557"/>
      <c r="T83" s="460"/>
      <c r="U83" s="557"/>
      <c r="V83" s="460"/>
      <c r="W83" s="557"/>
      <c r="X83" s="460"/>
    </row>
    <row r="84" spans="1:24">
      <c r="A84" s="14"/>
      <c r="B84" s="15"/>
      <c r="C84" s="16"/>
      <c r="D84" s="17"/>
      <c r="E84" s="12"/>
      <c r="F84" s="18"/>
      <c r="G84" s="19"/>
      <c r="H84" s="13"/>
      <c r="I84" s="19"/>
      <c r="J84" s="13"/>
      <c r="K84" s="19"/>
      <c r="L84" s="13"/>
      <c r="M84" s="19"/>
      <c r="N84" s="13"/>
      <c r="O84" s="19"/>
      <c r="P84" s="13"/>
      <c r="Q84" s="19"/>
      <c r="R84" s="13"/>
      <c r="S84" s="557"/>
      <c r="T84" s="460"/>
      <c r="U84" s="557"/>
      <c r="V84" s="460"/>
      <c r="W84" s="557"/>
      <c r="X84" s="460"/>
    </row>
    <row r="85" spans="1:24">
      <c r="A85" s="14"/>
      <c r="B85" s="15"/>
      <c r="C85" s="16"/>
      <c r="D85" s="17"/>
      <c r="E85" s="12"/>
      <c r="F85" s="18"/>
      <c r="G85" s="19"/>
      <c r="H85" s="13"/>
      <c r="I85" s="19"/>
      <c r="J85" s="13"/>
      <c r="K85" s="19"/>
      <c r="L85" s="13"/>
      <c r="M85" s="19"/>
      <c r="N85" s="13"/>
      <c r="O85" s="19"/>
      <c r="P85" s="13"/>
      <c r="Q85" s="19"/>
      <c r="R85" s="13"/>
      <c r="S85" s="557"/>
      <c r="T85" s="460"/>
      <c r="U85" s="557"/>
      <c r="V85" s="460"/>
      <c r="W85" s="557"/>
      <c r="X85" s="460"/>
    </row>
    <row r="86" spans="1:24">
      <c r="A86" s="14"/>
      <c r="B86" s="15"/>
      <c r="C86" s="16"/>
      <c r="D86" s="17"/>
      <c r="E86" s="12"/>
      <c r="F86" s="18"/>
      <c r="G86" s="19"/>
      <c r="H86" s="13"/>
      <c r="I86" s="19"/>
      <c r="J86" s="13"/>
      <c r="K86" s="19"/>
      <c r="L86" s="13"/>
      <c r="M86" s="19"/>
      <c r="N86" s="13"/>
      <c r="O86" s="19"/>
      <c r="P86" s="13"/>
      <c r="Q86" s="19"/>
      <c r="R86" s="13"/>
      <c r="S86" s="557"/>
      <c r="T86" s="460"/>
      <c r="U86" s="557"/>
      <c r="V86" s="460"/>
      <c r="W86" s="557"/>
      <c r="X86" s="460"/>
    </row>
    <row r="87" spans="1:24">
      <c r="A87" s="14"/>
      <c r="B87" s="15"/>
      <c r="C87" s="16"/>
      <c r="D87" s="17"/>
      <c r="E87" s="12"/>
      <c r="F87" s="18"/>
      <c r="G87" s="19"/>
      <c r="H87" s="13"/>
      <c r="I87" s="19"/>
      <c r="J87" s="13"/>
      <c r="K87" s="19"/>
      <c r="L87" s="13"/>
      <c r="M87" s="19"/>
      <c r="N87" s="13"/>
      <c r="O87" s="19"/>
      <c r="P87" s="13"/>
      <c r="Q87" s="19"/>
      <c r="R87" s="13"/>
      <c r="S87" s="557"/>
      <c r="T87" s="460"/>
      <c r="U87" s="557"/>
      <c r="V87" s="460"/>
      <c r="W87" s="557"/>
      <c r="X87" s="460"/>
    </row>
    <row r="88" spans="1:24">
      <c r="A88" s="14"/>
      <c r="B88" s="15"/>
      <c r="C88" s="16"/>
      <c r="D88" s="17"/>
      <c r="E88" s="12"/>
      <c r="F88" s="18"/>
      <c r="G88" s="19"/>
      <c r="H88" s="13"/>
      <c r="I88" s="19"/>
      <c r="J88" s="13"/>
      <c r="K88" s="19"/>
      <c r="L88" s="13"/>
      <c r="M88" s="19"/>
      <c r="N88" s="13"/>
      <c r="O88" s="19"/>
      <c r="P88" s="13"/>
      <c r="Q88" s="19"/>
      <c r="R88" s="13"/>
      <c r="S88" s="557"/>
      <c r="T88" s="460"/>
      <c r="U88" s="557"/>
      <c r="V88" s="460"/>
      <c r="W88" s="557"/>
      <c r="X88" s="460"/>
    </row>
    <row r="89" spans="1:24">
      <c r="A89" s="14"/>
      <c r="B89" s="15"/>
      <c r="C89" s="16"/>
      <c r="D89" s="17"/>
      <c r="E89" s="12"/>
      <c r="F89" s="18"/>
      <c r="G89" s="19"/>
      <c r="H89" s="13"/>
      <c r="I89" s="19"/>
      <c r="J89" s="13"/>
      <c r="K89" s="19"/>
      <c r="L89" s="13"/>
      <c r="M89" s="19"/>
      <c r="N89" s="13"/>
      <c r="O89" s="19"/>
      <c r="P89" s="13"/>
      <c r="Q89" s="19"/>
      <c r="R89" s="13"/>
      <c r="S89" s="557"/>
      <c r="T89" s="460"/>
      <c r="U89" s="557"/>
      <c r="V89" s="460"/>
      <c r="W89" s="557"/>
      <c r="X89" s="460"/>
    </row>
    <row r="90" spans="1:24">
      <c r="A90" s="14"/>
      <c r="B90" s="15"/>
      <c r="C90" s="16"/>
      <c r="D90" s="17"/>
      <c r="E90" s="12"/>
      <c r="F90" s="18"/>
      <c r="G90" s="19"/>
      <c r="H90" s="13"/>
      <c r="I90" s="19"/>
      <c r="J90" s="13"/>
      <c r="K90" s="19"/>
      <c r="L90" s="13"/>
      <c r="M90" s="19"/>
      <c r="N90" s="13"/>
      <c r="O90" s="19"/>
      <c r="P90" s="13"/>
      <c r="Q90" s="19"/>
      <c r="R90" s="13"/>
      <c r="S90" s="557"/>
      <c r="T90" s="460"/>
      <c r="U90" s="557"/>
      <c r="V90" s="460"/>
      <c r="W90" s="557"/>
      <c r="X90" s="460"/>
    </row>
    <row r="91" spans="1:24">
      <c r="A91" s="14"/>
      <c r="B91" s="15"/>
      <c r="C91" s="16"/>
      <c r="D91" s="17"/>
      <c r="E91" s="12"/>
      <c r="F91" s="18"/>
      <c r="G91" s="19"/>
      <c r="H91" s="13"/>
      <c r="I91" s="19"/>
      <c r="J91" s="13"/>
      <c r="K91" s="19"/>
      <c r="L91" s="13"/>
      <c r="M91" s="19"/>
      <c r="N91" s="13"/>
      <c r="O91" s="19"/>
      <c r="P91" s="13"/>
      <c r="Q91" s="19"/>
      <c r="R91" s="13"/>
      <c r="S91" s="557"/>
      <c r="T91" s="460"/>
      <c r="U91" s="557"/>
      <c r="V91" s="460"/>
      <c r="W91" s="557"/>
      <c r="X91" s="460"/>
    </row>
    <row r="92" spans="1:24">
      <c r="A92" s="14"/>
      <c r="B92" s="15"/>
      <c r="C92" s="16"/>
      <c r="D92" s="17"/>
      <c r="E92" s="12"/>
      <c r="F92" s="18"/>
      <c r="G92" s="19"/>
      <c r="H92" s="13"/>
      <c r="I92" s="19"/>
      <c r="J92" s="13"/>
      <c r="K92" s="19"/>
      <c r="L92" s="13"/>
      <c r="M92" s="19"/>
      <c r="N92" s="13"/>
      <c r="O92" s="19"/>
      <c r="P92" s="13"/>
      <c r="Q92" s="19"/>
      <c r="R92" s="13"/>
      <c r="S92" s="557"/>
      <c r="T92" s="460"/>
      <c r="U92" s="557"/>
      <c r="V92" s="460"/>
      <c r="W92" s="557"/>
      <c r="X92" s="460"/>
    </row>
    <row r="93" spans="1:24">
      <c r="A93" s="14"/>
      <c r="B93" s="15"/>
      <c r="C93" s="16"/>
      <c r="D93" s="17"/>
      <c r="E93" s="12"/>
      <c r="F93" s="18"/>
      <c r="G93" s="19"/>
      <c r="H93" s="13"/>
      <c r="I93" s="19"/>
      <c r="J93" s="13"/>
      <c r="K93" s="19"/>
      <c r="L93" s="13"/>
      <c r="M93" s="19"/>
      <c r="N93" s="13"/>
      <c r="O93" s="19"/>
      <c r="P93" s="13"/>
      <c r="Q93" s="19"/>
      <c r="R93" s="13"/>
      <c r="S93" s="557"/>
      <c r="T93" s="460"/>
      <c r="U93" s="557"/>
      <c r="V93" s="460"/>
      <c r="W93" s="557"/>
      <c r="X93" s="460"/>
    </row>
    <row r="94" spans="1:24">
      <c r="A94" s="14"/>
      <c r="B94" s="15"/>
      <c r="C94" s="16"/>
      <c r="D94" s="17"/>
      <c r="E94" s="12"/>
      <c r="F94" s="18"/>
      <c r="G94" s="19"/>
      <c r="H94" s="13"/>
      <c r="I94" s="19"/>
      <c r="J94" s="13"/>
      <c r="K94" s="19"/>
      <c r="L94" s="13"/>
      <c r="M94" s="19"/>
      <c r="N94" s="13"/>
      <c r="O94" s="19"/>
      <c r="P94" s="13"/>
      <c r="Q94" s="19"/>
      <c r="R94" s="13"/>
      <c r="S94" s="557"/>
      <c r="T94" s="460"/>
      <c r="U94" s="557"/>
      <c r="V94" s="460"/>
      <c r="W94" s="557"/>
      <c r="X94" s="460"/>
    </row>
    <row r="95" spans="1:24">
      <c r="A95" s="14"/>
      <c r="B95" s="15"/>
      <c r="C95" s="16"/>
      <c r="D95" s="17"/>
      <c r="E95" s="12"/>
      <c r="F95" s="18"/>
      <c r="G95" s="19"/>
      <c r="H95" s="13"/>
      <c r="I95" s="19"/>
      <c r="J95" s="13"/>
      <c r="K95" s="19"/>
      <c r="L95" s="13"/>
      <c r="M95" s="19"/>
      <c r="N95" s="13"/>
      <c r="O95" s="19"/>
      <c r="P95" s="13"/>
      <c r="Q95" s="19"/>
      <c r="R95" s="13"/>
      <c r="S95" s="557"/>
      <c r="T95" s="460"/>
      <c r="U95" s="557"/>
      <c r="V95" s="460"/>
      <c r="W95" s="557"/>
      <c r="X95" s="460"/>
    </row>
    <row r="96" spans="1:24">
      <c r="A96" s="14"/>
      <c r="B96" s="15"/>
      <c r="C96" s="16"/>
      <c r="D96" s="17"/>
      <c r="E96" s="12"/>
      <c r="F96" s="18"/>
      <c r="G96" s="19"/>
      <c r="H96" s="13"/>
      <c r="I96" s="19"/>
      <c r="J96" s="13"/>
      <c r="K96" s="19"/>
      <c r="L96" s="13"/>
      <c r="M96" s="19"/>
      <c r="N96" s="13"/>
      <c r="O96" s="19"/>
      <c r="P96" s="13"/>
      <c r="Q96" s="19"/>
      <c r="R96" s="13"/>
      <c r="S96" s="557"/>
      <c r="T96" s="460"/>
      <c r="U96" s="557"/>
      <c r="V96" s="460"/>
      <c r="W96" s="557"/>
      <c r="X96" s="460"/>
    </row>
    <row r="97" spans="1:24">
      <c r="A97" s="14"/>
      <c r="B97" s="15"/>
      <c r="C97" s="16"/>
      <c r="D97" s="17"/>
      <c r="E97" s="12"/>
      <c r="F97" s="18"/>
      <c r="G97" s="19"/>
      <c r="H97" s="13"/>
      <c r="I97" s="19"/>
      <c r="J97" s="13"/>
      <c r="K97" s="19"/>
      <c r="L97" s="13"/>
      <c r="M97" s="19"/>
      <c r="N97" s="13"/>
      <c r="O97" s="19"/>
      <c r="P97" s="13"/>
      <c r="Q97" s="19"/>
      <c r="R97" s="13"/>
      <c r="S97" s="557"/>
      <c r="T97" s="460"/>
      <c r="U97" s="557"/>
      <c r="V97" s="460"/>
      <c r="W97" s="557"/>
      <c r="X97" s="460"/>
    </row>
    <row r="98" spans="1:24">
      <c r="A98" s="14"/>
      <c r="B98" s="15"/>
      <c r="C98" s="16"/>
      <c r="D98" s="17"/>
      <c r="E98" s="12"/>
      <c r="F98" s="18"/>
      <c r="G98" s="19"/>
      <c r="H98" s="13"/>
      <c r="I98" s="19"/>
      <c r="J98" s="13"/>
      <c r="K98" s="19"/>
      <c r="L98" s="13"/>
      <c r="M98" s="19"/>
      <c r="N98" s="13"/>
      <c r="O98" s="19"/>
      <c r="P98" s="13"/>
      <c r="Q98" s="19"/>
      <c r="R98" s="13"/>
      <c r="S98" s="557"/>
      <c r="T98" s="460"/>
      <c r="U98" s="557"/>
      <c r="V98" s="460"/>
      <c r="W98" s="557"/>
      <c r="X98" s="460"/>
    </row>
    <row r="99" spans="1:24">
      <c r="A99" s="14"/>
      <c r="B99" s="15"/>
      <c r="C99" s="16"/>
      <c r="D99" s="17"/>
      <c r="E99" s="12"/>
      <c r="F99" s="18"/>
      <c r="G99" s="19"/>
      <c r="H99" s="13"/>
      <c r="I99" s="19"/>
      <c r="J99" s="13"/>
      <c r="K99" s="19"/>
      <c r="L99" s="13"/>
      <c r="M99" s="19"/>
      <c r="N99" s="13"/>
      <c r="O99" s="19"/>
      <c r="P99" s="13"/>
      <c r="Q99" s="19"/>
      <c r="R99" s="13"/>
      <c r="S99" s="557"/>
      <c r="T99" s="460"/>
      <c r="U99" s="557"/>
      <c r="V99" s="460"/>
      <c r="W99" s="557"/>
      <c r="X99" s="460"/>
    </row>
    <row r="100" spans="1:24">
      <c r="A100" s="14"/>
      <c r="B100" s="15"/>
      <c r="C100" s="16"/>
      <c r="D100" s="17"/>
      <c r="E100" s="12"/>
      <c r="F100" s="18"/>
      <c r="G100" s="19"/>
      <c r="H100" s="13"/>
      <c r="I100" s="19"/>
      <c r="J100" s="13"/>
      <c r="K100" s="19"/>
      <c r="L100" s="13"/>
      <c r="M100" s="19"/>
      <c r="N100" s="13"/>
      <c r="O100" s="19"/>
      <c r="P100" s="13"/>
      <c r="Q100" s="19"/>
      <c r="R100" s="13"/>
      <c r="S100" s="557"/>
      <c r="T100" s="460"/>
      <c r="U100" s="557"/>
      <c r="V100" s="460"/>
      <c r="W100" s="557"/>
      <c r="X100" s="460"/>
    </row>
    <row r="101" spans="1:24">
      <c r="A101" s="14"/>
      <c r="B101" s="15"/>
      <c r="C101" s="16"/>
      <c r="D101" s="17"/>
      <c r="E101" s="12"/>
      <c r="F101" s="18"/>
      <c r="G101" s="19"/>
      <c r="H101" s="13"/>
      <c r="I101" s="19"/>
      <c r="J101" s="13"/>
      <c r="K101" s="19"/>
      <c r="L101" s="13"/>
      <c r="M101" s="19"/>
      <c r="N101" s="13"/>
      <c r="O101" s="19"/>
      <c r="P101" s="13"/>
      <c r="Q101" s="19"/>
      <c r="R101" s="13"/>
      <c r="S101" s="557"/>
      <c r="T101" s="460"/>
      <c r="U101" s="557"/>
      <c r="V101" s="460"/>
      <c r="W101" s="557"/>
      <c r="X101" s="460"/>
    </row>
    <row r="102" spans="1:24">
      <c r="A102" s="14"/>
      <c r="B102" s="15"/>
      <c r="C102" s="16"/>
      <c r="D102" s="17"/>
      <c r="E102" s="12"/>
      <c r="F102" s="18"/>
      <c r="G102" s="19"/>
      <c r="H102" s="13"/>
      <c r="I102" s="19"/>
      <c r="J102" s="13"/>
      <c r="K102" s="19"/>
      <c r="L102" s="13"/>
      <c r="M102" s="19"/>
      <c r="N102" s="13"/>
      <c r="O102" s="19"/>
      <c r="P102" s="13"/>
      <c r="Q102" s="19"/>
      <c r="R102" s="13"/>
      <c r="S102" s="557"/>
      <c r="T102" s="460"/>
      <c r="U102" s="557"/>
      <c r="V102" s="460"/>
      <c r="W102" s="557"/>
      <c r="X102" s="460"/>
    </row>
    <row r="103" spans="1:24">
      <c r="A103" s="14"/>
      <c r="B103" s="15"/>
      <c r="C103" s="16"/>
      <c r="D103" s="17"/>
      <c r="E103" s="12"/>
      <c r="F103" s="18"/>
      <c r="G103" s="19"/>
      <c r="H103" s="13"/>
      <c r="I103" s="19"/>
      <c r="J103" s="13"/>
      <c r="K103" s="19"/>
      <c r="L103" s="13"/>
      <c r="M103" s="19"/>
      <c r="N103" s="13"/>
      <c r="O103" s="19"/>
      <c r="P103" s="13"/>
      <c r="Q103" s="19"/>
      <c r="R103" s="13"/>
      <c r="S103" s="557"/>
      <c r="T103" s="460"/>
      <c r="U103" s="557"/>
      <c r="V103" s="460"/>
      <c r="W103" s="557"/>
      <c r="X103" s="460"/>
    </row>
    <row r="104" spans="1:24">
      <c r="A104" s="14"/>
      <c r="B104" s="15"/>
      <c r="C104" s="16"/>
      <c r="D104" s="17"/>
      <c r="E104" s="12"/>
      <c r="F104" s="18"/>
      <c r="G104" s="19"/>
      <c r="H104" s="13"/>
      <c r="I104" s="19"/>
      <c r="J104" s="13"/>
      <c r="K104" s="19"/>
      <c r="L104" s="13"/>
      <c r="M104" s="19"/>
      <c r="N104" s="13"/>
      <c r="O104" s="19"/>
      <c r="P104" s="13"/>
      <c r="Q104" s="19"/>
      <c r="R104" s="13"/>
      <c r="S104" s="557"/>
      <c r="T104" s="460"/>
      <c r="U104" s="557"/>
      <c r="V104" s="460"/>
      <c r="W104" s="557"/>
      <c r="X104" s="460"/>
    </row>
    <row r="105" spans="1:24">
      <c r="A105" s="14"/>
      <c r="B105" s="15"/>
      <c r="C105" s="16"/>
      <c r="D105" s="17"/>
      <c r="E105" s="12"/>
      <c r="F105" s="18"/>
      <c r="G105" s="19"/>
      <c r="H105" s="13"/>
      <c r="I105" s="19"/>
      <c r="J105" s="13"/>
      <c r="K105" s="19"/>
      <c r="L105" s="13"/>
      <c r="M105" s="19"/>
      <c r="N105" s="13"/>
      <c r="O105" s="19"/>
      <c r="P105" s="13"/>
      <c r="Q105" s="19"/>
      <c r="R105" s="13"/>
      <c r="S105" s="557"/>
      <c r="T105" s="460"/>
      <c r="U105" s="557"/>
      <c r="V105" s="460"/>
      <c r="W105" s="557"/>
      <c r="X105" s="460"/>
    </row>
    <row r="106" spans="1:24">
      <c r="A106" s="14"/>
      <c r="B106" s="15"/>
      <c r="C106" s="16"/>
      <c r="D106" s="17"/>
      <c r="E106" s="12"/>
      <c r="F106" s="18"/>
      <c r="G106" s="19"/>
      <c r="H106" s="13"/>
      <c r="I106" s="19"/>
      <c r="J106" s="13"/>
      <c r="K106" s="19"/>
      <c r="L106" s="13"/>
      <c r="M106" s="19"/>
      <c r="N106" s="13"/>
      <c r="O106" s="19"/>
      <c r="P106" s="13"/>
      <c r="Q106" s="19"/>
      <c r="R106" s="13"/>
      <c r="S106" s="557"/>
      <c r="T106" s="460"/>
      <c r="U106" s="557"/>
      <c r="V106" s="460"/>
      <c r="W106" s="557"/>
      <c r="X106" s="460"/>
    </row>
    <row r="107" spans="1:24">
      <c r="A107" s="14"/>
      <c r="B107" s="15"/>
      <c r="C107" s="16"/>
      <c r="D107" s="17"/>
      <c r="E107" s="12"/>
      <c r="F107" s="18"/>
      <c r="G107" s="19"/>
      <c r="H107" s="13"/>
      <c r="I107" s="19"/>
      <c r="J107" s="13"/>
      <c r="K107" s="19"/>
      <c r="L107" s="13"/>
      <c r="M107" s="19"/>
      <c r="N107" s="13"/>
      <c r="O107" s="19"/>
      <c r="P107" s="13"/>
      <c r="Q107" s="19"/>
      <c r="R107" s="13"/>
      <c r="S107" s="557"/>
      <c r="T107" s="460"/>
      <c r="U107" s="557"/>
      <c r="V107" s="460"/>
      <c r="W107" s="557"/>
      <c r="X107" s="460"/>
    </row>
    <row r="108" spans="1:24">
      <c r="A108" s="14"/>
      <c r="B108" s="15"/>
      <c r="C108" s="16"/>
      <c r="D108" s="17"/>
      <c r="E108" s="12"/>
      <c r="F108" s="18"/>
      <c r="G108" s="19"/>
      <c r="H108" s="13"/>
      <c r="I108" s="19"/>
      <c r="J108" s="13"/>
      <c r="K108" s="19"/>
      <c r="L108" s="13"/>
      <c r="M108" s="19"/>
      <c r="N108" s="13"/>
      <c r="O108" s="19"/>
      <c r="P108" s="13"/>
      <c r="Q108" s="19"/>
      <c r="R108" s="13"/>
      <c r="S108" s="557"/>
      <c r="T108" s="460"/>
      <c r="U108" s="557"/>
      <c r="V108" s="460"/>
      <c r="W108" s="557"/>
      <c r="X108" s="460"/>
    </row>
    <row r="109" spans="1:24">
      <c r="A109" s="14"/>
      <c r="B109" s="15"/>
      <c r="C109" s="16"/>
      <c r="D109" s="17"/>
      <c r="E109" s="12"/>
      <c r="F109" s="18"/>
      <c r="G109" s="19"/>
      <c r="H109" s="13"/>
      <c r="I109" s="19"/>
      <c r="J109" s="13"/>
      <c r="K109" s="19"/>
      <c r="L109" s="13"/>
      <c r="M109" s="19"/>
      <c r="N109" s="13"/>
      <c r="O109" s="19"/>
      <c r="P109" s="13"/>
      <c r="Q109" s="19"/>
      <c r="R109" s="13"/>
      <c r="S109" s="557"/>
      <c r="T109" s="460"/>
      <c r="U109" s="557"/>
      <c r="V109" s="460"/>
      <c r="W109" s="557"/>
      <c r="X109" s="460"/>
    </row>
    <row r="110" spans="1:24">
      <c r="A110" s="14"/>
      <c r="B110" s="15"/>
      <c r="C110" s="16"/>
      <c r="D110" s="17"/>
      <c r="E110" s="12"/>
      <c r="F110" s="18"/>
      <c r="G110" s="19"/>
      <c r="H110" s="13"/>
      <c r="I110" s="19"/>
      <c r="J110" s="13"/>
      <c r="K110" s="19"/>
      <c r="L110" s="13"/>
      <c r="M110" s="19"/>
      <c r="N110" s="13"/>
      <c r="O110" s="19"/>
      <c r="P110" s="13"/>
      <c r="Q110" s="19"/>
      <c r="R110" s="13"/>
      <c r="S110" s="557"/>
      <c r="T110" s="460"/>
      <c r="U110" s="557"/>
      <c r="V110" s="460"/>
      <c r="W110" s="557"/>
      <c r="X110" s="460"/>
    </row>
    <row r="111" spans="1:24">
      <c r="A111" s="14"/>
      <c r="B111" s="15"/>
      <c r="C111" s="16"/>
      <c r="D111" s="17"/>
      <c r="E111" s="12"/>
      <c r="F111" s="18"/>
      <c r="G111" s="19"/>
      <c r="H111" s="13"/>
      <c r="I111" s="19"/>
      <c r="J111" s="13"/>
      <c r="K111" s="19"/>
      <c r="L111" s="13"/>
      <c r="M111" s="19"/>
      <c r="N111" s="13"/>
      <c r="O111" s="19"/>
      <c r="P111" s="13"/>
      <c r="Q111" s="19"/>
      <c r="R111" s="13"/>
      <c r="S111" s="557"/>
      <c r="T111" s="460"/>
      <c r="U111" s="557"/>
      <c r="V111" s="460"/>
      <c r="W111" s="557"/>
      <c r="X111" s="460"/>
    </row>
    <row r="112" spans="1:24">
      <c r="A112" s="14"/>
      <c r="B112" s="15"/>
      <c r="C112" s="16"/>
      <c r="D112" s="17"/>
      <c r="E112" s="12"/>
      <c r="F112" s="18"/>
      <c r="G112" s="19"/>
      <c r="H112" s="13"/>
      <c r="I112" s="19"/>
      <c r="J112" s="13"/>
      <c r="K112" s="19"/>
      <c r="L112" s="13"/>
      <c r="M112" s="19"/>
      <c r="N112" s="13"/>
      <c r="O112" s="19"/>
      <c r="P112" s="13"/>
      <c r="Q112" s="19"/>
      <c r="R112" s="13"/>
      <c r="S112" s="557"/>
      <c r="T112" s="460"/>
      <c r="U112" s="557"/>
      <c r="V112" s="460"/>
      <c r="W112" s="557"/>
      <c r="X112" s="460"/>
    </row>
    <row r="113" spans="1:24">
      <c r="A113" s="14"/>
      <c r="B113" s="15"/>
      <c r="C113" s="16"/>
      <c r="D113" s="17"/>
      <c r="E113" s="12"/>
      <c r="F113" s="18"/>
      <c r="G113" s="19"/>
      <c r="H113" s="13"/>
      <c r="I113" s="19"/>
      <c r="J113" s="13"/>
      <c r="K113" s="19"/>
      <c r="L113" s="13"/>
      <c r="M113" s="19"/>
      <c r="N113" s="13"/>
      <c r="O113" s="19"/>
      <c r="P113" s="13"/>
      <c r="Q113" s="19"/>
      <c r="R113" s="13"/>
      <c r="S113" s="557"/>
      <c r="T113" s="460"/>
      <c r="U113" s="557"/>
      <c r="V113" s="460"/>
      <c r="W113" s="557"/>
      <c r="X113" s="460"/>
    </row>
    <row r="114" spans="1:24">
      <c r="A114" s="14"/>
      <c r="B114" s="15"/>
      <c r="C114" s="16"/>
      <c r="D114" s="17"/>
      <c r="E114" s="12"/>
      <c r="F114" s="18"/>
      <c r="G114" s="19"/>
      <c r="H114" s="13"/>
      <c r="I114" s="19"/>
      <c r="J114" s="13"/>
      <c r="K114" s="19"/>
      <c r="L114" s="13"/>
      <c r="M114" s="19"/>
      <c r="N114" s="13"/>
      <c r="O114" s="19"/>
      <c r="P114" s="13"/>
      <c r="Q114" s="19"/>
      <c r="R114" s="13"/>
      <c r="S114" s="557"/>
      <c r="T114" s="460"/>
      <c r="U114" s="557"/>
      <c r="V114" s="460"/>
      <c r="W114" s="557"/>
      <c r="X114" s="460"/>
    </row>
    <row r="115" spans="1:24">
      <c r="A115" s="14"/>
      <c r="B115" s="15"/>
      <c r="C115" s="16"/>
      <c r="D115" s="17"/>
      <c r="E115" s="12"/>
      <c r="F115" s="18"/>
      <c r="G115" s="19"/>
      <c r="H115" s="13"/>
      <c r="I115" s="19"/>
      <c r="J115" s="13"/>
      <c r="K115" s="19"/>
      <c r="L115" s="13"/>
      <c r="M115" s="19"/>
      <c r="N115" s="13"/>
      <c r="O115" s="19"/>
      <c r="P115" s="13"/>
      <c r="Q115" s="19"/>
      <c r="R115" s="13"/>
      <c r="S115" s="557"/>
      <c r="T115" s="460"/>
      <c r="U115" s="557"/>
      <c r="V115" s="460"/>
      <c r="W115" s="557"/>
      <c r="X115" s="460"/>
    </row>
    <row r="116" spans="1:24">
      <c r="A116" s="14"/>
      <c r="B116" s="15"/>
      <c r="C116" s="16"/>
      <c r="D116" s="17"/>
      <c r="E116" s="12"/>
      <c r="F116" s="18"/>
      <c r="G116" s="19"/>
      <c r="H116" s="13"/>
      <c r="I116" s="19"/>
      <c r="J116" s="13"/>
      <c r="K116" s="19"/>
      <c r="L116" s="13"/>
      <c r="M116" s="19"/>
      <c r="N116" s="13"/>
      <c r="O116" s="19"/>
      <c r="P116" s="13"/>
      <c r="Q116" s="19"/>
      <c r="R116" s="13"/>
      <c r="S116" s="557"/>
      <c r="T116" s="460"/>
      <c r="U116" s="557"/>
      <c r="V116" s="460"/>
      <c r="W116" s="557"/>
      <c r="X116" s="460"/>
    </row>
    <row r="117" spans="1:24">
      <c r="A117" s="14"/>
      <c r="B117" s="15"/>
      <c r="C117" s="16"/>
      <c r="D117" s="17"/>
      <c r="E117" s="12"/>
      <c r="F117" s="18"/>
      <c r="G117" s="19"/>
      <c r="H117" s="13"/>
      <c r="I117" s="19"/>
      <c r="J117" s="13"/>
      <c r="K117" s="19"/>
      <c r="L117" s="13"/>
      <c r="M117" s="19"/>
      <c r="N117" s="13"/>
      <c r="O117" s="19"/>
      <c r="P117" s="13"/>
      <c r="Q117" s="19"/>
      <c r="R117" s="13"/>
      <c r="S117" s="557"/>
      <c r="T117" s="460"/>
      <c r="U117" s="557"/>
      <c r="V117" s="460"/>
      <c r="W117" s="557"/>
      <c r="X117" s="460"/>
    </row>
    <row r="118" spans="1:24">
      <c r="A118" s="14"/>
      <c r="B118" s="15"/>
      <c r="C118" s="16"/>
      <c r="D118" s="17"/>
      <c r="E118" s="12"/>
      <c r="F118" s="18"/>
      <c r="G118" s="19"/>
      <c r="H118" s="13"/>
      <c r="I118" s="19"/>
      <c r="J118" s="13"/>
      <c r="K118" s="19"/>
      <c r="L118" s="13"/>
      <c r="M118" s="19"/>
      <c r="N118" s="13"/>
      <c r="O118" s="19"/>
      <c r="P118" s="13"/>
      <c r="Q118" s="19"/>
      <c r="R118" s="13"/>
      <c r="S118" s="557"/>
      <c r="T118" s="460"/>
      <c r="U118" s="557"/>
      <c r="V118" s="460"/>
      <c r="W118" s="557"/>
      <c r="X118" s="460"/>
    </row>
    <row r="119" spans="1:24">
      <c r="A119" s="14"/>
      <c r="B119" s="15"/>
      <c r="C119" s="16"/>
      <c r="D119" s="17"/>
      <c r="E119" s="12"/>
      <c r="F119" s="18"/>
      <c r="G119" s="19"/>
      <c r="H119" s="13"/>
      <c r="I119" s="19"/>
      <c r="J119" s="13"/>
      <c r="K119" s="19"/>
      <c r="L119" s="13"/>
      <c r="M119" s="19"/>
      <c r="N119" s="13"/>
      <c r="O119" s="19"/>
      <c r="P119" s="13"/>
      <c r="Q119" s="19"/>
      <c r="R119" s="13"/>
      <c r="S119" s="557"/>
      <c r="T119" s="460"/>
      <c r="U119" s="557"/>
      <c r="V119" s="460"/>
      <c r="W119" s="557"/>
      <c r="X119" s="460"/>
    </row>
    <row r="120" spans="1:24">
      <c r="A120" s="14"/>
      <c r="B120" s="15"/>
      <c r="C120" s="16"/>
      <c r="D120" s="17"/>
      <c r="E120" s="12"/>
      <c r="F120" s="18"/>
      <c r="G120" s="19"/>
      <c r="H120" s="13"/>
      <c r="I120" s="19"/>
      <c r="J120" s="13"/>
      <c r="K120" s="19"/>
      <c r="L120" s="13"/>
      <c r="M120" s="19"/>
      <c r="N120" s="13"/>
      <c r="O120" s="19"/>
      <c r="P120" s="13"/>
      <c r="Q120" s="19"/>
      <c r="R120" s="13"/>
      <c r="S120" s="557"/>
      <c r="T120" s="460"/>
      <c r="U120" s="557"/>
      <c r="V120" s="460"/>
      <c r="W120" s="557"/>
      <c r="X120" s="460"/>
    </row>
    <row r="121" spans="1:24">
      <c r="A121" s="14"/>
      <c r="B121" s="15"/>
      <c r="C121" s="16"/>
      <c r="D121" s="17"/>
      <c r="E121" s="12"/>
      <c r="F121" s="18"/>
      <c r="G121" s="19"/>
      <c r="H121" s="13"/>
      <c r="I121" s="19"/>
      <c r="J121" s="13"/>
      <c r="K121" s="19"/>
      <c r="L121" s="13"/>
      <c r="M121" s="19"/>
      <c r="N121" s="13"/>
      <c r="O121" s="19"/>
      <c r="P121" s="13"/>
      <c r="Q121" s="19"/>
      <c r="R121" s="13"/>
      <c r="S121" s="557"/>
      <c r="T121" s="460"/>
      <c r="U121" s="557"/>
      <c r="V121" s="460"/>
      <c r="W121" s="557"/>
      <c r="X121" s="460"/>
    </row>
    <row r="122" spans="1:24">
      <c r="A122" s="14"/>
      <c r="B122" s="15"/>
      <c r="C122" s="16"/>
      <c r="D122" s="17"/>
      <c r="E122" s="12"/>
      <c r="F122" s="18"/>
      <c r="G122" s="19"/>
      <c r="H122" s="13"/>
      <c r="I122" s="19"/>
      <c r="J122" s="13"/>
      <c r="K122" s="19"/>
      <c r="L122" s="13"/>
      <c r="M122" s="19"/>
      <c r="N122" s="13"/>
      <c r="O122" s="19"/>
      <c r="P122" s="13"/>
      <c r="Q122" s="19"/>
      <c r="R122" s="13"/>
      <c r="S122" s="557"/>
      <c r="T122" s="460"/>
      <c r="U122" s="557"/>
      <c r="V122" s="460"/>
      <c r="W122" s="557"/>
      <c r="X122" s="460"/>
    </row>
    <row r="123" spans="1:24">
      <c r="A123" s="14"/>
      <c r="B123" s="15"/>
      <c r="C123" s="16"/>
      <c r="D123" s="17"/>
      <c r="E123" s="12"/>
      <c r="F123" s="18"/>
      <c r="G123" s="19"/>
      <c r="H123" s="13"/>
      <c r="I123" s="19"/>
      <c r="J123" s="13"/>
      <c r="K123" s="19"/>
      <c r="L123" s="13"/>
      <c r="M123" s="19"/>
      <c r="N123" s="13"/>
      <c r="O123" s="19"/>
      <c r="P123" s="13"/>
      <c r="Q123" s="19"/>
      <c r="R123" s="13"/>
      <c r="S123" s="557"/>
      <c r="T123" s="460"/>
      <c r="U123" s="557"/>
      <c r="V123" s="460"/>
      <c r="W123" s="557"/>
      <c r="X123" s="460"/>
    </row>
    <row r="124" spans="1:24">
      <c r="A124" s="14"/>
      <c r="B124" s="15"/>
      <c r="C124" s="16"/>
      <c r="D124" s="17"/>
      <c r="E124" s="12"/>
      <c r="F124" s="18"/>
      <c r="G124" s="19"/>
      <c r="H124" s="13"/>
      <c r="I124" s="19"/>
      <c r="J124" s="13"/>
      <c r="K124" s="19"/>
      <c r="L124" s="13"/>
      <c r="M124" s="19"/>
      <c r="N124" s="13"/>
      <c r="O124" s="19"/>
      <c r="P124" s="13"/>
      <c r="Q124" s="19"/>
      <c r="R124" s="13"/>
      <c r="S124" s="557"/>
      <c r="T124" s="460"/>
      <c r="U124" s="557"/>
      <c r="V124" s="460"/>
      <c r="W124" s="557"/>
      <c r="X124" s="460"/>
    </row>
    <row r="125" spans="1:24">
      <c r="A125" s="14"/>
      <c r="B125" s="15"/>
      <c r="C125" s="16"/>
      <c r="D125" s="17"/>
      <c r="E125" s="12"/>
      <c r="F125" s="18"/>
      <c r="G125" s="19"/>
      <c r="H125" s="13"/>
      <c r="I125" s="19"/>
      <c r="J125" s="13"/>
      <c r="K125" s="19"/>
      <c r="L125" s="13"/>
      <c r="M125" s="19"/>
      <c r="N125" s="13"/>
      <c r="O125" s="19"/>
      <c r="P125" s="13"/>
      <c r="Q125" s="19"/>
      <c r="R125" s="13"/>
      <c r="S125" s="557"/>
      <c r="T125" s="460"/>
      <c r="U125" s="557"/>
      <c r="V125" s="460"/>
      <c r="W125" s="557"/>
      <c r="X125" s="460"/>
    </row>
    <row r="126" spans="1:24">
      <c r="A126" s="14"/>
      <c r="B126" s="15"/>
      <c r="C126" s="16"/>
      <c r="D126" s="17"/>
      <c r="E126" s="12"/>
      <c r="F126" s="18"/>
      <c r="G126" s="19"/>
      <c r="H126" s="13"/>
      <c r="I126" s="19"/>
      <c r="J126" s="13"/>
      <c r="K126" s="19"/>
      <c r="L126" s="13"/>
      <c r="M126" s="19"/>
      <c r="N126" s="13"/>
      <c r="O126" s="19"/>
      <c r="P126" s="13"/>
      <c r="Q126" s="19"/>
      <c r="R126" s="13"/>
      <c r="S126" s="557"/>
      <c r="T126" s="460"/>
      <c r="U126" s="557"/>
      <c r="V126" s="460"/>
      <c r="W126" s="557"/>
      <c r="X126" s="460"/>
    </row>
    <row r="127" spans="1:24">
      <c r="A127" s="14"/>
      <c r="B127" s="15"/>
      <c r="C127" s="16"/>
      <c r="D127" s="17"/>
      <c r="E127" s="12"/>
      <c r="F127" s="18"/>
      <c r="G127" s="19"/>
      <c r="H127" s="13"/>
      <c r="I127" s="19"/>
      <c r="J127" s="13"/>
      <c r="K127" s="19"/>
      <c r="L127" s="13"/>
      <c r="M127" s="19"/>
      <c r="N127" s="13"/>
      <c r="O127" s="19"/>
      <c r="P127" s="13"/>
      <c r="Q127" s="19"/>
      <c r="R127" s="13"/>
      <c r="S127" s="557"/>
      <c r="T127" s="460"/>
      <c r="U127" s="557"/>
      <c r="V127" s="460"/>
      <c r="W127" s="557"/>
      <c r="X127" s="460"/>
    </row>
    <row r="128" spans="1:24">
      <c r="A128" s="14"/>
      <c r="B128" s="15"/>
      <c r="C128" s="16"/>
      <c r="D128" s="17"/>
      <c r="E128" s="12"/>
      <c r="F128" s="18"/>
      <c r="G128" s="19"/>
      <c r="H128" s="13"/>
      <c r="I128" s="19"/>
      <c r="J128" s="13"/>
      <c r="K128" s="19"/>
      <c r="L128" s="13"/>
      <c r="M128" s="19"/>
      <c r="N128" s="13"/>
      <c r="O128" s="19"/>
      <c r="P128" s="13"/>
      <c r="Q128" s="19"/>
      <c r="R128" s="13"/>
      <c r="S128" s="557"/>
      <c r="T128" s="460"/>
      <c r="U128" s="557"/>
      <c r="V128" s="460"/>
      <c r="W128" s="557"/>
      <c r="X128" s="460"/>
    </row>
    <row r="129" spans="1:24">
      <c r="A129" s="14"/>
      <c r="B129" s="15"/>
      <c r="C129" s="16"/>
      <c r="D129" s="17"/>
      <c r="E129" s="12"/>
      <c r="F129" s="18"/>
      <c r="G129" s="19"/>
      <c r="H129" s="13"/>
      <c r="I129" s="19"/>
      <c r="J129" s="13"/>
      <c r="K129" s="19"/>
      <c r="L129" s="13"/>
      <c r="M129" s="19"/>
      <c r="N129" s="13"/>
      <c r="O129" s="19"/>
      <c r="P129" s="13"/>
      <c r="Q129" s="19"/>
      <c r="R129" s="13"/>
      <c r="S129" s="557"/>
      <c r="T129" s="460"/>
      <c r="U129" s="557"/>
      <c r="V129" s="460"/>
      <c r="W129" s="557"/>
      <c r="X129" s="460"/>
    </row>
    <row r="130" spans="1:24">
      <c r="A130" s="14"/>
      <c r="B130" s="15"/>
      <c r="C130" s="16"/>
      <c r="D130" s="17"/>
      <c r="E130" s="12"/>
      <c r="F130" s="18"/>
      <c r="G130" s="19"/>
      <c r="H130" s="13"/>
      <c r="I130" s="19"/>
      <c r="J130" s="13"/>
      <c r="K130" s="19"/>
      <c r="L130" s="13"/>
      <c r="M130" s="19"/>
      <c r="N130" s="13"/>
      <c r="O130" s="19"/>
      <c r="P130" s="13"/>
      <c r="Q130" s="19"/>
      <c r="R130" s="13"/>
      <c r="S130" s="557"/>
      <c r="T130" s="460"/>
      <c r="U130" s="557"/>
      <c r="V130" s="460"/>
      <c r="W130" s="557"/>
      <c r="X130" s="460"/>
    </row>
    <row r="131" spans="1:24">
      <c r="A131" s="14"/>
      <c r="B131" s="15"/>
      <c r="C131" s="16"/>
      <c r="D131" s="17"/>
      <c r="E131" s="12"/>
      <c r="F131" s="18"/>
      <c r="G131" s="19"/>
      <c r="H131" s="13"/>
      <c r="I131" s="19"/>
      <c r="J131" s="13"/>
      <c r="K131" s="19"/>
      <c r="L131" s="13"/>
      <c r="M131" s="19"/>
      <c r="N131" s="13"/>
      <c r="O131" s="19"/>
      <c r="P131" s="13"/>
      <c r="Q131" s="19"/>
      <c r="R131" s="13"/>
      <c r="S131" s="557"/>
      <c r="T131" s="460"/>
      <c r="U131" s="557"/>
      <c r="V131" s="460"/>
      <c r="W131" s="557"/>
      <c r="X131" s="460"/>
    </row>
    <row r="132" spans="1:24">
      <c r="A132" s="14"/>
      <c r="B132" s="15"/>
      <c r="C132" s="16"/>
      <c r="D132" s="17"/>
      <c r="E132" s="12"/>
      <c r="F132" s="18"/>
      <c r="G132" s="19"/>
      <c r="H132" s="13"/>
      <c r="I132" s="19"/>
      <c r="J132" s="13"/>
      <c r="K132" s="19"/>
      <c r="L132" s="13"/>
      <c r="M132" s="19"/>
      <c r="N132" s="13"/>
      <c r="O132" s="19"/>
      <c r="P132" s="13"/>
      <c r="Q132" s="19"/>
      <c r="R132" s="13"/>
      <c r="S132" s="557"/>
      <c r="T132" s="460"/>
      <c r="U132" s="557"/>
      <c r="V132" s="460"/>
      <c r="W132" s="557"/>
      <c r="X132" s="460"/>
    </row>
    <row r="133" spans="1:24">
      <c r="A133" s="14"/>
      <c r="B133" s="15"/>
      <c r="C133" s="16"/>
      <c r="D133" s="17"/>
      <c r="E133" s="12"/>
      <c r="F133" s="18"/>
      <c r="G133" s="19"/>
      <c r="H133" s="13"/>
      <c r="I133" s="19"/>
      <c r="J133" s="13"/>
      <c r="K133" s="19"/>
      <c r="L133" s="13"/>
      <c r="M133" s="19"/>
      <c r="N133" s="13"/>
      <c r="O133" s="19"/>
      <c r="P133" s="13"/>
      <c r="Q133" s="19"/>
      <c r="R133" s="13"/>
      <c r="S133" s="557"/>
      <c r="T133" s="460"/>
      <c r="U133" s="557"/>
      <c r="V133" s="460"/>
      <c r="W133" s="557"/>
      <c r="X133" s="460"/>
    </row>
    <row r="134" spans="1:24">
      <c r="A134" s="14"/>
      <c r="B134" s="15"/>
      <c r="C134" s="16"/>
      <c r="D134" s="17"/>
      <c r="E134" s="12"/>
      <c r="F134" s="18"/>
      <c r="G134" s="19"/>
      <c r="H134" s="13"/>
      <c r="I134" s="19"/>
      <c r="J134" s="13"/>
      <c r="K134" s="19"/>
      <c r="L134" s="13"/>
      <c r="M134" s="19"/>
      <c r="N134" s="13"/>
      <c r="O134" s="19"/>
      <c r="P134" s="13"/>
      <c r="Q134" s="19"/>
      <c r="R134" s="13"/>
      <c r="S134" s="557"/>
      <c r="T134" s="460"/>
      <c r="U134" s="557"/>
      <c r="V134" s="460"/>
      <c r="W134" s="557"/>
      <c r="X134" s="460"/>
    </row>
    <row r="135" spans="1:24">
      <c r="A135" s="14"/>
      <c r="B135" s="15"/>
      <c r="C135" s="16"/>
      <c r="D135" s="17"/>
      <c r="E135" s="12"/>
      <c r="F135" s="18"/>
      <c r="G135" s="19"/>
      <c r="H135" s="13"/>
      <c r="I135" s="19"/>
      <c r="J135" s="13"/>
      <c r="K135" s="19"/>
      <c r="L135" s="13"/>
      <c r="M135" s="19"/>
      <c r="N135" s="13"/>
      <c r="O135" s="19"/>
      <c r="P135" s="13"/>
      <c r="Q135" s="19"/>
      <c r="R135" s="13"/>
      <c r="S135" s="557"/>
      <c r="T135" s="460"/>
      <c r="U135" s="557"/>
      <c r="V135" s="460"/>
      <c r="W135" s="557"/>
      <c r="X135" s="460"/>
    </row>
    <row r="136" spans="1:24">
      <c r="A136" s="14"/>
      <c r="B136" s="15"/>
      <c r="C136" s="16"/>
      <c r="D136" s="17"/>
      <c r="E136" s="12"/>
      <c r="F136" s="18"/>
      <c r="G136" s="19"/>
      <c r="H136" s="13"/>
      <c r="I136" s="19"/>
      <c r="J136" s="13"/>
      <c r="K136" s="19"/>
      <c r="L136" s="13"/>
      <c r="M136" s="19"/>
      <c r="N136" s="13"/>
      <c r="O136" s="19"/>
      <c r="P136" s="13"/>
      <c r="Q136" s="19"/>
      <c r="R136" s="13"/>
      <c r="S136" s="557"/>
      <c r="T136" s="460"/>
      <c r="U136" s="557"/>
      <c r="V136" s="460"/>
      <c r="W136" s="557"/>
      <c r="X136" s="460"/>
    </row>
    <row r="137" spans="1:24">
      <c r="A137" s="14"/>
      <c r="B137" s="15"/>
      <c r="C137" s="16"/>
      <c r="D137" s="17"/>
      <c r="E137" s="12"/>
      <c r="F137" s="18"/>
      <c r="G137" s="19"/>
      <c r="H137" s="13"/>
      <c r="I137" s="19"/>
      <c r="J137" s="13"/>
      <c r="K137" s="19"/>
      <c r="L137" s="13"/>
      <c r="M137" s="19"/>
      <c r="N137" s="13"/>
      <c r="O137" s="19"/>
      <c r="P137" s="13"/>
      <c r="Q137" s="19"/>
      <c r="R137" s="13"/>
      <c r="S137" s="557"/>
      <c r="T137" s="460"/>
      <c r="U137" s="557"/>
      <c r="V137" s="460"/>
      <c r="W137" s="557"/>
      <c r="X137" s="460"/>
    </row>
    <row r="138" spans="1:24">
      <c r="A138" s="14"/>
      <c r="B138" s="15"/>
      <c r="C138" s="16"/>
      <c r="D138" s="17"/>
      <c r="E138" s="12"/>
      <c r="F138" s="18"/>
      <c r="G138" s="19"/>
      <c r="H138" s="13"/>
      <c r="I138" s="19"/>
      <c r="J138" s="13"/>
      <c r="K138" s="19"/>
      <c r="L138" s="13"/>
      <c r="M138" s="19"/>
      <c r="N138" s="13"/>
      <c r="O138" s="19"/>
      <c r="P138" s="13"/>
      <c r="Q138" s="19"/>
      <c r="R138" s="13"/>
      <c r="S138" s="557"/>
      <c r="T138" s="460"/>
      <c r="U138" s="557"/>
      <c r="V138" s="460"/>
      <c r="W138" s="557"/>
      <c r="X138" s="460"/>
    </row>
    <row r="139" spans="1:24">
      <c r="A139" s="14"/>
      <c r="B139" s="15"/>
      <c r="C139" s="16"/>
      <c r="D139" s="17"/>
      <c r="E139" s="12"/>
      <c r="F139" s="18"/>
      <c r="G139" s="19"/>
      <c r="H139" s="13"/>
      <c r="I139" s="19"/>
      <c r="J139" s="13"/>
      <c r="K139" s="19"/>
      <c r="L139" s="13"/>
      <c r="M139" s="19"/>
      <c r="N139" s="13"/>
      <c r="O139" s="19"/>
      <c r="P139" s="13"/>
      <c r="Q139" s="19"/>
      <c r="R139" s="13"/>
      <c r="S139" s="557"/>
      <c r="T139" s="460"/>
      <c r="U139" s="557"/>
      <c r="V139" s="460"/>
      <c r="W139" s="557"/>
      <c r="X139" s="460"/>
    </row>
    <row r="140" spans="1:24">
      <c r="A140" s="14"/>
      <c r="B140" s="15"/>
      <c r="C140" s="16"/>
      <c r="D140" s="17"/>
      <c r="E140" s="12"/>
      <c r="F140" s="18"/>
      <c r="G140" s="19"/>
      <c r="H140" s="13"/>
      <c r="I140" s="19"/>
      <c r="J140" s="13"/>
      <c r="K140" s="19"/>
      <c r="L140" s="13"/>
      <c r="M140" s="19"/>
      <c r="N140" s="13"/>
      <c r="O140" s="19"/>
      <c r="P140" s="13"/>
      <c r="Q140" s="19"/>
      <c r="R140" s="13"/>
      <c r="S140" s="557"/>
      <c r="T140" s="460"/>
      <c r="U140" s="557"/>
      <c r="V140" s="460"/>
      <c r="W140" s="557"/>
      <c r="X140" s="460"/>
    </row>
    <row r="141" spans="1:24">
      <c r="A141" s="14"/>
      <c r="B141" s="15"/>
      <c r="C141" s="16"/>
      <c r="D141" s="17"/>
      <c r="E141" s="12"/>
      <c r="F141" s="18"/>
      <c r="G141" s="19"/>
      <c r="H141" s="13"/>
      <c r="I141" s="19"/>
      <c r="J141" s="13"/>
      <c r="K141" s="19"/>
      <c r="L141" s="13"/>
      <c r="M141" s="19"/>
      <c r="N141" s="13"/>
      <c r="O141" s="19"/>
      <c r="P141" s="13"/>
      <c r="Q141" s="19"/>
      <c r="R141" s="13"/>
      <c r="S141" s="557"/>
      <c r="T141" s="460"/>
      <c r="U141" s="557"/>
      <c r="V141" s="460"/>
      <c r="W141" s="557"/>
      <c r="X141" s="460"/>
    </row>
    <row r="142" spans="1:24">
      <c r="A142" s="14"/>
      <c r="B142" s="15"/>
      <c r="C142" s="16"/>
      <c r="D142" s="17"/>
      <c r="E142" s="12"/>
      <c r="F142" s="18"/>
      <c r="G142" s="19"/>
      <c r="H142" s="13"/>
      <c r="I142" s="19"/>
      <c r="J142" s="13"/>
      <c r="K142" s="19"/>
      <c r="L142" s="13"/>
      <c r="M142" s="19"/>
      <c r="N142" s="13"/>
      <c r="O142" s="19"/>
      <c r="P142" s="13"/>
      <c r="Q142" s="19"/>
      <c r="R142" s="13"/>
      <c r="S142" s="557"/>
      <c r="T142" s="460"/>
      <c r="U142" s="557"/>
      <c r="V142" s="460"/>
      <c r="W142" s="557"/>
      <c r="X142" s="460"/>
    </row>
    <row r="143" spans="1:24">
      <c r="A143" s="14"/>
      <c r="B143" s="15"/>
      <c r="C143" s="16"/>
      <c r="D143" s="17"/>
      <c r="E143" s="12"/>
      <c r="F143" s="18"/>
      <c r="G143" s="19"/>
      <c r="H143" s="13"/>
      <c r="I143" s="19"/>
      <c r="J143" s="13"/>
      <c r="K143" s="19"/>
      <c r="L143" s="13"/>
      <c r="M143" s="19"/>
      <c r="N143" s="13"/>
      <c r="O143" s="19"/>
      <c r="P143" s="13"/>
      <c r="Q143" s="19"/>
      <c r="R143" s="13"/>
      <c r="S143" s="557"/>
      <c r="T143" s="460"/>
      <c r="U143" s="557"/>
      <c r="V143" s="460"/>
      <c r="W143" s="557"/>
      <c r="X143" s="460"/>
    </row>
    <row r="144" spans="1:24">
      <c r="A144" s="14"/>
      <c r="B144" s="15"/>
      <c r="C144" s="16"/>
      <c r="D144" s="17"/>
      <c r="E144" s="12"/>
      <c r="F144" s="18"/>
      <c r="G144" s="19"/>
      <c r="H144" s="13"/>
      <c r="I144" s="19"/>
      <c r="J144" s="13"/>
      <c r="K144" s="19"/>
      <c r="L144" s="13"/>
      <c r="M144" s="19"/>
      <c r="N144" s="13"/>
      <c r="O144" s="19"/>
      <c r="P144" s="13"/>
      <c r="Q144" s="19"/>
      <c r="R144" s="13"/>
      <c r="S144" s="557"/>
      <c r="T144" s="460"/>
      <c r="U144" s="557"/>
      <c r="V144" s="460"/>
      <c r="W144" s="557"/>
      <c r="X144" s="460"/>
    </row>
    <row r="145" spans="1:24">
      <c r="A145" s="14"/>
      <c r="B145" s="15"/>
      <c r="C145" s="16"/>
      <c r="D145" s="17"/>
      <c r="E145" s="12"/>
      <c r="F145" s="18"/>
      <c r="G145" s="19"/>
      <c r="H145" s="13"/>
      <c r="I145" s="19"/>
      <c r="J145" s="13"/>
      <c r="K145" s="19"/>
      <c r="L145" s="13"/>
      <c r="M145" s="19"/>
      <c r="N145" s="13"/>
      <c r="O145" s="19"/>
      <c r="P145" s="13"/>
      <c r="Q145" s="19"/>
      <c r="R145" s="13"/>
      <c r="S145" s="557"/>
      <c r="T145" s="460"/>
      <c r="U145" s="557"/>
      <c r="V145" s="460"/>
      <c r="W145" s="557"/>
      <c r="X145" s="460"/>
    </row>
    <row r="146" spans="1:24">
      <c r="A146" s="14"/>
      <c r="B146" s="15"/>
      <c r="C146" s="16"/>
      <c r="D146" s="17"/>
      <c r="E146" s="12"/>
      <c r="F146" s="18"/>
      <c r="G146" s="19"/>
      <c r="H146" s="13"/>
      <c r="I146" s="19"/>
      <c r="J146" s="13"/>
      <c r="K146" s="19"/>
      <c r="L146" s="13"/>
      <c r="M146" s="19"/>
      <c r="N146" s="13"/>
      <c r="O146" s="19"/>
      <c r="P146" s="13"/>
      <c r="Q146" s="19"/>
      <c r="R146" s="13"/>
      <c r="S146" s="557"/>
      <c r="T146" s="460"/>
      <c r="U146" s="557"/>
      <c r="V146" s="460"/>
      <c r="W146" s="557"/>
      <c r="X146" s="460"/>
    </row>
    <row r="147" spans="1:24">
      <c r="A147" s="14"/>
      <c r="B147" s="15"/>
      <c r="C147" s="16"/>
      <c r="D147" s="17"/>
      <c r="E147" s="12"/>
      <c r="F147" s="18"/>
      <c r="G147" s="19"/>
      <c r="H147" s="13"/>
      <c r="I147" s="19"/>
      <c r="J147" s="13"/>
      <c r="K147" s="19"/>
      <c r="L147" s="13"/>
      <c r="M147" s="19"/>
      <c r="N147" s="13"/>
      <c r="O147" s="19"/>
      <c r="P147" s="13"/>
      <c r="Q147" s="19"/>
      <c r="R147" s="13"/>
      <c r="S147" s="557"/>
      <c r="T147" s="460"/>
      <c r="U147" s="557"/>
      <c r="V147" s="460"/>
      <c r="W147" s="557"/>
      <c r="X147" s="460"/>
    </row>
    <row r="148" spans="1:24">
      <c r="A148" s="14"/>
      <c r="B148" s="15"/>
      <c r="C148" s="16"/>
      <c r="D148" s="17"/>
      <c r="E148" s="12"/>
      <c r="F148" s="18"/>
      <c r="G148" s="19"/>
      <c r="H148" s="13"/>
      <c r="I148" s="19"/>
      <c r="J148" s="13"/>
      <c r="K148" s="19"/>
      <c r="L148" s="13"/>
      <c r="M148" s="19"/>
      <c r="N148" s="13"/>
      <c r="O148" s="19"/>
      <c r="P148" s="13"/>
      <c r="Q148" s="19"/>
      <c r="R148" s="13"/>
      <c r="S148" s="557"/>
      <c r="T148" s="460"/>
      <c r="U148" s="557"/>
      <c r="V148" s="460"/>
      <c r="W148" s="557"/>
      <c r="X148" s="460"/>
    </row>
    <row r="149" spans="1:24">
      <c r="A149" s="14"/>
      <c r="B149" s="15"/>
      <c r="C149" s="16"/>
      <c r="D149" s="17"/>
      <c r="E149" s="12"/>
      <c r="F149" s="18"/>
      <c r="G149" s="19"/>
      <c r="H149" s="13"/>
      <c r="I149" s="19"/>
      <c r="J149" s="13"/>
      <c r="K149" s="19"/>
      <c r="L149" s="13"/>
      <c r="M149" s="19"/>
      <c r="N149" s="13"/>
      <c r="O149" s="19"/>
      <c r="P149" s="13"/>
      <c r="Q149" s="19"/>
      <c r="R149" s="13"/>
      <c r="S149" s="557"/>
      <c r="T149" s="460"/>
      <c r="U149" s="557"/>
      <c r="V149" s="460"/>
      <c r="W149" s="557"/>
      <c r="X149" s="460"/>
    </row>
    <row r="150" spans="1:24">
      <c r="A150" s="14"/>
      <c r="B150" s="15"/>
      <c r="C150" s="16"/>
      <c r="D150" s="17"/>
      <c r="E150" s="12"/>
      <c r="F150" s="18"/>
      <c r="G150" s="19"/>
      <c r="H150" s="13"/>
      <c r="I150" s="19"/>
      <c r="J150" s="13"/>
      <c r="K150" s="19"/>
      <c r="L150" s="13"/>
      <c r="M150" s="19"/>
      <c r="N150" s="13"/>
      <c r="O150" s="19"/>
      <c r="P150" s="13"/>
      <c r="Q150" s="19"/>
      <c r="R150" s="13"/>
      <c r="S150" s="557"/>
      <c r="T150" s="460"/>
      <c r="U150" s="557"/>
      <c r="V150" s="460"/>
      <c r="W150" s="557"/>
      <c r="X150" s="460"/>
    </row>
    <row r="151" spans="1:24">
      <c r="A151" s="14"/>
      <c r="B151" s="15"/>
      <c r="C151" s="16"/>
      <c r="D151" s="17"/>
      <c r="E151" s="12"/>
      <c r="F151" s="18"/>
      <c r="G151" s="19"/>
      <c r="H151" s="13"/>
      <c r="I151" s="19"/>
      <c r="J151" s="13"/>
      <c r="K151" s="19"/>
      <c r="L151" s="13"/>
      <c r="M151" s="19"/>
      <c r="N151" s="13"/>
      <c r="O151" s="19"/>
      <c r="P151" s="13"/>
      <c r="Q151" s="19"/>
      <c r="R151" s="13"/>
      <c r="S151" s="557"/>
      <c r="T151" s="460"/>
      <c r="U151" s="557"/>
      <c r="V151" s="460"/>
      <c r="W151" s="557"/>
      <c r="X151" s="460"/>
    </row>
    <row r="152" spans="1:24">
      <c r="A152" s="14"/>
      <c r="B152" s="15"/>
      <c r="C152" s="16"/>
      <c r="D152" s="17"/>
      <c r="E152" s="12"/>
      <c r="F152" s="18"/>
      <c r="G152" s="19"/>
      <c r="H152" s="13"/>
      <c r="I152" s="19"/>
      <c r="J152" s="13"/>
      <c r="K152" s="19"/>
      <c r="L152" s="13"/>
      <c r="M152" s="19"/>
      <c r="N152" s="13"/>
      <c r="O152" s="19"/>
      <c r="P152" s="13"/>
      <c r="Q152" s="19"/>
      <c r="R152" s="13"/>
      <c r="S152" s="557"/>
      <c r="T152" s="460"/>
      <c r="U152" s="557"/>
      <c r="V152" s="460"/>
      <c r="W152" s="557"/>
      <c r="X152" s="460"/>
    </row>
    <row r="153" spans="1:24">
      <c r="A153" s="14"/>
      <c r="B153" s="15"/>
      <c r="C153" s="16"/>
      <c r="D153" s="17"/>
      <c r="E153" s="12"/>
      <c r="F153" s="18"/>
      <c r="G153" s="19"/>
      <c r="H153" s="13"/>
      <c r="I153" s="19"/>
      <c r="J153" s="13"/>
      <c r="K153" s="19"/>
      <c r="L153" s="13"/>
      <c r="M153" s="19"/>
      <c r="N153" s="13"/>
      <c r="O153" s="19"/>
      <c r="P153" s="13"/>
      <c r="Q153" s="19"/>
      <c r="R153" s="13"/>
      <c r="S153" s="557"/>
      <c r="T153" s="460"/>
      <c r="U153" s="557"/>
      <c r="V153" s="460"/>
      <c r="W153" s="557"/>
      <c r="X153" s="460"/>
    </row>
    <row r="154" spans="1:24">
      <c r="A154" s="14"/>
      <c r="B154" s="15"/>
      <c r="C154" s="16"/>
      <c r="D154" s="17"/>
      <c r="E154" s="12"/>
      <c r="F154" s="18"/>
      <c r="G154" s="19"/>
      <c r="H154" s="13"/>
      <c r="I154" s="19"/>
      <c r="J154" s="13"/>
      <c r="K154" s="19"/>
      <c r="L154" s="13"/>
      <c r="M154" s="19"/>
      <c r="N154" s="13"/>
      <c r="O154" s="19"/>
      <c r="P154" s="13"/>
      <c r="Q154" s="19"/>
      <c r="R154" s="13"/>
      <c r="S154" s="557"/>
      <c r="T154" s="460"/>
      <c r="U154" s="557"/>
      <c r="V154" s="460"/>
      <c r="W154" s="557"/>
      <c r="X154" s="460"/>
    </row>
    <row r="155" spans="1:24">
      <c r="A155" s="14"/>
      <c r="B155" s="15"/>
      <c r="C155" s="16"/>
      <c r="D155" s="17"/>
      <c r="E155" s="12"/>
      <c r="F155" s="18"/>
      <c r="G155" s="19"/>
      <c r="H155" s="13"/>
      <c r="I155" s="19"/>
      <c r="J155" s="13"/>
      <c r="K155" s="19"/>
      <c r="L155" s="13"/>
      <c r="M155" s="19"/>
      <c r="N155" s="13"/>
      <c r="O155" s="19"/>
      <c r="P155" s="13"/>
      <c r="Q155" s="19"/>
      <c r="R155" s="13"/>
      <c r="S155" s="557"/>
      <c r="T155" s="460"/>
      <c r="U155" s="557"/>
      <c r="V155" s="460"/>
      <c r="W155" s="557"/>
      <c r="X155" s="460"/>
    </row>
    <row r="156" spans="1:24">
      <c r="A156" s="14"/>
      <c r="B156" s="15"/>
      <c r="C156" s="16"/>
      <c r="D156" s="17"/>
      <c r="E156" s="12"/>
      <c r="F156" s="18"/>
      <c r="G156" s="19"/>
      <c r="H156" s="13"/>
      <c r="I156" s="19"/>
      <c r="J156" s="13"/>
      <c r="K156" s="19"/>
      <c r="L156" s="13"/>
      <c r="M156" s="19"/>
      <c r="N156" s="13"/>
      <c r="O156" s="19"/>
      <c r="P156" s="13"/>
      <c r="Q156" s="19"/>
      <c r="R156" s="13"/>
      <c r="S156" s="557"/>
      <c r="T156" s="460"/>
      <c r="U156" s="557"/>
      <c r="V156" s="460"/>
      <c r="W156" s="557"/>
      <c r="X156" s="460"/>
    </row>
    <row r="157" spans="1:24">
      <c r="A157" s="14"/>
      <c r="B157" s="15"/>
      <c r="C157" s="16"/>
      <c r="D157" s="17"/>
      <c r="E157" s="12"/>
      <c r="F157" s="18"/>
      <c r="G157" s="19"/>
      <c r="H157" s="13"/>
      <c r="I157" s="19"/>
      <c r="J157" s="13"/>
      <c r="K157" s="19"/>
      <c r="L157" s="13"/>
      <c r="M157" s="19"/>
      <c r="N157" s="13"/>
      <c r="O157" s="19"/>
      <c r="P157" s="13"/>
      <c r="Q157" s="19"/>
      <c r="R157" s="13"/>
      <c r="S157" s="557"/>
      <c r="T157" s="460"/>
      <c r="U157" s="557"/>
      <c r="V157" s="460"/>
      <c r="W157" s="557"/>
      <c r="X157" s="460"/>
    </row>
    <row r="158" spans="1:24">
      <c r="A158" s="14"/>
      <c r="B158" s="15"/>
      <c r="C158" s="16"/>
      <c r="D158" s="17"/>
      <c r="E158" s="12"/>
      <c r="F158" s="18"/>
      <c r="G158" s="19"/>
      <c r="H158" s="13"/>
      <c r="I158" s="19"/>
      <c r="J158" s="13"/>
      <c r="K158" s="19"/>
      <c r="L158" s="13"/>
      <c r="M158" s="19"/>
      <c r="N158" s="13"/>
      <c r="O158" s="19"/>
      <c r="P158" s="13"/>
      <c r="Q158" s="19"/>
      <c r="R158" s="13"/>
      <c r="S158" s="557"/>
      <c r="T158" s="460"/>
      <c r="U158" s="557"/>
      <c r="V158" s="460"/>
      <c r="W158" s="557"/>
      <c r="X158" s="460"/>
    </row>
    <row r="159" spans="1:24">
      <c r="A159" s="14"/>
      <c r="B159" s="15"/>
      <c r="C159" s="16"/>
      <c r="D159" s="17"/>
      <c r="E159" s="12"/>
      <c r="F159" s="18"/>
      <c r="G159" s="19"/>
      <c r="H159" s="13"/>
      <c r="I159" s="19"/>
      <c r="J159" s="13"/>
      <c r="K159" s="19"/>
      <c r="L159" s="13"/>
      <c r="M159" s="19"/>
      <c r="N159" s="13"/>
      <c r="O159" s="19"/>
      <c r="P159" s="13"/>
      <c r="Q159" s="19"/>
      <c r="R159" s="13"/>
      <c r="S159" s="557"/>
      <c r="T159" s="460"/>
      <c r="U159" s="557"/>
      <c r="V159" s="460"/>
      <c r="W159" s="557"/>
      <c r="X159" s="460"/>
    </row>
    <row r="160" spans="1:24">
      <c r="A160" s="14"/>
      <c r="B160" s="15"/>
      <c r="C160" s="16"/>
      <c r="D160" s="17"/>
      <c r="E160" s="12"/>
      <c r="F160" s="18"/>
      <c r="G160" s="19"/>
      <c r="H160" s="13"/>
      <c r="I160" s="19"/>
      <c r="J160" s="13"/>
      <c r="K160" s="19"/>
      <c r="L160" s="13"/>
      <c r="M160" s="19"/>
      <c r="N160" s="13"/>
      <c r="O160" s="19"/>
      <c r="P160" s="13"/>
      <c r="Q160" s="19"/>
      <c r="R160" s="13"/>
      <c r="S160" s="557"/>
      <c r="T160" s="460"/>
      <c r="U160" s="557"/>
      <c r="V160" s="460"/>
      <c r="W160" s="557"/>
      <c r="X160" s="460"/>
    </row>
    <row r="161" spans="1:24">
      <c r="A161" s="14"/>
      <c r="B161" s="15"/>
      <c r="C161" s="16"/>
      <c r="D161" s="17"/>
      <c r="E161" s="12"/>
      <c r="F161" s="18"/>
      <c r="G161" s="19"/>
      <c r="H161" s="13"/>
      <c r="I161" s="19"/>
      <c r="J161" s="13"/>
      <c r="K161" s="19"/>
      <c r="L161" s="13"/>
      <c r="M161" s="19"/>
      <c r="N161" s="13"/>
      <c r="O161" s="19"/>
      <c r="P161" s="13"/>
      <c r="Q161" s="19"/>
      <c r="R161" s="13"/>
      <c r="S161" s="557"/>
      <c r="T161" s="460"/>
      <c r="U161" s="557"/>
      <c r="V161" s="460"/>
      <c r="W161" s="557"/>
      <c r="X161" s="460"/>
    </row>
    <row r="162" spans="1:24">
      <c r="A162" s="14"/>
      <c r="B162" s="15"/>
      <c r="C162" s="16"/>
      <c r="D162" s="17"/>
      <c r="E162" s="12"/>
      <c r="F162" s="18"/>
      <c r="G162" s="19"/>
      <c r="H162" s="13"/>
      <c r="I162" s="19"/>
      <c r="J162" s="13"/>
      <c r="K162" s="19"/>
      <c r="L162" s="13"/>
      <c r="M162" s="19"/>
      <c r="N162" s="13"/>
      <c r="O162" s="19"/>
      <c r="P162" s="13"/>
      <c r="Q162" s="19"/>
      <c r="R162" s="13"/>
      <c r="S162" s="557"/>
      <c r="T162" s="460"/>
      <c r="U162" s="557"/>
      <c r="V162" s="460"/>
      <c r="W162" s="557"/>
      <c r="X162" s="460"/>
    </row>
    <row r="163" spans="1:24">
      <c r="A163" s="14"/>
      <c r="B163" s="15"/>
      <c r="C163" s="16"/>
      <c r="D163" s="17"/>
      <c r="E163" s="12"/>
      <c r="F163" s="18"/>
      <c r="G163" s="19"/>
      <c r="H163" s="13"/>
      <c r="I163" s="19"/>
      <c r="J163" s="13"/>
      <c r="K163" s="19"/>
      <c r="L163" s="13"/>
      <c r="M163" s="19"/>
      <c r="N163" s="13"/>
      <c r="O163" s="19"/>
      <c r="P163" s="13"/>
      <c r="Q163" s="19"/>
      <c r="R163" s="13"/>
      <c r="S163" s="557"/>
      <c r="T163" s="460"/>
      <c r="U163" s="557"/>
      <c r="V163" s="460"/>
      <c r="W163" s="557"/>
      <c r="X163" s="460"/>
    </row>
    <row r="164" spans="1:24">
      <c r="A164" s="14"/>
      <c r="B164" s="15"/>
      <c r="C164" s="16"/>
      <c r="D164" s="17"/>
      <c r="E164" s="12"/>
      <c r="F164" s="18"/>
      <c r="G164" s="19"/>
      <c r="H164" s="13"/>
      <c r="I164" s="19"/>
      <c r="J164" s="13"/>
      <c r="K164" s="19"/>
      <c r="L164" s="13"/>
      <c r="M164" s="19"/>
      <c r="N164" s="13"/>
      <c r="O164" s="19"/>
      <c r="P164" s="13"/>
      <c r="Q164" s="19"/>
      <c r="R164" s="13"/>
      <c r="S164" s="557"/>
      <c r="T164" s="460"/>
      <c r="U164" s="557"/>
      <c r="V164" s="460"/>
      <c r="W164" s="557"/>
      <c r="X164" s="460"/>
    </row>
    <row r="165" spans="1:24">
      <c r="A165" s="14"/>
      <c r="B165" s="15"/>
      <c r="C165" s="16"/>
      <c r="D165" s="17"/>
      <c r="E165" s="12"/>
      <c r="F165" s="18"/>
      <c r="G165" s="19"/>
      <c r="H165" s="13"/>
      <c r="I165" s="19"/>
      <c r="J165" s="13"/>
      <c r="K165" s="19"/>
      <c r="L165" s="13"/>
      <c r="M165" s="19"/>
      <c r="N165" s="13"/>
      <c r="O165" s="19"/>
      <c r="P165" s="13"/>
      <c r="Q165" s="19"/>
      <c r="R165" s="13"/>
      <c r="S165" s="557"/>
      <c r="T165" s="460"/>
      <c r="U165" s="557"/>
      <c r="V165" s="460"/>
      <c r="W165" s="557"/>
      <c r="X165" s="460"/>
    </row>
    <row r="166" spans="1:24">
      <c r="A166" s="14"/>
      <c r="B166" s="15"/>
      <c r="C166" s="16"/>
      <c r="D166" s="17"/>
      <c r="E166" s="12"/>
      <c r="F166" s="18"/>
      <c r="G166" s="19"/>
      <c r="H166" s="13"/>
      <c r="I166" s="19"/>
      <c r="J166" s="13"/>
      <c r="K166" s="19"/>
      <c r="L166" s="13"/>
      <c r="M166" s="19"/>
      <c r="N166" s="13"/>
      <c r="O166" s="19"/>
      <c r="P166" s="13"/>
      <c r="Q166" s="19"/>
      <c r="R166" s="13"/>
      <c r="S166" s="557"/>
      <c r="T166" s="460"/>
      <c r="U166" s="557"/>
      <c r="V166" s="460"/>
      <c r="W166" s="557"/>
      <c r="X166" s="460"/>
    </row>
    <row r="167" spans="1:24">
      <c r="A167" s="14"/>
      <c r="B167" s="15"/>
      <c r="C167" s="16"/>
      <c r="D167" s="17"/>
      <c r="E167" s="12"/>
      <c r="F167" s="18"/>
      <c r="G167" s="19"/>
      <c r="H167" s="13"/>
      <c r="I167" s="19"/>
      <c r="J167" s="13"/>
      <c r="K167" s="19"/>
      <c r="L167" s="13"/>
      <c r="M167" s="19"/>
      <c r="N167" s="13"/>
      <c r="O167" s="19"/>
      <c r="P167" s="13"/>
      <c r="Q167" s="19"/>
      <c r="R167" s="13"/>
      <c r="S167" s="557"/>
      <c r="T167" s="460"/>
      <c r="U167" s="557"/>
      <c r="V167" s="460"/>
      <c r="W167" s="557"/>
      <c r="X167" s="460"/>
    </row>
    <row r="168" spans="1:24">
      <c r="A168" s="14"/>
      <c r="B168" s="15"/>
      <c r="C168" s="16"/>
      <c r="D168" s="17"/>
      <c r="E168" s="12"/>
      <c r="F168" s="18"/>
      <c r="G168" s="19"/>
      <c r="H168" s="13"/>
      <c r="I168" s="19"/>
      <c r="J168" s="13"/>
      <c r="K168" s="19"/>
      <c r="L168" s="13"/>
      <c r="M168" s="19"/>
      <c r="N168" s="13"/>
      <c r="O168" s="19"/>
      <c r="P168" s="13"/>
      <c r="Q168" s="19"/>
      <c r="R168" s="13"/>
      <c r="S168" s="557"/>
      <c r="T168" s="460"/>
      <c r="U168" s="557"/>
      <c r="V168" s="460"/>
      <c r="W168" s="557"/>
      <c r="X168" s="460"/>
    </row>
    <row r="169" spans="1:24">
      <c r="A169" s="14"/>
      <c r="B169" s="15"/>
      <c r="C169" s="16"/>
      <c r="D169" s="17"/>
      <c r="E169" s="12"/>
      <c r="F169" s="18"/>
      <c r="G169" s="19"/>
      <c r="H169" s="13"/>
      <c r="I169" s="19"/>
      <c r="J169" s="13"/>
      <c r="K169" s="19"/>
      <c r="L169" s="13"/>
      <c r="M169" s="19"/>
      <c r="N169" s="13"/>
      <c r="O169" s="19"/>
      <c r="P169" s="13"/>
      <c r="Q169" s="19"/>
      <c r="R169" s="13"/>
      <c r="S169" s="557"/>
      <c r="T169" s="460"/>
      <c r="U169" s="557"/>
      <c r="V169" s="460"/>
      <c r="W169" s="557"/>
      <c r="X169" s="460"/>
    </row>
    <row r="170" spans="1:24">
      <c r="A170" s="14"/>
      <c r="B170" s="15"/>
      <c r="C170" s="16"/>
      <c r="D170" s="17"/>
      <c r="E170" s="12"/>
      <c r="F170" s="18"/>
      <c r="G170" s="19"/>
      <c r="H170" s="13"/>
      <c r="I170" s="19"/>
      <c r="J170" s="13"/>
      <c r="K170" s="19"/>
      <c r="L170" s="13"/>
      <c r="M170" s="19"/>
      <c r="N170" s="13"/>
      <c r="O170" s="19"/>
      <c r="P170" s="13"/>
      <c r="Q170" s="19"/>
      <c r="R170" s="13"/>
      <c r="S170" s="557"/>
      <c r="T170" s="460"/>
      <c r="U170" s="557"/>
      <c r="V170" s="460"/>
      <c r="W170" s="557"/>
      <c r="X170" s="460"/>
    </row>
    <row r="171" spans="1:24">
      <c r="A171" s="14"/>
      <c r="B171" s="15"/>
      <c r="C171" s="16"/>
      <c r="D171" s="17"/>
      <c r="E171" s="12"/>
      <c r="F171" s="18"/>
      <c r="G171" s="19"/>
      <c r="H171" s="13"/>
      <c r="I171" s="19"/>
      <c r="J171" s="13"/>
      <c r="K171" s="19"/>
      <c r="L171" s="13"/>
      <c r="M171" s="19"/>
      <c r="N171" s="13"/>
      <c r="O171" s="19"/>
      <c r="P171" s="13"/>
      <c r="Q171" s="19"/>
      <c r="R171" s="13"/>
      <c r="S171" s="557"/>
      <c r="T171" s="460"/>
      <c r="U171" s="557"/>
      <c r="V171" s="460"/>
      <c r="W171" s="557"/>
      <c r="X171" s="460"/>
    </row>
    <row r="172" spans="1:24">
      <c r="A172" s="14"/>
      <c r="B172" s="15"/>
      <c r="C172" s="16"/>
      <c r="D172" s="17"/>
      <c r="E172" s="12"/>
      <c r="F172" s="18"/>
      <c r="G172" s="19"/>
      <c r="H172" s="13"/>
      <c r="I172" s="19"/>
      <c r="J172" s="13"/>
      <c r="K172" s="19"/>
      <c r="L172" s="13"/>
      <c r="M172" s="19"/>
      <c r="N172" s="13"/>
      <c r="O172" s="19"/>
      <c r="P172" s="13"/>
      <c r="Q172" s="19"/>
      <c r="R172" s="13"/>
      <c r="S172" s="557"/>
      <c r="T172" s="460"/>
      <c r="U172" s="557"/>
      <c r="V172" s="460"/>
      <c r="W172" s="557"/>
      <c r="X172" s="460"/>
    </row>
    <row r="173" spans="1:24">
      <c r="A173" s="14"/>
      <c r="B173" s="15"/>
      <c r="C173" s="16"/>
      <c r="D173" s="17"/>
      <c r="E173" s="12"/>
      <c r="F173" s="18"/>
      <c r="G173" s="19"/>
      <c r="H173" s="13"/>
      <c r="I173" s="19"/>
      <c r="J173" s="13"/>
      <c r="K173" s="19"/>
      <c r="L173" s="13"/>
      <c r="M173" s="19"/>
      <c r="N173" s="13"/>
      <c r="O173" s="19"/>
      <c r="P173" s="13"/>
      <c r="Q173" s="19"/>
      <c r="R173" s="13"/>
      <c r="S173" s="557"/>
      <c r="T173" s="460"/>
      <c r="U173" s="557"/>
      <c r="V173" s="460"/>
      <c r="W173" s="557"/>
      <c r="X173" s="460"/>
    </row>
    <row r="174" spans="1:24">
      <c r="A174" s="14"/>
      <c r="B174" s="15"/>
      <c r="C174" s="16"/>
      <c r="D174" s="17"/>
      <c r="E174" s="12"/>
      <c r="F174" s="18"/>
      <c r="G174" s="19"/>
      <c r="H174" s="13"/>
      <c r="I174" s="19"/>
      <c r="J174" s="13"/>
      <c r="K174" s="19"/>
      <c r="L174" s="13"/>
      <c r="M174" s="19"/>
      <c r="N174" s="13"/>
      <c r="O174" s="19"/>
      <c r="P174" s="13"/>
      <c r="Q174" s="19"/>
      <c r="R174" s="13"/>
      <c r="S174" s="557"/>
      <c r="T174" s="460"/>
      <c r="U174" s="557"/>
      <c r="V174" s="460"/>
      <c r="W174" s="557"/>
      <c r="X174" s="460"/>
    </row>
    <row r="175" spans="1:24">
      <c r="A175" s="14"/>
      <c r="B175" s="15"/>
      <c r="C175" s="16"/>
      <c r="D175" s="17"/>
      <c r="E175" s="12"/>
      <c r="F175" s="18"/>
      <c r="G175" s="19"/>
      <c r="H175" s="13"/>
      <c r="I175" s="19"/>
      <c r="J175" s="13"/>
      <c r="K175" s="19"/>
      <c r="L175" s="13"/>
      <c r="M175" s="19"/>
      <c r="N175" s="13"/>
      <c r="O175" s="19"/>
      <c r="P175" s="13"/>
      <c r="Q175" s="19"/>
      <c r="R175" s="13"/>
      <c r="S175" s="557"/>
      <c r="T175" s="460"/>
      <c r="U175" s="557"/>
      <c r="V175" s="460"/>
      <c r="W175" s="557"/>
      <c r="X175" s="460"/>
    </row>
    <row r="176" spans="1:24">
      <c r="A176" s="14"/>
      <c r="B176" s="15"/>
      <c r="C176" s="16"/>
      <c r="D176" s="17"/>
      <c r="E176" s="12"/>
      <c r="F176" s="18"/>
      <c r="G176" s="19"/>
      <c r="H176" s="13"/>
      <c r="I176" s="19"/>
      <c r="J176" s="13"/>
      <c r="K176" s="19"/>
      <c r="L176" s="13"/>
      <c r="M176" s="19"/>
      <c r="N176" s="13"/>
      <c r="O176" s="19"/>
      <c r="P176" s="13"/>
      <c r="Q176" s="19"/>
      <c r="R176" s="13"/>
      <c r="S176" s="557"/>
      <c r="T176" s="460"/>
      <c r="U176" s="557"/>
      <c r="V176" s="460"/>
      <c r="W176" s="557"/>
      <c r="X176" s="460"/>
    </row>
    <row r="177" spans="1:24">
      <c r="A177" s="14"/>
      <c r="B177" s="15"/>
      <c r="C177" s="16"/>
      <c r="D177" s="17"/>
      <c r="E177" s="12"/>
      <c r="F177" s="18"/>
      <c r="G177" s="19"/>
      <c r="H177" s="13"/>
      <c r="I177" s="19"/>
      <c r="J177" s="13"/>
      <c r="K177" s="19"/>
      <c r="L177" s="13"/>
      <c r="M177" s="19"/>
      <c r="N177" s="13"/>
      <c r="O177" s="19"/>
      <c r="P177" s="13"/>
      <c r="Q177" s="19"/>
      <c r="R177" s="13"/>
      <c r="S177" s="557"/>
      <c r="T177" s="460"/>
      <c r="U177" s="557"/>
      <c r="V177" s="460"/>
      <c r="W177" s="557"/>
      <c r="X177" s="460"/>
    </row>
    <row r="178" spans="1:24">
      <c r="A178" s="14"/>
      <c r="B178" s="15"/>
      <c r="C178" s="16"/>
      <c r="D178" s="17"/>
      <c r="E178" s="12"/>
      <c r="F178" s="18"/>
      <c r="G178" s="19"/>
      <c r="H178" s="13"/>
      <c r="I178" s="19"/>
      <c r="J178" s="13"/>
      <c r="K178" s="19"/>
      <c r="L178" s="13"/>
      <c r="M178" s="19"/>
      <c r="N178" s="13"/>
      <c r="O178" s="19"/>
      <c r="P178" s="13"/>
      <c r="Q178" s="19"/>
      <c r="R178" s="13"/>
      <c r="S178" s="557"/>
      <c r="T178" s="460"/>
      <c r="U178" s="557"/>
      <c r="V178" s="460"/>
      <c r="W178" s="557"/>
      <c r="X178" s="460"/>
    </row>
    <row r="179" spans="1:24">
      <c r="A179" s="14"/>
      <c r="B179" s="15"/>
      <c r="C179" s="16"/>
      <c r="D179" s="17"/>
      <c r="E179" s="12"/>
      <c r="F179" s="18"/>
      <c r="G179" s="19"/>
      <c r="H179" s="13"/>
      <c r="I179" s="19"/>
      <c r="J179" s="13"/>
      <c r="K179" s="19"/>
      <c r="L179" s="13"/>
      <c r="M179" s="19"/>
      <c r="N179" s="13"/>
      <c r="O179" s="19"/>
      <c r="P179" s="13"/>
      <c r="Q179" s="19"/>
      <c r="R179" s="13"/>
      <c r="S179" s="557"/>
      <c r="T179" s="460"/>
      <c r="U179" s="557"/>
      <c r="V179" s="460"/>
      <c r="W179" s="557"/>
      <c r="X179" s="460"/>
    </row>
    <row r="180" spans="1:24">
      <c r="A180" s="14"/>
      <c r="B180" s="15"/>
      <c r="C180" s="16"/>
      <c r="D180" s="17"/>
      <c r="E180" s="12"/>
      <c r="F180" s="18"/>
      <c r="G180" s="19"/>
      <c r="H180" s="13"/>
      <c r="I180" s="19"/>
      <c r="J180" s="13"/>
      <c r="K180" s="19"/>
      <c r="L180" s="13"/>
      <c r="M180" s="19"/>
      <c r="N180" s="13"/>
      <c r="O180" s="19"/>
      <c r="P180" s="13"/>
      <c r="Q180" s="19"/>
      <c r="R180" s="13"/>
      <c r="S180" s="557"/>
      <c r="T180" s="460"/>
      <c r="U180" s="557"/>
      <c r="V180" s="460"/>
      <c r="W180" s="557"/>
      <c r="X180" s="460"/>
    </row>
    <row r="181" spans="1:24">
      <c r="A181" s="14"/>
      <c r="B181" s="15"/>
      <c r="C181" s="16"/>
      <c r="D181" s="17"/>
      <c r="E181" s="12"/>
      <c r="F181" s="18"/>
      <c r="G181" s="19"/>
      <c r="H181" s="13"/>
      <c r="I181" s="19"/>
      <c r="J181" s="13"/>
      <c r="K181" s="19"/>
      <c r="L181" s="13"/>
      <c r="M181" s="19"/>
      <c r="N181" s="13"/>
      <c r="O181" s="19"/>
      <c r="P181" s="13"/>
      <c r="Q181" s="19"/>
      <c r="R181" s="13"/>
      <c r="S181" s="557"/>
      <c r="T181" s="460"/>
      <c r="U181" s="557"/>
      <c r="V181" s="460"/>
      <c r="W181" s="557"/>
      <c r="X181" s="460"/>
    </row>
    <row r="182" spans="1:24">
      <c r="A182" s="14"/>
      <c r="B182" s="15"/>
      <c r="C182" s="16"/>
      <c r="D182" s="17"/>
      <c r="E182" s="12"/>
      <c r="F182" s="18"/>
      <c r="G182" s="19"/>
      <c r="H182" s="13"/>
      <c r="I182" s="19"/>
      <c r="J182" s="13"/>
      <c r="K182" s="19"/>
      <c r="L182" s="13"/>
      <c r="M182" s="19"/>
      <c r="N182" s="13"/>
      <c r="O182" s="19"/>
      <c r="P182" s="13"/>
      <c r="Q182" s="19"/>
      <c r="R182" s="13"/>
      <c r="S182" s="557"/>
      <c r="T182" s="460"/>
      <c r="U182" s="557"/>
      <c r="V182" s="460"/>
      <c r="W182" s="557"/>
      <c r="X182" s="460"/>
    </row>
    <row r="183" spans="1:24">
      <c r="A183" s="14"/>
      <c r="B183" s="15"/>
      <c r="C183" s="16"/>
      <c r="D183" s="17"/>
      <c r="E183" s="12"/>
      <c r="F183" s="18"/>
      <c r="G183" s="19"/>
      <c r="H183" s="13"/>
      <c r="I183" s="19"/>
      <c r="J183" s="13"/>
      <c r="K183" s="19"/>
      <c r="L183" s="13"/>
      <c r="M183" s="19"/>
      <c r="N183" s="13"/>
      <c r="O183" s="19"/>
      <c r="P183" s="13"/>
      <c r="Q183" s="19"/>
      <c r="R183" s="13"/>
      <c r="S183" s="557"/>
      <c r="T183" s="460"/>
      <c r="U183" s="557"/>
      <c r="V183" s="460"/>
      <c r="W183" s="557"/>
      <c r="X183" s="460"/>
    </row>
    <row r="184" spans="1:24">
      <c r="A184" s="14"/>
      <c r="B184" s="15"/>
      <c r="C184" s="16"/>
      <c r="D184" s="17"/>
      <c r="E184" s="12"/>
      <c r="F184" s="18"/>
      <c r="G184" s="19"/>
      <c r="H184" s="13"/>
      <c r="I184" s="19"/>
      <c r="J184" s="13"/>
      <c r="K184" s="19"/>
      <c r="L184" s="13"/>
      <c r="M184" s="19"/>
      <c r="N184" s="13"/>
      <c r="O184" s="19"/>
      <c r="P184" s="13"/>
      <c r="Q184" s="19"/>
      <c r="R184" s="13"/>
      <c r="S184" s="557"/>
      <c r="T184" s="460"/>
      <c r="U184" s="557"/>
      <c r="V184" s="460"/>
      <c r="W184" s="557"/>
      <c r="X184" s="460"/>
    </row>
    <row r="185" spans="1:24">
      <c r="A185" s="14"/>
      <c r="B185" s="15"/>
      <c r="C185" s="16"/>
      <c r="D185" s="17"/>
      <c r="E185" s="12"/>
      <c r="F185" s="18"/>
      <c r="G185" s="19"/>
      <c r="H185" s="13"/>
      <c r="I185" s="19"/>
      <c r="J185" s="13"/>
      <c r="K185" s="19"/>
      <c r="L185" s="13"/>
      <c r="M185" s="19"/>
      <c r="N185" s="13"/>
      <c r="O185" s="19"/>
      <c r="P185" s="13"/>
      <c r="Q185" s="19"/>
      <c r="R185" s="13"/>
      <c r="S185" s="557"/>
      <c r="T185" s="460"/>
      <c r="U185" s="557"/>
      <c r="V185" s="460"/>
      <c r="W185" s="557"/>
      <c r="X185" s="460"/>
    </row>
    <row r="186" spans="1:24">
      <c r="A186" s="14"/>
      <c r="B186" s="15"/>
      <c r="C186" s="16"/>
      <c r="D186" s="17"/>
      <c r="E186" s="12"/>
      <c r="F186" s="18"/>
      <c r="G186" s="19"/>
      <c r="H186" s="13"/>
      <c r="I186" s="19"/>
      <c r="J186" s="13"/>
      <c r="K186" s="19"/>
      <c r="L186" s="13"/>
      <c r="M186" s="19"/>
      <c r="N186" s="13"/>
      <c r="O186" s="19"/>
      <c r="P186" s="13"/>
      <c r="Q186" s="19"/>
      <c r="R186" s="13"/>
      <c r="S186" s="557"/>
      <c r="T186" s="460"/>
      <c r="U186" s="557"/>
      <c r="V186" s="460"/>
      <c r="W186" s="557"/>
      <c r="X186" s="460"/>
    </row>
    <row r="187" spans="1:24">
      <c r="A187" s="14"/>
      <c r="B187" s="15"/>
      <c r="C187" s="16"/>
      <c r="D187" s="17"/>
      <c r="E187" s="12"/>
      <c r="F187" s="18"/>
      <c r="G187" s="19"/>
      <c r="H187" s="13"/>
      <c r="I187" s="19"/>
      <c r="J187" s="13"/>
      <c r="K187" s="19"/>
      <c r="L187" s="13"/>
      <c r="M187" s="19"/>
      <c r="N187" s="13"/>
      <c r="O187" s="19"/>
      <c r="P187" s="13"/>
      <c r="Q187" s="19"/>
      <c r="R187" s="13"/>
      <c r="S187" s="557"/>
      <c r="T187" s="460"/>
      <c r="U187" s="557"/>
      <c r="V187" s="460"/>
      <c r="W187" s="557"/>
      <c r="X187" s="460"/>
    </row>
    <row r="188" spans="1:24">
      <c r="A188" s="14"/>
      <c r="B188" s="15"/>
      <c r="C188" s="16"/>
      <c r="D188" s="17"/>
      <c r="E188" s="12"/>
      <c r="F188" s="18"/>
      <c r="G188" s="19"/>
      <c r="H188" s="13"/>
      <c r="I188" s="19"/>
      <c r="J188" s="13"/>
      <c r="K188" s="19"/>
      <c r="L188" s="13"/>
      <c r="M188" s="19"/>
      <c r="N188" s="13"/>
      <c r="O188" s="19"/>
      <c r="P188" s="13"/>
      <c r="Q188" s="19"/>
      <c r="R188" s="13"/>
      <c r="S188" s="557"/>
      <c r="T188" s="460"/>
      <c r="U188" s="557"/>
      <c r="V188" s="460"/>
      <c r="W188" s="557"/>
      <c r="X188" s="460"/>
    </row>
    <row r="189" spans="1:24">
      <c r="A189" s="14"/>
      <c r="B189" s="15"/>
      <c r="C189" s="16"/>
      <c r="D189" s="17"/>
      <c r="E189" s="12"/>
      <c r="F189" s="18"/>
      <c r="G189" s="19"/>
      <c r="H189" s="13"/>
      <c r="I189" s="19"/>
      <c r="J189" s="13"/>
      <c r="K189" s="19"/>
      <c r="L189" s="13"/>
      <c r="M189" s="19"/>
      <c r="N189" s="13"/>
      <c r="O189" s="19"/>
      <c r="P189" s="13"/>
      <c r="Q189" s="19"/>
      <c r="R189" s="13"/>
      <c r="S189" s="557"/>
      <c r="T189" s="460"/>
      <c r="U189" s="557"/>
      <c r="V189" s="460"/>
      <c r="W189" s="557"/>
      <c r="X189" s="460"/>
    </row>
    <row r="190" spans="1:24">
      <c r="A190" s="14"/>
      <c r="B190" s="15"/>
      <c r="C190" s="16"/>
      <c r="D190" s="17"/>
      <c r="E190" s="12"/>
      <c r="F190" s="18"/>
      <c r="G190" s="19"/>
      <c r="H190" s="13"/>
      <c r="I190" s="19"/>
      <c r="J190" s="13"/>
      <c r="K190" s="19"/>
      <c r="L190" s="13"/>
      <c r="M190" s="19"/>
      <c r="N190" s="13"/>
      <c r="O190" s="19"/>
      <c r="P190" s="13"/>
      <c r="Q190" s="19"/>
      <c r="R190" s="13"/>
      <c r="S190" s="557"/>
      <c r="T190" s="460"/>
      <c r="U190" s="557"/>
      <c r="V190" s="460"/>
      <c r="W190" s="557"/>
      <c r="X190" s="460"/>
    </row>
    <row r="191" spans="1:24">
      <c r="A191" s="14"/>
      <c r="B191" s="15"/>
      <c r="C191" s="16"/>
      <c r="D191" s="17"/>
      <c r="E191" s="12"/>
      <c r="F191" s="18"/>
      <c r="G191" s="19"/>
      <c r="H191" s="13"/>
      <c r="I191" s="19"/>
      <c r="J191" s="13"/>
      <c r="K191" s="19"/>
      <c r="L191" s="13"/>
      <c r="M191" s="19"/>
      <c r="N191" s="13"/>
      <c r="O191" s="19"/>
      <c r="P191" s="13"/>
      <c r="Q191" s="19"/>
      <c r="R191" s="13"/>
      <c r="S191" s="557"/>
      <c r="T191" s="460"/>
      <c r="U191" s="557"/>
      <c r="V191" s="460"/>
      <c r="W191" s="557"/>
      <c r="X191" s="460"/>
    </row>
    <row r="192" spans="1:24">
      <c r="A192" s="14"/>
      <c r="B192" s="15"/>
      <c r="C192" s="16"/>
      <c r="D192" s="17"/>
      <c r="E192" s="12"/>
      <c r="F192" s="18"/>
      <c r="G192" s="19"/>
      <c r="H192" s="13"/>
      <c r="I192" s="19"/>
      <c r="J192" s="13"/>
      <c r="K192" s="19"/>
      <c r="L192" s="13"/>
      <c r="M192" s="19"/>
      <c r="N192" s="13"/>
      <c r="O192" s="19"/>
      <c r="P192" s="13"/>
      <c r="Q192" s="19"/>
      <c r="R192" s="13"/>
      <c r="S192" s="557"/>
      <c r="T192" s="460"/>
      <c r="U192" s="557"/>
      <c r="V192" s="460"/>
      <c r="W192" s="557"/>
      <c r="X192" s="460"/>
    </row>
    <row r="193" spans="1:24">
      <c r="A193" s="14"/>
      <c r="B193" s="15"/>
      <c r="C193" s="16"/>
      <c r="D193" s="17"/>
      <c r="E193" s="12"/>
      <c r="F193" s="18"/>
      <c r="G193" s="19"/>
      <c r="H193" s="13"/>
      <c r="I193" s="19"/>
      <c r="J193" s="13"/>
      <c r="K193" s="19"/>
      <c r="L193" s="13"/>
      <c r="M193" s="19"/>
      <c r="N193" s="13"/>
      <c r="O193" s="19"/>
      <c r="P193" s="13"/>
      <c r="Q193" s="19"/>
      <c r="R193" s="13"/>
      <c r="S193" s="557"/>
      <c r="T193" s="460"/>
      <c r="U193" s="557"/>
      <c r="V193" s="460"/>
      <c r="W193" s="557"/>
      <c r="X193" s="460"/>
    </row>
    <row r="194" spans="1:24">
      <c r="A194" s="14"/>
      <c r="B194" s="15"/>
      <c r="C194" s="16"/>
      <c r="D194" s="17"/>
      <c r="E194" s="12"/>
      <c r="F194" s="18"/>
      <c r="G194" s="19"/>
      <c r="H194" s="13"/>
      <c r="I194" s="19"/>
      <c r="J194" s="13"/>
      <c r="K194" s="19"/>
      <c r="L194" s="13"/>
      <c r="M194" s="19"/>
      <c r="N194" s="13"/>
      <c r="O194" s="19"/>
      <c r="P194" s="13"/>
      <c r="Q194" s="19"/>
      <c r="R194" s="13"/>
      <c r="S194" s="557"/>
      <c r="T194" s="460"/>
      <c r="U194" s="557"/>
      <c r="V194" s="460"/>
      <c r="W194" s="557"/>
      <c r="X194" s="460"/>
    </row>
    <row r="195" spans="1:24">
      <c r="A195" s="14"/>
      <c r="B195" s="15"/>
      <c r="C195" s="16"/>
      <c r="D195" s="17"/>
      <c r="E195" s="12"/>
      <c r="F195" s="18"/>
      <c r="G195" s="19"/>
      <c r="H195" s="13"/>
      <c r="I195" s="19"/>
      <c r="J195" s="13"/>
      <c r="K195" s="19"/>
      <c r="L195" s="13"/>
      <c r="M195" s="19"/>
      <c r="N195" s="13"/>
      <c r="O195" s="19"/>
      <c r="P195" s="13"/>
      <c r="Q195" s="19"/>
      <c r="R195" s="13"/>
      <c r="S195" s="557"/>
      <c r="T195" s="460"/>
      <c r="U195" s="557"/>
      <c r="V195" s="460"/>
      <c r="W195" s="557"/>
      <c r="X195" s="460"/>
    </row>
    <row r="196" spans="1:24">
      <c r="A196" s="14"/>
      <c r="B196" s="15"/>
      <c r="C196" s="16"/>
      <c r="D196" s="17"/>
      <c r="E196" s="12"/>
      <c r="F196" s="18"/>
      <c r="G196" s="19"/>
      <c r="H196" s="13"/>
      <c r="I196" s="19"/>
      <c r="J196" s="13"/>
      <c r="K196" s="19"/>
      <c r="L196" s="13"/>
      <c r="M196" s="19"/>
      <c r="N196" s="13"/>
      <c r="O196" s="19"/>
      <c r="P196" s="13"/>
      <c r="Q196" s="19"/>
      <c r="R196" s="13"/>
      <c r="S196" s="557"/>
      <c r="T196" s="460"/>
      <c r="U196" s="557"/>
      <c r="V196" s="460"/>
      <c r="W196" s="557"/>
      <c r="X196" s="460"/>
    </row>
    <row r="197" spans="1:24">
      <c r="A197" s="14"/>
      <c r="B197" s="15"/>
      <c r="C197" s="16"/>
      <c r="D197" s="17"/>
      <c r="E197" s="12"/>
      <c r="F197" s="18"/>
      <c r="G197" s="19"/>
      <c r="H197" s="13"/>
      <c r="I197" s="19"/>
      <c r="J197" s="13"/>
      <c r="K197" s="19"/>
      <c r="L197" s="13"/>
      <c r="M197" s="19"/>
      <c r="N197" s="13"/>
      <c r="O197" s="19"/>
      <c r="P197" s="13"/>
      <c r="Q197" s="19"/>
      <c r="R197" s="13"/>
      <c r="S197" s="557"/>
      <c r="T197" s="460"/>
      <c r="U197" s="557"/>
      <c r="V197" s="460"/>
      <c r="W197" s="557"/>
      <c r="X197" s="460"/>
    </row>
    <row r="198" spans="1:24">
      <c r="A198" s="14"/>
      <c r="B198" s="15"/>
      <c r="C198" s="16"/>
      <c r="D198" s="17"/>
      <c r="E198" s="12"/>
      <c r="F198" s="18"/>
      <c r="G198" s="19"/>
      <c r="H198" s="13"/>
      <c r="I198" s="19"/>
      <c r="J198" s="13"/>
      <c r="K198" s="19"/>
      <c r="L198" s="13"/>
      <c r="M198" s="19"/>
      <c r="N198" s="13"/>
      <c r="O198" s="19"/>
      <c r="P198" s="13"/>
      <c r="Q198" s="19"/>
      <c r="R198" s="13"/>
      <c r="S198" s="557"/>
      <c r="T198" s="460"/>
      <c r="U198" s="557"/>
      <c r="V198" s="460"/>
      <c r="W198" s="557"/>
      <c r="X198" s="460"/>
    </row>
    <row r="199" spans="1:24">
      <c r="A199" s="14"/>
      <c r="B199" s="15"/>
      <c r="C199" s="16"/>
      <c r="D199" s="17"/>
      <c r="E199" s="12"/>
      <c r="F199" s="18"/>
      <c r="G199" s="19"/>
      <c r="H199" s="13"/>
      <c r="I199" s="19"/>
      <c r="J199" s="13"/>
      <c r="K199" s="19"/>
      <c r="L199" s="13"/>
      <c r="M199" s="19"/>
      <c r="N199" s="13"/>
      <c r="O199" s="19"/>
      <c r="P199" s="13"/>
      <c r="Q199" s="19"/>
      <c r="R199" s="13"/>
      <c r="S199" s="557"/>
      <c r="T199" s="460"/>
      <c r="U199" s="557"/>
      <c r="V199" s="460"/>
      <c r="W199" s="557"/>
      <c r="X199" s="460"/>
    </row>
    <row r="200" spans="1:24">
      <c r="A200" s="14"/>
      <c r="B200" s="15"/>
      <c r="C200" s="16"/>
      <c r="D200" s="17"/>
      <c r="E200" s="12"/>
      <c r="F200" s="18"/>
      <c r="G200" s="19"/>
      <c r="H200" s="13"/>
      <c r="I200" s="19"/>
      <c r="J200" s="13"/>
      <c r="K200" s="19"/>
      <c r="L200" s="13"/>
      <c r="M200" s="19"/>
      <c r="N200" s="13"/>
      <c r="O200" s="19"/>
      <c r="P200" s="13"/>
      <c r="Q200" s="19"/>
      <c r="R200" s="13"/>
      <c r="S200" s="557"/>
      <c r="T200" s="460"/>
      <c r="U200" s="557"/>
      <c r="V200" s="460"/>
      <c r="W200" s="557"/>
      <c r="X200" s="460"/>
    </row>
    <row r="201" spans="1:24">
      <c r="A201" s="14"/>
      <c r="B201" s="15"/>
      <c r="C201" s="16"/>
      <c r="D201" s="17"/>
      <c r="E201" s="12"/>
      <c r="F201" s="18"/>
      <c r="G201" s="19"/>
      <c r="H201" s="13"/>
      <c r="I201" s="19"/>
      <c r="J201" s="13"/>
      <c r="K201" s="19"/>
      <c r="L201" s="13"/>
      <c r="M201" s="19"/>
      <c r="N201" s="13"/>
      <c r="O201" s="19"/>
      <c r="P201" s="13"/>
      <c r="Q201" s="19"/>
      <c r="R201" s="13"/>
      <c r="S201" s="557"/>
      <c r="T201" s="460"/>
      <c r="U201" s="557"/>
      <c r="V201" s="460"/>
      <c r="W201" s="557"/>
      <c r="X201" s="460"/>
    </row>
    <row r="202" spans="1:24">
      <c r="A202" s="14"/>
      <c r="B202" s="15"/>
      <c r="C202" s="16"/>
      <c r="D202" s="17"/>
      <c r="E202" s="12"/>
      <c r="F202" s="18"/>
      <c r="G202" s="19"/>
      <c r="H202" s="13"/>
      <c r="I202" s="19"/>
      <c r="J202" s="13"/>
      <c r="K202" s="19"/>
      <c r="L202" s="13"/>
      <c r="M202" s="19"/>
      <c r="N202" s="13"/>
      <c r="O202" s="19"/>
      <c r="P202" s="13"/>
      <c r="Q202" s="19"/>
      <c r="R202" s="13"/>
      <c r="S202" s="557"/>
      <c r="T202" s="460"/>
      <c r="U202" s="557"/>
      <c r="V202" s="460"/>
      <c r="W202" s="557"/>
      <c r="X202" s="460"/>
    </row>
    <row r="203" spans="1:24">
      <c r="A203" s="14"/>
      <c r="B203" s="15"/>
      <c r="C203" s="16"/>
      <c r="D203" s="17"/>
      <c r="E203" s="12"/>
      <c r="F203" s="18"/>
      <c r="G203" s="19"/>
      <c r="H203" s="13"/>
      <c r="I203" s="19"/>
      <c r="J203" s="13"/>
      <c r="K203" s="19"/>
      <c r="L203" s="13"/>
      <c r="M203" s="19"/>
      <c r="N203" s="13"/>
      <c r="O203" s="19"/>
      <c r="P203" s="13"/>
      <c r="Q203" s="19"/>
      <c r="R203" s="13"/>
      <c r="S203" s="557"/>
      <c r="T203" s="460"/>
      <c r="U203" s="557"/>
      <c r="V203" s="460"/>
      <c r="W203" s="557"/>
      <c r="X203" s="460"/>
    </row>
    <row r="204" spans="1:24">
      <c r="A204" s="14"/>
      <c r="B204" s="15"/>
      <c r="C204" s="16"/>
      <c r="D204" s="17"/>
      <c r="E204" s="12"/>
      <c r="F204" s="18"/>
      <c r="G204" s="19"/>
      <c r="H204" s="13"/>
      <c r="I204" s="19"/>
      <c r="J204" s="13"/>
      <c r="K204" s="19"/>
      <c r="L204" s="13"/>
      <c r="M204" s="19"/>
      <c r="N204" s="13"/>
      <c r="O204" s="19"/>
      <c r="P204" s="13"/>
      <c r="Q204" s="19"/>
      <c r="R204" s="13"/>
      <c r="S204" s="557"/>
      <c r="T204" s="460"/>
      <c r="U204" s="557"/>
      <c r="V204" s="460"/>
      <c r="W204" s="557"/>
      <c r="X204" s="460"/>
    </row>
    <row r="205" spans="1:24">
      <c r="A205" s="14"/>
      <c r="B205" s="15"/>
      <c r="C205" s="16"/>
      <c r="D205" s="17"/>
      <c r="E205" s="12"/>
      <c r="F205" s="18"/>
      <c r="G205" s="19"/>
      <c r="H205" s="13"/>
      <c r="I205" s="19"/>
      <c r="J205" s="13"/>
      <c r="K205" s="19"/>
      <c r="L205" s="13"/>
      <c r="M205" s="19"/>
      <c r="N205" s="13"/>
      <c r="O205" s="19"/>
      <c r="P205" s="13"/>
      <c r="Q205" s="19"/>
      <c r="R205" s="13"/>
      <c r="S205" s="557"/>
      <c r="T205" s="460"/>
      <c r="U205" s="557"/>
      <c r="V205" s="460"/>
      <c r="W205" s="557"/>
      <c r="X205" s="460"/>
    </row>
    <row r="206" spans="1:24">
      <c r="A206" s="14"/>
      <c r="B206" s="15"/>
      <c r="C206" s="16"/>
      <c r="D206" s="17"/>
      <c r="E206" s="12"/>
      <c r="F206" s="18"/>
      <c r="G206" s="19"/>
      <c r="H206" s="13"/>
      <c r="I206" s="19"/>
      <c r="J206" s="13"/>
      <c r="K206" s="19"/>
      <c r="L206" s="13"/>
      <c r="M206" s="19"/>
      <c r="N206" s="13"/>
      <c r="O206" s="19"/>
      <c r="P206" s="13"/>
      <c r="Q206" s="19"/>
      <c r="R206" s="13"/>
      <c r="S206" s="557"/>
      <c r="T206" s="460"/>
      <c r="U206" s="557"/>
      <c r="V206" s="460"/>
      <c r="W206" s="557"/>
      <c r="X206" s="460"/>
    </row>
    <row r="207" spans="1:24">
      <c r="A207" s="14"/>
      <c r="B207" s="15"/>
      <c r="C207" s="16"/>
      <c r="D207" s="17"/>
      <c r="E207" s="12"/>
      <c r="F207" s="18"/>
      <c r="G207" s="19"/>
      <c r="H207" s="13"/>
      <c r="I207" s="19"/>
      <c r="J207" s="13"/>
      <c r="K207" s="19"/>
      <c r="L207" s="13"/>
      <c r="M207" s="19"/>
      <c r="N207" s="13"/>
      <c r="O207" s="19"/>
      <c r="P207" s="13"/>
      <c r="Q207" s="19"/>
      <c r="R207" s="13"/>
      <c r="S207" s="557"/>
      <c r="T207" s="460"/>
      <c r="U207" s="557"/>
      <c r="V207" s="460"/>
      <c r="W207" s="557"/>
      <c r="X207" s="460"/>
    </row>
    <row r="208" spans="1:24">
      <c r="A208" s="14"/>
      <c r="B208" s="15"/>
      <c r="C208" s="16"/>
      <c r="D208" s="17"/>
      <c r="E208" s="12"/>
      <c r="F208" s="18"/>
      <c r="G208" s="19"/>
      <c r="H208" s="13"/>
      <c r="I208" s="19"/>
      <c r="J208" s="13"/>
      <c r="K208" s="19"/>
      <c r="L208" s="13"/>
      <c r="M208" s="19"/>
      <c r="N208" s="13"/>
      <c r="O208" s="19"/>
      <c r="P208" s="13"/>
      <c r="Q208" s="19"/>
      <c r="R208" s="13"/>
      <c r="S208" s="557"/>
      <c r="T208" s="460"/>
      <c r="U208" s="557"/>
      <c r="V208" s="460"/>
      <c r="W208" s="557"/>
      <c r="X208" s="460"/>
    </row>
    <row r="209" spans="1:24">
      <c r="A209" s="14"/>
      <c r="B209" s="15"/>
      <c r="C209" s="16"/>
      <c r="D209" s="17"/>
      <c r="E209" s="12"/>
      <c r="F209" s="18"/>
      <c r="G209" s="19"/>
      <c r="H209" s="13"/>
      <c r="I209" s="19"/>
      <c r="J209" s="13"/>
      <c r="K209" s="19"/>
      <c r="L209" s="13"/>
      <c r="M209" s="19"/>
      <c r="N209" s="13"/>
      <c r="O209" s="19"/>
      <c r="P209" s="13"/>
      <c r="Q209" s="19"/>
      <c r="R209" s="13"/>
      <c r="S209" s="557"/>
      <c r="T209" s="460"/>
      <c r="U209" s="557"/>
      <c r="V209" s="460"/>
      <c r="W209" s="557"/>
      <c r="X209" s="460"/>
    </row>
    <row r="210" spans="1:24">
      <c r="A210" s="14"/>
      <c r="B210" s="15"/>
      <c r="C210" s="16"/>
      <c r="D210" s="17"/>
      <c r="E210" s="12"/>
      <c r="F210" s="18"/>
      <c r="G210" s="19"/>
      <c r="H210" s="13"/>
      <c r="I210" s="19"/>
      <c r="J210" s="13"/>
      <c r="K210" s="19"/>
      <c r="L210" s="13"/>
      <c r="M210" s="19"/>
      <c r="N210" s="13"/>
      <c r="O210" s="19"/>
      <c r="P210" s="13"/>
      <c r="Q210" s="19"/>
      <c r="R210" s="13"/>
      <c r="S210" s="557"/>
      <c r="T210" s="460"/>
      <c r="U210" s="557"/>
      <c r="V210" s="460"/>
      <c r="W210" s="557"/>
      <c r="X210" s="460"/>
    </row>
    <row r="211" spans="1:24">
      <c r="A211" s="14"/>
      <c r="B211" s="15"/>
      <c r="C211" s="16"/>
      <c r="D211" s="17"/>
      <c r="E211" s="12"/>
      <c r="F211" s="18"/>
      <c r="G211" s="19"/>
      <c r="H211" s="13"/>
      <c r="I211" s="19"/>
      <c r="J211" s="13"/>
      <c r="K211" s="19"/>
      <c r="L211" s="13"/>
      <c r="M211" s="19"/>
      <c r="N211" s="13"/>
      <c r="O211" s="19"/>
      <c r="P211" s="13"/>
      <c r="Q211" s="19"/>
      <c r="R211" s="13"/>
      <c r="S211" s="557"/>
      <c r="T211" s="460"/>
      <c r="U211" s="557"/>
      <c r="V211" s="460"/>
      <c r="W211" s="557"/>
      <c r="X211" s="460"/>
    </row>
    <row r="212" spans="1:24">
      <c r="A212" s="14"/>
      <c r="B212" s="15"/>
      <c r="C212" s="16"/>
      <c r="D212" s="17"/>
      <c r="E212" s="12"/>
      <c r="F212" s="18"/>
      <c r="G212" s="19"/>
      <c r="H212" s="13"/>
      <c r="I212" s="19"/>
      <c r="J212" s="13"/>
      <c r="K212" s="19"/>
      <c r="L212" s="13"/>
      <c r="M212" s="19"/>
      <c r="N212" s="13"/>
      <c r="O212" s="19"/>
      <c r="P212" s="13"/>
      <c r="Q212" s="19"/>
      <c r="R212" s="13"/>
      <c r="S212" s="557"/>
      <c r="T212" s="460"/>
      <c r="U212" s="557"/>
      <c r="V212" s="460"/>
      <c r="W212" s="557"/>
      <c r="X212" s="460"/>
    </row>
    <row r="213" spans="1:24">
      <c r="A213" s="14"/>
      <c r="B213" s="15"/>
      <c r="C213" s="16"/>
      <c r="D213" s="17"/>
      <c r="E213" s="12"/>
      <c r="F213" s="18"/>
      <c r="G213" s="19"/>
      <c r="H213" s="13"/>
      <c r="I213" s="19"/>
      <c r="J213" s="13"/>
      <c r="K213" s="19"/>
      <c r="L213" s="13"/>
      <c r="M213" s="19"/>
      <c r="N213" s="13"/>
      <c r="O213" s="19"/>
      <c r="P213" s="13"/>
      <c r="Q213" s="19"/>
      <c r="R213" s="13"/>
      <c r="S213" s="557"/>
      <c r="T213" s="460"/>
      <c r="U213" s="557"/>
      <c r="V213" s="460"/>
      <c r="W213" s="557"/>
      <c r="X213" s="460"/>
    </row>
    <row r="214" spans="1:24">
      <c r="A214" s="14"/>
      <c r="B214" s="15"/>
      <c r="C214" s="16"/>
      <c r="D214" s="17"/>
      <c r="E214" s="12"/>
      <c r="F214" s="18"/>
      <c r="G214" s="19"/>
      <c r="H214" s="13"/>
      <c r="I214" s="19"/>
      <c r="J214" s="13"/>
      <c r="K214" s="19"/>
      <c r="L214" s="13"/>
      <c r="M214" s="19"/>
      <c r="N214" s="13"/>
      <c r="O214" s="19"/>
      <c r="P214" s="13"/>
      <c r="Q214" s="19"/>
      <c r="R214" s="13"/>
      <c r="S214" s="557"/>
      <c r="T214" s="460"/>
      <c r="U214" s="557"/>
      <c r="V214" s="460"/>
      <c r="W214" s="557"/>
      <c r="X214" s="460"/>
    </row>
    <row r="215" spans="1:24">
      <c r="A215" s="14"/>
      <c r="B215" s="15"/>
      <c r="C215" s="16"/>
      <c r="D215" s="17"/>
      <c r="E215" s="12"/>
      <c r="F215" s="18"/>
      <c r="G215" s="19"/>
      <c r="H215" s="13"/>
      <c r="I215" s="19"/>
      <c r="J215" s="13"/>
      <c r="K215" s="19"/>
      <c r="L215" s="13"/>
      <c r="M215" s="19"/>
      <c r="N215" s="13"/>
      <c r="O215" s="19"/>
      <c r="P215" s="13"/>
      <c r="Q215" s="19"/>
      <c r="R215" s="13"/>
      <c r="S215" s="557"/>
      <c r="T215" s="460"/>
      <c r="U215" s="557"/>
      <c r="V215" s="460"/>
      <c r="W215" s="557"/>
      <c r="X215" s="460"/>
    </row>
    <row r="216" spans="1:24">
      <c r="A216" s="14"/>
      <c r="B216" s="15"/>
      <c r="C216" s="16"/>
      <c r="D216" s="17"/>
      <c r="E216" s="12"/>
      <c r="F216" s="18"/>
      <c r="G216" s="19"/>
      <c r="H216" s="13"/>
      <c r="I216" s="19"/>
      <c r="J216" s="13"/>
      <c r="K216" s="19"/>
      <c r="L216" s="13"/>
      <c r="M216" s="19"/>
      <c r="N216" s="13"/>
      <c r="O216" s="19"/>
      <c r="P216" s="13"/>
      <c r="Q216" s="19"/>
      <c r="R216" s="13"/>
      <c r="S216" s="557"/>
      <c r="T216" s="460"/>
      <c r="U216" s="557"/>
      <c r="V216" s="460"/>
      <c r="W216" s="557"/>
      <c r="X216" s="460"/>
    </row>
    <row r="217" spans="1:24">
      <c r="A217" s="14"/>
      <c r="B217" s="15"/>
      <c r="C217" s="16"/>
      <c r="D217" s="17"/>
      <c r="E217" s="12"/>
      <c r="F217" s="18"/>
      <c r="G217" s="19"/>
      <c r="H217" s="13"/>
      <c r="I217" s="19"/>
      <c r="J217" s="13"/>
      <c r="K217" s="19"/>
      <c r="L217" s="13"/>
      <c r="M217" s="19"/>
      <c r="N217" s="13"/>
      <c r="O217" s="19"/>
      <c r="P217" s="13"/>
      <c r="Q217" s="19"/>
      <c r="R217" s="13"/>
      <c r="S217" s="557"/>
      <c r="T217" s="460"/>
      <c r="U217" s="557"/>
      <c r="V217" s="460"/>
      <c r="W217" s="557"/>
      <c r="X217" s="460"/>
    </row>
    <row r="218" spans="1:24">
      <c r="A218" s="14"/>
      <c r="B218" s="15"/>
      <c r="C218" s="16"/>
      <c r="D218" s="17"/>
      <c r="E218" s="12"/>
      <c r="F218" s="18"/>
      <c r="G218" s="19"/>
      <c r="H218" s="13"/>
      <c r="I218" s="19"/>
      <c r="J218" s="13"/>
      <c r="K218" s="19"/>
      <c r="L218" s="13"/>
      <c r="M218" s="19"/>
      <c r="N218" s="13"/>
      <c r="O218" s="19"/>
      <c r="P218" s="13"/>
      <c r="Q218" s="19"/>
      <c r="R218" s="13"/>
      <c r="S218" s="557"/>
      <c r="T218" s="460"/>
      <c r="U218" s="557"/>
      <c r="V218" s="460"/>
      <c r="W218" s="557"/>
      <c r="X218" s="460"/>
    </row>
    <row r="219" spans="1:24">
      <c r="A219" s="14"/>
      <c r="B219" s="15"/>
      <c r="C219" s="16"/>
      <c r="D219" s="17"/>
      <c r="E219" s="12"/>
      <c r="F219" s="18"/>
      <c r="G219" s="19"/>
      <c r="H219" s="13"/>
      <c r="I219" s="19"/>
      <c r="J219" s="13"/>
      <c r="K219" s="19"/>
      <c r="L219" s="13"/>
      <c r="M219" s="19"/>
      <c r="N219" s="13"/>
      <c r="O219" s="19"/>
      <c r="P219" s="13"/>
      <c r="Q219" s="19"/>
      <c r="R219" s="13"/>
      <c r="S219" s="557"/>
      <c r="T219" s="460"/>
      <c r="U219" s="557"/>
      <c r="V219" s="460"/>
      <c r="W219" s="557"/>
      <c r="X219" s="460"/>
    </row>
    <row r="220" spans="1:24">
      <c r="A220" s="14"/>
      <c r="B220" s="15"/>
      <c r="C220" s="16"/>
      <c r="D220" s="17"/>
      <c r="E220" s="12"/>
      <c r="F220" s="18"/>
      <c r="G220" s="19"/>
      <c r="H220" s="13"/>
      <c r="I220" s="19"/>
      <c r="J220" s="13"/>
      <c r="K220" s="19"/>
      <c r="L220" s="13"/>
      <c r="M220" s="19"/>
      <c r="N220" s="13"/>
      <c r="O220" s="19"/>
      <c r="P220" s="13"/>
      <c r="Q220" s="19"/>
      <c r="R220" s="13"/>
      <c r="S220" s="557"/>
      <c r="T220" s="460"/>
      <c r="U220" s="557"/>
      <c r="V220" s="460"/>
      <c r="W220" s="557"/>
      <c r="X220" s="460"/>
    </row>
    <row r="221" spans="1:24">
      <c r="A221" s="14"/>
      <c r="B221" s="15"/>
      <c r="C221" s="16"/>
      <c r="D221" s="17"/>
      <c r="E221" s="12"/>
      <c r="F221" s="18"/>
      <c r="G221" s="19"/>
      <c r="H221" s="13"/>
      <c r="I221" s="19"/>
      <c r="J221" s="13"/>
      <c r="K221" s="19"/>
      <c r="L221" s="13"/>
      <c r="M221" s="19"/>
      <c r="N221" s="13"/>
      <c r="O221" s="19"/>
      <c r="P221" s="13"/>
      <c r="Q221" s="19"/>
      <c r="R221" s="13"/>
      <c r="S221" s="557"/>
      <c r="T221" s="460"/>
      <c r="U221" s="557"/>
      <c r="V221" s="460"/>
      <c r="W221" s="557"/>
      <c r="X221" s="460"/>
    </row>
    <row r="222" spans="1:24">
      <c r="A222" s="14"/>
      <c r="B222" s="15"/>
      <c r="C222" s="16"/>
      <c r="D222" s="17"/>
      <c r="E222" s="12"/>
      <c r="F222" s="18"/>
      <c r="G222" s="19"/>
      <c r="H222" s="13"/>
      <c r="I222" s="19"/>
      <c r="J222" s="13"/>
      <c r="K222" s="19"/>
      <c r="L222" s="13"/>
      <c r="M222" s="19"/>
      <c r="N222" s="13"/>
      <c r="O222" s="19"/>
      <c r="P222" s="13"/>
      <c r="Q222" s="19"/>
      <c r="R222" s="13"/>
      <c r="S222" s="557"/>
      <c r="T222" s="460"/>
      <c r="U222" s="557"/>
      <c r="V222" s="460"/>
      <c r="W222" s="557"/>
      <c r="X222" s="460"/>
    </row>
    <row r="223" spans="1:24">
      <c r="A223" s="14"/>
      <c r="B223" s="15"/>
      <c r="C223" s="16"/>
      <c r="D223" s="17"/>
      <c r="E223" s="12"/>
      <c r="F223" s="18"/>
      <c r="G223" s="19"/>
      <c r="H223" s="13"/>
      <c r="I223" s="19"/>
      <c r="J223" s="13"/>
      <c r="K223" s="19"/>
      <c r="L223" s="13"/>
      <c r="M223" s="19"/>
      <c r="N223" s="13"/>
      <c r="O223" s="19"/>
      <c r="P223" s="13"/>
      <c r="Q223" s="19"/>
      <c r="R223" s="13"/>
      <c r="S223" s="557"/>
      <c r="T223" s="460"/>
      <c r="U223" s="557"/>
      <c r="V223" s="460"/>
      <c r="W223" s="557"/>
      <c r="X223" s="460"/>
    </row>
    <row r="224" spans="1:24">
      <c r="A224" s="14"/>
      <c r="B224" s="15"/>
      <c r="C224" s="16"/>
      <c r="D224" s="17"/>
      <c r="E224" s="12"/>
      <c r="F224" s="18"/>
      <c r="G224" s="19"/>
      <c r="H224" s="13"/>
      <c r="I224" s="19"/>
      <c r="J224" s="13"/>
      <c r="K224" s="19"/>
      <c r="L224" s="13"/>
      <c r="M224" s="19"/>
      <c r="N224" s="13"/>
      <c r="O224" s="19"/>
      <c r="P224" s="13"/>
      <c r="Q224" s="19"/>
      <c r="R224" s="13"/>
      <c r="S224" s="557"/>
      <c r="T224" s="460"/>
      <c r="U224" s="557"/>
      <c r="V224" s="460"/>
      <c r="W224" s="557"/>
      <c r="X224" s="460"/>
    </row>
    <row r="225" spans="1:24">
      <c r="A225" s="14"/>
      <c r="B225" s="15"/>
      <c r="C225" s="16"/>
      <c r="D225" s="17"/>
      <c r="E225" s="12"/>
      <c r="F225" s="18"/>
      <c r="G225" s="19"/>
      <c r="H225" s="13"/>
      <c r="I225" s="19"/>
      <c r="J225" s="13"/>
      <c r="K225" s="19"/>
      <c r="L225" s="13"/>
      <c r="M225" s="19"/>
      <c r="N225" s="13"/>
      <c r="O225" s="19"/>
      <c r="P225" s="13"/>
      <c r="Q225" s="19"/>
      <c r="R225" s="13"/>
      <c r="S225" s="557"/>
      <c r="T225" s="460"/>
      <c r="U225" s="557"/>
      <c r="V225" s="460"/>
      <c r="W225" s="557"/>
      <c r="X225" s="460"/>
    </row>
    <row r="226" spans="1:24">
      <c r="A226" s="14"/>
      <c r="B226" s="15"/>
      <c r="C226" s="16"/>
      <c r="D226" s="17"/>
      <c r="E226" s="12"/>
      <c r="F226" s="18"/>
      <c r="G226" s="19"/>
      <c r="H226" s="13"/>
      <c r="I226" s="19"/>
      <c r="J226" s="13"/>
      <c r="K226" s="19"/>
      <c r="L226" s="13"/>
      <c r="M226" s="19"/>
      <c r="N226" s="13"/>
      <c r="O226" s="19"/>
      <c r="P226" s="13"/>
      <c r="Q226" s="19"/>
      <c r="R226" s="13"/>
      <c r="S226" s="557"/>
      <c r="T226" s="460"/>
      <c r="U226" s="557"/>
      <c r="V226" s="460"/>
      <c r="W226" s="557"/>
      <c r="X226" s="460"/>
    </row>
    <row r="227" spans="1:24">
      <c r="A227" s="14"/>
      <c r="B227" s="15"/>
      <c r="C227" s="16"/>
      <c r="D227" s="17"/>
      <c r="E227" s="12"/>
      <c r="F227" s="18"/>
      <c r="G227" s="19"/>
      <c r="H227" s="13"/>
      <c r="I227" s="19"/>
      <c r="J227" s="13"/>
      <c r="K227" s="19"/>
      <c r="L227" s="13"/>
      <c r="M227" s="19"/>
      <c r="N227" s="13"/>
      <c r="O227" s="19"/>
      <c r="P227" s="13"/>
      <c r="Q227" s="19"/>
      <c r="R227" s="13"/>
      <c r="S227" s="557"/>
      <c r="T227" s="460"/>
      <c r="U227" s="557"/>
      <c r="V227" s="460"/>
      <c r="W227" s="557"/>
      <c r="X227" s="460"/>
    </row>
    <row r="228" spans="1:24">
      <c r="A228" s="14"/>
      <c r="B228" s="15"/>
      <c r="C228" s="16"/>
      <c r="D228" s="17"/>
      <c r="E228" s="12"/>
      <c r="F228" s="18"/>
      <c r="G228" s="19"/>
      <c r="H228" s="13"/>
      <c r="I228" s="19"/>
      <c r="J228" s="13"/>
      <c r="K228" s="19"/>
      <c r="L228" s="13"/>
      <c r="M228" s="19"/>
      <c r="N228" s="13"/>
      <c r="O228" s="19"/>
      <c r="P228" s="13"/>
      <c r="Q228" s="19"/>
      <c r="R228" s="13"/>
      <c r="S228" s="557"/>
      <c r="T228" s="460"/>
      <c r="U228" s="557"/>
      <c r="V228" s="460"/>
      <c r="W228" s="557"/>
      <c r="X228" s="460"/>
    </row>
    <row r="229" spans="1:24">
      <c r="A229" s="14"/>
      <c r="B229" s="15"/>
      <c r="C229" s="16"/>
      <c r="D229" s="17"/>
      <c r="E229" s="12"/>
      <c r="F229" s="18"/>
      <c r="G229" s="19"/>
      <c r="H229" s="13"/>
      <c r="I229" s="19"/>
      <c r="J229" s="13"/>
      <c r="K229" s="19"/>
      <c r="L229" s="13"/>
      <c r="M229" s="19"/>
      <c r="N229" s="13"/>
      <c r="O229" s="19"/>
      <c r="P229" s="13"/>
      <c r="Q229" s="19"/>
      <c r="R229" s="13"/>
      <c r="S229" s="557"/>
      <c r="T229" s="460"/>
      <c r="U229" s="557"/>
      <c r="V229" s="460"/>
      <c r="W229" s="557"/>
      <c r="X229" s="460"/>
    </row>
    <row r="230" spans="1:24">
      <c r="A230" s="14"/>
      <c r="B230" s="15"/>
      <c r="C230" s="16"/>
      <c r="D230" s="17"/>
      <c r="E230" s="12"/>
      <c r="F230" s="18"/>
      <c r="G230" s="19"/>
      <c r="H230" s="13"/>
      <c r="I230" s="19"/>
      <c r="J230" s="13"/>
      <c r="K230" s="19"/>
      <c r="L230" s="13"/>
      <c r="M230" s="19"/>
      <c r="N230" s="13"/>
      <c r="O230" s="19"/>
      <c r="P230" s="13"/>
      <c r="Q230" s="19"/>
      <c r="R230" s="13"/>
      <c r="S230" s="557"/>
      <c r="T230" s="460"/>
      <c r="U230" s="557"/>
      <c r="V230" s="460"/>
      <c r="W230" s="557"/>
      <c r="X230" s="460"/>
    </row>
    <row r="231" spans="1:24">
      <c r="A231" s="14"/>
      <c r="B231" s="15"/>
      <c r="C231" s="16"/>
      <c r="D231" s="17"/>
      <c r="E231" s="12"/>
      <c r="F231" s="18"/>
      <c r="G231" s="19"/>
      <c r="H231" s="13"/>
      <c r="I231" s="19"/>
      <c r="J231" s="13"/>
      <c r="K231" s="19"/>
      <c r="L231" s="13"/>
      <c r="M231" s="19"/>
      <c r="N231" s="13"/>
      <c r="O231" s="19"/>
      <c r="P231" s="13"/>
      <c r="Q231" s="19"/>
      <c r="R231" s="13"/>
      <c r="S231" s="557"/>
      <c r="T231" s="460"/>
      <c r="U231" s="557"/>
      <c r="V231" s="460"/>
      <c r="W231" s="557"/>
      <c r="X231" s="460"/>
    </row>
    <row r="232" spans="1:24">
      <c r="A232" s="14"/>
      <c r="B232" s="15"/>
      <c r="C232" s="16"/>
      <c r="D232" s="17"/>
      <c r="E232" s="12"/>
      <c r="F232" s="18"/>
      <c r="G232" s="19"/>
      <c r="H232" s="13"/>
      <c r="I232" s="19"/>
      <c r="J232" s="13"/>
      <c r="K232" s="19"/>
      <c r="L232" s="13"/>
      <c r="M232" s="19"/>
      <c r="N232" s="13"/>
      <c r="O232" s="19"/>
      <c r="P232" s="13"/>
      <c r="Q232" s="19"/>
      <c r="R232" s="13"/>
      <c r="S232" s="557"/>
      <c r="T232" s="460"/>
      <c r="U232" s="557"/>
      <c r="V232" s="460"/>
      <c r="W232" s="557"/>
      <c r="X232" s="460"/>
    </row>
    <row r="233" spans="1:24">
      <c r="A233" s="14"/>
      <c r="B233" s="15"/>
      <c r="C233" s="16"/>
      <c r="D233" s="17"/>
      <c r="E233" s="12"/>
      <c r="F233" s="18"/>
      <c r="G233" s="19"/>
      <c r="H233" s="13"/>
      <c r="I233" s="19"/>
      <c r="J233" s="13"/>
      <c r="K233" s="19"/>
      <c r="L233" s="13"/>
      <c r="M233" s="19"/>
      <c r="N233" s="13"/>
      <c r="O233" s="19"/>
      <c r="P233" s="13"/>
      <c r="Q233" s="19"/>
      <c r="R233" s="13"/>
      <c r="S233" s="557"/>
      <c r="T233" s="460"/>
      <c r="U233" s="557"/>
      <c r="V233" s="460"/>
      <c r="W233" s="557"/>
      <c r="X233" s="460"/>
    </row>
    <row r="234" spans="1:24">
      <c r="A234" s="14"/>
      <c r="B234" s="15"/>
      <c r="C234" s="16"/>
      <c r="D234" s="17"/>
      <c r="E234" s="12"/>
      <c r="F234" s="18"/>
      <c r="G234" s="19"/>
      <c r="H234" s="13"/>
      <c r="I234" s="19"/>
      <c r="J234" s="13"/>
      <c r="K234" s="19"/>
      <c r="L234" s="13"/>
      <c r="M234" s="19"/>
      <c r="N234" s="13"/>
      <c r="O234" s="19"/>
      <c r="P234" s="13"/>
      <c r="Q234" s="19"/>
      <c r="R234" s="13"/>
      <c r="S234" s="557"/>
      <c r="T234" s="460"/>
      <c r="U234" s="557"/>
      <c r="V234" s="460"/>
      <c r="W234" s="557"/>
      <c r="X234" s="460"/>
    </row>
    <row r="235" spans="1:24">
      <c r="A235" s="14"/>
      <c r="B235" s="15"/>
      <c r="C235" s="16"/>
      <c r="D235" s="17"/>
      <c r="E235" s="12"/>
      <c r="F235" s="18"/>
      <c r="G235" s="19"/>
      <c r="H235" s="13"/>
      <c r="I235" s="19"/>
      <c r="J235" s="13"/>
      <c r="K235" s="19"/>
      <c r="L235" s="13"/>
      <c r="M235" s="19"/>
      <c r="N235" s="13"/>
      <c r="O235" s="19"/>
      <c r="P235" s="13"/>
      <c r="Q235" s="19"/>
      <c r="R235" s="13"/>
      <c r="S235" s="557"/>
      <c r="T235" s="460"/>
      <c r="U235" s="557"/>
      <c r="V235" s="460"/>
      <c r="W235" s="557"/>
      <c r="X235" s="460"/>
    </row>
    <row r="236" spans="1:24">
      <c r="A236" s="14"/>
      <c r="B236" s="15"/>
      <c r="C236" s="16"/>
      <c r="D236" s="17"/>
      <c r="E236" s="12"/>
      <c r="F236" s="18"/>
      <c r="G236" s="19"/>
      <c r="H236" s="13"/>
      <c r="I236" s="19"/>
      <c r="J236" s="13"/>
      <c r="K236" s="19"/>
      <c r="L236" s="13"/>
      <c r="M236" s="19"/>
      <c r="N236" s="13"/>
      <c r="O236" s="19"/>
      <c r="P236" s="13"/>
      <c r="Q236" s="19"/>
      <c r="R236" s="13"/>
      <c r="S236" s="557"/>
      <c r="T236" s="460"/>
      <c r="U236" s="557"/>
      <c r="V236" s="460"/>
      <c r="W236" s="557"/>
      <c r="X236" s="460"/>
    </row>
    <row r="237" spans="1:24">
      <c r="A237" s="14"/>
      <c r="B237" s="15"/>
      <c r="C237" s="16"/>
      <c r="D237" s="17"/>
      <c r="E237" s="12"/>
      <c r="F237" s="18"/>
      <c r="G237" s="19"/>
      <c r="H237" s="13"/>
      <c r="I237" s="19"/>
      <c r="J237" s="13"/>
      <c r="K237" s="19"/>
      <c r="L237" s="13"/>
      <c r="M237" s="19"/>
      <c r="N237" s="13"/>
      <c r="O237" s="19"/>
      <c r="P237" s="13"/>
      <c r="Q237" s="19"/>
      <c r="R237" s="13"/>
      <c r="S237" s="557"/>
      <c r="T237" s="460"/>
      <c r="U237" s="557"/>
      <c r="V237" s="460"/>
      <c r="W237" s="557"/>
      <c r="X237" s="460"/>
    </row>
    <row r="238" spans="1:24">
      <c r="A238" s="14"/>
      <c r="B238" s="15"/>
      <c r="C238" s="16"/>
      <c r="D238" s="17"/>
      <c r="E238" s="12"/>
      <c r="F238" s="18"/>
      <c r="G238" s="19"/>
      <c r="H238" s="13"/>
      <c r="I238" s="19"/>
      <c r="J238" s="13"/>
      <c r="K238" s="19"/>
      <c r="L238" s="13"/>
      <c r="M238" s="19"/>
      <c r="N238" s="13"/>
      <c r="O238" s="19"/>
      <c r="P238" s="13"/>
      <c r="Q238" s="19"/>
      <c r="R238" s="13"/>
      <c r="S238" s="557"/>
      <c r="T238" s="460"/>
      <c r="U238" s="557"/>
      <c r="V238" s="460"/>
      <c r="W238" s="557"/>
      <c r="X238" s="460"/>
    </row>
    <row r="239" spans="1:24">
      <c r="A239" s="14"/>
      <c r="B239" s="15"/>
      <c r="C239" s="16"/>
      <c r="D239" s="17"/>
      <c r="E239" s="12"/>
      <c r="F239" s="18"/>
      <c r="G239" s="19"/>
      <c r="H239" s="13"/>
      <c r="I239" s="19"/>
      <c r="J239" s="13"/>
      <c r="K239" s="19"/>
      <c r="L239" s="13"/>
      <c r="M239" s="19"/>
      <c r="N239" s="13"/>
      <c r="O239" s="19"/>
      <c r="P239" s="13"/>
      <c r="Q239" s="19"/>
      <c r="R239" s="13"/>
      <c r="S239" s="557"/>
      <c r="T239" s="460"/>
      <c r="U239" s="557"/>
      <c r="V239" s="460"/>
      <c r="W239" s="557"/>
      <c r="X239" s="460"/>
    </row>
    <row r="240" spans="1:24">
      <c r="A240" s="14"/>
      <c r="B240" s="15"/>
      <c r="C240" s="16"/>
      <c r="D240" s="17"/>
      <c r="E240" s="12"/>
      <c r="F240" s="18"/>
      <c r="G240" s="19"/>
      <c r="H240" s="13"/>
      <c r="I240" s="19"/>
      <c r="J240" s="13"/>
      <c r="K240" s="19"/>
      <c r="L240" s="13"/>
      <c r="M240" s="19"/>
      <c r="N240" s="13"/>
      <c r="O240" s="19"/>
      <c r="P240" s="13"/>
      <c r="Q240" s="19"/>
      <c r="R240" s="13"/>
      <c r="S240" s="557"/>
      <c r="T240" s="460"/>
      <c r="U240" s="557"/>
      <c r="V240" s="460"/>
      <c r="W240" s="557"/>
      <c r="X240" s="460"/>
    </row>
    <row r="241" spans="1:24">
      <c r="A241" s="14"/>
      <c r="B241" s="15"/>
      <c r="C241" s="16"/>
      <c r="D241" s="17"/>
      <c r="E241" s="12"/>
      <c r="F241" s="18"/>
      <c r="G241" s="19"/>
      <c r="H241" s="13"/>
      <c r="I241" s="19"/>
      <c r="J241" s="13"/>
      <c r="K241" s="19"/>
      <c r="L241" s="13"/>
      <c r="M241" s="19"/>
      <c r="N241" s="13"/>
      <c r="O241" s="19"/>
      <c r="P241" s="13"/>
      <c r="Q241" s="19"/>
      <c r="R241" s="13"/>
      <c r="S241" s="557"/>
      <c r="T241" s="460"/>
      <c r="U241" s="557"/>
      <c r="V241" s="460"/>
      <c r="W241" s="557"/>
      <c r="X241" s="460"/>
    </row>
    <row r="242" spans="1:24">
      <c r="A242" s="14"/>
      <c r="B242" s="15"/>
      <c r="C242" s="16"/>
      <c r="D242" s="17"/>
      <c r="E242" s="12"/>
      <c r="F242" s="18"/>
      <c r="G242" s="19"/>
      <c r="H242" s="13"/>
      <c r="I242" s="19"/>
      <c r="J242" s="13"/>
      <c r="K242" s="19"/>
      <c r="L242" s="13"/>
      <c r="M242" s="19"/>
      <c r="N242" s="13"/>
      <c r="O242" s="19"/>
      <c r="P242" s="13"/>
      <c r="Q242" s="19"/>
      <c r="R242" s="13"/>
      <c r="S242" s="557"/>
      <c r="T242" s="460"/>
      <c r="U242" s="557"/>
      <c r="V242" s="460"/>
      <c r="W242" s="557"/>
      <c r="X242" s="460"/>
    </row>
    <row r="243" spans="1:24">
      <c r="A243" s="14"/>
      <c r="B243" s="15"/>
      <c r="C243" s="16"/>
      <c r="D243" s="17"/>
      <c r="E243" s="12"/>
      <c r="F243" s="18"/>
      <c r="G243" s="19"/>
      <c r="H243" s="13"/>
      <c r="I243" s="19"/>
      <c r="J243" s="13"/>
      <c r="K243" s="19"/>
      <c r="L243" s="13"/>
      <c r="M243" s="19"/>
      <c r="N243" s="13"/>
      <c r="O243" s="19"/>
      <c r="P243" s="13"/>
      <c r="Q243" s="19"/>
      <c r="R243" s="13"/>
      <c r="S243" s="557"/>
      <c r="T243" s="460"/>
      <c r="U243" s="557"/>
      <c r="V243" s="460"/>
      <c r="W243" s="557"/>
      <c r="X243" s="460"/>
    </row>
    <row r="244" spans="1:24">
      <c r="A244" s="14"/>
      <c r="B244" s="15"/>
      <c r="C244" s="16"/>
      <c r="D244" s="17"/>
      <c r="E244" s="12"/>
      <c r="F244" s="18"/>
      <c r="G244" s="19"/>
      <c r="H244" s="13"/>
      <c r="I244" s="19"/>
      <c r="J244" s="13"/>
      <c r="K244" s="19"/>
      <c r="L244" s="13"/>
      <c r="M244" s="19"/>
      <c r="N244" s="13"/>
      <c r="O244" s="19"/>
      <c r="P244" s="13"/>
      <c r="Q244" s="19"/>
      <c r="R244" s="13"/>
      <c r="S244" s="557"/>
      <c r="T244" s="460"/>
      <c r="U244" s="557"/>
      <c r="V244" s="460"/>
      <c r="W244" s="557"/>
      <c r="X244" s="460"/>
    </row>
    <row r="245" spans="1:24">
      <c r="A245" s="14"/>
      <c r="B245" s="15"/>
      <c r="C245" s="16"/>
      <c r="D245" s="17"/>
      <c r="E245" s="12"/>
      <c r="F245" s="18"/>
      <c r="G245" s="19"/>
      <c r="H245" s="13"/>
      <c r="I245" s="19"/>
      <c r="J245" s="13"/>
      <c r="K245" s="19"/>
      <c r="L245" s="13"/>
      <c r="M245" s="19"/>
      <c r="N245" s="13"/>
      <c r="O245" s="19"/>
      <c r="P245" s="13"/>
      <c r="Q245" s="19"/>
      <c r="R245" s="13"/>
      <c r="S245" s="557"/>
      <c r="T245" s="460"/>
      <c r="U245" s="557"/>
      <c r="V245" s="460"/>
      <c r="W245" s="557"/>
      <c r="X245" s="460"/>
    </row>
    <row r="246" spans="1:24">
      <c r="A246" s="14"/>
      <c r="B246" s="15"/>
      <c r="C246" s="16"/>
      <c r="D246" s="17"/>
      <c r="E246" s="12"/>
      <c r="F246" s="18"/>
      <c r="G246" s="19"/>
      <c r="H246" s="13"/>
      <c r="I246" s="19"/>
      <c r="J246" s="13"/>
      <c r="K246" s="19"/>
      <c r="L246" s="13"/>
      <c r="M246" s="19"/>
      <c r="N246" s="13"/>
      <c r="O246" s="19"/>
      <c r="P246" s="13"/>
      <c r="Q246" s="19"/>
      <c r="R246" s="13"/>
      <c r="S246" s="557"/>
      <c r="T246" s="460"/>
      <c r="U246" s="557"/>
      <c r="V246" s="460"/>
      <c r="W246" s="557"/>
      <c r="X246" s="460"/>
    </row>
    <row r="247" spans="1:24">
      <c r="A247" s="14"/>
      <c r="B247" s="15"/>
      <c r="C247" s="16"/>
      <c r="D247" s="17"/>
      <c r="E247" s="12"/>
      <c r="F247" s="18"/>
      <c r="G247" s="19"/>
      <c r="H247" s="13"/>
      <c r="I247" s="19"/>
      <c r="J247" s="13"/>
      <c r="K247" s="19"/>
      <c r="L247" s="13"/>
      <c r="M247" s="19"/>
      <c r="N247" s="13"/>
      <c r="O247" s="19"/>
      <c r="P247" s="13"/>
      <c r="Q247" s="19"/>
      <c r="R247" s="13"/>
      <c r="S247" s="557"/>
      <c r="T247" s="460"/>
      <c r="U247" s="557"/>
      <c r="V247" s="460"/>
      <c r="W247" s="557"/>
      <c r="X247" s="460"/>
    </row>
    <row r="248" spans="1:24">
      <c r="A248" s="14"/>
      <c r="B248" s="15"/>
      <c r="C248" s="16"/>
      <c r="D248" s="17"/>
      <c r="E248" s="12"/>
      <c r="F248" s="18"/>
      <c r="G248" s="19"/>
      <c r="H248" s="13"/>
      <c r="I248" s="19"/>
      <c r="J248" s="13"/>
      <c r="K248" s="19"/>
      <c r="L248" s="13"/>
      <c r="M248" s="19"/>
      <c r="N248" s="13"/>
      <c r="O248" s="19"/>
      <c r="P248" s="13"/>
      <c r="Q248" s="19"/>
      <c r="R248" s="13"/>
      <c r="S248" s="557"/>
      <c r="T248" s="460"/>
      <c r="U248" s="557"/>
      <c r="V248" s="460"/>
      <c r="W248" s="557"/>
      <c r="X248" s="460"/>
    </row>
    <row r="249" spans="1:24">
      <c r="A249" s="14"/>
      <c r="B249" s="15"/>
      <c r="C249" s="16"/>
      <c r="D249" s="17"/>
      <c r="E249" s="12"/>
      <c r="F249" s="18"/>
      <c r="G249" s="19"/>
      <c r="H249" s="13"/>
      <c r="I249" s="19"/>
      <c r="J249" s="13"/>
      <c r="K249" s="19"/>
      <c r="L249" s="13"/>
      <c r="M249" s="19"/>
      <c r="N249" s="13"/>
      <c r="O249" s="19"/>
      <c r="P249" s="13"/>
      <c r="Q249" s="19"/>
      <c r="R249" s="13"/>
      <c r="S249" s="557"/>
      <c r="T249" s="460"/>
      <c r="U249" s="557"/>
      <c r="V249" s="460"/>
      <c r="W249" s="557"/>
      <c r="X249" s="460"/>
    </row>
    <row r="250" spans="1:24">
      <c r="A250" s="14"/>
      <c r="B250" s="15"/>
      <c r="C250" s="16"/>
      <c r="D250" s="17"/>
      <c r="E250" s="12"/>
      <c r="F250" s="18"/>
      <c r="G250" s="19"/>
      <c r="H250" s="13"/>
      <c r="I250" s="19"/>
      <c r="J250" s="13"/>
      <c r="K250" s="19"/>
      <c r="L250" s="13"/>
      <c r="M250" s="19"/>
      <c r="N250" s="13"/>
      <c r="O250" s="19"/>
      <c r="P250" s="13"/>
      <c r="Q250" s="19"/>
      <c r="R250" s="13"/>
      <c r="S250" s="557"/>
      <c r="T250" s="460"/>
      <c r="U250" s="557"/>
      <c r="V250" s="460"/>
      <c r="W250" s="557"/>
      <c r="X250" s="460"/>
    </row>
    <row r="251" spans="1:24">
      <c r="A251" s="14"/>
      <c r="B251" s="15"/>
      <c r="C251" s="16"/>
      <c r="D251" s="17"/>
      <c r="E251" s="12"/>
      <c r="F251" s="18"/>
      <c r="G251" s="19"/>
      <c r="H251" s="13"/>
      <c r="I251" s="19"/>
      <c r="J251" s="13"/>
      <c r="K251" s="19"/>
      <c r="L251" s="13"/>
      <c r="M251" s="19"/>
      <c r="N251" s="13"/>
      <c r="O251" s="19"/>
      <c r="P251" s="13"/>
      <c r="Q251" s="19"/>
      <c r="R251" s="13"/>
      <c r="S251" s="557"/>
      <c r="T251" s="460"/>
      <c r="U251" s="557"/>
      <c r="V251" s="460"/>
      <c r="W251" s="557"/>
      <c r="X251" s="460"/>
    </row>
    <row r="252" spans="1:24">
      <c r="A252" s="14"/>
      <c r="B252" s="15"/>
      <c r="C252" s="16"/>
      <c r="D252" s="17"/>
      <c r="E252" s="12"/>
      <c r="F252" s="18"/>
      <c r="G252" s="19"/>
      <c r="H252" s="13"/>
      <c r="I252" s="19"/>
      <c r="J252" s="13"/>
      <c r="K252" s="19"/>
      <c r="L252" s="13"/>
      <c r="M252" s="19"/>
      <c r="N252" s="13"/>
      <c r="O252" s="19"/>
      <c r="P252" s="13"/>
      <c r="Q252" s="19"/>
      <c r="R252" s="13"/>
      <c r="S252" s="557"/>
      <c r="T252" s="460"/>
      <c r="U252" s="557"/>
      <c r="V252" s="460"/>
      <c r="W252" s="557"/>
      <c r="X252" s="460"/>
    </row>
    <row r="253" spans="1:24">
      <c r="A253" s="14"/>
      <c r="B253" s="15"/>
      <c r="C253" s="16"/>
      <c r="D253" s="17"/>
      <c r="E253" s="12"/>
      <c r="F253" s="18"/>
      <c r="G253" s="19"/>
      <c r="H253" s="13"/>
      <c r="I253" s="19"/>
      <c r="J253" s="13"/>
      <c r="K253" s="19"/>
      <c r="L253" s="13"/>
      <c r="M253" s="19"/>
      <c r="N253" s="13"/>
      <c r="O253" s="19"/>
      <c r="P253" s="13"/>
      <c r="Q253" s="19"/>
      <c r="R253" s="13"/>
      <c r="S253" s="557"/>
      <c r="T253" s="460"/>
      <c r="U253" s="557"/>
      <c r="V253" s="460"/>
      <c r="W253" s="557"/>
      <c r="X253" s="460"/>
    </row>
    <row r="254" spans="1:24">
      <c r="A254" s="14"/>
      <c r="B254" s="15"/>
      <c r="C254" s="16"/>
      <c r="D254" s="17"/>
      <c r="E254" s="12"/>
      <c r="F254" s="18"/>
      <c r="G254" s="19"/>
      <c r="H254" s="13"/>
      <c r="I254" s="19"/>
      <c r="J254" s="13"/>
      <c r="K254" s="19"/>
      <c r="L254" s="13"/>
      <c r="M254" s="19"/>
      <c r="N254" s="13"/>
      <c r="O254" s="19"/>
      <c r="P254" s="13"/>
      <c r="Q254" s="19"/>
      <c r="R254" s="13"/>
      <c r="S254" s="557"/>
      <c r="T254" s="460"/>
      <c r="U254" s="557"/>
      <c r="V254" s="460"/>
      <c r="W254" s="557"/>
      <c r="X254" s="460"/>
    </row>
    <row r="255" spans="1:24">
      <c r="A255" s="14"/>
      <c r="B255" s="15"/>
      <c r="C255" s="16"/>
      <c r="D255" s="17"/>
      <c r="E255" s="12"/>
      <c r="F255" s="18"/>
      <c r="G255" s="19"/>
      <c r="H255" s="13"/>
      <c r="I255" s="19"/>
      <c r="J255" s="13"/>
      <c r="K255" s="19"/>
      <c r="L255" s="13"/>
      <c r="M255" s="19"/>
      <c r="N255" s="13"/>
      <c r="O255" s="19"/>
      <c r="P255" s="13"/>
      <c r="Q255" s="19"/>
      <c r="R255" s="13"/>
      <c r="S255" s="557"/>
      <c r="T255" s="460"/>
      <c r="U255" s="557"/>
      <c r="V255" s="460"/>
      <c r="W255" s="557"/>
      <c r="X255" s="460"/>
    </row>
    <row r="256" spans="1:24">
      <c r="A256" s="14"/>
      <c r="B256" s="15"/>
      <c r="C256" s="16"/>
      <c r="D256" s="17"/>
      <c r="E256" s="12"/>
      <c r="F256" s="18"/>
      <c r="G256" s="19"/>
      <c r="H256" s="13"/>
      <c r="I256" s="19"/>
      <c r="J256" s="13"/>
      <c r="K256" s="19"/>
      <c r="L256" s="13"/>
      <c r="M256" s="19"/>
      <c r="N256" s="13"/>
      <c r="O256" s="19"/>
      <c r="P256" s="13"/>
      <c r="Q256" s="19"/>
      <c r="R256" s="13"/>
      <c r="S256" s="557"/>
      <c r="T256" s="460"/>
      <c r="U256" s="557"/>
      <c r="V256" s="460"/>
      <c r="W256" s="557"/>
      <c r="X256" s="460"/>
    </row>
    <row r="257" spans="1:24">
      <c r="A257" s="14"/>
      <c r="B257" s="15"/>
      <c r="C257" s="16"/>
      <c r="D257" s="17"/>
      <c r="E257" s="12"/>
      <c r="F257" s="18"/>
      <c r="G257" s="19"/>
      <c r="H257" s="13"/>
      <c r="I257" s="19"/>
      <c r="J257" s="13"/>
      <c r="K257" s="19"/>
      <c r="L257" s="13"/>
      <c r="M257" s="19"/>
      <c r="N257" s="13"/>
      <c r="O257" s="19"/>
      <c r="P257" s="13"/>
      <c r="Q257" s="19"/>
      <c r="R257" s="13"/>
      <c r="S257" s="557"/>
      <c r="T257" s="460"/>
      <c r="U257" s="557"/>
      <c r="V257" s="460"/>
      <c r="W257" s="557"/>
      <c r="X257" s="460"/>
    </row>
    <row r="258" spans="1:24">
      <c r="A258" s="14"/>
      <c r="B258" s="15"/>
      <c r="C258" s="16"/>
      <c r="D258" s="17"/>
      <c r="E258" s="12"/>
      <c r="F258" s="18"/>
      <c r="G258" s="19"/>
      <c r="H258" s="13"/>
      <c r="I258" s="19"/>
      <c r="J258" s="13"/>
      <c r="K258" s="19"/>
      <c r="L258" s="13"/>
      <c r="M258" s="19"/>
      <c r="N258" s="13"/>
      <c r="O258" s="19"/>
      <c r="P258" s="13"/>
      <c r="Q258" s="19"/>
      <c r="R258" s="13"/>
      <c r="S258" s="557"/>
      <c r="T258" s="460"/>
      <c r="U258" s="557"/>
      <c r="V258" s="460"/>
      <c r="W258" s="557"/>
      <c r="X258" s="460"/>
    </row>
    <row r="259" spans="1:24">
      <c r="A259" s="14"/>
      <c r="B259" s="15"/>
      <c r="C259" s="16"/>
      <c r="D259" s="17"/>
      <c r="E259" s="12"/>
      <c r="F259" s="18"/>
      <c r="G259" s="19"/>
      <c r="H259" s="13"/>
      <c r="I259" s="19"/>
      <c r="J259" s="13"/>
      <c r="K259" s="19"/>
      <c r="L259" s="13"/>
      <c r="M259" s="19"/>
      <c r="N259" s="13"/>
      <c r="O259" s="19"/>
      <c r="P259" s="13"/>
      <c r="Q259" s="19"/>
      <c r="R259" s="13"/>
      <c r="S259" s="557"/>
      <c r="T259" s="460"/>
      <c r="U259" s="557"/>
      <c r="V259" s="460"/>
      <c r="W259" s="557"/>
      <c r="X259" s="460"/>
    </row>
    <row r="260" spans="1:24">
      <c r="A260" s="14"/>
      <c r="B260" s="15"/>
      <c r="C260" s="16"/>
      <c r="D260" s="17"/>
      <c r="E260" s="12"/>
      <c r="F260" s="18"/>
      <c r="G260" s="19"/>
      <c r="H260" s="13"/>
      <c r="I260" s="19"/>
      <c r="J260" s="13"/>
      <c r="K260" s="19"/>
      <c r="L260" s="13"/>
      <c r="M260" s="19"/>
      <c r="N260" s="13"/>
      <c r="O260" s="19"/>
      <c r="P260" s="13"/>
      <c r="Q260" s="19"/>
      <c r="R260" s="13"/>
      <c r="S260" s="557"/>
      <c r="T260" s="460"/>
      <c r="U260" s="557"/>
      <c r="V260" s="460"/>
      <c r="W260" s="557"/>
      <c r="X260" s="460"/>
    </row>
    <row r="261" spans="1:24">
      <c r="A261" s="14"/>
      <c r="B261" s="15"/>
      <c r="C261" s="16"/>
      <c r="D261" s="17"/>
      <c r="E261" s="12"/>
      <c r="F261" s="18"/>
      <c r="G261" s="19"/>
      <c r="H261" s="13"/>
      <c r="I261" s="19"/>
      <c r="J261" s="13"/>
      <c r="K261" s="19"/>
      <c r="L261" s="13"/>
      <c r="M261" s="19"/>
      <c r="N261" s="13"/>
      <c r="O261" s="19"/>
      <c r="P261" s="13"/>
      <c r="Q261" s="19"/>
      <c r="R261" s="13"/>
      <c r="S261" s="557"/>
      <c r="T261" s="460"/>
      <c r="U261" s="557"/>
      <c r="V261" s="460"/>
      <c r="W261" s="557"/>
      <c r="X261" s="460"/>
    </row>
    <row r="262" spans="1:24">
      <c r="A262" s="14"/>
      <c r="B262" s="15"/>
      <c r="C262" s="16"/>
      <c r="D262" s="17"/>
      <c r="E262" s="12"/>
      <c r="F262" s="18"/>
      <c r="G262" s="19"/>
      <c r="H262" s="13"/>
      <c r="I262" s="19"/>
      <c r="J262" s="13"/>
      <c r="K262" s="19"/>
      <c r="L262" s="13"/>
      <c r="M262" s="19"/>
      <c r="N262" s="13"/>
      <c r="O262" s="19"/>
      <c r="P262" s="13"/>
      <c r="Q262" s="19"/>
      <c r="R262" s="13"/>
      <c r="S262" s="557"/>
      <c r="T262" s="460"/>
      <c r="U262" s="557"/>
      <c r="V262" s="460"/>
      <c r="W262" s="557"/>
      <c r="X262" s="460"/>
    </row>
    <row r="263" spans="1:24">
      <c r="A263" s="14"/>
      <c r="B263" s="15"/>
      <c r="C263" s="16"/>
      <c r="D263" s="17"/>
      <c r="E263" s="12"/>
      <c r="F263" s="18"/>
      <c r="G263" s="19"/>
      <c r="H263" s="13"/>
      <c r="I263" s="19"/>
      <c r="J263" s="13"/>
      <c r="K263" s="19"/>
      <c r="L263" s="13"/>
      <c r="M263" s="19"/>
      <c r="N263" s="13"/>
      <c r="O263" s="19"/>
      <c r="P263" s="13"/>
      <c r="Q263" s="19"/>
      <c r="R263" s="13"/>
      <c r="S263" s="557"/>
      <c r="T263" s="460"/>
      <c r="U263" s="557"/>
      <c r="V263" s="460"/>
      <c r="W263" s="557"/>
      <c r="X263" s="460"/>
    </row>
    <row r="264" spans="1:24">
      <c r="A264" s="14"/>
      <c r="B264" s="15"/>
      <c r="C264" s="16"/>
      <c r="D264" s="17"/>
      <c r="E264" s="12"/>
      <c r="F264" s="18"/>
      <c r="G264" s="19"/>
      <c r="H264" s="13"/>
      <c r="I264" s="19"/>
      <c r="J264" s="13"/>
      <c r="K264" s="19"/>
      <c r="L264" s="13"/>
      <c r="M264" s="19"/>
      <c r="N264" s="13"/>
      <c r="O264" s="19"/>
      <c r="P264" s="13"/>
      <c r="Q264" s="19"/>
      <c r="R264" s="13"/>
      <c r="S264" s="557"/>
      <c r="T264" s="460"/>
      <c r="U264" s="557"/>
      <c r="V264" s="460"/>
      <c r="W264" s="557"/>
      <c r="X264" s="460"/>
    </row>
    <row r="265" spans="1:24">
      <c r="A265" s="14"/>
      <c r="B265" s="15"/>
      <c r="C265" s="16"/>
      <c r="D265" s="17"/>
      <c r="E265" s="12"/>
      <c r="F265" s="18"/>
      <c r="G265" s="19"/>
      <c r="H265" s="13"/>
      <c r="I265" s="19"/>
      <c r="J265" s="13"/>
      <c r="K265" s="19"/>
      <c r="L265" s="13"/>
      <c r="M265" s="19"/>
      <c r="N265" s="13"/>
      <c r="O265" s="19"/>
      <c r="P265" s="13"/>
      <c r="Q265" s="19"/>
      <c r="R265" s="13"/>
      <c r="S265" s="557"/>
      <c r="T265" s="460"/>
      <c r="U265" s="557"/>
      <c r="V265" s="460"/>
      <c r="W265" s="557"/>
      <c r="X265" s="460"/>
    </row>
    <row r="266" spans="1:24">
      <c r="A266" s="14"/>
      <c r="B266" s="15"/>
      <c r="C266" s="16"/>
      <c r="D266" s="17"/>
      <c r="E266" s="12"/>
      <c r="F266" s="18"/>
      <c r="G266" s="19"/>
      <c r="H266" s="13"/>
      <c r="I266" s="19"/>
      <c r="J266" s="13"/>
      <c r="K266" s="19"/>
      <c r="L266" s="13"/>
      <c r="M266" s="19"/>
      <c r="N266" s="13"/>
      <c r="O266" s="19"/>
      <c r="P266" s="13"/>
      <c r="Q266" s="19"/>
      <c r="R266" s="13"/>
      <c r="S266" s="557"/>
      <c r="T266" s="460"/>
      <c r="U266" s="557"/>
      <c r="V266" s="460"/>
      <c r="W266" s="557"/>
      <c r="X266" s="460"/>
    </row>
    <row r="267" spans="1:24">
      <c r="A267" s="14"/>
      <c r="B267" s="15"/>
      <c r="C267" s="16"/>
      <c r="D267" s="17"/>
      <c r="E267" s="12"/>
      <c r="F267" s="18"/>
      <c r="G267" s="19"/>
      <c r="H267" s="13"/>
      <c r="I267" s="19"/>
      <c r="J267" s="13"/>
      <c r="K267" s="19"/>
      <c r="L267" s="13"/>
      <c r="M267" s="19"/>
      <c r="N267" s="13"/>
      <c r="O267" s="19"/>
      <c r="P267" s="13"/>
      <c r="Q267" s="19"/>
      <c r="R267" s="13"/>
      <c r="S267" s="557"/>
      <c r="T267" s="460"/>
      <c r="U267" s="557"/>
      <c r="V267" s="460"/>
      <c r="W267" s="557"/>
      <c r="X267" s="460"/>
    </row>
    <row r="268" spans="1:24">
      <c r="A268" s="14"/>
      <c r="B268" s="15"/>
      <c r="C268" s="16"/>
      <c r="D268" s="17"/>
      <c r="E268" s="12"/>
      <c r="F268" s="18"/>
      <c r="G268" s="19"/>
      <c r="H268" s="13"/>
      <c r="I268" s="19"/>
      <c r="J268" s="13"/>
      <c r="K268" s="19"/>
      <c r="L268" s="13"/>
      <c r="M268" s="19"/>
      <c r="N268" s="13"/>
      <c r="O268" s="19"/>
      <c r="P268" s="13"/>
      <c r="Q268" s="19"/>
      <c r="R268" s="13"/>
      <c r="S268" s="557"/>
      <c r="T268" s="460"/>
      <c r="U268" s="557"/>
      <c r="V268" s="460"/>
      <c r="W268" s="557"/>
      <c r="X268" s="460"/>
    </row>
    <row r="269" spans="1:24">
      <c r="A269" s="14"/>
      <c r="B269" s="15"/>
      <c r="C269" s="16"/>
      <c r="D269" s="17"/>
      <c r="E269" s="12"/>
      <c r="F269" s="18"/>
      <c r="G269" s="19"/>
      <c r="H269" s="13"/>
      <c r="I269" s="19"/>
      <c r="J269" s="13"/>
      <c r="K269" s="19"/>
      <c r="L269" s="13"/>
      <c r="M269" s="19"/>
      <c r="N269" s="13"/>
      <c r="O269" s="19"/>
      <c r="P269" s="13"/>
      <c r="Q269" s="19"/>
      <c r="R269" s="13"/>
      <c r="S269" s="557"/>
      <c r="T269" s="460"/>
      <c r="U269" s="557"/>
      <c r="V269" s="460"/>
      <c r="W269" s="557"/>
      <c r="X269" s="460"/>
    </row>
    <row r="270" spans="1:24">
      <c r="A270" s="14"/>
      <c r="B270" s="15"/>
      <c r="C270" s="16"/>
      <c r="D270" s="17"/>
      <c r="E270" s="12"/>
      <c r="F270" s="18"/>
      <c r="G270" s="19"/>
      <c r="H270" s="13"/>
      <c r="I270" s="19"/>
      <c r="J270" s="13"/>
      <c r="K270" s="19"/>
      <c r="L270" s="13"/>
      <c r="M270" s="19"/>
      <c r="N270" s="13"/>
      <c r="O270" s="19"/>
      <c r="P270" s="13"/>
      <c r="Q270" s="19"/>
      <c r="R270" s="13"/>
      <c r="S270" s="557"/>
      <c r="T270" s="460"/>
      <c r="U270" s="557"/>
      <c r="V270" s="460"/>
      <c r="W270" s="557"/>
      <c r="X270" s="460"/>
    </row>
    <row r="271" spans="1:24">
      <c r="A271" s="14"/>
      <c r="B271" s="15"/>
      <c r="C271" s="16"/>
      <c r="D271" s="17"/>
      <c r="E271" s="12"/>
      <c r="F271" s="18"/>
      <c r="G271" s="19"/>
      <c r="H271" s="13"/>
      <c r="I271" s="19"/>
      <c r="J271" s="13"/>
      <c r="K271" s="19"/>
      <c r="L271" s="13"/>
      <c r="M271" s="19"/>
      <c r="N271" s="13"/>
      <c r="O271" s="19"/>
      <c r="P271" s="13"/>
      <c r="Q271" s="19"/>
      <c r="R271" s="13"/>
      <c r="S271" s="557"/>
      <c r="T271" s="460"/>
      <c r="U271" s="557"/>
      <c r="V271" s="460"/>
      <c r="W271" s="557"/>
      <c r="X271" s="460"/>
    </row>
    <row r="272" spans="1:24">
      <c r="A272" s="14"/>
      <c r="B272" s="15"/>
      <c r="C272" s="16"/>
      <c r="D272" s="17"/>
      <c r="E272" s="12"/>
      <c r="F272" s="18"/>
      <c r="G272" s="19"/>
      <c r="H272" s="13"/>
      <c r="I272" s="19"/>
      <c r="J272" s="13"/>
      <c r="K272" s="19"/>
      <c r="L272" s="13"/>
      <c r="M272" s="19"/>
      <c r="N272" s="13"/>
      <c r="O272" s="19"/>
      <c r="P272" s="13"/>
      <c r="Q272" s="19"/>
      <c r="R272" s="13"/>
      <c r="S272" s="557"/>
      <c r="T272" s="460"/>
      <c r="U272" s="557"/>
      <c r="V272" s="460"/>
      <c r="W272" s="557"/>
      <c r="X272" s="460"/>
    </row>
    <row r="273" spans="1:24">
      <c r="A273" s="14"/>
      <c r="B273" s="15"/>
      <c r="C273" s="16"/>
      <c r="D273" s="17"/>
      <c r="E273" s="12"/>
      <c r="F273" s="18"/>
      <c r="G273" s="19"/>
      <c r="H273" s="13"/>
      <c r="I273" s="19"/>
      <c r="J273" s="13"/>
      <c r="K273" s="19"/>
      <c r="L273" s="13"/>
      <c r="M273" s="19"/>
      <c r="N273" s="13"/>
      <c r="O273" s="19"/>
      <c r="P273" s="13"/>
      <c r="Q273" s="19"/>
      <c r="R273" s="13"/>
      <c r="S273" s="557"/>
      <c r="T273" s="460"/>
      <c r="U273" s="557"/>
      <c r="V273" s="460"/>
      <c r="W273" s="557"/>
      <c r="X273" s="460"/>
    </row>
    <row r="274" spans="1:24">
      <c r="A274" s="14"/>
      <c r="B274" s="15"/>
      <c r="C274" s="16"/>
      <c r="D274" s="17"/>
      <c r="E274" s="12"/>
      <c r="F274" s="18"/>
      <c r="G274" s="19"/>
      <c r="H274" s="13"/>
      <c r="I274" s="19"/>
      <c r="J274" s="13"/>
      <c r="K274" s="19"/>
      <c r="L274" s="13"/>
      <c r="M274" s="19"/>
      <c r="N274" s="13"/>
      <c r="O274" s="19"/>
      <c r="P274" s="13"/>
      <c r="Q274" s="19"/>
      <c r="R274" s="13"/>
      <c r="S274" s="557"/>
      <c r="T274" s="460"/>
      <c r="U274" s="557"/>
      <c r="V274" s="460"/>
      <c r="W274" s="557"/>
      <c r="X274" s="460"/>
    </row>
    <row r="275" spans="1:24">
      <c r="A275" s="14"/>
      <c r="B275" s="15"/>
      <c r="C275" s="16"/>
      <c r="D275" s="17"/>
      <c r="E275" s="12"/>
      <c r="F275" s="18"/>
      <c r="G275" s="19"/>
      <c r="H275" s="13"/>
      <c r="I275" s="19"/>
      <c r="J275" s="13"/>
      <c r="K275" s="19"/>
      <c r="L275" s="13"/>
      <c r="M275" s="19"/>
      <c r="N275" s="13"/>
      <c r="O275" s="19"/>
      <c r="P275" s="13"/>
      <c r="Q275" s="19"/>
      <c r="R275" s="13"/>
      <c r="S275" s="557"/>
      <c r="T275" s="460"/>
      <c r="U275" s="557"/>
      <c r="V275" s="460"/>
      <c r="W275" s="557"/>
      <c r="X275" s="460"/>
    </row>
    <row r="276" spans="1:24">
      <c r="A276" s="14"/>
      <c r="B276" s="15"/>
      <c r="C276" s="16"/>
      <c r="D276" s="17"/>
      <c r="E276" s="12"/>
      <c r="F276" s="18"/>
      <c r="G276" s="19"/>
      <c r="H276" s="13"/>
      <c r="I276" s="19"/>
      <c r="J276" s="13"/>
      <c r="K276" s="19"/>
      <c r="L276" s="13"/>
      <c r="M276" s="19"/>
      <c r="N276" s="13"/>
      <c r="O276" s="19"/>
      <c r="P276" s="13"/>
      <c r="Q276" s="19"/>
      <c r="R276" s="13"/>
      <c r="S276" s="557"/>
      <c r="T276" s="460"/>
      <c r="U276" s="557"/>
      <c r="V276" s="460"/>
      <c r="W276" s="557"/>
      <c r="X276" s="460"/>
    </row>
    <row r="277" spans="1:24">
      <c r="A277" s="14"/>
      <c r="B277" s="15"/>
      <c r="C277" s="16"/>
      <c r="D277" s="17"/>
      <c r="E277" s="12"/>
      <c r="F277" s="18"/>
      <c r="G277" s="19"/>
      <c r="H277" s="13"/>
      <c r="I277" s="19"/>
      <c r="J277" s="13"/>
      <c r="K277" s="19"/>
      <c r="L277" s="13"/>
      <c r="M277" s="19"/>
      <c r="N277" s="13"/>
      <c r="O277" s="19"/>
      <c r="P277" s="13"/>
      <c r="Q277" s="19"/>
      <c r="R277" s="13"/>
      <c r="S277" s="557"/>
      <c r="T277" s="460"/>
      <c r="U277" s="557"/>
      <c r="V277" s="460"/>
      <c r="W277" s="557"/>
      <c r="X277" s="460"/>
    </row>
    <row r="278" spans="1:24">
      <c r="A278" s="14"/>
      <c r="B278" s="15"/>
      <c r="C278" s="16"/>
      <c r="D278" s="17"/>
      <c r="E278" s="12"/>
      <c r="F278" s="18"/>
      <c r="G278" s="19"/>
      <c r="H278" s="13"/>
      <c r="I278" s="19"/>
      <c r="J278" s="13"/>
      <c r="K278" s="19"/>
      <c r="L278" s="13"/>
      <c r="M278" s="19"/>
      <c r="N278" s="13"/>
      <c r="O278" s="19"/>
      <c r="P278" s="13"/>
      <c r="Q278" s="19"/>
      <c r="R278" s="13"/>
      <c r="S278" s="557"/>
      <c r="T278" s="460"/>
      <c r="U278" s="557"/>
      <c r="V278" s="460"/>
      <c r="W278" s="557"/>
      <c r="X278" s="460"/>
    </row>
    <row r="279" spans="1:24">
      <c r="A279" s="14"/>
      <c r="B279" s="15"/>
      <c r="C279" s="16"/>
      <c r="D279" s="17"/>
      <c r="E279" s="12"/>
      <c r="F279" s="18"/>
      <c r="G279" s="19"/>
      <c r="H279" s="13"/>
      <c r="I279" s="19"/>
      <c r="J279" s="13"/>
      <c r="K279" s="19"/>
      <c r="L279" s="13"/>
      <c r="M279" s="19"/>
      <c r="N279" s="13"/>
      <c r="O279" s="19"/>
      <c r="P279" s="13"/>
      <c r="Q279" s="19"/>
      <c r="R279" s="13"/>
      <c r="S279" s="557"/>
      <c r="T279" s="460"/>
      <c r="U279" s="557"/>
      <c r="V279" s="460"/>
      <c r="W279" s="557"/>
      <c r="X279" s="460"/>
    </row>
    <row r="280" spans="1:24">
      <c r="A280" s="14"/>
      <c r="B280" s="15"/>
      <c r="C280" s="16"/>
      <c r="D280" s="17"/>
      <c r="E280" s="12"/>
      <c r="F280" s="18"/>
      <c r="G280" s="19"/>
      <c r="H280" s="13"/>
      <c r="I280" s="19"/>
      <c r="J280" s="13"/>
      <c r="K280" s="19"/>
      <c r="L280" s="13"/>
      <c r="M280" s="19"/>
      <c r="N280" s="13"/>
      <c r="O280" s="19"/>
      <c r="P280" s="13"/>
      <c r="Q280" s="19"/>
      <c r="R280" s="13"/>
      <c r="S280" s="557"/>
      <c r="T280" s="460"/>
      <c r="U280" s="557"/>
      <c r="V280" s="460"/>
      <c r="W280" s="557"/>
      <c r="X280" s="460"/>
    </row>
    <row r="281" spans="1:24">
      <c r="A281" s="14"/>
      <c r="B281" s="15"/>
      <c r="C281" s="16"/>
      <c r="D281" s="17"/>
      <c r="E281" s="12"/>
      <c r="F281" s="18"/>
      <c r="G281" s="19"/>
      <c r="H281" s="13"/>
      <c r="I281" s="19"/>
      <c r="J281" s="13"/>
      <c r="K281" s="19"/>
      <c r="L281" s="13"/>
      <c r="M281" s="19"/>
      <c r="N281" s="13"/>
      <c r="O281" s="19"/>
      <c r="P281" s="13"/>
      <c r="Q281" s="19"/>
      <c r="R281" s="13"/>
      <c r="S281" s="557"/>
      <c r="T281" s="460"/>
      <c r="U281" s="557"/>
      <c r="V281" s="460"/>
      <c r="W281" s="557"/>
      <c r="X281" s="460"/>
    </row>
    <row r="282" spans="1:24">
      <c r="A282" s="14"/>
      <c r="B282" s="15"/>
      <c r="C282" s="16"/>
      <c r="D282" s="17"/>
      <c r="E282" s="12"/>
      <c r="F282" s="18"/>
      <c r="G282" s="19"/>
      <c r="H282" s="13"/>
      <c r="I282" s="19"/>
      <c r="J282" s="13"/>
      <c r="K282" s="19"/>
      <c r="L282" s="13"/>
      <c r="M282" s="19"/>
      <c r="N282" s="13"/>
      <c r="O282" s="19"/>
      <c r="P282" s="13"/>
      <c r="Q282" s="19"/>
      <c r="R282" s="13"/>
      <c r="S282" s="557"/>
      <c r="T282" s="460"/>
      <c r="U282" s="557"/>
      <c r="V282" s="460"/>
      <c r="W282" s="557"/>
      <c r="X282" s="460"/>
    </row>
    <row r="283" spans="1:24">
      <c r="A283" s="14"/>
      <c r="B283" s="15"/>
      <c r="C283" s="16"/>
      <c r="D283" s="17"/>
      <c r="E283" s="12"/>
      <c r="F283" s="18"/>
      <c r="G283" s="19"/>
      <c r="H283" s="13"/>
      <c r="I283" s="19"/>
      <c r="J283" s="13"/>
      <c r="K283" s="19"/>
      <c r="L283" s="13"/>
      <c r="M283" s="19"/>
      <c r="N283" s="13"/>
      <c r="O283" s="19"/>
      <c r="P283" s="13"/>
      <c r="Q283" s="19"/>
      <c r="R283" s="13"/>
      <c r="S283" s="557"/>
      <c r="T283" s="460"/>
      <c r="U283" s="557"/>
      <c r="V283" s="460"/>
      <c r="W283" s="557"/>
      <c r="X283" s="460"/>
    </row>
    <row r="284" spans="1:24">
      <c r="A284" s="14"/>
      <c r="B284" s="15"/>
      <c r="C284" s="16"/>
      <c r="D284" s="17"/>
      <c r="E284" s="12"/>
      <c r="F284" s="18"/>
      <c r="G284" s="19"/>
      <c r="H284" s="13"/>
      <c r="I284" s="19"/>
      <c r="J284" s="13"/>
      <c r="K284" s="19"/>
      <c r="L284" s="13"/>
      <c r="M284" s="19"/>
      <c r="N284" s="13"/>
      <c r="O284" s="19"/>
      <c r="P284" s="13"/>
      <c r="Q284" s="19"/>
      <c r="R284" s="13"/>
      <c r="S284" s="557"/>
      <c r="T284" s="460"/>
      <c r="U284" s="557"/>
      <c r="V284" s="460"/>
      <c r="W284" s="557"/>
      <c r="X284" s="460"/>
    </row>
    <row r="285" spans="1:24">
      <c r="A285" s="14"/>
      <c r="B285" s="15"/>
      <c r="C285" s="16"/>
      <c r="D285" s="17"/>
      <c r="E285" s="12"/>
      <c r="F285" s="18"/>
      <c r="G285" s="19"/>
      <c r="H285" s="13"/>
      <c r="I285" s="19"/>
      <c r="J285" s="13"/>
      <c r="K285" s="19"/>
      <c r="L285" s="13"/>
      <c r="M285" s="19"/>
      <c r="N285" s="13"/>
      <c r="O285" s="19"/>
      <c r="P285" s="13"/>
      <c r="Q285" s="19"/>
      <c r="R285" s="13"/>
      <c r="S285" s="557"/>
      <c r="T285" s="460"/>
      <c r="U285" s="557"/>
      <c r="V285" s="460"/>
      <c r="W285" s="557"/>
      <c r="X285" s="460"/>
    </row>
    <row r="286" spans="1:24">
      <c r="A286" s="14"/>
      <c r="B286" s="15"/>
      <c r="C286" s="16"/>
      <c r="D286" s="17"/>
      <c r="E286" s="12"/>
      <c r="F286" s="18"/>
      <c r="G286" s="19"/>
      <c r="H286" s="13"/>
      <c r="I286" s="19"/>
      <c r="J286" s="13"/>
      <c r="K286" s="19"/>
      <c r="L286" s="13"/>
      <c r="M286" s="19"/>
      <c r="N286" s="13"/>
      <c r="O286" s="19"/>
      <c r="P286" s="13"/>
      <c r="Q286" s="19"/>
      <c r="R286" s="13"/>
      <c r="S286" s="557"/>
      <c r="T286" s="460"/>
      <c r="U286" s="557"/>
      <c r="V286" s="460"/>
      <c r="W286" s="557"/>
      <c r="X286" s="460"/>
    </row>
    <row r="287" spans="1:24">
      <c r="A287" s="14"/>
      <c r="B287" s="15"/>
      <c r="C287" s="16"/>
      <c r="D287" s="17"/>
      <c r="E287" s="12"/>
      <c r="F287" s="18"/>
      <c r="G287" s="19"/>
      <c r="H287" s="13"/>
      <c r="I287" s="19"/>
      <c r="J287" s="13"/>
      <c r="K287" s="19"/>
      <c r="L287" s="13"/>
      <c r="M287" s="19"/>
      <c r="N287" s="13"/>
      <c r="O287" s="19"/>
      <c r="P287" s="13"/>
      <c r="Q287" s="19"/>
      <c r="R287" s="13"/>
      <c r="S287" s="557"/>
      <c r="T287" s="460"/>
      <c r="U287" s="557"/>
      <c r="V287" s="460"/>
      <c r="W287" s="557"/>
      <c r="X287" s="460"/>
    </row>
    <row r="288" spans="1:24">
      <c r="A288" s="14"/>
      <c r="B288" s="15"/>
      <c r="C288" s="16"/>
      <c r="D288" s="17"/>
      <c r="E288" s="12"/>
      <c r="F288" s="18"/>
      <c r="G288" s="19"/>
      <c r="H288" s="13"/>
      <c r="I288" s="19"/>
      <c r="J288" s="13"/>
      <c r="K288" s="19"/>
      <c r="L288" s="13"/>
      <c r="M288" s="19"/>
      <c r="N288" s="13"/>
      <c r="O288" s="19"/>
      <c r="P288" s="13"/>
      <c r="Q288" s="19"/>
      <c r="R288" s="13"/>
      <c r="S288" s="557"/>
      <c r="T288" s="460"/>
      <c r="U288" s="557"/>
      <c r="V288" s="460"/>
      <c r="W288" s="557"/>
      <c r="X288" s="460"/>
    </row>
    <row r="289" spans="1:24">
      <c r="A289" s="14"/>
      <c r="B289" s="15"/>
      <c r="C289" s="16"/>
      <c r="D289" s="17"/>
      <c r="E289" s="12"/>
      <c r="F289" s="18"/>
      <c r="G289" s="19"/>
      <c r="H289" s="13"/>
      <c r="I289" s="19"/>
      <c r="J289" s="13"/>
      <c r="K289" s="19"/>
      <c r="L289" s="13"/>
      <c r="M289" s="19"/>
      <c r="N289" s="13"/>
      <c r="O289" s="19"/>
      <c r="P289" s="13"/>
      <c r="Q289" s="19"/>
      <c r="R289" s="13"/>
      <c r="S289" s="557"/>
      <c r="T289" s="460"/>
      <c r="U289" s="557"/>
      <c r="V289" s="460"/>
      <c r="W289" s="557"/>
      <c r="X289" s="460"/>
    </row>
    <row r="290" spans="1:24">
      <c r="A290" s="14"/>
      <c r="B290" s="15"/>
      <c r="C290" s="16"/>
      <c r="D290" s="17"/>
      <c r="E290" s="12"/>
      <c r="F290" s="18"/>
      <c r="G290" s="19"/>
      <c r="H290" s="13"/>
      <c r="I290" s="19"/>
      <c r="J290" s="13"/>
      <c r="K290" s="19"/>
      <c r="L290" s="13"/>
      <c r="M290" s="19"/>
      <c r="N290" s="13"/>
      <c r="O290" s="19"/>
      <c r="P290" s="13"/>
      <c r="Q290" s="19"/>
      <c r="R290" s="13"/>
      <c r="S290" s="557"/>
      <c r="T290" s="460"/>
      <c r="U290" s="557"/>
      <c r="V290" s="460"/>
      <c r="W290" s="557"/>
      <c r="X290" s="460"/>
    </row>
    <row r="291" spans="1:24">
      <c r="A291" s="14"/>
      <c r="B291" s="15"/>
      <c r="C291" s="16"/>
      <c r="D291" s="17"/>
      <c r="E291" s="12"/>
      <c r="F291" s="18"/>
      <c r="G291" s="19"/>
      <c r="H291" s="13"/>
      <c r="I291" s="19"/>
      <c r="J291" s="13"/>
      <c r="K291" s="19"/>
      <c r="L291" s="13"/>
      <c r="M291" s="19"/>
      <c r="N291" s="13"/>
      <c r="O291" s="19"/>
      <c r="P291" s="13"/>
      <c r="Q291" s="19"/>
      <c r="R291" s="13"/>
      <c r="S291" s="557"/>
      <c r="T291" s="460"/>
      <c r="U291" s="557"/>
      <c r="V291" s="460"/>
      <c r="W291" s="557"/>
      <c r="X291" s="460"/>
    </row>
    <row r="292" spans="1:24">
      <c r="A292" s="14"/>
      <c r="B292" s="15"/>
      <c r="C292" s="16"/>
      <c r="D292" s="17"/>
      <c r="E292" s="12"/>
      <c r="F292" s="18"/>
      <c r="G292" s="19"/>
      <c r="H292" s="13"/>
      <c r="I292" s="19"/>
      <c r="J292" s="13"/>
      <c r="K292" s="19"/>
      <c r="L292" s="13"/>
      <c r="M292" s="19"/>
      <c r="N292" s="13"/>
      <c r="O292" s="19"/>
      <c r="P292" s="13"/>
      <c r="Q292" s="19"/>
      <c r="R292" s="13"/>
      <c r="S292" s="557"/>
      <c r="T292" s="460"/>
      <c r="U292" s="557"/>
      <c r="V292" s="460"/>
      <c r="W292" s="557"/>
      <c r="X292" s="460"/>
    </row>
    <row r="293" spans="1:24">
      <c r="A293" s="14"/>
      <c r="B293" s="15"/>
      <c r="C293" s="16"/>
      <c r="D293" s="17"/>
      <c r="E293" s="12"/>
      <c r="F293" s="18"/>
      <c r="G293" s="19"/>
      <c r="H293" s="13"/>
      <c r="I293" s="19"/>
      <c r="J293" s="13"/>
      <c r="K293" s="19"/>
      <c r="L293" s="13"/>
      <c r="M293" s="19"/>
      <c r="N293" s="13"/>
      <c r="O293" s="19"/>
      <c r="P293" s="13"/>
      <c r="Q293" s="19"/>
      <c r="R293" s="13"/>
      <c r="S293" s="557"/>
      <c r="T293" s="460"/>
      <c r="U293" s="557"/>
      <c r="V293" s="460"/>
      <c r="W293" s="557"/>
      <c r="X293" s="460"/>
    </row>
    <row r="294" spans="1:24">
      <c r="A294" s="14"/>
      <c r="B294" s="15"/>
      <c r="C294" s="16"/>
      <c r="D294" s="17"/>
      <c r="E294" s="12"/>
      <c r="F294" s="18"/>
      <c r="G294" s="19"/>
      <c r="H294" s="13"/>
      <c r="I294" s="19"/>
      <c r="J294" s="13"/>
      <c r="K294" s="19"/>
      <c r="L294" s="13"/>
      <c r="M294" s="19"/>
      <c r="N294" s="13"/>
      <c r="O294" s="19"/>
      <c r="P294" s="13"/>
      <c r="Q294" s="19"/>
      <c r="R294" s="13"/>
      <c r="S294" s="557"/>
      <c r="T294" s="460"/>
      <c r="U294" s="557"/>
      <c r="V294" s="460"/>
      <c r="W294" s="557"/>
      <c r="X294" s="460"/>
    </row>
    <row r="295" spans="1:24">
      <c r="A295" s="14"/>
      <c r="B295" s="15"/>
      <c r="C295" s="16"/>
      <c r="D295" s="17"/>
      <c r="E295" s="12"/>
      <c r="F295" s="18"/>
      <c r="G295" s="19"/>
      <c r="H295" s="13"/>
      <c r="I295" s="19"/>
      <c r="J295" s="13"/>
      <c r="K295" s="19"/>
      <c r="L295" s="13"/>
      <c r="M295" s="19"/>
      <c r="N295" s="13"/>
      <c r="O295" s="19"/>
      <c r="P295" s="13"/>
      <c r="Q295" s="19"/>
      <c r="R295" s="13"/>
      <c r="S295" s="557"/>
      <c r="T295" s="460"/>
      <c r="U295" s="557"/>
      <c r="V295" s="460"/>
      <c r="W295" s="557"/>
      <c r="X295" s="460"/>
    </row>
    <row r="296" spans="1:24">
      <c r="A296" s="14"/>
      <c r="B296" s="15"/>
      <c r="C296" s="16"/>
      <c r="D296" s="17"/>
      <c r="E296" s="12"/>
      <c r="F296" s="18"/>
      <c r="G296" s="19"/>
      <c r="H296" s="13"/>
      <c r="I296" s="19"/>
      <c r="J296" s="13"/>
      <c r="K296" s="19"/>
      <c r="L296" s="13"/>
      <c r="M296" s="19"/>
      <c r="N296" s="13"/>
      <c r="O296" s="19"/>
      <c r="P296" s="13"/>
      <c r="Q296" s="19"/>
      <c r="R296" s="13"/>
      <c r="S296" s="557"/>
      <c r="T296" s="460"/>
      <c r="U296" s="557"/>
      <c r="V296" s="460"/>
      <c r="W296" s="557"/>
      <c r="X296" s="460"/>
    </row>
    <row r="297" spans="1:24">
      <c r="A297" s="14"/>
      <c r="B297" s="15"/>
      <c r="C297" s="16"/>
      <c r="D297" s="17"/>
      <c r="E297" s="12"/>
      <c r="F297" s="18"/>
      <c r="G297" s="19"/>
      <c r="H297" s="13"/>
      <c r="I297" s="19"/>
      <c r="J297" s="13"/>
      <c r="K297" s="19"/>
      <c r="L297" s="13"/>
      <c r="M297" s="19"/>
      <c r="N297" s="13"/>
      <c r="O297" s="19"/>
      <c r="P297" s="13"/>
      <c r="Q297" s="19"/>
      <c r="R297" s="13"/>
      <c r="S297" s="557"/>
      <c r="T297" s="460"/>
      <c r="U297" s="557"/>
      <c r="V297" s="460"/>
      <c r="W297" s="557"/>
      <c r="X297" s="460"/>
    </row>
    <row r="298" spans="1:24">
      <c r="A298" s="14"/>
      <c r="B298" s="15"/>
      <c r="C298" s="16"/>
      <c r="D298" s="17"/>
      <c r="E298" s="12"/>
      <c r="F298" s="18"/>
      <c r="G298" s="19"/>
      <c r="H298" s="13"/>
      <c r="I298" s="19"/>
      <c r="J298" s="13"/>
      <c r="K298" s="19"/>
      <c r="L298" s="13"/>
      <c r="M298" s="19"/>
      <c r="N298" s="13"/>
      <c r="O298" s="19"/>
      <c r="P298" s="13"/>
      <c r="Q298" s="19"/>
      <c r="R298" s="13"/>
      <c r="S298" s="557"/>
      <c r="T298" s="460"/>
      <c r="U298" s="557"/>
      <c r="V298" s="460"/>
      <c r="W298" s="557"/>
      <c r="X298" s="460"/>
    </row>
    <row r="299" spans="1:24">
      <c r="A299" s="14"/>
      <c r="B299" s="15"/>
      <c r="C299" s="16"/>
      <c r="D299" s="17"/>
      <c r="E299" s="12"/>
      <c r="F299" s="18"/>
      <c r="G299" s="19"/>
      <c r="H299" s="13"/>
      <c r="I299" s="19"/>
      <c r="J299" s="13"/>
      <c r="K299" s="19"/>
      <c r="L299" s="13"/>
      <c r="M299" s="19"/>
      <c r="N299" s="13"/>
      <c r="O299" s="19"/>
      <c r="P299" s="13"/>
      <c r="Q299" s="19"/>
      <c r="R299" s="13"/>
      <c r="S299" s="557"/>
      <c r="T299" s="460"/>
      <c r="U299" s="557"/>
      <c r="V299" s="460"/>
      <c r="W299" s="557"/>
      <c r="X299" s="460"/>
    </row>
    <row r="300" spans="1:24">
      <c r="A300" s="14"/>
      <c r="B300" s="15"/>
      <c r="C300" s="16"/>
      <c r="D300" s="17"/>
      <c r="E300" s="12"/>
      <c r="F300" s="18"/>
      <c r="G300" s="19"/>
      <c r="H300" s="13"/>
      <c r="I300" s="19"/>
      <c r="J300" s="13"/>
      <c r="K300" s="19"/>
      <c r="L300" s="13"/>
      <c r="M300" s="19"/>
      <c r="N300" s="13"/>
      <c r="O300" s="19"/>
      <c r="P300" s="13"/>
      <c r="Q300" s="19"/>
      <c r="R300" s="13"/>
      <c r="S300" s="557"/>
      <c r="T300" s="460"/>
      <c r="U300" s="557"/>
      <c r="V300" s="460"/>
      <c r="W300" s="557"/>
      <c r="X300" s="460"/>
    </row>
    <row r="301" spans="1:24">
      <c r="A301" s="14"/>
      <c r="B301" s="15"/>
      <c r="C301" s="16"/>
      <c r="D301" s="17"/>
      <c r="E301" s="12"/>
      <c r="F301" s="18"/>
      <c r="G301" s="19"/>
      <c r="H301" s="13"/>
      <c r="I301" s="19"/>
      <c r="J301" s="13"/>
      <c r="K301" s="19"/>
      <c r="L301" s="13"/>
      <c r="M301" s="19"/>
      <c r="N301" s="13"/>
      <c r="O301" s="19"/>
      <c r="P301" s="13"/>
      <c r="Q301" s="19"/>
      <c r="R301" s="13"/>
      <c r="S301" s="557"/>
      <c r="T301" s="460"/>
      <c r="U301" s="557"/>
      <c r="V301" s="460"/>
      <c r="W301" s="557"/>
      <c r="X301" s="460"/>
    </row>
    <row r="302" spans="1:24">
      <c r="A302" s="14"/>
      <c r="B302" s="15"/>
      <c r="C302" s="16"/>
      <c r="D302" s="17"/>
      <c r="E302" s="12"/>
      <c r="F302" s="18"/>
      <c r="G302" s="19"/>
      <c r="H302" s="13"/>
      <c r="I302" s="19"/>
      <c r="J302" s="13"/>
      <c r="K302" s="19"/>
      <c r="L302" s="13"/>
      <c r="M302" s="19"/>
      <c r="N302" s="13"/>
      <c r="O302" s="19"/>
      <c r="P302" s="13"/>
      <c r="Q302" s="19"/>
      <c r="R302" s="13"/>
      <c r="S302" s="557"/>
      <c r="T302" s="460"/>
      <c r="U302" s="557"/>
      <c r="V302" s="460"/>
      <c r="W302" s="557"/>
      <c r="X302" s="460"/>
    </row>
    <row r="303" spans="1:24">
      <c r="A303" s="14"/>
      <c r="B303" s="15"/>
      <c r="C303" s="16"/>
      <c r="D303" s="17"/>
      <c r="E303" s="12"/>
      <c r="F303" s="18"/>
      <c r="G303" s="19"/>
      <c r="H303" s="13"/>
      <c r="I303" s="19"/>
      <c r="J303" s="13"/>
      <c r="K303" s="19"/>
      <c r="L303" s="13"/>
      <c r="M303" s="19"/>
      <c r="N303" s="13"/>
      <c r="O303" s="19"/>
      <c r="P303" s="13"/>
      <c r="Q303" s="19"/>
      <c r="R303" s="13"/>
      <c r="S303" s="557"/>
      <c r="T303" s="460"/>
      <c r="U303" s="557"/>
      <c r="V303" s="460"/>
      <c r="W303" s="557"/>
      <c r="X303" s="460"/>
    </row>
    <row r="304" spans="1:24">
      <c r="A304" s="14"/>
      <c r="B304" s="15"/>
      <c r="C304" s="16"/>
      <c r="D304" s="17"/>
      <c r="E304" s="12"/>
      <c r="F304" s="18"/>
      <c r="G304" s="19"/>
      <c r="H304" s="13"/>
      <c r="I304" s="19"/>
      <c r="J304" s="13"/>
      <c r="K304" s="19"/>
      <c r="L304" s="13"/>
      <c r="M304" s="19"/>
      <c r="N304" s="13"/>
      <c r="O304" s="19"/>
      <c r="P304" s="13"/>
      <c r="Q304" s="19"/>
      <c r="R304" s="13"/>
      <c r="S304" s="557"/>
      <c r="T304" s="460"/>
      <c r="U304" s="557"/>
      <c r="V304" s="460"/>
      <c r="W304" s="557"/>
      <c r="X304" s="460"/>
    </row>
    <row r="305" spans="1:24">
      <c r="A305" s="14"/>
      <c r="B305" s="15"/>
      <c r="C305" s="16"/>
      <c r="D305" s="17"/>
      <c r="E305" s="12"/>
      <c r="F305" s="18"/>
      <c r="G305" s="19"/>
      <c r="H305" s="13"/>
      <c r="I305" s="19"/>
      <c r="J305" s="13"/>
      <c r="K305" s="19"/>
      <c r="L305" s="13"/>
      <c r="M305" s="19"/>
      <c r="N305" s="13"/>
      <c r="O305" s="19"/>
      <c r="P305" s="13"/>
      <c r="Q305" s="19"/>
      <c r="R305" s="13"/>
      <c r="S305" s="557"/>
      <c r="T305" s="460"/>
      <c r="U305" s="557"/>
      <c r="V305" s="460"/>
      <c r="W305" s="557"/>
      <c r="X305" s="460"/>
    </row>
    <row r="306" spans="1:24">
      <c r="A306" s="14"/>
      <c r="B306" s="15"/>
      <c r="C306" s="16"/>
      <c r="D306" s="17"/>
      <c r="E306" s="12"/>
      <c r="F306" s="18"/>
      <c r="G306" s="19"/>
      <c r="H306" s="13"/>
      <c r="I306" s="19"/>
      <c r="J306" s="13"/>
      <c r="K306" s="19"/>
      <c r="L306" s="13"/>
      <c r="M306" s="19"/>
      <c r="N306" s="13"/>
      <c r="O306" s="19"/>
      <c r="P306" s="13"/>
      <c r="Q306" s="19"/>
      <c r="R306" s="13"/>
      <c r="S306" s="557"/>
      <c r="T306" s="460"/>
      <c r="U306" s="557"/>
      <c r="V306" s="460"/>
      <c r="W306" s="557"/>
      <c r="X306" s="460"/>
    </row>
    <row r="307" spans="1:24">
      <c r="A307" s="14"/>
      <c r="B307" s="15"/>
      <c r="C307" s="16"/>
      <c r="D307" s="17"/>
      <c r="E307" s="12"/>
      <c r="F307" s="18"/>
      <c r="G307" s="19"/>
      <c r="H307" s="13"/>
      <c r="I307" s="19"/>
      <c r="J307" s="13"/>
      <c r="K307" s="19"/>
      <c r="L307" s="13"/>
      <c r="M307" s="19"/>
      <c r="N307" s="13"/>
      <c r="O307" s="19"/>
      <c r="P307" s="13"/>
      <c r="Q307" s="19"/>
      <c r="R307" s="13"/>
      <c r="S307" s="557"/>
      <c r="T307" s="460"/>
      <c r="U307" s="557"/>
      <c r="V307" s="460"/>
      <c r="W307" s="557"/>
      <c r="X307" s="460"/>
    </row>
    <row r="308" spans="1:24">
      <c r="A308" s="14"/>
      <c r="B308" s="15"/>
      <c r="C308" s="16"/>
      <c r="D308" s="17"/>
      <c r="E308" s="12"/>
      <c r="F308" s="18"/>
      <c r="G308" s="19"/>
      <c r="H308" s="13"/>
      <c r="I308" s="19"/>
      <c r="J308" s="13"/>
      <c r="K308" s="19"/>
      <c r="L308" s="13"/>
      <c r="M308" s="19"/>
      <c r="N308" s="13"/>
      <c r="O308" s="19"/>
      <c r="P308" s="13"/>
      <c r="Q308" s="19"/>
      <c r="R308" s="13"/>
      <c r="S308" s="557"/>
      <c r="T308" s="460"/>
      <c r="U308" s="557"/>
      <c r="V308" s="460"/>
      <c r="W308" s="557"/>
      <c r="X308" s="460"/>
    </row>
    <row r="309" spans="1:24">
      <c r="A309" s="14"/>
      <c r="B309" s="15"/>
      <c r="C309" s="16"/>
      <c r="D309" s="17"/>
      <c r="E309" s="12"/>
      <c r="F309" s="18"/>
      <c r="G309" s="19"/>
      <c r="H309" s="13"/>
      <c r="I309" s="19"/>
      <c r="J309" s="13"/>
      <c r="K309" s="19"/>
      <c r="L309" s="13"/>
      <c r="M309" s="19"/>
      <c r="N309" s="13"/>
      <c r="O309" s="19"/>
      <c r="P309" s="13"/>
      <c r="Q309" s="19"/>
      <c r="R309" s="13"/>
      <c r="S309" s="557"/>
      <c r="T309" s="460"/>
      <c r="U309" s="557"/>
      <c r="V309" s="460"/>
      <c r="W309" s="557"/>
      <c r="X309" s="460"/>
    </row>
    <row r="310" spans="1:24">
      <c r="A310" s="14"/>
      <c r="B310" s="15"/>
      <c r="C310" s="16"/>
      <c r="D310" s="17"/>
      <c r="E310" s="12"/>
      <c r="F310" s="18"/>
      <c r="G310" s="19"/>
      <c r="H310" s="13"/>
      <c r="I310" s="19"/>
      <c r="J310" s="13"/>
      <c r="K310" s="19"/>
      <c r="L310" s="13"/>
      <c r="M310" s="19"/>
      <c r="N310" s="13"/>
      <c r="O310" s="19"/>
      <c r="P310" s="13"/>
      <c r="Q310" s="19"/>
      <c r="R310" s="13"/>
      <c r="S310" s="557"/>
      <c r="T310" s="460"/>
      <c r="U310" s="557"/>
      <c r="V310" s="460"/>
      <c r="W310" s="557"/>
      <c r="X310" s="460"/>
    </row>
    <row r="311" spans="1:24">
      <c r="A311" s="14"/>
      <c r="B311" s="15"/>
      <c r="C311" s="16"/>
      <c r="D311" s="17"/>
      <c r="E311" s="12"/>
      <c r="F311" s="18"/>
      <c r="G311" s="19"/>
      <c r="H311" s="13"/>
      <c r="I311" s="19"/>
      <c r="J311" s="13"/>
      <c r="K311" s="19"/>
      <c r="L311" s="13"/>
      <c r="M311" s="19"/>
      <c r="N311" s="13"/>
      <c r="O311" s="19"/>
      <c r="P311" s="13"/>
      <c r="Q311" s="19"/>
      <c r="R311" s="13"/>
      <c r="S311" s="557"/>
      <c r="T311" s="460"/>
      <c r="U311" s="557"/>
      <c r="V311" s="460"/>
      <c r="W311" s="557"/>
      <c r="X311" s="460"/>
    </row>
    <row r="312" spans="1:24">
      <c r="A312" s="14"/>
      <c r="B312" s="15"/>
      <c r="C312" s="16"/>
      <c r="D312" s="17"/>
      <c r="E312" s="12"/>
      <c r="F312" s="18"/>
      <c r="G312" s="19"/>
      <c r="H312" s="13"/>
      <c r="I312" s="19"/>
      <c r="J312" s="13"/>
      <c r="K312" s="19"/>
      <c r="L312" s="13"/>
      <c r="M312" s="19"/>
      <c r="N312" s="13"/>
      <c r="O312" s="19"/>
      <c r="P312" s="13"/>
      <c r="Q312" s="19"/>
      <c r="R312" s="13"/>
      <c r="S312" s="557"/>
      <c r="T312" s="460"/>
      <c r="U312" s="557"/>
      <c r="V312" s="460"/>
      <c r="W312" s="557"/>
      <c r="X312" s="460"/>
    </row>
    <row r="313" spans="1:24">
      <c r="A313" s="14"/>
      <c r="B313" s="15"/>
      <c r="C313" s="16"/>
      <c r="D313" s="17"/>
      <c r="E313" s="12"/>
      <c r="F313" s="18"/>
      <c r="G313" s="19"/>
      <c r="H313" s="13"/>
      <c r="I313" s="19"/>
      <c r="J313" s="13"/>
      <c r="K313" s="19"/>
      <c r="L313" s="13"/>
      <c r="M313" s="19"/>
      <c r="N313" s="13"/>
      <c r="O313" s="19"/>
      <c r="P313" s="13"/>
      <c r="Q313" s="19"/>
      <c r="R313" s="13"/>
      <c r="S313" s="557"/>
      <c r="T313" s="460"/>
      <c r="U313" s="557"/>
      <c r="V313" s="460"/>
      <c r="W313" s="557"/>
      <c r="X313" s="460"/>
    </row>
    <row r="314" spans="1:24">
      <c r="A314" s="14"/>
      <c r="B314" s="15"/>
      <c r="C314" s="16"/>
      <c r="D314" s="17"/>
      <c r="E314" s="12"/>
      <c r="F314" s="18"/>
      <c r="G314" s="19"/>
      <c r="H314" s="13"/>
      <c r="I314" s="19"/>
      <c r="J314" s="13"/>
      <c r="K314" s="19"/>
      <c r="L314" s="13"/>
      <c r="M314" s="19"/>
      <c r="N314" s="13"/>
      <c r="O314" s="19"/>
      <c r="P314" s="13"/>
      <c r="Q314" s="19"/>
      <c r="R314" s="13"/>
      <c r="S314" s="557"/>
      <c r="T314" s="460"/>
      <c r="U314" s="557"/>
      <c r="V314" s="460"/>
      <c r="W314" s="557"/>
      <c r="X314" s="460"/>
    </row>
    <row r="315" spans="1:24">
      <c r="A315" s="14"/>
      <c r="B315" s="15"/>
      <c r="C315" s="16"/>
      <c r="D315" s="17"/>
      <c r="E315" s="12"/>
      <c r="F315" s="18"/>
      <c r="G315" s="19"/>
      <c r="H315" s="13"/>
      <c r="I315" s="19"/>
      <c r="J315" s="13"/>
      <c r="K315" s="19"/>
      <c r="L315" s="13"/>
      <c r="M315" s="19"/>
      <c r="N315" s="13"/>
      <c r="O315" s="19"/>
      <c r="P315" s="13"/>
      <c r="Q315" s="19"/>
      <c r="R315" s="13"/>
      <c r="S315" s="557"/>
      <c r="T315" s="460"/>
      <c r="U315" s="557"/>
      <c r="V315" s="460"/>
      <c r="W315" s="557"/>
      <c r="X315" s="460"/>
    </row>
    <row r="316" spans="1:24">
      <c r="A316" s="14"/>
      <c r="B316" s="15"/>
      <c r="C316" s="16"/>
      <c r="D316" s="17"/>
      <c r="E316" s="12"/>
      <c r="F316" s="18"/>
      <c r="G316" s="19"/>
      <c r="H316" s="13"/>
      <c r="I316" s="19"/>
      <c r="J316" s="13"/>
      <c r="K316" s="19"/>
      <c r="L316" s="13"/>
      <c r="M316" s="19"/>
      <c r="N316" s="13"/>
      <c r="O316" s="19"/>
      <c r="P316" s="13"/>
      <c r="Q316" s="19"/>
      <c r="R316" s="13"/>
      <c r="S316" s="557"/>
      <c r="T316" s="460"/>
      <c r="U316" s="557"/>
      <c r="V316" s="460"/>
      <c r="W316" s="557"/>
      <c r="X316" s="460"/>
    </row>
    <row r="317" spans="1:24">
      <c r="A317" s="14"/>
      <c r="B317" s="15"/>
      <c r="C317" s="16"/>
      <c r="D317" s="17"/>
      <c r="E317" s="12"/>
      <c r="F317" s="18"/>
      <c r="G317" s="19"/>
      <c r="H317" s="13"/>
      <c r="I317" s="19"/>
      <c r="J317" s="13"/>
      <c r="K317" s="19"/>
      <c r="L317" s="13"/>
      <c r="M317" s="19"/>
      <c r="N317" s="13"/>
      <c r="O317" s="19"/>
      <c r="P317" s="13"/>
      <c r="Q317" s="19"/>
      <c r="R317" s="13"/>
      <c r="S317" s="557"/>
      <c r="T317" s="460"/>
      <c r="U317" s="557"/>
      <c r="V317" s="460"/>
      <c r="W317" s="557"/>
      <c r="X317" s="460"/>
    </row>
    <row r="318" spans="1:24">
      <c r="A318" s="14"/>
      <c r="B318" s="15"/>
      <c r="C318" s="16"/>
      <c r="D318" s="17"/>
      <c r="E318" s="12"/>
      <c r="F318" s="18"/>
      <c r="G318" s="19"/>
      <c r="H318" s="13"/>
      <c r="I318" s="19"/>
      <c r="J318" s="13"/>
      <c r="K318" s="19"/>
      <c r="L318" s="13"/>
      <c r="M318" s="19"/>
      <c r="N318" s="13"/>
      <c r="O318" s="19"/>
      <c r="P318" s="13"/>
      <c r="Q318" s="19"/>
      <c r="R318" s="13"/>
      <c r="S318" s="557"/>
      <c r="T318" s="460"/>
      <c r="U318" s="557"/>
      <c r="V318" s="460"/>
      <c r="W318" s="557"/>
      <c r="X318" s="460"/>
    </row>
    <row r="319" spans="1:24">
      <c r="A319" s="14"/>
      <c r="B319" s="15"/>
      <c r="C319" s="16"/>
      <c r="D319" s="17"/>
      <c r="E319" s="12"/>
      <c r="F319" s="18"/>
      <c r="G319" s="19"/>
      <c r="H319" s="13"/>
      <c r="I319" s="19"/>
      <c r="J319" s="13"/>
      <c r="K319" s="19"/>
      <c r="L319" s="13"/>
      <c r="M319" s="19"/>
      <c r="N319" s="13"/>
      <c r="O319" s="19"/>
      <c r="P319" s="13"/>
      <c r="Q319" s="19"/>
      <c r="R319" s="13"/>
      <c r="S319" s="557"/>
      <c r="T319" s="460"/>
      <c r="U319" s="557"/>
      <c r="V319" s="460"/>
      <c r="W319" s="557"/>
      <c r="X319" s="460"/>
    </row>
    <row r="320" spans="1:24">
      <c r="A320" s="14"/>
      <c r="B320" s="15"/>
      <c r="C320" s="16"/>
      <c r="D320" s="17"/>
      <c r="E320" s="12"/>
      <c r="F320" s="18"/>
      <c r="G320" s="19"/>
      <c r="H320" s="13"/>
      <c r="I320" s="19"/>
      <c r="J320" s="13"/>
      <c r="K320" s="19"/>
      <c r="L320" s="13"/>
      <c r="M320" s="19"/>
      <c r="N320" s="13"/>
      <c r="O320" s="19"/>
      <c r="P320" s="13"/>
      <c r="Q320" s="19"/>
      <c r="R320" s="13"/>
      <c r="S320" s="557"/>
      <c r="T320" s="460"/>
      <c r="U320" s="557"/>
      <c r="V320" s="460"/>
      <c r="W320" s="557"/>
      <c r="X320" s="460"/>
    </row>
    <row r="321" spans="1:24">
      <c r="A321" s="14"/>
      <c r="B321" s="15"/>
      <c r="C321" s="16"/>
      <c r="D321" s="17"/>
      <c r="E321" s="12"/>
      <c r="F321" s="18"/>
      <c r="G321" s="19"/>
      <c r="H321" s="13"/>
      <c r="I321" s="19"/>
      <c r="J321" s="13"/>
      <c r="K321" s="19"/>
      <c r="L321" s="13"/>
      <c r="M321" s="19"/>
      <c r="N321" s="13"/>
      <c r="O321" s="19"/>
      <c r="P321" s="13"/>
      <c r="Q321" s="19"/>
      <c r="R321" s="13"/>
      <c r="S321" s="557"/>
      <c r="T321" s="460"/>
      <c r="U321" s="557"/>
      <c r="V321" s="460"/>
      <c r="W321" s="557"/>
      <c r="X321" s="460"/>
    </row>
    <row r="322" spans="1:24">
      <c r="A322" s="14"/>
      <c r="B322" s="15"/>
      <c r="C322" s="16"/>
      <c r="D322" s="17"/>
      <c r="E322" s="12"/>
      <c r="F322" s="18"/>
      <c r="G322" s="19"/>
      <c r="H322" s="13"/>
      <c r="I322" s="19"/>
      <c r="J322" s="13"/>
      <c r="K322" s="19"/>
      <c r="L322" s="13"/>
      <c r="M322" s="19"/>
      <c r="N322" s="13"/>
      <c r="O322" s="19"/>
      <c r="P322" s="13"/>
      <c r="Q322" s="19"/>
      <c r="R322" s="13"/>
      <c r="S322" s="557"/>
      <c r="T322" s="460"/>
      <c r="U322" s="557"/>
      <c r="V322" s="460"/>
      <c r="W322" s="557"/>
      <c r="X322" s="460"/>
    </row>
    <row r="323" spans="1:24">
      <c r="A323" s="14"/>
      <c r="B323" s="15"/>
      <c r="C323" s="16"/>
      <c r="D323" s="17"/>
      <c r="E323" s="12"/>
      <c r="F323" s="18"/>
      <c r="G323" s="19"/>
      <c r="H323" s="13"/>
      <c r="I323" s="19"/>
      <c r="J323" s="13"/>
      <c r="K323" s="19"/>
      <c r="L323" s="13"/>
      <c r="M323" s="19"/>
      <c r="N323" s="13"/>
      <c r="O323" s="19"/>
      <c r="P323" s="13"/>
      <c r="Q323" s="19"/>
      <c r="R323" s="13"/>
      <c r="S323" s="557"/>
      <c r="T323" s="460"/>
      <c r="U323" s="557"/>
      <c r="V323" s="460"/>
      <c r="W323" s="557"/>
      <c r="X323" s="460"/>
    </row>
    <row r="324" spans="1:24">
      <c r="A324" s="14"/>
      <c r="B324" s="15"/>
      <c r="C324" s="16"/>
      <c r="D324" s="17"/>
      <c r="E324" s="12"/>
      <c r="F324" s="18"/>
      <c r="G324" s="19"/>
      <c r="H324" s="13"/>
      <c r="I324" s="19"/>
      <c r="J324" s="13"/>
      <c r="K324" s="19"/>
      <c r="L324" s="13"/>
      <c r="M324" s="19"/>
      <c r="N324" s="13"/>
      <c r="O324" s="19"/>
      <c r="P324" s="13"/>
      <c r="Q324" s="19"/>
      <c r="R324" s="13"/>
      <c r="S324" s="557"/>
      <c r="T324" s="460"/>
      <c r="U324" s="557"/>
      <c r="V324" s="460"/>
      <c r="W324" s="557"/>
      <c r="X324" s="460"/>
    </row>
    <row r="325" spans="1:24">
      <c r="A325" s="14"/>
      <c r="B325" s="15"/>
      <c r="C325" s="16"/>
      <c r="D325" s="17"/>
      <c r="E325" s="12"/>
      <c r="F325" s="18"/>
      <c r="G325" s="19"/>
      <c r="H325" s="13"/>
      <c r="I325" s="19"/>
      <c r="J325" s="13"/>
      <c r="K325" s="19"/>
      <c r="L325" s="13"/>
      <c r="M325" s="19"/>
      <c r="N325" s="13"/>
      <c r="O325" s="19"/>
      <c r="P325" s="13"/>
      <c r="Q325" s="19"/>
      <c r="R325" s="13"/>
      <c r="S325" s="557"/>
      <c r="T325" s="460"/>
      <c r="U325" s="557"/>
      <c r="V325" s="460"/>
      <c r="W325" s="557"/>
      <c r="X325" s="460"/>
    </row>
    <row r="326" spans="1:24">
      <c r="A326" s="14"/>
      <c r="B326" s="15"/>
      <c r="C326" s="16"/>
      <c r="D326" s="17"/>
      <c r="E326" s="12"/>
      <c r="F326" s="18"/>
      <c r="G326" s="19"/>
      <c r="H326" s="13"/>
      <c r="I326" s="19"/>
      <c r="J326" s="13"/>
      <c r="K326" s="19"/>
      <c r="L326" s="13"/>
      <c r="M326" s="19"/>
      <c r="N326" s="13"/>
      <c r="O326" s="19"/>
      <c r="P326" s="13"/>
      <c r="Q326" s="19"/>
      <c r="R326" s="13"/>
      <c r="S326" s="557"/>
      <c r="T326" s="460"/>
      <c r="U326" s="557"/>
      <c r="V326" s="460"/>
      <c r="W326" s="557"/>
      <c r="X326" s="460"/>
    </row>
    <row r="327" spans="1:24">
      <c r="A327" s="14"/>
      <c r="B327" s="15"/>
      <c r="C327" s="16"/>
      <c r="D327" s="17"/>
      <c r="E327" s="12"/>
      <c r="F327" s="18"/>
      <c r="G327" s="19"/>
      <c r="H327" s="13"/>
      <c r="I327" s="19"/>
      <c r="J327" s="13"/>
      <c r="K327" s="19"/>
      <c r="L327" s="13"/>
      <c r="M327" s="19"/>
      <c r="N327" s="13"/>
      <c r="O327" s="19"/>
      <c r="P327" s="13"/>
      <c r="Q327" s="19"/>
      <c r="R327" s="13"/>
      <c r="S327" s="557"/>
      <c r="T327" s="460"/>
      <c r="U327" s="557"/>
      <c r="V327" s="460"/>
      <c r="W327" s="557"/>
      <c r="X327" s="460"/>
    </row>
    <row r="328" spans="1:24">
      <c r="A328" s="14"/>
      <c r="B328" s="15"/>
      <c r="C328" s="16"/>
      <c r="D328" s="17"/>
      <c r="E328" s="12"/>
      <c r="F328" s="18"/>
      <c r="G328" s="19"/>
      <c r="H328" s="13"/>
      <c r="I328" s="19"/>
      <c r="J328" s="13"/>
      <c r="K328" s="19"/>
      <c r="L328" s="13"/>
      <c r="M328" s="19"/>
      <c r="N328" s="13"/>
      <c r="O328" s="19"/>
      <c r="P328" s="13"/>
      <c r="Q328" s="19"/>
      <c r="R328" s="13"/>
      <c r="S328" s="557"/>
      <c r="T328" s="460"/>
      <c r="U328" s="557"/>
      <c r="V328" s="460"/>
      <c r="W328" s="557"/>
      <c r="X328" s="460"/>
    </row>
    <row r="329" spans="1:24">
      <c r="A329" s="14"/>
      <c r="B329" s="15"/>
      <c r="C329" s="16"/>
      <c r="D329" s="17"/>
      <c r="E329" s="12"/>
      <c r="F329" s="18"/>
      <c r="G329" s="19"/>
      <c r="H329" s="13"/>
      <c r="I329" s="19"/>
      <c r="J329" s="13"/>
      <c r="K329" s="19"/>
      <c r="L329" s="13"/>
      <c r="M329" s="19"/>
      <c r="N329" s="13"/>
      <c r="O329" s="19"/>
      <c r="P329" s="13"/>
      <c r="Q329" s="19"/>
      <c r="R329" s="13"/>
      <c r="S329" s="557"/>
      <c r="T329" s="460"/>
      <c r="U329" s="557"/>
      <c r="V329" s="460"/>
      <c r="W329" s="557"/>
      <c r="X329" s="460"/>
    </row>
    <row r="330" spans="1:24">
      <c r="A330" s="14"/>
      <c r="B330" s="15"/>
      <c r="C330" s="16"/>
      <c r="D330" s="17"/>
      <c r="E330" s="12"/>
      <c r="F330" s="18"/>
      <c r="G330" s="19"/>
      <c r="H330" s="13"/>
      <c r="I330" s="19"/>
      <c r="J330" s="13"/>
      <c r="K330" s="19"/>
      <c r="L330" s="13"/>
      <c r="M330" s="19"/>
      <c r="N330" s="13"/>
      <c r="O330" s="19"/>
      <c r="P330" s="13"/>
      <c r="Q330" s="19"/>
      <c r="R330" s="13"/>
      <c r="S330" s="557"/>
      <c r="T330" s="460"/>
      <c r="U330" s="557"/>
      <c r="V330" s="460"/>
      <c r="W330" s="557"/>
      <c r="X330" s="460"/>
    </row>
    <row r="331" spans="1:24">
      <c r="A331" s="14"/>
      <c r="B331" s="15"/>
      <c r="C331" s="16"/>
      <c r="D331" s="17"/>
      <c r="E331" s="12"/>
      <c r="F331" s="18"/>
      <c r="G331" s="19"/>
      <c r="H331" s="13"/>
      <c r="I331" s="19"/>
      <c r="J331" s="13"/>
      <c r="K331" s="19"/>
      <c r="L331" s="13"/>
      <c r="M331" s="19"/>
      <c r="N331" s="13"/>
      <c r="O331" s="19"/>
      <c r="P331" s="13"/>
      <c r="Q331" s="19"/>
      <c r="R331" s="13"/>
      <c r="S331" s="557"/>
      <c r="T331" s="460"/>
      <c r="U331" s="557"/>
      <c r="V331" s="460"/>
      <c r="W331" s="557"/>
      <c r="X331" s="460"/>
    </row>
    <row r="332" spans="1:24">
      <c r="A332" s="14"/>
      <c r="B332" s="15"/>
      <c r="C332" s="16"/>
      <c r="D332" s="17"/>
      <c r="E332" s="12"/>
      <c r="F332" s="18"/>
      <c r="G332" s="19"/>
      <c r="H332" s="13"/>
      <c r="I332" s="19"/>
      <c r="J332" s="13"/>
      <c r="K332" s="19"/>
      <c r="L332" s="13"/>
      <c r="M332" s="19"/>
      <c r="N332" s="13"/>
      <c r="O332" s="19"/>
      <c r="P332" s="13"/>
      <c r="Q332" s="19"/>
      <c r="R332" s="13"/>
      <c r="S332" s="557"/>
      <c r="T332" s="460"/>
      <c r="U332" s="557"/>
      <c r="V332" s="460"/>
      <c r="W332" s="557"/>
      <c r="X332" s="460"/>
    </row>
    <row r="333" spans="1:24">
      <c r="A333" s="14"/>
      <c r="B333" s="15"/>
      <c r="C333" s="16"/>
      <c r="D333" s="17"/>
      <c r="E333" s="12"/>
      <c r="F333" s="18"/>
      <c r="G333" s="19"/>
      <c r="H333" s="13"/>
      <c r="I333" s="19"/>
      <c r="J333" s="13"/>
      <c r="K333" s="19"/>
      <c r="L333" s="13"/>
      <c r="M333" s="19"/>
      <c r="N333" s="13"/>
      <c r="O333" s="19"/>
      <c r="P333" s="13"/>
      <c r="Q333" s="19"/>
      <c r="R333" s="13"/>
      <c r="S333" s="557"/>
      <c r="T333" s="460"/>
      <c r="U333" s="557"/>
      <c r="V333" s="460"/>
      <c r="W333" s="557"/>
      <c r="X333" s="460"/>
    </row>
    <row r="334" spans="1:24">
      <c r="A334" s="14"/>
      <c r="B334" s="15"/>
      <c r="C334" s="16"/>
      <c r="D334" s="17"/>
      <c r="E334" s="12"/>
      <c r="F334" s="18"/>
      <c r="G334" s="19"/>
      <c r="H334" s="13"/>
      <c r="I334" s="19"/>
      <c r="J334" s="13"/>
      <c r="K334" s="19"/>
      <c r="L334" s="13"/>
      <c r="M334" s="19"/>
      <c r="N334" s="13"/>
      <c r="O334" s="19"/>
      <c r="P334" s="13"/>
      <c r="Q334" s="19"/>
      <c r="R334" s="13"/>
      <c r="S334" s="557"/>
      <c r="T334" s="460"/>
      <c r="U334" s="557"/>
      <c r="V334" s="460"/>
      <c r="W334" s="557"/>
      <c r="X334" s="460"/>
    </row>
    <row r="335" spans="1:24">
      <c r="A335" s="14"/>
      <c r="B335" s="15"/>
      <c r="C335" s="16"/>
      <c r="D335" s="17"/>
      <c r="E335" s="12"/>
      <c r="F335" s="18"/>
      <c r="G335" s="19"/>
      <c r="H335" s="13"/>
      <c r="I335" s="19"/>
      <c r="J335" s="13"/>
      <c r="K335" s="19"/>
      <c r="L335" s="13"/>
      <c r="M335" s="19"/>
      <c r="N335" s="13"/>
      <c r="O335" s="19"/>
      <c r="P335" s="13"/>
      <c r="Q335" s="19"/>
      <c r="R335" s="13"/>
      <c r="S335" s="557"/>
      <c r="T335" s="460"/>
      <c r="U335" s="557"/>
      <c r="V335" s="460"/>
      <c r="W335" s="557"/>
      <c r="X335" s="460"/>
    </row>
    <row r="336" spans="1:24">
      <c r="A336" s="14"/>
      <c r="B336" s="15"/>
      <c r="C336" s="16"/>
      <c r="D336" s="17"/>
      <c r="E336" s="12"/>
      <c r="F336" s="18"/>
      <c r="G336" s="19"/>
      <c r="H336" s="13"/>
      <c r="I336" s="19"/>
      <c r="J336" s="13"/>
      <c r="K336" s="19"/>
      <c r="L336" s="13"/>
      <c r="M336" s="19"/>
      <c r="N336" s="13"/>
      <c r="O336" s="19"/>
      <c r="P336" s="13"/>
      <c r="Q336" s="19"/>
      <c r="R336" s="13"/>
      <c r="S336" s="557"/>
      <c r="T336" s="460"/>
      <c r="U336" s="557"/>
      <c r="V336" s="460"/>
      <c r="W336" s="557"/>
      <c r="X336" s="460"/>
    </row>
    <row r="337" spans="1:24">
      <c r="A337" s="14"/>
      <c r="B337" s="15"/>
      <c r="C337" s="16"/>
      <c r="D337" s="17"/>
      <c r="E337" s="12"/>
      <c r="F337" s="18"/>
      <c r="G337" s="19"/>
      <c r="H337" s="13"/>
      <c r="I337" s="19"/>
      <c r="J337" s="13"/>
      <c r="K337" s="19"/>
      <c r="L337" s="13"/>
      <c r="M337" s="19"/>
      <c r="N337" s="13"/>
      <c r="O337" s="19"/>
      <c r="P337" s="13"/>
      <c r="Q337" s="19"/>
      <c r="R337" s="13"/>
      <c r="S337" s="557"/>
      <c r="T337" s="460"/>
      <c r="U337" s="557"/>
      <c r="V337" s="460"/>
      <c r="W337" s="557"/>
      <c r="X337" s="460"/>
    </row>
    <row r="338" spans="1:24">
      <c r="A338" s="14"/>
      <c r="B338" s="15"/>
      <c r="C338" s="16"/>
      <c r="D338" s="17"/>
      <c r="E338" s="12"/>
      <c r="F338" s="18"/>
      <c r="G338" s="19"/>
      <c r="H338" s="13"/>
      <c r="I338" s="19"/>
      <c r="J338" s="13"/>
      <c r="K338" s="19"/>
      <c r="L338" s="13"/>
      <c r="M338" s="19"/>
      <c r="N338" s="13"/>
      <c r="O338" s="19"/>
      <c r="P338" s="13"/>
      <c r="Q338" s="19"/>
      <c r="R338" s="13"/>
      <c r="S338" s="557"/>
      <c r="T338" s="460"/>
      <c r="U338" s="557"/>
      <c r="V338" s="460"/>
      <c r="W338" s="557"/>
      <c r="X338" s="460"/>
    </row>
    <row r="339" spans="1:24">
      <c r="A339" s="14"/>
      <c r="B339" s="15"/>
      <c r="C339" s="16"/>
      <c r="D339" s="17"/>
      <c r="E339" s="12"/>
      <c r="F339" s="18"/>
      <c r="G339" s="19"/>
      <c r="H339" s="13"/>
      <c r="I339" s="19"/>
      <c r="J339" s="13"/>
      <c r="K339" s="19"/>
      <c r="L339" s="13"/>
      <c r="M339" s="19"/>
      <c r="N339" s="13"/>
      <c r="O339" s="19"/>
      <c r="P339" s="13"/>
      <c r="Q339" s="19"/>
      <c r="R339" s="13"/>
      <c r="S339" s="557"/>
      <c r="T339" s="460"/>
      <c r="U339" s="557"/>
      <c r="V339" s="460"/>
      <c r="W339" s="557"/>
      <c r="X339" s="460"/>
    </row>
    <row r="340" spans="1:24">
      <c r="A340" s="14"/>
      <c r="B340" s="15"/>
      <c r="C340" s="16"/>
      <c r="D340" s="17"/>
      <c r="E340" s="12"/>
      <c r="F340" s="18"/>
      <c r="G340" s="19"/>
      <c r="H340" s="13"/>
      <c r="I340" s="19"/>
      <c r="J340" s="13"/>
      <c r="K340" s="19"/>
      <c r="L340" s="13"/>
      <c r="M340" s="19"/>
      <c r="N340" s="13"/>
      <c r="O340" s="19"/>
      <c r="P340" s="13"/>
      <c r="Q340" s="19"/>
      <c r="R340" s="13"/>
      <c r="S340" s="557"/>
      <c r="T340" s="460"/>
      <c r="U340" s="557"/>
      <c r="V340" s="460"/>
      <c r="W340" s="557"/>
      <c r="X340" s="460"/>
    </row>
    <row r="341" spans="1:24">
      <c r="A341" s="14"/>
      <c r="B341" s="15"/>
      <c r="C341" s="16"/>
      <c r="D341" s="17"/>
      <c r="E341" s="12"/>
      <c r="F341" s="18"/>
      <c r="G341" s="19"/>
      <c r="H341" s="13"/>
      <c r="I341" s="19"/>
      <c r="J341" s="13"/>
      <c r="K341" s="19"/>
      <c r="L341" s="13"/>
      <c r="M341" s="19"/>
      <c r="N341" s="13"/>
      <c r="O341" s="19"/>
      <c r="P341" s="13"/>
      <c r="Q341" s="19"/>
      <c r="R341" s="13"/>
      <c r="S341" s="557"/>
      <c r="T341" s="460"/>
      <c r="U341" s="557"/>
      <c r="V341" s="460"/>
      <c r="W341" s="557"/>
      <c r="X341" s="460"/>
    </row>
    <row r="342" spans="1:24">
      <c r="A342" s="14"/>
      <c r="B342" s="15"/>
      <c r="C342" s="16"/>
      <c r="D342" s="17"/>
      <c r="E342" s="12"/>
      <c r="F342" s="18"/>
      <c r="G342" s="19"/>
      <c r="H342" s="13"/>
      <c r="I342" s="19"/>
      <c r="J342" s="13"/>
      <c r="K342" s="19"/>
      <c r="L342" s="13"/>
      <c r="M342" s="19"/>
      <c r="N342" s="13"/>
      <c r="O342" s="19"/>
      <c r="P342" s="13"/>
      <c r="Q342" s="19"/>
      <c r="R342" s="13"/>
      <c r="S342" s="557"/>
      <c r="T342" s="460"/>
      <c r="U342" s="557"/>
      <c r="V342" s="460"/>
      <c r="W342" s="557"/>
      <c r="X342" s="460"/>
    </row>
    <row r="343" spans="1:24">
      <c r="A343" s="14"/>
      <c r="B343" s="15"/>
      <c r="C343" s="16"/>
      <c r="D343" s="17"/>
      <c r="E343" s="12"/>
      <c r="F343" s="18"/>
      <c r="G343" s="19"/>
      <c r="H343" s="13"/>
      <c r="I343" s="19"/>
      <c r="J343" s="13"/>
      <c r="K343" s="19"/>
      <c r="L343" s="13"/>
      <c r="M343" s="19"/>
      <c r="N343" s="13"/>
      <c r="O343" s="19"/>
      <c r="P343" s="13"/>
      <c r="Q343" s="19"/>
      <c r="R343" s="13"/>
      <c r="S343" s="557"/>
      <c r="T343" s="460"/>
      <c r="U343" s="557"/>
      <c r="V343" s="460"/>
      <c r="W343" s="557"/>
      <c r="X343" s="460"/>
    </row>
    <row r="344" spans="1:24">
      <c r="A344" s="14"/>
      <c r="B344" s="15"/>
      <c r="C344" s="16"/>
      <c r="D344" s="17"/>
      <c r="E344" s="12"/>
      <c r="F344" s="18"/>
      <c r="G344" s="19"/>
      <c r="H344" s="13"/>
      <c r="I344" s="19"/>
      <c r="J344" s="13"/>
      <c r="K344" s="19"/>
      <c r="L344" s="13"/>
      <c r="M344" s="19"/>
      <c r="N344" s="13"/>
      <c r="O344" s="19"/>
      <c r="P344" s="13"/>
      <c r="Q344" s="19"/>
      <c r="R344" s="13"/>
      <c r="S344" s="557"/>
      <c r="T344" s="460"/>
      <c r="U344" s="557"/>
      <c r="V344" s="460"/>
      <c r="W344" s="557"/>
      <c r="X344" s="460"/>
    </row>
    <row r="345" spans="1:24">
      <c r="A345" s="14"/>
      <c r="B345" s="15"/>
      <c r="C345" s="16"/>
      <c r="D345" s="17"/>
      <c r="E345" s="12"/>
      <c r="F345" s="18"/>
      <c r="G345" s="19"/>
      <c r="H345" s="13"/>
      <c r="I345" s="19"/>
      <c r="J345" s="13"/>
      <c r="K345" s="19"/>
      <c r="L345" s="13"/>
      <c r="M345" s="19"/>
      <c r="N345" s="13"/>
      <c r="O345" s="19"/>
      <c r="P345" s="13"/>
      <c r="Q345" s="19"/>
      <c r="R345" s="13"/>
      <c r="S345" s="557"/>
      <c r="T345" s="460"/>
      <c r="U345" s="557"/>
      <c r="V345" s="460"/>
      <c r="W345" s="557"/>
      <c r="X345" s="460"/>
    </row>
    <row r="346" spans="1:24">
      <c r="A346" s="14"/>
      <c r="B346" s="15"/>
      <c r="C346" s="16"/>
      <c r="D346" s="17"/>
      <c r="E346" s="12"/>
      <c r="F346" s="18"/>
      <c r="G346" s="19"/>
      <c r="H346" s="13"/>
      <c r="I346" s="19"/>
      <c r="J346" s="13"/>
      <c r="K346" s="19"/>
      <c r="L346" s="13"/>
      <c r="M346" s="19"/>
      <c r="N346" s="13"/>
      <c r="O346" s="19"/>
      <c r="P346" s="13"/>
      <c r="Q346" s="19"/>
      <c r="R346" s="13"/>
      <c r="S346" s="557"/>
      <c r="T346" s="460"/>
      <c r="U346" s="557"/>
      <c r="V346" s="460"/>
      <c r="W346" s="557"/>
      <c r="X346" s="460"/>
    </row>
    <row r="347" spans="1:24">
      <c r="A347" s="14"/>
      <c r="B347" s="15"/>
      <c r="C347" s="16"/>
      <c r="D347" s="17"/>
      <c r="E347" s="12"/>
      <c r="F347" s="18"/>
      <c r="G347" s="19"/>
      <c r="H347" s="13"/>
      <c r="I347" s="19"/>
      <c r="J347" s="13"/>
      <c r="K347" s="19"/>
      <c r="L347" s="13"/>
      <c r="M347" s="19"/>
      <c r="N347" s="13"/>
      <c r="O347" s="19"/>
      <c r="P347" s="13"/>
      <c r="Q347" s="19"/>
      <c r="R347" s="13"/>
      <c r="S347" s="557"/>
      <c r="T347" s="460"/>
      <c r="U347" s="557"/>
      <c r="V347" s="460"/>
      <c r="W347" s="557"/>
      <c r="X347" s="460"/>
    </row>
    <row r="348" spans="1:24">
      <c r="A348" s="14"/>
      <c r="B348" s="15"/>
      <c r="C348" s="16"/>
      <c r="D348" s="17"/>
      <c r="E348" s="12"/>
      <c r="F348" s="18"/>
      <c r="G348" s="19"/>
      <c r="H348" s="13"/>
      <c r="I348" s="19"/>
      <c r="J348" s="13"/>
      <c r="K348" s="19"/>
      <c r="L348" s="13"/>
      <c r="M348" s="19"/>
      <c r="N348" s="13"/>
      <c r="O348" s="19"/>
      <c r="P348" s="13"/>
      <c r="Q348" s="19"/>
      <c r="R348" s="13"/>
      <c r="S348" s="557"/>
      <c r="T348" s="460"/>
      <c r="U348" s="557"/>
      <c r="V348" s="460"/>
      <c r="W348" s="557"/>
      <c r="X348" s="460"/>
    </row>
    <row r="349" spans="1:24">
      <c r="A349" s="14"/>
      <c r="B349" s="15"/>
      <c r="C349" s="16"/>
      <c r="D349" s="17"/>
      <c r="E349" s="12"/>
      <c r="F349" s="18"/>
      <c r="G349" s="19"/>
      <c r="H349" s="13"/>
      <c r="I349" s="19"/>
      <c r="J349" s="13"/>
      <c r="K349" s="19"/>
      <c r="L349" s="13"/>
      <c r="M349" s="19"/>
      <c r="N349" s="13"/>
      <c r="O349" s="19"/>
      <c r="P349" s="13"/>
      <c r="Q349" s="19"/>
      <c r="R349" s="13"/>
      <c r="S349" s="557"/>
      <c r="T349" s="460"/>
      <c r="U349" s="557"/>
      <c r="V349" s="460"/>
      <c r="W349" s="557"/>
      <c r="X349" s="460"/>
    </row>
    <row r="350" spans="1:24">
      <c r="A350" s="14"/>
      <c r="B350" s="15"/>
      <c r="C350" s="16"/>
      <c r="D350" s="17"/>
      <c r="E350" s="12"/>
      <c r="F350" s="18"/>
      <c r="G350" s="19"/>
      <c r="H350" s="13"/>
      <c r="I350" s="19"/>
      <c r="J350" s="13"/>
      <c r="K350" s="19"/>
      <c r="L350" s="13"/>
      <c r="M350" s="19"/>
      <c r="N350" s="13"/>
      <c r="O350" s="19"/>
      <c r="P350" s="13"/>
      <c r="Q350" s="19"/>
      <c r="R350" s="13"/>
      <c r="S350" s="557"/>
      <c r="T350" s="460"/>
      <c r="U350" s="557"/>
      <c r="V350" s="460"/>
      <c r="W350" s="557"/>
      <c r="X350" s="460"/>
    </row>
    <row r="351" spans="1:24">
      <c r="A351" s="14"/>
      <c r="B351" s="15"/>
      <c r="C351" s="16"/>
      <c r="D351" s="17"/>
      <c r="E351" s="12"/>
      <c r="F351" s="18"/>
      <c r="G351" s="19"/>
      <c r="H351" s="13"/>
      <c r="I351" s="19"/>
      <c r="J351" s="13"/>
      <c r="K351" s="19"/>
      <c r="L351" s="13"/>
      <c r="M351" s="19"/>
      <c r="N351" s="13"/>
      <c r="O351" s="19"/>
      <c r="P351" s="13"/>
      <c r="Q351" s="19"/>
      <c r="R351" s="13"/>
      <c r="S351" s="557"/>
      <c r="T351" s="460"/>
      <c r="U351" s="557"/>
      <c r="V351" s="460"/>
      <c r="W351" s="557"/>
      <c r="X351" s="460"/>
    </row>
    <row r="352" spans="1:24">
      <c r="A352" s="14"/>
      <c r="B352" s="15"/>
      <c r="C352" s="16"/>
      <c r="D352" s="17"/>
      <c r="E352" s="12"/>
      <c r="F352" s="18"/>
      <c r="G352" s="19"/>
      <c r="H352" s="13"/>
      <c r="I352" s="19"/>
      <c r="J352" s="13"/>
      <c r="K352" s="19"/>
      <c r="L352" s="13"/>
      <c r="M352" s="19"/>
      <c r="N352" s="13"/>
      <c r="O352" s="19"/>
      <c r="P352" s="13"/>
      <c r="Q352" s="19"/>
      <c r="R352" s="13"/>
      <c r="S352" s="557"/>
      <c r="T352" s="460"/>
      <c r="U352" s="557"/>
      <c r="V352" s="460"/>
      <c r="W352" s="557"/>
      <c r="X352" s="460"/>
    </row>
    <row r="353" spans="1:24">
      <c r="A353" s="14"/>
      <c r="B353" s="15"/>
      <c r="C353" s="16"/>
      <c r="D353" s="17"/>
      <c r="E353" s="12"/>
      <c r="F353" s="18"/>
      <c r="G353" s="19"/>
      <c r="H353" s="13"/>
      <c r="I353" s="19"/>
      <c r="J353" s="13"/>
      <c r="K353" s="19"/>
      <c r="L353" s="13"/>
      <c r="M353" s="19"/>
      <c r="N353" s="13"/>
      <c r="O353" s="19"/>
      <c r="P353" s="13"/>
      <c r="Q353" s="19"/>
      <c r="R353" s="13"/>
      <c r="S353" s="557"/>
      <c r="T353" s="460"/>
      <c r="U353" s="557"/>
      <c r="V353" s="460"/>
      <c r="W353" s="557"/>
      <c r="X353" s="460"/>
    </row>
    <row r="354" spans="1:24">
      <c r="A354" s="14"/>
      <c r="B354" s="15"/>
      <c r="C354" s="16"/>
      <c r="D354" s="17"/>
      <c r="E354" s="12"/>
      <c r="F354" s="18"/>
      <c r="G354" s="19"/>
      <c r="H354" s="13"/>
      <c r="I354" s="19"/>
      <c r="J354" s="13"/>
      <c r="K354" s="19"/>
      <c r="L354" s="13"/>
      <c r="M354" s="19"/>
      <c r="N354" s="13"/>
      <c r="O354" s="19"/>
      <c r="P354" s="13"/>
      <c r="Q354" s="19"/>
      <c r="R354" s="13"/>
      <c r="S354" s="557"/>
      <c r="T354" s="460"/>
      <c r="U354" s="557"/>
      <c r="V354" s="460"/>
      <c r="W354" s="557"/>
      <c r="X354" s="460"/>
    </row>
    <row r="355" spans="1:24">
      <c r="A355" s="14"/>
      <c r="B355" s="15"/>
      <c r="C355" s="16"/>
      <c r="D355" s="17"/>
      <c r="E355" s="12"/>
      <c r="F355" s="18"/>
      <c r="G355" s="19"/>
      <c r="H355" s="13"/>
      <c r="I355" s="19"/>
      <c r="J355" s="13"/>
      <c r="K355" s="19"/>
      <c r="L355" s="13"/>
      <c r="M355" s="19"/>
      <c r="N355" s="13"/>
      <c r="O355" s="19"/>
      <c r="P355" s="13"/>
      <c r="Q355" s="19"/>
      <c r="R355" s="13"/>
      <c r="S355" s="557"/>
      <c r="T355" s="460"/>
      <c r="U355" s="557"/>
      <c r="V355" s="460"/>
      <c r="W355" s="557"/>
      <c r="X355" s="460"/>
    </row>
    <row r="356" spans="1:24">
      <c r="A356" s="14"/>
      <c r="B356" s="15"/>
      <c r="C356" s="16"/>
      <c r="D356" s="17"/>
      <c r="E356" s="12"/>
      <c r="F356" s="18"/>
      <c r="G356" s="19"/>
      <c r="H356" s="13"/>
      <c r="I356" s="19"/>
      <c r="J356" s="13"/>
      <c r="K356" s="19"/>
      <c r="L356" s="13"/>
      <c r="M356" s="19"/>
      <c r="N356" s="13"/>
      <c r="O356" s="19"/>
      <c r="P356" s="13"/>
      <c r="Q356" s="19"/>
      <c r="R356" s="13"/>
      <c r="S356" s="557"/>
      <c r="T356" s="460"/>
      <c r="U356" s="557"/>
      <c r="V356" s="460"/>
      <c r="W356" s="557"/>
      <c r="X356" s="460"/>
    </row>
    <row r="357" spans="1:24">
      <c r="A357" s="14"/>
      <c r="B357" s="15"/>
      <c r="C357" s="16"/>
      <c r="D357" s="17"/>
      <c r="E357" s="12"/>
      <c r="F357" s="18"/>
      <c r="G357" s="19"/>
      <c r="H357" s="13"/>
      <c r="I357" s="19"/>
      <c r="J357" s="13"/>
      <c r="K357" s="19"/>
      <c r="L357" s="13"/>
      <c r="M357" s="19"/>
      <c r="N357" s="13"/>
      <c r="O357" s="19"/>
      <c r="P357" s="13"/>
      <c r="Q357" s="19"/>
      <c r="R357" s="13"/>
      <c r="S357" s="557"/>
      <c r="T357" s="460"/>
      <c r="U357" s="557"/>
      <c r="V357" s="460"/>
      <c r="W357" s="557"/>
      <c r="X357" s="460"/>
    </row>
    <row r="358" spans="1:24">
      <c r="A358" s="14"/>
      <c r="B358" s="15"/>
      <c r="C358" s="16"/>
      <c r="D358" s="17"/>
      <c r="E358" s="12"/>
      <c r="F358" s="18"/>
      <c r="G358" s="19"/>
      <c r="H358" s="13"/>
      <c r="I358" s="19"/>
      <c r="J358" s="13"/>
      <c r="K358" s="19"/>
      <c r="L358" s="13"/>
      <c r="M358" s="19"/>
      <c r="N358" s="13"/>
      <c r="O358" s="19"/>
      <c r="P358" s="13"/>
      <c r="Q358" s="19"/>
      <c r="R358" s="13"/>
      <c r="S358" s="557"/>
      <c r="T358" s="460"/>
      <c r="U358" s="557"/>
      <c r="V358" s="460"/>
      <c r="W358" s="557"/>
      <c r="X358" s="460"/>
    </row>
    <row r="359" spans="1:24">
      <c r="A359" s="14"/>
      <c r="B359" s="15"/>
      <c r="C359" s="16"/>
      <c r="D359" s="17"/>
      <c r="E359" s="12"/>
      <c r="F359" s="18"/>
      <c r="G359" s="19"/>
      <c r="H359" s="13"/>
      <c r="I359" s="19"/>
      <c r="J359" s="13"/>
      <c r="K359" s="19"/>
      <c r="L359" s="13"/>
      <c r="M359" s="19"/>
      <c r="N359" s="13"/>
      <c r="O359" s="19"/>
      <c r="P359" s="13"/>
      <c r="Q359" s="19"/>
      <c r="R359" s="13"/>
      <c r="S359" s="557"/>
      <c r="T359" s="460"/>
      <c r="U359" s="557"/>
      <c r="V359" s="460"/>
      <c r="W359" s="557"/>
      <c r="X359" s="460"/>
    </row>
    <row r="360" spans="1:24">
      <c r="A360" s="14"/>
      <c r="B360" s="15"/>
      <c r="C360" s="16"/>
      <c r="D360" s="17"/>
      <c r="E360" s="12"/>
      <c r="F360" s="18"/>
      <c r="G360" s="19"/>
      <c r="H360" s="13"/>
      <c r="I360" s="19"/>
      <c r="J360" s="13"/>
      <c r="K360" s="19"/>
      <c r="L360" s="13"/>
      <c r="M360" s="19"/>
      <c r="N360" s="13"/>
      <c r="O360" s="19"/>
      <c r="P360" s="13"/>
      <c r="Q360" s="19"/>
      <c r="R360" s="13"/>
      <c r="S360" s="557"/>
      <c r="T360" s="460"/>
      <c r="U360" s="557"/>
      <c r="V360" s="460"/>
      <c r="W360" s="557"/>
      <c r="X360" s="460"/>
    </row>
    <row r="361" spans="1:24">
      <c r="A361" s="14"/>
      <c r="B361" s="15"/>
      <c r="C361" s="16"/>
      <c r="D361" s="17"/>
      <c r="E361" s="12"/>
      <c r="F361" s="18"/>
      <c r="G361" s="19"/>
      <c r="H361" s="13"/>
      <c r="I361" s="19"/>
      <c r="J361" s="13"/>
      <c r="K361" s="19"/>
      <c r="L361" s="13"/>
      <c r="M361" s="19"/>
      <c r="N361" s="13"/>
      <c r="O361" s="19"/>
      <c r="P361" s="13"/>
      <c r="Q361" s="19"/>
      <c r="R361" s="13"/>
      <c r="S361" s="557"/>
      <c r="T361" s="460"/>
      <c r="U361" s="557"/>
      <c r="V361" s="460"/>
      <c r="W361" s="557"/>
      <c r="X361" s="460"/>
    </row>
    <row r="362" spans="1:24">
      <c r="A362" s="14"/>
      <c r="B362" s="15"/>
      <c r="C362" s="16"/>
      <c r="D362" s="17"/>
      <c r="E362" s="12"/>
      <c r="F362" s="18"/>
      <c r="G362" s="19"/>
      <c r="H362" s="13"/>
      <c r="I362" s="19"/>
      <c r="J362" s="13"/>
      <c r="K362" s="19"/>
      <c r="L362" s="13"/>
      <c r="M362" s="19"/>
      <c r="N362" s="13"/>
      <c r="O362" s="19"/>
      <c r="P362" s="13"/>
      <c r="Q362" s="19"/>
      <c r="R362" s="13"/>
      <c r="S362" s="557"/>
      <c r="T362" s="460"/>
      <c r="U362" s="557"/>
      <c r="V362" s="460"/>
      <c r="W362" s="557"/>
      <c r="X362" s="460"/>
    </row>
    <row r="363" spans="1:24">
      <c r="A363" s="14"/>
      <c r="B363" s="15"/>
      <c r="C363" s="16"/>
      <c r="D363" s="17"/>
      <c r="E363" s="12"/>
      <c r="F363" s="18"/>
      <c r="G363" s="19"/>
      <c r="H363" s="13"/>
      <c r="I363" s="19"/>
      <c r="J363" s="13"/>
      <c r="K363" s="19"/>
      <c r="L363" s="13"/>
      <c r="M363" s="19"/>
      <c r="N363" s="13"/>
      <c r="O363" s="19"/>
      <c r="P363" s="13"/>
      <c r="Q363" s="19"/>
      <c r="R363" s="13"/>
      <c r="S363" s="557"/>
      <c r="T363" s="460"/>
      <c r="U363" s="557"/>
      <c r="V363" s="460"/>
      <c r="W363" s="557"/>
      <c r="X363" s="460"/>
    </row>
    <row r="364" spans="1:24">
      <c r="A364" s="14"/>
      <c r="B364" s="15"/>
      <c r="C364" s="16"/>
      <c r="D364" s="17"/>
      <c r="E364" s="12"/>
      <c r="F364" s="18"/>
      <c r="G364" s="19"/>
      <c r="H364" s="13"/>
      <c r="I364" s="19"/>
      <c r="J364" s="13"/>
      <c r="K364" s="19"/>
      <c r="L364" s="13"/>
      <c r="M364" s="19"/>
      <c r="N364" s="13"/>
      <c r="O364" s="19"/>
      <c r="P364" s="13"/>
      <c r="Q364" s="19"/>
      <c r="R364" s="13"/>
      <c r="S364" s="557"/>
      <c r="T364" s="460"/>
      <c r="U364" s="557"/>
      <c r="V364" s="460"/>
      <c r="W364" s="557"/>
      <c r="X364" s="460"/>
    </row>
    <row r="365" spans="1:24">
      <c r="A365" s="14"/>
      <c r="B365" s="15"/>
      <c r="C365" s="16"/>
      <c r="D365" s="17"/>
      <c r="E365" s="12"/>
      <c r="F365" s="18"/>
      <c r="G365" s="19"/>
      <c r="H365" s="13"/>
      <c r="I365" s="19"/>
      <c r="J365" s="13"/>
      <c r="K365" s="19"/>
      <c r="L365" s="13"/>
      <c r="M365" s="19"/>
      <c r="N365" s="13"/>
      <c r="O365" s="19"/>
      <c r="P365" s="13"/>
      <c r="Q365" s="19"/>
      <c r="R365" s="13"/>
      <c r="S365" s="557"/>
      <c r="T365" s="460"/>
      <c r="U365" s="557"/>
      <c r="V365" s="460"/>
      <c r="W365" s="557"/>
      <c r="X365" s="460"/>
    </row>
    <row r="366" spans="1:24">
      <c r="A366" s="14"/>
      <c r="B366" s="15"/>
      <c r="C366" s="16"/>
      <c r="D366" s="17"/>
      <c r="E366" s="12"/>
      <c r="F366" s="18"/>
      <c r="G366" s="19"/>
      <c r="H366" s="13"/>
      <c r="I366" s="19"/>
      <c r="J366" s="13"/>
      <c r="K366" s="19"/>
      <c r="L366" s="13"/>
      <c r="M366" s="19"/>
      <c r="N366" s="13"/>
      <c r="O366" s="19"/>
      <c r="P366" s="13"/>
      <c r="Q366" s="19"/>
      <c r="R366" s="13"/>
      <c r="S366" s="557"/>
      <c r="T366" s="460"/>
      <c r="U366" s="557"/>
      <c r="V366" s="460"/>
      <c r="W366" s="557"/>
      <c r="X366" s="460"/>
    </row>
    <row r="367" spans="1:24">
      <c r="A367" s="14"/>
      <c r="B367" s="15"/>
      <c r="C367" s="16"/>
      <c r="D367" s="17"/>
      <c r="E367" s="12"/>
      <c r="F367" s="18"/>
      <c r="G367" s="19"/>
      <c r="H367" s="13"/>
      <c r="I367" s="19"/>
      <c r="J367" s="13"/>
      <c r="K367" s="19"/>
      <c r="L367" s="13"/>
      <c r="M367" s="19"/>
      <c r="N367" s="13"/>
      <c r="O367" s="19"/>
      <c r="P367" s="13"/>
      <c r="Q367" s="19"/>
      <c r="R367" s="13"/>
      <c r="S367" s="557"/>
      <c r="T367" s="460"/>
      <c r="U367" s="557"/>
      <c r="V367" s="460"/>
      <c r="W367" s="557"/>
      <c r="X367" s="460"/>
    </row>
    <row r="368" spans="1:24">
      <c r="A368" s="14"/>
      <c r="B368" s="15"/>
      <c r="C368" s="16"/>
      <c r="D368" s="17"/>
      <c r="E368" s="12"/>
      <c r="F368" s="18"/>
      <c r="G368" s="19"/>
      <c r="H368" s="13"/>
      <c r="I368" s="19"/>
      <c r="J368" s="13"/>
      <c r="K368" s="19"/>
      <c r="L368" s="13"/>
      <c r="M368" s="19"/>
      <c r="N368" s="13"/>
      <c r="O368" s="19"/>
      <c r="P368" s="13"/>
      <c r="Q368" s="19"/>
      <c r="R368" s="13"/>
      <c r="S368" s="557"/>
      <c r="T368" s="460"/>
      <c r="U368" s="557"/>
      <c r="V368" s="460"/>
      <c r="W368" s="557"/>
      <c r="X368" s="460"/>
    </row>
    <row r="369" spans="1:24">
      <c r="A369" s="14"/>
      <c r="B369" s="15"/>
      <c r="C369" s="16"/>
      <c r="D369" s="17"/>
      <c r="E369" s="12"/>
      <c r="F369" s="18"/>
      <c r="G369" s="19"/>
      <c r="H369" s="13"/>
      <c r="I369" s="19"/>
      <c r="J369" s="13"/>
      <c r="K369" s="19"/>
      <c r="L369" s="13"/>
      <c r="M369" s="19"/>
      <c r="N369" s="13"/>
      <c r="O369" s="19"/>
      <c r="P369" s="13"/>
      <c r="Q369" s="19"/>
      <c r="R369" s="13"/>
      <c r="S369" s="557"/>
      <c r="T369" s="460"/>
      <c r="U369" s="557"/>
      <c r="V369" s="460"/>
      <c r="W369" s="557"/>
      <c r="X369" s="460"/>
    </row>
    <row r="370" spans="1:24">
      <c r="A370" s="14"/>
      <c r="B370" s="15"/>
      <c r="C370" s="16"/>
      <c r="D370" s="17"/>
      <c r="E370" s="12"/>
      <c r="F370" s="18"/>
      <c r="G370" s="19"/>
      <c r="H370" s="13"/>
      <c r="I370" s="19"/>
      <c r="J370" s="13"/>
      <c r="K370" s="19"/>
      <c r="L370" s="13"/>
      <c r="M370" s="19"/>
      <c r="N370" s="13"/>
      <c r="O370" s="19"/>
      <c r="P370" s="13"/>
      <c r="Q370" s="19"/>
      <c r="R370" s="13"/>
      <c r="S370" s="557"/>
      <c r="T370" s="460"/>
      <c r="U370" s="557"/>
      <c r="V370" s="460"/>
      <c r="W370" s="557"/>
      <c r="X370" s="460"/>
    </row>
    <row r="371" spans="1:24">
      <c r="A371" s="14"/>
      <c r="B371" s="15"/>
      <c r="C371" s="16"/>
      <c r="D371" s="17"/>
      <c r="E371" s="12"/>
      <c r="F371" s="18"/>
      <c r="G371" s="19"/>
      <c r="H371" s="13"/>
      <c r="I371" s="19"/>
      <c r="J371" s="13"/>
      <c r="K371" s="19"/>
      <c r="L371" s="13"/>
      <c r="M371" s="19"/>
      <c r="N371" s="13"/>
      <c r="O371" s="19"/>
      <c r="P371" s="13"/>
      <c r="Q371" s="19"/>
      <c r="R371" s="13"/>
      <c r="S371" s="557"/>
      <c r="T371" s="460"/>
      <c r="U371" s="557"/>
      <c r="V371" s="460"/>
      <c r="W371" s="557"/>
      <c r="X371" s="460"/>
    </row>
    <row r="372" spans="1:24">
      <c r="A372" s="14"/>
      <c r="B372" s="15"/>
      <c r="C372" s="16"/>
      <c r="D372" s="17"/>
      <c r="E372" s="12"/>
      <c r="F372" s="18"/>
      <c r="G372" s="19"/>
      <c r="H372" s="13"/>
      <c r="I372" s="19"/>
      <c r="J372" s="13"/>
      <c r="K372" s="19"/>
      <c r="L372" s="13"/>
      <c r="M372" s="19"/>
      <c r="N372" s="13"/>
      <c r="O372" s="19"/>
      <c r="P372" s="13"/>
      <c r="Q372" s="19"/>
      <c r="R372" s="13"/>
      <c r="S372" s="557"/>
      <c r="T372" s="460"/>
      <c r="U372" s="557"/>
      <c r="V372" s="460"/>
      <c r="W372" s="557"/>
      <c r="X372" s="460"/>
    </row>
    <row r="373" spans="1:24">
      <c r="A373" s="14"/>
      <c r="B373" s="15"/>
      <c r="C373" s="16"/>
      <c r="D373" s="17"/>
      <c r="E373" s="12"/>
      <c r="F373" s="18"/>
      <c r="G373" s="19"/>
      <c r="H373" s="13"/>
      <c r="I373" s="19"/>
      <c r="J373" s="13"/>
      <c r="K373" s="19"/>
      <c r="L373" s="13"/>
      <c r="M373" s="19"/>
      <c r="N373" s="13"/>
      <c r="O373" s="19"/>
      <c r="P373" s="13"/>
      <c r="Q373" s="19"/>
      <c r="R373" s="13"/>
      <c r="S373" s="557"/>
      <c r="T373" s="460"/>
      <c r="U373" s="557"/>
      <c r="V373" s="460"/>
      <c r="W373" s="557"/>
      <c r="X373" s="460"/>
    </row>
    <row r="374" spans="1:24">
      <c r="A374" s="14"/>
      <c r="B374" s="15"/>
      <c r="C374" s="16"/>
      <c r="D374" s="17"/>
      <c r="E374" s="12"/>
      <c r="F374" s="18"/>
      <c r="G374" s="19"/>
      <c r="H374" s="13"/>
      <c r="I374" s="19"/>
      <c r="J374" s="13"/>
      <c r="K374" s="19"/>
      <c r="L374" s="13"/>
      <c r="M374" s="19"/>
      <c r="N374" s="13"/>
      <c r="O374" s="19"/>
      <c r="P374" s="13"/>
      <c r="Q374" s="19"/>
      <c r="R374" s="13"/>
      <c r="S374" s="557"/>
      <c r="T374" s="460"/>
      <c r="U374" s="557"/>
      <c r="V374" s="460"/>
      <c r="W374" s="557"/>
      <c r="X374" s="460"/>
    </row>
    <row r="375" spans="1:24">
      <c r="A375" s="14"/>
      <c r="B375" s="15"/>
      <c r="C375" s="16"/>
      <c r="D375" s="17"/>
      <c r="E375" s="12"/>
      <c r="F375" s="18"/>
      <c r="G375" s="19"/>
      <c r="H375" s="13"/>
      <c r="I375" s="19"/>
      <c r="J375" s="13"/>
      <c r="K375" s="19"/>
      <c r="L375" s="13"/>
      <c r="M375" s="19"/>
      <c r="N375" s="13"/>
      <c r="O375" s="19"/>
      <c r="P375" s="13"/>
      <c r="Q375" s="19"/>
      <c r="R375" s="13"/>
      <c r="S375" s="557"/>
      <c r="T375" s="460"/>
      <c r="U375" s="557"/>
      <c r="V375" s="460"/>
      <c r="W375" s="557"/>
      <c r="X375" s="460"/>
    </row>
    <row r="376" spans="1:24">
      <c r="A376" s="14"/>
      <c r="B376" s="15"/>
      <c r="C376" s="16"/>
      <c r="D376" s="17"/>
      <c r="E376" s="12"/>
      <c r="F376" s="18"/>
      <c r="G376" s="19"/>
      <c r="H376" s="13"/>
      <c r="I376" s="19"/>
      <c r="J376" s="13"/>
      <c r="K376" s="19"/>
      <c r="L376" s="13"/>
      <c r="M376" s="19"/>
      <c r="N376" s="13"/>
      <c r="O376" s="19"/>
      <c r="P376" s="13"/>
      <c r="Q376" s="19"/>
      <c r="R376" s="13"/>
      <c r="S376" s="557"/>
      <c r="T376" s="460"/>
      <c r="U376" s="557"/>
      <c r="V376" s="460"/>
      <c r="W376" s="557"/>
      <c r="X376" s="460"/>
    </row>
    <row r="377" spans="1:24">
      <c r="A377" s="14"/>
      <c r="B377" s="15"/>
      <c r="C377" s="16"/>
      <c r="D377" s="17"/>
      <c r="E377" s="12"/>
      <c r="F377" s="18"/>
      <c r="G377" s="19"/>
      <c r="H377" s="13"/>
      <c r="I377" s="19"/>
      <c r="J377" s="13"/>
      <c r="K377" s="19"/>
      <c r="L377" s="13"/>
      <c r="M377" s="19"/>
      <c r="N377" s="13"/>
      <c r="O377" s="19"/>
      <c r="P377" s="13"/>
      <c r="Q377" s="19"/>
      <c r="R377" s="13"/>
      <c r="S377" s="557"/>
      <c r="T377" s="460"/>
      <c r="U377" s="557"/>
      <c r="V377" s="460"/>
      <c r="W377" s="557"/>
      <c r="X377" s="460"/>
    </row>
    <row r="378" spans="1:24">
      <c r="A378" s="14"/>
      <c r="B378" s="15"/>
      <c r="C378" s="16"/>
      <c r="D378" s="17"/>
      <c r="E378" s="12"/>
      <c r="F378" s="18"/>
      <c r="G378" s="19"/>
      <c r="H378" s="13"/>
      <c r="I378" s="19"/>
      <c r="J378" s="13"/>
      <c r="K378" s="19"/>
      <c r="L378" s="13"/>
      <c r="M378" s="19"/>
      <c r="N378" s="13"/>
      <c r="O378" s="19"/>
      <c r="P378" s="13"/>
      <c r="Q378" s="19"/>
      <c r="R378" s="13"/>
      <c r="S378" s="557"/>
      <c r="T378" s="460"/>
      <c r="U378" s="557"/>
      <c r="V378" s="460"/>
      <c r="W378" s="557"/>
      <c r="X378" s="460"/>
    </row>
    <row r="379" spans="1:24">
      <c r="A379" s="14"/>
      <c r="B379" s="15"/>
      <c r="C379" s="16"/>
      <c r="D379" s="17"/>
      <c r="E379" s="12"/>
      <c r="F379" s="18"/>
      <c r="G379" s="19"/>
      <c r="H379" s="13"/>
      <c r="I379" s="19"/>
      <c r="J379" s="13"/>
      <c r="K379" s="19"/>
      <c r="L379" s="13"/>
      <c r="M379" s="19"/>
      <c r="N379" s="13"/>
      <c r="O379" s="19"/>
      <c r="P379" s="13"/>
      <c r="Q379" s="19"/>
      <c r="R379" s="13"/>
      <c r="S379" s="557"/>
      <c r="T379" s="460"/>
      <c r="U379" s="557"/>
      <c r="V379" s="460"/>
      <c r="W379" s="557"/>
      <c r="X379" s="460"/>
    </row>
    <row r="380" spans="1:24">
      <c r="A380" s="14"/>
      <c r="B380" s="15"/>
      <c r="C380" s="16"/>
      <c r="D380" s="17"/>
      <c r="E380" s="12"/>
      <c r="F380" s="18"/>
      <c r="G380" s="19"/>
      <c r="H380" s="13"/>
      <c r="I380" s="19"/>
      <c r="J380" s="13"/>
      <c r="K380" s="19"/>
      <c r="L380" s="13"/>
      <c r="M380" s="19"/>
      <c r="N380" s="13"/>
      <c r="O380" s="19"/>
      <c r="P380" s="13"/>
      <c r="Q380" s="19"/>
      <c r="R380" s="13"/>
      <c r="S380" s="557"/>
      <c r="T380" s="460"/>
      <c r="U380" s="557"/>
      <c r="V380" s="460"/>
      <c r="W380" s="557"/>
      <c r="X380" s="460"/>
    </row>
    <row r="381" spans="1:24">
      <c r="A381" s="14"/>
      <c r="B381" s="15"/>
      <c r="C381" s="16"/>
      <c r="D381" s="17"/>
      <c r="E381" s="12"/>
      <c r="F381" s="18"/>
      <c r="G381" s="19"/>
      <c r="H381" s="13"/>
      <c r="I381" s="19"/>
      <c r="J381" s="13"/>
      <c r="K381" s="19"/>
      <c r="L381" s="13"/>
      <c r="M381" s="19"/>
      <c r="N381" s="13"/>
      <c r="O381" s="19"/>
      <c r="P381" s="13"/>
      <c r="Q381" s="19"/>
      <c r="R381" s="13"/>
      <c r="S381" s="557"/>
      <c r="T381" s="460"/>
      <c r="U381" s="557"/>
      <c r="V381" s="460"/>
      <c r="W381" s="557"/>
      <c r="X381" s="460"/>
    </row>
    <row r="382" spans="1:24">
      <c r="A382" s="14"/>
      <c r="B382" s="15"/>
      <c r="C382" s="16"/>
      <c r="D382" s="17"/>
      <c r="E382" s="12"/>
      <c r="F382" s="18"/>
      <c r="G382" s="19"/>
      <c r="H382" s="13"/>
      <c r="I382" s="19"/>
      <c r="J382" s="13"/>
      <c r="K382" s="19"/>
      <c r="L382" s="13"/>
      <c r="M382" s="19"/>
      <c r="N382" s="13"/>
      <c r="O382" s="19"/>
      <c r="P382" s="13"/>
      <c r="Q382" s="19"/>
      <c r="R382" s="13"/>
      <c r="S382" s="557"/>
      <c r="T382" s="460"/>
      <c r="U382" s="557"/>
      <c r="V382" s="460"/>
      <c r="W382" s="557"/>
      <c r="X382" s="460"/>
    </row>
    <row r="383" spans="1:24">
      <c r="A383" s="14"/>
      <c r="B383" s="15"/>
      <c r="C383" s="16"/>
      <c r="D383" s="17"/>
      <c r="E383" s="12"/>
      <c r="F383" s="18"/>
      <c r="G383" s="19"/>
      <c r="H383" s="13"/>
      <c r="I383" s="19"/>
      <c r="J383" s="13"/>
      <c r="K383" s="19"/>
      <c r="L383" s="13"/>
      <c r="M383" s="19"/>
      <c r="N383" s="13"/>
      <c r="O383" s="19"/>
      <c r="P383" s="13"/>
      <c r="Q383" s="19"/>
      <c r="R383" s="13"/>
      <c r="S383" s="557"/>
      <c r="T383" s="460"/>
      <c r="U383" s="557"/>
      <c r="V383" s="460"/>
      <c r="W383" s="557"/>
      <c r="X383" s="460"/>
    </row>
    <row r="384" spans="1:24">
      <c r="A384" s="14"/>
      <c r="B384" s="15"/>
      <c r="C384" s="16"/>
      <c r="D384" s="17"/>
      <c r="E384" s="12"/>
      <c r="F384" s="18"/>
      <c r="G384" s="19"/>
      <c r="H384" s="13"/>
      <c r="I384" s="19"/>
      <c r="J384" s="13"/>
      <c r="K384" s="19"/>
      <c r="L384" s="13"/>
      <c r="M384" s="19"/>
      <c r="N384" s="13"/>
      <c r="O384" s="19"/>
      <c r="P384" s="13"/>
      <c r="Q384" s="19"/>
      <c r="R384" s="13"/>
      <c r="S384" s="557"/>
      <c r="T384" s="460"/>
      <c r="U384" s="557"/>
      <c r="V384" s="460"/>
      <c r="W384" s="557"/>
      <c r="X384" s="460"/>
    </row>
    <row r="385" spans="1:24">
      <c r="A385" s="14"/>
      <c r="B385" s="15"/>
      <c r="C385" s="16"/>
      <c r="D385" s="17"/>
      <c r="E385" s="12"/>
      <c r="F385" s="18"/>
      <c r="G385" s="19"/>
      <c r="H385" s="13"/>
      <c r="I385" s="19"/>
      <c r="J385" s="13"/>
      <c r="K385" s="19"/>
      <c r="L385" s="13"/>
      <c r="M385" s="19"/>
      <c r="N385" s="13"/>
      <c r="O385" s="19"/>
      <c r="P385" s="13"/>
      <c r="Q385" s="19"/>
      <c r="R385" s="13"/>
      <c r="S385" s="557"/>
      <c r="T385" s="460"/>
      <c r="U385" s="557"/>
      <c r="V385" s="460"/>
      <c r="W385" s="557"/>
      <c r="X385" s="460"/>
    </row>
    <row r="386" spans="1:24">
      <c r="A386" s="14"/>
      <c r="B386" s="15"/>
      <c r="C386" s="16"/>
      <c r="D386" s="17"/>
      <c r="E386" s="12"/>
      <c r="F386" s="18"/>
      <c r="G386" s="19"/>
      <c r="H386" s="13"/>
      <c r="I386" s="19"/>
      <c r="J386" s="13"/>
      <c r="K386" s="19"/>
      <c r="L386" s="13"/>
      <c r="M386" s="19"/>
      <c r="N386" s="13"/>
      <c r="O386" s="19"/>
      <c r="P386" s="13"/>
      <c r="Q386" s="19"/>
      <c r="R386" s="13"/>
      <c r="S386" s="557"/>
      <c r="T386" s="460"/>
      <c r="U386" s="557"/>
      <c r="V386" s="460"/>
      <c r="W386" s="557"/>
      <c r="X386" s="460"/>
    </row>
    <row r="387" spans="1:24">
      <c r="A387" s="14"/>
      <c r="B387" s="15"/>
      <c r="C387" s="16"/>
      <c r="D387" s="17"/>
      <c r="E387" s="12"/>
      <c r="F387" s="18"/>
      <c r="G387" s="19"/>
      <c r="H387" s="13"/>
      <c r="I387" s="19"/>
      <c r="J387" s="13"/>
      <c r="K387" s="19"/>
      <c r="L387" s="13"/>
      <c r="M387" s="19"/>
      <c r="N387" s="13"/>
      <c r="O387" s="19"/>
      <c r="P387" s="13"/>
      <c r="Q387" s="19"/>
      <c r="R387" s="13"/>
      <c r="S387" s="557"/>
      <c r="T387" s="460"/>
      <c r="U387" s="557"/>
      <c r="V387" s="460"/>
      <c r="W387" s="557"/>
      <c r="X387" s="460"/>
    </row>
    <row r="388" spans="1:24">
      <c r="A388" s="14"/>
      <c r="B388" s="15"/>
      <c r="C388" s="16"/>
      <c r="D388" s="17"/>
      <c r="E388" s="12"/>
      <c r="F388" s="18"/>
      <c r="G388" s="19"/>
      <c r="H388" s="13"/>
      <c r="I388" s="19"/>
      <c r="J388" s="13"/>
      <c r="K388" s="19"/>
      <c r="L388" s="13"/>
      <c r="M388" s="19"/>
      <c r="N388" s="13"/>
      <c r="O388" s="19"/>
      <c r="P388" s="13"/>
      <c r="Q388" s="19"/>
      <c r="R388" s="13"/>
      <c r="S388" s="557"/>
      <c r="T388" s="460"/>
      <c r="U388" s="557"/>
      <c r="V388" s="460"/>
      <c r="W388" s="557"/>
      <c r="X388" s="460"/>
    </row>
    <row r="389" spans="1:24">
      <c r="A389" s="14"/>
      <c r="B389" s="15"/>
      <c r="C389" s="16"/>
      <c r="D389" s="17"/>
      <c r="E389" s="12"/>
      <c r="F389" s="18"/>
      <c r="G389" s="19"/>
      <c r="H389" s="13"/>
      <c r="I389" s="19"/>
      <c r="J389" s="13"/>
      <c r="K389" s="19"/>
      <c r="L389" s="13"/>
      <c r="M389" s="19"/>
      <c r="N389" s="13"/>
      <c r="O389" s="19"/>
      <c r="P389" s="13"/>
      <c r="Q389" s="19"/>
      <c r="R389" s="13"/>
      <c r="S389" s="557"/>
      <c r="T389" s="460"/>
      <c r="U389" s="557"/>
      <c r="V389" s="460"/>
      <c r="W389" s="557"/>
      <c r="X389" s="460"/>
    </row>
    <row r="390" spans="1:24">
      <c r="A390" s="14"/>
      <c r="B390" s="15"/>
      <c r="C390" s="16"/>
      <c r="D390" s="17"/>
      <c r="E390" s="12"/>
      <c r="F390" s="18"/>
      <c r="G390" s="19"/>
      <c r="H390" s="13"/>
      <c r="I390" s="19"/>
      <c r="J390" s="13"/>
      <c r="K390" s="19"/>
      <c r="L390" s="13"/>
      <c r="M390" s="19"/>
      <c r="N390" s="13"/>
      <c r="O390" s="19"/>
      <c r="P390" s="13"/>
      <c r="Q390" s="19"/>
      <c r="R390" s="13"/>
      <c r="S390" s="557"/>
      <c r="T390" s="460"/>
      <c r="U390" s="557"/>
      <c r="V390" s="460"/>
      <c r="W390" s="557"/>
      <c r="X390" s="460"/>
    </row>
    <row r="391" spans="1:24">
      <c r="A391" s="14"/>
      <c r="B391" s="15"/>
      <c r="C391" s="16"/>
      <c r="D391" s="17"/>
      <c r="E391" s="12"/>
      <c r="F391" s="18"/>
      <c r="G391" s="19"/>
      <c r="H391" s="13"/>
      <c r="I391" s="19"/>
      <c r="J391" s="13"/>
      <c r="K391" s="19"/>
      <c r="L391" s="13"/>
      <c r="M391" s="19"/>
      <c r="N391" s="13"/>
      <c r="O391" s="19"/>
      <c r="P391" s="13"/>
      <c r="Q391" s="19"/>
      <c r="R391" s="13"/>
      <c r="S391" s="557"/>
      <c r="T391" s="460"/>
      <c r="U391" s="557"/>
      <c r="V391" s="460"/>
      <c r="W391" s="557"/>
      <c r="X391" s="460"/>
    </row>
    <row r="392" spans="1:24">
      <c r="A392" s="14"/>
      <c r="B392" s="15"/>
      <c r="C392" s="16"/>
      <c r="D392" s="17"/>
      <c r="E392" s="12"/>
      <c r="F392" s="18"/>
      <c r="G392" s="19"/>
      <c r="H392" s="13"/>
      <c r="I392" s="19"/>
      <c r="J392" s="13"/>
      <c r="K392" s="19"/>
      <c r="L392" s="13"/>
      <c r="M392" s="19"/>
      <c r="N392" s="13"/>
      <c r="O392" s="19"/>
      <c r="P392" s="13"/>
      <c r="Q392" s="19"/>
      <c r="R392" s="13"/>
      <c r="S392" s="557"/>
      <c r="T392" s="460"/>
      <c r="U392" s="557"/>
      <c r="V392" s="460"/>
      <c r="W392" s="557"/>
      <c r="X392" s="460"/>
    </row>
    <row r="393" spans="1:24">
      <c r="A393" s="14"/>
      <c r="B393" s="15"/>
      <c r="C393" s="16"/>
      <c r="D393" s="17"/>
      <c r="E393" s="12"/>
      <c r="F393" s="18"/>
      <c r="G393" s="19"/>
      <c r="H393" s="13"/>
      <c r="I393" s="19"/>
      <c r="J393" s="13"/>
      <c r="K393" s="19"/>
      <c r="L393" s="13"/>
      <c r="M393" s="19"/>
      <c r="N393" s="13"/>
      <c r="O393" s="19"/>
      <c r="P393" s="13"/>
      <c r="Q393" s="19"/>
      <c r="R393" s="13"/>
      <c r="S393" s="557"/>
      <c r="T393" s="460"/>
      <c r="U393" s="557"/>
      <c r="V393" s="460"/>
      <c r="W393" s="557"/>
      <c r="X393" s="460"/>
    </row>
    <row r="394" spans="1:24">
      <c r="A394" s="14"/>
      <c r="B394" s="15"/>
      <c r="C394" s="16"/>
      <c r="D394" s="17"/>
      <c r="E394" s="12"/>
      <c r="F394" s="18"/>
      <c r="G394" s="19"/>
      <c r="H394" s="13"/>
      <c r="I394" s="19"/>
      <c r="J394" s="13"/>
      <c r="K394" s="19"/>
      <c r="L394" s="13"/>
      <c r="M394" s="19"/>
      <c r="N394" s="13"/>
      <c r="O394" s="19"/>
      <c r="P394" s="13"/>
      <c r="Q394" s="19"/>
      <c r="R394" s="13"/>
      <c r="S394" s="557"/>
      <c r="T394" s="460"/>
      <c r="U394" s="557"/>
      <c r="V394" s="460"/>
      <c r="W394" s="557"/>
      <c r="X394" s="460"/>
    </row>
    <row r="395" spans="1:24">
      <c r="A395" s="14"/>
      <c r="B395" s="15"/>
      <c r="C395" s="16"/>
      <c r="D395" s="17"/>
      <c r="E395" s="12"/>
      <c r="F395" s="18"/>
      <c r="G395" s="19"/>
      <c r="H395" s="13"/>
      <c r="I395" s="19"/>
      <c r="J395" s="13"/>
      <c r="K395" s="19"/>
      <c r="L395" s="13"/>
      <c r="M395" s="19"/>
      <c r="N395" s="13"/>
      <c r="O395" s="19"/>
      <c r="P395" s="13"/>
      <c r="Q395" s="19"/>
      <c r="R395" s="13"/>
      <c r="S395" s="557"/>
      <c r="T395" s="460"/>
      <c r="U395" s="557"/>
      <c r="V395" s="460"/>
      <c r="W395" s="557"/>
      <c r="X395" s="460"/>
    </row>
    <row r="396" spans="1:24">
      <c r="A396" s="14"/>
      <c r="B396" s="15"/>
      <c r="C396" s="16"/>
      <c r="D396" s="17"/>
      <c r="E396" s="12"/>
      <c r="F396" s="18"/>
      <c r="G396" s="19"/>
      <c r="H396" s="13"/>
      <c r="I396" s="19"/>
      <c r="J396" s="13"/>
      <c r="K396" s="19"/>
      <c r="L396" s="13"/>
      <c r="M396" s="19"/>
      <c r="N396" s="13"/>
      <c r="O396" s="19"/>
      <c r="P396" s="13"/>
      <c r="Q396" s="19"/>
      <c r="R396" s="13"/>
      <c r="S396" s="557"/>
      <c r="T396" s="460"/>
      <c r="U396" s="557"/>
      <c r="V396" s="460"/>
      <c r="W396" s="557"/>
      <c r="X396" s="460"/>
    </row>
    <row r="397" spans="1:24">
      <c r="A397" s="14"/>
      <c r="B397" s="15"/>
      <c r="C397" s="16"/>
      <c r="D397" s="17"/>
      <c r="E397" s="12"/>
      <c r="F397" s="18"/>
      <c r="G397" s="19"/>
      <c r="H397" s="13"/>
      <c r="I397" s="19"/>
      <c r="J397" s="13"/>
      <c r="K397" s="19"/>
      <c r="L397" s="13"/>
      <c r="M397" s="19"/>
      <c r="N397" s="13"/>
      <c r="O397" s="19"/>
      <c r="P397" s="13"/>
      <c r="Q397" s="19"/>
      <c r="R397" s="13"/>
      <c r="S397" s="557"/>
      <c r="T397" s="460"/>
      <c r="U397" s="557"/>
      <c r="V397" s="460"/>
      <c r="W397" s="557"/>
      <c r="X397" s="460"/>
    </row>
    <row r="398" spans="1:24">
      <c r="A398" s="14"/>
      <c r="B398" s="15"/>
      <c r="C398" s="16"/>
      <c r="D398" s="17"/>
      <c r="E398" s="12"/>
      <c r="F398" s="18"/>
      <c r="G398" s="19"/>
      <c r="H398" s="13"/>
      <c r="I398" s="19"/>
      <c r="J398" s="13"/>
      <c r="K398" s="19"/>
      <c r="L398" s="13"/>
      <c r="M398" s="19"/>
      <c r="N398" s="13"/>
      <c r="O398" s="19"/>
      <c r="P398" s="13"/>
      <c r="Q398" s="19"/>
      <c r="R398" s="13"/>
      <c r="S398" s="557"/>
      <c r="T398" s="460"/>
      <c r="U398" s="557"/>
      <c r="V398" s="460"/>
      <c r="W398" s="557"/>
      <c r="X398" s="460"/>
    </row>
    <row r="399" spans="1:24">
      <c r="A399" s="14"/>
      <c r="B399" s="15"/>
      <c r="C399" s="16"/>
      <c r="D399" s="17"/>
      <c r="E399" s="12"/>
      <c r="F399" s="18"/>
      <c r="G399" s="19"/>
      <c r="H399" s="13"/>
      <c r="I399" s="19"/>
      <c r="J399" s="13"/>
      <c r="K399" s="19"/>
      <c r="L399" s="13"/>
      <c r="M399" s="19"/>
      <c r="N399" s="13"/>
      <c r="O399" s="19"/>
      <c r="P399" s="13"/>
      <c r="Q399" s="19"/>
      <c r="R399" s="13"/>
      <c r="S399" s="557"/>
      <c r="T399" s="460"/>
      <c r="U399" s="557"/>
      <c r="V399" s="460"/>
      <c r="W399" s="557"/>
      <c r="X399" s="460"/>
    </row>
    <row r="400" spans="1:24">
      <c r="A400" s="14"/>
      <c r="B400" s="15"/>
      <c r="C400" s="16"/>
      <c r="D400" s="17"/>
      <c r="E400" s="12"/>
      <c r="F400" s="18"/>
      <c r="G400" s="19"/>
      <c r="H400" s="13"/>
      <c r="I400" s="19"/>
      <c r="J400" s="13"/>
      <c r="K400" s="19"/>
      <c r="L400" s="13"/>
      <c r="M400" s="19"/>
      <c r="N400" s="13"/>
      <c r="O400" s="19"/>
      <c r="P400" s="13"/>
      <c r="Q400" s="19"/>
      <c r="R400" s="13"/>
      <c r="S400" s="557"/>
      <c r="T400" s="460"/>
      <c r="U400" s="557"/>
      <c r="V400" s="460"/>
      <c r="W400" s="557"/>
      <c r="X400" s="460"/>
    </row>
    <row r="401" spans="1:24">
      <c r="A401" s="14"/>
      <c r="B401" s="15"/>
      <c r="C401" s="16"/>
      <c r="D401" s="17"/>
      <c r="E401" s="12"/>
      <c r="F401" s="18"/>
      <c r="G401" s="19"/>
      <c r="H401" s="13"/>
      <c r="I401" s="19"/>
      <c r="J401" s="13"/>
      <c r="K401" s="19"/>
      <c r="L401" s="13"/>
      <c r="M401" s="19"/>
      <c r="N401" s="13"/>
      <c r="O401" s="19"/>
      <c r="P401" s="13"/>
      <c r="Q401" s="19"/>
      <c r="R401" s="13"/>
      <c r="S401" s="557"/>
      <c r="T401" s="460"/>
      <c r="U401" s="557"/>
      <c r="V401" s="460"/>
      <c r="W401" s="557"/>
      <c r="X401" s="460"/>
    </row>
    <row r="402" spans="1:24">
      <c r="A402" s="14"/>
      <c r="B402" s="15"/>
      <c r="C402" s="16"/>
      <c r="D402" s="17"/>
      <c r="E402" s="12"/>
      <c r="F402" s="18"/>
      <c r="G402" s="19"/>
      <c r="H402" s="13"/>
      <c r="I402" s="19"/>
      <c r="J402" s="13"/>
      <c r="K402" s="19"/>
      <c r="L402" s="13"/>
      <c r="M402" s="19"/>
      <c r="N402" s="13"/>
      <c r="O402" s="19"/>
      <c r="P402" s="13"/>
      <c r="Q402" s="19"/>
      <c r="R402" s="13"/>
      <c r="S402" s="557"/>
      <c r="T402" s="460"/>
      <c r="U402" s="557"/>
      <c r="V402" s="460"/>
      <c r="W402" s="557"/>
      <c r="X402" s="460"/>
    </row>
    <row r="403" spans="1:24">
      <c r="A403" s="14"/>
      <c r="B403" s="15"/>
      <c r="C403" s="16"/>
      <c r="D403" s="17"/>
      <c r="E403" s="12"/>
      <c r="F403" s="18"/>
      <c r="G403" s="19"/>
      <c r="H403" s="13"/>
      <c r="I403" s="19"/>
      <c r="J403" s="13"/>
      <c r="K403" s="19"/>
      <c r="L403" s="13"/>
      <c r="M403" s="19"/>
      <c r="N403" s="13"/>
      <c r="O403" s="19"/>
      <c r="P403" s="13"/>
      <c r="Q403" s="19"/>
      <c r="R403" s="13"/>
      <c r="S403" s="557"/>
      <c r="T403" s="460"/>
      <c r="U403" s="557"/>
      <c r="V403" s="460"/>
      <c r="W403" s="557"/>
      <c r="X403" s="460"/>
    </row>
    <row r="404" spans="1:24">
      <c r="A404" s="14"/>
      <c r="B404" s="15"/>
      <c r="C404" s="16"/>
      <c r="D404" s="17"/>
      <c r="E404" s="12"/>
      <c r="F404" s="18"/>
      <c r="G404" s="19"/>
      <c r="H404" s="13"/>
      <c r="I404" s="19"/>
      <c r="J404" s="13"/>
      <c r="K404" s="19"/>
      <c r="L404" s="13"/>
      <c r="M404" s="19"/>
      <c r="N404" s="13"/>
      <c r="O404" s="19"/>
      <c r="P404" s="13"/>
      <c r="Q404" s="19"/>
      <c r="R404" s="13"/>
      <c r="S404" s="557"/>
      <c r="T404" s="460"/>
      <c r="U404" s="557"/>
      <c r="V404" s="460"/>
      <c r="W404" s="557"/>
      <c r="X404" s="460"/>
    </row>
    <row r="405" spans="1:24">
      <c r="A405" s="14"/>
      <c r="B405" s="15"/>
      <c r="C405" s="16"/>
      <c r="D405" s="17"/>
      <c r="E405" s="12"/>
      <c r="F405" s="18"/>
      <c r="G405" s="19"/>
      <c r="H405" s="13"/>
      <c r="I405" s="19"/>
      <c r="J405" s="13"/>
      <c r="K405" s="19"/>
      <c r="L405" s="13"/>
      <c r="M405" s="19"/>
      <c r="N405" s="13"/>
      <c r="O405" s="19"/>
      <c r="P405" s="13"/>
      <c r="Q405" s="19"/>
      <c r="R405" s="13"/>
      <c r="S405" s="557"/>
      <c r="T405" s="460"/>
      <c r="U405" s="557"/>
      <c r="V405" s="460"/>
      <c r="W405" s="557"/>
      <c r="X405" s="460"/>
    </row>
    <row r="406" spans="1:24">
      <c r="A406" s="14"/>
      <c r="B406" s="15"/>
      <c r="C406" s="16"/>
      <c r="D406" s="17"/>
      <c r="E406" s="12"/>
      <c r="F406" s="18"/>
      <c r="G406" s="19"/>
      <c r="H406" s="13"/>
      <c r="I406" s="19"/>
      <c r="J406" s="13"/>
      <c r="K406" s="19"/>
      <c r="L406" s="13"/>
      <c r="M406" s="19"/>
      <c r="N406" s="13"/>
      <c r="O406" s="19"/>
      <c r="P406" s="13"/>
      <c r="Q406" s="19"/>
      <c r="R406" s="13"/>
      <c r="S406" s="557"/>
      <c r="T406" s="460"/>
      <c r="U406" s="557"/>
      <c r="V406" s="460"/>
      <c r="W406" s="557"/>
      <c r="X406" s="460"/>
    </row>
    <row r="407" spans="1:24">
      <c r="A407" s="14"/>
      <c r="B407" s="15"/>
      <c r="C407" s="16"/>
      <c r="D407" s="17"/>
      <c r="E407" s="12"/>
      <c r="F407" s="18"/>
      <c r="G407" s="19"/>
      <c r="H407" s="13"/>
      <c r="I407" s="19"/>
      <c r="J407" s="13"/>
      <c r="K407" s="19"/>
      <c r="L407" s="13"/>
      <c r="M407" s="19"/>
      <c r="N407" s="13"/>
      <c r="O407" s="19"/>
      <c r="P407" s="13"/>
      <c r="Q407" s="19"/>
      <c r="R407" s="13"/>
      <c r="S407" s="557"/>
      <c r="T407" s="460"/>
      <c r="U407" s="557"/>
      <c r="V407" s="460"/>
      <c r="W407" s="557"/>
      <c r="X407" s="460"/>
    </row>
    <row r="408" spans="1:24">
      <c r="A408" s="14"/>
      <c r="B408" s="15"/>
      <c r="C408" s="16"/>
      <c r="D408" s="17"/>
      <c r="E408" s="12"/>
      <c r="F408" s="18"/>
      <c r="G408" s="19"/>
      <c r="H408" s="13"/>
      <c r="I408" s="19"/>
      <c r="J408" s="13"/>
      <c r="K408" s="19"/>
      <c r="L408" s="13"/>
      <c r="M408" s="19"/>
      <c r="N408" s="13"/>
      <c r="O408" s="19"/>
      <c r="P408" s="13"/>
      <c r="Q408" s="19"/>
      <c r="R408" s="13"/>
      <c r="S408" s="557"/>
      <c r="T408" s="460"/>
      <c r="U408" s="557"/>
      <c r="V408" s="460"/>
      <c r="W408" s="557"/>
      <c r="X408" s="460"/>
    </row>
    <row r="409" spans="1:24">
      <c r="A409" s="14"/>
      <c r="B409" s="15"/>
      <c r="C409" s="16"/>
      <c r="D409" s="17"/>
      <c r="E409" s="12"/>
      <c r="F409" s="18"/>
      <c r="G409" s="19"/>
      <c r="H409" s="13"/>
      <c r="I409" s="19"/>
      <c r="J409" s="13"/>
      <c r="K409" s="19"/>
      <c r="L409" s="13"/>
      <c r="M409" s="19"/>
      <c r="N409" s="13"/>
      <c r="O409" s="19"/>
      <c r="P409" s="13"/>
      <c r="Q409" s="19"/>
      <c r="R409" s="13"/>
      <c r="S409" s="557"/>
      <c r="T409" s="460"/>
      <c r="U409" s="557"/>
      <c r="V409" s="460"/>
      <c r="W409" s="557"/>
      <c r="X409" s="460"/>
    </row>
    <row r="410" spans="1:24">
      <c r="A410" s="14"/>
      <c r="B410" s="15"/>
      <c r="C410" s="16"/>
      <c r="D410" s="17"/>
      <c r="E410" s="12"/>
      <c r="F410" s="18"/>
      <c r="G410" s="19"/>
      <c r="H410" s="13"/>
      <c r="I410" s="19"/>
      <c r="J410" s="13"/>
      <c r="K410" s="19"/>
      <c r="L410" s="13"/>
      <c r="M410" s="19"/>
      <c r="N410" s="13"/>
      <c r="O410" s="19"/>
      <c r="P410" s="13"/>
      <c r="Q410" s="19"/>
      <c r="R410" s="13"/>
      <c r="S410" s="557"/>
      <c r="T410" s="460"/>
      <c r="U410" s="557"/>
      <c r="V410" s="460"/>
      <c r="W410" s="557"/>
      <c r="X410" s="460"/>
    </row>
    <row r="411" spans="1:24">
      <c r="A411" s="14"/>
      <c r="B411" s="15"/>
      <c r="C411" s="16"/>
      <c r="D411" s="17"/>
      <c r="E411" s="12"/>
      <c r="F411" s="18"/>
      <c r="G411" s="19"/>
      <c r="H411" s="13"/>
      <c r="I411" s="19"/>
      <c r="J411" s="13"/>
      <c r="K411" s="19"/>
      <c r="L411" s="13"/>
      <c r="M411" s="19"/>
      <c r="N411" s="13"/>
      <c r="O411" s="19"/>
      <c r="P411" s="13"/>
      <c r="Q411" s="19"/>
      <c r="R411" s="13"/>
      <c r="S411" s="557"/>
      <c r="T411" s="460"/>
      <c r="U411" s="557"/>
      <c r="V411" s="460"/>
      <c r="W411" s="557"/>
      <c r="X411" s="460"/>
    </row>
    <row r="412" spans="1:24">
      <c r="A412" s="14"/>
      <c r="B412" s="15"/>
      <c r="C412" s="16"/>
      <c r="D412" s="17"/>
      <c r="E412" s="12"/>
      <c r="F412" s="18"/>
      <c r="G412" s="19"/>
      <c r="H412" s="13"/>
      <c r="I412" s="19"/>
      <c r="J412" s="13"/>
      <c r="K412" s="19"/>
      <c r="L412" s="13"/>
      <c r="M412" s="19"/>
      <c r="N412" s="13"/>
      <c r="O412" s="19"/>
      <c r="P412" s="13"/>
      <c r="Q412" s="19"/>
      <c r="R412" s="13"/>
      <c r="S412" s="557"/>
      <c r="T412" s="460"/>
      <c r="U412" s="557"/>
      <c r="V412" s="460"/>
      <c r="W412" s="557"/>
      <c r="X412" s="460"/>
    </row>
    <row r="413" spans="1:24">
      <c r="A413" s="14"/>
      <c r="B413" s="15"/>
      <c r="C413" s="16"/>
      <c r="D413" s="17"/>
      <c r="E413" s="12"/>
      <c r="F413" s="18"/>
      <c r="G413" s="19"/>
      <c r="H413" s="13"/>
      <c r="I413" s="19"/>
      <c r="J413" s="13"/>
      <c r="K413" s="19"/>
      <c r="L413" s="13"/>
      <c r="M413" s="19"/>
      <c r="N413" s="13"/>
      <c r="O413" s="19"/>
      <c r="P413" s="13"/>
      <c r="Q413" s="19"/>
      <c r="R413" s="13"/>
      <c r="S413" s="557"/>
      <c r="T413" s="460"/>
      <c r="U413" s="557"/>
      <c r="V413" s="460"/>
      <c r="W413" s="557"/>
      <c r="X413" s="460"/>
    </row>
    <row r="414" spans="1:24">
      <c r="A414" s="14"/>
      <c r="B414" s="15"/>
      <c r="C414" s="16"/>
      <c r="D414" s="17"/>
      <c r="E414" s="12"/>
      <c r="F414" s="18"/>
      <c r="G414" s="19"/>
      <c r="H414" s="13"/>
      <c r="I414" s="19"/>
      <c r="J414" s="13"/>
      <c r="K414" s="19"/>
      <c r="L414" s="13"/>
      <c r="M414" s="19"/>
      <c r="N414" s="13"/>
      <c r="O414" s="19"/>
      <c r="P414" s="13"/>
      <c r="Q414" s="19"/>
      <c r="R414" s="13"/>
      <c r="S414" s="557"/>
      <c r="T414" s="460"/>
      <c r="U414" s="557"/>
      <c r="V414" s="460"/>
      <c r="W414" s="557"/>
      <c r="X414" s="460"/>
    </row>
    <row r="415" spans="1:24">
      <c r="A415" s="14"/>
      <c r="B415" s="15"/>
      <c r="C415" s="16"/>
      <c r="D415" s="17"/>
      <c r="E415" s="12"/>
      <c r="F415" s="18"/>
      <c r="G415" s="19"/>
      <c r="H415" s="13"/>
      <c r="I415" s="19"/>
      <c r="J415" s="13"/>
      <c r="K415" s="19"/>
      <c r="L415" s="13"/>
      <c r="M415" s="19"/>
      <c r="N415" s="13"/>
      <c r="O415" s="19"/>
      <c r="P415" s="13"/>
      <c r="Q415" s="19"/>
      <c r="R415" s="13"/>
      <c r="S415" s="557"/>
      <c r="T415" s="460"/>
      <c r="U415" s="557"/>
      <c r="V415" s="460"/>
      <c r="W415" s="557"/>
      <c r="X415" s="460"/>
    </row>
    <row r="416" spans="1:24">
      <c r="A416" s="14"/>
      <c r="B416" s="15"/>
      <c r="C416" s="16"/>
      <c r="D416" s="17"/>
      <c r="E416" s="12"/>
      <c r="F416" s="18"/>
      <c r="G416" s="19"/>
      <c r="H416" s="13"/>
      <c r="I416" s="19"/>
      <c r="J416" s="13"/>
      <c r="K416" s="19"/>
      <c r="L416" s="13"/>
      <c r="M416" s="19"/>
      <c r="N416" s="13"/>
      <c r="O416" s="19"/>
      <c r="P416" s="13"/>
      <c r="Q416" s="19"/>
      <c r="R416" s="13"/>
      <c r="S416" s="557"/>
      <c r="T416" s="460"/>
      <c r="U416" s="557"/>
      <c r="V416" s="460"/>
      <c r="W416" s="557"/>
      <c r="X416" s="460"/>
    </row>
    <row r="417" spans="1:24">
      <c r="A417" s="14"/>
      <c r="B417" s="15"/>
      <c r="C417" s="16"/>
      <c r="D417" s="17"/>
      <c r="E417" s="12"/>
      <c r="F417" s="18"/>
      <c r="G417" s="19"/>
      <c r="H417" s="13"/>
      <c r="I417" s="19"/>
      <c r="J417" s="13"/>
      <c r="K417" s="19"/>
      <c r="L417" s="13"/>
      <c r="M417" s="19"/>
      <c r="N417" s="13"/>
      <c r="O417" s="19"/>
      <c r="P417" s="13"/>
      <c r="Q417" s="19"/>
      <c r="R417" s="13"/>
      <c r="S417" s="557"/>
      <c r="T417" s="460"/>
      <c r="U417" s="557"/>
      <c r="V417" s="460"/>
      <c r="W417" s="557"/>
      <c r="X417" s="460"/>
    </row>
    <row r="418" spans="1:24">
      <c r="A418" s="14"/>
      <c r="B418" s="15"/>
      <c r="C418" s="16"/>
      <c r="D418" s="17"/>
      <c r="E418" s="12"/>
      <c r="F418" s="18"/>
      <c r="G418" s="19"/>
      <c r="H418" s="13"/>
      <c r="I418" s="19"/>
      <c r="J418" s="13"/>
      <c r="K418" s="19"/>
      <c r="L418" s="13"/>
      <c r="M418" s="19"/>
      <c r="N418" s="13"/>
      <c r="O418" s="19"/>
      <c r="P418" s="13"/>
      <c r="Q418" s="19"/>
      <c r="R418" s="13"/>
      <c r="S418" s="557"/>
      <c r="T418" s="460"/>
      <c r="U418" s="557"/>
      <c r="V418" s="460"/>
      <c r="W418" s="557"/>
      <c r="X418" s="460"/>
    </row>
    <row r="419" spans="1:24">
      <c r="A419" s="14"/>
      <c r="B419" s="15"/>
      <c r="C419" s="16"/>
      <c r="D419" s="17"/>
      <c r="E419" s="12"/>
      <c r="F419" s="18"/>
      <c r="G419" s="19"/>
      <c r="H419" s="13"/>
      <c r="I419" s="19"/>
      <c r="J419" s="13"/>
      <c r="K419" s="19"/>
      <c r="L419" s="13"/>
      <c r="M419" s="19"/>
      <c r="N419" s="13"/>
      <c r="O419" s="19"/>
      <c r="P419" s="13"/>
      <c r="Q419" s="19"/>
      <c r="R419" s="13"/>
      <c r="S419" s="557"/>
      <c r="T419" s="460"/>
      <c r="U419" s="557"/>
      <c r="V419" s="460"/>
      <c r="W419" s="557"/>
      <c r="X419" s="460"/>
    </row>
    <row r="420" spans="1:24">
      <c r="A420" s="14"/>
      <c r="B420" s="15"/>
      <c r="C420" s="16"/>
      <c r="D420" s="17"/>
      <c r="E420" s="12"/>
      <c r="F420" s="18"/>
      <c r="G420" s="19"/>
      <c r="H420" s="13"/>
      <c r="I420" s="19"/>
      <c r="J420" s="13"/>
      <c r="K420" s="19"/>
      <c r="L420" s="13"/>
      <c r="M420" s="19"/>
      <c r="N420" s="13"/>
      <c r="O420" s="19"/>
      <c r="P420" s="13"/>
      <c r="Q420" s="19"/>
      <c r="R420" s="13"/>
      <c r="S420" s="557"/>
      <c r="T420" s="460"/>
      <c r="U420" s="557"/>
      <c r="V420" s="460"/>
      <c r="W420" s="557"/>
      <c r="X420" s="460"/>
    </row>
    <row r="421" spans="1:24">
      <c r="A421" s="14"/>
      <c r="B421" s="15"/>
      <c r="C421" s="16"/>
      <c r="D421" s="17"/>
      <c r="E421" s="12"/>
      <c r="F421" s="18"/>
      <c r="G421" s="19"/>
      <c r="H421" s="13"/>
      <c r="I421" s="19"/>
      <c r="J421" s="13"/>
      <c r="K421" s="19"/>
      <c r="L421" s="13"/>
      <c r="M421" s="19"/>
      <c r="N421" s="13"/>
      <c r="O421" s="19"/>
      <c r="P421" s="13"/>
      <c r="Q421" s="19"/>
      <c r="R421" s="13"/>
      <c r="S421" s="557"/>
      <c r="T421" s="460"/>
      <c r="U421" s="557"/>
      <c r="V421" s="460"/>
      <c r="W421" s="557"/>
      <c r="X421" s="460"/>
    </row>
    <row r="422" spans="1:24">
      <c r="A422" s="14"/>
      <c r="B422" s="15"/>
      <c r="C422" s="16"/>
      <c r="D422" s="17"/>
      <c r="E422" s="12"/>
      <c r="F422" s="18"/>
      <c r="G422" s="19"/>
      <c r="H422" s="13"/>
      <c r="I422" s="19"/>
      <c r="J422" s="13"/>
      <c r="K422" s="19"/>
      <c r="L422" s="13"/>
      <c r="M422" s="19"/>
      <c r="N422" s="13"/>
      <c r="O422" s="19"/>
      <c r="P422" s="13"/>
      <c r="Q422" s="19"/>
      <c r="R422" s="13"/>
      <c r="S422" s="557"/>
      <c r="T422" s="460"/>
      <c r="U422" s="557"/>
      <c r="V422" s="460"/>
      <c r="W422" s="557"/>
      <c r="X422" s="460"/>
    </row>
    <row r="423" spans="1:24">
      <c r="A423" s="14"/>
      <c r="B423" s="15"/>
      <c r="C423" s="16"/>
      <c r="D423" s="17"/>
      <c r="E423" s="12"/>
      <c r="F423" s="18"/>
      <c r="G423" s="19"/>
      <c r="H423" s="13"/>
      <c r="I423" s="19"/>
      <c r="J423" s="13"/>
      <c r="K423" s="19"/>
      <c r="L423" s="13"/>
      <c r="M423" s="19"/>
      <c r="N423" s="13"/>
      <c r="O423" s="19"/>
      <c r="P423" s="13"/>
      <c r="Q423" s="19"/>
      <c r="R423" s="13"/>
      <c r="S423" s="557"/>
      <c r="T423" s="460"/>
      <c r="U423" s="557"/>
      <c r="V423" s="460"/>
      <c r="W423" s="557"/>
      <c r="X423" s="460"/>
    </row>
    <row r="424" spans="1:24">
      <c r="A424" s="14"/>
      <c r="B424" s="15"/>
      <c r="C424" s="16"/>
      <c r="D424" s="17"/>
      <c r="E424" s="12"/>
      <c r="F424" s="18"/>
      <c r="G424" s="19"/>
      <c r="H424" s="13"/>
      <c r="I424" s="19"/>
      <c r="J424" s="13"/>
      <c r="K424" s="19"/>
      <c r="L424" s="13"/>
      <c r="M424" s="19"/>
      <c r="N424" s="13"/>
      <c r="O424" s="19"/>
      <c r="P424" s="13"/>
      <c r="Q424" s="19"/>
      <c r="R424" s="13"/>
      <c r="S424" s="557"/>
      <c r="T424" s="460"/>
      <c r="U424" s="557"/>
      <c r="V424" s="460"/>
      <c r="W424" s="557"/>
      <c r="X424" s="460"/>
    </row>
    <row r="425" spans="1:24">
      <c r="A425" s="14"/>
      <c r="B425" s="15"/>
      <c r="C425" s="16"/>
      <c r="D425" s="17"/>
      <c r="E425" s="12"/>
      <c r="F425" s="18"/>
      <c r="G425" s="19"/>
      <c r="H425" s="13"/>
      <c r="I425" s="19"/>
      <c r="J425" s="13"/>
      <c r="K425" s="19"/>
      <c r="L425" s="13"/>
      <c r="M425" s="19"/>
      <c r="N425" s="13"/>
      <c r="O425" s="19"/>
      <c r="P425" s="13"/>
      <c r="Q425" s="19"/>
      <c r="R425" s="13"/>
      <c r="S425" s="557"/>
      <c r="T425" s="460"/>
      <c r="U425" s="557"/>
      <c r="V425" s="460"/>
      <c r="W425" s="557"/>
      <c r="X425" s="460"/>
    </row>
    <row r="426" spans="1:24">
      <c r="A426" s="14"/>
      <c r="B426" s="15"/>
      <c r="C426" s="16"/>
      <c r="D426" s="17"/>
      <c r="E426" s="12"/>
      <c r="F426" s="18"/>
      <c r="G426" s="19"/>
      <c r="H426" s="13"/>
      <c r="I426" s="19"/>
      <c r="J426" s="13"/>
      <c r="K426" s="19"/>
      <c r="L426" s="13"/>
      <c r="M426" s="19"/>
      <c r="N426" s="13"/>
      <c r="O426" s="19"/>
      <c r="P426" s="13"/>
      <c r="Q426" s="19"/>
      <c r="R426" s="13"/>
      <c r="S426" s="557"/>
      <c r="T426" s="460"/>
      <c r="U426" s="557"/>
      <c r="V426" s="460"/>
      <c r="W426" s="557"/>
      <c r="X426" s="460"/>
    </row>
    <row r="427" spans="1:24">
      <c r="A427" s="14"/>
      <c r="B427" s="15"/>
      <c r="C427" s="16"/>
      <c r="D427" s="17"/>
      <c r="E427" s="12"/>
      <c r="F427" s="18"/>
      <c r="G427" s="19"/>
      <c r="H427" s="13"/>
      <c r="I427" s="19"/>
      <c r="J427" s="13"/>
      <c r="K427" s="19"/>
      <c r="L427" s="13"/>
      <c r="M427" s="19"/>
      <c r="N427" s="13"/>
      <c r="O427" s="19"/>
      <c r="P427" s="13"/>
      <c r="Q427" s="19"/>
      <c r="R427" s="13"/>
      <c r="S427" s="557"/>
      <c r="T427" s="460"/>
      <c r="U427" s="557"/>
      <c r="V427" s="460"/>
      <c r="W427" s="557"/>
      <c r="X427" s="460"/>
    </row>
    <row r="428" spans="1:24">
      <c r="A428" s="14"/>
      <c r="B428" s="15"/>
      <c r="C428" s="16"/>
      <c r="D428" s="17"/>
      <c r="E428" s="12"/>
      <c r="F428" s="18"/>
      <c r="G428" s="19"/>
      <c r="H428" s="13"/>
      <c r="I428" s="19"/>
      <c r="J428" s="13"/>
      <c r="K428" s="19"/>
      <c r="L428" s="13"/>
      <c r="M428" s="19"/>
      <c r="N428" s="13"/>
      <c r="O428" s="19"/>
      <c r="P428" s="13"/>
      <c r="Q428" s="19"/>
      <c r="R428" s="13"/>
      <c r="S428" s="557"/>
      <c r="T428" s="460"/>
      <c r="U428" s="557"/>
      <c r="V428" s="460"/>
      <c r="W428" s="557"/>
      <c r="X428" s="460"/>
    </row>
    <row r="429" spans="1:24">
      <c r="A429" s="14"/>
      <c r="B429" s="15"/>
      <c r="C429" s="16"/>
      <c r="D429" s="17"/>
      <c r="E429" s="12"/>
      <c r="F429" s="18"/>
      <c r="G429" s="19"/>
      <c r="H429" s="13"/>
      <c r="I429" s="19"/>
      <c r="J429" s="13"/>
      <c r="K429" s="19"/>
      <c r="L429" s="13"/>
      <c r="M429" s="19"/>
      <c r="N429" s="13"/>
      <c r="O429" s="19"/>
      <c r="P429" s="13"/>
      <c r="Q429" s="19"/>
      <c r="R429" s="13"/>
      <c r="S429" s="557"/>
      <c r="T429" s="460"/>
      <c r="U429" s="557"/>
      <c r="V429" s="460"/>
      <c r="W429" s="557"/>
      <c r="X429" s="460"/>
    </row>
    <row r="430" spans="1:24">
      <c r="A430" s="14"/>
      <c r="B430" s="15"/>
      <c r="C430" s="16"/>
      <c r="D430" s="17"/>
      <c r="E430" s="12"/>
      <c r="F430" s="18"/>
      <c r="G430" s="19"/>
      <c r="H430" s="13"/>
      <c r="I430" s="19"/>
      <c r="J430" s="13"/>
      <c r="K430" s="19"/>
      <c r="L430" s="13"/>
      <c r="M430" s="19"/>
      <c r="N430" s="13"/>
      <c r="O430" s="19"/>
      <c r="P430" s="13"/>
      <c r="Q430" s="19"/>
      <c r="R430" s="13"/>
      <c r="S430" s="557"/>
      <c r="T430" s="460"/>
      <c r="U430" s="557"/>
      <c r="V430" s="460"/>
      <c r="W430" s="557"/>
      <c r="X430" s="460"/>
    </row>
    <row r="431" spans="1:24">
      <c r="A431" s="14"/>
      <c r="B431" s="15"/>
      <c r="C431" s="16"/>
      <c r="D431" s="17"/>
      <c r="E431" s="12"/>
      <c r="F431" s="18"/>
      <c r="G431" s="19"/>
      <c r="H431" s="13"/>
      <c r="I431" s="19"/>
      <c r="J431" s="13"/>
      <c r="K431" s="19"/>
      <c r="L431" s="13"/>
      <c r="M431" s="19"/>
      <c r="N431" s="13"/>
      <c r="O431" s="19"/>
      <c r="P431" s="13"/>
      <c r="Q431" s="19"/>
      <c r="R431" s="13"/>
      <c r="S431" s="557"/>
      <c r="T431" s="460"/>
      <c r="U431" s="557"/>
      <c r="V431" s="460"/>
      <c r="W431" s="557"/>
      <c r="X431" s="460"/>
    </row>
    <row r="432" spans="1:24">
      <c r="A432" s="14"/>
      <c r="B432" s="15"/>
      <c r="C432" s="16"/>
      <c r="D432" s="17"/>
      <c r="E432" s="12"/>
      <c r="F432" s="18"/>
      <c r="G432" s="19"/>
      <c r="H432" s="13"/>
      <c r="I432" s="19"/>
      <c r="J432" s="13"/>
      <c r="K432" s="19"/>
      <c r="L432" s="13"/>
      <c r="M432" s="19"/>
      <c r="N432" s="13"/>
      <c r="O432" s="19"/>
      <c r="P432" s="13"/>
      <c r="Q432" s="19"/>
      <c r="R432" s="13"/>
      <c r="S432" s="557"/>
      <c r="T432" s="460"/>
      <c r="U432" s="557"/>
      <c r="V432" s="460"/>
      <c r="W432" s="557"/>
      <c r="X432" s="460"/>
    </row>
    <row r="433" spans="1:24">
      <c r="A433" s="14"/>
      <c r="B433" s="15"/>
      <c r="C433" s="16"/>
      <c r="D433" s="17"/>
      <c r="E433" s="12"/>
      <c r="F433" s="18"/>
      <c r="G433" s="19"/>
      <c r="H433" s="13"/>
      <c r="I433" s="19"/>
      <c r="J433" s="13"/>
      <c r="K433" s="19"/>
      <c r="L433" s="13"/>
      <c r="M433" s="19"/>
      <c r="N433" s="13"/>
      <c r="O433" s="19"/>
      <c r="P433" s="13"/>
      <c r="Q433" s="19"/>
      <c r="R433" s="13"/>
      <c r="S433" s="557"/>
      <c r="T433" s="460"/>
      <c r="U433" s="557"/>
      <c r="V433" s="460"/>
      <c r="W433" s="557"/>
      <c r="X433" s="460"/>
    </row>
    <row r="434" spans="1:24">
      <c r="A434" s="14"/>
      <c r="B434" s="15"/>
      <c r="C434" s="16"/>
      <c r="D434" s="17"/>
      <c r="E434" s="12"/>
      <c r="F434" s="18"/>
      <c r="G434" s="19"/>
      <c r="H434" s="13"/>
      <c r="I434" s="19"/>
      <c r="J434" s="13"/>
      <c r="K434" s="19"/>
      <c r="L434" s="13"/>
      <c r="M434" s="19"/>
      <c r="N434" s="13"/>
      <c r="O434" s="19"/>
      <c r="P434" s="13"/>
      <c r="Q434" s="19"/>
      <c r="R434" s="13"/>
      <c r="S434" s="557"/>
      <c r="T434" s="460"/>
      <c r="U434" s="557"/>
      <c r="V434" s="460"/>
      <c r="W434" s="557"/>
      <c r="X434" s="460"/>
    </row>
    <row r="435" spans="1:24">
      <c r="A435" s="14"/>
      <c r="B435" s="15"/>
      <c r="C435" s="16"/>
      <c r="D435" s="17"/>
      <c r="E435" s="12"/>
      <c r="F435" s="18"/>
      <c r="G435" s="19"/>
      <c r="H435" s="13"/>
      <c r="I435" s="19"/>
      <c r="J435" s="13"/>
      <c r="K435" s="19"/>
      <c r="L435" s="13"/>
      <c r="M435" s="19"/>
      <c r="N435" s="13"/>
      <c r="O435" s="19"/>
      <c r="P435" s="13"/>
      <c r="Q435" s="19"/>
      <c r="R435" s="13"/>
      <c r="S435" s="557"/>
      <c r="T435" s="460"/>
      <c r="U435" s="557"/>
      <c r="V435" s="460"/>
      <c r="W435" s="557"/>
      <c r="X435" s="460"/>
    </row>
    <row r="436" spans="1:24">
      <c r="A436" s="14"/>
      <c r="B436" s="15"/>
      <c r="C436" s="16"/>
      <c r="D436" s="17"/>
      <c r="E436" s="12"/>
      <c r="F436" s="18"/>
      <c r="G436" s="19"/>
      <c r="H436" s="13"/>
      <c r="I436" s="19"/>
      <c r="J436" s="13"/>
      <c r="K436" s="19"/>
      <c r="L436" s="13"/>
      <c r="M436" s="19"/>
      <c r="N436" s="13"/>
      <c r="O436" s="19"/>
      <c r="P436" s="13"/>
      <c r="Q436" s="19"/>
      <c r="R436" s="13"/>
      <c r="S436" s="557"/>
      <c r="T436" s="460"/>
      <c r="U436" s="557"/>
      <c r="V436" s="460"/>
      <c r="W436" s="557"/>
      <c r="X436" s="460"/>
    </row>
    <row r="437" spans="1:24">
      <c r="A437" s="14"/>
      <c r="B437" s="15"/>
      <c r="C437" s="16"/>
      <c r="D437" s="17"/>
      <c r="E437" s="12"/>
      <c r="F437" s="18"/>
      <c r="G437" s="19"/>
      <c r="H437" s="13"/>
      <c r="I437" s="19"/>
      <c r="J437" s="13"/>
      <c r="K437" s="19"/>
      <c r="L437" s="13"/>
      <c r="M437" s="19"/>
      <c r="N437" s="13"/>
      <c r="O437" s="19"/>
      <c r="P437" s="13"/>
      <c r="Q437" s="19"/>
      <c r="R437" s="13"/>
      <c r="S437" s="557"/>
      <c r="T437" s="460"/>
      <c r="U437" s="557"/>
      <c r="V437" s="460"/>
      <c r="W437" s="557"/>
      <c r="X437" s="460"/>
    </row>
    <row r="438" spans="1:24">
      <c r="A438" s="14"/>
      <c r="B438" s="15"/>
      <c r="C438" s="16"/>
      <c r="D438" s="17"/>
      <c r="E438" s="12"/>
      <c r="F438" s="18"/>
      <c r="G438" s="19"/>
      <c r="H438" s="13"/>
      <c r="I438" s="19"/>
      <c r="J438" s="13"/>
      <c r="K438" s="19"/>
      <c r="L438" s="13"/>
      <c r="M438" s="19"/>
      <c r="N438" s="13"/>
      <c r="O438" s="19"/>
      <c r="P438" s="13"/>
      <c r="Q438" s="19"/>
      <c r="R438" s="13"/>
      <c r="S438" s="557"/>
      <c r="T438" s="460"/>
      <c r="U438" s="557"/>
      <c r="V438" s="460"/>
      <c r="W438" s="557"/>
      <c r="X438" s="460"/>
    </row>
    <row r="439" spans="1:24">
      <c r="A439" s="14"/>
      <c r="B439" s="15"/>
      <c r="C439" s="16"/>
      <c r="D439" s="17"/>
      <c r="E439" s="12"/>
      <c r="F439" s="18"/>
      <c r="G439" s="19"/>
      <c r="H439" s="13"/>
      <c r="I439" s="19"/>
      <c r="J439" s="13"/>
      <c r="K439" s="19"/>
      <c r="L439" s="13"/>
      <c r="M439" s="19"/>
      <c r="N439" s="13"/>
      <c r="O439" s="19"/>
      <c r="P439" s="13"/>
      <c r="Q439" s="19"/>
      <c r="R439" s="13"/>
      <c r="S439" s="557"/>
      <c r="T439" s="460"/>
      <c r="U439" s="557"/>
      <c r="V439" s="460"/>
      <c r="W439" s="557"/>
      <c r="X439" s="460"/>
    </row>
    <row r="440" spans="1:24">
      <c r="A440" s="14"/>
      <c r="B440" s="15"/>
      <c r="C440" s="16"/>
      <c r="D440" s="17"/>
      <c r="E440" s="12"/>
      <c r="F440" s="18"/>
      <c r="G440" s="19"/>
      <c r="H440" s="13"/>
      <c r="I440" s="19"/>
      <c r="J440" s="13"/>
      <c r="K440" s="19"/>
      <c r="L440" s="13"/>
      <c r="M440" s="19"/>
      <c r="N440" s="13"/>
      <c r="O440" s="19"/>
      <c r="P440" s="13"/>
      <c r="Q440" s="19"/>
      <c r="R440" s="13"/>
      <c r="S440" s="557"/>
      <c r="T440" s="460"/>
      <c r="U440" s="557"/>
      <c r="V440" s="460"/>
      <c r="W440" s="557"/>
      <c r="X440" s="460"/>
    </row>
    <row r="441" spans="1:24">
      <c r="A441" s="14"/>
      <c r="B441" s="15"/>
      <c r="C441" s="16"/>
      <c r="D441" s="17"/>
      <c r="E441" s="12"/>
      <c r="F441" s="18"/>
      <c r="G441" s="19"/>
      <c r="H441" s="13"/>
      <c r="I441" s="19"/>
      <c r="J441" s="13"/>
      <c r="K441" s="19"/>
      <c r="L441" s="13"/>
      <c r="M441" s="19"/>
      <c r="N441" s="13"/>
      <c r="O441" s="19"/>
      <c r="P441" s="13"/>
      <c r="Q441" s="19"/>
      <c r="R441" s="13"/>
      <c r="S441" s="557"/>
      <c r="T441" s="460"/>
      <c r="U441" s="557"/>
      <c r="V441" s="460"/>
      <c r="W441" s="557"/>
      <c r="X441" s="460"/>
    </row>
    <row r="442" spans="1:24">
      <c r="A442" s="14"/>
      <c r="B442" s="15"/>
      <c r="C442" s="16"/>
      <c r="D442" s="17"/>
      <c r="E442" s="12"/>
      <c r="F442" s="18"/>
      <c r="G442" s="19"/>
      <c r="H442" s="13"/>
      <c r="I442" s="19"/>
      <c r="J442" s="13"/>
      <c r="K442" s="19"/>
      <c r="L442" s="13"/>
      <c r="M442" s="19"/>
      <c r="N442" s="13"/>
      <c r="O442" s="19"/>
      <c r="P442" s="13"/>
      <c r="Q442" s="19"/>
      <c r="R442" s="13"/>
      <c r="S442" s="557"/>
      <c r="T442" s="460"/>
      <c r="U442" s="557"/>
      <c r="V442" s="460"/>
      <c r="W442" s="557"/>
      <c r="X442" s="460"/>
    </row>
    <row r="443" spans="1:24">
      <c r="A443" s="14"/>
      <c r="B443" s="15"/>
      <c r="C443" s="16"/>
      <c r="D443" s="17"/>
      <c r="E443" s="12"/>
      <c r="F443" s="18"/>
      <c r="G443" s="19"/>
      <c r="H443" s="13"/>
      <c r="I443" s="19"/>
      <c r="J443" s="13"/>
      <c r="K443" s="19"/>
      <c r="L443" s="13"/>
      <c r="M443" s="19"/>
      <c r="N443" s="13"/>
      <c r="O443" s="19"/>
      <c r="P443" s="13"/>
      <c r="Q443" s="19"/>
      <c r="R443" s="13"/>
      <c r="S443" s="557"/>
      <c r="T443" s="460"/>
      <c r="U443" s="557"/>
      <c r="V443" s="460"/>
      <c r="W443" s="557"/>
      <c r="X443" s="460"/>
    </row>
    <row r="444" spans="1:24">
      <c r="A444" s="14"/>
      <c r="B444" s="15"/>
      <c r="C444" s="16"/>
      <c r="D444" s="17"/>
      <c r="E444" s="12"/>
      <c r="F444" s="18"/>
      <c r="G444" s="19"/>
      <c r="H444" s="13"/>
      <c r="I444" s="19"/>
      <c r="J444" s="13"/>
      <c r="K444" s="19"/>
      <c r="L444" s="13"/>
      <c r="M444" s="19"/>
      <c r="N444" s="13"/>
      <c r="O444" s="19"/>
      <c r="P444" s="13"/>
      <c r="Q444" s="19"/>
      <c r="R444" s="13"/>
      <c r="S444" s="557"/>
      <c r="T444" s="460"/>
      <c r="U444" s="557"/>
      <c r="V444" s="460"/>
      <c r="W444" s="557"/>
      <c r="X444" s="460"/>
    </row>
    <row r="445" spans="1:24">
      <c r="A445" s="14"/>
      <c r="B445" s="15"/>
      <c r="C445" s="16"/>
      <c r="D445" s="17"/>
      <c r="E445" s="12"/>
      <c r="F445" s="18"/>
      <c r="G445" s="19"/>
      <c r="H445" s="13"/>
      <c r="I445" s="19"/>
      <c r="J445" s="13"/>
      <c r="K445" s="19"/>
      <c r="L445" s="13"/>
      <c r="M445" s="19"/>
      <c r="N445" s="13"/>
      <c r="O445" s="19"/>
      <c r="P445" s="13"/>
      <c r="Q445" s="19"/>
      <c r="R445" s="13"/>
      <c r="S445" s="557"/>
      <c r="T445" s="460"/>
      <c r="U445" s="557"/>
      <c r="V445" s="460"/>
      <c r="W445" s="557"/>
      <c r="X445" s="460"/>
    </row>
    <row r="446" spans="1:24">
      <c r="A446" s="14"/>
      <c r="B446" s="15"/>
      <c r="C446" s="16"/>
      <c r="D446" s="17"/>
      <c r="E446" s="12"/>
      <c r="F446" s="18"/>
      <c r="G446" s="19"/>
      <c r="H446" s="13"/>
      <c r="I446" s="19"/>
      <c r="J446" s="13"/>
      <c r="K446" s="19"/>
      <c r="L446" s="13"/>
      <c r="M446" s="19"/>
      <c r="N446" s="13"/>
      <c r="O446" s="19"/>
      <c r="P446" s="13"/>
      <c r="Q446" s="19"/>
      <c r="R446" s="13"/>
      <c r="S446" s="557"/>
      <c r="T446" s="460"/>
      <c r="U446" s="557"/>
      <c r="V446" s="460"/>
      <c r="W446" s="557"/>
      <c r="X446" s="460"/>
    </row>
    <row r="447" spans="1:24">
      <c r="A447" s="14"/>
      <c r="B447" s="15"/>
      <c r="C447" s="16"/>
      <c r="D447" s="17"/>
      <c r="E447" s="12"/>
      <c r="F447" s="18"/>
      <c r="G447" s="19"/>
      <c r="H447" s="13"/>
      <c r="I447" s="19"/>
      <c r="J447" s="13"/>
      <c r="K447" s="19"/>
      <c r="L447" s="13"/>
      <c r="M447" s="19"/>
      <c r="N447" s="13"/>
      <c r="O447" s="19"/>
      <c r="P447" s="13"/>
      <c r="Q447" s="19"/>
      <c r="R447" s="13"/>
      <c r="S447" s="557"/>
      <c r="T447" s="460"/>
      <c r="U447" s="557"/>
      <c r="V447" s="460"/>
      <c r="W447" s="557"/>
      <c r="X447" s="460"/>
    </row>
    <row r="448" spans="1:24">
      <c r="A448" s="14"/>
      <c r="B448" s="15"/>
      <c r="C448" s="16"/>
      <c r="D448" s="17"/>
      <c r="E448" s="12"/>
      <c r="F448" s="18"/>
      <c r="G448" s="19"/>
      <c r="H448" s="13"/>
      <c r="I448" s="19"/>
      <c r="J448" s="13"/>
      <c r="K448" s="19"/>
      <c r="L448" s="13"/>
      <c r="M448" s="19"/>
      <c r="N448" s="13"/>
      <c r="O448" s="19"/>
      <c r="P448" s="13"/>
      <c r="Q448" s="19"/>
      <c r="R448" s="13"/>
      <c r="S448" s="557"/>
      <c r="T448" s="460"/>
      <c r="U448" s="557"/>
      <c r="V448" s="460"/>
      <c r="W448" s="557"/>
      <c r="X448" s="460"/>
    </row>
    <row r="449" spans="1:24">
      <c r="A449" s="14"/>
      <c r="B449" s="15"/>
      <c r="C449" s="16"/>
      <c r="D449" s="17"/>
      <c r="E449" s="12"/>
      <c r="F449" s="18"/>
      <c r="G449" s="19"/>
      <c r="H449" s="13"/>
      <c r="I449" s="19"/>
      <c r="J449" s="13"/>
      <c r="K449" s="19"/>
      <c r="L449" s="13"/>
      <c r="M449" s="19"/>
      <c r="N449" s="13"/>
      <c r="O449" s="19"/>
      <c r="P449" s="13"/>
      <c r="Q449" s="19"/>
      <c r="R449" s="13"/>
      <c r="S449" s="557"/>
      <c r="T449" s="460"/>
      <c r="U449" s="557"/>
      <c r="V449" s="460"/>
      <c r="W449" s="557"/>
      <c r="X449" s="460"/>
    </row>
    <row r="450" spans="1:24">
      <c r="A450" s="14"/>
      <c r="B450" s="15"/>
      <c r="C450" s="16"/>
      <c r="D450" s="17"/>
      <c r="E450" s="12"/>
      <c r="F450" s="18"/>
      <c r="G450" s="19"/>
      <c r="H450" s="13"/>
      <c r="I450" s="19"/>
      <c r="J450" s="13"/>
      <c r="K450" s="19"/>
      <c r="L450" s="13"/>
      <c r="M450" s="19"/>
      <c r="N450" s="13"/>
      <c r="O450" s="19"/>
      <c r="P450" s="13"/>
      <c r="Q450" s="19"/>
      <c r="R450" s="13"/>
      <c r="S450" s="557"/>
      <c r="T450" s="460"/>
      <c r="U450" s="557"/>
      <c r="V450" s="460"/>
      <c r="W450" s="557"/>
      <c r="X450" s="460"/>
    </row>
    <row r="451" spans="1:24">
      <c r="A451" s="14"/>
      <c r="B451" s="15"/>
      <c r="C451" s="16"/>
      <c r="D451" s="17"/>
      <c r="E451" s="12"/>
      <c r="F451" s="18"/>
      <c r="G451" s="19"/>
      <c r="H451" s="13"/>
      <c r="I451" s="19"/>
      <c r="J451" s="13"/>
      <c r="K451" s="19"/>
      <c r="L451" s="13"/>
      <c r="M451" s="19"/>
      <c r="N451" s="13"/>
      <c r="O451" s="19"/>
      <c r="P451" s="13"/>
      <c r="Q451" s="19"/>
      <c r="R451" s="13"/>
      <c r="S451" s="557"/>
      <c r="T451" s="460"/>
      <c r="U451" s="557"/>
      <c r="V451" s="460"/>
      <c r="W451" s="557"/>
      <c r="X451" s="460"/>
    </row>
    <row r="452" spans="1:24">
      <c r="A452" s="14"/>
      <c r="B452" s="15"/>
      <c r="C452" s="16"/>
      <c r="D452" s="17"/>
      <c r="E452" s="12"/>
      <c r="F452" s="18"/>
      <c r="G452" s="19"/>
      <c r="H452" s="13"/>
      <c r="I452" s="19"/>
      <c r="J452" s="13"/>
      <c r="K452" s="19"/>
      <c r="L452" s="13"/>
      <c r="M452" s="19"/>
      <c r="N452" s="13"/>
      <c r="O452" s="19"/>
      <c r="P452" s="13"/>
      <c r="Q452" s="19"/>
      <c r="R452" s="13"/>
      <c r="S452" s="557"/>
      <c r="T452" s="460"/>
      <c r="U452" s="557"/>
      <c r="V452" s="460"/>
      <c r="W452" s="557"/>
      <c r="X452" s="460"/>
    </row>
    <row r="453" spans="1:24">
      <c r="A453" s="14"/>
      <c r="B453" s="15"/>
      <c r="C453" s="16"/>
      <c r="D453" s="17"/>
      <c r="E453" s="12"/>
      <c r="F453" s="18"/>
      <c r="G453" s="19"/>
      <c r="H453" s="13"/>
      <c r="I453" s="19"/>
      <c r="J453" s="13"/>
      <c r="K453" s="19"/>
      <c r="L453" s="13"/>
      <c r="M453" s="19"/>
      <c r="N453" s="13"/>
      <c r="O453" s="19"/>
      <c r="P453" s="13"/>
      <c r="Q453" s="19"/>
      <c r="R453" s="13"/>
      <c r="S453" s="557"/>
      <c r="T453" s="460"/>
      <c r="U453" s="557"/>
      <c r="V453" s="460"/>
      <c r="W453" s="557"/>
      <c r="X453" s="460"/>
    </row>
    <row r="454" spans="1:24">
      <c r="A454" s="14"/>
      <c r="B454" s="15"/>
      <c r="C454" s="16"/>
      <c r="D454" s="17"/>
      <c r="E454" s="12"/>
      <c r="F454" s="18"/>
      <c r="G454" s="19"/>
      <c r="H454" s="13"/>
      <c r="I454" s="19"/>
      <c r="J454" s="13"/>
      <c r="K454" s="19"/>
      <c r="L454" s="13"/>
      <c r="M454" s="19"/>
      <c r="N454" s="13"/>
      <c r="O454" s="19"/>
      <c r="P454" s="13"/>
      <c r="Q454" s="19"/>
      <c r="R454" s="13"/>
      <c r="S454" s="557"/>
      <c r="T454" s="460"/>
      <c r="U454" s="557"/>
      <c r="V454" s="460"/>
      <c r="W454" s="557"/>
      <c r="X454" s="460"/>
    </row>
    <row r="455" spans="1:24">
      <c r="A455" s="14"/>
      <c r="B455" s="15"/>
      <c r="C455" s="16"/>
      <c r="D455" s="17"/>
      <c r="E455" s="12"/>
      <c r="F455" s="18"/>
      <c r="G455" s="19"/>
      <c r="H455" s="13"/>
      <c r="I455" s="19"/>
      <c r="J455" s="13"/>
      <c r="K455" s="19"/>
      <c r="L455" s="13"/>
      <c r="M455" s="19"/>
      <c r="N455" s="13"/>
      <c r="O455" s="19"/>
      <c r="P455" s="13"/>
      <c r="Q455" s="19"/>
      <c r="R455" s="13"/>
      <c r="S455" s="557"/>
      <c r="T455" s="460"/>
      <c r="U455" s="557"/>
      <c r="V455" s="460"/>
      <c r="W455" s="557"/>
      <c r="X455" s="460"/>
    </row>
    <row r="456" spans="1:24">
      <c r="A456" s="14"/>
      <c r="B456" s="15"/>
      <c r="C456" s="16"/>
      <c r="D456" s="17"/>
      <c r="E456" s="12"/>
      <c r="F456" s="18"/>
      <c r="G456" s="19"/>
      <c r="H456" s="13"/>
      <c r="I456" s="19"/>
      <c r="J456" s="13"/>
      <c r="K456" s="19"/>
      <c r="L456" s="13"/>
      <c r="M456" s="19"/>
      <c r="N456" s="13"/>
      <c r="O456" s="19"/>
      <c r="P456" s="13"/>
      <c r="Q456" s="19"/>
      <c r="R456" s="13"/>
      <c r="S456" s="557"/>
      <c r="T456" s="460"/>
      <c r="U456" s="557"/>
      <c r="V456" s="460"/>
      <c r="W456" s="557"/>
      <c r="X456" s="460"/>
    </row>
    <row r="457" spans="1:24">
      <c r="A457" s="14"/>
      <c r="B457" s="15"/>
      <c r="C457" s="16"/>
      <c r="D457" s="17"/>
      <c r="E457" s="12"/>
      <c r="F457" s="18"/>
      <c r="G457" s="19"/>
      <c r="H457" s="13"/>
      <c r="I457" s="19"/>
      <c r="J457" s="13"/>
      <c r="K457" s="19"/>
      <c r="L457" s="13"/>
      <c r="M457" s="19"/>
      <c r="N457" s="13"/>
      <c r="O457" s="19"/>
      <c r="P457" s="13"/>
      <c r="Q457" s="19"/>
      <c r="R457" s="13"/>
      <c r="S457" s="557"/>
      <c r="T457" s="460"/>
      <c r="U457" s="557"/>
      <c r="V457" s="460"/>
      <c r="W457" s="557"/>
      <c r="X457" s="460"/>
    </row>
    <row r="458" spans="1:24">
      <c r="A458" s="14"/>
      <c r="B458" s="15"/>
      <c r="C458" s="16"/>
      <c r="D458" s="17"/>
      <c r="E458" s="12"/>
      <c r="F458" s="18"/>
      <c r="G458" s="19"/>
      <c r="H458" s="13"/>
      <c r="I458" s="19"/>
      <c r="J458" s="13"/>
      <c r="K458" s="19"/>
      <c r="L458" s="13"/>
      <c r="M458" s="19"/>
      <c r="N458" s="13"/>
      <c r="O458" s="19"/>
      <c r="P458" s="13"/>
      <c r="Q458" s="19"/>
      <c r="R458" s="13"/>
      <c r="S458" s="557"/>
      <c r="T458" s="460"/>
      <c r="U458" s="557"/>
      <c r="V458" s="460"/>
      <c r="W458" s="557"/>
      <c r="X458" s="460"/>
    </row>
    <row r="459" spans="1:24">
      <c r="A459" s="14"/>
      <c r="B459" s="15"/>
      <c r="C459" s="16"/>
      <c r="D459" s="17"/>
      <c r="E459" s="12"/>
      <c r="F459" s="18"/>
      <c r="G459" s="19"/>
      <c r="H459" s="13"/>
      <c r="I459" s="19"/>
      <c r="J459" s="13"/>
      <c r="K459" s="19"/>
      <c r="L459" s="13"/>
      <c r="M459" s="19"/>
      <c r="N459" s="13"/>
      <c r="O459" s="19"/>
      <c r="P459" s="13"/>
      <c r="Q459" s="19"/>
      <c r="R459" s="13"/>
      <c r="S459" s="557"/>
      <c r="T459" s="460"/>
      <c r="U459" s="557"/>
      <c r="V459" s="460"/>
      <c r="W459" s="557"/>
      <c r="X459" s="460"/>
    </row>
    <row r="460" spans="1:24">
      <c r="A460" s="14"/>
      <c r="B460" s="15"/>
      <c r="C460" s="16"/>
      <c r="D460" s="17"/>
      <c r="E460" s="12"/>
      <c r="F460" s="18"/>
      <c r="G460" s="19"/>
      <c r="H460" s="13"/>
      <c r="I460" s="19"/>
      <c r="J460" s="13"/>
      <c r="K460" s="19"/>
      <c r="L460" s="13"/>
      <c r="M460" s="19"/>
      <c r="N460" s="13"/>
      <c r="O460" s="19"/>
      <c r="P460" s="13"/>
      <c r="Q460" s="19"/>
      <c r="R460" s="13"/>
      <c r="S460" s="557"/>
      <c r="T460" s="460"/>
      <c r="U460" s="557"/>
      <c r="V460" s="460"/>
      <c r="W460" s="557"/>
      <c r="X460" s="460"/>
    </row>
    <row r="461" spans="1:24">
      <c r="A461" s="14"/>
      <c r="B461" s="15"/>
      <c r="C461" s="16"/>
      <c r="D461" s="17"/>
      <c r="E461" s="12"/>
      <c r="F461" s="18"/>
      <c r="G461" s="19"/>
      <c r="H461" s="13"/>
      <c r="I461" s="19"/>
      <c r="J461" s="13"/>
      <c r="K461" s="19"/>
      <c r="L461" s="13"/>
      <c r="M461" s="19"/>
      <c r="N461" s="13"/>
      <c r="O461" s="19"/>
      <c r="P461" s="13"/>
      <c r="Q461" s="19"/>
      <c r="R461" s="13"/>
      <c r="S461" s="557"/>
      <c r="T461" s="460"/>
      <c r="U461" s="557"/>
      <c r="V461" s="460"/>
      <c r="W461" s="557"/>
      <c r="X461" s="460"/>
    </row>
    <row r="462" spans="1:24">
      <c r="A462" s="14"/>
      <c r="B462" s="15"/>
      <c r="C462" s="16"/>
      <c r="D462" s="17"/>
      <c r="E462" s="12"/>
      <c r="F462" s="18"/>
      <c r="G462" s="19"/>
      <c r="H462" s="13"/>
      <c r="I462" s="19"/>
      <c r="J462" s="13"/>
      <c r="K462" s="19"/>
      <c r="L462" s="13"/>
      <c r="M462" s="19"/>
      <c r="N462" s="13"/>
      <c r="O462" s="19"/>
      <c r="P462" s="13"/>
      <c r="Q462" s="19"/>
      <c r="R462" s="13"/>
      <c r="S462" s="557"/>
      <c r="T462" s="460"/>
      <c r="U462" s="557"/>
      <c r="V462" s="460"/>
      <c r="W462" s="557"/>
      <c r="X462" s="460"/>
    </row>
    <row r="463" spans="1:24">
      <c r="A463" s="14"/>
      <c r="B463" s="15"/>
      <c r="C463" s="16"/>
      <c r="D463" s="17"/>
      <c r="E463" s="12"/>
      <c r="F463" s="18"/>
      <c r="G463" s="19"/>
      <c r="H463" s="13"/>
      <c r="I463" s="19"/>
      <c r="J463" s="13"/>
      <c r="K463" s="19"/>
      <c r="L463" s="13"/>
      <c r="M463" s="19"/>
      <c r="N463" s="13"/>
      <c r="O463" s="19"/>
      <c r="P463" s="13"/>
      <c r="Q463" s="19"/>
      <c r="R463" s="13"/>
      <c r="S463" s="557"/>
      <c r="T463" s="460"/>
      <c r="U463" s="557"/>
      <c r="V463" s="460"/>
      <c r="W463" s="557"/>
      <c r="X463" s="460"/>
    </row>
    <row r="464" spans="1:24">
      <c r="A464" s="14"/>
      <c r="B464" s="15"/>
      <c r="C464" s="16"/>
      <c r="D464" s="17"/>
      <c r="E464" s="12"/>
      <c r="F464" s="18"/>
      <c r="G464" s="19"/>
      <c r="H464" s="13"/>
      <c r="I464" s="19"/>
      <c r="J464" s="13"/>
      <c r="K464" s="19"/>
      <c r="L464" s="13"/>
      <c r="M464" s="19"/>
      <c r="N464" s="13"/>
      <c r="O464" s="19"/>
      <c r="P464" s="13"/>
      <c r="Q464" s="19"/>
      <c r="R464" s="13"/>
      <c r="S464" s="557"/>
      <c r="T464" s="460"/>
      <c r="U464" s="557"/>
      <c r="V464" s="460"/>
      <c r="W464" s="557"/>
      <c r="X464" s="460"/>
    </row>
    <row r="465" spans="1:24">
      <c r="A465" s="14"/>
      <c r="B465" s="15"/>
      <c r="C465" s="16"/>
      <c r="D465" s="17"/>
      <c r="E465" s="12"/>
      <c r="F465" s="18"/>
      <c r="G465" s="19"/>
      <c r="H465" s="13"/>
      <c r="I465" s="19"/>
      <c r="J465" s="13"/>
      <c r="K465" s="19"/>
      <c r="L465" s="13"/>
      <c r="M465" s="19"/>
      <c r="N465" s="13"/>
      <c r="O465" s="19"/>
      <c r="P465" s="13"/>
      <c r="Q465" s="19"/>
      <c r="R465" s="13"/>
      <c r="S465" s="557"/>
      <c r="T465" s="460"/>
      <c r="U465" s="557"/>
      <c r="V465" s="460"/>
      <c r="W465" s="557"/>
      <c r="X465" s="460"/>
    </row>
    <row r="466" spans="1:24">
      <c r="A466" s="14"/>
      <c r="B466" s="15"/>
      <c r="C466" s="16"/>
      <c r="D466" s="17"/>
      <c r="E466" s="12"/>
      <c r="F466" s="18"/>
      <c r="G466" s="19"/>
      <c r="H466" s="13"/>
      <c r="I466" s="19"/>
      <c r="J466" s="13"/>
      <c r="K466" s="19"/>
      <c r="L466" s="13"/>
      <c r="M466" s="19"/>
      <c r="N466" s="13"/>
      <c r="O466" s="19"/>
      <c r="P466" s="13"/>
      <c r="Q466" s="19"/>
      <c r="R466" s="13"/>
      <c r="S466" s="557"/>
      <c r="T466" s="460"/>
      <c r="U466" s="557"/>
      <c r="V466" s="460"/>
      <c r="W466" s="557"/>
      <c r="X466" s="460"/>
    </row>
    <row r="467" spans="1:24">
      <c r="A467" s="14"/>
      <c r="B467" s="15"/>
      <c r="C467" s="16"/>
      <c r="D467" s="17"/>
      <c r="E467" s="12"/>
      <c r="F467" s="18"/>
      <c r="G467" s="19"/>
      <c r="H467" s="13"/>
      <c r="I467" s="19"/>
      <c r="J467" s="13"/>
      <c r="K467" s="19"/>
      <c r="L467" s="13"/>
      <c r="M467" s="19"/>
      <c r="N467" s="13"/>
      <c r="O467" s="19"/>
      <c r="P467" s="13"/>
      <c r="Q467" s="19"/>
      <c r="R467" s="13"/>
      <c r="S467" s="557"/>
      <c r="T467" s="460"/>
      <c r="U467" s="557"/>
      <c r="V467" s="460"/>
      <c r="W467" s="557"/>
      <c r="X467" s="460"/>
    </row>
    <row r="468" spans="1:24">
      <c r="A468" s="14"/>
      <c r="B468" s="15"/>
      <c r="C468" s="16"/>
      <c r="D468" s="17"/>
      <c r="E468" s="12"/>
      <c r="F468" s="18"/>
      <c r="G468" s="19"/>
      <c r="H468" s="13"/>
      <c r="I468" s="19"/>
      <c r="J468" s="13"/>
      <c r="K468" s="19"/>
      <c r="L468" s="13"/>
      <c r="M468" s="19"/>
      <c r="N468" s="13"/>
      <c r="O468" s="19"/>
      <c r="P468" s="13"/>
      <c r="Q468" s="19"/>
      <c r="R468" s="13"/>
      <c r="S468" s="557"/>
      <c r="T468" s="460"/>
      <c r="U468" s="557"/>
      <c r="V468" s="460"/>
      <c r="W468" s="557"/>
      <c r="X468" s="460"/>
    </row>
    <row r="469" spans="1:24">
      <c r="A469" s="14"/>
      <c r="B469" s="15"/>
      <c r="C469" s="16"/>
      <c r="D469" s="17"/>
      <c r="E469" s="12"/>
      <c r="F469" s="18"/>
      <c r="G469" s="19"/>
      <c r="H469" s="13"/>
      <c r="I469" s="19"/>
      <c r="J469" s="13"/>
      <c r="K469" s="19"/>
      <c r="L469" s="13"/>
      <c r="M469" s="19"/>
      <c r="N469" s="13"/>
      <c r="O469" s="19"/>
      <c r="P469" s="13"/>
      <c r="Q469" s="19"/>
      <c r="R469" s="13"/>
      <c r="S469" s="557"/>
      <c r="T469" s="460"/>
      <c r="U469" s="557"/>
      <c r="V469" s="460"/>
      <c r="W469" s="557"/>
      <c r="X469" s="460"/>
    </row>
    <row r="470" spans="1:24">
      <c r="A470" s="14"/>
      <c r="B470" s="15"/>
      <c r="C470" s="16"/>
      <c r="D470" s="17"/>
      <c r="E470" s="12"/>
      <c r="F470" s="18"/>
      <c r="G470" s="19"/>
      <c r="H470" s="13"/>
      <c r="I470" s="19"/>
      <c r="J470" s="13"/>
      <c r="K470" s="19"/>
      <c r="L470" s="13"/>
      <c r="M470" s="19"/>
      <c r="N470" s="13"/>
      <c r="O470" s="19"/>
      <c r="P470" s="13"/>
      <c r="Q470" s="19"/>
      <c r="R470" s="13"/>
      <c r="S470" s="557"/>
      <c r="T470" s="460"/>
      <c r="U470" s="557"/>
      <c r="V470" s="460"/>
      <c r="W470" s="557"/>
      <c r="X470" s="460"/>
    </row>
    <row r="471" spans="1:24">
      <c r="A471" s="14"/>
      <c r="B471" s="15"/>
      <c r="C471" s="16"/>
      <c r="D471" s="17"/>
      <c r="E471" s="12"/>
      <c r="F471" s="18"/>
      <c r="G471" s="19"/>
      <c r="H471" s="13"/>
      <c r="I471" s="19"/>
      <c r="J471" s="13"/>
      <c r="K471" s="19"/>
      <c r="L471" s="13"/>
      <c r="M471" s="19"/>
      <c r="N471" s="13"/>
      <c r="O471" s="19"/>
      <c r="P471" s="13"/>
      <c r="Q471" s="19"/>
      <c r="R471" s="13"/>
      <c r="S471" s="557"/>
      <c r="T471" s="460"/>
      <c r="U471" s="557"/>
      <c r="V471" s="460"/>
      <c r="W471" s="557"/>
      <c r="X471" s="460"/>
    </row>
    <row r="472" spans="1:24">
      <c r="A472" s="14"/>
      <c r="B472" s="15"/>
      <c r="C472" s="16"/>
      <c r="D472" s="17"/>
      <c r="E472" s="12"/>
      <c r="F472" s="18"/>
      <c r="G472" s="19"/>
      <c r="H472" s="13"/>
      <c r="I472" s="19"/>
      <c r="J472" s="13"/>
      <c r="K472" s="19"/>
      <c r="L472" s="13"/>
      <c r="M472" s="19"/>
      <c r="N472" s="13"/>
      <c r="O472" s="19"/>
      <c r="P472" s="13"/>
      <c r="Q472" s="19"/>
      <c r="R472" s="13"/>
      <c r="S472" s="557"/>
      <c r="T472" s="460"/>
      <c r="U472" s="557"/>
      <c r="V472" s="460"/>
      <c r="W472" s="557"/>
      <c r="X472" s="460"/>
    </row>
    <row r="473" spans="1:24">
      <c r="A473" s="14"/>
      <c r="B473" s="15"/>
      <c r="C473" s="16"/>
      <c r="D473" s="17"/>
      <c r="E473" s="12"/>
      <c r="F473" s="18"/>
      <c r="G473" s="19"/>
      <c r="H473" s="13"/>
      <c r="I473" s="19"/>
      <c r="J473" s="13"/>
      <c r="K473" s="19"/>
      <c r="L473" s="13"/>
      <c r="M473" s="19"/>
      <c r="N473" s="13"/>
      <c r="O473" s="19"/>
      <c r="P473" s="13"/>
      <c r="Q473" s="19"/>
      <c r="R473" s="13"/>
      <c r="S473" s="557"/>
      <c r="T473" s="460"/>
      <c r="U473" s="557"/>
      <c r="V473" s="460"/>
      <c r="W473" s="557"/>
      <c r="X473" s="460"/>
    </row>
    <row r="474" spans="1:24">
      <c r="A474" s="14"/>
      <c r="B474" s="15"/>
      <c r="C474" s="16"/>
      <c r="D474" s="17"/>
      <c r="E474" s="12"/>
      <c r="F474" s="18"/>
      <c r="G474" s="19"/>
      <c r="H474" s="13"/>
      <c r="I474" s="19"/>
      <c r="J474" s="13"/>
      <c r="K474" s="19"/>
      <c r="L474" s="13"/>
      <c r="M474" s="19"/>
      <c r="N474" s="13"/>
      <c r="O474" s="19"/>
      <c r="P474" s="13"/>
      <c r="Q474" s="19"/>
      <c r="R474" s="13"/>
      <c r="S474" s="557"/>
      <c r="T474" s="460"/>
      <c r="U474" s="557"/>
      <c r="V474" s="460"/>
      <c r="W474" s="557"/>
      <c r="X474" s="460"/>
    </row>
    <row r="475" spans="1:24">
      <c r="A475" s="14"/>
      <c r="B475" s="15"/>
      <c r="C475" s="16"/>
      <c r="D475" s="17"/>
      <c r="E475" s="12"/>
      <c r="F475" s="18"/>
      <c r="G475" s="19"/>
      <c r="H475" s="13"/>
      <c r="I475" s="19"/>
      <c r="J475" s="13"/>
      <c r="K475" s="19"/>
      <c r="L475" s="13"/>
      <c r="M475" s="19"/>
      <c r="N475" s="13"/>
      <c r="O475" s="19"/>
      <c r="P475" s="13"/>
      <c r="Q475" s="19"/>
      <c r="R475" s="13"/>
      <c r="S475" s="557"/>
      <c r="T475" s="460"/>
      <c r="U475" s="557"/>
      <c r="V475" s="460"/>
      <c r="W475" s="557"/>
      <c r="X475" s="460"/>
    </row>
    <row r="476" spans="1:24">
      <c r="A476" s="14"/>
      <c r="B476" s="15"/>
      <c r="C476" s="16"/>
      <c r="D476" s="17"/>
      <c r="E476" s="12"/>
      <c r="F476" s="18"/>
      <c r="G476" s="19"/>
      <c r="H476" s="13"/>
      <c r="I476" s="19"/>
      <c r="J476" s="13"/>
      <c r="K476" s="19"/>
      <c r="L476" s="13"/>
      <c r="M476" s="19"/>
      <c r="N476" s="13"/>
      <c r="O476" s="19"/>
      <c r="P476" s="13"/>
      <c r="Q476" s="19"/>
      <c r="R476" s="13"/>
      <c r="S476" s="557"/>
      <c r="T476" s="460"/>
      <c r="U476" s="557"/>
      <c r="V476" s="460"/>
      <c r="W476" s="557"/>
      <c r="X476" s="460"/>
    </row>
    <row r="477" spans="1:24">
      <c r="A477" s="14"/>
      <c r="B477" s="15"/>
      <c r="C477" s="16"/>
      <c r="D477" s="17"/>
      <c r="E477" s="12"/>
      <c r="F477" s="18"/>
      <c r="G477" s="19"/>
      <c r="H477" s="13"/>
      <c r="I477" s="19"/>
      <c r="J477" s="13"/>
      <c r="K477" s="19"/>
      <c r="L477" s="13"/>
      <c r="M477" s="19"/>
      <c r="N477" s="13"/>
      <c r="O477" s="19"/>
      <c r="P477" s="13"/>
      <c r="Q477" s="19"/>
      <c r="R477" s="13"/>
      <c r="S477" s="557"/>
      <c r="T477" s="460"/>
      <c r="U477" s="557"/>
      <c r="V477" s="460"/>
      <c r="W477" s="557"/>
      <c r="X477" s="460"/>
    </row>
    <row r="478" spans="1:24">
      <c r="A478" s="14"/>
      <c r="B478" s="15"/>
      <c r="C478" s="16"/>
      <c r="D478" s="17"/>
      <c r="E478" s="12"/>
      <c r="F478" s="18"/>
      <c r="G478" s="19"/>
      <c r="H478" s="13"/>
      <c r="I478" s="19"/>
      <c r="J478" s="13"/>
      <c r="K478" s="19"/>
      <c r="L478" s="13"/>
      <c r="M478" s="19"/>
      <c r="N478" s="13"/>
      <c r="O478" s="19"/>
      <c r="P478" s="13"/>
      <c r="Q478" s="19"/>
      <c r="R478" s="13"/>
      <c r="S478" s="557"/>
      <c r="T478" s="460"/>
      <c r="U478" s="557"/>
      <c r="V478" s="460"/>
      <c r="W478" s="557"/>
      <c r="X478" s="460"/>
    </row>
    <row r="479" spans="1:24">
      <c r="A479" s="14"/>
      <c r="B479" s="15"/>
      <c r="C479" s="16"/>
      <c r="D479" s="17"/>
      <c r="E479" s="12"/>
      <c r="F479" s="18"/>
      <c r="G479" s="19"/>
      <c r="H479" s="13"/>
      <c r="I479" s="19"/>
      <c r="J479" s="13"/>
      <c r="K479" s="19"/>
      <c r="L479" s="13"/>
      <c r="M479" s="19"/>
      <c r="N479" s="13"/>
      <c r="O479" s="19"/>
      <c r="P479" s="13"/>
      <c r="Q479" s="19"/>
      <c r="R479" s="13"/>
      <c r="S479" s="557"/>
      <c r="T479" s="460"/>
      <c r="U479" s="557"/>
      <c r="V479" s="460"/>
      <c r="W479" s="557"/>
      <c r="X479" s="460"/>
    </row>
    <row r="480" spans="1:24">
      <c r="A480" s="14"/>
      <c r="B480" s="15"/>
      <c r="C480" s="16"/>
      <c r="D480" s="17"/>
      <c r="E480" s="12"/>
      <c r="F480" s="18"/>
      <c r="G480" s="19"/>
      <c r="H480" s="13"/>
      <c r="I480" s="19"/>
      <c r="J480" s="13"/>
      <c r="K480" s="19"/>
      <c r="L480" s="13"/>
      <c r="M480" s="19"/>
      <c r="N480" s="13"/>
      <c r="O480" s="19"/>
      <c r="P480" s="13"/>
      <c r="Q480" s="19"/>
      <c r="R480" s="13"/>
      <c r="S480" s="557"/>
      <c r="T480" s="460"/>
      <c r="U480" s="557"/>
      <c r="V480" s="460"/>
      <c r="W480" s="557"/>
      <c r="X480" s="460"/>
    </row>
    <row r="481" spans="1:24">
      <c r="A481" s="14"/>
      <c r="B481" s="15"/>
      <c r="C481" s="16"/>
      <c r="D481" s="17"/>
      <c r="E481" s="12"/>
      <c r="F481" s="18"/>
      <c r="G481" s="19"/>
      <c r="H481" s="13"/>
      <c r="I481" s="19"/>
      <c r="J481" s="13"/>
      <c r="K481" s="19"/>
      <c r="L481" s="13"/>
      <c r="M481" s="19"/>
      <c r="N481" s="13"/>
      <c r="O481" s="19"/>
      <c r="P481" s="13"/>
      <c r="Q481" s="19"/>
      <c r="R481" s="13"/>
      <c r="S481" s="557"/>
      <c r="T481" s="460"/>
      <c r="U481" s="557"/>
      <c r="V481" s="460"/>
      <c r="W481" s="557"/>
      <c r="X481" s="460"/>
    </row>
    <row r="482" spans="1:24">
      <c r="A482" s="14"/>
      <c r="B482" s="15"/>
      <c r="C482" s="16"/>
      <c r="D482" s="17"/>
      <c r="E482" s="12"/>
      <c r="F482" s="18"/>
      <c r="G482" s="19"/>
      <c r="H482" s="13"/>
      <c r="I482" s="19"/>
      <c r="J482" s="13"/>
      <c r="K482" s="19"/>
      <c r="L482" s="13"/>
      <c r="M482" s="19"/>
      <c r="N482" s="13"/>
      <c r="O482" s="19"/>
      <c r="P482" s="13"/>
      <c r="Q482" s="19"/>
      <c r="R482" s="13"/>
      <c r="S482" s="557"/>
      <c r="T482" s="460"/>
      <c r="U482" s="557"/>
      <c r="V482" s="460"/>
      <c r="W482" s="557"/>
      <c r="X482" s="460"/>
    </row>
    <row r="483" spans="1:24">
      <c r="A483" s="14"/>
      <c r="B483" s="15"/>
      <c r="C483" s="16"/>
      <c r="D483" s="17"/>
      <c r="E483" s="12"/>
      <c r="F483" s="18"/>
      <c r="G483" s="19"/>
      <c r="H483" s="13"/>
      <c r="I483" s="19"/>
      <c r="J483" s="13"/>
      <c r="K483" s="19"/>
      <c r="L483" s="13"/>
      <c r="M483" s="19"/>
      <c r="N483" s="13"/>
      <c r="O483" s="19"/>
      <c r="P483" s="13"/>
      <c r="Q483" s="19"/>
      <c r="R483" s="13"/>
      <c r="S483" s="557"/>
      <c r="T483" s="460"/>
      <c r="U483" s="557"/>
      <c r="V483" s="460"/>
      <c r="W483" s="557"/>
      <c r="X483" s="460"/>
    </row>
    <row r="484" spans="1:24">
      <c r="A484" s="14"/>
      <c r="B484" s="15"/>
      <c r="C484" s="16"/>
      <c r="D484" s="17"/>
      <c r="E484" s="12"/>
      <c r="F484" s="18"/>
      <c r="G484" s="19"/>
      <c r="H484" s="13"/>
      <c r="I484" s="19"/>
      <c r="J484" s="13"/>
      <c r="K484" s="19"/>
      <c r="L484" s="13"/>
      <c r="M484" s="19"/>
      <c r="N484" s="13"/>
      <c r="O484" s="19"/>
      <c r="P484" s="13"/>
      <c r="Q484" s="19"/>
      <c r="R484" s="13"/>
      <c r="S484" s="557"/>
      <c r="T484" s="460"/>
      <c r="U484" s="557"/>
      <c r="V484" s="460"/>
      <c r="W484" s="557"/>
      <c r="X484" s="460"/>
    </row>
    <row r="485" spans="1:24">
      <c r="A485" s="14"/>
      <c r="B485" s="15"/>
      <c r="C485" s="16"/>
      <c r="D485" s="17"/>
      <c r="E485" s="12"/>
      <c r="F485" s="18"/>
      <c r="G485" s="19"/>
      <c r="H485" s="13"/>
      <c r="I485" s="19"/>
      <c r="J485" s="13"/>
      <c r="K485" s="19"/>
      <c r="L485" s="13"/>
      <c r="M485" s="19"/>
      <c r="N485" s="13"/>
      <c r="O485" s="19"/>
      <c r="P485" s="13"/>
      <c r="Q485" s="19"/>
      <c r="R485" s="13"/>
      <c r="S485" s="557"/>
      <c r="T485" s="460"/>
      <c r="U485" s="557"/>
      <c r="V485" s="460"/>
      <c r="W485" s="557"/>
      <c r="X485" s="460"/>
    </row>
    <row r="486" spans="1:24">
      <c r="A486" s="14"/>
      <c r="B486" s="15"/>
      <c r="C486" s="16"/>
      <c r="D486" s="17"/>
      <c r="E486" s="12"/>
      <c r="F486" s="18"/>
      <c r="G486" s="19"/>
      <c r="H486" s="13"/>
      <c r="I486" s="19"/>
      <c r="J486" s="13"/>
      <c r="K486" s="19"/>
      <c r="L486" s="13"/>
      <c r="M486" s="19"/>
      <c r="N486" s="13"/>
      <c r="O486" s="19"/>
      <c r="P486" s="13"/>
      <c r="Q486" s="19"/>
      <c r="R486" s="13"/>
      <c r="S486" s="557"/>
      <c r="T486" s="460"/>
      <c r="U486" s="557"/>
      <c r="V486" s="460"/>
      <c r="W486" s="557"/>
      <c r="X486" s="460"/>
    </row>
    <row r="487" spans="1:24">
      <c r="A487" s="14"/>
      <c r="B487" s="15"/>
      <c r="C487" s="16"/>
      <c r="D487" s="17"/>
      <c r="E487" s="12"/>
      <c r="F487" s="18"/>
      <c r="G487" s="19"/>
      <c r="H487" s="13"/>
      <c r="I487" s="19"/>
      <c r="J487" s="13"/>
      <c r="K487" s="19"/>
      <c r="L487" s="13"/>
      <c r="M487" s="19"/>
      <c r="N487" s="13"/>
      <c r="O487" s="19"/>
      <c r="P487" s="13"/>
      <c r="Q487" s="19"/>
      <c r="R487" s="13"/>
      <c r="S487" s="557"/>
      <c r="T487" s="460"/>
      <c r="U487" s="557"/>
      <c r="V487" s="460"/>
      <c r="W487" s="557"/>
      <c r="X487" s="460"/>
    </row>
    <row r="488" spans="1:24">
      <c r="A488" s="14"/>
      <c r="B488" s="15"/>
      <c r="C488" s="16"/>
      <c r="D488" s="17"/>
      <c r="E488" s="12"/>
      <c r="F488" s="18"/>
      <c r="G488" s="19"/>
      <c r="H488" s="13"/>
      <c r="I488" s="19"/>
      <c r="J488" s="13"/>
      <c r="K488" s="19"/>
      <c r="L488" s="13"/>
      <c r="M488" s="19"/>
      <c r="N488" s="13"/>
      <c r="O488" s="19"/>
      <c r="P488" s="13"/>
      <c r="Q488" s="19"/>
      <c r="R488" s="13"/>
      <c r="S488" s="557"/>
      <c r="T488" s="460"/>
      <c r="U488" s="557"/>
      <c r="V488" s="460"/>
      <c r="W488" s="557"/>
      <c r="X488" s="460"/>
    </row>
    <row r="489" spans="1:24">
      <c r="A489" s="14"/>
      <c r="B489" s="15"/>
      <c r="C489" s="16"/>
      <c r="D489" s="17"/>
      <c r="E489" s="12"/>
      <c r="F489" s="18"/>
      <c r="G489" s="19"/>
      <c r="H489" s="13"/>
      <c r="I489" s="19"/>
      <c r="J489" s="13"/>
      <c r="K489" s="19"/>
      <c r="L489" s="13"/>
      <c r="M489" s="19"/>
      <c r="N489" s="13"/>
      <c r="O489" s="19"/>
      <c r="P489" s="13"/>
      <c r="Q489" s="19"/>
      <c r="R489" s="13"/>
      <c r="S489" s="557"/>
      <c r="T489" s="460"/>
      <c r="U489" s="557"/>
      <c r="V489" s="460"/>
      <c r="W489" s="557"/>
      <c r="X489" s="460"/>
    </row>
    <row r="490" spans="1:24">
      <c r="A490" s="14"/>
      <c r="B490" s="15"/>
      <c r="C490" s="16"/>
      <c r="D490" s="20"/>
      <c r="E490" s="12"/>
      <c r="F490" s="18"/>
      <c r="G490" s="19"/>
      <c r="H490" s="13"/>
      <c r="I490" s="19"/>
      <c r="J490" s="13"/>
      <c r="K490" s="19"/>
      <c r="L490" s="13"/>
      <c r="M490" s="19"/>
      <c r="N490" s="13"/>
      <c r="O490" s="19"/>
      <c r="P490" s="13"/>
      <c r="Q490" s="19"/>
      <c r="R490" s="13"/>
      <c r="S490" s="557"/>
      <c r="T490" s="460"/>
      <c r="U490" s="557"/>
      <c r="V490" s="460"/>
      <c r="W490" s="557"/>
      <c r="X490" s="460"/>
    </row>
    <row r="491" spans="1:24">
      <c r="A491" s="14"/>
      <c r="B491" s="15"/>
      <c r="C491" s="16"/>
      <c r="D491" s="20"/>
      <c r="E491" s="12"/>
      <c r="F491" s="18"/>
      <c r="G491" s="19"/>
      <c r="H491" s="13"/>
      <c r="I491" s="19"/>
      <c r="J491" s="13"/>
      <c r="K491" s="19"/>
      <c r="L491" s="13"/>
      <c r="M491" s="19"/>
      <c r="N491" s="13"/>
      <c r="O491" s="19"/>
      <c r="P491" s="13"/>
      <c r="Q491" s="19"/>
      <c r="R491" s="13"/>
      <c r="S491" s="557"/>
      <c r="T491" s="460"/>
      <c r="U491" s="557"/>
      <c r="V491" s="460"/>
      <c r="W491" s="557"/>
      <c r="X491" s="460"/>
    </row>
    <row r="492" spans="1:24" ht="13.5" thickBot="1">
      <c r="A492" s="21"/>
      <c r="B492" s="22"/>
      <c r="C492" s="23"/>
      <c r="D492" s="24"/>
      <c r="E492" s="37"/>
      <c r="F492" s="25"/>
      <c r="G492" s="26"/>
      <c r="H492" s="27"/>
      <c r="I492" s="26"/>
      <c r="J492" s="27"/>
      <c r="K492" s="26"/>
      <c r="L492" s="27"/>
      <c r="M492" s="26"/>
      <c r="N492" s="27"/>
      <c r="O492" s="26"/>
      <c r="P492" s="27"/>
      <c r="Q492" s="26"/>
      <c r="R492" s="27"/>
      <c r="S492" s="557"/>
      <c r="T492" s="460"/>
      <c r="U492" s="557"/>
      <c r="V492" s="460"/>
      <c r="W492" s="557"/>
      <c r="X492" s="460"/>
    </row>
    <row r="493" spans="1:24">
      <c r="S493" s="557"/>
      <c r="T493" s="460"/>
      <c r="U493" s="557"/>
      <c r="V493" s="460"/>
      <c r="W493" s="557"/>
      <c r="X493" s="460"/>
    </row>
    <row r="494" spans="1:24">
      <c r="S494" s="557"/>
      <c r="T494" s="460"/>
      <c r="U494" s="557"/>
      <c r="V494" s="460"/>
      <c r="W494" s="557"/>
      <c r="X494" s="460"/>
    </row>
    <row r="495" spans="1:24">
      <c r="S495" s="557"/>
      <c r="T495" s="460"/>
      <c r="U495" s="557"/>
      <c r="V495" s="460"/>
      <c r="W495" s="557"/>
      <c r="X495" s="460"/>
    </row>
    <row r="496" spans="1:24">
      <c r="S496" s="557"/>
      <c r="T496" s="460"/>
      <c r="U496" s="557"/>
      <c r="V496" s="460"/>
      <c r="W496" s="557"/>
      <c r="X496" s="460"/>
    </row>
    <row r="497" spans="19:24">
      <c r="S497" s="557"/>
      <c r="T497" s="460"/>
      <c r="U497" s="557"/>
      <c r="V497" s="460"/>
      <c r="W497" s="557"/>
      <c r="X497" s="460"/>
    </row>
    <row r="498" spans="19:24" ht="13.5" thickBot="1">
      <c r="S498" s="558"/>
      <c r="T498" s="559"/>
      <c r="U498" s="558"/>
      <c r="V498" s="559"/>
      <c r="W498" s="558"/>
      <c r="X498" s="559"/>
    </row>
  </sheetData>
  <sheetProtection sheet="1" objects="1" scenarios="1" formatCells="0" formatColumns="0" formatRows="0" insertColumns="0" insertRows="0" insertHyperlinks="0" deleteColumns="0" deleteRows="0" sort="0" autoFilter="0" pivotTables="0"/>
  <dataConsolidate/>
  <mergeCells count="10">
    <mergeCell ref="G1:H1"/>
    <mergeCell ref="E3:F3"/>
    <mergeCell ref="I1:J1"/>
    <mergeCell ref="K1:L1"/>
    <mergeCell ref="M1:N1"/>
    <mergeCell ref="S1:T1"/>
    <mergeCell ref="U1:V1"/>
    <mergeCell ref="W1:X1"/>
    <mergeCell ref="O1:P1"/>
    <mergeCell ref="Q1:R1"/>
  </mergeCells>
  <phoneticPr fontId="14" type="noConversion"/>
  <conditionalFormatting sqref="A1">
    <cfRule type="cellIs" dxfId="10327" priority="15" stopIfTrue="1" operator="equal">
      <formula>"NOK"</formula>
    </cfRule>
  </conditionalFormatting>
  <conditionalFormatting sqref="U5:U498 S5:S498 O5:O492 M5:M492 K5:K492 I5:I492 G5:G492 Q5:Q492 W5:W498">
    <cfRule type="cellIs" dxfId="10326" priority="14" stopIfTrue="1" operator="notEqual">
      <formula>H5</formula>
    </cfRule>
  </conditionalFormatting>
  <dataValidations count="1">
    <dataValidation type="list" allowBlank="1" showInputMessage="1" showErrorMessage="1" sqref="S1 W1 U1">
      <formula1>AirCoolerV2VariablesList</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sheetPr codeName="Sheet54">
    <tabColor rgb="FF92D050"/>
  </sheetPr>
  <dimension ref="A1:R589"/>
  <sheetViews>
    <sheetView showGridLines="0" tabSelected="1" zoomScale="80" zoomScaleNormal="80" workbookViewId="0">
      <pane xSplit="6" ySplit="4" topLeftCell="G5" activePane="bottomRight" state="frozenSplit"/>
      <selection activeCell="I6" sqref="I6"/>
      <selection pane="topRight" activeCell="I6" sqref="I6"/>
      <selection pane="bottomLeft" activeCell="I6" sqref="I6"/>
      <selection pane="bottomRight" activeCell="F1" sqref="F1"/>
    </sheetView>
  </sheetViews>
  <sheetFormatPr defaultRowHeight="12.75"/>
  <cols>
    <col min="1" max="1" width="6" style="28" customWidth="1"/>
    <col min="2" max="2" width="16" style="28" customWidth="1"/>
    <col min="3" max="3" width="12.625" style="29" customWidth="1"/>
    <col min="4" max="5" width="16.625" style="28" customWidth="1"/>
    <col min="6" max="6" width="16.625" style="30" customWidth="1"/>
    <col min="7" max="7" width="9.75" style="31" customWidth="1"/>
    <col min="8" max="8" width="9.75" style="32" customWidth="1"/>
    <col min="9" max="9" width="9.75" style="31" customWidth="1"/>
    <col min="10" max="10" width="9.75" style="32" customWidth="1"/>
    <col min="11" max="11" width="9.75" style="31" customWidth="1"/>
    <col min="12" max="12" width="9.75" style="32" customWidth="1"/>
    <col min="13" max="13" width="9.75" style="31" customWidth="1"/>
    <col min="14" max="14" width="9.75" style="32" customWidth="1"/>
    <col min="15" max="15" width="9.75" style="573" customWidth="1"/>
    <col min="16" max="16" width="9.75" style="574" customWidth="1"/>
    <col min="17" max="17" width="1.25" style="6" customWidth="1"/>
    <col min="18" max="18" width="21.375" style="6" customWidth="1"/>
    <col min="19" max="264" width="9" style="6"/>
    <col min="265" max="265" width="12" style="6" customWidth="1"/>
    <col min="266" max="266" width="7.125" style="6" customWidth="1"/>
    <col min="267" max="267" width="9" style="6"/>
    <col min="268" max="268" width="16" style="6" customWidth="1"/>
    <col min="269" max="269" width="13.75" style="6" customWidth="1"/>
    <col min="270" max="271" width="9.75" style="6" customWidth="1"/>
    <col min="272" max="520" width="9" style="6"/>
    <col min="521" max="521" width="12" style="6" customWidth="1"/>
    <col min="522" max="522" width="7.125" style="6" customWidth="1"/>
    <col min="523" max="523" width="9" style="6"/>
    <col min="524" max="524" width="16" style="6" customWidth="1"/>
    <col min="525" max="525" width="13.75" style="6" customWidth="1"/>
    <col min="526" max="527" width="9.75" style="6" customWidth="1"/>
    <col min="528" max="776" width="9" style="6"/>
    <col min="777" max="777" width="12" style="6" customWidth="1"/>
    <col min="778" max="778" width="7.125" style="6" customWidth="1"/>
    <col min="779" max="779" width="9" style="6"/>
    <col min="780" max="780" width="16" style="6" customWidth="1"/>
    <col min="781" max="781" width="13.75" style="6" customWidth="1"/>
    <col min="782" max="783" width="9.75" style="6" customWidth="1"/>
    <col min="784" max="1032" width="9" style="6"/>
    <col min="1033" max="1033" width="12" style="6" customWidth="1"/>
    <col min="1034" max="1034" width="7.125" style="6" customWidth="1"/>
    <col min="1035" max="1035" width="9" style="6"/>
    <col min="1036" max="1036" width="16" style="6" customWidth="1"/>
    <col min="1037" max="1037" width="13.75" style="6" customWidth="1"/>
    <col min="1038" max="1039" width="9.75" style="6" customWidth="1"/>
    <col min="1040" max="1288" width="9" style="6"/>
    <col min="1289" max="1289" width="12" style="6" customWidth="1"/>
    <col min="1290" max="1290" width="7.125" style="6" customWidth="1"/>
    <col min="1291" max="1291" width="9" style="6"/>
    <col min="1292" max="1292" width="16" style="6" customWidth="1"/>
    <col min="1293" max="1293" width="13.75" style="6" customWidth="1"/>
    <col min="1294" max="1295" width="9.75" style="6" customWidth="1"/>
    <col min="1296" max="1544" width="9" style="6"/>
    <col min="1545" max="1545" width="12" style="6" customWidth="1"/>
    <col min="1546" max="1546" width="7.125" style="6" customWidth="1"/>
    <col min="1547" max="1547" width="9" style="6"/>
    <col min="1548" max="1548" width="16" style="6" customWidth="1"/>
    <col min="1549" max="1549" width="13.75" style="6" customWidth="1"/>
    <col min="1550" max="1551" width="9.75" style="6" customWidth="1"/>
    <col min="1552" max="1800" width="9" style="6"/>
    <col min="1801" max="1801" width="12" style="6" customWidth="1"/>
    <col min="1802" max="1802" width="7.125" style="6" customWidth="1"/>
    <col min="1803" max="1803" width="9" style="6"/>
    <col min="1804" max="1804" width="16" style="6" customWidth="1"/>
    <col min="1805" max="1805" width="13.75" style="6" customWidth="1"/>
    <col min="1806" max="1807" width="9.75" style="6" customWidth="1"/>
    <col min="1808" max="2056" width="9" style="6"/>
    <col min="2057" max="2057" width="12" style="6" customWidth="1"/>
    <col min="2058" max="2058" width="7.125" style="6" customWidth="1"/>
    <col min="2059" max="2059" width="9" style="6"/>
    <col min="2060" max="2060" width="16" style="6" customWidth="1"/>
    <col min="2061" max="2061" width="13.75" style="6" customWidth="1"/>
    <col min="2062" max="2063" width="9.75" style="6" customWidth="1"/>
    <col min="2064" max="2312" width="9" style="6"/>
    <col min="2313" max="2313" width="12" style="6" customWidth="1"/>
    <col min="2314" max="2314" width="7.125" style="6" customWidth="1"/>
    <col min="2315" max="2315" width="9" style="6"/>
    <col min="2316" max="2316" width="16" style="6" customWidth="1"/>
    <col min="2317" max="2317" width="13.75" style="6" customWidth="1"/>
    <col min="2318" max="2319" width="9.75" style="6" customWidth="1"/>
    <col min="2320" max="2568" width="9" style="6"/>
    <col min="2569" max="2569" width="12" style="6" customWidth="1"/>
    <col min="2570" max="2570" width="7.125" style="6" customWidth="1"/>
    <col min="2571" max="2571" width="9" style="6"/>
    <col min="2572" max="2572" width="16" style="6" customWidth="1"/>
    <col min="2573" max="2573" width="13.75" style="6" customWidth="1"/>
    <col min="2574" max="2575" width="9.75" style="6" customWidth="1"/>
    <col min="2576" max="2824" width="9" style="6"/>
    <col min="2825" max="2825" width="12" style="6" customWidth="1"/>
    <col min="2826" max="2826" width="7.125" style="6" customWidth="1"/>
    <col min="2827" max="2827" width="9" style="6"/>
    <col min="2828" max="2828" width="16" style="6" customWidth="1"/>
    <col min="2829" max="2829" width="13.75" style="6" customWidth="1"/>
    <col min="2830" max="2831" width="9.75" style="6" customWidth="1"/>
    <col min="2832" max="3080" width="9" style="6"/>
    <col min="3081" max="3081" width="12" style="6" customWidth="1"/>
    <col min="3082" max="3082" width="7.125" style="6" customWidth="1"/>
    <col min="3083" max="3083" width="9" style="6"/>
    <col min="3084" max="3084" width="16" style="6" customWidth="1"/>
    <col min="3085" max="3085" width="13.75" style="6" customWidth="1"/>
    <col min="3086" max="3087" width="9.75" style="6" customWidth="1"/>
    <col min="3088" max="3336" width="9" style="6"/>
    <col min="3337" max="3337" width="12" style="6" customWidth="1"/>
    <col min="3338" max="3338" width="7.125" style="6" customWidth="1"/>
    <col min="3339" max="3339" width="9" style="6"/>
    <col min="3340" max="3340" width="16" style="6" customWidth="1"/>
    <col min="3341" max="3341" width="13.75" style="6" customWidth="1"/>
    <col min="3342" max="3343" width="9.75" style="6" customWidth="1"/>
    <col min="3344" max="3592" width="9" style="6"/>
    <col min="3593" max="3593" width="12" style="6" customWidth="1"/>
    <col min="3594" max="3594" width="7.125" style="6" customWidth="1"/>
    <col min="3595" max="3595" width="9" style="6"/>
    <col min="3596" max="3596" width="16" style="6" customWidth="1"/>
    <col min="3597" max="3597" width="13.75" style="6" customWidth="1"/>
    <col min="3598" max="3599" width="9.75" style="6" customWidth="1"/>
    <col min="3600" max="3848" width="9" style="6"/>
    <col min="3849" max="3849" width="12" style="6" customWidth="1"/>
    <col min="3850" max="3850" width="7.125" style="6" customWidth="1"/>
    <col min="3851" max="3851" width="9" style="6"/>
    <col min="3852" max="3852" width="16" style="6" customWidth="1"/>
    <col min="3853" max="3853" width="13.75" style="6" customWidth="1"/>
    <col min="3854" max="3855" width="9.75" style="6" customWidth="1"/>
    <col min="3856" max="4104" width="9" style="6"/>
    <col min="4105" max="4105" width="12" style="6" customWidth="1"/>
    <col min="4106" max="4106" width="7.125" style="6" customWidth="1"/>
    <col min="4107" max="4107" width="9" style="6"/>
    <col min="4108" max="4108" width="16" style="6" customWidth="1"/>
    <col min="4109" max="4109" width="13.75" style="6" customWidth="1"/>
    <col min="4110" max="4111" width="9.75" style="6" customWidth="1"/>
    <col min="4112" max="4360" width="9" style="6"/>
    <col min="4361" max="4361" width="12" style="6" customWidth="1"/>
    <col min="4362" max="4362" width="7.125" style="6" customWidth="1"/>
    <col min="4363" max="4363" width="9" style="6"/>
    <col min="4364" max="4364" width="16" style="6" customWidth="1"/>
    <col min="4365" max="4365" width="13.75" style="6" customWidth="1"/>
    <col min="4366" max="4367" width="9.75" style="6" customWidth="1"/>
    <col min="4368" max="4616" width="9" style="6"/>
    <col min="4617" max="4617" width="12" style="6" customWidth="1"/>
    <col min="4618" max="4618" width="7.125" style="6" customWidth="1"/>
    <col min="4619" max="4619" width="9" style="6"/>
    <col min="4620" max="4620" width="16" style="6" customWidth="1"/>
    <col min="4621" max="4621" width="13.75" style="6" customWidth="1"/>
    <col min="4622" max="4623" width="9.75" style="6" customWidth="1"/>
    <col min="4624" max="4872" width="9" style="6"/>
    <col min="4873" max="4873" width="12" style="6" customWidth="1"/>
    <col min="4874" max="4874" width="7.125" style="6" customWidth="1"/>
    <col min="4875" max="4875" width="9" style="6"/>
    <col min="4876" max="4876" width="16" style="6" customWidth="1"/>
    <col min="4877" max="4877" width="13.75" style="6" customWidth="1"/>
    <col min="4878" max="4879" width="9.75" style="6" customWidth="1"/>
    <col min="4880" max="5128" width="9" style="6"/>
    <col min="5129" max="5129" width="12" style="6" customWidth="1"/>
    <col min="5130" max="5130" width="7.125" style="6" customWidth="1"/>
    <col min="5131" max="5131" width="9" style="6"/>
    <col min="5132" max="5132" width="16" style="6" customWidth="1"/>
    <col min="5133" max="5133" width="13.75" style="6" customWidth="1"/>
    <col min="5134" max="5135" width="9.75" style="6" customWidth="1"/>
    <col min="5136" max="5384" width="9" style="6"/>
    <col min="5385" max="5385" width="12" style="6" customWidth="1"/>
    <col min="5386" max="5386" width="7.125" style="6" customWidth="1"/>
    <col min="5387" max="5387" width="9" style="6"/>
    <col min="5388" max="5388" width="16" style="6" customWidth="1"/>
    <col min="5389" max="5389" width="13.75" style="6" customWidth="1"/>
    <col min="5390" max="5391" width="9.75" style="6" customWidth="1"/>
    <col min="5392" max="5640" width="9" style="6"/>
    <col min="5641" max="5641" width="12" style="6" customWidth="1"/>
    <col min="5642" max="5642" width="7.125" style="6" customWidth="1"/>
    <col min="5643" max="5643" width="9" style="6"/>
    <col min="5644" max="5644" width="16" style="6" customWidth="1"/>
    <col min="5645" max="5645" width="13.75" style="6" customWidth="1"/>
    <col min="5646" max="5647" width="9.75" style="6" customWidth="1"/>
    <col min="5648" max="5896" width="9" style="6"/>
    <col min="5897" max="5897" width="12" style="6" customWidth="1"/>
    <col min="5898" max="5898" width="7.125" style="6" customWidth="1"/>
    <col min="5899" max="5899" width="9" style="6"/>
    <col min="5900" max="5900" width="16" style="6" customWidth="1"/>
    <col min="5901" max="5901" width="13.75" style="6" customWidth="1"/>
    <col min="5902" max="5903" width="9.75" style="6" customWidth="1"/>
    <col min="5904" max="6152" width="9" style="6"/>
    <col min="6153" max="6153" width="12" style="6" customWidth="1"/>
    <col min="6154" max="6154" width="7.125" style="6" customWidth="1"/>
    <col min="6155" max="6155" width="9" style="6"/>
    <col min="6156" max="6156" width="16" style="6" customWidth="1"/>
    <col min="6157" max="6157" width="13.75" style="6" customWidth="1"/>
    <col min="6158" max="6159" width="9.75" style="6" customWidth="1"/>
    <col min="6160" max="6408" width="9" style="6"/>
    <col min="6409" max="6409" width="12" style="6" customWidth="1"/>
    <col min="6410" max="6410" width="7.125" style="6" customWidth="1"/>
    <col min="6411" max="6411" width="9" style="6"/>
    <col min="6412" max="6412" width="16" style="6" customWidth="1"/>
    <col min="6413" max="6413" width="13.75" style="6" customWidth="1"/>
    <col min="6414" max="6415" width="9.75" style="6" customWidth="1"/>
    <col min="6416" max="6664" width="9" style="6"/>
    <col min="6665" max="6665" width="12" style="6" customWidth="1"/>
    <col min="6666" max="6666" width="7.125" style="6" customWidth="1"/>
    <col min="6667" max="6667" width="9" style="6"/>
    <col min="6668" max="6668" width="16" style="6" customWidth="1"/>
    <col min="6669" max="6669" width="13.75" style="6" customWidth="1"/>
    <col min="6670" max="6671" width="9.75" style="6" customWidth="1"/>
    <col min="6672" max="6920" width="9" style="6"/>
    <col min="6921" max="6921" width="12" style="6" customWidth="1"/>
    <col min="6922" max="6922" width="7.125" style="6" customWidth="1"/>
    <col min="6923" max="6923" width="9" style="6"/>
    <col min="6924" max="6924" width="16" style="6" customWidth="1"/>
    <col min="6925" max="6925" width="13.75" style="6" customWidth="1"/>
    <col min="6926" max="6927" width="9.75" style="6" customWidth="1"/>
    <col min="6928" max="7176" width="9" style="6"/>
    <col min="7177" max="7177" width="12" style="6" customWidth="1"/>
    <col min="7178" max="7178" width="7.125" style="6" customWidth="1"/>
    <col min="7179" max="7179" width="9" style="6"/>
    <col min="7180" max="7180" width="16" style="6" customWidth="1"/>
    <col min="7181" max="7181" width="13.75" style="6" customWidth="1"/>
    <col min="7182" max="7183" width="9.75" style="6" customWidth="1"/>
    <col min="7184" max="7432" width="9" style="6"/>
    <col min="7433" max="7433" width="12" style="6" customWidth="1"/>
    <col min="7434" max="7434" width="7.125" style="6" customWidth="1"/>
    <col min="7435" max="7435" width="9" style="6"/>
    <col min="7436" max="7436" width="16" style="6" customWidth="1"/>
    <col min="7437" max="7437" width="13.75" style="6" customWidth="1"/>
    <col min="7438" max="7439" width="9.75" style="6" customWidth="1"/>
    <col min="7440" max="7688" width="9" style="6"/>
    <col min="7689" max="7689" width="12" style="6" customWidth="1"/>
    <col min="7690" max="7690" width="7.125" style="6" customWidth="1"/>
    <col min="7691" max="7691" width="9" style="6"/>
    <col min="7692" max="7692" width="16" style="6" customWidth="1"/>
    <col min="7693" max="7693" width="13.75" style="6" customWidth="1"/>
    <col min="7694" max="7695" width="9.75" style="6" customWidth="1"/>
    <col min="7696" max="7944" width="9" style="6"/>
    <col min="7945" max="7945" width="12" style="6" customWidth="1"/>
    <col min="7946" max="7946" width="7.125" style="6" customWidth="1"/>
    <col min="7947" max="7947" width="9" style="6"/>
    <col min="7948" max="7948" width="16" style="6" customWidth="1"/>
    <col min="7949" max="7949" width="13.75" style="6" customWidth="1"/>
    <col min="7950" max="7951" width="9.75" style="6" customWidth="1"/>
    <col min="7952" max="8200" width="9" style="6"/>
    <col min="8201" max="8201" width="12" style="6" customWidth="1"/>
    <col min="8202" max="8202" width="7.125" style="6" customWidth="1"/>
    <col min="8203" max="8203" width="9" style="6"/>
    <col min="8204" max="8204" width="16" style="6" customWidth="1"/>
    <col min="8205" max="8205" width="13.75" style="6" customWidth="1"/>
    <col min="8206" max="8207" width="9.75" style="6" customWidth="1"/>
    <col min="8208" max="8456" width="9" style="6"/>
    <col min="8457" max="8457" width="12" style="6" customWidth="1"/>
    <col min="8458" max="8458" width="7.125" style="6" customWidth="1"/>
    <col min="8459" max="8459" width="9" style="6"/>
    <col min="8460" max="8460" width="16" style="6" customWidth="1"/>
    <col min="8461" max="8461" width="13.75" style="6" customWidth="1"/>
    <col min="8462" max="8463" width="9.75" style="6" customWidth="1"/>
    <col min="8464" max="8712" width="9" style="6"/>
    <col min="8713" max="8713" width="12" style="6" customWidth="1"/>
    <col min="8714" max="8714" width="7.125" style="6" customWidth="1"/>
    <col min="8715" max="8715" width="9" style="6"/>
    <col min="8716" max="8716" width="16" style="6" customWidth="1"/>
    <col min="8717" max="8717" width="13.75" style="6" customWidth="1"/>
    <col min="8718" max="8719" width="9.75" style="6" customWidth="1"/>
    <col min="8720" max="8968" width="9" style="6"/>
    <col min="8969" max="8969" width="12" style="6" customWidth="1"/>
    <col min="8970" max="8970" width="7.125" style="6" customWidth="1"/>
    <col min="8971" max="8971" width="9" style="6"/>
    <col min="8972" max="8972" width="16" style="6" customWidth="1"/>
    <col min="8973" max="8973" width="13.75" style="6" customWidth="1"/>
    <col min="8974" max="8975" width="9.75" style="6" customWidth="1"/>
    <col min="8976" max="9224" width="9" style="6"/>
    <col min="9225" max="9225" width="12" style="6" customWidth="1"/>
    <col min="9226" max="9226" width="7.125" style="6" customWidth="1"/>
    <col min="9227" max="9227" width="9" style="6"/>
    <col min="9228" max="9228" width="16" style="6" customWidth="1"/>
    <col min="9229" max="9229" width="13.75" style="6" customWidth="1"/>
    <col min="9230" max="9231" width="9.75" style="6" customWidth="1"/>
    <col min="9232" max="9480" width="9" style="6"/>
    <col min="9481" max="9481" width="12" style="6" customWidth="1"/>
    <col min="9482" max="9482" width="7.125" style="6" customWidth="1"/>
    <col min="9483" max="9483" width="9" style="6"/>
    <col min="9484" max="9484" width="16" style="6" customWidth="1"/>
    <col min="9485" max="9485" width="13.75" style="6" customWidth="1"/>
    <col min="9486" max="9487" width="9.75" style="6" customWidth="1"/>
    <col min="9488" max="9736" width="9" style="6"/>
    <col min="9737" max="9737" width="12" style="6" customWidth="1"/>
    <col min="9738" max="9738" width="7.125" style="6" customWidth="1"/>
    <col min="9739" max="9739" width="9" style="6"/>
    <col min="9740" max="9740" width="16" style="6" customWidth="1"/>
    <col min="9741" max="9741" width="13.75" style="6" customWidth="1"/>
    <col min="9742" max="9743" width="9.75" style="6" customWidth="1"/>
    <col min="9744" max="9992" width="9" style="6"/>
    <col min="9993" max="9993" width="12" style="6" customWidth="1"/>
    <col min="9994" max="9994" width="7.125" style="6" customWidth="1"/>
    <col min="9995" max="9995" width="9" style="6"/>
    <col min="9996" max="9996" width="16" style="6" customWidth="1"/>
    <col min="9997" max="9997" width="13.75" style="6" customWidth="1"/>
    <col min="9998" max="9999" width="9.75" style="6" customWidth="1"/>
    <col min="10000" max="10248" width="9" style="6"/>
    <col min="10249" max="10249" width="12" style="6" customWidth="1"/>
    <col min="10250" max="10250" width="7.125" style="6" customWidth="1"/>
    <col min="10251" max="10251" width="9" style="6"/>
    <col min="10252" max="10252" width="16" style="6" customWidth="1"/>
    <col min="10253" max="10253" width="13.75" style="6" customWidth="1"/>
    <col min="10254" max="10255" width="9.75" style="6" customWidth="1"/>
    <col min="10256" max="10504" width="9" style="6"/>
    <col min="10505" max="10505" width="12" style="6" customWidth="1"/>
    <col min="10506" max="10506" width="7.125" style="6" customWidth="1"/>
    <col min="10507" max="10507" width="9" style="6"/>
    <col min="10508" max="10508" width="16" style="6" customWidth="1"/>
    <col min="10509" max="10509" width="13.75" style="6" customWidth="1"/>
    <col min="10510" max="10511" width="9.75" style="6" customWidth="1"/>
    <col min="10512" max="10760" width="9" style="6"/>
    <col min="10761" max="10761" width="12" style="6" customWidth="1"/>
    <col min="10762" max="10762" width="7.125" style="6" customWidth="1"/>
    <col min="10763" max="10763" width="9" style="6"/>
    <col min="10764" max="10764" width="16" style="6" customWidth="1"/>
    <col min="10765" max="10765" width="13.75" style="6" customWidth="1"/>
    <col min="10766" max="10767" width="9.75" style="6" customWidth="1"/>
    <col min="10768" max="11016" width="9" style="6"/>
    <col min="11017" max="11017" width="12" style="6" customWidth="1"/>
    <col min="11018" max="11018" width="7.125" style="6" customWidth="1"/>
    <col min="11019" max="11019" width="9" style="6"/>
    <col min="11020" max="11020" width="16" style="6" customWidth="1"/>
    <col min="11021" max="11021" width="13.75" style="6" customWidth="1"/>
    <col min="11022" max="11023" width="9.75" style="6" customWidth="1"/>
    <col min="11024" max="11272" width="9" style="6"/>
    <col min="11273" max="11273" width="12" style="6" customWidth="1"/>
    <col min="11274" max="11274" width="7.125" style="6" customWidth="1"/>
    <col min="11275" max="11275" width="9" style="6"/>
    <col min="11276" max="11276" width="16" style="6" customWidth="1"/>
    <col min="11277" max="11277" width="13.75" style="6" customWidth="1"/>
    <col min="11278" max="11279" width="9.75" style="6" customWidth="1"/>
    <col min="11280" max="11528" width="9" style="6"/>
    <col min="11529" max="11529" width="12" style="6" customWidth="1"/>
    <col min="11530" max="11530" width="7.125" style="6" customWidth="1"/>
    <col min="11531" max="11531" width="9" style="6"/>
    <col min="11532" max="11532" width="16" style="6" customWidth="1"/>
    <col min="11533" max="11533" width="13.75" style="6" customWidth="1"/>
    <col min="11534" max="11535" width="9.75" style="6" customWidth="1"/>
    <col min="11536" max="11784" width="9" style="6"/>
    <col min="11785" max="11785" width="12" style="6" customWidth="1"/>
    <col min="11786" max="11786" width="7.125" style="6" customWidth="1"/>
    <col min="11787" max="11787" width="9" style="6"/>
    <col min="11788" max="11788" width="16" style="6" customWidth="1"/>
    <col min="11789" max="11789" width="13.75" style="6" customWidth="1"/>
    <col min="11790" max="11791" width="9.75" style="6" customWidth="1"/>
    <col min="11792" max="12040" width="9" style="6"/>
    <col min="12041" max="12041" width="12" style="6" customWidth="1"/>
    <col min="12042" max="12042" width="7.125" style="6" customWidth="1"/>
    <col min="12043" max="12043" width="9" style="6"/>
    <col min="12044" max="12044" width="16" style="6" customWidth="1"/>
    <col min="12045" max="12045" width="13.75" style="6" customWidth="1"/>
    <col min="12046" max="12047" width="9.75" style="6" customWidth="1"/>
    <col min="12048" max="12296" width="9" style="6"/>
    <col min="12297" max="12297" width="12" style="6" customWidth="1"/>
    <col min="12298" max="12298" width="7.125" style="6" customWidth="1"/>
    <col min="12299" max="12299" width="9" style="6"/>
    <col min="12300" max="12300" width="16" style="6" customWidth="1"/>
    <col min="12301" max="12301" width="13.75" style="6" customWidth="1"/>
    <col min="12302" max="12303" width="9.75" style="6" customWidth="1"/>
    <col min="12304" max="12552" width="9" style="6"/>
    <col min="12553" max="12553" width="12" style="6" customWidth="1"/>
    <col min="12554" max="12554" width="7.125" style="6" customWidth="1"/>
    <col min="12555" max="12555" width="9" style="6"/>
    <col min="12556" max="12556" width="16" style="6" customWidth="1"/>
    <col min="12557" max="12557" width="13.75" style="6" customWidth="1"/>
    <col min="12558" max="12559" width="9.75" style="6" customWidth="1"/>
    <col min="12560" max="12808" width="9" style="6"/>
    <col min="12809" max="12809" width="12" style="6" customWidth="1"/>
    <col min="12810" max="12810" width="7.125" style="6" customWidth="1"/>
    <col min="12811" max="12811" width="9" style="6"/>
    <col min="12812" max="12812" width="16" style="6" customWidth="1"/>
    <col min="12813" max="12813" width="13.75" style="6" customWidth="1"/>
    <col min="12814" max="12815" width="9.75" style="6" customWidth="1"/>
    <col min="12816" max="13064" width="9" style="6"/>
    <col min="13065" max="13065" width="12" style="6" customWidth="1"/>
    <col min="13066" max="13066" width="7.125" style="6" customWidth="1"/>
    <col min="13067" max="13067" width="9" style="6"/>
    <col min="13068" max="13068" width="16" style="6" customWidth="1"/>
    <col min="13069" max="13069" width="13.75" style="6" customWidth="1"/>
    <col min="13070" max="13071" width="9.75" style="6" customWidth="1"/>
    <col min="13072" max="13320" width="9" style="6"/>
    <col min="13321" max="13321" width="12" style="6" customWidth="1"/>
    <col min="13322" max="13322" width="7.125" style="6" customWidth="1"/>
    <col min="13323" max="13323" width="9" style="6"/>
    <col min="13324" max="13324" width="16" style="6" customWidth="1"/>
    <col min="13325" max="13325" width="13.75" style="6" customWidth="1"/>
    <col min="13326" max="13327" width="9.75" style="6" customWidth="1"/>
    <col min="13328" max="13576" width="9" style="6"/>
    <col min="13577" max="13577" width="12" style="6" customWidth="1"/>
    <col min="13578" max="13578" width="7.125" style="6" customWidth="1"/>
    <col min="13579" max="13579" width="9" style="6"/>
    <col min="13580" max="13580" width="16" style="6" customWidth="1"/>
    <col min="13581" max="13581" width="13.75" style="6" customWidth="1"/>
    <col min="13582" max="13583" width="9.75" style="6" customWidth="1"/>
    <col min="13584" max="13832" width="9" style="6"/>
    <col min="13833" max="13833" width="12" style="6" customWidth="1"/>
    <col min="13834" max="13834" width="7.125" style="6" customWidth="1"/>
    <col min="13835" max="13835" width="9" style="6"/>
    <col min="13836" max="13836" width="16" style="6" customWidth="1"/>
    <col min="13837" max="13837" width="13.75" style="6" customWidth="1"/>
    <col min="13838" max="13839" width="9.75" style="6" customWidth="1"/>
    <col min="13840" max="14088" width="9" style="6"/>
    <col min="14089" max="14089" width="12" style="6" customWidth="1"/>
    <col min="14090" max="14090" width="7.125" style="6" customWidth="1"/>
    <col min="14091" max="14091" width="9" style="6"/>
    <col min="14092" max="14092" width="16" style="6" customWidth="1"/>
    <col min="14093" max="14093" width="13.75" style="6" customWidth="1"/>
    <col min="14094" max="14095" width="9.75" style="6" customWidth="1"/>
    <col min="14096" max="14344" width="9" style="6"/>
    <col min="14345" max="14345" width="12" style="6" customWidth="1"/>
    <col min="14346" max="14346" width="7.125" style="6" customWidth="1"/>
    <col min="14347" max="14347" width="9" style="6"/>
    <col min="14348" max="14348" width="16" style="6" customWidth="1"/>
    <col min="14349" max="14349" width="13.75" style="6" customWidth="1"/>
    <col min="14350" max="14351" width="9.75" style="6" customWidth="1"/>
    <col min="14352" max="14600" width="9" style="6"/>
    <col min="14601" max="14601" width="12" style="6" customWidth="1"/>
    <col min="14602" max="14602" width="7.125" style="6" customWidth="1"/>
    <col min="14603" max="14603" width="9" style="6"/>
    <col min="14604" max="14604" width="16" style="6" customWidth="1"/>
    <col min="14605" max="14605" width="13.75" style="6" customWidth="1"/>
    <col min="14606" max="14607" width="9.75" style="6" customWidth="1"/>
    <col min="14608" max="14856" width="9" style="6"/>
    <col min="14857" max="14857" width="12" style="6" customWidth="1"/>
    <col min="14858" max="14858" width="7.125" style="6" customWidth="1"/>
    <col min="14859" max="14859" width="9" style="6"/>
    <col min="14860" max="14860" width="16" style="6" customWidth="1"/>
    <col min="14861" max="14861" width="13.75" style="6" customWidth="1"/>
    <col min="14862" max="14863" width="9.75" style="6" customWidth="1"/>
    <col min="14864" max="15112" width="9" style="6"/>
    <col min="15113" max="15113" width="12" style="6" customWidth="1"/>
    <col min="15114" max="15114" width="7.125" style="6" customWidth="1"/>
    <col min="15115" max="15115" width="9" style="6"/>
    <col min="15116" max="15116" width="16" style="6" customWidth="1"/>
    <col min="15117" max="15117" width="13.75" style="6" customWidth="1"/>
    <col min="15118" max="15119" width="9.75" style="6" customWidth="1"/>
    <col min="15120" max="15368" width="9" style="6"/>
    <col min="15369" max="15369" width="12" style="6" customWidth="1"/>
    <col min="15370" max="15370" width="7.125" style="6" customWidth="1"/>
    <col min="15371" max="15371" width="9" style="6"/>
    <col min="15372" max="15372" width="16" style="6" customWidth="1"/>
    <col min="15373" max="15373" width="13.75" style="6" customWidth="1"/>
    <col min="15374" max="15375" width="9.75" style="6" customWidth="1"/>
    <col min="15376" max="15624" width="9" style="6"/>
    <col min="15625" max="15625" width="12" style="6" customWidth="1"/>
    <col min="15626" max="15626" width="7.125" style="6" customWidth="1"/>
    <col min="15627" max="15627" width="9" style="6"/>
    <col min="15628" max="15628" width="16" style="6" customWidth="1"/>
    <col min="15629" max="15629" width="13.75" style="6" customWidth="1"/>
    <col min="15630" max="15631" width="9.75" style="6" customWidth="1"/>
    <col min="15632" max="15880" width="9" style="6"/>
    <col min="15881" max="15881" width="12" style="6" customWidth="1"/>
    <col min="15882" max="15882" width="7.125" style="6" customWidth="1"/>
    <col min="15883" max="15883" width="9" style="6"/>
    <col min="15884" max="15884" width="16" style="6" customWidth="1"/>
    <col min="15885" max="15885" width="13.75" style="6" customWidth="1"/>
    <col min="15886" max="15887" width="9.75" style="6" customWidth="1"/>
    <col min="15888" max="16136" width="9" style="6"/>
    <col min="16137" max="16137" width="12" style="6" customWidth="1"/>
    <col min="16138" max="16138" width="7.125" style="6" customWidth="1"/>
    <col min="16139" max="16139" width="9" style="6"/>
    <col min="16140" max="16140" width="16" style="6" customWidth="1"/>
    <col min="16141" max="16141" width="13.75" style="6" customWidth="1"/>
    <col min="16142" max="16143" width="9.75" style="6" customWidth="1"/>
    <col min="16144" max="16384" width="9" style="6"/>
  </cols>
  <sheetData>
    <row r="1" spans="1:18" s="2" customFormat="1" ht="23.25" customHeight="1" thickBot="1">
      <c r="A1" s="1" t="e">
        <f>IF(SUM(2:2)=0,"OK","NOK")</f>
        <v>#DIV/0!</v>
      </c>
      <c r="F1" s="43" t="s">
        <v>199</v>
      </c>
      <c r="G1" s="1085" t="s">
        <v>205</v>
      </c>
      <c r="H1" s="1086"/>
      <c r="I1" s="1085" t="s">
        <v>206</v>
      </c>
      <c r="J1" s="1086"/>
      <c r="K1" s="1085" t="s">
        <v>215</v>
      </c>
      <c r="L1" s="1086"/>
      <c r="M1" s="1085" t="s">
        <v>220</v>
      </c>
      <c r="N1" s="1086"/>
      <c r="O1" s="1085" t="s">
        <v>9912</v>
      </c>
      <c r="P1" s="1086"/>
      <c r="Q1" s="44"/>
      <c r="R1" s="48" t="s">
        <v>10</v>
      </c>
    </row>
    <row r="2" spans="1:18" ht="13.5" thickBot="1">
      <c r="A2" s="3"/>
      <c r="B2" s="3"/>
      <c r="C2" s="3"/>
      <c r="D2" s="3"/>
      <c r="E2" s="3"/>
      <c r="F2" s="2"/>
      <c r="G2" s="4" t="s">
        <v>0</v>
      </c>
      <c r="H2" s="5">
        <f>SUMX2MY2(G5:G4787,H5:H4787)</f>
        <v>0</v>
      </c>
      <c r="I2" s="4" t="s">
        <v>0</v>
      </c>
      <c r="J2" s="5">
        <f>SUMX2MY2(I5:I4787,J5:J4787)</f>
        <v>0</v>
      </c>
      <c r="K2" s="4" t="s">
        <v>0</v>
      </c>
      <c r="L2" s="5">
        <f>SUMX2MY2(K5:K4787,L5:L4787)</f>
        <v>0</v>
      </c>
      <c r="M2" s="4" t="s">
        <v>0</v>
      </c>
      <c r="N2" s="5">
        <f>SUMX2MY2(M5:M4787,N5:N4787)</f>
        <v>0</v>
      </c>
      <c r="O2" s="567" t="s">
        <v>0</v>
      </c>
      <c r="P2" s="183" t="e">
        <f>SUMX2MY2(O5:O4787,P5:P4787)</f>
        <v>#DIV/0!</v>
      </c>
    </row>
    <row r="3" spans="1:18" ht="27.75" customHeight="1">
      <c r="A3" s="35" t="s">
        <v>1</v>
      </c>
      <c r="B3" s="36" t="s">
        <v>2</v>
      </c>
      <c r="C3" s="36" t="s">
        <v>3</v>
      </c>
      <c r="D3" s="36" t="s">
        <v>4</v>
      </c>
      <c r="E3" s="1087" t="s">
        <v>7</v>
      </c>
      <c r="F3" s="1088"/>
      <c r="G3" s="7" t="s">
        <v>5</v>
      </c>
      <c r="H3" s="8" t="s">
        <v>6</v>
      </c>
      <c r="I3" s="7" t="s">
        <v>5</v>
      </c>
      <c r="J3" s="8" t="s">
        <v>6</v>
      </c>
      <c r="K3" s="7" t="s">
        <v>5</v>
      </c>
      <c r="L3" s="8" t="s">
        <v>6</v>
      </c>
      <c r="M3" s="7" t="s">
        <v>5</v>
      </c>
      <c r="N3" s="8" t="s">
        <v>6</v>
      </c>
      <c r="O3" s="568" t="s">
        <v>5</v>
      </c>
      <c r="P3" s="569" t="s">
        <v>6</v>
      </c>
    </row>
    <row r="4" spans="1:18" ht="15.75" customHeight="1" thickBot="1">
      <c r="A4" s="34"/>
      <c r="B4" s="33"/>
      <c r="C4" s="33"/>
      <c r="D4" s="33"/>
      <c r="E4" s="41" t="s">
        <v>9</v>
      </c>
      <c r="F4" s="42" t="s">
        <v>8</v>
      </c>
      <c r="G4" s="38">
        <v>0</v>
      </c>
      <c r="H4" s="39">
        <v>0</v>
      </c>
      <c r="I4" s="38">
        <v>0</v>
      </c>
      <c r="J4" s="39">
        <v>0</v>
      </c>
      <c r="K4" s="38">
        <v>0</v>
      </c>
      <c r="L4" s="39">
        <v>0</v>
      </c>
      <c r="M4" s="38">
        <v>0</v>
      </c>
      <c r="N4" s="39">
        <v>0</v>
      </c>
      <c r="O4" s="575">
        <v>0</v>
      </c>
      <c r="P4" s="576">
        <v>0</v>
      </c>
    </row>
    <row r="5" spans="1:18">
      <c r="A5" s="14"/>
      <c r="B5" s="771"/>
      <c r="C5" s="769" t="s">
        <v>5750</v>
      </c>
      <c r="D5" s="800" t="s">
        <v>10528</v>
      </c>
      <c r="E5" s="771"/>
      <c r="F5" s="465" t="s">
        <v>5600</v>
      </c>
      <c r="G5" s="778">
        <v>3</v>
      </c>
      <c r="H5" s="13">
        <v>3</v>
      </c>
      <c r="I5" s="778">
        <v>3</v>
      </c>
      <c r="J5" s="13">
        <f t="shared" ref="J5:J68" si="0">H5</f>
        <v>3</v>
      </c>
      <c r="K5" s="778">
        <v>1</v>
      </c>
      <c r="L5" s="460">
        <v>1</v>
      </c>
      <c r="M5" s="778">
        <v>3</v>
      </c>
      <c r="N5" s="13">
        <v>3</v>
      </c>
      <c r="O5" s="778" t="b">
        <v>0</v>
      </c>
      <c r="P5" s="460" t="b">
        <v>0</v>
      </c>
    </row>
    <row r="6" spans="1:18">
      <c r="A6" s="14"/>
      <c r="B6" s="771"/>
      <c r="C6" s="768" t="s">
        <v>5749</v>
      </c>
      <c r="D6" s="800" t="s">
        <v>10528</v>
      </c>
      <c r="E6" s="771"/>
      <c r="F6" s="465" t="s">
        <v>5599</v>
      </c>
      <c r="G6" s="778">
        <v>3</v>
      </c>
      <c r="H6" s="13">
        <v>3</v>
      </c>
      <c r="I6" s="778">
        <v>3</v>
      </c>
      <c r="J6" s="460">
        <f t="shared" si="0"/>
        <v>3</v>
      </c>
      <c r="K6" s="778">
        <v>1</v>
      </c>
      <c r="L6" s="460">
        <v>1</v>
      </c>
      <c r="M6" s="778">
        <v>3</v>
      </c>
      <c r="N6" s="13">
        <v>3</v>
      </c>
      <c r="O6" s="778" t="b">
        <v>0</v>
      </c>
      <c r="P6" s="460" t="b">
        <v>0</v>
      </c>
    </row>
    <row r="7" spans="1:18">
      <c r="A7" s="14"/>
      <c r="B7" s="771"/>
      <c r="C7" s="768" t="s">
        <v>10091</v>
      </c>
      <c r="D7" s="800" t="s">
        <v>10528</v>
      </c>
      <c r="E7" s="771"/>
      <c r="F7" s="465" t="s">
        <v>6506</v>
      </c>
      <c r="G7" s="778">
        <v>3</v>
      </c>
      <c r="H7" s="13">
        <v>3</v>
      </c>
      <c r="I7" s="778">
        <v>3</v>
      </c>
      <c r="J7" s="460">
        <f t="shared" si="0"/>
        <v>3</v>
      </c>
      <c r="K7" s="778">
        <v>1</v>
      </c>
      <c r="L7" s="460">
        <v>1</v>
      </c>
      <c r="M7" s="778">
        <v>3</v>
      </c>
      <c r="N7" s="13">
        <v>3</v>
      </c>
      <c r="O7" s="778" t="b">
        <v>0</v>
      </c>
      <c r="P7" s="460" t="b">
        <v>0</v>
      </c>
    </row>
    <row r="8" spans="1:18">
      <c r="A8" s="14"/>
      <c r="B8" s="771"/>
      <c r="C8" s="768" t="s">
        <v>10330</v>
      </c>
      <c r="D8" s="800" t="s">
        <v>10528</v>
      </c>
      <c r="E8" s="771"/>
      <c r="F8" s="465" t="s">
        <v>9113</v>
      </c>
      <c r="G8" s="778">
        <v>3</v>
      </c>
      <c r="H8" s="13">
        <v>3</v>
      </c>
      <c r="I8" s="778">
        <v>3</v>
      </c>
      <c r="J8" s="460">
        <f t="shared" si="0"/>
        <v>3</v>
      </c>
      <c r="K8" s="778">
        <v>1</v>
      </c>
      <c r="L8" s="460">
        <v>1</v>
      </c>
      <c r="M8" s="778">
        <v>3</v>
      </c>
      <c r="N8" s="13">
        <v>3</v>
      </c>
      <c r="O8" s="778" t="b">
        <v>0</v>
      </c>
      <c r="P8" s="460">
        <f>IF(VLOOKUP($C8,Valve_from_BP!$O:$AE,8,0)="yes",1,0)</f>
        <v>0</v>
      </c>
    </row>
    <row r="9" spans="1:18">
      <c r="A9" s="14"/>
      <c r="B9" s="771"/>
      <c r="C9" s="768" t="s">
        <v>9965</v>
      </c>
      <c r="D9" s="800" t="s">
        <v>10528</v>
      </c>
      <c r="E9" s="771"/>
      <c r="F9" s="465" t="s">
        <v>5727</v>
      </c>
      <c r="G9" s="778">
        <v>3</v>
      </c>
      <c r="H9" s="13">
        <v>3</v>
      </c>
      <c r="I9" s="778">
        <v>3</v>
      </c>
      <c r="J9" s="460">
        <f t="shared" si="0"/>
        <v>3</v>
      </c>
      <c r="K9" s="778">
        <v>1</v>
      </c>
      <c r="L9" s="460">
        <v>1</v>
      </c>
      <c r="M9" s="778">
        <v>3</v>
      </c>
      <c r="N9" s="13">
        <v>3</v>
      </c>
      <c r="O9" s="778" t="b">
        <v>0</v>
      </c>
      <c r="P9" s="460">
        <f>IF(VLOOKUP($C9,Valve_from_BP!$O:$AE,8,0)="yes",1,0)</f>
        <v>0</v>
      </c>
    </row>
    <row r="10" spans="1:18">
      <c r="A10" s="14"/>
      <c r="B10" s="771"/>
      <c r="C10" s="768" t="s">
        <v>10009</v>
      </c>
      <c r="D10" s="800" t="s">
        <v>10528</v>
      </c>
      <c r="E10" s="771"/>
      <c r="F10" s="465" t="s">
        <v>5730</v>
      </c>
      <c r="G10" s="778">
        <v>3</v>
      </c>
      <c r="H10" s="13">
        <v>3</v>
      </c>
      <c r="I10" s="778">
        <v>3</v>
      </c>
      <c r="J10" s="460">
        <f t="shared" si="0"/>
        <v>3</v>
      </c>
      <c r="K10" s="778">
        <v>1</v>
      </c>
      <c r="L10" s="460">
        <v>1</v>
      </c>
      <c r="M10" s="778">
        <v>3</v>
      </c>
      <c r="N10" s="13">
        <v>3</v>
      </c>
      <c r="O10" s="778" t="b">
        <v>0</v>
      </c>
      <c r="P10" s="460" t="b">
        <v>0</v>
      </c>
    </row>
    <row r="11" spans="1:18">
      <c r="A11" s="14"/>
      <c r="B11" s="771"/>
      <c r="C11" s="768" t="s">
        <v>10008</v>
      </c>
      <c r="D11" s="800" t="s">
        <v>10528</v>
      </c>
      <c r="E11" s="771"/>
      <c r="F11" s="465" t="s">
        <v>5710</v>
      </c>
      <c r="G11" s="778">
        <v>3</v>
      </c>
      <c r="H11" s="13">
        <v>3</v>
      </c>
      <c r="I11" s="778">
        <v>3</v>
      </c>
      <c r="J11" s="460">
        <f t="shared" si="0"/>
        <v>3</v>
      </c>
      <c r="K11" s="778">
        <v>1</v>
      </c>
      <c r="L11" s="460">
        <v>1</v>
      </c>
      <c r="M11" s="778">
        <v>3</v>
      </c>
      <c r="N11" s="13">
        <v>3</v>
      </c>
      <c r="O11" s="778" t="b">
        <v>0</v>
      </c>
      <c r="P11" s="460" t="b">
        <v>0</v>
      </c>
    </row>
    <row r="12" spans="1:18">
      <c r="A12" s="14"/>
      <c r="B12" s="771"/>
      <c r="C12" s="768" t="s">
        <v>10007</v>
      </c>
      <c r="D12" s="800" t="s">
        <v>10528</v>
      </c>
      <c r="E12" s="771"/>
      <c r="F12" s="465" t="s">
        <v>5709</v>
      </c>
      <c r="G12" s="778">
        <v>3</v>
      </c>
      <c r="H12" s="13">
        <v>3</v>
      </c>
      <c r="I12" s="778">
        <v>3</v>
      </c>
      <c r="J12" s="460">
        <f t="shared" si="0"/>
        <v>3</v>
      </c>
      <c r="K12" s="778">
        <v>1</v>
      </c>
      <c r="L12" s="460">
        <v>1</v>
      </c>
      <c r="M12" s="778">
        <v>3</v>
      </c>
      <c r="N12" s="13">
        <v>3</v>
      </c>
      <c r="O12" s="778" t="b">
        <v>0</v>
      </c>
      <c r="P12" s="460" t="b">
        <v>0</v>
      </c>
    </row>
    <row r="13" spans="1:18">
      <c r="A13" s="14"/>
      <c r="B13" s="771"/>
      <c r="C13" s="768" t="s">
        <v>10006</v>
      </c>
      <c r="D13" s="800" t="s">
        <v>10528</v>
      </c>
      <c r="E13" s="771"/>
      <c r="F13" s="465" t="s">
        <v>5708</v>
      </c>
      <c r="G13" s="778">
        <v>3</v>
      </c>
      <c r="H13" s="13">
        <v>3</v>
      </c>
      <c r="I13" s="778">
        <v>3</v>
      </c>
      <c r="J13" s="460">
        <f t="shared" si="0"/>
        <v>3</v>
      </c>
      <c r="K13" s="778">
        <v>1</v>
      </c>
      <c r="L13" s="460">
        <v>1</v>
      </c>
      <c r="M13" s="778">
        <v>3</v>
      </c>
      <c r="N13" s="13">
        <v>3</v>
      </c>
      <c r="O13" s="778" t="b">
        <v>0</v>
      </c>
      <c r="P13" s="460" t="b">
        <v>0</v>
      </c>
    </row>
    <row r="14" spans="1:18">
      <c r="A14" s="14"/>
      <c r="B14" s="771"/>
      <c r="C14" s="768" t="s">
        <v>10005</v>
      </c>
      <c r="D14" s="800" t="s">
        <v>10528</v>
      </c>
      <c r="E14" s="771"/>
      <c r="F14" s="465" t="s">
        <v>5707</v>
      </c>
      <c r="G14" s="778">
        <v>3</v>
      </c>
      <c r="H14" s="13">
        <v>3</v>
      </c>
      <c r="I14" s="778">
        <v>3</v>
      </c>
      <c r="J14" s="460">
        <f t="shared" si="0"/>
        <v>3</v>
      </c>
      <c r="K14" s="778">
        <v>1</v>
      </c>
      <c r="L14" s="460">
        <v>1</v>
      </c>
      <c r="M14" s="778">
        <v>3</v>
      </c>
      <c r="N14" s="13">
        <v>3</v>
      </c>
      <c r="O14" s="778" t="b">
        <v>0</v>
      </c>
      <c r="P14" s="460" t="b">
        <v>0</v>
      </c>
    </row>
    <row r="15" spans="1:18">
      <c r="A15" s="14"/>
      <c r="B15" s="771"/>
      <c r="C15" s="768" t="s">
        <v>10004</v>
      </c>
      <c r="D15" s="800" t="s">
        <v>10528</v>
      </c>
      <c r="E15" s="771"/>
      <c r="F15" s="465" t="s">
        <v>5706</v>
      </c>
      <c r="G15" s="778">
        <v>3</v>
      </c>
      <c r="H15" s="460">
        <v>3</v>
      </c>
      <c r="I15" s="778">
        <v>3</v>
      </c>
      <c r="J15" s="460">
        <f t="shared" si="0"/>
        <v>3</v>
      </c>
      <c r="K15" s="778">
        <v>1</v>
      </c>
      <c r="L15" s="460">
        <v>1</v>
      </c>
      <c r="M15" s="778">
        <v>3</v>
      </c>
      <c r="N15" s="13">
        <v>3</v>
      </c>
      <c r="O15" s="778" t="b">
        <v>0</v>
      </c>
      <c r="P15" s="460" t="b">
        <v>0</v>
      </c>
    </row>
    <row r="16" spans="1:18">
      <c r="A16" s="14"/>
      <c r="B16" s="771"/>
      <c r="C16" s="768" t="s">
        <v>10003</v>
      </c>
      <c r="D16" s="800" t="s">
        <v>10528</v>
      </c>
      <c r="E16" s="771"/>
      <c r="F16" s="465" t="s">
        <v>5705</v>
      </c>
      <c r="G16" s="778">
        <v>3</v>
      </c>
      <c r="H16" s="460">
        <v>3</v>
      </c>
      <c r="I16" s="778">
        <v>3</v>
      </c>
      <c r="J16" s="460">
        <f t="shared" si="0"/>
        <v>3</v>
      </c>
      <c r="K16" s="778">
        <v>1</v>
      </c>
      <c r="L16" s="460">
        <v>1</v>
      </c>
      <c r="M16" s="778">
        <v>3</v>
      </c>
      <c r="N16" s="13">
        <v>3</v>
      </c>
      <c r="O16" s="778" t="b">
        <v>0</v>
      </c>
      <c r="P16" s="460" t="b">
        <v>0</v>
      </c>
    </row>
    <row r="17" spans="1:16">
      <c r="A17" s="14"/>
      <c r="B17" s="771"/>
      <c r="C17" s="768" t="s">
        <v>10002</v>
      </c>
      <c r="D17" s="800" t="s">
        <v>10528</v>
      </c>
      <c r="E17" s="771"/>
      <c r="F17" s="465" t="s">
        <v>5704</v>
      </c>
      <c r="G17" s="778">
        <v>3</v>
      </c>
      <c r="H17" s="460">
        <v>3</v>
      </c>
      <c r="I17" s="778">
        <v>3</v>
      </c>
      <c r="J17" s="460">
        <f t="shared" si="0"/>
        <v>3</v>
      </c>
      <c r="K17" s="778">
        <v>1</v>
      </c>
      <c r="L17" s="460">
        <v>1</v>
      </c>
      <c r="M17" s="778">
        <v>3</v>
      </c>
      <c r="N17" s="13">
        <v>3</v>
      </c>
      <c r="O17" s="778" t="b">
        <v>0</v>
      </c>
      <c r="P17" s="460" t="b">
        <v>0</v>
      </c>
    </row>
    <row r="18" spans="1:16">
      <c r="A18" s="14"/>
      <c r="B18" s="771"/>
      <c r="C18" s="768" t="s">
        <v>10001</v>
      </c>
      <c r="D18" s="800" t="s">
        <v>10528</v>
      </c>
      <c r="E18" s="771"/>
      <c r="F18" s="465" t="s">
        <v>5703</v>
      </c>
      <c r="G18" s="778">
        <v>3</v>
      </c>
      <c r="H18" s="460">
        <v>3</v>
      </c>
      <c r="I18" s="778">
        <v>3</v>
      </c>
      <c r="J18" s="460">
        <f t="shared" si="0"/>
        <v>3</v>
      </c>
      <c r="K18" s="778">
        <v>1</v>
      </c>
      <c r="L18" s="460">
        <v>1</v>
      </c>
      <c r="M18" s="778">
        <v>3</v>
      </c>
      <c r="N18" s="13">
        <v>3</v>
      </c>
      <c r="O18" s="778" t="b">
        <v>0</v>
      </c>
      <c r="P18" s="460" t="b">
        <v>0</v>
      </c>
    </row>
    <row r="19" spans="1:16">
      <c r="A19" s="14"/>
      <c r="B19" s="771"/>
      <c r="C19" s="768" t="s">
        <v>10000</v>
      </c>
      <c r="D19" s="800" t="s">
        <v>10528</v>
      </c>
      <c r="E19" s="771"/>
      <c r="F19" s="465" t="s">
        <v>5702</v>
      </c>
      <c r="G19" s="778">
        <v>3</v>
      </c>
      <c r="H19" s="460">
        <v>3</v>
      </c>
      <c r="I19" s="778">
        <v>3</v>
      </c>
      <c r="J19" s="460">
        <f t="shared" si="0"/>
        <v>3</v>
      </c>
      <c r="K19" s="778">
        <v>1</v>
      </c>
      <c r="L19" s="460">
        <v>1</v>
      </c>
      <c r="M19" s="778">
        <v>3</v>
      </c>
      <c r="N19" s="13">
        <v>3</v>
      </c>
      <c r="O19" s="778" t="b">
        <v>0</v>
      </c>
      <c r="P19" s="460" t="b">
        <v>0</v>
      </c>
    </row>
    <row r="20" spans="1:16">
      <c r="A20" s="14"/>
      <c r="B20" s="771"/>
      <c r="C20" s="768" t="s">
        <v>9999</v>
      </c>
      <c r="D20" s="800" t="s">
        <v>10528</v>
      </c>
      <c r="E20" s="771"/>
      <c r="F20" s="465" t="s">
        <v>5701</v>
      </c>
      <c r="G20" s="778">
        <v>3</v>
      </c>
      <c r="H20" s="13">
        <v>3</v>
      </c>
      <c r="I20" s="778">
        <v>3</v>
      </c>
      <c r="J20" s="460">
        <f t="shared" si="0"/>
        <v>3</v>
      </c>
      <c r="K20" s="778">
        <v>1</v>
      </c>
      <c r="L20" s="460">
        <v>1</v>
      </c>
      <c r="M20" s="778">
        <v>3</v>
      </c>
      <c r="N20" s="13">
        <v>3</v>
      </c>
      <c r="O20" s="778" t="b">
        <v>0</v>
      </c>
      <c r="P20" s="460" t="b">
        <v>0</v>
      </c>
    </row>
    <row r="21" spans="1:16">
      <c r="A21" s="14"/>
      <c r="B21" s="771"/>
      <c r="C21" s="768" t="s">
        <v>9998</v>
      </c>
      <c r="D21" s="800" t="s">
        <v>10528</v>
      </c>
      <c r="E21" s="771"/>
      <c r="F21" s="465" t="s">
        <v>5700</v>
      </c>
      <c r="G21" s="778">
        <v>3</v>
      </c>
      <c r="H21" s="13">
        <v>3</v>
      </c>
      <c r="I21" s="778">
        <v>3</v>
      </c>
      <c r="J21" s="460">
        <f t="shared" si="0"/>
        <v>3</v>
      </c>
      <c r="K21" s="778">
        <v>1</v>
      </c>
      <c r="L21" s="460">
        <v>1</v>
      </c>
      <c r="M21" s="778">
        <v>3</v>
      </c>
      <c r="N21" s="13">
        <v>3</v>
      </c>
      <c r="O21" s="778" t="b">
        <v>0</v>
      </c>
      <c r="P21" s="460" t="b">
        <v>0</v>
      </c>
    </row>
    <row r="22" spans="1:16">
      <c r="A22" s="14"/>
      <c r="B22" s="771"/>
      <c r="C22" s="768" t="s">
        <v>9997</v>
      </c>
      <c r="D22" s="800" t="s">
        <v>10528</v>
      </c>
      <c r="E22" s="771"/>
      <c r="F22" s="465" t="s">
        <v>5699</v>
      </c>
      <c r="G22" s="778">
        <v>3</v>
      </c>
      <c r="H22" s="13">
        <v>3</v>
      </c>
      <c r="I22" s="778">
        <v>3</v>
      </c>
      <c r="J22" s="460">
        <f t="shared" si="0"/>
        <v>3</v>
      </c>
      <c r="K22" s="778">
        <v>1</v>
      </c>
      <c r="L22" s="460">
        <v>1</v>
      </c>
      <c r="M22" s="778">
        <v>3</v>
      </c>
      <c r="N22" s="13">
        <v>3</v>
      </c>
      <c r="O22" s="778" t="b">
        <v>0</v>
      </c>
      <c r="P22" s="460" t="b">
        <v>0</v>
      </c>
    </row>
    <row r="23" spans="1:16">
      <c r="A23" s="14"/>
      <c r="B23" s="771"/>
      <c r="C23" s="768" t="s">
        <v>9996</v>
      </c>
      <c r="D23" s="800" t="s">
        <v>10528</v>
      </c>
      <c r="E23" s="771"/>
      <c r="F23" s="465" t="s">
        <v>5698</v>
      </c>
      <c r="G23" s="778">
        <v>3</v>
      </c>
      <c r="H23" s="13">
        <v>3</v>
      </c>
      <c r="I23" s="778">
        <v>3</v>
      </c>
      <c r="J23" s="460">
        <f t="shared" si="0"/>
        <v>3</v>
      </c>
      <c r="K23" s="778">
        <v>1</v>
      </c>
      <c r="L23" s="460">
        <v>1</v>
      </c>
      <c r="M23" s="778">
        <v>3</v>
      </c>
      <c r="N23" s="13">
        <v>3</v>
      </c>
      <c r="O23" s="778" t="b">
        <v>0</v>
      </c>
      <c r="P23" s="460" t="b">
        <v>0</v>
      </c>
    </row>
    <row r="24" spans="1:16">
      <c r="A24" s="14"/>
      <c r="B24" s="771"/>
      <c r="C24" s="768" t="s">
        <v>9995</v>
      </c>
      <c r="D24" s="800" t="s">
        <v>10528</v>
      </c>
      <c r="E24" s="771"/>
      <c r="F24" s="465" t="s">
        <v>5697</v>
      </c>
      <c r="G24" s="778">
        <v>3</v>
      </c>
      <c r="H24" s="13">
        <v>3</v>
      </c>
      <c r="I24" s="778">
        <v>3</v>
      </c>
      <c r="J24" s="460">
        <f t="shared" si="0"/>
        <v>3</v>
      </c>
      <c r="K24" s="778">
        <v>1</v>
      </c>
      <c r="L24" s="460">
        <v>1</v>
      </c>
      <c r="M24" s="778">
        <v>3</v>
      </c>
      <c r="N24" s="13">
        <v>3</v>
      </c>
      <c r="O24" s="778" t="b">
        <v>0</v>
      </c>
      <c r="P24" s="460" t="b">
        <v>0</v>
      </c>
    </row>
    <row r="25" spans="1:16">
      <c r="A25" s="14"/>
      <c r="B25" s="771"/>
      <c r="C25" s="768" t="s">
        <v>9994</v>
      </c>
      <c r="D25" s="800" t="s">
        <v>10528</v>
      </c>
      <c r="E25" s="771"/>
      <c r="F25" s="465" t="s">
        <v>5696</v>
      </c>
      <c r="G25" s="778">
        <v>3</v>
      </c>
      <c r="H25" s="13">
        <v>3</v>
      </c>
      <c r="I25" s="778">
        <v>3</v>
      </c>
      <c r="J25" s="460">
        <f t="shared" si="0"/>
        <v>3</v>
      </c>
      <c r="K25" s="778">
        <v>1</v>
      </c>
      <c r="L25" s="460">
        <v>1</v>
      </c>
      <c r="M25" s="778">
        <v>3</v>
      </c>
      <c r="N25" s="13">
        <v>3</v>
      </c>
      <c r="O25" s="778" t="b">
        <v>0</v>
      </c>
      <c r="P25" s="460" t="b">
        <v>0</v>
      </c>
    </row>
    <row r="26" spans="1:16">
      <c r="A26" s="14"/>
      <c r="B26" s="771"/>
      <c r="C26" s="768" t="s">
        <v>9993</v>
      </c>
      <c r="D26" s="800" t="s">
        <v>10528</v>
      </c>
      <c r="E26" s="771"/>
      <c r="F26" s="465" t="s">
        <v>5695</v>
      </c>
      <c r="G26" s="778">
        <v>3</v>
      </c>
      <c r="H26" s="13">
        <v>3</v>
      </c>
      <c r="I26" s="778">
        <v>3</v>
      </c>
      <c r="J26" s="460">
        <f t="shared" si="0"/>
        <v>3</v>
      </c>
      <c r="K26" s="778">
        <v>1</v>
      </c>
      <c r="L26" s="460">
        <v>1</v>
      </c>
      <c r="M26" s="778">
        <v>3</v>
      </c>
      <c r="N26" s="176">
        <v>3</v>
      </c>
      <c r="O26" s="778" t="b">
        <v>0</v>
      </c>
      <c r="P26" s="460" t="b">
        <v>0</v>
      </c>
    </row>
    <row r="27" spans="1:16">
      <c r="A27" s="14"/>
      <c r="B27" s="771"/>
      <c r="C27" s="768" t="s">
        <v>5768</v>
      </c>
      <c r="D27" s="800" t="s">
        <v>10528</v>
      </c>
      <c r="E27" s="771"/>
      <c r="F27" s="465" t="s">
        <v>5728</v>
      </c>
      <c r="G27" s="778">
        <v>3</v>
      </c>
      <c r="H27" s="13">
        <v>3</v>
      </c>
      <c r="I27" s="778">
        <v>3</v>
      </c>
      <c r="J27" s="460">
        <f t="shared" si="0"/>
        <v>3</v>
      </c>
      <c r="K27" s="778">
        <v>1</v>
      </c>
      <c r="L27" s="460">
        <v>1</v>
      </c>
      <c r="M27" s="778">
        <v>3</v>
      </c>
      <c r="N27" s="176">
        <v>3</v>
      </c>
      <c r="O27" s="783" t="b">
        <v>0</v>
      </c>
      <c r="P27" s="460">
        <f>IF(VLOOKUP($C27,Valve_from_BP!$O:$AE,8,0)="yes",1,0)</f>
        <v>0</v>
      </c>
    </row>
    <row r="28" spans="1:16">
      <c r="A28" s="14"/>
      <c r="B28" s="771"/>
      <c r="C28" s="768" t="s">
        <v>9966</v>
      </c>
      <c r="D28" s="800" t="s">
        <v>10528</v>
      </c>
      <c r="E28" s="771"/>
      <c r="F28" s="465" t="s">
        <v>9157</v>
      </c>
      <c r="G28" s="778">
        <v>3</v>
      </c>
      <c r="H28" s="13">
        <v>3</v>
      </c>
      <c r="I28" s="778">
        <v>3</v>
      </c>
      <c r="J28" s="460">
        <f t="shared" si="0"/>
        <v>3</v>
      </c>
      <c r="K28" s="778">
        <v>1</v>
      </c>
      <c r="L28" s="460">
        <v>1</v>
      </c>
      <c r="M28" s="778">
        <v>0</v>
      </c>
      <c r="N28" s="177"/>
      <c r="O28" s="778" t="b">
        <v>0</v>
      </c>
      <c r="P28" s="460" t="b">
        <v>0</v>
      </c>
    </row>
    <row r="29" spans="1:16">
      <c r="A29" s="14"/>
      <c r="B29" s="771"/>
      <c r="C29" s="768" t="s">
        <v>5766</v>
      </c>
      <c r="D29" s="800" t="s">
        <v>10528</v>
      </c>
      <c r="E29" s="771"/>
      <c r="F29" s="465" t="s">
        <v>5668</v>
      </c>
      <c r="G29" s="778">
        <v>3</v>
      </c>
      <c r="H29" s="13">
        <v>3</v>
      </c>
      <c r="I29" s="778">
        <v>3</v>
      </c>
      <c r="J29" s="460">
        <f t="shared" si="0"/>
        <v>3</v>
      </c>
      <c r="K29" s="778">
        <v>1</v>
      </c>
      <c r="L29" s="460">
        <v>1</v>
      </c>
      <c r="M29" s="778">
        <v>3</v>
      </c>
      <c r="N29" s="176">
        <v>3</v>
      </c>
      <c r="O29" s="778" t="b">
        <v>0</v>
      </c>
      <c r="P29" s="460">
        <f>IF(VLOOKUP($C29,Valve_from_BP!$O:$AE,8,0)="yes",1,0)</f>
        <v>0</v>
      </c>
    </row>
    <row r="30" spans="1:16">
      <c r="A30" s="14"/>
      <c r="B30" s="771"/>
      <c r="C30" s="768" t="s">
        <v>10331</v>
      </c>
      <c r="D30" s="800" t="s">
        <v>10528</v>
      </c>
      <c r="E30" s="771"/>
      <c r="F30" s="465" t="s">
        <v>8189</v>
      </c>
      <c r="G30" s="778">
        <v>3</v>
      </c>
      <c r="H30" s="13">
        <v>3</v>
      </c>
      <c r="I30" s="778">
        <v>3</v>
      </c>
      <c r="J30" s="460">
        <f t="shared" si="0"/>
        <v>3</v>
      </c>
      <c r="K30" s="778">
        <v>1</v>
      </c>
      <c r="L30" s="460">
        <v>1</v>
      </c>
      <c r="M30" s="778">
        <v>3</v>
      </c>
      <c r="N30" s="13">
        <v>3</v>
      </c>
      <c r="O30" s="778" t="b">
        <v>0</v>
      </c>
      <c r="P30" s="460" t="b">
        <v>0</v>
      </c>
    </row>
    <row r="31" spans="1:16">
      <c r="A31" s="14"/>
      <c r="B31" s="771"/>
      <c r="C31" s="768" t="s">
        <v>6095</v>
      </c>
      <c r="D31" s="800" t="s">
        <v>10528</v>
      </c>
      <c r="E31" s="771"/>
      <c r="F31" s="465" t="s">
        <v>6043</v>
      </c>
      <c r="G31" s="778">
        <v>3</v>
      </c>
      <c r="H31" s="13">
        <v>3</v>
      </c>
      <c r="I31" s="778">
        <v>3</v>
      </c>
      <c r="J31" s="460">
        <f t="shared" si="0"/>
        <v>3</v>
      </c>
      <c r="K31" s="778">
        <v>1</v>
      </c>
      <c r="L31" s="460">
        <v>1</v>
      </c>
      <c r="M31" s="778">
        <v>3</v>
      </c>
      <c r="N31" s="13">
        <v>3</v>
      </c>
      <c r="O31" s="778" t="b">
        <v>0</v>
      </c>
      <c r="P31" s="460">
        <f>IF(VLOOKUP($C31,Valve_from_BP!$O:$AE,8,0)="yes",1,0)</f>
        <v>0</v>
      </c>
    </row>
    <row r="32" spans="1:16">
      <c r="A32" s="14"/>
      <c r="B32" s="771"/>
      <c r="C32" s="768" t="s">
        <v>10162</v>
      </c>
      <c r="D32" s="800" t="s">
        <v>10528</v>
      </c>
      <c r="E32" s="771"/>
      <c r="F32" s="465" t="s">
        <v>7716</v>
      </c>
      <c r="G32" s="778">
        <v>3</v>
      </c>
      <c r="H32" s="13">
        <v>3</v>
      </c>
      <c r="I32" s="778">
        <v>3</v>
      </c>
      <c r="J32" s="460">
        <f t="shared" si="0"/>
        <v>3</v>
      </c>
      <c r="K32" s="778">
        <v>1</v>
      </c>
      <c r="L32" s="460">
        <v>1</v>
      </c>
      <c r="M32" s="778">
        <v>3</v>
      </c>
      <c r="N32" s="13">
        <v>3</v>
      </c>
      <c r="O32" s="778" t="b">
        <v>0</v>
      </c>
      <c r="P32" s="460" t="b">
        <v>0</v>
      </c>
    </row>
    <row r="33" spans="1:16">
      <c r="A33" s="14"/>
      <c r="B33" s="771"/>
      <c r="C33" s="768" t="s">
        <v>10075</v>
      </c>
      <c r="D33" s="800" t="s">
        <v>10528</v>
      </c>
      <c r="E33" s="771"/>
      <c r="F33" s="465" t="s">
        <v>6481</v>
      </c>
      <c r="G33" s="778">
        <v>3</v>
      </c>
      <c r="H33" s="13">
        <v>3</v>
      </c>
      <c r="I33" s="778">
        <v>3</v>
      </c>
      <c r="J33" s="460">
        <f t="shared" si="0"/>
        <v>3</v>
      </c>
      <c r="K33" s="778">
        <v>1</v>
      </c>
      <c r="L33" s="460">
        <v>1</v>
      </c>
      <c r="M33" s="778">
        <v>3</v>
      </c>
      <c r="N33" s="13">
        <v>3</v>
      </c>
      <c r="O33" s="778" t="b">
        <v>0</v>
      </c>
      <c r="P33" s="460" t="b">
        <v>0</v>
      </c>
    </row>
    <row r="34" spans="1:16">
      <c r="A34" s="14"/>
      <c r="B34" s="771"/>
      <c r="C34" s="768" t="s">
        <v>10094</v>
      </c>
      <c r="D34" s="800" t="s">
        <v>10528</v>
      </c>
      <c r="E34" s="771"/>
      <c r="F34" s="465" t="s">
        <v>9161</v>
      </c>
      <c r="G34" s="778">
        <v>3</v>
      </c>
      <c r="H34" s="13">
        <v>3</v>
      </c>
      <c r="I34" s="778">
        <v>3</v>
      </c>
      <c r="J34" s="460">
        <f t="shared" si="0"/>
        <v>3</v>
      </c>
      <c r="K34" s="778">
        <v>1</v>
      </c>
      <c r="L34" s="460">
        <v>1</v>
      </c>
      <c r="M34" s="778">
        <v>0</v>
      </c>
      <c r="N34" s="13"/>
      <c r="O34" s="778" t="b">
        <v>0</v>
      </c>
      <c r="P34" s="460" t="b">
        <v>0</v>
      </c>
    </row>
    <row r="35" spans="1:16">
      <c r="A35" s="14"/>
      <c r="B35" s="771"/>
      <c r="C35" s="768" t="s">
        <v>6606</v>
      </c>
      <c r="D35" s="800" t="s">
        <v>10528</v>
      </c>
      <c r="E35" s="771"/>
      <c r="F35" s="465" t="s">
        <v>6505</v>
      </c>
      <c r="G35" s="778">
        <v>3</v>
      </c>
      <c r="H35" s="13">
        <v>3</v>
      </c>
      <c r="I35" s="778">
        <v>3</v>
      </c>
      <c r="J35" s="460">
        <f t="shared" si="0"/>
        <v>3</v>
      </c>
      <c r="K35" s="778">
        <v>1</v>
      </c>
      <c r="L35" s="460">
        <v>1</v>
      </c>
      <c r="M35" s="778">
        <v>3</v>
      </c>
      <c r="N35" s="13">
        <v>3</v>
      </c>
      <c r="O35" s="778" t="b">
        <v>0</v>
      </c>
      <c r="P35" s="460" t="b">
        <v>0</v>
      </c>
    </row>
    <row r="36" spans="1:16">
      <c r="A36" s="14"/>
      <c r="B36" s="771"/>
      <c r="C36" s="768" t="s">
        <v>6605</v>
      </c>
      <c r="D36" s="800" t="s">
        <v>10528</v>
      </c>
      <c r="E36" s="771"/>
      <c r="F36" s="465" t="s">
        <v>6526</v>
      </c>
      <c r="G36" s="778">
        <v>3</v>
      </c>
      <c r="H36" s="13">
        <v>3</v>
      </c>
      <c r="I36" s="778">
        <v>3</v>
      </c>
      <c r="J36" s="460">
        <f t="shared" si="0"/>
        <v>3</v>
      </c>
      <c r="K36" s="778">
        <v>1</v>
      </c>
      <c r="L36" s="460">
        <v>1</v>
      </c>
      <c r="M36" s="778">
        <v>3</v>
      </c>
      <c r="N36" s="13">
        <v>3</v>
      </c>
      <c r="O36" s="778" t="b">
        <v>0</v>
      </c>
      <c r="P36" s="460">
        <f>IF(VLOOKUP($C36,Valve_from_BP!$O:$AE,8,0)="yes",1,0)</f>
        <v>0</v>
      </c>
    </row>
    <row r="37" spans="1:16">
      <c r="A37" s="14"/>
      <c r="B37" s="771"/>
      <c r="C37" s="768" t="s">
        <v>9953</v>
      </c>
      <c r="D37" s="800" t="s">
        <v>10528</v>
      </c>
      <c r="E37" s="771"/>
      <c r="F37" s="465" t="s">
        <v>5628</v>
      </c>
      <c r="G37" s="778">
        <v>3</v>
      </c>
      <c r="H37" s="13">
        <v>3</v>
      </c>
      <c r="I37" s="778">
        <v>3</v>
      </c>
      <c r="J37" s="460">
        <f t="shared" si="0"/>
        <v>3</v>
      </c>
      <c r="K37" s="778">
        <v>1</v>
      </c>
      <c r="L37" s="460">
        <v>1</v>
      </c>
      <c r="M37" s="778">
        <v>3</v>
      </c>
      <c r="N37" s="13">
        <v>3</v>
      </c>
      <c r="O37" s="778" t="b">
        <v>0</v>
      </c>
      <c r="P37" s="460" t="b">
        <v>0</v>
      </c>
    </row>
    <row r="38" spans="1:16">
      <c r="A38" s="14"/>
      <c r="B38" s="771"/>
      <c r="C38" s="768" t="s">
        <v>9952</v>
      </c>
      <c r="D38" s="800" t="s">
        <v>10528</v>
      </c>
      <c r="E38" s="771"/>
      <c r="F38" s="465" t="s">
        <v>5627</v>
      </c>
      <c r="G38" s="778">
        <v>3</v>
      </c>
      <c r="H38" s="13">
        <v>3</v>
      </c>
      <c r="I38" s="778">
        <v>3</v>
      </c>
      <c r="J38" s="460">
        <f t="shared" si="0"/>
        <v>3</v>
      </c>
      <c r="K38" s="778">
        <v>1</v>
      </c>
      <c r="L38" s="460">
        <v>1</v>
      </c>
      <c r="M38" s="778">
        <v>3</v>
      </c>
      <c r="N38" s="13">
        <v>3</v>
      </c>
      <c r="O38" s="778" t="b">
        <v>0</v>
      </c>
      <c r="P38" s="460" t="b">
        <v>0</v>
      </c>
    </row>
    <row r="39" spans="1:16">
      <c r="A39" s="14"/>
      <c r="B39" s="771"/>
      <c r="C39" s="768" t="s">
        <v>9951</v>
      </c>
      <c r="D39" s="800" t="s">
        <v>10528</v>
      </c>
      <c r="E39" s="771"/>
      <c r="F39" s="465" t="s">
        <v>5626</v>
      </c>
      <c r="G39" s="778">
        <v>3</v>
      </c>
      <c r="H39" s="13">
        <v>3</v>
      </c>
      <c r="I39" s="778">
        <v>3</v>
      </c>
      <c r="J39" s="460">
        <f t="shared" si="0"/>
        <v>3</v>
      </c>
      <c r="K39" s="778">
        <v>1</v>
      </c>
      <c r="L39" s="460">
        <v>1</v>
      </c>
      <c r="M39" s="778">
        <v>3</v>
      </c>
      <c r="N39" s="13">
        <v>3</v>
      </c>
      <c r="O39" s="778" t="b">
        <v>0</v>
      </c>
      <c r="P39" s="460" t="b">
        <v>0</v>
      </c>
    </row>
    <row r="40" spans="1:16">
      <c r="A40" s="14"/>
      <c r="B40" s="771"/>
      <c r="C40" s="768" t="s">
        <v>9950</v>
      </c>
      <c r="D40" s="800" t="s">
        <v>10528</v>
      </c>
      <c r="E40" s="771"/>
      <c r="F40" s="465" t="s">
        <v>5625</v>
      </c>
      <c r="G40" s="778">
        <v>3</v>
      </c>
      <c r="H40" s="13">
        <v>3</v>
      </c>
      <c r="I40" s="778">
        <v>3</v>
      </c>
      <c r="J40" s="460">
        <f t="shared" si="0"/>
        <v>3</v>
      </c>
      <c r="K40" s="778">
        <v>1</v>
      </c>
      <c r="L40" s="460">
        <v>1</v>
      </c>
      <c r="M40" s="778">
        <v>3</v>
      </c>
      <c r="N40" s="13">
        <v>3</v>
      </c>
      <c r="O40" s="778" t="b">
        <v>0</v>
      </c>
      <c r="P40" s="460" t="b">
        <v>0</v>
      </c>
    </row>
    <row r="41" spans="1:16">
      <c r="A41" s="14"/>
      <c r="B41" s="771"/>
      <c r="C41" s="768" t="s">
        <v>9949</v>
      </c>
      <c r="D41" s="800" t="s">
        <v>10528</v>
      </c>
      <c r="E41" s="771"/>
      <c r="F41" s="465" t="s">
        <v>5624</v>
      </c>
      <c r="G41" s="778">
        <v>3</v>
      </c>
      <c r="H41" s="13">
        <v>3</v>
      </c>
      <c r="I41" s="778">
        <v>3</v>
      </c>
      <c r="J41" s="460">
        <f t="shared" si="0"/>
        <v>3</v>
      </c>
      <c r="K41" s="778">
        <v>1</v>
      </c>
      <c r="L41" s="460">
        <v>1</v>
      </c>
      <c r="M41" s="778">
        <v>3</v>
      </c>
      <c r="N41" s="13">
        <v>3</v>
      </c>
      <c r="O41" s="778" t="b">
        <v>0</v>
      </c>
      <c r="P41" s="460" t="b">
        <v>0</v>
      </c>
    </row>
    <row r="42" spans="1:16">
      <c r="A42" s="14"/>
      <c r="B42" s="771"/>
      <c r="C42" s="768" t="s">
        <v>9948</v>
      </c>
      <c r="D42" s="800" t="s">
        <v>10528</v>
      </c>
      <c r="E42" s="771"/>
      <c r="F42" s="465" t="s">
        <v>5623</v>
      </c>
      <c r="G42" s="778">
        <v>3</v>
      </c>
      <c r="H42" s="13">
        <v>3</v>
      </c>
      <c r="I42" s="778">
        <v>3</v>
      </c>
      <c r="J42" s="460">
        <f t="shared" si="0"/>
        <v>3</v>
      </c>
      <c r="K42" s="778">
        <v>1</v>
      </c>
      <c r="L42" s="460">
        <v>1</v>
      </c>
      <c r="M42" s="778">
        <v>3</v>
      </c>
      <c r="N42" s="13">
        <v>3</v>
      </c>
      <c r="O42" s="778" t="b">
        <v>0</v>
      </c>
      <c r="P42" s="460" t="b">
        <v>0</v>
      </c>
    </row>
    <row r="43" spans="1:16">
      <c r="A43" s="14"/>
      <c r="B43" s="771"/>
      <c r="C43" s="768" t="s">
        <v>9947</v>
      </c>
      <c r="D43" s="800" t="s">
        <v>10528</v>
      </c>
      <c r="E43" s="771"/>
      <c r="F43" s="465" t="s">
        <v>5622</v>
      </c>
      <c r="G43" s="778">
        <v>3</v>
      </c>
      <c r="H43" s="13">
        <v>3</v>
      </c>
      <c r="I43" s="778">
        <v>3</v>
      </c>
      <c r="J43" s="460">
        <f t="shared" si="0"/>
        <v>3</v>
      </c>
      <c r="K43" s="778">
        <v>1</v>
      </c>
      <c r="L43" s="460">
        <v>1</v>
      </c>
      <c r="M43" s="778">
        <v>3</v>
      </c>
      <c r="N43" s="13">
        <v>3</v>
      </c>
      <c r="O43" s="778" t="b">
        <v>0</v>
      </c>
      <c r="P43" s="460" t="b">
        <v>0</v>
      </c>
    </row>
    <row r="44" spans="1:16">
      <c r="A44" s="14"/>
      <c r="B44" s="771"/>
      <c r="C44" s="768" t="s">
        <v>9946</v>
      </c>
      <c r="D44" s="800" t="s">
        <v>10528</v>
      </c>
      <c r="E44" s="771"/>
      <c r="F44" s="465" t="s">
        <v>5621</v>
      </c>
      <c r="G44" s="778">
        <v>3</v>
      </c>
      <c r="H44" s="13">
        <v>3</v>
      </c>
      <c r="I44" s="778">
        <v>3</v>
      </c>
      <c r="J44" s="460">
        <f t="shared" si="0"/>
        <v>3</v>
      </c>
      <c r="K44" s="778">
        <v>1</v>
      </c>
      <c r="L44" s="460">
        <v>1</v>
      </c>
      <c r="M44" s="778">
        <v>3</v>
      </c>
      <c r="N44" s="13">
        <v>3</v>
      </c>
      <c r="O44" s="778" t="b">
        <v>0</v>
      </c>
      <c r="P44" s="460" t="b">
        <v>0</v>
      </c>
    </row>
    <row r="45" spans="1:16">
      <c r="A45" s="14"/>
      <c r="B45" s="771"/>
      <c r="C45" s="768" t="s">
        <v>9945</v>
      </c>
      <c r="D45" s="800" t="s">
        <v>10528</v>
      </c>
      <c r="E45" s="771"/>
      <c r="F45" s="465" t="s">
        <v>5620</v>
      </c>
      <c r="G45" s="778">
        <v>3</v>
      </c>
      <c r="H45" s="13">
        <v>3</v>
      </c>
      <c r="I45" s="778">
        <v>3</v>
      </c>
      <c r="J45" s="460">
        <f t="shared" si="0"/>
        <v>3</v>
      </c>
      <c r="K45" s="778">
        <v>1</v>
      </c>
      <c r="L45" s="460">
        <v>1</v>
      </c>
      <c r="M45" s="778">
        <v>3</v>
      </c>
      <c r="N45" s="13">
        <v>3</v>
      </c>
      <c r="O45" s="778" t="b">
        <v>0</v>
      </c>
      <c r="P45" s="460" t="b">
        <v>0</v>
      </c>
    </row>
    <row r="46" spans="1:16">
      <c r="A46" s="14"/>
      <c r="B46" s="771"/>
      <c r="C46" s="768" t="s">
        <v>9944</v>
      </c>
      <c r="D46" s="800" t="s">
        <v>10528</v>
      </c>
      <c r="E46" s="771"/>
      <c r="F46" s="465" t="s">
        <v>5619</v>
      </c>
      <c r="G46" s="778">
        <v>3</v>
      </c>
      <c r="H46" s="13">
        <v>3</v>
      </c>
      <c r="I46" s="778">
        <v>3</v>
      </c>
      <c r="J46" s="460">
        <f t="shared" si="0"/>
        <v>3</v>
      </c>
      <c r="K46" s="778">
        <v>1</v>
      </c>
      <c r="L46" s="460">
        <v>1</v>
      </c>
      <c r="M46" s="778">
        <v>3</v>
      </c>
      <c r="N46" s="13">
        <v>3</v>
      </c>
      <c r="O46" s="778" t="b">
        <v>0</v>
      </c>
      <c r="P46" s="460" t="b">
        <v>0</v>
      </c>
    </row>
    <row r="47" spans="1:16">
      <c r="A47" s="14"/>
      <c r="B47" s="771"/>
      <c r="C47" s="768" t="s">
        <v>9943</v>
      </c>
      <c r="D47" s="800" t="s">
        <v>10528</v>
      </c>
      <c r="E47" s="771"/>
      <c r="F47" s="465" t="s">
        <v>5618</v>
      </c>
      <c r="G47" s="778">
        <v>3</v>
      </c>
      <c r="H47" s="460">
        <v>3</v>
      </c>
      <c r="I47" s="778">
        <v>3</v>
      </c>
      <c r="J47" s="460">
        <f t="shared" si="0"/>
        <v>3</v>
      </c>
      <c r="K47" s="778">
        <v>1</v>
      </c>
      <c r="L47" s="460">
        <v>1</v>
      </c>
      <c r="M47" s="778">
        <v>3</v>
      </c>
      <c r="N47" s="13">
        <v>3</v>
      </c>
      <c r="O47" s="778" t="b">
        <v>0</v>
      </c>
      <c r="P47" s="460" t="b">
        <v>0</v>
      </c>
    </row>
    <row r="48" spans="1:16">
      <c r="A48" s="14"/>
      <c r="B48" s="771"/>
      <c r="C48" s="768" t="s">
        <v>9942</v>
      </c>
      <c r="D48" s="800" t="s">
        <v>10528</v>
      </c>
      <c r="E48" s="771"/>
      <c r="F48" s="465" t="s">
        <v>5617</v>
      </c>
      <c r="G48" s="778">
        <v>3</v>
      </c>
      <c r="H48" s="460">
        <v>3</v>
      </c>
      <c r="I48" s="778">
        <v>3</v>
      </c>
      <c r="J48" s="460">
        <f t="shared" si="0"/>
        <v>3</v>
      </c>
      <c r="K48" s="778">
        <v>1</v>
      </c>
      <c r="L48" s="460">
        <v>1</v>
      </c>
      <c r="M48" s="778">
        <v>3</v>
      </c>
      <c r="N48" s="177">
        <v>3</v>
      </c>
      <c r="O48" s="778" t="b">
        <v>0</v>
      </c>
      <c r="P48" s="460" t="b">
        <v>0</v>
      </c>
    </row>
    <row r="49" spans="1:16">
      <c r="A49" s="14"/>
      <c r="B49" s="771"/>
      <c r="C49" s="768" t="s">
        <v>9941</v>
      </c>
      <c r="D49" s="800" t="s">
        <v>10528</v>
      </c>
      <c r="E49" s="771"/>
      <c r="F49" s="465" t="s">
        <v>5616</v>
      </c>
      <c r="G49" s="778">
        <v>3</v>
      </c>
      <c r="H49" s="460">
        <v>3</v>
      </c>
      <c r="I49" s="778">
        <v>3</v>
      </c>
      <c r="J49" s="460">
        <f t="shared" si="0"/>
        <v>3</v>
      </c>
      <c r="K49" s="778">
        <v>1</v>
      </c>
      <c r="L49" s="460">
        <v>1</v>
      </c>
      <c r="M49" s="778">
        <v>3</v>
      </c>
      <c r="N49" s="177">
        <v>3</v>
      </c>
      <c r="O49" s="778" t="b">
        <v>0</v>
      </c>
      <c r="P49" s="460" t="b">
        <v>0</v>
      </c>
    </row>
    <row r="50" spans="1:16">
      <c r="A50" s="14"/>
      <c r="B50" s="771"/>
      <c r="C50" s="768" t="s">
        <v>9940</v>
      </c>
      <c r="D50" s="800" t="s">
        <v>10528</v>
      </c>
      <c r="E50" s="771"/>
      <c r="F50" s="465" t="s">
        <v>5615</v>
      </c>
      <c r="G50" s="778">
        <v>3</v>
      </c>
      <c r="H50" s="460">
        <v>3</v>
      </c>
      <c r="I50" s="778">
        <v>3</v>
      </c>
      <c r="J50" s="460">
        <f t="shared" si="0"/>
        <v>3</v>
      </c>
      <c r="K50" s="778">
        <v>1</v>
      </c>
      <c r="L50" s="460">
        <v>1</v>
      </c>
      <c r="M50" s="778">
        <v>3</v>
      </c>
      <c r="N50" s="177">
        <v>3</v>
      </c>
      <c r="O50" s="778" t="b">
        <v>0</v>
      </c>
      <c r="P50" s="460" t="b">
        <v>0</v>
      </c>
    </row>
    <row r="51" spans="1:16">
      <c r="A51" s="14"/>
      <c r="B51" s="771"/>
      <c r="C51" s="768" t="s">
        <v>9939</v>
      </c>
      <c r="D51" s="800" t="s">
        <v>10528</v>
      </c>
      <c r="E51" s="771"/>
      <c r="F51" s="465" t="s">
        <v>5614</v>
      </c>
      <c r="G51" s="778">
        <v>3</v>
      </c>
      <c r="H51" s="460">
        <v>3</v>
      </c>
      <c r="I51" s="778">
        <v>3</v>
      </c>
      <c r="J51" s="460">
        <f t="shared" si="0"/>
        <v>3</v>
      </c>
      <c r="K51" s="778">
        <v>1</v>
      </c>
      <c r="L51" s="460">
        <v>1</v>
      </c>
      <c r="M51" s="778">
        <v>3</v>
      </c>
      <c r="N51" s="177">
        <v>3</v>
      </c>
      <c r="O51" s="778" t="b">
        <v>0</v>
      </c>
      <c r="P51" s="460" t="b">
        <v>0</v>
      </c>
    </row>
    <row r="52" spans="1:16">
      <c r="A52" s="14"/>
      <c r="B52" s="771"/>
      <c r="C52" s="768" t="s">
        <v>9938</v>
      </c>
      <c r="D52" s="800" t="s">
        <v>10528</v>
      </c>
      <c r="E52" s="771"/>
      <c r="F52" s="465" t="s">
        <v>5613</v>
      </c>
      <c r="G52" s="778">
        <v>3</v>
      </c>
      <c r="H52" s="460">
        <v>3</v>
      </c>
      <c r="I52" s="778">
        <v>3</v>
      </c>
      <c r="J52" s="460">
        <f t="shared" si="0"/>
        <v>3</v>
      </c>
      <c r="K52" s="778">
        <v>1</v>
      </c>
      <c r="L52" s="460">
        <v>1</v>
      </c>
      <c r="M52" s="778">
        <v>3</v>
      </c>
      <c r="N52" s="177">
        <v>3</v>
      </c>
      <c r="O52" s="778" t="b">
        <v>0</v>
      </c>
      <c r="P52" s="460" t="b">
        <v>0</v>
      </c>
    </row>
    <row r="53" spans="1:16">
      <c r="A53" s="14"/>
      <c r="B53" s="771"/>
      <c r="C53" s="768" t="s">
        <v>9937</v>
      </c>
      <c r="D53" s="800" t="s">
        <v>10528</v>
      </c>
      <c r="E53" s="771"/>
      <c r="F53" s="465" t="s">
        <v>5612</v>
      </c>
      <c r="G53" s="778">
        <v>3</v>
      </c>
      <c r="H53" s="460">
        <v>3</v>
      </c>
      <c r="I53" s="778">
        <v>3</v>
      </c>
      <c r="J53" s="460">
        <f t="shared" si="0"/>
        <v>3</v>
      </c>
      <c r="K53" s="778">
        <v>1</v>
      </c>
      <c r="L53" s="460">
        <v>1</v>
      </c>
      <c r="M53" s="778">
        <v>3</v>
      </c>
      <c r="N53" s="177">
        <v>3</v>
      </c>
      <c r="O53" s="778" t="b">
        <v>0</v>
      </c>
      <c r="P53" s="460" t="b">
        <v>0</v>
      </c>
    </row>
    <row r="54" spans="1:16">
      <c r="A54" s="14"/>
      <c r="B54" s="771"/>
      <c r="C54" s="768" t="s">
        <v>9936</v>
      </c>
      <c r="D54" s="800" t="s">
        <v>10528</v>
      </c>
      <c r="E54" s="771"/>
      <c r="F54" s="465" t="s">
        <v>5611</v>
      </c>
      <c r="G54" s="778">
        <v>3</v>
      </c>
      <c r="H54" s="460">
        <v>3</v>
      </c>
      <c r="I54" s="778">
        <v>3</v>
      </c>
      <c r="J54" s="460">
        <f t="shared" si="0"/>
        <v>3</v>
      </c>
      <c r="K54" s="778">
        <v>1</v>
      </c>
      <c r="L54" s="460">
        <v>1</v>
      </c>
      <c r="M54" s="778">
        <v>3</v>
      </c>
      <c r="N54" s="177">
        <v>3</v>
      </c>
      <c r="O54" s="778" t="b">
        <v>0</v>
      </c>
      <c r="P54" s="460" t="b">
        <v>0</v>
      </c>
    </row>
    <row r="55" spans="1:16">
      <c r="A55" s="14"/>
      <c r="B55" s="771"/>
      <c r="C55" s="768" t="s">
        <v>9935</v>
      </c>
      <c r="D55" s="800" t="s">
        <v>10528</v>
      </c>
      <c r="E55" s="771"/>
      <c r="F55" s="465" t="s">
        <v>5610</v>
      </c>
      <c r="G55" s="778">
        <v>3</v>
      </c>
      <c r="H55" s="460">
        <v>3</v>
      </c>
      <c r="I55" s="778">
        <v>3</v>
      </c>
      <c r="J55" s="460">
        <f t="shared" si="0"/>
        <v>3</v>
      </c>
      <c r="K55" s="778">
        <v>1</v>
      </c>
      <c r="L55" s="460">
        <v>1</v>
      </c>
      <c r="M55" s="778">
        <v>3</v>
      </c>
      <c r="N55" s="177">
        <v>3</v>
      </c>
      <c r="O55" s="778" t="b">
        <v>0</v>
      </c>
      <c r="P55" s="460" t="b">
        <v>0</v>
      </c>
    </row>
    <row r="56" spans="1:16">
      <c r="A56" s="14"/>
      <c r="B56" s="771"/>
      <c r="C56" s="768" t="s">
        <v>9934</v>
      </c>
      <c r="D56" s="800" t="s">
        <v>10528</v>
      </c>
      <c r="E56" s="771"/>
      <c r="F56" s="465" t="s">
        <v>5609</v>
      </c>
      <c r="G56" s="778">
        <v>3</v>
      </c>
      <c r="H56" s="460">
        <v>3</v>
      </c>
      <c r="I56" s="778">
        <v>3</v>
      </c>
      <c r="J56" s="460">
        <f t="shared" si="0"/>
        <v>3</v>
      </c>
      <c r="K56" s="778">
        <v>1</v>
      </c>
      <c r="L56" s="460">
        <v>1</v>
      </c>
      <c r="M56" s="778">
        <v>3</v>
      </c>
      <c r="N56" s="177">
        <v>3</v>
      </c>
      <c r="O56" s="778" t="b">
        <v>0</v>
      </c>
      <c r="P56" s="460" t="b">
        <v>0</v>
      </c>
    </row>
    <row r="57" spans="1:16">
      <c r="A57" s="14"/>
      <c r="B57" s="771"/>
      <c r="C57" s="768" t="s">
        <v>10329</v>
      </c>
      <c r="D57" s="800" t="s">
        <v>10528</v>
      </c>
      <c r="E57" s="771"/>
      <c r="F57" s="465" t="s">
        <v>9116</v>
      </c>
      <c r="G57" s="778">
        <v>3</v>
      </c>
      <c r="H57" s="460">
        <v>3</v>
      </c>
      <c r="I57" s="778">
        <v>3</v>
      </c>
      <c r="J57" s="460">
        <f t="shared" si="0"/>
        <v>3</v>
      </c>
      <c r="K57" s="778">
        <v>1</v>
      </c>
      <c r="L57" s="460">
        <v>1</v>
      </c>
      <c r="M57" s="778">
        <v>3</v>
      </c>
      <c r="N57" s="177">
        <v>3</v>
      </c>
      <c r="O57" s="783" t="b">
        <v>0</v>
      </c>
      <c r="P57" s="460">
        <f>IF(VLOOKUP($C57,Valve_from_BP!$O:$AE,8,0)="yes",1,0)</f>
        <v>0</v>
      </c>
    </row>
    <row r="58" spans="1:16">
      <c r="A58" s="14"/>
      <c r="B58" s="771"/>
      <c r="C58" s="768" t="s">
        <v>5751</v>
      </c>
      <c r="D58" s="800" t="s">
        <v>10528</v>
      </c>
      <c r="E58" s="771"/>
      <c r="F58" s="465" t="s">
        <v>5601</v>
      </c>
      <c r="G58" s="778">
        <v>3</v>
      </c>
      <c r="H58" s="460">
        <v>3</v>
      </c>
      <c r="I58" s="778">
        <v>3</v>
      </c>
      <c r="J58" s="460">
        <f t="shared" si="0"/>
        <v>3</v>
      </c>
      <c r="K58" s="778">
        <v>1</v>
      </c>
      <c r="L58" s="460">
        <v>1</v>
      </c>
      <c r="M58" s="778">
        <v>3</v>
      </c>
      <c r="N58" s="177">
        <v>3</v>
      </c>
      <c r="O58" s="783" t="b">
        <v>0</v>
      </c>
      <c r="P58" s="460">
        <f>IF(VLOOKUP($C58,Valve_from_BP!$O:$AE,8,0)="yes",1,0)</f>
        <v>0</v>
      </c>
    </row>
    <row r="59" spans="1:16">
      <c r="A59" s="14"/>
      <c r="B59" s="771"/>
      <c r="C59" s="768" t="s">
        <v>10229</v>
      </c>
      <c r="D59" s="800" t="s">
        <v>10528</v>
      </c>
      <c r="E59" s="771"/>
      <c r="F59" s="465" t="s">
        <v>7860</v>
      </c>
      <c r="G59" s="778">
        <v>3</v>
      </c>
      <c r="H59" s="460">
        <v>3</v>
      </c>
      <c r="I59" s="778">
        <v>3</v>
      </c>
      <c r="J59" s="460">
        <f t="shared" si="0"/>
        <v>3</v>
      </c>
      <c r="K59" s="778">
        <v>1</v>
      </c>
      <c r="L59" s="460">
        <v>1</v>
      </c>
      <c r="M59" s="778">
        <v>3</v>
      </c>
      <c r="N59" s="177">
        <v>3</v>
      </c>
      <c r="O59" s="778" t="b">
        <v>0</v>
      </c>
      <c r="P59" s="460" t="b">
        <v>0</v>
      </c>
    </row>
    <row r="60" spans="1:16">
      <c r="A60" s="14"/>
      <c r="B60" s="771"/>
      <c r="C60" s="768" t="s">
        <v>10228</v>
      </c>
      <c r="D60" s="800" t="s">
        <v>10528</v>
      </c>
      <c r="E60" s="771"/>
      <c r="F60" s="465" t="s">
        <v>7859</v>
      </c>
      <c r="G60" s="778">
        <v>3</v>
      </c>
      <c r="H60" s="460">
        <v>3</v>
      </c>
      <c r="I60" s="778">
        <v>3</v>
      </c>
      <c r="J60" s="460">
        <f t="shared" si="0"/>
        <v>3</v>
      </c>
      <c r="K60" s="778">
        <v>1</v>
      </c>
      <c r="L60" s="460">
        <v>1</v>
      </c>
      <c r="M60" s="778">
        <v>3</v>
      </c>
      <c r="N60" s="177">
        <v>3</v>
      </c>
      <c r="O60" s="778" t="b">
        <v>0</v>
      </c>
      <c r="P60" s="460" t="b">
        <v>0</v>
      </c>
    </row>
    <row r="61" spans="1:16">
      <c r="A61" s="14"/>
      <c r="B61" s="771"/>
      <c r="C61" s="768" t="s">
        <v>10333</v>
      </c>
      <c r="D61" s="800" t="s">
        <v>10528</v>
      </c>
      <c r="E61" s="771"/>
      <c r="F61" s="465" t="s">
        <v>9117</v>
      </c>
      <c r="G61" s="778">
        <v>3</v>
      </c>
      <c r="H61" s="460">
        <v>3</v>
      </c>
      <c r="I61" s="778">
        <v>3</v>
      </c>
      <c r="J61" s="460">
        <f t="shared" si="0"/>
        <v>3</v>
      </c>
      <c r="K61" s="778">
        <v>1</v>
      </c>
      <c r="L61" s="460">
        <v>1</v>
      </c>
      <c r="M61" s="778">
        <v>3</v>
      </c>
      <c r="N61" s="177">
        <v>3</v>
      </c>
      <c r="O61" s="778" t="b">
        <v>0</v>
      </c>
      <c r="P61" s="460" t="b">
        <v>0</v>
      </c>
    </row>
    <row r="62" spans="1:16">
      <c r="A62" s="14"/>
      <c r="B62" s="771"/>
      <c r="C62" s="768" t="s">
        <v>9226</v>
      </c>
      <c r="D62" s="800" t="s">
        <v>10528</v>
      </c>
      <c r="E62" s="771"/>
      <c r="F62" s="465" t="s">
        <v>9364</v>
      </c>
      <c r="G62" s="778">
        <v>3</v>
      </c>
      <c r="H62" s="460">
        <v>3</v>
      </c>
      <c r="I62" s="778">
        <v>3</v>
      </c>
      <c r="J62" s="460">
        <f t="shared" si="0"/>
        <v>3</v>
      </c>
      <c r="K62" s="778">
        <v>1</v>
      </c>
      <c r="L62" s="460">
        <v>1</v>
      </c>
      <c r="M62" s="778">
        <v>3</v>
      </c>
      <c r="N62" s="177">
        <v>3</v>
      </c>
      <c r="O62" s="778" t="b">
        <v>0</v>
      </c>
      <c r="P62" s="460" t="b">
        <v>0</v>
      </c>
    </row>
    <row r="63" spans="1:16">
      <c r="A63" s="14"/>
      <c r="B63" s="771"/>
      <c r="C63" s="768" t="s">
        <v>5748</v>
      </c>
      <c r="D63" s="800" t="s">
        <v>10528</v>
      </c>
      <c r="E63" s="771"/>
      <c r="F63" s="465" t="s">
        <v>5598</v>
      </c>
      <c r="G63" s="778">
        <v>3</v>
      </c>
      <c r="H63" s="460">
        <v>3</v>
      </c>
      <c r="I63" s="778">
        <v>3</v>
      </c>
      <c r="J63" s="460">
        <f t="shared" si="0"/>
        <v>3</v>
      </c>
      <c r="K63" s="778">
        <v>1</v>
      </c>
      <c r="L63" s="460">
        <v>1</v>
      </c>
      <c r="M63" s="778">
        <v>0</v>
      </c>
      <c r="N63" s="177"/>
      <c r="O63" s="778" t="b">
        <v>0</v>
      </c>
      <c r="P63" s="460">
        <f>IF(VLOOKUP($C63,Valve_from_BP!$O:$AE,8,0)="yes",1,0)</f>
        <v>0</v>
      </c>
    </row>
    <row r="64" spans="1:16">
      <c r="A64" s="14"/>
      <c r="B64" s="771"/>
      <c r="C64" s="768" t="s">
        <v>5747</v>
      </c>
      <c r="D64" s="800" t="s">
        <v>10528</v>
      </c>
      <c r="E64" s="771"/>
      <c r="F64" s="465" t="s">
        <v>5597</v>
      </c>
      <c r="G64" s="778">
        <v>3</v>
      </c>
      <c r="H64" s="460">
        <v>3</v>
      </c>
      <c r="I64" s="778">
        <v>3</v>
      </c>
      <c r="J64" s="460">
        <f t="shared" si="0"/>
        <v>3</v>
      </c>
      <c r="K64" s="778">
        <v>1</v>
      </c>
      <c r="L64" s="460">
        <v>1</v>
      </c>
      <c r="M64" s="778">
        <v>0</v>
      </c>
      <c r="N64" s="177"/>
      <c r="O64" s="778" t="b">
        <v>0</v>
      </c>
      <c r="P64" s="460" t="b">
        <v>0</v>
      </c>
    </row>
    <row r="65" spans="1:16">
      <c r="A65" s="14"/>
      <c r="B65" s="771"/>
      <c r="C65" s="768" t="s">
        <v>10328</v>
      </c>
      <c r="D65" s="800" t="s">
        <v>10528</v>
      </c>
      <c r="E65" s="771"/>
      <c r="F65" s="465" t="s">
        <v>8152</v>
      </c>
      <c r="G65" s="778">
        <v>3</v>
      </c>
      <c r="H65" s="460">
        <v>3</v>
      </c>
      <c r="I65" s="778">
        <v>3</v>
      </c>
      <c r="J65" s="460">
        <f t="shared" si="0"/>
        <v>3</v>
      </c>
      <c r="K65" s="778">
        <v>1</v>
      </c>
      <c r="L65" s="460">
        <v>1</v>
      </c>
      <c r="M65" s="778">
        <v>0</v>
      </c>
      <c r="N65" s="177"/>
      <c r="O65" s="778" t="b">
        <v>0</v>
      </c>
      <c r="P65" s="460" t="b">
        <v>0</v>
      </c>
    </row>
    <row r="66" spans="1:16">
      <c r="A66" s="14"/>
      <c r="B66" s="771"/>
      <c r="C66" s="768" t="s">
        <v>10327</v>
      </c>
      <c r="D66" s="800" t="s">
        <v>10528</v>
      </c>
      <c r="E66" s="771"/>
      <c r="F66" s="465" t="s">
        <v>9170</v>
      </c>
      <c r="G66" s="778">
        <v>3</v>
      </c>
      <c r="H66" s="13">
        <v>3</v>
      </c>
      <c r="I66" s="778">
        <v>3</v>
      </c>
      <c r="J66" s="460">
        <f t="shared" si="0"/>
        <v>3</v>
      </c>
      <c r="K66" s="778">
        <v>1</v>
      </c>
      <c r="L66" s="460">
        <v>1</v>
      </c>
      <c r="M66" s="778">
        <v>0</v>
      </c>
      <c r="N66" s="177"/>
      <c r="O66" s="778" t="b">
        <v>0</v>
      </c>
      <c r="P66" s="460" t="b">
        <v>0</v>
      </c>
    </row>
    <row r="67" spans="1:16">
      <c r="A67" s="14"/>
      <c r="B67" s="771"/>
      <c r="C67" s="768" t="s">
        <v>10336</v>
      </c>
      <c r="D67" s="800" t="s">
        <v>10528</v>
      </c>
      <c r="E67" s="771"/>
      <c r="F67" s="465" t="s">
        <v>9169</v>
      </c>
      <c r="G67" s="778">
        <v>3</v>
      </c>
      <c r="H67" s="13">
        <v>3</v>
      </c>
      <c r="I67" s="778">
        <v>3</v>
      </c>
      <c r="J67" s="460">
        <f t="shared" si="0"/>
        <v>3</v>
      </c>
      <c r="K67" s="778">
        <v>1</v>
      </c>
      <c r="L67" s="460">
        <v>1</v>
      </c>
      <c r="M67" s="778">
        <v>0</v>
      </c>
      <c r="N67" s="177"/>
      <c r="O67" s="783" t="b">
        <v>0</v>
      </c>
      <c r="P67" s="460">
        <f>IF(VLOOKUP($C67,Valve_from_BP!$O:$AE,8,0)="yes",1,0)</f>
        <v>0</v>
      </c>
    </row>
    <row r="68" spans="1:16">
      <c r="A68" s="14"/>
      <c r="B68" s="771"/>
      <c r="C68" s="768" t="s">
        <v>10214</v>
      </c>
      <c r="D68" s="800" t="s">
        <v>10528</v>
      </c>
      <c r="E68" s="771"/>
      <c r="F68" s="465" t="s">
        <v>7841</v>
      </c>
      <c r="G68" s="778">
        <v>3</v>
      </c>
      <c r="H68" s="13">
        <v>3</v>
      </c>
      <c r="I68" s="778">
        <v>3</v>
      </c>
      <c r="J68" s="460">
        <f t="shared" si="0"/>
        <v>3</v>
      </c>
      <c r="K68" s="778">
        <v>1</v>
      </c>
      <c r="L68" s="460">
        <v>1</v>
      </c>
      <c r="M68" s="778">
        <v>0</v>
      </c>
      <c r="N68" s="177"/>
      <c r="O68" s="783" t="b">
        <v>1</v>
      </c>
      <c r="P68" s="460">
        <f>IF(VLOOKUP($C68,Valve_from_BP!$O:$AE,8,0)="yes",1,0)</f>
        <v>1</v>
      </c>
    </row>
    <row r="69" spans="1:16">
      <c r="A69" s="14"/>
      <c r="B69" s="771"/>
      <c r="C69" s="768" t="s">
        <v>10138</v>
      </c>
      <c r="D69" s="800" t="s">
        <v>10528</v>
      </c>
      <c r="E69" s="771"/>
      <c r="F69" s="465" t="s">
        <v>6573</v>
      </c>
      <c r="G69" s="778">
        <v>3</v>
      </c>
      <c r="H69" s="13">
        <v>3</v>
      </c>
      <c r="I69" s="778">
        <v>3</v>
      </c>
      <c r="J69" s="460">
        <f t="shared" ref="J69:J132" si="1">H69</f>
        <v>3</v>
      </c>
      <c r="K69" s="778">
        <v>1</v>
      </c>
      <c r="L69" s="460">
        <v>1</v>
      </c>
      <c r="M69" s="778">
        <v>0</v>
      </c>
      <c r="N69" s="177"/>
      <c r="O69" s="778" t="b">
        <v>0</v>
      </c>
      <c r="P69" s="460" t="b">
        <v>0</v>
      </c>
    </row>
    <row r="70" spans="1:16">
      <c r="A70" s="14"/>
      <c r="B70" s="771"/>
      <c r="C70" s="768" t="s">
        <v>8197</v>
      </c>
      <c r="D70" s="800" t="s">
        <v>10528</v>
      </c>
      <c r="E70" s="771"/>
      <c r="F70" s="465" t="s">
        <v>6572</v>
      </c>
      <c r="G70" s="778">
        <v>3</v>
      </c>
      <c r="H70" s="13">
        <v>3</v>
      </c>
      <c r="I70" s="778">
        <v>3</v>
      </c>
      <c r="J70" s="460">
        <f t="shared" si="1"/>
        <v>3</v>
      </c>
      <c r="K70" s="778">
        <v>1</v>
      </c>
      <c r="L70" s="460">
        <v>1</v>
      </c>
      <c r="M70" s="778">
        <v>0</v>
      </c>
      <c r="N70" s="177"/>
      <c r="O70" s="778" t="b">
        <v>0</v>
      </c>
      <c r="P70" s="460" t="b">
        <v>0</v>
      </c>
    </row>
    <row r="71" spans="1:16">
      <c r="A71" s="14"/>
      <c r="B71" s="771"/>
      <c r="C71" s="768" t="s">
        <v>5746</v>
      </c>
      <c r="D71" s="800" t="s">
        <v>10528</v>
      </c>
      <c r="E71" s="771"/>
      <c r="F71" s="465" t="s">
        <v>5596</v>
      </c>
      <c r="G71" s="778">
        <v>3</v>
      </c>
      <c r="H71" s="13">
        <v>3</v>
      </c>
      <c r="I71" s="778">
        <v>3</v>
      </c>
      <c r="J71" s="460">
        <f t="shared" si="1"/>
        <v>3</v>
      </c>
      <c r="K71" s="778">
        <v>1</v>
      </c>
      <c r="L71" s="460">
        <v>1</v>
      </c>
      <c r="M71" s="778">
        <v>0</v>
      </c>
      <c r="N71" s="177"/>
      <c r="O71" s="783" t="b">
        <v>0</v>
      </c>
      <c r="P71" s="460">
        <f>IF(VLOOKUP($C71,Valve_from_BP!$O:$AE,8,0)="yes",1,0)</f>
        <v>0</v>
      </c>
    </row>
    <row r="72" spans="1:16">
      <c r="A72" s="14"/>
      <c r="B72" s="771"/>
      <c r="C72" s="768" t="s">
        <v>10334</v>
      </c>
      <c r="D72" s="800" t="s">
        <v>10528</v>
      </c>
      <c r="E72" s="771"/>
      <c r="F72" s="465" t="s">
        <v>5583</v>
      </c>
      <c r="G72" s="778">
        <v>3</v>
      </c>
      <c r="H72" s="13">
        <v>3</v>
      </c>
      <c r="I72" s="778">
        <v>3</v>
      </c>
      <c r="J72" s="460">
        <f t="shared" si="1"/>
        <v>3</v>
      </c>
      <c r="K72" s="778">
        <v>1</v>
      </c>
      <c r="L72" s="460">
        <v>1</v>
      </c>
      <c r="M72" s="778">
        <v>0</v>
      </c>
      <c r="N72" s="177"/>
      <c r="O72" s="783" t="b">
        <v>0</v>
      </c>
      <c r="P72" s="460">
        <f>IF(VLOOKUP($C72,Valve_from_BP!$O:$AE,8,0)="yes",1,0)</f>
        <v>0</v>
      </c>
    </row>
    <row r="73" spans="1:16">
      <c r="A73" s="14"/>
      <c r="B73" s="771"/>
      <c r="C73" s="768" t="s">
        <v>10050</v>
      </c>
      <c r="D73" s="800" t="s">
        <v>10528</v>
      </c>
      <c r="E73" s="771"/>
      <c r="F73" s="465" t="s">
        <v>6058</v>
      </c>
      <c r="G73" s="778">
        <v>3</v>
      </c>
      <c r="H73" s="13">
        <v>3</v>
      </c>
      <c r="I73" s="778">
        <v>3</v>
      </c>
      <c r="J73" s="460">
        <f t="shared" si="1"/>
        <v>3</v>
      </c>
      <c r="K73" s="778">
        <v>1</v>
      </c>
      <c r="L73" s="460">
        <v>1</v>
      </c>
      <c r="M73" s="778">
        <v>0</v>
      </c>
      <c r="N73" s="177"/>
      <c r="O73" s="778" t="b">
        <v>0</v>
      </c>
      <c r="P73" s="460" t="b">
        <v>0</v>
      </c>
    </row>
    <row r="74" spans="1:16">
      <c r="A74" s="14"/>
      <c r="B74" s="771"/>
      <c r="C74" s="768" t="s">
        <v>10049</v>
      </c>
      <c r="D74" s="800" t="s">
        <v>10528</v>
      </c>
      <c r="E74" s="771"/>
      <c r="F74" s="465" t="s">
        <v>6057</v>
      </c>
      <c r="G74" s="778">
        <v>3</v>
      </c>
      <c r="H74" s="13">
        <v>3</v>
      </c>
      <c r="I74" s="778">
        <v>3</v>
      </c>
      <c r="J74" s="460">
        <f t="shared" si="1"/>
        <v>3</v>
      </c>
      <c r="K74" s="778">
        <v>1</v>
      </c>
      <c r="L74" s="460">
        <v>1</v>
      </c>
      <c r="M74" s="778">
        <v>0</v>
      </c>
      <c r="N74" s="177"/>
      <c r="O74" s="778" t="b">
        <v>0</v>
      </c>
      <c r="P74" s="460" t="b">
        <v>0</v>
      </c>
    </row>
    <row r="75" spans="1:16">
      <c r="A75" s="14"/>
      <c r="B75" s="771"/>
      <c r="C75" s="768" t="s">
        <v>6597</v>
      </c>
      <c r="D75" s="800" t="s">
        <v>10528</v>
      </c>
      <c r="E75" s="771"/>
      <c r="F75" s="465" t="s">
        <v>6465</v>
      </c>
      <c r="G75" s="778">
        <v>3</v>
      </c>
      <c r="H75" s="13">
        <v>3</v>
      </c>
      <c r="I75" s="778">
        <v>3</v>
      </c>
      <c r="J75" s="460">
        <f t="shared" si="1"/>
        <v>3</v>
      </c>
      <c r="K75" s="778">
        <v>1</v>
      </c>
      <c r="L75" s="460">
        <v>1</v>
      </c>
      <c r="M75" s="778">
        <v>0</v>
      </c>
      <c r="N75" s="177"/>
      <c r="O75" s="778" t="b">
        <v>1</v>
      </c>
      <c r="P75" s="460">
        <f>IF(VLOOKUP($C75,Valve_from_BP!$O:$AE,8,0)="yes",1,0)</f>
        <v>1</v>
      </c>
    </row>
    <row r="76" spans="1:16">
      <c r="A76" s="14"/>
      <c r="B76" s="771"/>
      <c r="C76" s="768" t="s">
        <v>7887</v>
      </c>
      <c r="D76" s="800" t="s">
        <v>10528</v>
      </c>
      <c r="E76" s="771"/>
      <c r="F76" s="465" t="s">
        <v>7873</v>
      </c>
      <c r="G76" s="778">
        <v>3</v>
      </c>
      <c r="H76" s="13">
        <v>3</v>
      </c>
      <c r="I76" s="778">
        <v>3</v>
      </c>
      <c r="J76" s="460">
        <f t="shared" si="1"/>
        <v>3</v>
      </c>
      <c r="K76" s="778">
        <v>1</v>
      </c>
      <c r="L76" s="460">
        <v>1</v>
      </c>
      <c r="M76" s="778">
        <v>0</v>
      </c>
      <c r="N76" s="13"/>
      <c r="O76" s="778" t="b">
        <v>1</v>
      </c>
      <c r="P76" s="460">
        <f>IF(VLOOKUP($C76,Valve_from_BP!$O:$AE,8,0)="yes",1,0)</f>
        <v>1</v>
      </c>
    </row>
    <row r="77" spans="1:16">
      <c r="A77" s="14"/>
      <c r="B77" s="771"/>
      <c r="C77" s="768" t="s">
        <v>10048</v>
      </c>
      <c r="D77" s="800" t="s">
        <v>10528</v>
      </c>
      <c r="E77" s="771"/>
      <c r="F77" s="465" t="s">
        <v>9159</v>
      </c>
      <c r="G77" s="778">
        <v>3</v>
      </c>
      <c r="H77" s="13">
        <v>3</v>
      </c>
      <c r="I77" s="778">
        <v>3</v>
      </c>
      <c r="J77" s="460">
        <f t="shared" si="1"/>
        <v>3</v>
      </c>
      <c r="K77" s="778">
        <v>1</v>
      </c>
      <c r="L77" s="460">
        <v>1</v>
      </c>
      <c r="M77" s="778">
        <v>0</v>
      </c>
      <c r="N77" s="13"/>
      <c r="O77" s="778" t="b">
        <v>0</v>
      </c>
      <c r="P77" s="460" t="b">
        <v>0</v>
      </c>
    </row>
    <row r="78" spans="1:16">
      <c r="A78" s="14"/>
      <c r="B78" s="771"/>
      <c r="C78" s="768" t="s">
        <v>10343</v>
      </c>
      <c r="D78" s="800" t="s">
        <v>10528</v>
      </c>
      <c r="E78" s="771"/>
      <c r="F78" s="465" t="s">
        <v>9358</v>
      </c>
      <c r="G78" s="778">
        <v>3</v>
      </c>
      <c r="H78" s="13">
        <v>3</v>
      </c>
      <c r="I78" s="778">
        <v>3</v>
      </c>
      <c r="J78" s="460">
        <f t="shared" si="1"/>
        <v>3</v>
      </c>
      <c r="K78" s="778">
        <v>1</v>
      </c>
      <c r="L78" s="460">
        <v>1</v>
      </c>
      <c r="M78" s="778">
        <v>0</v>
      </c>
      <c r="N78" s="13"/>
      <c r="O78" s="783" t="b">
        <v>1</v>
      </c>
      <c r="P78" s="460">
        <f>IF(VLOOKUP($C78,Valve_from_BP!$O:$AE,8,0)="yes",1,0)</f>
        <v>1</v>
      </c>
    </row>
    <row r="79" spans="1:16">
      <c r="A79" s="14"/>
      <c r="B79" s="771"/>
      <c r="C79" s="768" t="s">
        <v>9219</v>
      </c>
      <c r="D79" s="800" t="s">
        <v>10528</v>
      </c>
      <c r="E79" s="771"/>
      <c r="F79" s="465" t="s">
        <v>9352</v>
      </c>
      <c r="G79" s="778">
        <v>3</v>
      </c>
      <c r="H79" s="13">
        <v>3</v>
      </c>
      <c r="I79" s="778">
        <v>3</v>
      </c>
      <c r="J79" s="460">
        <f t="shared" si="1"/>
        <v>3</v>
      </c>
      <c r="K79" s="778">
        <v>1</v>
      </c>
      <c r="L79" s="460">
        <v>1</v>
      </c>
      <c r="M79" s="778">
        <v>0</v>
      </c>
      <c r="N79" s="13"/>
      <c r="O79" s="778" t="b">
        <v>0</v>
      </c>
      <c r="P79" s="460" t="b">
        <v>0</v>
      </c>
    </row>
    <row r="80" spans="1:16">
      <c r="A80" s="14"/>
      <c r="B80" s="771"/>
      <c r="C80" s="768" t="s">
        <v>9221</v>
      </c>
      <c r="D80" s="800" t="s">
        <v>10528</v>
      </c>
      <c r="E80" s="771"/>
      <c r="F80" s="465" t="s">
        <v>9354</v>
      </c>
      <c r="G80" s="778">
        <v>3</v>
      </c>
      <c r="H80" s="13">
        <v>3</v>
      </c>
      <c r="I80" s="778">
        <v>3</v>
      </c>
      <c r="J80" s="460">
        <f t="shared" si="1"/>
        <v>3</v>
      </c>
      <c r="K80" s="778">
        <v>1</v>
      </c>
      <c r="L80" s="460">
        <v>1</v>
      </c>
      <c r="M80" s="778">
        <v>0</v>
      </c>
      <c r="N80" s="13"/>
      <c r="O80" s="778" t="b">
        <v>0</v>
      </c>
      <c r="P80" s="460" t="b">
        <v>0</v>
      </c>
    </row>
    <row r="81" spans="1:16">
      <c r="A81" s="14"/>
      <c r="B81" s="771"/>
      <c r="C81" s="768" t="s">
        <v>9964</v>
      </c>
      <c r="D81" s="800" t="s">
        <v>10528</v>
      </c>
      <c r="E81" s="771"/>
      <c r="F81" s="465" t="s">
        <v>5771</v>
      </c>
      <c r="G81" s="778">
        <v>3</v>
      </c>
      <c r="H81" s="13">
        <v>3</v>
      </c>
      <c r="I81" s="778">
        <v>3</v>
      </c>
      <c r="J81" s="460">
        <f t="shared" si="1"/>
        <v>3</v>
      </c>
      <c r="K81" s="778">
        <v>1</v>
      </c>
      <c r="L81" s="460">
        <v>1</v>
      </c>
      <c r="M81" s="778">
        <v>0</v>
      </c>
      <c r="N81" s="13"/>
      <c r="O81" s="778" t="b">
        <v>0</v>
      </c>
      <c r="P81" s="460" t="b">
        <v>0</v>
      </c>
    </row>
    <row r="82" spans="1:16">
      <c r="A82" s="14"/>
      <c r="B82" s="771"/>
      <c r="C82" s="768" t="s">
        <v>5767</v>
      </c>
      <c r="D82" s="800" t="s">
        <v>10528</v>
      </c>
      <c r="E82" s="771"/>
      <c r="F82" s="465" t="s">
        <v>5669</v>
      </c>
      <c r="G82" s="778">
        <v>3</v>
      </c>
      <c r="H82" s="13">
        <v>3</v>
      </c>
      <c r="I82" s="778">
        <v>3</v>
      </c>
      <c r="J82" s="460">
        <f t="shared" si="1"/>
        <v>3</v>
      </c>
      <c r="K82" s="778">
        <v>1</v>
      </c>
      <c r="L82" s="460">
        <v>1</v>
      </c>
      <c r="M82" s="778">
        <v>0</v>
      </c>
      <c r="N82" s="13"/>
      <c r="O82" s="778" t="b">
        <v>0</v>
      </c>
      <c r="P82" s="460" t="b">
        <v>0</v>
      </c>
    </row>
    <row r="83" spans="1:16">
      <c r="A83" s="14"/>
      <c r="B83" s="771"/>
      <c r="C83" s="768" t="s">
        <v>5763</v>
      </c>
      <c r="D83" s="800" t="s">
        <v>10528</v>
      </c>
      <c r="E83" s="771"/>
      <c r="F83" s="465" t="s">
        <v>5665</v>
      </c>
      <c r="G83" s="19">
        <v>3</v>
      </c>
      <c r="H83" s="13">
        <v>3</v>
      </c>
      <c r="I83" s="19">
        <v>3</v>
      </c>
      <c r="J83" s="460">
        <f t="shared" si="1"/>
        <v>3</v>
      </c>
      <c r="K83" s="744">
        <v>1</v>
      </c>
      <c r="L83" s="460">
        <v>1</v>
      </c>
      <c r="M83" s="19">
        <v>0</v>
      </c>
      <c r="N83" s="13"/>
      <c r="O83" s="778" t="b">
        <v>0</v>
      </c>
      <c r="P83" s="460">
        <f>IF(VLOOKUP($C83,Valve_from_BP!$O:$AE,8,0)="yes",1,0)</f>
        <v>0</v>
      </c>
    </row>
    <row r="84" spans="1:16">
      <c r="A84" s="14"/>
      <c r="B84" s="771"/>
      <c r="C84" s="768" t="s">
        <v>10344</v>
      </c>
      <c r="D84" s="800" t="s">
        <v>10528</v>
      </c>
      <c r="E84" s="771"/>
      <c r="F84" s="465" t="s">
        <v>6079</v>
      </c>
      <c r="G84" s="778">
        <v>3</v>
      </c>
      <c r="H84" s="13">
        <v>3</v>
      </c>
      <c r="I84" s="778">
        <v>3</v>
      </c>
      <c r="J84" s="460">
        <f t="shared" si="1"/>
        <v>3</v>
      </c>
      <c r="K84" s="778">
        <v>1</v>
      </c>
      <c r="L84" s="460">
        <v>1</v>
      </c>
      <c r="M84" s="778">
        <v>0</v>
      </c>
      <c r="N84" s="13"/>
      <c r="O84" s="778" t="b">
        <v>0</v>
      </c>
      <c r="P84" s="460">
        <f>IF(VLOOKUP($C84,Valve_from_BP!$O:$AE,8,0)="yes",1,0)</f>
        <v>0</v>
      </c>
    </row>
    <row r="85" spans="1:16">
      <c r="A85" s="14"/>
      <c r="B85" s="771"/>
      <c r="C85" s="768" t="s">
        <v>8199</v>
      </c>
      <c r="D85" s="800" t="s">
        <v>10528</v>
      </c>
      <c r="E85" s="771"/>
      <c r="F85" s="465" t="s">
        <v>9111</v>
      </c>
      <c r="G85" s="778">
        <v>3</v>
      </c>
      <c r="H85" s="13">
        <v>3</v>
      </c>
      <c r="I85" s="778">
        <v>3</v>
      </c>
      <c r="J85" s="460">
        <f t="shared" si="1"/>
        <v>3</v>
      </c>
      <c r="K85" s="778">
        <v>1</v>
      </c>
      <c r="L85" s="460">
        <v>1</v>
      </c>
      <c r="M85" s="778">
        <v>0</v>
      </c>
      <c r="N85" s="13"/>
      <c r="O85" s="778" t="b">
        <v>0</v>
      </c>
      <c r="P85" s="460" t="b">
        <v>0</v>
      </c>
    </row>
    <row r="86" spans="1:16">
      <c r="A86" s="14"/>
      <c r="B86" s="771"/>
      <c r="C86" s="768" t="s">
        <v>8200</v>
      </c>
      <c r="D86" s="800" t="s">
        <v>10528</v>
      </c>
      <c r="E86" s="771"/>
      <c r="F86" s="465" t="s">
        <v>6524</v>
      </c>
      <c r="G86" s="778">
        <v>3</v>
      </c>
      <c r="H86" s="13">
        <v>3</v>
      </c>
      <c r="I86" s="778">
        <v>3</v>
      </c>
      <c r="J86" s="460">
        <f t="shared" si="1"/>
        <v>3</v>
      </c>
      <c r="K86" s="778">
        <v>1</v>
      </c>
      <c r="L86" s="460">
        <v>1</v>
      </c>
      <c r="M86" s="778">
        <v>0</v>
      </c>
      <c r="N86" s="13"/>
      <c r="O86" s="778" t="b">
        <v>0</v>
      </c>
      <c r="P86" s="460" t="b">
        <v>0</v>
      </c>
    </row>
    <row r="87" spans="1:16">
      <c r="A87" s="14"/>
      <c r="B87" s="771"/>
      <c r="C87" s="768" t="s">
        <v>8202</v>
      </c>
      <c r="D87" s="800" t="s">
        <v>10528</v>
      </c>
      <c r="E87" s="771"/>
      <c r="F87" s="465" t="s">
        <v>6523</v>
      </c>
      <c r="G87" s="778">
        <v>3</v>
      </c>
      <c r="H87" s="13">
        <v>3</v>
      </c>
      <c r="I87" s="778">
        <v>3</v>
      </c>
      <c r="J87" s="460">
        <f t="shared" si="1"/>
        <v>3</v>
      </c>
      <c r="K87" s="778">
        <v>1</v>
      </c>
      <c r="L87" s="460">
        <v>1</v>
      </c>
      <c r="M87" s="778">
        <v>0</v>
      </c>
      <c r="N87" s="13"/>
      <c r="O87" s="778" t="b">
        <v>0</v>
      </c>
      <c r="P87" s="460" t="b">
        <v>0</v>
      </c>
    </row>
    <row r="88" spans="1:16">
      <c r="A88" s="14"/>
      <c r="B88" s="771"/>
      <c r="C88" s="768" t="s">
        <v>8203</v>
      </c>
      <c r="D88" s="800" t="s">
        <v>10528</v>
      </c>
      <c r="E88" s="771"/>
      <c r="F88" s="465" t="s">
        <v>6522</v>
      </c>
      <c r="G88" s="778">
        <v>3</v>
      </c>
      <c r="H88" s="13">
        <v>3</v>
      </c>
      <c r="I88" s="778">
        <v>3</v>
      </c>
      <c r="J88" s="460">
        <f t="shared" si="1"/>
        <v>3</v>
      </c>
      <c r="K88" s="778">
        <v>1</v>
      </c>
      <c r="L88" s="460">
        <v>1</v>
      </c>
      <c r="M88" s="778">
        <v>0</v>
      </c>
      <c r="N88" s="13"/>
      <c r="O88" s="778" t="b">
        <v>0</v>
      </c>
      <c r="P88" s="460" t="b">
        <v>0</v>
      </c>
    </row>
    <row r="89" spans="1:16">
      <c r="A89" s="14"/>
      <c r="B89" s="771"/>
      <c r="C89" s="768" t="s">
        <v>9919</v>
      </c>
      <c r="D89" s="800" t="s">
        <v>10528</v>
      </c>
      <c r="E89" s="771"/>
      <c r="F89" s="465" t="s">
        <v>5602</v>
      </c>
      <c r="G89" s="778">
        <v>3</v>
      </c>
      <c r="H89" s="13">
        <v>3</v>
      </c>
      <c r="I89" s="778">
        <v>3</v>
      </c>
      <c r="J89" s="460">
        <f t="shared" si="1"/>
        <v>3</v>
      </c>
      <c r="K89" s="778">
        <v>1</v>
      </c>
      <c r="L89" s="460">
        <v>1</v>
      </c>
      <c r="M89" s="778">
        <v>0</v>
      </c>
      <c r="N89" s="13"/>
      <c r="O89" s="778" t="b">
        <v>0</v>
      </c>
      <c r="P89" s="460" t="b">
        <v>0</v>
      </c>
    </row>
    <row r="90" spans="1:16">
      <c r="A90" s="14"/>
      <c r="B90" s="771"/>
      <c r="C90" s="768" t="s">
        <v>5743</v>
      </c>
      <c r="D90" s="800" t="s">
        <v>10528</v>
      </c>
      <c r="E90" s="771"/>
      <c r="F90" s="465" t="s">
        <v>5593</v>
      </c>
      <c r="G90" s="778">
        <v>3</v>
      </c>
      <c r="H90" s="13">
        <v>3</v>
      </c>
      <c r="I90" s="778">
        <v>3</v>
      </c>
      <c r="J90" s="460">
        <f t="shared" si="1"/>
        <v>3</v>
      </c>
      <c r="K90" s="778">
        <v>1</v>
      </c>
      <c r="L90" s="460">
        <v>1</v>
      </c>
      <c r="M90" s="778">
        <v>0</v>
      </c>
      <c r="N90" s="13"/>
      <c r="O90" s="778" t="b">
        <v>0</v>
      </c>
      <c r="P90" s="460">
        <f>IF(VLOOKUP($C90,Valve_from_BP!$O:$AE,8,0)="yes",1,0)</f>
        <v>0</v>
      </c>
    </row>
    <row r="91" spans="1:16">
      <c r="A91" s="14"/>
      <c r="B91" s="771"/>
      <c r="C91" s="768" t="s">
        <v>5745</v>
      </c>
      <c r="D91" s="800" t="s">
        <v>10528</v>
      </c>
      <c r="E91" s="771"/>
      <c r="F91" s="465" t="s">
        <v>5595</v>
      </c>
      <c r="G91" s="778">
        <v>3</v>
      </c>
      <c r="H91" s="13">
        <v>3</v>
      </c>
      <c r="I91" s="778">
        <v>3</v>
      </c>
      <c r="J91" s="460">
        <f t="shared" si="1"/>
        <v>3</v>
      </c>
      <c r="K91" s="778">
        <v>1</v>
      </c>
      <c r="L91" s="460">
        <v>1</v>
      </c>
      <c r="M91" s="778">
        <v>0</v>
      </c>
      <c r="N91" s="13"/>
      <c r="O91" s="778" t="b">
        <v>0</v>
      </c>
      <c r="P91" s="460" t="b">
        <v>0</v>
      </c>
    </row>
    <row r="92" spans="1:16">
      <c r="A92" s="14"/>
      <c r="B92" s="771"/>
      <c r="C92" s="768" t="s">
        <v>5744</v>
      </c>
      <c r="D92" s="800" t="s">
        <v>10528</v>
      </c>
      <c r="E92" s="771"/>
      <c r="F92" s="465" t="s">
        <v>5594</v>
      </c>
      <c r="G92" s="778">
        <v>3</v>
      </c>
      <c r="H92" s="13">
        <v>3</v>
      </c>
      <c r="I92" s="778">
        <v>3</v>
      </c>
      <c r="J92" s="460">
        <f t="shared" si="1"/>
        <v>3</v>
      </c>
      <c r="K92" s="778">
        <v>1</v>
      </c>
      <c r="L92" s="460">
        <v>1</v>
      </c>
      <c r="M92" s="778">
        <v>0</v>
      </c>
      <c r="N92" s="13"/>
      <c r="O92" s="778" t="b">
        <v>0</v>
      </c>
      <c r="P92" s="460" t="b">
        <v>0</v>
      </c>
    </row>
    <row r="93" spans="1:16">
      <c r="A93" s="14"/>
      <c r="B93" s="771"/>
      <c r="C93" s="768" t="s">
        <v>8201</v>
      </c>
      <c r="D93" s="800" t="s">
        <v>10528</v>
      </c>
      <c r="E93" s="771"/>
      <c r="F93" s="465" t="s">
        <v>8165</v>
      </c>
      <c r="G93" s="778">
        <v>3</v>
      </c>
      <c r="H93" s="13">
        <v>3</v>
      </c>
      <c r="I93" s="778">
        <v>3</v>
      </c>
      <c r="J93" s="460">
        <f t="shared" si="1"/>
        <v>3</v>
      </c>
      <c r="K93" s="778">
        <v>1</v>
      </c>
      <c r="L93" s="460">
        <v>1</v>
      </c>
      <c r="M93" s="778">
        <v>0</v>
      </c>
      <c r="N93" s="13"/>
      <c r="O93" s="778" t="b">
        <v>0</v>
      </c>
      <c r="P93" s="460" t="b">
        <v>0</v>
      </c>
    </row>
    <row r="94" spans="1:16">
      <c r="A94" s="14"/>
      <c r="B94" s="771"/>
      <c r="C94" s="768" t="s">
        <v>9218</v>
      </c>
      <c r="D94" s="800" t="s">
        <v>10528</v>
      </c>
      <c r="E94" s="771"/>
      <c r="F94" s="465" t="s">
        <v>9362</v>
      </c>
      <c r="G94" s="778">
        <v>3</v>
      </c>
      <c r="H94" s="13">
        <v>3</v>
      </c>
      <c r="I94" s="778">
        <v>3</v>
      </c>
      <c r="J94" s="460">
        <f t="shared" si="1"/>
        <v>3</v>
      </c>
      <c r="K94" s="778">
        <v>1</v>
      </c>
      <c r="L94" s="460">
        <v>1</v>
      </c>
      <c r="M94" s="778">
        <v>3</v>
      </c>
      <c r="N94" s="13">
        <v>3</v>
      </c>
      <c r="O94" s="778" t="b">
        <v>0</v>
      </c>
      <c r="P94" s="460" t="b">
        <v>0</v>
      </c>
    </row>
    <row r="95" spans="1:16">
      <c r="A95" s="14"/>
      <c r="B95" s="771"/>
      <c r="C95" s="768" t="s">
        <v>6611</v>
      </c>
      <c r="D95" s="800" t="s">
        <v>10528</v>
      </c>
      <c r="E95" s="771"/>
      <c r="F95" s="465" t="s">
        <v>6551</v>
      </c>
      <c r="G95" s="778">
        <v>3</v>
      </c>
      <c r="H95" s="13">
        <v>3</v>
      </c>
      <c r="I95" s="778">
        <v>3</v>
      </c>
      <c r="J95" s="460">
        <f t="shared" si="1"/>
        <v>3</v>
      </c>
      <c r="K95" s="778">
        <v>1</v>
      </c>
      <c r="L95" s="460">
        <v>1</v>
      </c>
      <c r="M95" s="778">
        <v>0</v>
      </c>
      <c r="N95" s="13"/>
      <c r="O95" s="783" t="b">
        <v>0</v>
      </c>
      <c r="P95" s="460">
        <f>IF(VLOOKUP($C95,Valve_from_BP!$O:$AE,8,0)="yes",1,0)</f>
        <v>0</v>
      </c>
    </row>
    <row r="96" spans="1:16">
      <c r="A96" s="14"/>
      <c r="B96" s="771"/>
      <c r="C96" s="768" t="s">
        <v>6610</v>
      </c>
      <c r="D96" s="800" t="s">
        <v>10528</v>
      </c>
      <c r="E96" s="771"/>
      <c r="F96" s="465" t="s">
        <v>6550</v>
      </c>
      <c r="G96" s="778">
        <v>3</v>
      </c>
      <c r="H96" s="13">
        <v>3</v>
      </c>
      <c r="I96" s="778">
        <v>3</v>
      </c>
      <c r="J96" s="460">
        <f t="shared" si="1"/>
        <v>3</v>
      </c>
      <c r="K96" s="778">
        <v>1</v>
      </c>
      <c r="L96" s="460">
        <v>1</v>
      </c>
      <c r="M96" s="778">
        <v>0</v>
      </c>
      <c r="N96" s="13"/>
      <c r="O96" s="783" t="b">
        <v>0</v>
      </c>
      <c r="P96" s="460">
        <f>IF(VLOOKUP($C96,Valve_from_BP!$O:$AE,8,0)="yes",1,0)</f>
        <v>0</v>
      </c>
    </row>
    <row r="97" spans="1:16">
      <c r="A97" s="14"/>
      <c r="B97" s="771"/>
      <c r="C97" s="768" t="s">
        <v>10224</v>
      </c>
      <c r="D97" s="800" t="s">
        <v>10528</v>
      </c>
      <c r="E97" s="771"/>
      <c r="F97" s="465" t="s">
        <v>9107</v>
      </c>
      <c r="G97" s="778">
        <v>3</v>
      </c>
      <c r="H97" s="13">
        <v>3</v>
      </c>
      <c r="I97" s="778">
        <v>3</v>
      </c>
      <c r="J97" s="460">
        <f t="shared" si="1"/>
        <v>3</v>
      </c>
      <c r="K97" s="778">
        <v>1</v>
      </c>
      <c r="L97" s="460">
        <v>1</v>
      </c>
      <c r="M97" s="778">
        <v>0</v>
      </c>
      <c r="N97" s="13"/>
      <c r="O97" s="778" t="b">
        <v>1</v>
      </c>
      <c r="P97" s="460">
        <f>IF(VLOOKUP($C97,Valve_from_BP!$O:$AE,8,0)="yes",1,0)</f>
        <v>1</v>
      </c>
    </row>
    <row r="98" spans="1:16">
      <c r="A98" s="14"/>
      <c r="B98" s="771"/>
      <c r="C98" s="768" t="s">
        <v>9921</v>
      </c>
      <c r="D98" s="800" t="s">
        <v>10528</v>
      </c>
      <c r="E98" s="771"/>
      <c r="F98" s="465" t="s">
        <v>5608</v>
      </c>
      <c r="G98" s="778">
        <v>3</v>
      </c>
      <c r="H98" s="13">
        <v>3</v>
      </c>
      <c r="I98" s="778">
        <v>3</v>
      </c>
      <c r="J98" s="460">
        <f t="shared" si="1"/>
        <v>3</v>
      </c>
      <c r="K98" s="778">
        <v>1</v>
      </c>
      <c r="L98" s="460">
        <v>1</v>
      </c>
      <c r="M98" s="778">
        <v>0</v>
      </c>
      <c r="N98" s="13"/>
      <c r="O98" s="778" t="b">
        <v>0</v>
      </c>
      <c r="P98" s="460" t="b">
        <v>0</v>
      </c>
    </row>
    <row r="99" spans="1:16">
      <c r="A99" s="14"/>
      <c r="B99" s="771"/>
      <c r="C99" s="768" t="s">
        <v>9920</v>
      </c>
      <c r="D99" s="800" t="s">
        <v>10528</v>
      </c>
      <c r="E99" s="771"/>
      <c r="F99" s="465" t="s">
        <v>5607</v>
      </c>
      <c r="G99" s="778">
        <v>3</v>
      </c>
      <c r="H99" s="13">
        <v>3</v>
      </c>
      <c r="I99" s="778">
        <v>3</v>
      </c>
      <c r="J99" s="460">
        <f t="shared" si="1"/>
        <v>3</v>
      </c>
      <c r="K99" s="778">
        <v>1</v>
      </c>
      <c r="L99" s="460">
        <v>1</v>
      </c>
      <c r="M99" s="778">
        <v>0</v>
      </c>
      <c r="N99" s="13"/>
      <c r="O99" s="778" t="b">
        <v>0</v>
      </c>
      <c r="P99" s="460" t="b">
        <v>0</v>
      </c>
    </row>
    <row r="100" spans="1:16">
      <c r="A100" s="14"/>
      <c r="B100" s="771"/>
      <c r="C100" s="768" t="s">
        <v>10353</v>
      </c>
      <c r="D100" s="800" t="s">
        <v>10528</v>
      </c>
      <c r="E100" s="771"/>
      <c r="F100" s="465" t="s">
        <v>9144</v>
      </c>
      <c r="G100" s="778">
        <v>3</v>
      </c>
      <c r="H100" s="13">
        <v>3</v>
      </c>
      <c r="I100" s="778">
        <v>3</v>
      </c>
      <c r="J100" s="460">
        <f t="shared" si="1"/>
        <v>3</v>
      </c>
      <c r="K100" s="778">
        <v>1</v>
      </c>
      <c r="L100" s="460">
        <v>1</v>
      </c>
      <c r="M100" s="778">
        <v>0</v>
      </c>
      <c r="N100" s="13"/>
      <c r="O100" s="778" t="b">
        <v>0</v>
      </c>
      <c r="P100" s="460">
        <f>IF(VLOOKUP($C100,Valve_from_BP!$O:$AE,8,0)="yes",1,0)</f>
        <v>0</v>
      </c>
    </row>
    <row r="101" spans="1:16">
      <c r="A101" s="14"/>
      <c r="B101" s="771"/>
      <c r="C101" s="768" t="s">
        <v>10354</v>
      </c>
      <c r="D101" s="800" t="s">
        <v>10528</v>
      </c>
      <c r="E101" s="771"/>
      <c r="F101" s="465" t="s">
        <v>9143</v>
      </c>
      <c r="G101" s="778">
        <v>3</v>
      </c>
      <c r="H101" s="13">
        <v>3</v>
      </c>
      <c r="I101" s="778">
        <v>3</v>
      </c>
      <c r="J101" s="460">
        <f t="shared" si="1"/>
        <v>3</v>
      </c>
      <c r="K101" s="778">
        <v>1</v>
      </c>
      <c r="L101" s="460">
        <v>1</v>
      </c>
      <c r="M101" s="778">
        <v>0</v>
      </c>
      <c r="N101" s="13"/>
      <c r="O101" s="778" t="b">
        <v>0</v>
      </c>
      <c r="P101" s="460">
        <f>IF(VLOOKUP($C101,Valve_from_BP!$O:$AE,8,0)="yes",1,0)</f>
        <v>0</v>
      </c>
    </row>
    <row r="102" spans="1:16">
      <c r="A102" s="14"/>
      <c r="B102" s="771"/>
      <c r="C102" s="768" t="s">
        <v>10355</v>
      </c>
      <c r="D102" s="800" t="s">
        <v>10528</v>
      </c>
      <c r="E102" s="771"/>
      <c r="F102" s="465" t="s">
        <v>9142</v>
      </c>
      <c r="G102" s="778">
        <v>3</v>
      </c>
      <c r="H102" s="13">
        <v>3</v>
      </c>
      <c r="I102" s="778">
        <v>3</v>
      </c>
      <c r="J102" s="460">
        <f t="shared" si="1"/>
        <v>3</v>
      </c>
      <c r="K102" s="778">
        <v>1</v>
      </c>
      <c r="L102" s="460">
        <v>1</v>
      </c>
      <c r="M102" s="778">
        <v>0</v>
      </c>
      <c r="N102" s="13"/>
      <c r="O102" s="783" t="b">
        <v>0</v>
      </c>
      <c r="P102" s="460">
        <f>IF(VLOOKUP($C102,Valve_from_BP!$O:$AE,8,0)="yes",1,0)</f>
        <v>0</v>
      </c>
    </row>
    <row r="103" spans="1:16">
      <c r="A103" s="14"/>
      <c r="B103" s="771"/>
      <c r="C103" s="768" t="s">
        <v>10137</v>
      </c>
      <c r="D103" s="800" t="s">
        <v>10528</v>
      </c>
      <c r="E103" s="771"/>
      <c r="F103" s="465" t="s">
        <v>9109</v>
      </c>
      <c r="G103" s="778">
        <v>3</v>
      </c>
      <c r="H103" s="13">
        <v>3</v>
      </c>
      <c r="I103" s="778">
        <v>3</v>
      </c>
      <c r="J103" s="460">
        <f t="shared" si="1"/>
        <v>3</v>
      </c>
      <c r="K103" s="778">
        <v>1</v>
      </c>
      <c r="L103" s="460">
        <v>1</v>
      </c>
      <c r="M103" s="778">
        <v>0</v>
      </c>
      <c r="N103" s="13"/>
      <c r="O103" s="778" t="b">
        <v>0</v>
      </c>
      <c r="P103" s="460" t="b">
        <v>0</v>
      </c>
    </row>
    <row r="104" spans="1:16">
      <c r="A104" s="14"/>
      <c r="B104" s="771"/>
      <c r="C104" s="768" t="s">
        <v>7877</v>
      </c>
      <c r="D104" s="800" t="s">
        <v>10528</v>
      </c>
      <c r="E104" s="771"/>
      <c r="F104" s="465" t="s">
        <v>7851</v>
      </c>
      <c r="G104" s="778">
        <v>3</v>
      </c>
      <c r="H104" s="13">
        <v>3</v>
      </c>
      <c r="I104" s="778">
        <v>3</v>
      </c>
      <c r="J104" s="460">
        <f t="shared" si="1"/>
        <v>3</v>
      </c>
      <c r="K104" s="778">
        <v>1</v>
      </c>
      <c r="L104" s="460">
        <v>1</v>
      </c>
      <c r="M104" s="778">
        <v>0</v>
      </c>
      <c r="N104" s="13"/>
      <c r="O104" s="778" t="b">
        <v>0</v>
      </c>
      <c r="P104" s="460" t="b">
        <v>0</v>
      </c>
    </row>
    <row r="105" spans="1:16">
      <c r="A105" s="14"/>
      <c r="B105" s="771"/>
      <c r="C105" s="768" t="s">
        <v>7875</v>
      </c>
      <c r="D105" s="800" t="s">
        <v>10528</v>
      </c>
      <c r="E105" s="771"/>
      <c r="F105" s="465" t="s">
        <v>8035</v>
      </c>
      <c r="G105" s="778">
        <v>3</v>
      </c>
      <c r="H105" s="13">
        <v>3</v>
      </c>
      <c r="I105" s="778">
        <v>3</v>
      </c>
      <c r="J105" s="460">
        <f t="shared" si="1"/>
        <v>3</v>
      </c>
      <c r="K105" s="778">
        <v>1</v>
      </c>
      <c r="L105" s="460">
        <v>1</v>
      </c>
      <c r="M105" s="778">
        <v>0</v>
      </c>
      <c r="N105" s="13"/>
      <c r="O105" s="778" t="b">
        <v>0</v>
      </c>
      <c r="P105" s="460">
        <f>IF(VLOOKUP($C105,Valve_from_BP!$O:$AE,8,0)="yes",1,0)</f>
        <v>0</v>
      </c>
    </row>
    <row r="106" spans="1:16">
      <c r="A106" s="14"/>
      <c r="B106" s="771"/>
      <c r="C106" s="768" t="s">
        <v>7763</v>
      </c>
      <c r="D106" s="800" t="s">
        <v>10528</v>
      </c>
      <c r="E106" s="771"/>
      <c r="F106" s="465" t="s">
        <v>7709</v>
      </c>
      <c r="G106" s="778">
        <v>3</v>
      </c>
      <c r="H106" s="13">
        <v>3</v>
      </c>
      <c r="I106" s="778">
        <v>3</v>
      </c>
      <c r="J106" s="460">
        <f t="shared" si="1"/>
        <v>3</v>
      </c>
      <c r="K106" s="778">
        <v>1</v>
      </c>
      <c r="L106" s="460">
        <v>1</v>
      </c>
      <c r="M106" s="778">
        <v>0</v>
      </c>
      <c r="N106" s="177"/>
      <c r="O106" s="778" t="b">
        <v>1</v>
      </c>
      <c r="P106" s="460">
        <f>IF(VLOOKUP($C106,Valve_from_BP!$O:$AE,8,0)="yes",1,0)</f>
        <v>1</v>
      </c>
    </row>
    <row r="107" spans="1:16">
      <c r="A107" s="14"/>
      <c r="B107" s="771"/>
      <c r="C107" s="768" t="s">
        <v>10315</v>
      </c>
      <c r="D107" s="800" t="s">
        <v>10528</v>
      </c>
      <c r="E107" s="771"/>
      <c r="F107" s="465" t="s">
        <v>8037</v>
      </c>
      <c r="G107" s="778">
        <v>3</v>
      </c>
      <c r="H107" s="13">
        <v>3</v>
      </c>
      <c r="I107" s="778">
        <v>3</v>
      </c>
      <c r="J107" s="460">
        <f t="shared" si="1"/>
        <v>3</v>
      </c>
      <c r="K107" s="778">
        <v>1</v>
      </c>
      <c r="L107" s="460">
        <v>1</v>
      </c>
      <c r="M107" s="778">
        <v>0</v>
      </c>
      <c r="N107" s="177"/>
      <c r="O107" s="778" t="b">
        <v>1</v>
      </c>
      <c r="P107" s="460">
        <f>IF(VLOOKUP($C107,Valve_from_BP!$O:$AE,8,0)="yes",1,0)</f>
        <v>1</v>
      </c>
    </row>
    <row r="108" spans="1:16">
      <c r="A108" s="14"/>
      <c r="B108" s="771"/>
      <c r="C108" s="768" t="s">
        <v>811</v>
      </c>
      <c r="D108" s="800" t="s">
        <v>10528</v>
      </c>
      <c r="E108" s="771"/>
      <c r="F108" s="465" t="s">
        <v>6038</v>
      </c>
      <c r="G108" s="778">
        <v>3</v>
      </c>
      <c r="H108" s="13">
        <v>3</v>
      </c>
      <c r="I108" s="778">
        <v>3</v>
      </c>
      <c r="J108" s="460">
        <f t="shared" si="1"/>
        <v>3</v>
      </c>
      <c r="K108" s="778">
        <v>1</v>
      </c>
      <c r="L108" s="460">
        <v>1</v>
      </c>
      <c r="M108" s="778">
        <v>0</v>
      </c>
      <c r="N108" s="177"/>
      <c r="O108" s="778" t="b">
        <v>1</v>
      </c>
      <c r="P108" s="460">
        <f>IF(VLOOKUP($C108,Valve_from_BP!$O:$AE,8,0)="yes",1,0)</f>
        <v>1</v>
      </c>
    </row>
    <row r="109" spans="1:16">
      <c r="A109" s="14"/>
      <c r="B109" s="771"/>
      <c r="C109" s="768" t="s">
        <v>10361</v>
      </c>
      <c r="D109" s="800" t="s">
        <v>10528</v>
      </c>
      <c r="E109" s="771"/>
      <c r="F109" s="465" t="s">
        <v>6588</v>
      </c>
      <c r="G109" s="778">
        <v>3</v>
      </c>
      <c r="H109" s="13">
        <v>3</v>
      </c>
      <c r="I109" s="778">
        <v>3</v>
      </c>
      <c r="J109" s="460">
        <f t="shared" si="1"/>
        <v>3</v>
      </c>
      <c r="K109" s="778">
        <v>1</v>
      </c>
      <c r="L109" s="460">
        <v>1</v>
      </c>
      <c r="M109" s="778">
        <v>0</v>
      </c>
      <c r="N109" s="177"/>
      <c r="O109" s="783" t="b">
        <v>0</v>
      </c>
      <c r="P109" s="460">
        <f>IF(VLOOKUP($C109,Valve_from_BP!$O:$AE,8,0)="yes",1,0)</f>
        <v>0</v>
      </c>
    </row>
    <row r="110" spans="1:16">
      <c r="A110" s="14"/>
      <c r="B110" s="771"/>
      <c r="C110" s="768" t="s">
        <v>10367</v>
      </c>
      <c r="D110" s="800" t="s">
        <v>10528</v>
      </c>
      <c r="E110" s="771"/>
      <c r="F110" s="465" t="s">
        <v>6549</v>
      </c>
      <c r="G110" s="778">
        <v>3</v>
      </c>
      <c r="H110" s="13">
        <v>3</v>
      </c>
      <c r="I110" s="778">
        <v>3</v>
      </c>
      <c r="J110" s="460">
        <f t="shared" si="1"/>
        <v>3</v>
      </c>
      <c r="K110" s="778">
        <v>1</v>
      </c>
      <c r="L110" s="460">
        <v>1</v>
      </c>
      <c r="M110" s="778">
        <v>0</v>
      </c>
      <c r="N110" s="177"/>
      <c r="O110" s="778" t="b">
        <v>0</v>
      </c>
      <c r="P110" s="460">
        <f>IF(VLOOKUP($C110,Valve_from_BP!$O:$AE,8,0)="yes",1,0)</f>
        <v>0</v>
      </c>
    </row>
    <row r="111" spans="1:16">
      <c r="A111" s="14"/>
      <c r="B111" s="771"/>
      <c r="C111" s="768" t="s">
        <v>7984</v>
      </c>
      <c r="D111" s="800" t="s">
        <v>10528</v>
      </c>
      <c r="E111" s="771"/>
      <c r="F111" s="465" t="s">
        <v>8041</v>
      </c>
      <c r="G111" s="778">
        <v>3</v>
      </c>
      <c r="H111" s="13">
        <v>3</v>
      </c>
      <c r="I111" s="778">
        <v>3</v>
      </c>
      <c r="J111" s="460">
        <f t="shared" si="1"/>
        <v>3</v>
      </c>
      <c r="K111" s="778">
        <v>1</v>
      </c>
      <c r="L111" s="460">
        <v>1</v>
      </c>
      <c r="M111" s="778">
        <v>0</v>
      </c>
      <c r="N111" s="177"/>
      <c r="O111" s="778" t="b">
        <v>0</v>
      </c>
      <c r="P111" s="460" t="b">
        <v>0</v>
      </c>
    </row>
    <row r="112" spans="1:16">
      <c r="A112" s="14"/>
      <c r="B112" s="771"/>
      <c r="C112" s="768" t="s">
        <v>10375</v>
      </c>
      <c r="D112" s="800" t="s">
        <v>10528</v>
      </c>
      <c r="E112" s="771"/>
      <c r="F112" s="465" t="s">
        <v>8042</v>
      </c>
      <c r="G112" s="778">
        <v>3</v>
      </c>
      <c r="H112" s="13">
        <v>3</v>
      </c>
      <c r="I112" s="778">
        <v>3</v>
      </c>
      <c r="J112" s="460">
        <f t="shared" si="1"/>
        <v>3</v>
      </c>
      <c r="K112" s="778">
        <v>1</v>
      </c>
      <c r="L112" s="460">
        <v>1</v>
      </c>
      <c r="M112" s="778">
        <v>0</v>
      </c>
      <c r="N112" s="177"/>
      <c r="O112" s="778" t="b">
        <v>1</v>
      </c>
      <c r="P112" s="460">
        <f>IF(VLOOKUP($C112,Valve_from_BP!$O:$AE,8,0)="yes",1,0)</f>
        <v>1</v>
      </c>
    </row>
    <row r="113" spans="1:16">
      <c r="A113" s="14"/>
      <c r="B113" s="771"/>
      <c r="C113" s="768" t="s">
        <v>10332</v>
      </c>
      <c r="D113" s="766" t="str">
        <f>IF(VLOOKUP($C113,Valve_from_BP!$O:$AE,6,0)="close","FC","FO")</f>
        <v>FC</v>
      </c>
      <c r="E113" s="771"/>
      <c r="F113" s="465" t="s">
        <v>8059</v>
      </c>
      <c r="G113" s="778">
        <v>3</v>
      </c>
      <c r="H113" s="13">
        <v>3</v>
      </c>
      <c r="I113" s="778">
        <v>3</v>
      </c>
      <c r="J113" s="460">
        <f t="shared" si="1"/>
        <v>3</v>
      </c>
      <c r="K113" s="778">
        <v>1</v>
      </c>
      <c r="L113" s="460">
        <f>IF(VLOOKUP($C113,Valve_from_BP!$O:$AE,6,0)="close",1,0)</f>
        <v>1</v>
      </c>
      <c r="M113" s="778">
        <v>3</v>
      </c>
      <c r="N113" s="177">
        <v>3</v>
      </c>
      <c r="O113" s="778" t="b">
        <v>0</v>
      </c>
      <c r="P113" s="460">
        <f>IF(VLOOKUP($C113,Valve_from_BP!$O:$AE,8,0)="yes",1,0)</f>
        <v>0</v>
      </c>
    </row>
    <row r="114" spans="1:16">
      <c r="A114" s="14"/>
      <c r="B114" s="771"/>
      <c r="C114" s="768" t="s">
        <v>5765</v>
      </c>
      <c r="D114" s="766" t="str">
        <f>IF(VLOOKUP($C114,Valve_from_BP!$O:$AE,6,0)="close","FC","FO")</f>
        <v>FO</v>
      </c>
      <c r="E114" s="771"/>
      <c r="F114" s="465" t="s">
        <v>5667</v>
      </c>
      <c r="G114" s="778">
        <v>3</v>
      </c>
      <c r="H114" s="13">
        <v>3</v>
      </c>
      <c r="I114" s="778">
        <v>3</v>
      </c>
      <c r="J114" s="460">
        <f t="shared" si="1"/>
        <v>3</v>
      </c>
      <c r="K114" s="778">
        <v>0</v>
      </c>
      <c r="L114" s="460">
        <f>IF(VLOOKUP($C114,Valve_from_BP!$O:$AE,6,0)="close",1,0)</f>
        <v>0</v>
      </c>
      <c r="M114" s="778">
        <v>3</v>
      </c>
      <c r="N114" s="177">
        <v>3</v>
      </c>
      <c r="O114" s="778" t="b">
        <v>0</v>
      </c>
      <c r="P114" s="460">
        <f>IF(VLOOKUP($C114,Valve_from_BP!$O:$AE,8,0)="yes",1,0)</f>
        <v>0</v>
      </c>
    </row>
    <row r="115" spans="1:16">
      <c r="A115" s="14"/>
      <c r="B115" s="771"/>
      <c r="C115" s="768" t="s">
        <v>5764</v>
      </c>
      <c r="D115" s="766" t="str">
        <f>IF(VLOOKUP($C115,Valve_from_BP!$O:$AE,6,0)="close","FC","FO")</f>
        <v>FC</v>
      </c>
      <c r="E115" s="771"/>
      <c r="F115" s="465" t="s">
        <v>5666</v>
      </c>
      <c r="G115" s="778">
        <v>3</v>
      </c>
      <c r="H115" s="13">
        <v>3</v>
      </c>
      <c r="I115" s="778">
        <v>3</v>
      </c>
      <c r="J115" s="460">
        <f t="shared" si="1"/>
        <v>3</v>
      </c>
      <c r="K115" s="778">
        <v>1</v>
      </c>
      <c r="L115" s="460">
        <f>IF(VLOOKUP($C115,Valve_from_BP!$O:$AE,6,0)="close",1,0)</f>
        <v>1</v>
      </c>
      <c r="M115" s="778">
        <v>3</v>
      </c>
      <c r="N115" s="177">
        <v>3</v>
      </c>
      <c r="O115" s="778" t="b">
        <v>0</v>
      </c>
      <c r="P115" s="460">
        <f>IF(VLOOKUP($C115,Valve_from_BP!$O:$AE,8,0)="yes",1,0)</f>
        <v>0</v>
      </c>
    </row>
    <row r="116" spans="1:16">
      <c r="A116" s="14"/>
      <c r="B116" s="771"/>
      <c r="C116" s="768" t="s">
        <v>6620</v>
      </c>
      <c r="D116" s="766" t="str">
        <f>IF(VLOOKUP($C116,Valve_from_BP!$O:$AE,6,0)="close","FC","FO")</f>
        <v>FC</v>
      </c>
      <c r="E116" s="771"/>
      <c r="F116" s="465" t="s">
        <v>6595</v>
      </c>
      <c r="G116" s="19">
        <v>3</v>
      </c>
      <c r="H116" s="13">
        <v>3</v>
      </c>
      <c r="I116" s="19">
        <v>3</v>
      </c>
      <c r="J116" s="460">
        <f t="shared" si="1"/>
        <v>3</v>
      </c>
      <c r="K116" s="744">
        <v>1</v>
      </c>
      <c r="L116" s="460">
        <f>IF(VLOOKUP($C116,Valve_from_BP!$O:$AE,6,0)="close",1,0)</f>
        <v>1</v>
      </c>
      <c r="M116" s="19">
        <v>3</v>
      </c>
      <c r="N116" s="177">
        <v>3</v>
      </c>
      <c r="O116" s="778" t="b">
        <v>0</v>
      </c>
      <c r="P116" s="460">
        <f>IF(VLOOKUP($C116,Valve_from_BP!$O:$AE,8,0)="yes",1,0)</f>
        <v>0</v>
      </c>
    </row>
    <row r="117" spans="1:16">
      <c r="A117" s="14"/>
      <c r="B117" s="771"/>
      <c r="C117" s="768" t="s">
        <v>6619</v>
      </c>
      <c r="D117" s="766" t="str">
        <f>IF(VLOOKUP($C117,Valve_from_BP!$O:$AE,6,0)="close","FC","FO")</f>
        <v>FC</v>
      </c>
      <c r="E117" s="771"/>
      <c r="F117" s="465" t="s">
        <v>6594</v>
      </c>
      <c r="G117" s="19">
        <v>3</v>
      </c>
      <c r="H117" s="13">
        <v>3</v>
      </c>
      <c r="I117" s="19">
        <v>3</v>
      </c>
      <c r="J117" s="460">
        <f t="shared" si="1"/>
        <v>3</v>
      </c>
      <c r="K117" s="744">
        <v>1</v>
      </c>
      <c r="L117" s="460">
        <f>IF(VLOOKUP($C117,Valve_from_BP!$O:$AE,6,0)="close",1,0)</f>
        <v>1</v>
      </c>
      <c r="M117" s="19">
        <v>3</v>
      </c>
      <c r="N117" s="177">
        <v>3</v>
      </c>
      <c r="O117" s="778" t="b">
        <v>0</v>
      </c>
      <c r="P117" s="460">
        <f>IF(VLOOKUP($C117,Valve_from_BP!$O:$AE,8,0)="yes",1,0)</f>
        <v>0</v>
      </c>
    </row>
    <row r="118" spans="1:16">
      <c r="A118" s="14"/>
      <c r="B118" s="771"/>
      <c r="C118" s="768" t="s">
        <v>1063</v>
      </c>
      <c r="D118" s="766" t="str">
        <f>IF(VLOOKUP($C118,Valve_from_BP!$O:$AE,6,0)="close","FC","FO")</f>
        <v>FC</v>
      </c>
      <c r="E118" s="771"/>
      <c r="F118" s="465" t="s">
        <v>6534</v>
      </c>
      <c r="G118" s="19">
        <v>3</v>
      </c>
      <c r="H118" s="13">
        <v>3</v>
      </c>
      <c r="I118" s="19">
        <v>3</v>
      </c>
      <c r="J118" s="460">
        <f t="shared" si="1"/>
        <v>3</v>
      </c>
      <c r="K118" s="744">
        <v>1</v>
      </c>
      <c r="L118" s="460">
        <f>IF(VLOOKUP($C118,Valve_from_BP!$O:$AE,6,0)="close",1,0)</f>
        <v>1</v>
      </c>
      <c r="M118" s="19">
        <v>3</v>
      </c>
      <c r="N118" s="177">
        <v>3</v>
      </c>
      <c r="O118" s="778" t="b">
        <v>0</v>
      </c>
      <c r="P118" s="460">
        <f>IF(VLOOKUP($C118,Valve_from_BP!$O:$AE,8,0)="yes",1,0)</f>
        <v>0</v>
      </c>
    </row>
    <row r="119" spans="1:16">
      <c r="A119" s="14"/>
      <c r="B119" s="771"/>
      <c r="C119" s="768" t="s">
        <v>1062</v>
      </c>
      <c r="D119" s="766" t="str">
        <f>IF(VLOOKUP($C119,Valve_from_BP!$O:$AE,6,0)="close","FC","FO")</f>
        <v>FC</v>
      </c>
      <c r="E119" s="771"/>
      <c r="F119" s="465" t="s">
        <v>6533</v>
      </c>
      <c r="G119" s="19">
        <v>3</v>
      </c>
      <c r="H119" s="13">
        <v>3</v>
      </c>
      <c r="I119" s="19">
        <v>3</v>
      </c>
      <c r="J119" s="460">
        <f t="shared" si="1"/>
        <v>3</v>
      </c>
      <c r="K119" s="744">
        <v>1</v>
      </c>
      <c r="L119" s="460">
        <f>IF(VLOOKUP($C119,Valve_from_BP!$O:$AE,6,0)="close",1,0)</f>
        <v>1</v>
      </c>
      <c r="M119" s="19">
        <v>3</v>
      </c>
      <c r="N119" s="177">
        <v>3</v>
      </c>
      <c r="O119" s="778" t="b">
        <v>0</v>
      </c>
      <c r="P119" s="460">
        <f>IF(VLOOKUP($C119,Valve_from_BP!$O:$AE,8,0)="yes",1,0)</f>
        <v>0</v>
      </c>
    </row>
    <row r="120" spans="1:16">
      <c r="A120" s="14"/>
      <c r="B120" s="771"/>
      <c r="C120" s="768" t="s">
        <v>1061</v>
      </c>
      <c r="D120" s="766" t="str">
        <f>IF(VLOOKUP($C120,Valve_from_BP!$O:$AE,6,0)="close","FC","FO")</f>
        <v>FC</v>
      </c>
      <c r="E120" s="771"/>
      <c r="F120" s="465" t="s">
        <v>6532</v>
      </c>
      <c r="G120" s="19">
        <v>3</v>
      </c>
      <c r="H120" s="13">
        <v>3</v>
      </c>
      <c r="I120" s="19">
        <v>3</v>
      </c>
      <c r="J120" s="460">
        <f t="shared" si="1"/>
        <v>3</v>
      </c>
      <c r="K120" s="744">
        <v>1</v>
      </c>
      <c r="L120" s="460">
        <f>IF(VLOOKUP($C120,Valve_from_BP!$O:$AE,6,0)="close",1,0)</f>
        <v>1</v>
      </c>
      <c r="M120" s="19">
        <v>3</v>
      </c>
      <c r="N120" s="177">
        <v>3</v>
      </c>
      <c r="O120" s="778" t="b">
        <v>0</v>
      </c>
      <c r="P120" s="460">
        <f>IF(VLOOKUP($C120,Valve_from_BP!$O:$AE,8,0)="yes",1,0)</f>
        <v>0</v>
      </c>
    </row>
    <row r="121" spans="1:16">
      <c r="A121" s="14"/>
      <c r="B121" s="771"/>
      <c r="C121" s="768" t="s">
        <v>1060</v>
      </c>
      <c r="D121" s="766" t="str">
        <f>IF(VLOOKUP($C121,Valve_from_BP!$O:$AE,6,0)="close","FC","FO")</f>
        <v>FC</v>
      </c>
      <c r="E121" s="771"/>
      <c r="F121" s="465" t="s">
        <v>6531</v>
      </c>
      <c r="G121" s="778">
        <v>3</v>
      </c>
      <c r="H121" s="13">
        <v>3</v>
      </c>
      <c r="I121" s="778">
        <v>3</v>
      </c>
      <c r="J121" s="460">
        <f t="shared" si="1"/>
        <v>3</v>
      </c>
      <c r="K121" s="778">
        <v>1</v>
      </c>
      <c r="L121" s="460">
        <f>IF(VLOOKUP($C121,Valve_from_BP!$O:$AE,6,0)="close",1,0)</f>
        <v>1</v>
      </c>
      <c r="M121" s="778">
        <v>3</v>
      </c>
      <c r="N121" s="177">
        <v>3</v>
      </c>
      <c r="O121" s="778" t="b">
        <v>0</v>
      </c>
      <c r="P121" s="460">
        <f>IF(VLOOKUP($C121,Valve_from_BP!$O:$AE,8,0)="yes",1,0)</f>
        <v>0</v>
      </c>
    </row>
    <row r="122" spans="1:16">
      <c r="A122" s="14"/>
      <c r="B122" s="771"/>
      <c r="C122" s="768" t="s">
        <v>1059</v>
      </c>
      <c r="D122" s="766" t="str">
        <f>IF(VLOOKUP($C122,Valve_from_BP!$O:$AE,6,0)="close","FC","FO")</f>
        <v>FC</v>
      </c>
      <c r="E122" s="771"/>
      <c r="F122" s="465" t="s">
        <v>6530</v>
      </c>
      <c r="G122" s="778">
        <v>3</v>
      </c>
      <c r="H122" s="460">
        <v>3</v>
      </c>
      <c r="I122" s="778">
        <v>3</v>
      </c>
      <c r="J122" s="460">
        <f t="shared" si="1"/>
        <v>3</v>
      </c>
      <c r="K122" s="778">
        <v>1</v>
      </c>
      <c r="L122" s="460">
        <f>IF(VLOOKUP($C122,Valve_from_BP!$O:$AE,6,0)="close",1,0)</f>
        <v>1</v>
      </c>
      <c r="M122" s="778">
        <v>3</v>
      </c>
      <c r="N122" s="177">
        <v>3</v>
      </c>
      <c r="O122" s="783" t="b">
        <v>0</v>
      </c>
      <c r="P122" s="460">
        <f>IF(VLOOKUP($C122,Valve_from_BP!$O:$AE,8,0)="yes",1,0)</f>
        <v>0</v>
      </c>
    </row>
    <row r="123" spans="1:16">
      <c r="A123" s="14"/>
      <c r="B123" s="771"/>
      <c r="C123" s="768" t="s">
        <v>1058</v>
      </c>
      <c r="D123" s="766" t="str">
        <f>IF(VLOOKUP($C123,Valve_from_BP!$O:$AE,6,0)="close","FC","FO")</f>
        <v>FC</v>
      </c>
      <c r="E123" s="771"/>
      <c r="F123" s="465" t="s">
        <v>6529</v>
      </c>
      <c r="G123" s="778">
        <v>3</v>
      </c>
      <c r="H123" s="460">
        <v>3</v>
      </c>
      <c r="I123" s="778">
        <v>3</v>
      </c>
      <c r="J123" s="460">
        <f t="shared" si="1"/>
        <v>3</v>
      </c>
      <c r="K123" s="778">
        <v>1</v>
      </c>
      <c r="L123" s="460">
        <f>IF(VLOOKUP($C123,Valve_from_BP!$O:$AE,6,0)="close",1,0)</f>
        <v>1</v>
      </c>
      <c r="M123" s="778">
        <v>3</v>
      </c>
      <c r="N123" s="177">
        <v>3</v>
      </c>
      <c r="O123" s="778" t="b">
        <v>0</v>
      </c>
      <c r="P123" s="460">
        <f>IF(VLOOKUP($C123,Valve_from_BP!$O:$AE,8,0)="yes",1,0)</f>
        <v>0</v>
      </c>
    </row>
    <row r="124" spans="1:16">
      <c r="A124" s="14"/>
      <c r="B124" s="771"/>
      <c r="C124" s="768" t="s">
        <v>1057</v>
      </c>
      <c r="D124" s="766" t="str">
        <f>IF(VLOOKUP($C124,Valve_from_BP!$O:$AE,6,0)="close","FC","FO")</f>
        <v>FC</v>
      </c>
      <c r="E124" s="771"/>
      <c r="F124" s="465" t="s">
        <v>6528</v>
      </c>
      <c r="G124" s="778">
        <v>3</v>
      </c>
      <c r="H124" s="460">
        <v>3</v>
      </c>
      <c r="I124" s="778">
        <v>3</v>
      </c>
      <c r="J124" s="460">
        <f t="shared" si="1"/>
        <v>3</v>
      </c>
      <c r="K124" s="778">
        <v>1</v>
      </c>
      <c r="L124" s="460">
        <f>IF(VLOOKUP($C124,Valve_from_BP!$O:$AE,6,0)="close",1,0)</f>
        <v>1</v>
      </c>
      <c r="M124" s="778">
        <v>3</v>
      </c>
      <c r="N124" s="177">
        <v>3</v>
      </c>
      <c r="O124" s="778" t="b">
        <v>0</v>
      </c>
      <c r="P124" s="460">
        <f>IF(VLOOKUP($C124,Valve_from_BP!$O:$AE,8,0)="yes",1,0)</f>
        <v>0</v>
      </c>
    </row>
    <row r="125" spans="1:16">
      <c r="A125" s="14"/>
      <c r="B125" s="771"/>
      <c r="C125" s="768" t="s">
        <v>10109</v>
      </c>
      <c r="D125" s="766" t="str">
        <f>IF(VLOOKUP($C125,Valve_from_BP!$O:$AE,6,0)="close","FC","FO")</f>
        <v>FC</v>
      </c>
      <c r="E125" s="771"/>
      <c r="F125" s="465" t="s">
        <v>6527</v>
      </c>
      <c r="G125" s="778">
        <v>3</v>
      </c>
      <c r="H125" s="460">
        <v>3</v>
      </c>
      <c r="I125" s="778">
        <v>3</v>
      </c>
      <c r="J125" s="460">
        <f t="shared" si="1"/>
        <v>3</v>
      </c>
      <c r="K125" s="778">
        <v>1</v>
      </c>
      <c r="L125" s="460">
        <f>IF(VLOOKUP($C125,Valve_from_BP!$O:$AE,6,0)="close",1,0)</f>
        <v>1</v>
      </c>
      <c r="M125" s="778">
        <v>3</v>
      </c>
      <c r="N125" s="177">
        <v>3</v>
      </c>
      <c r="O125" s="778" t="b">
        <v>0</v>
      </c>
      <c r="P125" s="460">
        <f>IF(VLOOKUP($C125,Valve_from_BP!$O:$AE,8,0)="yes",1,0)</f>
        <v>0</v>
      </c>
    </row>
    <row r="126" spans="1:16">
      <c r="A126" s="14"/>
      <c r="B126" s="771"/>
      <c r="C126" s="768" t="s">
        <v>10078</v>
      </c>
      <c r="D126" s="766" t="str">
        <f>IF(VLOOKUP($C126,Valve_from_BP!$O:$AE,6,0)="close","FC","FO")</f>
        <v>FC</v>
      </c>
      <c r="E126" s="771"/>
      <c r="F126" s="465" t="s">
        <v>6484</v>
      </c>
      <c r="G126" s="778">
        <v>3</v>
      </c>
      <c r="H126" s="460">
        <v>3</v>
      </c>
      <c r="I126" s="778">
        <v>3</v>
      </c>
      <c r="J126" s="460">
        <f t="shared" si="1"/>
        <v>3</v>
      </c>
      <c r="K126" s="778">
        <v>1</v>
      </c>
      <c r="L126" s="460">
        <f>IF(VLOOKUP($C126,Valve_from_BP!$O:$AE,6,0)="close",1,0)</f>
        <v>1</v>
      </c>
      <c r="M126" s="778">
        <v>3</v>
      </c>
      <c r="N126" s="177">
        <v>3</v>
      </c>
      <c r="O126" s="778" t="b">
        <v>0</v>
      </c>
      <c r="P126" s="460">
        <f>IF(VLOOKUP($C126,Valve_from_BP!$O:$AE,8,0)="yes",1,0)</f>
        <v>0</v>
      </c>
    </row>
    <row r="127" spans="1:16">
      <c r="A127" s="14"/>
      <c r="B127" s="771"/>
      <c r="C127" s="768" t="s">
        <v>10231</v>
      </c>
      <c r="D127" s="766" t="str">
        <f>IF(VLOOKUP($C127,Valve_from_BP!$O:$AE,6,0)="close","FC","FO")</f>
        <v>FC</v>
      </c>
      <c r="E127" s="771"/>
      <c r="F127" s="465" t="s">
        <v>7862</v>
      </c>
      <c r="G127" s="778">
        <v>3</v>
      </c>
      <c r="H127" s="460">
        <v>3</v>
      </c>
      <c r="I127" s="778">
        <v>3</v>
      </c>
      <c r="J127" s="460">
        <f t="shared" si="1"/>
        <v>3</v>
      </c>
      <c r="K127" s="778">
        <v>1</v>
      </c>
      <c r="L127" s="460">
        <f>IF(VLOOKUP($C127,Valve_from_BP!$O:$AE,6,0)="close",1,0)</f>
        <v>1</v>
      </c>
      <c r="M127" s="778">
        <v>3</v>
      </c>
      <c r="N127" s="177">
        <v>3</v>
      </c>
      <c r="O127" s="783" t="b">
        <v>0</v>
      </c>
      <c r="P127" s="460">
        <f>IF(VLOOKUP($C127,Valve_from_BP!$O:$AE,8,0)="yes",1,0)</f>
        <v>0</v>
      </c>
    </row>
    <row r="128" spans="1:16">
      <c r="A128" s="14"/>
      <c r="B128" s="771"/>
      <c r="C128" s="768" t="s">
        <v>10230</v>
      </c>
      <c r="D128" s="766" t="str">
        <f>IF(VLOOKUP($C128,Valve_from_BP!$O:$AE,6,0)="close","FC","FO")</f>
        <v>FC</v>
      </c>
      <c r="E128" s="771"/>
      <c r="F128" s="465" t="s">
        <v>7861</v>
      </c>
      <c r="G128" s="778">
        <v>3</v>
      </c>
      <c r="H128" s="460">
        <v>3</v>
      </c>
      <c r="I128" s="778">
        <v>3</v>
      </c>
      <c r="J128" s="460">
        <f t="shared" si="1"/>
        <v>3</v>
      </c>
      <c r="K128" s="778">
        <v>1</v>
      </c>
      <c r="L128" s="460">
        <f>IF(VLOOKUP($C128,Valve_from_BP!$O:$AE,6,0)="close",1,0)</f>
        <v>1</v>
      </c>
      <c r="M128" s="778">
        <v>3</v>
      </c>
      <c r="N128" s="177">
        <v>3</v>
      </c>
      <c r="O128" s="783" t="b">
        <v>0</v>
      </c>
      <c r="P128" s="460">
        <f>IF(VLOOKUP($C128,Valve_from_BP!$O:$AE,8,0)="yes",1,0)</f>
        <v>0</v>
      </c>
    </row>
    <row r="129" spans="1:16">
      <c r="A129" s="14"/>
      <c r="B129" s="771"/>
      <c r="C129" s="768" t="s">
        <v>1086</v>
      </c>
      <c r="D129" s="766" t="str">
        <f>IF(VLOOKUP($C129,Valve_from_BP!$O:$AE,6,0)="close","FC","FO")</f>
        <v>FC</v>
      </c>
      <c r="E129" s="771"/>
      <c r="F129" s="465" t="s">
        <v>5606</v>
      </c>
      <c r="G129" s="778">
        <v>3</v>
      </c>
      <c r="H129" s="460">
        <v>3</v>
      </c>
      <c r="I129" s="778">
        <v>3</v>
      </c>
      <c r="J129" s="460">
        <f t="shared" si="1"/>
        <v>3</v>
      </c>
      <c r="K129" s="778">
        <v>1</v>
      </c>
      <c r="L129" s="460">
        <f>IF(VLOOKUP($C129,Valve_from_BP!$O:$AE,6,0)="close",1,0)</f>
        <v>1</v>
      </c>
      <c r="M129" s="778">
        <v>3</v>
      </c>
      <c r="N129" s="177">
        <v>3</v>
      </c>
      <c r="O129" s="783" t="b">
        <v>0</v>
      </c>
      <c r="P129" s="460">
        <f>IF(VLOOKUP($C129,Valve_from_BP!$O:$AE,8,0)="yes",1,0)</f>
        <v>0</v>
      </c>
    </row>
    <row r="130" spans="1:16">
      <c r="A130" s="14"/>
      <c r="B130" s="771"/>
      <c r="C130" s="768" t="s">
        <v>9923</v>
      </c>
      <c r="D130" s="766" t="str">
        <f>IF(VLOOKUP($C130,Valve_from_BP!$O:$AE,6,0)="close","FC","FO")</f>
        <v>FC</v>
      </c>
      <c r="E130" s="771"/>
      <c r="F130" s="465" t="s">
        <v>5605</v>
      </c>
      <c r="G130" s="778">
        <v>3</v>
      </c>
      <c r="H130" s="460">
        <v>3</v>
      </c>
      <c r="I130" s="778">
        <v>3</v>
      </c>
      <c r="J130" s="460">
        <f t="shared" si="1"/>
        <v>3</v>
      </c>
      <c r="K130" s="778">
        <v>1</v>
      </c>
      <c r="L130" s="460">
        <f>IF(VLOOKUP($C130,Valve_from_BP!$O:$AE,6,0)="close",1,0)</f>
        <v>1</v>
      </c>
      <c r="M130" s="778">
        <v>3</v>
      </c>
      <c r="N130" s="177">
        <v>3</v>
      </c>
      <c r="O130" s="783" t="b">
        <v>0</v>
      </c>
      <c r="P130" s="460">
        <f>IF(VLOOKUP($C130,Valve_from_BP!$O:$AE,8,0)="yes",1,0)</f>
        <v>0</v>
      </c>
    </row>
    <row r="131" spans="1:16">
      <c r="A131" s="14"/>
      <c r="B131" s="771"/>
      <c r="C131" s="768" t="s">
        <v>9922</v>
      </c>
      <c r="D131" s="766" t="str">
        <f>IF(VLOOKUP($C131,Valve_from_BP!$O:$AE,6,0)="close","FC","FO")</f>
        <v>FC</v>
      </c>
      <c r="E131" s="771"/>
      <c r="F131" s="465" t="s">
        <v>5604</v>
      </c>
      <c r="G131" s="778">
        <v>3</v>
      </c>
      <c r="H131" s="460">
        <v>3</v>
      </c>
      <c r="I131" s="778">
        <v>3</v>
      </c>
      <c r="J131" s="460">
        <f t="shared" si="1"/>
        <v>3</v>
      </c>
      <c r="K131" s="778">
        <v>1</v>
      </c>
      <c r="L131" s="460">
        <f>IF(VLOOKUP($C131,Valve_from_BP!$O:$AE,6,0)="close",1,0)</f>
        <v>1</v>
      </c>
      <c r="M131" s="778">
        <v>3</v>
      </c>
      <c r="N131" s="177">
        <v>3</v>
      </c>
      <c r="O131" s="783" t="b">
        <v>0</v>
      </c>
      <c r="P131" s="460">
        <f>IF(VLOOKUP($C131,Valve_from_BP!$O:$AE,8,0)="yes",1,0)</f>
        <v>0</v>
      </c>
    </row>
    <row r="132" spans="1:16">
      <c r="A132" s="14"/>
      <c r="B132" s="771"/>
      <c r="C132" s="768" t="s">
        <v>5752</v>
      </c>
      <c r="D132" s="766" t="str">
        <f>IF(VLOOKUP($C132,Valve_from_BP!$O:$AE,6,0)="close","FC","FO")</f>
        <v>FC</v>
      </c>
      <c r="E132" s="771"/>
      <c r="F132" s="465" t="s">
        <v>5603</v>
      </c>
      <c r="G132" s="778">
        <v>3</v>
      </c>
      <c r="H132" s="460">
        <v>3</v>
      </c>
      <c r="I132" s="778">
        <v>3</v>
      </c>
      <c r="J132" s="460">
        <f t="shared" si="1"/>
        <v>3</v>
      </c>
      <c r="K132" s="778">
        <v>1</v>
      </c>
      <c r="L132" s="460">
        <f>IF(VLOOKUP($C132,Valve_from_BP!$O:$AE,6,0)="close",1,0)</f>
        <v>1</v>
      </c>
      <c r="M132" s="778">
        <v>3</v>
      </c>
      <c r="N132" s="177">
        <v>3</v>
      </c>
      <c r="O132" s="783" t="b">
        <v>0</v>
      </c>
      <c r="P132" s="460">
        <f>IF(VLOOKUP($C132,Valve_from_BP!$O:$AE,8,0)="yes",1,0)</f>
        <v>0</v>
      </c>
    </row>
    <row r="133" spans="1:16">
      <c r="A133" s="14"/>
      <c r="B133" s="771"/>
      <c r="C133" s="768" t="s">
        <v>8030</v>
      </c>
      <c r="D133" s="766" t="str">
        <f>IF(VLOOKUP($C133,Valve_from_BP!$O:$AE,6,0)="close","FC","FO")</f>
        <v>FO</v>
      </c>
      <c r="E133" s="771"/>
      <c r="F133" s="465" t="s">
        <v>7741</v>
      </c>
      <c r="G133" s="778">
        <v>3</v>
      </c>
      <c r="H133" s="460">
        <v>3</v>
      </c>
      <c r="I133" s="778">
        <v>3</v>
      </c>
      <c r="J133" s="460">
        <f t="shared" ref="J133:J196" si="2">H133</f>
        <v>3</v>
      </c>
      <c r="K133" s="778">
        <v>0</v>
      </c>
      <c r="L133" s="460">
        <f>IF(VLOOKUP($C133,Valve_from_BP!$O:$AE,6,0)="close",1,0)</f>
        <v>0</v>
      </c>
      <c r="M133" s="778">
        <v>3</v>
      </c>
      <c r="N133" s="177">
        <v>3</v>
      </c>
      <c r="O133" s="783" t="b">
        <v>0</v>
      </c>
      <c r="P133" s="460">
        <f>IF(VLOOKUP($C133,Valve_from_BP!$O:$AE,8,0)="yes",1,0)</f>
        <v>0</v>
      </c>
    </row>
    <row r="134" spans="1:16">
      <c r="A134" s="14"/>
      <c r="B134" s="771"/>
      <c r="C134" s="768" t="s">
        <v>6616</v>
      </c>
      <c r="D134" s="766" t="str">
        <f>IF(VLOOKUP($C134,Valve_from_BP!$O:$AE,6,0)="close","FC","FO")</f>
        <v>FO</v>
      </c>
      <c r="E134" s="771"/>
      <c r="F134" s="465" t="s">
        <v>6593</v>
      </c>
      <c r="G134" s="778">
        <v>3</v>
      </c>
      <c r="H134" s="460">
        <v>3</v>
      </c>
      <c r="I134" s="778">
        <v>3</v>
      </c>
      <c r="J134" s="460">
        <f t="shared" si="2"/>
        <v>3</v>
      </c>
      <c r="K134" s="778">
        <v>0</v>
      </c>
      <c r="L134" s="460">
        <f>IF(VLOOKUP($C134,Valve_from_BP!$O:$AE,6,0)="close",1,0)</f>
        <v>0</v>
      </c>
      <c r="M134" s="778">
        <v>0</v>
      </c>
      <c r="N134" s="177"/>
      <c r="O134" s="783" t="b">
        <v>0</v>
      </c>
      <c r="P134" s="460">
        <f>IF(VLOOKUP($C134,Valve_from_BP!$O:$AE,8,0)="yes",1,0)</f>
        <v>0</v>
      </c>
    </row>
    <row r="135" spans="1:16">
      <c r="A135" s="14"/>
      <c r="B135" s="771"/>
      <c r="C135" s="768" t="s">
        <v>6615</v>
      </c>
      <c r="D135" s="766" t="str">
        <f>IF(VLOOKUP($C135,Valve_from_BP!$O:$AE,6,0)="close","FC","FO")</f>
        <v>FO</v>
      </c>
      <c r="E135" s="771"/>
      <c r="F135" s="465" t="s">
        <v>6592</v>
      </c>
      <c r="G135" s="778">
        <v>3</v>
      </c>
      <c r="H135" s="460">
        <v>3</v>
      </c>
      <c r="I135" s="778">
        <v>3</v>
      </c>
      <c r="J135" s="460">
        <f t="shared" si="2"/>
        <v>3</v>
      </c>
      <c r="K135" s="778">
        <v>0</v>
      </c>
      <c r="L135" s="460">
        <f>IF(VLOOKUP($C135,Valve_from_BP!$O:$AE,6,0)="close",1,0)</f>
        <v>0</v>
      </c>
      <c r="M135" s="778">
        <v>0</v>
      </c>
      <c r="N135" s="177"/>
      <c r="O135" s="783" t="b">
        <v>0</v>
      </c>
      <c r="P135" s="460">
        <f>IF(VLOOKUP($C135,Valve_from_BP!$O:$AE,8,0)="yes",1,0)</f>
        <v>0</v>
      </c>
    </row>
    <row r="136" spans="1:16">
      <c r="A136" s="14"/>
      <c r="B136" s="771"/>
      <c r="C136" s="768" t="s">
        <v>10335</v>
      </c>
      <c r="D136" s="766" t="str">
        <f>IF(VLOOKUP($C136,Valve_from_BP!$O:$AE,6,0)="close","FC","FO")</f>
        <v>FC</v>
      </c>
      <c r="E136" s="771"/>
      <c r="F136" s="465" t="s">
        <v>9167</v>
      </c>
      <c r="G136" s="778">
        <v>3</v>
      </c>
      <c r="H136" s="460">
        <v>3</v>
      </c>
      <c r="I136" s="778">
        <v>3</v>
      </c>
      <c r="J136" s="460">
        <f t="shared" si="2"/>
        <v>3</v>
      </c>
      <c r="K136" s="778">
        <v>1</v>
      </c>
      <c r="L136" s="460">
        <f>IF(VLOOKUP($C136,Valve_from_BP!$O:$AE,6,0)="close",1,0)</f>
        <v>1</v>
      </c>
      <c r="M136" s="778">
        <v>0</v>
      </c>
      <c r="N136" s="177"/>
      <c r="O136" s="783" t="b">
        <v>0</v>
      </c>
      <c r="P136" s="460">
        <f>IF(VLOOKUP($C136,Valve_from_BP!$O:$AE,8,0)="yes",1,0)</f>
        <v>0</v>
      </c>
    </row>
    <row r="137" spans="1:16">
      <c r="A137" s="14"/>
      <c r="B137" s="771"/>
      <c r="C137" s="768" t="s">
        <v>7772</v>
      </c>
      <c r="D137" s="766" t="str">
        <f>IF(VLOOKUP($C137,Valve_from_BP!$O:$AE,6,0)="close","FC","FO")</f>
        <v>FC</v>
      </c>
      <c r="E137" s="771"/>
      <c r="F137" s="465" t="s">
        <v>7761</v>
      </c>
      <c r="G137" s="778">
        <v>3</v>
      </c>
      <c r="H137" s="460">
        <v>3</v>
      </c>
      <c r="I137" s="778">
        <v>3</v>
      </c>
      <c r="J137" s="460">
        <f t="shared" si="2"/>
        <v>3</v>
      </c>
      <c r="K137" s="778">
        <v>1</v>
      </c>
      <c r="L137" s="460">
        <f>IF(VLOOKUP($C137,Valve_from_BP!$O:$AE,6,0)="close",1,0)</f>
        <v>1</v>
      </c>
      <c r="M137" s="778">
        <v>0</v>
      </c>
      <c r="N137" s="177"/>
      <c r="O137" s="783" t="b">
        <v>0</v>
      </c>
      <c r="P137" s="460">
        <f>IF(VLOOKUP($C137,Valve_from_BP!$O:$AE,8,0)="yes",1,0)</f>
        <v>0</v>
      </c>
    </row>
    <row r="138" spans="1:16">
      <c r="A138" s="14"/>
      <c r="B138" s="771"/>
      <c r="C138" s="768" t="s">
        <v>8007</v>
      </c>
      <c r="D138" s="766" t="str">
        <f>IF(VLOOKUP($C138,Valve_from_BP!$O:$AE,6,0)="close","FC","FO")</f>
        <v>FC</v>
      </c>
      <c r="E138" s="771"/>
      <c r="F138" s="465" t="s">
        <v>8048</v>
      </c>
      <c r="G138" s="778">
        <v>3</v>
      </c>
      <c r="H138" s="13">
        <v>3</v>
      </c>
      <c r="I138" s="778">
        <v>3</v>
      </c>
      <c r="J138" s="460">
        <f t="shared" si="2"/>
        <v>3</v>
      </c>
      <c r="K138" s="778">
        <v>1</v>
      </c>
      <c r="L138" s="460">
        <f>IF(VLOOKUP($C138,Valve_from_BP!$O:$AE,6,0)="close",1,0)</f>
        <v>1</v>
      </c>
      <c r="M138" s="778">
        <v>0</v>
      </c>
      <c r="N138" s="177"/>
      <c r="O138" s="783" t="b">
        <v>0</v>
      </c>
      <c r="P138" s="460">
        <f>IF(VLOOKUP($C138,Valve_from_BP!$O:$AE,8,0)="yes",1,0)</f>
        <v>0</v>
      </c>
    </row>
    <row r="139" spans="1:16">
      <c r="A139" s="14"/>
      <c r="B139" s="771"/>
      <c r="C139" s="768" t="s">
        <v>10337</v>
      </c>
      <c r="D139" s="766" t="str">
        <f>IF(VLOOKUP($C139,Valve_from_BP!$O:$AE,6,0)="close","FC","FO")</f>
        <v>FC</v>
      </c>
      <c r="E139" s="771"/>
      <c r="F139" s="465" t="s">
        <v>6042</v>
      </c>
      <c r="G139" s="778">
        <v>3</v>
      </c>
      <c r="H139" s="13">
        <v>3</v>
      </c>
      <c r="I139" s="778">
        <v>3</v>
      </c>
      <c r="J139" s="460">
        <f t="shared" si="2"/>
        <v>3</v>
      </c>
      <c r="K139" s="778">
        <v>1</v>
      </c>
      <c r="L139" s="460">
        <f>IF(VLOOKUP($C139,Valve_from_BP!$O:$AE,6,0)="close",1,0)</f>
        <v>1</v>
      </c>
      <c r="M139" s="778">
        <v>0</v>
      </c>
      <c r="N139" s="177"/>
      <c r="O139" s="783" t="b">
        <v>0</v>
      </c>
      <c r="P139" s="460">
        <f>IF(VLOOKUP($C139,Valve_from_BP!$O:$AE,8,0)="yes",1,0)</f>
        <v>0</v>
      </c>
    </row>
    <row r="140" spans="1:16">
      <c r="A140" s="14"/>
      <c r="B140" s="771"/>
      <c r="C140" s="768" t="s">
        <v>10339</v>
      </c>
      <c r="D140" s="766" t="str">
        <f>IF(VLOOKUP($C140,Valve_from_BP!$O:$AE,6,0)="close","FC","FO")</f>
        <v>FC</v>
      </c>
      <c r="E140" s="771"/>
      <c r="F140" s="465" t="s">
        <v>6041</v>
      </c>
      <c r="G140" s="778">
        <v>3</v>
      </c>
      <c r="H140" s="13">
        <v>3</v>
      </c>
      <c r="I140" s="778">
        <v>3</v>
      </c>
      <c r="J140" s="460">
        <f t="shared" si="2"/>
        <v>3</v>
      </c>
      <c r="K140" s="778">
        <v>1</v>
      </c>
      <c r="L140" s="460">
        <f>IF(VLOOKUP($C140,Valve_from_BP!$O:$AE,6,0)="close",1,0)</f>
        <v>1</v>
      </c>
      <c r="M140" s="778">
        <v>0</v>
      </c>
      <c r="N140" s="177"/>
      <c r="O140" s="783" t="b">
        <v>0</v>
      </c>
      <c r="P140" s="460">
        <f>IF(VLOOKUP($C140,Valve_from_BP!$O:$AE,8,0)="yes",1,0)</f>
        <v>0</v>
      </c>
    </row>
    <row r="141" spans="1:16">
      <c r="A141" s="14"/>
      <c r="B141" s="771"/>
      <c r="C141" s="768" t="s">
        <v>10338</v>
      </c>
      <c r="D141" s="766" t="str">
        <f>IF(VLOOKUP($C141,Valve_from_BP!$O:$AE,6,0)="close","FC","FO")</f>
        <v>FO</v>
      </c>
      <c r="E141" s="771"/>
      <c r="F141" s="465" t="s">
        <v>6040</v>
      </c>
      <c r="G141" s="778">
        <v>3</v>
      </c>
      <c r="H141" s="13">
        <v>3</v>
      </c>
      <c r="I141" s="778">
        <v>3</v>
      </c>
      <c r="J141" s="460">
        <f t="shared" si="2"/>
        <v>3</v>
      </c>
      <c r="K141" s="778">
        <v>0</v>
      </c>
      <c r="L141" s="460">
        <f>IF(VLOOKUP($C141,Valve_from_BP!$O:$AE,6,0)="close",1,0)</f>
        <v>0</v>
      </c>
      <c r="M141" s="778">
        <v>0</v>
      </c>
      <c r="N141" s="177"/>
      <c r="O141" s="783" t="b">
        <v>0</v>
      </c>
      <c r="P141" s="460">
        <f>IF(VLOOKUP($C141,Valve_from_BP!$O:$AE,8,0)="yes",1,0)</f>
        <v>0</v>
      </c>
    </row>
    <row r="142" spans="1:16">
      <c r="A142" s="14"/>
      <c r="B142" s="771"/>
      <c r="C142" s="768" t="s">
        <v>6598</v>
      </c>
      <c r="D142" s="766" t="str">
        <f>IF(VLOOKUP($C142,Valve_from_BP!$O:$AE,6,0)="close","FC","FO")</f>
        <v>FC</v>
      </c>
      <c r="E142" s="771"/>
      <c r="F142" s="465" t="s">
        <v>6467</v>
      </c>
      <c r="G142" s="778">
        <v>3</v>
      </c>
      <c r="H142" s="13">
        <v>3</v>
      </c>
      <c r="I142" s="778">
        <v>3</v>
      </c>
      <c r="J142" s="460">
        <f t="shared" si="2"/>
        <v>3</v>
      </c>
      <c r="K142" s="778">
        <v>1</v>
      </c>
      <c r="L142" s="460">
        <f>IF(VLOOKUP($C142,Valve_from_BP!$O:$AE,6,0)="close",1,0)</f>
        <v>1</v>
      </c>
      <c r="M142" s="778">
        <v>0</v>
      </c>
      <c r="N142" s="177"/>
      <c r="O142" s="783" t="b">
        <v>0</v>
      </c>
      <c r="P142" s="460">
        <f>IF(VLOOKUP($C142,Valve_from_BP!$O:$AE,8,0)="yes",1,0)</f>
        <v>0</v>
      </c>
    </row>
    <row r="143" spans="1:16">
      <c r="A143" s="14"/>
      <c r="B143" s="771"/>
      <c r="C143" s="768" t="s">
        <v>6596</v>
      </c>
      <c r="D143" s="766" t="str">
        <f>IF(VLOOKUP($C143,Valve_from_BP!$O:$AE,6,0)="close","FC","FO")</f>
        <v>FC</v>
      </c>
      <c r="E143" s="771"/>
      <c r="F143" s="465" t="s">
        <v>6466</v>
      </c>
      <c r="G143" s="778">
        <v>3</v>
      </c>
      <c r="H143" s="13">
        <v>3</v>
      </c>
      <c r="I143" s="778">
        <v>3</v>
      </c>
      <c r="J143" s="460">
        <f t="shared" si="2"/>
        <v>3</v>
      </c>
      <c r="K143" s="778">
        <v>1</v>
      </c>
      <c r="L143" s="460">
        <f>IF(VLOOKUP($C143,Valve_from_BP!$O:$AE,6,0)="close",1,0)</f>
        <v>1</v>
      </c>
      <c r="M143" s="778">
        <v>0</v>
      </c>
      <c r="N143" s="177"/>
      <c r="O143" s="783" t="b">
        <v>1</v>
      </c>
      <c r="P143" s="460">
        <f>IF(VLOOKUP($C143,Valve_from_BP!$O:$AE,8,0)="yes",1,0)</f>
        <v>1</v>
      </c>
    </row>
    <row r="144" spans="1:16">
      <c r="A144" s="14"/>
      <c r="B144" s="771"/>
      <c r="C144" s="768" t="s">
        <v>1034</v>
      </c>
      <c r="D144" s="766" t="str">
        <f>IF(VLOOKUP($C144,Valve_from_BP!$O:$AE,6,0)="close","FC","FO")</f>
        <v>FC</v>
      </c>
      <c r="E144" s="771"/>
      <c r="F144" s="465" t="s">
        <v>7874</v>
      </c>
      <c r="G144" s="778">
        <v>3</v>
      </c>
      <c r="H144" s="13">
        <v>3</v>
      </c>
      <c r="I144" s="778">
        <v>3</v>
      </c>
      <c r="J144" s="460">
        <f t="shared" si="2"/>
        <v>3</v>
      </c>
      <c r="K144" s="778">
        <v>1</v>
      </c>
      <c r="L144" s="460">
        <f>IF(VLOOKUP($C144,Valve_from_BP!$O:$AE,6,0)="close",1,0)</f>
        <v>1</v>
      </c>
      <c r="M144" s="778">
        <v>0</v>
      </c>
      <c r="N144" s="177"/>
      <c r="O144" s="783" t="b">
        <v>0</v>
      </c>
      <c r="P144" s="460">
        <f>IF(VLOOKUP($C144,Valve_from_BP!$O:$AE,8,0)="yes",1,0)</f>
        <v>0</v>
      </c>
    </row>
    <row r="145" spans="1:16">
      <c r="A145" s="14"/>
      <c r="B145" s="771"/>
      <c r="C145" s="768" t="s">
        <v>8033</v>
      </c>
      <c r="D145" s="766" t="str">
        <f>IF(VLOOKUP($C145,Valve_from_BP!$O:$AE,6,0)="close","FC","FO")</f>
        <v>FC</v>
      </c>
      <c r="E145" s="771"/>
      <c r="F145" s="465" t="s">
        <v>8057</v>
      </c>
      <c r="G145" s="778">
        <v>3</v>
      </c>
      <c r="H145" s="13">
        <v>3</v>
      </c>
      <c r="I145" s="778">
        <v>3</v>
      </c>
      <c r="J145" s="460">
        <f t="shared" si="2"/>
        <v>3</v>
      </c>
      <c r="K145" s="778">
        <v>1</v>
      </c>
      <c r="L145" s="460">
        <f>IF(VLOOKUP($C145,Valve_from_BP!$O:$AE,6,0)="close",1,0)</f>
        <v>1</v>
      </c>
      <c r="M145" s="778">
        <v>0</v>
      </c>
      <c r="N145" s="177"/>
      <c r="O145" s="783" t="b">
        <v>0</v>
      </c>
      <c r="P145" s="460">
        <f>IF(VLOOKUP($C145,Valve_from_BP!$O:$AE,8,0)="yes",1,0)</f>
        <v>0</v>
      </c>
    </row>
    <row r="146" spans="1:16">
      <c r="A146" s="14"/>
      <c r="B146" s="771"/>
      <c r="C146" s="768" t="s">
        <v>8032</v>
      </c>
      <c r="D146" s="766" t="str">
        <f>IF(VLOOKUP($C146,Valve_from_BP!$O:$AE,6,0)="close","FC","FO")</f>
        <v>FC</v>
      </c>
      <c r="E146" s="771"/>
      <c r="F146" s="465" t="s">
        <v>8055</v>
      </c>
      <c r="G146" s="778">
        <v>3</v>
      </c>
      <c r="H146" s="13">
        <v>3</v>
      </c>
      <c r="I146" s="778">
        <v>3</v>
      </c>
      <c r="J146" s="460">
        <f t="shared" si="2"/>
        <v>3</v>
      </c>
      <c r="K146" s="778">
        <v>1</v>
      </c>
      <c r="L146" s="460">
        <f>IF(VLOOKUP($C146,Valve_from_BP!$O:$AE,6,0)="close",1,0)</f>
        <v>1</v>
      </c>
      <c r="M146" s="778">
        <v>0</v>
      </c>
      <c r="N146" s="177"/>
      <c r="O146" s="783" t="b">
        <v>0</v>
      </c>
      <c r="P146" s="460">
        <f>IF(VLOOKUP($C146,Valve_from_BP!$O:$AE,8,0)="yes",1,0)</f>
        <v>0</v>
      </c>
    </row>
    <row r="147" spans="1:16">
      <c r="A147" s="14"/>
      <c r="B147" s="771"/>
      <c r="C147" s="768" t="s">
        <v>10108</v>
      </c>
      <c r="D147" s="766" t="str">
        <f>IF(VLOOKUP($C147,Valve_from_BP!$O:$AE,6,0)="close","FC","FO")</f>
        <v>FC</v>
      </c>
      <c r="E147" s="771"/>
      <c r="F147" s="465" t="s">
        <v>6525</v>
      </c>
      <c r="G147" s="778">
        <v>3</v>
      </c>
      <c r="H147" s="13">
        <v>3</v>
      </c>
      <c r="I147" s="778">
        <v>3</v>
      </c>
      <c r="J147" s="460">
        <f t="shared" si="2"/>
        <v>3</v>
      </c>
      <c r="K147" s="778">
        <v>1</v>
      </c>
      <c r="L147" s="460">
        <f>IF(VLOOKUP($C147,Valve_from_BP!$O:$AE,6,0)="close",1,0)</f>
        <v>1</v>
      </c>
      <c r="M147" s="778">
        <v>0</v>
      </c>
      <c r="N147" s="177"/>
      <c r="O147" s="783" t="b">
        <v>0</v>
      </c>
      <c r="P147" s="460">
        <f>IF(VLOOKUP($C147,Valve_from_BP!$O:$AE,8,0)="yes",1,0)</f>
        <v>0</v>
      </c>
    </row>
    <row r="148" spans="1:16">
      <c r="A148" s="14"/>
      <c r="B148" s="771"/>
      <c r="C148" s="768" t="s">
        <v>6604</v>
      </c>
      <c r="D148" s="766" t="str">
        <f>IF(VLOOKUP($C148,Valve_from_BP!$O:$AE,6,0)="close","FC","FO")</f>
        <v>FC</v>
      </c>
      <c r="E148" s="771"/>
      <c r="F148" s="465" t="s">
        <v>6504</v>
      </c>
      <c r="G148" s="778">
        <v>3</v>
      </c>
      <c r="H148" s="13">
        <v>3</v>
      </c>
      <c r="I148" s="778">
        <v>3</v>
      </c>
      <c r="J148" s="460">
        <f t="shared" si="2"/>
        <v>3</v>
      </c>
      <c r="K148" s="778">
        <v>1</v>
      </c>
      <c r="L148" s="460">
        <f>IF(VLOOKUP($C148,Valve_from_BP!$O:$AE,6,0)="close",1,0)</f>
        <v>1</v>
      </c>
      <c r="M148" s="778">
        <v>0</v>
      </c>
      <c r="N148" s="177"/>
      <c r="O148" s="783" t="b">
        <v>0</v>
      </c>
      <c r="P148" s="460">
        <f>IF(VLOOKUP($C148,Valve_from_BP!$O:$AE,8,0)="yes",1,0)</f>
        <v>0</v>
      </c>
    </row>
    <row r="149" spans="1:16">
      <c r="A149" s="14"/>
      <c r="B149" s="771"/>
      <c r="C149" s="768" t="s">
        <v>7765</v>
      </c>
      <c r="D149" s="766" t="str">
        <f>IF(VLOOKUP($C149,Valve_from_BP!$O:$AE,6,0)="close","FC","FO")</f>
        <v>FO</v>
      </c>
      <c r="E149" s="771"/>
      <c r="F149" s="465" t="s">
        <v>7740</v>
      </c>
      <c r="G149" s="778">
        <v>3</v>
      </c>
      <c r="H149" s="13">
        <v>3</v>
      </c>
      <c r="I149" s="778">
        <v>3</v>
      </c>
      <c r="J149" s="460">
        <f t="shared" si="2"/>
        <v>3</v>
      </c>
      <c r="K149" s="778">
        <v>0</v>
      </c>
      <c r="L149" s="460">
        <f>IF(VLOOKUP($C149,Valve_from_BP!$O:$AE,6,0)="close",1,0)</f>
        <v>0</v>
      </c>
      <c r="M149" s="778">
        <v>0</v>
      </c>
      <c r="N149" s="177"/>
      <c r="O149" s="783" t="b">
        <v>1</v>
      </c>
      <c r="P149" s="460">
        <f>IF(VLOOKUP($C149,Valve_from_BP!$O:$AE,8,0)="yes",1,0)</f>
        <v>1</v>
      </c>
    </row>
    <row r="150" spans="1:16">
      <c r="A150" s="14"/>
      <c r="B150" s="771"/>
      <c r="C150" s="768" t="s">
        <v>7882</v>
      </c>
      <c r="D150" s="766" t="str">
        <f>IF(VLOOKUP($C150,Valve_from_BP!$O:$AE,6,0)="close","FC","FO")</f>
        <v>FC</v>
      </c>
      <c r="E150" s="771"/>
      <c r="F150" s="465" t="s">
        <v>7858</v>
      </c>
      <c r="G150" s="778">
        <v>3</v>
      </c>
      <c r="H150" s="13">
        <v>3</v>
      </c>
      <c r="I150" s="778">
        <v>3</v>
      </c>
      <c r="J150" s="460">
        <f t="shared" si="2"/>
        <v>3</v>
      </c>
      <c r="K150" s="778">
        <v>1</v>
      </c>
      <c r="L150" s="460">
        <f>IF(VLOOKUP($C150,Valve_from_BP!$O:$AE,6,0)="close",1,0)</f>
        <v>1</v>
      </c>
      <c r="M150" s="778">
        <v>0</v>
      </c>
      <c r="N150" s="177"/>
      <c r="O150" s="783" t="b">
        <v>0</v>
      </c>
      <c r="P150" s="460">
        <f>IF(VLOOKUP($C150,Valve_from_BP!$O:$AE,8,0)="yes",1,0)</f>
        <v>0</v>
      </c>
    </row>
    <row r="151" spans="1:16">
      <c r="A151" s="14"/>
      <c r="B151" s="771"/>
      <c r="C151" s="768" t="s">
        <v>10342</v>
      </c>
      <c r="D151" s="766" t="str">
        <f>IF(VLOOKUP($C151,Valve_from_BP!$O:$AE,6,0)="close","FC","FO")</f>
        <v>FC</v>
      </c>
      <c r="E151" s="771"/>
      <c r="F151" s="465" t="s">
        <v>9360</v>
      </c>
      <c r="G151" s="778">
        <v>3</v>
      </c>
      <c r="H151" s="13">
        <v>3</v>
      </c>
      <c r="I151" s="778">
        <v>3</v>
      </c>
      <c r="J151" s="460">
        <f t="shared" si="2"/>
        <v>3</v>
      </c>
      <c r="K151" s="778">
        <v>1</v>
      </c>
      <c r="L151" s="460">
        <f>IF(VLOOKUP($C151,Valve_from_BP!$O:$AE,6,0)="close",1,0)</f>
        <v>1</v>
      </c>
      <c r="M151" s="778">
        <v>0</v>
      </c>
      <c r="N151" s="177"/>
      <c r="O151" s="783" t="b">
        <v>0</v>
      </c>
      <c r="P151" s="460">
        <f>IF(VLOOKUP($C151,Valve_from_BP!$O:$AE,8,0)="yes",1,0)</f>
        <v>0</v>
      </c>
    </row>
    <row r="152" spans="1:16">
      <c r="A152" s="14"/>
      <c r="B152" s="771"/>
      <c r="C152" s="768" t="s">
        <v>9224</v>
      </c>
      <c r="D152" s="766" t="str">
        <f>IF(VLOOKUP($C152,Valve_from_BP!$O:$AE,6,0)="close","FC","FO")</f>
        <v>FC</v>
      </c>
      <c r="E152" s="771"/>
      <c r="F152" s="465" t="s">
        <v>9356</v>
      </c>
      <c r="G152" s="778">
        <v>3</v>
      </c>
      <c r="H152" s="13">
        <v>3</v>
      </c>
      <c r="I152" s="778">
        <v>3</v>
      </c>
      <c r="J152" s="460">
        <f t="shared" si="2"/>
        <v>3</v>
      </c>
      <c r="K152" s="778">
        <v>1</v>
      </c>
      <c r="L152" s="460">
        <f>IF(VLOOKUP($C152,Valve_from_BP!$O:$AE,6,0)="close",1,0)</f>
        <v>1</v>
      </c>
      <c r="M152" s="778">
        <v>0</v>
      </c>
      <c r="N152" s="177"/>
      <c r="O152" s="783" t="b">
        <v>0</v>
      </c>
      <c r="P152" s="460">
        <f>IF(VLOOKUP($C152,Valve_from_BP!$O:$AE,8,0)="yes",1,0)</f>
        <v>0</v>
      </c>
    </row>
    <row r="153" spans="1:16">
      <c r="A153" s="14"/>
      <c r="B153" s="771"/>
      <c r="C153" s="768" t="s">
        <v>10345</v>
      </c>
      <c r="D153" s="766" t="str">
        <f>IF(VLOOKUP($C153,Valve_from_BP!$O:$AE,6,0)="close","FC","FO")</f>
        <v>FC</v>
      </c>
      <c r="E153" s="771"/>
      <c r="F153" s="465" t="s">
        <v>5664</v>
      </c>
      <c r="G153" s="778">
        <v>3</v>
      </c>
      <c r="H153" s="13">
        <v>3</v>
      </c>
      <c r="I153" s="778">
        <v>3</v>
      </c>
      <c r="J153" s="460">
        <f t="shared" si="2"/>
        <v>3</v>
      </c>
      <c r="K153" s="778">
        <v>1</v>
      </c>
      <c r="L153" s="460">
        <f>IF(VLOOKUP($C153,Valve_from_BP!$O:$AE,6,0)="close",1,0)</f>
        <v>1</v>
      </c>
      <c r="M153" s="778">
        <v>0</v>
      </c>
      <c r="N153" s="177"/>
      <c r="O153" s="783" t="b">
        <v>0</v>
      </c>
      <c r="P153" s="460">
        <f>IF(VLOOKUP($C153,Valve_from_BP!$O:$AE,8,0)="yes",1,0)</f>
        <v>0</v>
      </c>
    </row>
    <row r="154" spans="1:16">
      <c r="A154" s="14"/>
      <c r="B154" s="771"/>
      <c r="C154" s="768" t="s">
        <v>10346</v>
      </c>
      <c r="D154" s="766" t="str">
        <f>IF(VLOOKUP($C154,Valve_from_BP!$O:$AE,6,0)="close","FC","FO")</f>
        <v>FC</v>
      </c>
      <c r="E154" s="771"/>
      <c r="F154" s="465" t="s">
        <v>5663</v>
      </c>
      <c r="G154" s="778">
        <v>3</v>
      </c>
      <c r="H154" s="13">
        <v>3</v>
      </c>
      <c r="I154" s="778">
        <v>3</v>
      </c>
      <c r="J154" s="460">
        <f t="shared" si="2"/>
        <v>3</v>
      </c>
      <c r="K154" s="778">
        <v>1</v>
      </c>
      <c r="L154" s="460">
        <f>IF(VLOOKUP($C154,Valve_from_BP!$O:$AE,6,0)="close",1,0)</f>
        <v>1</v>
      </c>
      <c r="M154" s="778">
        <v>0</v>
      </c>
      <c r="N154" s="177"/>
      <c r="O154" s="783" t="b">
        <v>0</v>
      </c>
      <c r="P154" s="460">
        <f>IF(VLOOKUP($C154,Valve_from_BP!$O:$AE,8,0)="yes",1,0)</f>
        <v>0</v>
      </c>
    </row>
    <row r="155" spans="1:16" s="184" customFormat="1">
      <c r="A155" s="195"/>
      <c r="B155" s="771"/>
      <c r="C155" s="768" t="s">
        <v>10307</v>
      </c>
      <c r="D155" s="766" t="str">
        <f>IF(VLOOKUP($C155,Valve_from_BP!$O:$AE,6,0)="close","FC","FO")</f>
        <v>FC</v>
      </c>
      <c r="E155" s="771"/>
      <c r="F155" s="465" t="s">
        <v>8847</v>
      </c>
      <c r="G155" s="778">
        <v>3</v>
      </c>
      <c r="H155" s="193">
        <v>3</v>
      </c>
      <c r="I155" s="778">
        <v>3</v>
      </c>
      <c r="J155" s="460">
        <f t="shared" si="2"/>
        <v>3</v>
      </c>
      <c r="K155" s="778">
        <v>1</v>
      </c>
      <c r="L155" s="460">
        <f>IF(VLOOKUP($C155,Valve_from_BP!$O:$AE,6,0)="close",1,0)</f>
        <v>1</v>
      </c>
      <c r="M155" s="778">
        <v>0</v>
      </c>
      <c r="N155" s="193"/>
      <c r="O155" s="783" t="b">
        <v>0</v>
      </c>
      <c r="P155" s="460">
        <f>IF(VLOOKUP($C155,Valve_from_BP!$O:$AE,8,0)="yes",1,0)</f>
        <v>0</v>
      </c>
    </row>
    <row r="156" spans="1:16">
      <c r="A156" s="14"/>
      <c r="B156" s="771"/>
      <c r="C156" s="768" t="s">
        <v>10347</v>
      </c>
      <c r="D156" s="766" t="str">
        <f>IF(VLOOKUP($C156,Valve_from_BP!$O:$AE,6,0)="close","FC","FO")</f>
        <v>FO</v>
      </c>
      <c r="E156" s="771"/>
      <c r="F156" s="465" t="s">
        <v>9006</v>
      </c>
      <c r="G156" s="778">
        <v>3</v>
      </c>
      <c r="H156" s="193">
        <v>3</v>
      </c>
      <c r="I156" s="778">
        <v>3</v>
      </c>
      <c r="J156" s="460">
        <f t="shared" si="2"/>
        <v>3</v>
      </c>
      <c r="K156" s="778">
        <v>0</v>
      </c>
      <c r="L156" s="460">
        <f>IF(VLOOKUP($C156,Valve_from_BP!$O:$AE,6,0)="close",1,0)</f>
        <v>0</v>
      </c>
      <c r="M156" s="778">
        <v>0</v>
      </c>
      <c r="N156" s="193"/>
      <c r="O156" s="783" t="b">
        <v>0</v>
      </c>
      <c r="P156" s="460">
        <f>IF(VLOOKUP($C156,Valve_from_BP!$O:$AE,8,0)="yes",1,0)</f>
        <v>0</v>
      </c>
    </row>
    <row r="157" spans="1:16" s="184" customFormat="1">
      <c r="A157" s="195"/>
      <c r="B157" s="771"/>
      <c r="C157" s="768" t="s">
        <v>7886</v>
      </c>
      <c r="D157" s="766" t="str">
        <f>IF(VLOOKUP($C157,Valve_from_BP!$O:$AE,6,0)="close","FC","FO")</f>
        <v>FC</v>
      </c>
      <c r="E157" s="771"/>
      <c r="F157" s="465" t="s">
        <v>7870</v>
      </c>
      <c r="G157" s="778">
        <v>3</v>
      </c>
      <c r="H157" s="193">
        <v>3</v>
      </c>
      <c r="I157" s="778">
        <v>3</v>
      </c>
      <c r="J157" s="460">
        <f t="shared" si="2"/>
        <v>3</v>
      </c>
      <c r="K157" s="778">
        <v>1</v>
      </c>
      <c r="L157" s="460">
        <f>IF(VLOOKUP($C157,Valve_from_BP!$O:$AE,6,0)="close",1,0)</f>
        <v>1</v>
      </c>
      <c r="M157" s="778">
        <v>0</v>
      </c>
      <c r="N157" s="193"/>
      <c r="O157" s="783" t="b">
        <v>0</v>
      </c>
      <c r="P157" s="460">
        <f>IF(VLOOKUP($C157,Valve_from_BP!$O:$AE,8,0)="yes",1,0)</f>
        <v>0</v>
      </c>
    </row>
    <row r="158" spans="1:16">
      <c r="A158" s="14"/>
      <c r="B158" s="771"/>
      <c r="C158" s="768" t="s">
        <v>7885</v>
      </c>
      <c r="D158" s="766" t="str">
        <f>IF(VLOOKUP($C158,Valve_from_BP!$O:$AE,6,0)="close","FC","FO")</f>
        <v>FC</v>
      </c>
      <c r="E158" s="771"/>
      <c r="F158" s="465" t="s">
        <v>7869</v>
      </c>
      <c r="G158" s="778">
        <v>3</v>
      </c>
      <c r="H158" s="193">
        <v>3</v>
      </c>
      <c r="I158" s="778">
        <v>3</v>
      </c>
      <c r="J158" s="460">
        <f t="shared" si="2"/>
        <v>3</v>
      </c>
      <c r="K158" s="778">
        <v>1</v>
      </c>
      <c r="L158" s="460">
        <f>IF(VLOOKUP($C158,Valve_from_BP!$O:$AE,6,0)="close",1,0)</f>
        <v>1</v>
      </c>
      <c r="M158" s="778">
        <v>0</v>
      </c>
      <c r="N158" s="193"/>
      <c r="O158" s="783" t="b">
        <v>0</v>
      </c>
      <c r="P158" s="460">
        <f>IF(VLOOKUP($C158,Valve_from_BP!$O:$AE,8,0)="yes",1,0)</f>
        <v>0</v>
      </c>
    </row>
    <row r="159" spans="1:16">
      <c r="A159" s="14"/>
      <c r="B159" s="771"/>
      <c r="C159" s="768" t="s">
        <v>835</v>
      </c>
      <c r="D159" s="766" t="str">
        <f>IF(VLOOKUP($C159,Valve_from_BP!$O:$AE,6,0)="close","FC","FO")</f>
        <v>FC</v>
      </c>
      <c r="E159" s="771"/>
      <c r="F159" s="465" t="s">
        <v>8045</v>
      </c>
      <c r="G159" s="778">
        <v>3</v>
      </c>
      <c r="H159" s="193">
        <v>3</v>
      </c>
      <c r="I159" s="778">
        <v>3</v>
      </c>
      <c r="J159" s="460">
        <f t="shared" si="2"/>
        <v>3</v>
      </c>
      <c r="K159" s="778">
        <v>1</v>
      </c>
      <c r="L159" s="460">
        <f>IF(VLOOKUP($C159,Valve_from_BP!$O:$AE,6,0)="close",1,0)</f>
        <v>1</v>
      </c>
      <c r="M159" s="778">
        <v>0</v>
      </c>
      <c r="N159" s="193"/>
      <c r="O159" s="783" t="b">
        <v>0</v>
      </c>
      <c r="P159" s="460">
        <f>IF(VLOOKUP($C159,Valve_from_BP!$O:$AE,8,0)="yes",1,0)</f>
        <v>0</v>
      </c>
    </row>
    <row r="160" spans="1:16">
      <c r="A160" s="14"/>
      <c r="B160" s="771"/>
      <c r="C160" s="768" t="s">
        <v>10090</v>
      </c>
      <c r="D160" s="766" t="str">
        <f>IF(VLOOKUP($C160,Valve_from_BP!$O:$AE,6,0)="close","FC","FO")</f>
        <v>FC</v>
      </c>
      <c r="E160" s="771"/>
      <c r="F160" s="465" t="s">
        <v>6503</v>
      </c>
      <c r="G160" s="778">
        <v>3</v>
      </c>
      <c r="H160" s="193">
        <v>3</v>
      </c>
      <c r="I160" s="778">
        <v>3</v>
      </c>
      <c r="J160" s="460">
        <f t="shared" si="2"/>
        <v>3</v>
      </c>
      <c r="K160" s="778">
        <v>1</v>
      </c>
      <c r="L160" s="460">
        <f>IF(VLOOKUP($C160,Valve_from_BP!$O:$AE,6,0)="close",1,0)</f>
        <v>1</v>
      </c>
      <c r="M160" s="778">
        <v>0</v>
      </c>
      <c r="N160" s="193"/>
      <c r="O160" s="783" t="b">
        <v>0</v>
      </c>
      <c r="P160" s="460">
        <f>IF(VLOOKUP($C160,Valve_from_BP!$O:$AE,8,0)="yes",1,0)</f>
        <v>0</v>
      </c>
    </row>
    <row r="161" spans="1:16" s="184" customFormat="1">
      <c r="A161" s="195"/>
      <c r="B161" s="771"/>
      <c r="C161" s="768" t="s">
        <v>6603</v>
      </c>
      <c r="D161" s="766" t="str">
        <f>IF(VLOOKUP($C161,Valve_from_BP!$O:$AE,6,0)="close","FC","FO")</f>
        <v>FC</v>
      </c>
      <c r="E161" s="771"/>
      <c r="F161" s="465" t="s">
        <v>6502</v>
      </c>
      <c r="G161" s="778">
        <v>3</v>
      </c>
      <c r="H161" s="193">
        <v>3</v>
      </c>
      <c r="I161" s="778">
        <v>3</v>
      </c>
      <c r="J161" s="460">
        <f t="shared" si="2"/>
        <v>3</v>
      </c>
      <c r="K161" s="778">
        <v>1</v>
      </c>
      <c r="L161" s="460">
        <f>IF(VLOOKUP($C161,Valve_from_BP!$O:$AE,6,0)="close",1,0)</f>
        <v>1</v>
      </c>
      <c r="M161" s="778">
        <v>0</v>
      </c>
      <c r="N161" s="193"/>
      <c r="O161" s="783" t="b">
        <v>0</v>
      </c>
      <c r="P161" s="460">
        <f>IF(VLOOKUP($C161,Valve_from_BP!$O:$AE,8,0)="yes",1,0)</f>
        <v>0</v>
      </c>
    </row>
    <row r="162" spans="1:16">
      <c r="A162" s="14"/>
      <c r="B162" s="771"/>
      <c r="C162" s="768" t="s">
        <v>6602</v>
      </c>
      <c r="D162" s="766" t="str">
        <f>IF(VLOOKUP($C162,Valve_from_BP!$O:$AE,6,0)="close","FC","FO")</f>
        <v>FC</v>
      </c>
      <c r="E162" s="771"/>
      <c r="F162" s="465" t="s">
        <v>6501</v>
      </c>
      <c r="G162" s="778">
        <v>3</v>
      </c>
      <c r="H162" s="193">
        <v>3</v>
      </c>
      <c r="I162" s="778">
        <v>3</v>
      </c>
      <c r="J162" s="460">
        <f t="shared" si="2"/>
        <v>3</v>
      </c>
      <c r="K162" s="778">
        <v>1</v>
      </c>
      <c r="L162" s="460">
        <f>IF(VLOOKUP($C162,Valve_from_BP!$O:$AE,6,0)="close",1,0)</f>
        <v>1</v>
      </c>
      <c r="M162" s="778">
        <v>0</v>
      </c>
      <c r="N162" s="193"/>
      <c r="O162" s="783" t="b">
        <v>0</v>
      </c>
      <c r="P162" s="460">
        <f>IF(VLOOKUP($C162,Valve_from_BP!$O:$AE,8,0)="yes",1,0)</f>
        <v>0</v>
      </c>
    </row>
    <row r="163" spans="1:16">
      <c r="A163" s="14"/>
      <c r="B163" s="771"/>
      <c r="C163" s="768" t="s">
        <v>10348</v>
      </c>
      <c r="D163" s="766" t="str">
        <f>IF(VLOOKUP($C163,Valve_from_BP!$O:$AE,6,0)="close","FC","FO")</f>
        <v>FC</v>
      </c>
      <c r="E163" s="771"/>
      <c r="F163" s="465" t="s">
        <v>9164</v>
      </c>
      <c r="G163" s="778">
        <v>3</v>
      </c>
      <c r="H163" s="193">
        <v>3</v>
      </c>
      <c r="I163" s="778">
        <v>3</v>
      </c>
      <c r="J163" s="460">
        <f t="shared" si="2"/>
        <v>3</v>
      </c>
      <c r="K163" s="778">
        <v>1</v>
      </c>
      <c r="L163" s="460">
        <f>IF(VLOOKUP($C163,Valve_from_BP!$O:$AE,6,0)="close",1,0)</f>
        <v>1</v>
      </c>
      <c r="M163" s="778">
        <v>0</v>
      </c>
      <c r="N163" s="193"/>
      <c r="O163" s="783" t="b">
        <v>0</v>
      </c>
      <c r="P163" s="460">
        <f>IF(VLOOKUP($C163,Valve_from_BP!$O:$AE,8,0)="yes",1,0)</f>
        <v>0</v>
      </c>
    </row>
    <row r="164" spans="1:16">
      <c r="A164" s="14"/>
      <c r="B164" s="771"/>
      <c r="C164" s="768" t="s">
        <v>8031</v>
      </c>
      <c r="D164" s="766" t="str">
        <f>IF(VLOOKUP($C164,Valve_from_BP!$O:$AE,6,0)="close","FC","FO")</f>
        <v>FC</v>
      </c>
      <c r="E164" s="771"/>
      <c r="F164" s="465" t="s">
        <v>8053</v>
      </c>
      <c r="G164" s="778">
        <v>3</v>
      </c>
      <c r="H164" s="193">
        <v>3</v>
      </c>
      <c r="I164" s="778">
        <v>3</v>
      </c>
      <c r="J164" s="460">
        <f t="shared" si="2"/>
        <v>3</v>
      </c>
      <c r="K164" s="778">
        <v>1</v>
      </c>
      <c r="L164" s="460">
        <f>IF(VLOOKUP($C164,Valve_from_BP!$O:$AE,6,0)="close",1,0)</f>
        <v>1</v>
      </c>
      <c r="M164" s="778">
        <v>0</v>
      </c>
      <c r="N164" s="193"/>
      <c r="O164" s="783" t="b">
        <v>0</v>
      </c>
      <c r="P164" s="460">
        <f>IF(VLOOKUP($C164,Valve_from_BP!$O:$AE,8,0)="yes",1,0)</f>
        <v>0</v>
      </c>
    </row>
    <row r="165" spans="1:16">
      <c r="A165" s="14"/>
      <c r="B165" s="771"/>
      <c r="C165" s="768" t="s">
        <v>7766</v>
      </c>
      <c r="D165" s="766" t="str">
        <f>IF(VLOOKUP($C165,Valve_from_BP!$O:$AE,6,0)="close","FC","FO")</f>
        <v>FC</v>
      </c>
      <c r="E165" s="771"/>
      <c r="F165" s="465" t="s">
        <v>7739</v>
      </c>
      <c r="G165" s="778">
        <v>3</v>
      </c>
      <c r="H165" s="193">
        <v>3</v>
      </c>
      <c r="I165" s="778">
        <v>3</v>
      </c>
      <c r="J165" s="460">
        <f t="shared" si="2"/>
        <v>3</v>
      </c>
      <c r="K165" s="778">
        <v>1</v>
      </c>
      <c r="L165" s="460">
        <f>IF(VLOOKUP($C165,Valve_from_BP!$O:$AE,6,0)="close",1,0)</f>
        <v>1</v>
      </c>
      <c r="M165" s="778">
        <v>0</v>
      </c>
      <c r="N165" s="193"/>
      <c r="O165" s="783" t="b">
        <v>0</v>
      </c>
      <c r="P165" s="460">
        <f>IF(VLOOKUP($C165,Valve_from_BP!$O:$AE,8,0)="yes",1,0)</f>
        <v>0</v>
      </c>
    </row>
    <row r="166" spans="1:16">
      <c r="A166" s="14"/>
      <c r="B166" s="771"/>
      <c r="C166" s="768" t="s">
        <v>7767</v>
      </c>
      <c r="D166" s="766" t="str">
        <f>IF(VLOOKUP($C166,Valve_from_BP!$O:$AE,6,0)="close","FC","FO")</f>
        <v>FC</v>
      </c>
      <c r="E166" s="771"/>
      <c r="F166" s="465" t="s">
        <v>7738</v>
      </c>
      <c r="G166" s="778">
        <v>3</v>
      </c>
      <c r="H166" s="193">
        <v>3</v>
      </c>
      <c r="I166" s="778">
        <v>3</v>
      </c>
      <c r="J166" s="460">
        <f t="shared" si="2"/>
        <v>3</v>
      </c>
      <c r="K166" s="778">
        <v>1</v>
      </c>
      <c r="L166" s="460">
        <f>IF(VLOOKUP($C166,Valve_from_BP!$O:$AE,6,0)="close",1,0)</f>
        <v>1</v>
      </c>
      <c r="M166" s="778">
        <v>0</v>
      </c>
      <c r="N166" s="193"/>
      <c r="O166" s="783" t="b">
        <v>0</v>
      </c>
      <c r="P166" s="460">
        <f>IF(VLOOKUP($C166,Valve_from_BP!$O:$AE,8,0)="yes",1,0)</f>
        <v>0</v>
      </c>
    </row>
    <row r="167" spans="1:16">
      <c r="A167" s="14"/>
      <c r="B167" s="771"/>
      <c r="C167" s="768" t="s">
        <v>7768</v>
      </c>
      <c r="D167" s="766" t="str">
        <f>IF(VLOOKUP($C167,Valve_from_BP!$O:$AE,6,0)="close","FC","FO")</f>
        <v>FC</v>
      </c>
      <c r="E167" s="771"/>
      <c r="F167" s="465" t="s">
        <v>7737</v>
      </c>
      <c r="G167" s="778">
        <v>3</v>
      </c>
      <c r="H167" s="193">
        <v>3</v>
      </c>
      <c r="I167" s="778">
        <v>3</v>
      </c>
      <c r="J167" s="460">
        <f t="shared" si="2"/>
        <v>3</v>
      </c>
      <c r="K167" s="778">
        <v>1</v>
      </c>
      <c r="L167" s="460">
        <f>IF(VLOOKUP($C167,Valve_from_BP!$O:$AE,6,0)="close",1,0)</f>
        <v>1</v>
      </c>
      <c r="M167" s="778">
        <v>0</v>
      </c>
      <c r="N167" s="193"/>
      <c r="O167" s="783" t="b">
        <v>1</v>
      </c>
      <c r="P167" s="460">
        <f>IF(VLOOKUP($C167,Valve_from_BP!$O:$AE,8,0)="yes",1,0)</f>
        <v>1</v>
      </c>
    </row>
    <row r="168" spans="1:16">
      <c r="A168" s="14"/>
      <c r="B168" s="771"/>
      <c r="C168" s="768" t="s">
        <v>7769</v>
      </c>
      <c r="D168" s="766" t="str">
        <f>IF(VLOOKUP($C168,Valve_from_BP!$O:$AE,6,0)="close","FC","FO")</f>
        <v>FC</v>
      </c>
      <c r="E168" s="771"/>
      <c r="F168" s="465" t="s">
        <v>7736</v>
      </c>
      <c r="G168" s="778">
        <v>3</v>
      </c>
      <c r="H168" s="193">
        <v>3</v>
      </c>
      <c r="I168" s="778">
        <v>3</v>
      </c>
      <c r="J168" s="460">
        <f t="shared" si="2"/>
        <v>3</v>
      </c>
      <c r="K168" s="778">
        <v>1</v>
      </c>
      <c r="L168" s="460">
        <f>IF(VLOOKUP($C168,Valve_from_BP!$O:$AE,6,0)="close",1,0)</f>
        <v>1</v>
      </c>
      <c r="M168" s="778">
        <v>0</v>
      </c>
      <c r="N168" s="193"/>
      <c r="O168" s="783" t="b">
        <v>1</v>
      </c>
      <c r="P168" s="460">
        <f>IF(VLOOKUP($C168,Valve_from_BP!$O:$AE,8,0)="yes",1,0)</f>
        <v>1</v>
      </c>
    </row>
    <row r="169" spans="1:16">
      <c r="A169" s="14"/>
      <c r="B169" s="771"/>
      <c r="C169" s="768" t="s">
        <v>7770</v>
      </c>
      <c r="D169" s="766" t="str">
        <f>IF(VLOOKUP($C169,Valve_from_BP!$O:$AE,6,0)="close","FC","FO")</f>
        <v>FO</v>
      </c>
      <c r="E169" s="771"/>
      <c r="F169" s="465" t="s">
        <v>7735</v>
      </c>
      <c r="G169" s="778">
        <v>3</v>
      </c>
      <c r="H169" s="193">
        <v>3</v>
      </c>
      <c r="I169" s="778">
        <v>3</v>
      </c>
      <c r="J169" s="460">
        <f t="shared" si="2"/>
        <v>3</v>
      </c>
      <c r="K169" s="778">
        <v>0</v>
      </c>
      <c r="L169" s="460">
        <f>IF(VLOOKUP($C169,Valve_from_BP!$O:$AE,6,0)="close",1,0)</f>
        <v>0</v>
      </c>
      <c r="M169" s="778">
        <v>0</v>
      </c>
      <c r="N169" s="193"/>
      <c r="O169" s="783" t="b">
        <v>0</v>
      </c>
      <c r="P169" s="460">
        <f>IF(VLOOKUP($C169,Valve_from_BP!$O:$AE,8,0)="yes",1,0)</f>
        <v>0</v>
      </c>
    </row>
    <row r="170" spans="1:16">
      <c r="A170" s="14"/>
      <c r="B170" s="771"/>
      <c r="C170" s="768" t="s">
        <v>7881</v>
      </c>
      <c r="D170" s="766" t="str">
        <f>IF(VLOOKUP($C170,Valve_from_BP!$O:$AE,6,0)="close","FC","FO")</f>
        <v>FO</v>
      </c>
      <c r="E170" s="771"/>
      <c r="F170" s="465" t="s">
        <v>7854</v>
      </c>
      <c r="G170" s="778">
        <v>3</v>
      </c>
      <c r="H170" s="193">
        <v>3</v>
      </c>
      <c r="I170" s="778">
        <v>3</v>
      </c>
      <c r="J170" s="460">
        <f t="shared" si="2"/>
        <v>3</v>
      </c>
      <c r="K170" s="778">
        <v>0</v>
      </c>
      <c r="L170" s="460">
        <f>IF(VLOOKUP($C170,Valve_from_BP!$O:$AE,6,0)="close",1,0)</f>
        <v>0</v>
      </c>
      <c r="M170" s="778">
        <v>0</v>
      </c>
      <c r="N170" s="193"/>
      <c r="O170" s="783" t="b">
        <v>0</v>
      </c>
      <c r="P170" s="460">
        <f>IF(VLOOKUP($C170,Valve_from_BP!$O:$AE,8,0)="yes",1,0)</f>
        <v>0</v>
      </c>
    </row>
    <row r="171" spans="1:16">
      <c r="A171" s="14"/>
      <c r="B171" s="771"/>
      <c r="C171" s="768" t="s">
        <v>803</v>
      </c>
      <c r="D171" s="766" t="str">
        <f>IF(VLOOKUP($C171,Valve_from_BP!$O:$AE,6,0)="close","FC","FO")</f>
        <v>FC</v>
      </c>
      <c r="E171" s="771"/>
      <c r="F171" s="465" t="s">
        <v>6500</v>
      </c>
      <c r="G171" s="778">
        <v>3</v>
      </c>
      <c r="H171" s="193">
        <v>3</v>
      </c>
      <c r="I171" s="778">
        <v>3</v>
      </c>
      <c r="J171" s="460">
        <f t="shared" si="2"/>
        <v>3</v>
      </c>
      <c r="K171" s="778">
        <v>1</v>
      </c>
      <c r="L171" s="460">
        <f>IF(VLOOKUP($C171,Valve_from_BP!$O:$AE,6,0)="close",1,0)</f>
        <v>1</v>
      </c>
      <c r="M171" s="778">
        <v>0</v>
      </c>
      <c r="N171" s="193"/>
      <c r="O171" s="783" t="b">
        <v>0</v>
      </c>
      <c r="P171" s="460">
        <f>IF(VLOOKUP($C171,Valve_from_BP!$O:$AE,8,0)="yes",1,0)</f>
        <v>0</v>
      </c>
    </row>
    <row r="172" spans="1:16">
      <c r="A172" s="14"/>
      <c r="B172" s="771"/>
      <c r="C172" s="768" t="s">
        <v>8010</v>
      </c>
      <c r="D172" s="766" t="str">
        <f>IF(VLOOKUP($C172,Valve_from_BP!$O:$AE,6,0)="close","FC","FO")</f>
        <v>FC</v>
      </c>
      <c r="E172" s="771"/>
      <c r="F172" s="465" t="s">
        <v>8049</v>
      </c>
      <c r="G172" s="778">
        <v>3</v>
      </c>
      <c r="H172" s="193">
        <v>3</v>
      </c>
      <c r="I172" s="778">
        <v>3</v>
      </c>
      <c r="J172" s="460">
        <f t="shared" si="2"/>
        <v>3</v>
      </c>
      <c r="K172" s="778">
        <v>1</v>
      </c>
      <c r="L172" s="460">
        <f>IF(VLOOKUP($C172,Valve_from_BP!$O:$AE,6,0)="close",1,0)</f>
        <v>1</v>
      </c>
      <c r="M172" s="778">
        <v>0</v>
      </c>
      <c r="N172" s="193"/>
      <c r="O172" s="783" t="b">
        <v>0</v>
      </c>
      <c r="P172" s="460">
        <f>IF(VLOOKUP($C172,Valve_from_BP!$O:$AE,8,0)="yes",1,0)</f>
        <v>0</v>
      </c>
    </row>
    <row r="173" spans="1:16">
      <c r="A173" s="14"/>
      <c r="B173" s="771"/>
      <c r="C173" s="768" t="s">
        <v>8016</v>
      </c>
      <c r="D173" s="766" t="str">
        <f>IF(VLOOKUP($C173,Valve_from_BP!$O:$AE,6,0)="close","FC","FO")</f>
        <v>FC</v>
      </c>
      <c r="E173" s="771"/>
      <c r="F173" s="465" t="s">
        <v>8052</v>
      </c>
      <c r="G173" s="778">
        <v>3</v>
      </c>
      <c r="H173" s="193">
        <v>3</v>
      </c>
      <c r="I173" s="778">
        <v>3</v>
      </c>
      <c r="J173" s="460">
        <f t="shared" si="2"/>
        <v>3</v>
      </c>
      <c r="K173" s="778">
        <v>1</v>
      </c>
      <c r="L173" s="460">
        <f>IF(VLOOKUP($C173,Valve_from_BP!$O:$AE,6,0)="close",1,0)</f>
        <v>1</v>
      </c>
      <c r="M173" s="778">
        <v>0</v>
      </c>
      <c r="N173" s="193"/>
      <c r="O173" s="783" t="b">
        <v>0</v>
      </c>
      <c r="P173" s="460">
        <f>IF(VLOOKUP($C173,Valve_from_BP!$O:$AE,8,0)="yes",1,0)</f>
        <v>0</v>
      </c>
    </row>
    <row r="174" spans="1:16" s="184" customFormat="1">
      <c r="A174" s="195"/>
      <c r="B174" s="771"/>
      <c r="C174" s="768" t="s">
        <v>8014</v>
      </c>
      <c r="D174" s="766" t="str">
        <f>IF(VLOOKUP($C174,Valve_from_BP!$O:$AE,6,0)="close","FC","FO")</f>
        <v>FC</v>
      </c>
      <c r="E174" s="771"/>
      <c r="F174" s="465" t="s">
        <v>8051</v>
      </c>
      <c r="G174" s="778">
        <v>3</v>
      </c>
      <c r="H174" s="193">
        <v>3</v>
      </c>
      <c r="I174" s="778">
        <v>3</v>
      </c>
      <c r="J174" s="460">
        <f t="shared" si="2"/>
        <v>3</v>
      </c>
      <c r="K174" s="778">
        <v>1</v>
      </c>
      <c r="L174" s="460">
        <f>IF(VLOOKUP($C174,Valve_from_BP!$O:$AE,6,0)="close",1,0)</f>
        <v>1</v>
      </c>
      <c r="M174" s="778">
        <v>0</v>
      </c>
      <c r="N174" s="193"/>
      <c r="O174" s="783" t="b">
        <v>0</v>
      </c>
      <c r="P174" s="460">
        <f>IF(VLOOKUP($C174,Valve_from_BP!$O:$AE,8,0)="yes",1,0)</f>
        <v>0</v>
      </c>
    </row>
    <row r="175" spans="1:16" s="184" customFormat="1">
      <c r="A175" s="195"/>
      <c r="B175" s="771"/>
      <c r="C175" s="768" t="s">
        <v>8198</v>
      </c>
      <c r="D175" s="766" t="str">
        <f>IF(VLOOKUP($C175,Valve_from_BP!$O:$AE,6,0)="close","FC","FO")</f>
        <v>FC</v>
      </c>
      <c r="E175" s="771"/>
      <c r="F175" s="465" t="s">
        <v>8114</v>
      </c>
      <c r="G175" s="778">
        <v>3</v>
      </c>
      <c r="H175" s="193">
        <v>3</v>
      </c>
      <c r="I175" s="778">
        <v>3</v>
      </c>
      <c r="J175" s="460">
        <f t="shared" si="2"/>
        <v>3</v>
      </c>
      <c r="K175" s="778">
        <v>1</v>
      </c>
      <c r="L175" s="460">
        <f>IF(VLOOKUP($C175,Valve_from_BP!$O:$AE,6,0)="close",1,0)</f>
        <v>1</v>
      </c>
      <c r="M175" s="778">
        <v>0</v>
      </c>
      <c r="N175" s="193"/>
      <c r="O175" s="783" t="b">
        <v>0</v>
      </c>
      <c r="P175" s="460">
        <f>IF(VLOOKUP($C175,Valve_from_BP!$O:$AE,8,0)="yes",1,0)</f>
        <v>0</v>
      </c>
    </row>
    <row r="176" spans="1:16" s="184" customFormat="1">
      <c r="A176" s="195"/>
      <c r="B176" s="771"/>
      <c r="C176" s="768" t="s">
        <v>8011</v>
      </c>
      <c r="D176" s="766" t="str">
        <f>IF(VLOOKUP($C176,Valve_from_BP!$O:$AE,6,0)="close","FC","FO")</f>
        <v>FC</v>
      </c>
      <c r="E176" s="771"/>
      <c r="F176" s="465" t="s">
        <v>8050</v>
      </c>
      <c r="G176" s="778">
        <v>3</v>
      </c>
      <c r="H176" s="193">
        <v>3</v>
      </c>
      <c r="I176" s="778">
        <v>3</v>
      </c>
      <c r="J176" s="460">
        <f t="shared" si="2"/>
        <v>3</v>
      </c>
      <c r="K176" s="778">
        <v>1</v>
      </c>
      <c r="L176" s="460">
        <f>IF(VLOOKUP($C176,Valve_from_BP!$O:$AE,6,0)="close",1,0)</f>
        <v>1</v>
      </c>
      <c r="M176" s="778">
        <v>0</v>
      </c>
      <c r="N176" s="193"/>
      <c r="O176" s="783" t="b">
        <v>0</v>
      </c>
      <c r="P176" s="460">
        <f>IF(VLOOKUP($C176,Valve_from_BP!$O:$AE,8,0)="yes",1,0)</f>
        <v>0</v>
      </c>
    </row>
    <row r="177" spans="1:16" s="184" customFormat="1">
      <c r="A177" s="195"/>
      <c r="B177" s="771"/>
      <c r="C177" s="768" t="s">
        <v>866</v>
      </c>
      <c r="D177" s="766" t="str">
        <f>IF(VLOOKUP($C177,Valve_from_BP!$O:$AE,6,0)="close","FC","FO")</f>
        <v>FC</v>
      </c>
      <c r="E177" s="771"/>
      <c r="F177" s="465" t="s">
        <v>6558</v>
      </c>
      <c r="G177" s="778">
        <v>3</v>
      </c>
      <c r="H177" s="193">
        <v>3</v>
      </c>
      <c r="I177" s="778">
        <v>3</v>
      </c>
      <c r="J177" s="460">
        <f t="shared" si="2"/>
        <v>3</v>
      </c>
      <c r="K177" s="778">
        <v>1</v>
      </c>
      <c r="L177" s="460">
        <f>IF(VLOOKUP($C177,Valve_from_BP!$O:$AE,6,0)="close",1,0)</f>
        <v>1</v>
      </c>
      <c r="M177" s="778">
        <v>0</v>
      </c>
      <c r="N177" s="193"/>
      <c r="O177" s="783" t="b">
        <v>1</v>
      </c>
      <c r="P177" s="460">
        <f>IF(VLOOKUP($C177,Valve_from_BP!$O:$AE,8,0)="yes",1,0)</f>
        <v>1</v>
      </c>
    </row>
    <row r="178" spans="1:16" s="184" customFormat="1">
      <c r="A178" s="195"/>
      <c r="B178" s="771"/>
      <c r="C178" s="768" t="s">
        <v>6612</v>
      </c>
      <c r="D178" s="766" t="str">
        <f>IF(VLOOKUP($C178,Valve_from_BP!$O:$AE,6,0)="close","FC","FO")</f>
        <v>FO</v>
      </c>
      <c r="E178" s="771"/>
      <c r="F178" s="465" t="s">
        <v>6557</v>
      </c>
      <c r="G178" s="778">
        <v>3</v>
      </c>
      <c r="H178" s="193">
        <v>3</v>
      </c>
      <c r="I178" s="778">
        <v>3</v>
      </c>
      <c r="J178" s="460">
        <f t="shared" si="2"/>
        <v>3</v>
      </c>
      <c r="K178" s="778">
        <v>0</v>
      </c>
      <c r="L178" s="460">
        <f>IF(VLOOKUP($C178,Valve_from_BP!$O:$AE,6,0)="close",1,0)</f>
        <v>0</v>
      </c>
      <c r="M178" s="778">
        <v>0</v>
      </c>
      <c r="N178" s="193"/>
      <c r="O178" s="783" t="b">
        <v>1</v>
      </c>
      <c r="P178" s="460">
        <f>IF(VLOOKUP($C178,Valve_from_BP!$O:$AE,8,0)="yes",1,0)</f>
        <v>1</v>
      </c>
    </row>
    <row r="179" spans="1:16" s="184" customFormat="1">
      <c r="A179" s="195"/>
      <c r="B179" s="771"/>
      <c r="C179" s="768" t="s">
        <v>874</v>
      </c>
      <c r="D179" s="766" t="str">
        <f>IF(VLOOKUP($C179,Valve_from_BP!$O:$AE,6,0)="close","FC","FO")</f>
        <v>FO</v>
      </c>
      <c r="E179" s="771"/>
      <c r="F179" s="465" t="s">
        <v>9106</v>
      </c>
      <c r="G179" s="778">
        <v>3</v>
      </c>
      <c r="H179" s="193">
        <v>3</v>
      </c>
      <c r="I179" s="778">
        <v>3</v>
      </c>
      <c r="J179" s="460">
        <f t="shared" si="2"/>
        <v>3</v>
      </c>
      <c r="K179" s="778">
        <v>0</v>
      </c>
      <c r="L179" s="460">
        <f>IF(VLOOKUP($C179,Valve_from_BP!$O:$AE,6,0)="close",1,0)</f>
        <v>0</v>
      </c>
      <c r="M179" s="778">
        <v>0</v>
      </c>
      <c r="N179" s="193"/>
      <c r="O179" s="783" t="b">
        <v>1</v>
      </c>
      <c r="P179" s="460">
        <f>IF(VLOOKUP($C179,Valve_from_BP!$O:$AE,8,0)="yes",1,0)</f>
        <v>1</v>
      </c>
    </row>
    <row r="180" spans="1:16" s="184" customFormat="1">
      <c r="A180" s="195"/>
      <c r="B180" s="771"/>
      <c r="C180" s="768" t="s">
        <v>10316</v>
      </c>
      <c r="D180" s="766" t="str">
        <f>IF(VLOOKUP($C180,Valve_from_BP!$O:$AE,6,0)="close","FC","FO")</f>
        <v>FO</v>
      </c>
      <c r="E180" s="771"/>
      <c r="F180" s="465" t="s">
        <v>9105</v>
      </c>
      <c r="G180" s="778">
        <v>3</v>
      </c>
      <c r="H180" s="193">
        <v>3</v>
      </c>
      <c r="I180" s="778">
        <v>3</v>
      </c>
      <c r="J180" s="460">
        <f t="shared" si="2"/>
        <v>3</v>
      </c>
      <c r="K180" s="778">
        <v>0</v>
      </c>
      <c r="L180" s="460">
        <f>IF(VLOOKUP($C180,Valve_from_BP!$O:$AE,6,0)="close",1,0)</f>
        <v>0</v>
      </c>
      <c r="M180" s="778">
        <v>0</v>
      </c>
      <c r="N180" s="193"/>
      <c r="O180" s="783" t="b">
        <v>1</v>
      </c>
      <c r="P180" s="460">
        <f>IF(VLOOKUP($C180,Valve_from_BP!$O:$AE,8,0)="yes",1,0)</f>
        <v>1</v>
      </c>
    </row>
    <row r="181" spans="1:16" s="184" customFormat="1">
      <c r="A181" s="195"/>
      <c r="B181" s="771"/>
      <c r="C181" s="768" t="s">
        <v>10349</v>
      </c>
      <c r="D181" s="766" t="str">
        <f>IF(VLOOKUP($C181,Valve_from_BP!$O:$AE,6,0)="close","FC","FO")</f>
        <v>FO</v>
      </c>
      <c r="E181" s="771"/>
      <c r="F181" s="465" t="s">
        <v>6059</v>
      </c>
      <c r="G181" s="778">
        <v>3</v>
      </c>
      <c r="H181" s="193">
        <v>3</v>
      </c>
      <c r="I181" s="778">
        <v>3</v>
      </c>
      <c r="J181" s="460">
        <f t="shared" si="2"/>
        <v>3</v>
      </c>
      <c r="K181" s="778">
        <v>0</v>
      </c>
      <c r="L181" s="460">
        <f>IF(VLOOKUP($C181,Valve_from_BP!$O:$AE,6,0)="close",1,0)</f>
        <v>0</v>
      </c>
      <c r="M181" s="778">
        <v>0</v>
      </c>
      <c r="N181" s="193"/>
      <c r="O181" s="783" t="b">
        <v>1</v>
      </c>
      <c r="P181" s="460">
        <f>IF(VLOOKUP($C181,Valve_from_BP!$O:$AE,8,0)="yes",1,0)</f>
        <v>1</v>
      </c>
    </row>
    <row r="182" spans="1:16" s="184" customFormat="1">
      <c r="A182" s="195"/>
      <c r="B182" s="771"/>
      <c r="C182" s="768" t="s">
        <v>5742</v>
      </c>
      <c r="D182" s="766" t="str">
        <f>IF(VLOOKUP($C182,Valve_from_BP!$O:$AE,6,0)="close","FC","FO")</f>
        <v>FO</v>
      </c>
      <c r="E182" s="771"/>
      <c r="F182" s="465" t="s">
        <v>5584</v>
      </c>
      <c r="G182" s="778">
        <v>3</v>
      </c>
      <c r="H182" s="193">
        <v>3</v>
      </c>
      <c r="I182" s="778">
        <v>3</v>
      </c>
      <c r="J182" s="460">
        <f t="shared" si="2"/>
        <v>3</v>
      </c>
      <c r="K182" s="778">
        <v>0</v>
      </c>
      <c r="L182" s="460">
        <f>IF(VLOOKUP($C182,Valve_from_BP!$O:$AE,6,0)="close",1,0)</f>
        <v>0</v>
      </c>
      <c r="M182" s="778">
        <v>0</v>
      </c>
      <c r="N182" s="193"/>
      <c r="O182" s="783" t="b">
        <v>0</v>
      </c>
      <c r="P182" s="460">
        <f>IF(VLOOKUP($C182,Valve_from_BP!$O:$AE,8,0)="yes",1,0)</f>
        <v>0</v>
      </c>
    </row>
    <row r="183" spans="1:16" s="184" customFormat="1">
      <c r="A183" s="195"/>
      <c r="B183" s="771"/>
      <c r="C183" s="768" t="s">
        <v>10351</v>
      </c>
      <c r="D183" s="766" t="str">
        <f>IF(VLOOKUP($C183,Valve_from_BP!$O:$AE,6,0)="close","FC","FO")</f>
        <v>FC</v>
      </c>
      <c r="E183" s="771"/>
      <c r="F183" s="465" t="s">
        <v>9350</v>
      </c>
      <c r="G183" s="778">
        <v>3</v>
      </c>
      <c r="H183" s="193">
        <v>3</v>
      </c>
      <c r="I183" s="778">
        <v>3</v>
      </c>
      <c r="J183" s="460">
        <f t="shared" si="2"/>
        <v>3</v>
      </c>
      <c r="K183" s="778">
        <v>1</v>
      </c>
      <c r="L183" s="460">
        <f>IF(VLOOKUP($C183,Valve_from_BP!$O:$AE,6,0)="close",1,0)</f>
        <v>1</v>
      </c>
      <c r="M183" s="778">
        <v>0</v>
      </c>
      <c r="N183" s="193"/>
      <c r="O183" s="783" t="b">
        <v>0</v>
      </c>
      <c r="P183" s="460">
        <f>IF(VLOOKUP($C183,Valve_from_BP!$O:$AE,8,0)="yes",1,0)</f>
        <v>0</v>
      </c>
    </row>
    <row r="184" spans="1:16">
      <c r="A184" s="14"/>
      <c r="B184" s="771"/>
      <c r="C184" s="768" t="s">
        <v>10352</v>
      </c>
      <c r="D184" s="766" t="str">
        <f>IF(VLOOKUP($C184,Valve_from_BP!$O:$AE,6,0)="close","FC","FO")</f>
        <v>FC</v>
      </c>
      <c r="E184" s="771"/>
      <c r="F184" s="465" t="s">
        <v>9348</v>
      </c>
      <c r="G184" s="778">
        <v>3</v>
      </c>
      <c r="H184" s="193">
        <v>3</v>
      </c>
      <c r="I184" s="778">
        <v>3</v>
      </c>
      <c r="J184" s="460">
        <f t="shared" si="2"/>
        <v>3</v>
      </c>
      <c r="K184" s="778">
        <v>1</v>
      </c>
      <c r="L184" s="460">
        <f>IF(VLOOKUP($C184,Valve_from_BP!$O:$AE,6,0)="close",1,0)</f>
        <v>1</v>
      </c>
      <c r="M184" s="778">
        <v>0</v>
      </c>
      <c r="N184" s="193"/>
      <c r="O184" s="783" t="b">
        <v>0</v>
      </c>
      <c r="P184" s="460">
        <f>IF(VLOOKUP($C184,Valve_from_BP!$O:$AE,8,0)="yes",1,0)</f>
        <v>0</v>
      </c>
    </row>
    <row r="185" spans="1:16">
      <c r="A185" s="14"/>
      <c r="B185" s="771"/>
      <c r="C185" s="768" t="s">
        <v>7884</v>
      </c>
      <c r="D185" s="766" t="str">
        <f>IF(VLOOKUP($C185,Valve_from_BP!$O:$AE,6,0)="close","FC","FO")</f>
        <v>FC</v>
      </c>
      <c r="E185" s="771"/>
      <c r="F185" s="465" t="s">
        <v>7868</v>
      </c>
      <c r="G185" s="778">
        <v>3</v>
      </c>
      <c r="H185" s="193">
        <v>3</v>
      </c>
      <c r="I185" s="778">
        <v>3</v>
      </c>
      <c r="J185" s="460">
        <f t="shared" si="2"/>
        <v>3</v>
      </c>
      <c r="K185" s="778">
        <v>1</v>
      </c>
      <c r="L185" s="460">
        <f>IF(VLOOKUP($C185,Valve_from_BP!$O:$AE,6,0)="close",1,0)</f>
        <v>1</v>
      </c>
      <c r="M185" s="778">
        <v>0</v>
      </c>
      <c r="N185" s="193"/>
      <c r="O185" s="783" t="b">
        <v>0</v>
      </c>
      <c r="P185" s="460">
        <f>IF(VLOOKUP($C185,Valve_from_BP!$O:$AE,8,0)="yes",1,0)</f>
        <v>0</v>
      </c>
    </row>
    <row r="186" spans="1:16">
      <c r="A186" s="14"/>
      <c r="B186" s="771"/>
      <c r="C186" s="768" t="s">
        <v>809</v>
      </c>
      <c r="D186" s="766" t="str">
        <f>IF(VLOOKUP($C186,Valve_from_BP!$O:$AE,6,0)="close","FC","FO")</f>
        <v>FC</v>
      </c>
      <c r="E186" s="771"/>
      <c r="F186" s="465" t="s">
        <v>6591</v>
      </c>
      <c r="G186" s="778">
        <v>3</v>
      </c>
      <c r="H186" s="193">
        <v>3</v>
      </c>
      <c r="I186" s="778">
        <v>3</v>
      </c>
      <c r="J186" s="460">
        <f t="shared" si="2"/>
        <v>3</v>
      </c>
      <c r="K186" s="778">
        <v>1</v>
      </c>
      <c r="L186" s="460">
        <f>IF(VLOOKUP($C186,Valve_from_BP!$O:$AE,6,0)="close",1,0)</f>
        <v>1</v>
      </c>
      <c r="M186" s="778">
        <v>0</v>
      </c>
      <c r="N186" s="193"/>
      <c r="O186" s="783" t="b">
        <v>0</v>
      </c>
      <c r="P186" s="460">
        <f>IF(VLOOKUP($C186,Valve_from_BP!$O:$AE,8,0)="yes",1,0)</f>
        <v>0</v>
      </c>
    </row>
    <row r="187" spans="1:16">
      <c r="A187" s="14"/>
      <c r="B187" s="771"/>
      <c r="C187" s="768" t="s">
        <v>806</v>
      </c>
      <c r="D187" s="766" t="str">
        <f>IF(VLOOKUP($C187,Valve_from_BP!$O:$AE,6,0)="close","FC","FO")</f>
        <v>FO</v>
      </c>
      <c r="E187" s="771"/>
      <c r="F187" s="465" t="s">
        <v>6590</v>
      </c>
      <c r="G187" s="778">
        <v>3</v>
      </c>
      <c r="H187" s="193">
        <v>3</v>
      </c>
      <c r="I187" s="778">
        <v>3</v>
      </c>
      <c r="J187" s="460">
        <f t="shared" si="2"/>
        <v>3</v>
      </c>
      <c r="K187" s="778">
        <v>0</v>
      </c>
      <c r="L187" s="460">
        <f>IF(VLOOKUP($C187,Valve_from_BP!$O:$AE,6,0)="close",1,0)</f>
        <v>0</v>
      </c>
      <c r="M187" s="778">
        <v>0</v>
      </c>
      <c r="N187" s="193"/>
      <c r="O187" s="783" t="b">
        <v>1</v>
      </c>
      <c r="P187" s="460">
        <f>IF(VLOOKUP($C187,Valve_from_BP!$O:$AE,8,0)="yes",1,0)</f>
        <v>1</v>
      </c>
    </row>
    <row r="188" spans="1:16">
      <c r="A188" s="14"/>
      <c r="B188" s="771"/>
      <c r="C188" s="768" t="s">
        <v>799</v>
      </c>
      <c r="D188" s="766" t="str">
        <f>IF(VLOOKUP($C188,Valve_from_BP!$O:$AE,6,0)="close","FC","FO")</f>
        <v>FC</v>
      </c>
      <c r="E188" s="771"/>
      <c r="F188" s="465" t="s">
        <v>6499</v>
      </c>
      <c r="G188" s="778">
        <v>3</v>
      </c>
      <c r="H188" s="193">
        <v>3</v>
      </c>
      <c r="I188" s="778">
        <v>3</v>
      </c>
      <c r="J188" s="460">
        <f t="shared" si="2"/>
        <v>3</v>
      </c>
      <c r="K188" s="778">
        <v>1</v>
      </c>
      <c r="L188" s="460">
        <f>IF(VLOOKUP($C188,Valve_from_BP!$O:$AE,6,0)="close",1,0)</f>
        <v>1</v>
      </c>
      <c r="M188" s="778">
        <v>0</v>
      </c>
      <c r="N188" s="193"/>
      <c r="O188" s="783" t="b">
        <v>0</v>
      </c>
      <c r="P188" s="460">
        <f>IF(VLOOKUP($C188,Valve_from_BP!$O:$AE,8,0)="yes",1,0)</f>
        <v>0</v>
      </c>
    </row>
    <row r="189" spans="1:16">
      <c r="A189" s="14"/>
      <c r="B189" s="771"/>
      <c r="C189" s="768" t="s">
        <v>6601</v>
      </c>
      <c r="D189" s="766" t="str">
        <f>IF(VLOOKUP($C189,Valve_from_BP!$O:$AE,6,0)="close","FC","FO")</f>
        <v>FC</v>
      </c>
      <c r="E189" s="771"/>
      <c r="F189" s="465" t="s">
        <v>6498</v>
      </c>
      <c r="G189" s="194">
        <v>3</v>
      </c>
      <c r="H189" s="193">
        <v>3</v>
      </c>
      <c r="I189" s="194">
        <v>3</v>
      </c>
      <c r="J189" s="460">
        <f t="shared" si="2"/>
        <v>3</v>
      </c>
      <c r="K189" s="744">
        <v>1</v>
      </c>
      <c r="L189" s="460">
        <f>IF(VLOOKUP($C189,Valve_from_BP!$O:$AE,6,0)="close",1,0)</f>
        <v>1</v>
      </c>
      <c r="M189" s="194">
        <v>0</v>
      </c>
      <c r="N189" s="193"/>
      <c r="O189" s="783" t="b">
        <v>1</v>
      </c>
      <c r="P189" s="460">
        <f>IF(VLOOKUP($C189,Valve_from_BP!$O:$AE,8,0)="yes",1,0)</f>
        <v>1</v>
      </c>
    </row>
    <row r="190" spans="1:16">
      <c r="A190" s="14"/>
      <c r="B190" s="771"/>
      <c r="C190" s="768" t="s">
        <v>6599</v>
      </c>
      <c r="D190" s="766" t="str">
        <f>IF(VLOOKUP($C190,Valve_from_BP!$O:$AE,6,0)="close","FC","FO")</f>
        <v>FC</v>
      </c>
      <c r="E190" s="771"/>
      <c r="F190" s="465" t="s">
        <v>6475</v>
      </c>
      <c r="G190" s="778">
        <v>3</v>
      </c>
      <c r="H190" s="193">
        <v>3</v>
      </c>
      <c r="I190" s="778">
        <v>3</v>
      </c>
      <c r="J190" s="460">
        <f t="shared" si="2"/>
        <v>3</v>
      </c>
      <c r="K190" s="778">
        <v>1</v>
      </c>
      <c r="L190" s="460">
        <f>IF(VLOOKUP($C190,Valve_from_BP!$O:$AE,6,0)="close",1,0)</f>
        <v>1</v>
      </c>
      <c r="M190" s="778">
        <v>0</v>
      </c>
      <c r="N190" s="193"/>
      <c r="O190" s="783" t="b">
        <v>1</v>
      </c>
      <c r="P190" s="460">
        <f>IF(VLOOKUP($C190,Valve_from_BP!$O:$AE,8,0)="yes",1,0)</f>
        <v>1</v>
      </c>
    </row>
    <row r="191" spans="1:16">
      <c r="A191" s="14"/>
      <c r="B191" s="771"/>
      <c r="C191" s="768" t="s">
        <v>6600</v>
      </c>
      <c r="D191" s="766" t="str">
        <f>IF(VLOOKUP($C191,Valve_from_BP!$O:$AE,6,0)="close","FC","FO")</f>
        <v>FC</v>
      </c>
      <c r="E191" s="771"/>
      <c r="F191" s="465" t="s">
        <v>6474</v>
      </c>
      <c r="G191" s="778">
        <v>3</v>
      </c>
      <c r="H191" s="193">
        <v>3</v>
      </c>
      <c r="I191" s="778">
        <v>3</v>
      </c>
      <c r="J191" s="460">
        <f t="shared" si="2"/>
        <v>3</v>
      </c>
      <c r="K191" s="778">
        <v>1</v>
      </c>
      <c r="L191" s="460">
        <f>IF(VLOOKUP($C191,Valve_from_BP!$O:$AE,6,0)="close",1,0)</f>
        <v>1</v>
      </c>
      <c r="M191" s="778">
        <v>0</v>
      </c>
      <c r="N191" s="193"/>
      <c r="O191" s="783" t="b">
        <v>1</v>
      </c>
      <c r="P191" s="460">
        <f>IF(VLOOKUP($C191,Valve_from_BP!$O:$AE,8,0)="yes",1,0)</f>
        <v>1</v>
      </c>
    </row>
    <row r="192" spans="1:16">
      <c r="A192" s="14"/>
      <c r="B192" s="771"/>
      <c r="C192" s="768" t="s">
        <v>10350</v>
      </c>
      <c r="D192" s="766" t="str">
        <f>IF(VLOOKUP($C192,Valve_from_BP!$O:$AE,6,0)="close","FC","FO")</f>
        <v>FC</v>
      </c>
      <c r="E192" s="771"/>
      <c r="F192" s="465" t="s">
        <v>9156</v>
      </c>
      <c r="G192" s="778">
        <v>3</v>
      </c>
      <c r="H192" s="193">
        <v>3</v>
      </c>
      <c r="I192" s="778">
        <v>3</v>
      </c>
      <c r="J192" s="460">
        <f t="shared" si="2"/>
        <v>3</v>
      </c>
      <c r="K192" s="778">
        <v>1</v>
      </c>
      <c r="L192" s="460">
        <f>IF(VLOOKUP($C192,Valve_from_BP!$O:$AE,6,0)="close",1,0)</f>
        <v>1</v>
      </c>
      <c r="M192" s="778">
        <v>0</v>
      </c>
      <c r="N192" s="193"/>
      <c r="O192" s="783" t="b">
        <v>1</v>
      </c>
      <c r="P192" s="460">
        <f>IF(VLOOKUP($C192,Valve_from_BP!$O:$AE,8,0)="yes",1,0)</f>
        <v>1</v>
      </c>
    </row>
    <row r="193" spans="1:16">
      <c r="A193" s="14"/>
      <c r="B193" s="771"/>
      <c r="C193" s="768" t="s">
        <v>7879</v>
      </c>
      <c r="D193" s="766" t="str">
        <f>IF(VLOOKUP($C193,Valve_from_BP!$O:$AE,6,0)="close","FC","FO")</f>
        <v>FC</v>
      </c>
      <c r="E193" s="771"/>
      <c r="F193" s="465" t="s">
        <v>7853</v>
      </c>
      <c r="G193" s="778">
        <v>3</v>
      </c>
      <c r="H193" s="193">
        <v>3</v>
      </c>
      <c r="I193" s="778">
        <v>3</v>
      </c>
      <c r="J193" s="460">
        <f t="shared" si="2"/>
        <v>3</v>
      </c>
      <c r="K193" s="778">
        <v>1</v>
      </c>
      <c r="L193" s="460">
        <f>IF(VLOOKUP($C193,Valve_from_BP!$O:$AE,6,0)="close",1,0)</f>
        <v>1</v>
      </c>
      <c r="M193" s="778">
        <v>0</v>
      </c>
      <c r="N193" s="193"/>
      <c r="O193" s="783" t="b">
        <v>0</v>
      </c>
      <c r="P193" s="460">
        <f>IF(VLOOKUP($C193,Valve_from_BP!$O:$AE,8,0)="yes",1,0)</f>
        <v>0</v>
      </c>
    </row>
    <row r="194" spans="1:16">
      <c r="A194" s="14"/>
      <c r="B194" s="771"/>
      <c r="C194" s="768" t="s">
        <v>10314</v>
      </c>
      <c r="D194" s="766" t="str">
        <f>IF(VLOOKUP($C194,Valve_from_BP!$O:$AE,6,0)="close","FC","FO")</f>
        <v>FC</v>
      </c>
      <c r="E194" s="771"/>
      <c r="F194" s="465" t="s">
        <v>9166</v>
      </c>
      <c r="G194" s="778">
        <v>3</v>
      </c>
      <c r="H194" s="193">
        <v>3</v>
      </c>
      <c r="I194" s="778">
        <v>3</v>
      </c>
      <c r="J194" s="460">
        <f t="shared" si="2"/>
        <v>3</v>
      </c>
      <c r="K194" s="778">
        <v>1</v>
      </c>
      <c r="L194" s="460">
        <f>IF(VLOOKUP($C194,Valve_from_BP!$O:$AE,6,0)="close",1,0)</f>
        <v>1</v>
      </c>
      <c r="M194" s="778">
        <v>0</v>
      </c>
      <c r="N194" s="193"/>
      <c r="O194" s="783" t="b">
        <v>0</v>
      </c>
      <c r="P194" s="460">
        <f>IF(VLOOKUP($C194,Valve_from_BP!$O:$AE,8,0)="yes",1,0)</f>
        <v>0</v>
      </c>
    </row>
    <row r="195" spans="1:16">
      <c r="A195" s="14"/>
      <c r="B195" s="771"/>
      <c r="C195" s="768" t="s">
        <v>747</v>
      </c>
      <c r="D195" s="766" t="str">
        <f>IF(VLOOKUP($C195,Valve_from_BP!$O:$AE,6,0)="close","FC","FO")</f>
        <v>FC</v>
      </c>
      <c r="E195" s="771"/>
      <c r="F195" s="465" t="s">
        <v>7734</v>
      </c>
      <c r="G195" s="778">
        <v>3</v>
      </c>
      <c r="H195" s="193">
        <v>3</v>
      </c>
      <c r="I195" s="778">
        <v>3</v>
      </c>
      <c r="J195" s="460">
        <f t="shared" si="2"/>
        <v>3</v>
      </c>
      <c r="K195" s="778">
        <v>1</v>
      </c>
      <c r="L195" s="460">
        <f>IF(VLOOKUP($C195,Valve_from_BP!$O:$AE,6,0)="close",1,0)</f>
        <v>1</v>
      </c>
      <c r="M195" s="778">
        <v>0</v>
      </c>
      <c r="N195" s="193"/>
      <c r="O195" s="783" t="b">
        <v>1</v>
      </c>
      <c r="P195" s="460">
        <f>IF(VLOOKUP($C195,Valve_from_BP!$O:$AE,8,0)="yes",1,0)</f>
        <v>1</v>
      </c>
    </row>
    <row r="196" spans="1:16">
      <c r="A196" s="14"/>
      <c r="B196" s="771"/>
      <c r="C196" s="768" t="s">
        <v>7771</v>
      </c>
      <c r="D196" s="766" t="str">
        <f>IF(VLOOKUP($C196,Valve_from_BP!$O:$AE,6,0)="close","FC","FO")</f>
        <v>FC</v>
      </c>
      <c r="E196" s="771"/>
      <c r="F196" s="465" t="s">
        <v>7733</v>
      </c>
      <c r="G196" s="778">
        <v>3</v>
      </c>
      <c r="H196" s="193">
        <v>3</v>
      </c>
      <c r="I196" s="778">
        <v>3</v>
      </c>
      <c r="J196" s="460">
        <f t="shared" si="2"/>
        <v>3</v>
      </c>
      <c r="K196" s="778">
        <v>1</v>
      </c>
      <c r="L196" s="460">
        <f>IF(VLOOKUP($C196,Valve_from_BP!$O:$AE,6,0)="close",1,0)</f>
        <v>1</v>
      </c>
      <c r="M196" s="778">
        <v>0</v>
      </c>
      <c r="N196" s="193"/>
      <c r="O196" s="783" t="b">
        <v>1</v>
      </c>
      <c r="P196" s="460">
        <f>IF(VLOOKUP($C196,Valve_from_BP!$O:$AE,8,0)="yes",1,0)</f>
        <v>1</v>
      </c>
    </row>
    <row r="197" spans="1:16">
      <c r="A197" s="14"/>
      <c r="B197" s="771"/>
      <c r="C197" s="768" t="s">
        <v>10158</v>
      </c>
      <c r="D197" s="766" t="str">
        <f>IF(VLOOKUP($C197,Valve_from_BP!$O:$AE,6,0)="close","FC","FO")</f>
        <v>FC</v>
      </c>
      <c r="E197" s="771"/>
      <c r="F197" s="465" t="s">
        <v>7711</v>
      </c>
      <c r="G197" s="778">
        <v>3</v>
      </c>
      <c r="H197" s="193">
        <v>3</v>
      </c>
      <c r="I197" s="778">
        <v>3</v>
      </c>
      <c r="J197" s="460">
        <f t="shared" ref="J197:J260" si="3">H197</f>
        <v>3</v>
      </c>
      <c r="K197" s="778">
        <v>1</v>
      </c>
      <c r="L197" s="460">
        <f>IF(VLOOKUP($C197,Valve_from_BP!$O:$AE,6,0)="close",1,0)</f>
        <v>1</v>
      </c>
      <c r="M197" s="778">
        <v>0</v>
      </c>
      <c r="N197" s="193"/>
      <c r="O197" s="783" t="b">
        <v>1</v>
      </c>
      <c r="P197" s="460">
        <f>IF(VLOOKUP($C197,Valve_from_BP!$O:$AE,8,0)="yes",1,0)</f>
        <v>1</v>
      </c>
    </row>
    <row r="198" spans="1:16">
      <c r="A198" s="14"/>
      <c r="B198" s="771"/>
      <c r="C198" s="768" t="s">
        <v>7878</v>
      </c>
      <c r="D198" s="766" t="str">
        <f>IF(VLOOKUP($C198,Valve_from_BP!$O:$AE,6,0)="close","FC","FO")</f>
        <v>FC</v>
      </c>
      <c r="E198" s="771"/>
      <c r="F198" s="465" t="s">
        <v>7852</v>
      </c>
      <c r="G198" s="778">
        <v>3</v>
      </c>
      <c r="H198" s="193">
        <v>3</v>
      </c>
      <c r="I198" s="778">
        <v>3</v>
      </c>
      <c r="J198" s="460">
        <f t="shared" si="3"/>
        <v>3</v>
      </c>
      <c r="K198" s="778">
        <v>1</v>
      </c>
      <c r="L198" s="460">
        <f>IF(VLOOKUP($C198,Valve_from_BP!$O:$AE,6,0)="close",1,0)</f>
        <v>1</v>
      </c>
      <c r="M198" s="778">
        <v>0</v>
      </c>
      <c r="N198" s="193"/>
      <c r="O198" s="783" t="b">
        <v>0</v>
      </c>
      <c r="P198" s="460">
        <f>IF(VLOOKUP($C198,Valve_from_BP!$O:$AE,8,0)="yes",1,0)</f>
        <v>0</v>
      </c>
    </row>
    <row r="199" spans="1:16">
      <c r="A199" s="456"/>
      <c r="B199" s="771"/>
      <c r="C199" s="768" t="s">
        <v>7762</v>
      </c>
      <c r="D199" s="766" t="str">
        <f>IF(VLOOKUP($C199,Valve_from_BP!$O:$AE,6,0)="close","FC","FO")</f>
        <v>FO</v>
      </c>
      <c r="E199" s="771"/>
      <c r="F199" s="457" t="s">
        <v>7710</v>
      </c>
      <c r="G199" s="778">
        <v>3</v>
      </c>
      <c r="H199" s="455">
        <v>3</v>
      </c>
      <c r="I199" s="778">
        <v>3</v>
      </c>
      <c r="J199" s="460">
        <f t="shared" si="3"/>
        <v>3</v>
      </c>
      <c r="K199" s="778">
        <v>0</v>
      </c>
      <c r="L199" s="460">
        <f>IF(VLOOKUP($C199,Valve_from_BP!$O:$AE,6,0)="close",1,0)</f>
        <v>0</v>
      </c>
      <c r="M199" s="778">
        <v>0</v>
      </c>
      <c r="N199" s="455"/>
      <c r="O199" s="783" t="b">
        <v>1</v>
      </c>
      <c r="P199" s="460">
        <f>IF(VLOOKUP($C199,Valve_from_BP!$O:$AE,8,0)="yes",1,0)</f>
        <v>1</v>
      </c>
    </row>
    <row r="200" spans="1:16">
      <c r="A200" s="456"/>
      <c r="B200" s="771"/>
      <c r="C200" s="768" t="s">
        <v>7764</v>
      </c>
      <c r="D200" s="766" t="str">
        <f>IF(VLOOKUP($C200,Valve_from_BP!$O:$AE,6,0)="close","FC","FO")</f>
        <v>FO</v>
      </c>
      <c r="E200" s="771"/>
      <c r="F200" s="457" t="s">
        <v>7708</v>
      </c>
      <c r="G200" s="778">
        <v>3</v>
      </c>
      <c r="H200" s="460">
        <v>3</v>
      </c>
      <c r="I200" s="778">
        <v>3</v>
      </c>
      <c r="J200" s="460">
        <f t="shared" si="3"/>
        <v>3</v>
      </c>
      <c r="K200" s="778">
        <v>0</v>
      </c>
      <c r="L200" s="460">
        <f>IF(VLOOKUP($C200,Valve_from_BP!$O:$AE,6,0)="close",1,0)</f>
        <v>0</v>
      </c>
      <c r="M200" s="778">
        <v>0</v>
      </c>
      <c r="N200" s="455"/>
      <c r="O200" s="783" t="b">
        <v>1</v>
      </c>
      <c r="P200" s="460">
        <f>IF(VLOOKUP($C200,Valve_from_BP!$O:$AE,8,0)="yes",1,0)</f>
        <v>1</v>
      </c>
    </row>
    <row r="201" spans="1:16">
      <c r="A201" s="456"/>
      <c r="B201" s="771"/>
      <c r="C201" s="768" t="s">
        <v>10210</v>
      </c>
      <c r="D201" s="766" t="str">
        <f>IF(VLOOKUP($C201,Valve_from_BP!$O:$AE,6,0)="close","FC","FO")</f>
        <v>FC</v>
      </c>
      <c r="E201" s="771"/>
      <c r="F201" s="457" t="s">
        <v>7836</v>
      </c>
      <c r="G201" s="778">
        <v>3</v>
      </c>
      <c r="H201" s="460">
        <v>3</v>
      </c>
      <c r="I201" s="778">
        <v>3</v>
      </c>
      <c r="J201" s="460">
        <f t="shared" si="3"/>
        <v>3</v>
      </c>
      <c r="K201" s="778">
        <v>1</v>
      </c>
      <c r="L201" s="460">
        <f>IF(VLOOKUP($C201,Valve_from_BP!$O:$AE,6,0)="close",1,0)</f>
        <v>1</v>
      </c>
      <c r="M201" s="778">
        <v>0</v>
      </c>
      <c r="N201" s="455"/>
      <c r="O201" s="783" t="b">
        <v>0</v>
      </c>
      <c r="P201" s="460">
        <f>IF(VLOOKUP($C201,Valve_from_BP!$O:$AE,8,0)="yes",1,0)</f>
        <v>0</v>
      </c>
    </row>
    <row r="202" spans="1:16">
      <c r="A202" s="456"/>
      <c r="B202" s="771"/>
      <c r="C202" s="768" t="s">
        <v>831</v>
      </c>
      <c r="D202" s="766" t="str">
        <f>IF(VLOOKUP($C202,Valve_from_BP!$O:$AE,6,0)="close","FC","FO")</f>
        <v>FO</v>
      </c>
      <c r="E202" s="771"/>
      <c r="F202" s="457" t="s">
        <v>5661</v>
      </c>
      <c r="G202" s="778">
        <v>3</v>
      </c>
      <c r="H202" s="460">
        <v>3</v>
      </c>
      <c r="I202" s="778">
        <v>3</v>
      </c>
      <c r="J202" s="460">
        <f t="shared" si="3"/>
        <v>3</v>
      </c>
      <c r="K202" s="778">
        <v>0</v>
      </c>
      <c r="L202" s="460">
        <f>IF(VLOOKUP($C202,Valve_from_BP!$O:$AE,6,0)="close",1,0)</f>
        <v>0</v>
      </c>
      <c r="M202" s="778">
        <v>0</v>
      </c>
      <c r="N202" s="455"/>
      <c r="O202" s="783" t="b">
        <v>1</v>
      </c>
      <c r="P202" s="460">
        <f>IF(VLOOKUP($C202,Valve_from_BP!$O:$AE,8,0)="yes",1,0)</f>
        <v>1</v>
      </c>
    </row>
    <row r="203" spans="1:16">
      <c r="A203" s="456"/>
      <c r="B203" s="771"/>
      <c r="C203" s="768" t="s">
        <v>829</v>
      </c>
      <c r="D203" s="766" t="str">
        <f>IF(VLOOKUP($C203,Valve_from_BP!$O:$AE,6,0)="close","FC","FO")</f>
        <v>FO</v>
      </c>
      <c r="E203" s="771"/>
      <c r="F203" s="457" t="s">
        <v>5660</v>
      </c>
      <c r="G203" s="778">
        <v>3</v>
      </c>
      <c r="H203" s="455">
        <v>3</v>
      </c>
      <c r="I203" s="778">
        <v>3</v>
      </c>
      <c r="J203" s="460">
        <f t="shared" si="3"/>
        <v>3</v>
      </c>
      <c r="K203" s="778">
        <v>0</v>
      </c>
      <c r="L203" s="460">
        <f>IF(VLOOKUP($C203,Valve_from_BP!$O:$AE,6,0)="close",1,0)</f>
        <v>0</v>
      </c>
      <c r="M203" s="778">
        <v>0</v>
      </c>
      <c r="N203" s="455"/>
      <c r="O203" s="783" t="b">
        <v>1</v>
      </c>
      <c r="P203" s="460">
        <f>IF(VLOOKUP($C203,Valve_from_BP!$O:$AE,8,0)="yes",1,0)</f>
        <v>1</v>
      </c>
    </row>
    <row r="204" spans="1:16">
      <c r="A204" s="456"/>
      <c r="B204" s="771"/>
      <c r="C204" s="768" t="s">
        <v>827</v>
      </c>
      <c r="D204" s="766" t="str">
        <f>IF(VLOOKUP($C204,Valve_from_BP!$O:$AE,6,0)="close","FC","FO")</f>
        <v>FO</v>
      </c>
      <c r="E204" s="771"/>
      <c r="F204" s="457" t="s">
        <v>5659</v>
      </c>
      <c r="G204" s="778">
        <v>3</v>
      </c>
      <c r="H204" s="455">
        <v>3</v>
      </c>
      <c r="I204" s="778">
        <v>3</v>
      </c>
      <c r="J204" s="460">
        <f t="shared" si="3"/>
        <v>3</v>
      </c>
      <c r="K204" s="778">
        <v>0</v>
      </c>
      <c r="L204" s="460">
        <f>IF(VLOOKUP($C204,Valve_from_BP!$O:$AE,6,0)="close",1,0)</f>
        <v>0</v>
      </c>
      <c r="M204" s="778">
        <v>0</v>
      </c>
      <c r="N204" s="455"/>
      <c r="O204" s="783" t="b">
        <v>1</v>
      </c>
      <c r="P204" s="460">
        <f>IF(VLOOKUP($C204,Valve_from_BP!$O:$AE,8,0)="yes",1,0)</f>
        <v>1</v>
      </c>
    </row>
    <row r="205" spans="1:16">
      <c r="A205" s="456"/>
      <c r="B205" s="771"/>
      <c r="C205" s="768" t="s">
        <v>825</v>
      </c>
      <c r="D205" s="766" t="str">
        <f>IF(VLOOKUP($C205,Valve_from_BP!$O:$AE,6,0)="close","FC","FO")</f>
        <v>FO</v>
      </c>
      <c r="E205" s="771"/>
      <c r="F205" s="457" t="s">
        <v>5658</v>
      </c>
      <c r="G205" s="778">
        <v>3</v>
      </c>
      <c r="H205" s="455">
        <v>3</v>
      </c>
      <c r="I205" s="778">
        <v>3</v>
      </c>
      <c r="J205" s="460">
        <f t="shared" si="3"/>
        <v>3</v>
      </c>
      <c r="K205" s="778">
        <v>0</v>
      </c>
      <c r="L205" s="460">
        <f>IF(VLOOKUP($C205,Valve_from_BP!$O:$AE,6,0)="close",1,0)</f>
        <v>0</v>
      </c>
      <c r="M205" s="778">
        <v>0</v>
      </c>
      <c r="N205" s="455"/>
      <c r="O205" s="783" t="b">
        <v>1</v>
      </c>
      <c r="P205" s="460">
        <f>IF(VLOOKUP($C205,Valve_from_BP!$O:$AE,8,0)="yes",1,0)</f>
        <v>1</v>
      </c>
    </row>
    <row r="206" spans="1:16">
      <c r="A206" s="456"/>
      <c r="B206" s="771"/>
      <c r="C206" s="768" t="s">
        <v>823</v>
      </c>
      <c r="D206" s="766" t="str">
        <f>IF(VLOOKUP($C206,Valve_from_BP!$O:$AE,6,0)="close","FC","FO")</f>
        <v>FO</v>
      </c>
      <c r="E206" s="771"/>
      <c r="F206" s="465" t="s">
        <v>5657</v>
      </c>
      <c r="G206" s="778">
        <v>3</v>
      </c>
      <c r="H206" s="455">
        <v>3</v>
      </c>
      <c r="I206" s="778">
        <v>3</v>
      </c>
      <c r="J206" s="460">
        <f t="shared" si="3"/>
        <v>3</v>
      </c>
      <c r="K206" s="778">
        <v>0</v>
      </c>
      <c r="L206" s="460">
        <f>IF(VLOOKUP($C206,Valve_from_BP!$O:$AE,6,0)="close",1,0)</f>
        <v>0</v>
      </c>
      <c r="M206" s="778">
        <v>0</v>
      </c>
      <c r="N206" s="455"/>
      <c r="O206" s="783" t="b">
        <v>1</v>
      </c>
      <c r="P206" s="460">
        <f>IF(VLOOKUP($C206,Valve_from_BP!$O:$AE,8,0)="yes",1,0)</f>
        <v>1</v>
      </c>
    </row>
    <row r="207" spans="1:16">
      <c r="A207" s="456"/>
      <c r="B207" s="771"/>
      <c r="C207" s="768" t="s">
        <v>821</v>
      </c>
      <c r="D207" s="766" t="str">
        <f>IF(VLOOKUP($C207,Valve_from_BP!$O:$AE,6,0)="close","FC","FO")</f>
        <v>FO</v>
      </c>
      <c r="E207" s="771"/>
      <c r="F207" s="457" t="s">
        <v>5656</v>
      </c>
      <c r="G207" s="778">
        <v>3</v>
      </c>
      <c r="H207" s="460">
        <v>3</v>
      </c>
      <c r="I207" s="778">
        <v>3</v>
      </c>
      <c r="J207" s="460">
        <f t="shared" si="3"/>
        <v>3</v>
      </c>
      <c r="K207" s="778">
        <v>0</v>
      </c>
      <c r="L207" s="460">
        <f>IF(VLOOKUP($C207,Valve_from_BP!$O:$AE,6,0)="close",1,0)</f>
        <v>0</v>
      </c>
      <c r="M207" s="778">
        <v>0</v>
      </c>
      <c r="N207" s="455"/>
      <c r="O207" s="783" t="b">
        <v>1</v>
      </c>
      <c r="P207" s="460">
        <f>IF(VLOOKUP($C207,Valve_from_BP!$O:$AE,8,0)="yes",1,0)</f>
        <v>1</v>
      </c>
    </row>
    <row r="208" spans="1:16">
      <c r="A208" s="456"/>
      <c r="B208" s="771"/>
      <c r="C208" s="768" t="s">
        <v>819</v>
      </c>
      <c r="D208" s="766" t="str">
        <f>IF(VLOOKUP($C208,Valve_from_BP!$O:$AE,6,0)="close","FC","FO")</f>
        <v>FO</v>
      </c>
      <c r="E208" s="771"/>
      <c r="F208" s="457" t="s">
        <v>5655</v>
      </c>
      <c r="G208" s="778">
        <v>3</v>
      </c>
      <c r="H208" s="460">
        <v>3</v>
      </c>
      <c r="I208" s="778">
        <v>3</v>
      </c>
      <c r="J208" s="460">
        <f t="shared" si="3"/>
        <v>3</v>
      </c>
      <c r="K208" s="778">
        <v>0</v>
      </c>
      <c r="L208" s="460">
        <f>IF(VLOOKUP($C208,Valve_from_BP!$O:$AE,6,0)="close",1,0)</f>
        <v>0</v>
      </c>
      <c r="M208" s="778">
        <v>0</v>
      </c>
      <c r="N208" s="455"/>
      <c r="O208" s="783" t="b">
        <v>1</v>
      </c>
      <c r="P208" s="460">
        <f>IF(VLOOKUP($C208,Valve_from_BP!$O:$AE,8,0)="yes",1,0)</f>
        <v>1</v>
      </c>
    </row>
    <row r="209" spans="1:16">
      <c r="A209" s="456"/>
      <c r="B209" s="771"/>
      <c r="C209" s="768" t="s">
        <v>816</v>
      </c>
      <c r="D209" s="766" t="str">
        <f>IF(VLOOKUP($C209,Valve_from_BP!$O:$AE,6,0)="close","FC","FO")</f>
        <v>FO</v>
      </c>
      <c r="E209" s="771"/>
      <c r="F209" s="457" t="s">
        <v>5654</v>
      </c>
      <c r="G209" s="778">
        <v>3</v>
      </c>
      <c r="H209" s="460">
        <v>3</v>
      </c>
      <c r="I209" s="778">
        <v>3</v>
      </c>
      <c r="J209" s="460">
        <f t="shared" si="3"/>
        <v>3</v>
      </c>
      <c r="K209" s="778">
        <v>0</v>
      </c>
      <c r="L209" s="460">
        <f>IF(VLOOKUP($C209,Valve_from_BP!$O:$AE,6,0)="close",1,0)</f>
        <v>0</v>
      </c>
      <c r="M209" s="778">
        <v>0</v>
      </c>
      <c r="N209" s="455"/>
      <c r="O209" s="783" t="b">
        <v>1</v>
      </c>
      <c r="P209" s="460">
        <f>IF(VLOOKUP($C209,Valve_from_BP!$O:$AE,8,0)="yes",1,0)</f>
        <v>1</v>
      </c>
    </row>
    <row r="210" spans="1:16">
      <c r="A210" s="456"/>
      <c r="B210" s="771"/>
      <c r="C210" s="768" t="s">
        <v>10359</v>
      </c>
      <c r="D210" s="766" t="str">
        <f>IF(VLOOKUP($C210,Valve_from_BP!$O:$AE,6,0)="close","FC","FO")</f>
        <v>FC</v>
      </c>
      <c r="E210" s="771"/>
      <c r="F210" s="457" t="s">
        <v>6056</v>
      </c>
      <c r="G210" s="778">
        <v>3</v>
      </c>
      <c r="H210" s="460">
        <v>3</v>
      </c>
      <c r="I210" s="778">
        <v>3</v>
      </c>
      <c r="J210" s="460">
        <f t="shared" si="3"/>
        <v>3</v>
      </c>
      <c r="K210" s="778">
        <v>1</v>
      </c>
      <c r="L210" s="460">
        <f>IF(VLOOKUP($C210,Valve_from_BP!$O:$AE,6,0)="close",1,0)</f>
        <v>1</v>
      </c>
      <c r="M210" s="778">
        <v>0</v>
      </c>
      <c r="N210" s="455"/>
      <c r="O210" s="783" t="b">
        <v>0</v>
      </c>
      <c r="P210" s="460">
        <f>IF(VLOOKUP($C210,Valve_from_BP!$O:$AE,8,0)="yes",1,0)</f>
        <v>0</v>
      </c>
    </row>
    <row r="211" spans="1:16">
      <c r="A211" s="456"/>
      <c r="B211" s="771"/>
      <c r="C211" s="768" t="s">
        <v>10360</v>
      </c>
      <c r="D211" s="766" t="str">
        <f>IF(VLOOKUP($C211,Valve_from_BP!$O:$AE,6,0)="close","FC","FO")</f>
        <v>FC</v>
      </c>
      <c r="E211" s="771"/>
      <c r="F211" s="457" t="s">
        <v>6078</v>
      </c>
      <c r="G211" s="778">
        <v>3</v>
      </c>
      <c r="H211" s="460">
        <v>3</v>
      </c>
      <c r="I211" s="778">
        <v>3</v>
      </c>
      <c r="J211" s="460">
        <f t="shared" si="3"/>
        <v>3</v>
      </c>
      <c r="K211" s="778">
        <v>1</v>
      </c>
      <c r="L211" s="460">
        <f>IF(VLOOKUP($C211,Valve_from_BP!$O:$AE,6,0)="close",1,0)</f>
        <v>1</v>
      </c>
      <c r="M211" s="778">
        <v>0</v>
      </c>
      <c r="N211" s="455"/>
      <c r="O211" s="783" t="b">
        <v>1</v>
      </c>
      <c r="P211" s="460">
        <f>IF(VLOOKUP($C211,Valve_from_BP!$O:$AE,8,0)="yes",1,0)</f>
        <v>1</v>
      </c>
    </row>
    <row r="212" spans="1:16">
      <c r="A212" s="456"/>
      <c r="B212" s="771"/>
      <c r="C212" s="768" t="s">
        <v>813</v>
      </c>
      <c r="D212" s="766" t="str">
        <f>IF(VLOOKUP($C212,Valve_from_BP!$O:$AE,6,0)="close","FC","FO")</f>
        <v>FC</v>
      </c>
      <c r="E212" s="771"/>
      <c r="F212" s="457" t="s">
        <v>6039</v>
      </c>
      <c r="G212" s="778">
        <v>3</v>
      </c>
      <c r="H212" s="460">
        <v>3</v>
      </c>
      <c r="I212" s="778">
        <v>3</v>
      </c>
      <c r="J212" s="460">
        <f t="shared" si="3"/>
        <v>3</v>
      </c>
      <c r="K212" s="778">
        <v>1</v>
      </c>
      <c r="L212" s="460">
        <f>IF(VLOOKUP($C212,Valve_from_BP!$O:$AE,6,0)="close",1,0)</f>
        <v>1</v>
      </c>
      <c r="M212" s="778">
        <v>0</v>
      </c>
      <c r="N212" s="455"/>
      <c r="O212" s="783" t="b">
        <v>1</v>
      </c>
      <c r="P212" s="460">
        <f>IF(VLOOKUP($C212,Valve_from_BP!$O:$AE,8,0)="yes",1,0)</f>
        <v>1</v>
      </c>
    </row>
    <row r="213" spans="1:16">
      <c r="A213" s="456"/>
      <c r="B213" s="771"/>
      <c r="C213" s="768" t="s">
        <v>10363</v>
      </c>
      <c r="D213" s="766" t="str">
        <f>IF(VLOOKUP($C213,Valve_from_BP!$O:$AE,6,0)="close","FC","FO")</f>
        <v>FC</v>
      </c>
      <c r="E213" s="771"/>
      <c r="F213" s="457" t="s">
        <v>6589</v>
      </c>
      <c r="G213" s="778">
        <v>3</v>
      </c>
      <c r="H213" s="455">
        <v>3</v>
      </c>
      <c r="I213" s="778">
        <v>3</v>
      </c>
      <c r="J213" s="460">
        <f t="shared" si="3"/>
        <v>3</v>
      </c>
      <c r="K213" s="778">
        <v>1</v>
      </c>
      <c r="L213" s="460">
        <f>IF(VLOOKUP($C213,Valve_from_BP!$O:$AE,6,0)="close",1,0)</f>
        <v>1</v>
      </c>
      <c r="M213" s="778">
        <v>0</v>
      </c>
      <c r="N213" s="455"/>
      <c r="O213" s="783" t="b">
        <v>0</v>
      </c>
      <c r="P213" s="460">
        <f>IF(VLOOKUP($C213,Valve_from_BP!$O:$AE,8,0)="yes",1,0)</f>
        <v>0</v>
      </c>
    </row>
    <row r="214" spans="1:16">
      <c r="A214" s="456"/>
      <c r="B214" s="771"/>
      <c r="C214" s="768" t="s">
        <v>10362</v>
      </c>
      <c r="D214" s="766" t="str">
        <f>IF(VLOOKUP($C214,Valve_from_BP!$O:$AE,6,0)="close","FC","FO")</f>
        <v>FO</v>
      </c>
      <c r="E214" s="771"/>
      <c r="F214" s="457" t="s">
        <v>6587</v>
      </c>
      <c r="G214" s="778">
        <v>3</v>
      </c>
      <c r="H214" s="455">
        <v>3</v>
      </c>
      <c r="I214" s="778">
        <v>3</v>
      </c>
      <c r="J214" s="460">
        <f t="shared" si="3"/>
        <v>3</v>
      </c>
      <c r="K214" s="778">
        <v>0</v>
      </c>
      <c r="L214" s="460">
        <f>IF(VLOOKUP($C214,Valve_from_BP!$O:$AE,6,0)="close",1,0)</f>
        <v>0</v>
      </c>
      <c r="M214" s="778">
        <v>0</v>
      </c>
      <c r="N214" s="455"/>
      <c r="O214" s="783" t="b">
        <v>0</v>
      </c>
      <c r="P214" s="460">
        <f>IF(VLOOKUP($C214,Valve_from_BP!$O:$AE,8,0)="yes",1,0)</f>
        <v>0</v>
      </c>
    </row>
    <row r="215" spans="1:16">
      <c r="A215" s="456"/>
      <c r="B215" s="771"/>
      <c r="C215" s="768" t="s">
        <v>10364</v>
      </c>
      <c r="D215" s="766" t="str">
        <f>IF(VLOOKUP($C215,Valve_from_BP!$O:$AE,6,0)="close","FC","FO")</f>
        <v>FC</v>
      </c>
      <c r="E215" s="771"/>
      <c r="F215" s="457" t="s">
        <v>6485</v>
      </c>
      <c r="G215" s="778">
        <v>3</v>
      </c>
      <c r="H215" s="455">
        <v>3</v>
      </c>
      <c r="I215" s="778">
        <v>3</v>
      </c>
      <c r="J215" s="460">
        <f t="shared" si="3"/>
        <v>3</v>
      </c>
      <c r="K215" s="778">
        <v>1</v>
      </c>
      <c r="L215" s="460">
        <f>IF(VLOOKUP($C215,Valve_from_BP!$O:$AE,6,0)="close",1,0)</f>
        <v>1</v>
      </c>
      <c r="M215" s="778">
        <v>0</v>
      </c>
      <c r="N215" s="455"/>
      <c r="O215" s="783" t="b">
        <v>1</v>
      </c>
      <c r="P215" s="460">
        <f>IF(VLOOKUP($C215,Valve_from_BP!$O:$AE,8,0)="yes",1,0)</f>
        <v>1</v>
      </c>
    </row>
    <row r="216" spans="1:16">
      <c r="A216" s="456"/>
      <c r="B216" s="771"/>
      <c r="C216" s="768" t="s">
        <v>10365</v>
      </c>
      <c r="D216" s="766" t="str">
        <f>IF(VLOOKUP($C216,Valve_from_BP!$O:$AE,6,0)="close","FC","FO")</f>
        <v>FC</v>
      </c>
      <c r="E216" s="771"/>
      <c r="F216" s="457" t="s">
        <v>6486</v>
      </c>
      <c r="G216" s="778">
        <v>3</v>
      </c>
      <c r="H216" s="460">
        <v>3</v>
      </c>
      <c r="I216" s="778">
        <v>3</v>
      </c>
      <c r="J216" s="460">
        <f t="shared" si="3"/>
        <v>3</v>
      </c>
      <c r="K216" s="778">
        <v>1</v>
      </c>
      <c r="L216" s="460">
        <f>IF(VLOOKUP($C216,Valve_from_BP!$O:$AE,6,0)="close",1,0)</f>
        <v>1</v>
      </c>
      <c r="M216" s="778">
        <v>0</v>
      </c>
      <c r="N216" s="455"/>
      <c r="O216" s="783" t="b">
        <v>0</v>
      </c>
      <c r="P216" s="460">
        <f>IF(VLOOKUP($C216,Valve_from_BP!$O:$AE,8,0)="yes",1,0)</f>
        <v>0</v>
      </c>
    </row>
    <row r="217" spans="1:16">
      <c r="A217" s="456"/>
      <c r="B217" s="771"/>
      <c r="C217" s="768" t="s">
        <v>10366</v>
      </c>
      <c r="D217" s="766" t="str">
        <f>IF(VLOOKUP($C217,Valve_from_BP!$O:$AE,6,0)="close","FC","FO")</f>
        <v>FC</v>
      </c>
      <c r="E217" s="771"/>
      <c r="F217" s="457" t="s">
        <v>8034</v>
      </c>
      <c r="G217" s="778">
        <v>3</v>
      </c>
      <c r="H217" s="460">
        <v>3</v>
      </c>
      <c r="I217" s="778">
        <v>3</v>
      </c>
      <c r="J217" s="460">
        <f t="shared" si="3"/>
        <v>3</v>
      </c>
      <c r="K217" s="778">
        <v>1</v>
      </c>
      <c r="L217" s="460">
        <f>IF(VLOOKUP($C217,Valve_from_BP!$O:$AE,6,0)="close",1,0)</f>
        <v>1</v>
      </c>
      <c r="M217" s="778">
        <v>0</v>
      </c>
      <c r="N217" s="455"/>
      <c r="O217" s="783" t="b">
        <v>0</v>
      </c>
      <c r="P217" s="460">
        <f>IF(VLOOKUP($C217,Valve_from_BP!$O:$AE,8,0)="yes",1,0)</f>
        <v>0</v>
      </c>
    </row>
    <row r="218" spans="1:16">
      <c r="A218" s="456"/>
      <c r="B218" s="771"/>
      <c r="C218" s="768" t="s">
        <v>789</v>
      </c>
      <c r="D218" s="766" t="str">
        <f>IF(VLOOKUP($C218,Valve_from_BP!$O:$AE,6,0)="close","FC","FO")</f>
        <v>FO</v>
      </c>
      <c r="E218" s="771"/>
      <c r="F218" s="457" t="s">
        <v>5582</v>
      </c>
      <c r="G218" s="778">
        <v>3</v>
      </c>
      <c r="H218" s="460">
        <v>3</v>
      </c>
      <c r="I218" s="778">
        <v>3</v>
      </c>
      <c r="J218" s="460">
        <f t="shared" si="3"/>
        <v>3</v>
      </c>
      <c r="K218" s="778">
        <v>0</v>
      </c>
      <c r="L218" s="460">
        <f>IF(VLOOKUP($C218,Valve_from_BP!$O:$AE,6,0)="close",1,0)</f>
        <v>0</v>
      </c>
      <c r="M218" s="778">
        <v>0</v>
      </c>
      <c r="N218" s="455"/>
      <c r="O218" s="783" t="b">
        <v>0</v>
      </c>
      <c r="P218" s="460">
        <f>IF(VLOOKUP($C218,Valve_from_BP!$O:$AE,8,0)="yes",1,0)</f>
        <v>0</v>
      </c>
    </row>
    <row r="219" spans="1:16">
      <c r="A219" s="456"/>
      <c r="B219" s="771"/>
      <c r="C219" s="768" t="s">
        <v>788</v>
      </c>
      <c r="D219" s="766" t="str">
        <f>IF(VLOOKUP($C219,Valve_from_BP!$O:$AE,6,0)="close","FC","FO")</f>
        <v>FO</v>
      </c>
      <c r="E219" s="771"/>
      <c r="F219" s="457" t="s">
        <v>5581</v>
      </c>
      <c r="G219" s="778">
        <v>3</v>
      </c>
      <c r="H219" s="455">
        <v>3</v>
      </c>
      <c r="I219" s="778">
        <v>3</v>
      </c>
      <c r="J219" s="460">
        <f t="shared" si="3"/>
        <v>3</v>
      </c>
      <c r="K219" s="778">
        <v>0</v>
      </c>
      <c r="L219" s="460">
        <f>IF(VLOOKUP($C219,Valve_from_BP!$O:$AE,6,0)="close",1,0)</f>
        <v>0</v>
      </c>
      <c r="M219" s="778">
        <v>0</v>
      </c>
      <c r="N219" s="455"/>
      <c r="O219" s="783" t="b">
        <v>0</v>
      </c>
      <c r="P219" s="460">
        <f>IF(VLOOKUP($C219,Valve_from_BP!$O:$AE,8,0)="yes",1,0)</f>
        <v>0</v>
      </c>
    </row>
    <row r="220" spans="1:16">
      <c r="A220" s="456"/>
      <c r="B220" s="771"/>
      <c r="C220" s="768" t="s">
        <v>787</v>
      </c>
      <c r="D220" s="766" t="str">
        <f>IF(VLOOKUP($C220,Valve_from_BP!$O:$AE,6,0)="close","FC","FO")</f>
        <v>FO</v>
      </c>
      <c r="E220" s="771"/>
      <c r="F220" s="457" t="s">
        <v>5580</v>
      </c>
      <c r="G220" s="778">
        <v>3</v>
      </c>
      <c r="H220" s="455">
        <v>3</v>
      </c>
      <c r="I220" s="778">
        <v>3</v>
      </c>
      <c r="J220" s="460">
        <f t="shared" si="3"/>
        <v>3</v>
      </c>
      <c r="K220" s="778">
        <v>0</v>
      </c>
      <c r="L220" s="460">
        <f>IF(VLOOKUP($C220,Valve_from_BP!$O:$AE,6,0)="close",1,0)</f>
        <v>0</v>
      </c>
      <c r="M220" s="778">
        <v>0</v>
      </c>
      <c r="N220" s="455"/>
      <c r="O220" s="783" t="b">
        <v>0</v>
      </c>
      <c r="P220" s="460">
        <f>IF(VLOOKUP($C220,Valve_from_BP!$O:$AE,8,0)="yes",1,0)</f>
        <v>0</v>
      </c>
    </row>
    <row r="221" spans="1:16">
      <c r="A221" s="456"/>
      <c r="B221" s="771"/>
      <c r="C221" s="768" t="s">
        <v>786</v>
      </c>
      <c r="D221" s="766" t="str">
        <f>IF(VLOOKUP($C221,Valve_from_BP!$O:$AE,6,0)="close","FC","FO")</f>
        <v>FO</v>
      </c>
      <c r="E221" s="771"/>
      <c r="F221" s="457" t="s">
        <v>5579</v>
      </c>
      <c r="G221" s="778">
        <v>3</v>
      </c>
      <c r="H221" s="460">
        <v>3</v>
      </c>
      <c r="I221" s="778">
        <v>3</v>
      </c>
      <c r="J221" s="460">
        <f t="shared" si="3"/>
        <v>3</v>
      </c>
      <c r="K221" s="778">
        <v>0</v>
      </c>
      <c r="L221" s="460">
        <f>IF(VLOOKUP($C221,Valve_from_BP!$O:$AE,6,0)="close",1,0)</f>
        <v>0</v>
      </c>
      <c r="M221" s="778">
        <v>0</v>
      </c>
      <c r="N221" s="455"/>
      <c r="O221" s="783" t="b">
        <v>0</v>
      </c>
      <c r="P221" s="460">
        <f>IF(VLOOKUP($C221,Valve_from_BP!$O:$AE,8,0)="yes",1,0)</f>
        <v>0</v>
      </c>
    </row>
    <row r="222" spans="1:16">
      <c r="A222" s="456"/>
      <c r="B222" s="771"/>
      <c r="C222" s="768" t="s">
        <v>785</v>
      </c>
      <c r="D222" s="766" t="str">
        <f>IF(VLOOKUP($C222,Valve_from_BP!$O:$AE,6,0)="close","FC","FO")</f>
        <v>FO</v>
      </c>
      <c r="E222" s="771"/>
      <c r="F222" s="457" t="s">
        <v>5578</v>
      </c>
      <c r="G222" s="778">
        <v>3</v>
      </c>
      <c r="H222" s="455">
        <v>3</v>
      </c>
      <c r="I222" s="778">
        <v>3</v>
      </c>
      <c r="J222" s="460">
        <f t="shared" si="3"/>
        <v>3</v>
      </c>
      <c r="K222" s="778">
        <v>0</v>
      </c>
      <c r="L222" s="460">
        <f>IF(VLOOKUP($C222,Valve_from_BP!$O:$AE,6,0)="close",1,0)</f>
        <v>0</v>
      </c>
      <c r="M222" s="778">
        <v>0</v>
      </c>
      <c r="N222" s="455"/>
      <c r="O222" s="783" t="b">
        <v>0</v>
      </c>
      <c r="P222" s="460">
        <f>IF(VLOOKUP($C222,Valve_from_BP!$O:$AE,8,0)="yes",1,0)</f>
        <v>0</v>
      </c>
    </row>
    <row r="223" spans="1:16">
      <c r="A223" s="456"/>
      <c r="B223" s="771"/>
      <c r="C223" s="768" t="s">
        <v>784</v>
      </c>
      <c r="D223" s="766" t="str">
        <f>IF(VLOOKUP($C223,Valve_from_BP!$O:$AE,6,0)="close","FC","FO")</f>
        <v>FO</v>
      </c>
      <c r="E223" s="771"/>
      <c r="F223" s="457" t="s">
        <v>5577</v>
      </c>
      <c r="G223" s="778">
        <v>3</v>
      </c>
      <c r="H223" s="455">
        <v>3</v>
      </c>
      <c r="I223" s="778">
        <v>3</v>
      </c>
      <c r="J223" s="460">
        <f t="shared" si="3"/>
        <v>3</v>
      </c>
      <c r="K223" s="778">
        <v>0</v>
      </c>
      <c r="L223" s="460">
        <f>IF(VLOOKUP($C223,Valve_from_BP!$O:$AE,6,0)="close",1,0)</f>
        <v>0</v>
      </c>
      <c r="M223" s="778">
        <v>0</v>
      </c>
      <c r="N223" s="455"/>
      <c r="O223" s="783" t="b">
        <v>0</v>
      </c>
      <c r="P223" s="460">
        <f>IF(VLOOKUP($C223,Valve_from_BP!$O:$AE,8,0)="yes",1,0)</f>
        <v>0</v>
      </c>
    </row>
    <row r="224" spans="1:16">
      <c r="A224" s="456"/>
      <c r="B224" s="771"/>
      <c r="C224" s="768" t="s">
        <v>9082</v>
      </c>
      <c r="D224" s="766" t="str">
        <f>IF(VLOOKUP($C224,Valve_from_BP!$O:$AE,6,0)="close","FC","FO")</f>
        <v>FO</v>
      </c>
      <c r="E224" s="771"/>
      <c r="F224" s="457" t="s">
        <v>5576</v>
      </c>
      <c r="G224" s="778">
        <v>3</v>
      </c>
      <c r="H224" s="455">
        <v>3</v>
      </c>
      <c r="I224" s="778">
        <v>3</v>
      </c>
      <c r="J224" s="460">
        <f t="shared" si="3"/>
        <v>3</v>
      </c>
      <c r="K224" s="778">
        <v>0</v>
      </c>
      <c r="L224" s="460">
        <f>IF(VLOOKUP($C224,Valve_from_BP!$O:$AE,6,0)="close",1,0)</f>
        <v>0</v>
      </c>
      <c r="M224" s="778">
        <v>0</v>
      </c>
      <c r="N224" s="455"/>
      <c r="O224" s="783" t="b">
        <v>0</v>
      </c>
      <c r="P224" s="460">
        <f>IF(VLOOKUP($C224,Valve_from_BP!$O:$AE,8,0)="yes",1,0)</f>
        <v>0</v>
      </c>
    </row>
    <row r="225" spans="1:16">
      <c r="A225" s="456"/>
      <c r="B225" s="771"/>
      <c r="C225" s="768" t="s">
        <v>780</v>
      </c>
      <c r="D225" s="766" t="str">
        <f>IF(VLOOKUP($C225,Valve_from_BP!$O:$AE,6,0)="close","FC","FO")</f>
        <v>FO</v>
      </c>
      <c r="E225" s="771"/>
      <c r="F225" s="457" t="s">
        <v>5575</v>
      </c>
      <c r="G225" s="778">
        <v>3</v>
      </c>
      <c r="H225" s="460">
        <v>3</v>
      </c>
      <c r="I225" s="778">
        <v>3</v>
      </c>
      <c r="J225" s="460">
        <f t="shared" si="3"/>
        <v>3</v>
      </c>
      <c r="K225" s="778">
        <v>0</v>
      </c>
      <c r="L225" s="460">
        <f>IF(VLOOKUP($C225,Valve_from_BP!$O:$AE,6,0)="close",1,0)</f>
        <v>0</v>
      </c>
      <c r="M225" s="778">
        <v>0</v>
      </c>
      <c r="N225" s="455"/>
      <c r="O225" s="783" t="b">
        <v>0</v>
      </c>
      <c r="P225" s="460">
        <f>IF(VLOOKUP($C225,Valve_from_BP!$O:$AE,8,0)="yes",1,0)</f>
        <v>0</v>
      </c>
    </row>
    <row r="226" spans="1:16">
      <c r="A226" s="456"/>
      <c r="B226" s="771"/>
      <c r="C226" s="768" t="s">
        <v>10368</v>
      </c>
      <c r="D226" s="766" t="str">
        <f>IF(VLOOKUP($C226,Valve_from_BP!$O:$AE,6,0)="close","FC","FO")</f>
        <v>FC</v>
      </c>
      <c r="E226" s="771"/>
      <c r="F226" s="457" t="s">
        <v>6548</v>
      </c>
      <c r="G226" s="778">
        <v>3</v>
      </c>
      <c r="H226" s="460">
        <v>3</v>
      </c>
      <c r="I226" s="778">
        <v>3</v>
      </c>
      <c r="J226" s="460">
        <f t="shared" si="3"/>
        <v>3</v>
      </c>
      <c r="K226" s="778">
        <v>1</v>
      </c>
      <c r="L226" s="460">
        <f>IF(VLOOKUP($C226,Valve_from_BP!$O:$AE,6,0)="close",1,0)</f>
        <v>1</v>
      </c>
      <c r="M226" s="778">
        <v>0</v>
      </c>
      <c r="N226" s="455"/>
      <c r="O226" s="783" t="b">
        <v>0</v>
      </c>
      <c r="P226" s="460">
        <f>IF(VLOOKUP($C226,Valve_from_BP!$O:$AE,8,0)="yes",1,0)</f>
        <v>0</v>
      </c>
    </row>
    <row r="227" spans="1:16">
      <c r="A227" s="456"/>
      <c r="B227" s="771"/>
      <c r="C227" s="768" t="s">
        <v>10369</v>
      </c>
      <c r="D227" s="766" t="str">
        <f>IF(VLOOKUP($C227,Valve_from_BP!$O:$AE,6,0)="close","FC","FO")</f>
        <v>FC</v>
      </c>
      <c r="E227" s="771"/>
      <c r="F227" s="457" t="s">
        <v>6569</v>
      </c>
      <c r="G227" s="778">
        <v>3</v>
      </c>
      <c r="H227" s="460">
        <v>3</v>
      </c>
      <c r="I227" s="778">
        <v>3</v>
      </c>
      <c r="J227" s="460">
        <f t="shared" si="3"/>
        <v>3</v>
      </c>
      <c r="K227" s="778">
        <v>1</v>
      </c>
      <c r="L227" s="460">
        <f>IF(VLOOKUP($C227,Valve_from_BP!$O:$AE,6,0)="close",1,0)</f>
        <v>1</v>
      </c>
      <c r="M227" s="778">
        <v>0</v>
      </c>
      <c r="N227" s="455"/>
      <c r="O227" s="783" t="b">
        <v>0</v>
      </c>
      <c r="P227" s="460">
        <f>IF(VLOOKUP($C227,Valve_from_BP!$O:$AE,8,0)="yes",1,0)</f>
        <v>0</v>
      </c>
    </row>
    <row r="228" spans="1:16">
      <c r="A228" s="456"/>
      <c r="B228" s="771"/>
      <c r="C228" s="768" t="s">
        <v>10370</v>
      </c>
      <c r="D228" s="766" t="str">
        <f>IF(VLOOKUP($C228,Valve_from_BP!$O:$AE,6,0)="close","FC","FO")</f>
        <v>FC</v>
      </c>
      <c r="E228" s="771"/>
      <c r="F228" s="457" t="s">
        <v>6547</v>
      </c>
      <c r="G228" s="778">
        <v>3</v>
      </c>
      <c r="H228" s="460">
        <v>3</v>
      </c>
      <c r="I228" s="778">
        <v>3</v>
      </c>
      <c r="J228" s="460">
        <f t="shared" si="3"/>
        <v>3</v>
      </c>
      <c r="K228" s="778">
        <v>1</v>
      </c>
      <c r="L228" s="460">
        <f>IF(VLOOKUP($C228,Valve_from_BP!$O:$AE,6,0)="close",1,0)</f>
        <v>1</v>
      </c>
      <c r="M228" s="778">
        <v>0</v>
      </c>
      <c r="N228" s="455"/>
      <c r="O228" s="783" t="b">
        <v>0</v>
      </c>
      <c r="P228" s="460">
        <f>IF(VLOOKUP($C228,Valve_from_BP!$O:$AE,8,0)="yes",1,0)</f>
        <v>0</v>
      </c>
    </row>
    <row r="229" spans="1:16">
      <c r="A229" s="456"/>
      <c r="B229" s="771"/>
      <c r="C229" s="768" t="s">
        <v>10372</v>
      </c>
      <c r="D229" s="766" t="str">
        <f>IF(VLOOKUP($C229,Valve_from_BP!$O:$AE,6,0)="close","FC","FO")</f>
        <v>FC</v>
      </c>
      <c r="E229" s="771"/>
      <c r="F229" s="457" t="s">
        <v>10371</v>
      </c>
      <c r="G229" s="778">
        <v>3</v>
      </c>
      <c r="H229" s="460">
        <v>3</v>
      </c>
      <c r="I229" s="778">
        <v>3</v>
      </c>
      <c r="J229" s="460">
        <f t="shared" si="3"/>
        <v>3</v>
      </c>
      <c r="K229" s="778">
        <v>1</v>
      </c>
      <c r="L229" s="460">
        <f>IF(VLOOKUP($C229,Valve_from_BP!$O:$AE,6,0)="close",1,0)</f>
        <v>1</v>
      </c>
      <c r="M229" s="778">
        <v>0</v>
      </c>
      <c r="N229" s="455"/>
      <c r="O229" s="783" t="b">
        <v>0</v>
      </c>
      <c r="P229" s="460">
        <f>IF(VLOOKUP($C229,Valve_from_BP!$O:$AE,8,0)="yes",1,0)</f>
        <v>0</v>
      </c>
    </row>
    <row r="230" spans="1:16">
      <c r="A230" s="456"/>
      <c r="B230" s="771"/>
      <c r="C230" s="768" t="s">
        <v>10373</v>
      </c>
      <c r="D230" s="766" t="str">
        <f>IF(VLOOKUP($C230,Valve_from_BP!$O:$AE,6,0)="close","FC","FO")</f>
        <v>FC</v>
      </c>
      <c r="E230" s="771"/>
      <c r="F230" s="457" t="s">
        <v>8060</v>
      </c>
      <c r="G230" s="778">
        <v>3</v>
      </c>
      <c r="H230" s="460">
        <v>3</v>
      </c>
      <c r="I230" s="778">
        <v>3</v>
      </c>
      <c r="J230" s="460">
        <f t="shared" si="3"/>
        <v>3</v>
      </c>
      <c r="K230" s="778">
        <v>1</v>
      </c>
      <c r="L230" s="460">
        <f>IF(VLOOKUP($C230,Valve_from_BP!$O:$AE,6,0)="close",1,0)</f>
        <v>1</v>
      </c>
      <c r="M230" s="778">
        <v>0</v>
      </c>
      <c r="N230" s="455"/>
      <c r="O230" s="783" t="b">
        <v>1</v>
      </c>
      <c r="P230" s="460">
        <f>IF(VLOOKUP($C230,Valve_from_BP!$O:$AE,8,0)="yes",1,0)</f>
        <v>1</v>
      </c>
    </row>
    <row r="231" spans="1:16">
      <c r="A231" s="456"/>
      <c r="B231" s="771"/>
      <c r="C231" s="768" t="s">
        <v>10374</v>
      </c>
      <c r="D231" s="766" t="str">
        <f>IF(VLOOKUP($C231,Valve_from_BP!$O:$AE,6,0)="close","FC","FO")</f>
        <v>FC</v>
      </c>
      <c r="E231" s="771"/>
      <c r="F231" s="457" t="s">
        <v>8044</v>
      </c>
      <c r="G231" s="778">
        <v>3</v>
      </c>
      <c r="H231" s="460">
        <v>3</v>
      </c>
      <c r="I231" s="778">
        <v>3</v>
      </c>
      <c r="J231" s="460">
        <f t="shared" si="3"/>
        <v>3</v>
      </c>
      <c r="K231" s="778">
        <v>1</v>
      </c>
      <c r="L231" s="460">
        <f>IF(VLOOKUP($C231,Valve_from_BP!$O:$AE,6,0)="close",1,0)</f>
        <v>1</v>
      </c>
      <c r="M231" s="778">
        <v>0</v>
      </c>
      <c r="N231" s="455"/>
      <c r="O231" s="783" t="b">
        <v>1</v>
      </c>
      <c r="P231" s="460">
        <f>IF(VLOOKUP($C231,Valve_from_BP!$O:$AE,8,0)="yes",1,0)</f>
        <v>1</v>
      </c>
    </row>
    <row r="232" spans="1:16">
      <c r="A232" s="456"/>
      <c r="B232" s="771"/>
      <c r="C232" s="768" t="s">
        <v>10039</v>
      </c>
      <c r="D232" s="770" t="s">
        <v>6086</v>
      </c>
      <c r="E232" s="771"/>
      <c r="F232" s="457" t="s">
        <v>6076</v>
      </c>
      <c r="G232" s="778">
        <v>4</v>
      </c>
      <c r="H232" s="801" t="str">
        <f t="shared" ref="H232:H295" si="4">D232</f>
        <v>4</v>
      </c>
      <c r="I232" s="778">
        <v>4</v>
      </c>
      <c r="J232" s="801" t="str">
        <f t="shared" si="3"/>
        <v>4</v>
      </c>
      <c r="K232" s="778">
        <v>0</v>
      </c>
      <c r="L232" s="460"/>
      <c r="M232" s="778">
        <v>0</v>
      </c>
      <c r="N232" s="455"/>
      <c r="O232" s="783" t="b">
        <v>0</v>
      </c>
      <c r="P232" s="460"/>
    </row>
    <row r="233" spans="1:16">
      <c r="A233" s="456"/>
      <c r="B233" s="771"/>
      <c r="C233" s="768" t="s">
        <v>10040</v>
      </c>
      <c r="D233" s="770" t="s">
        <v>6081</v>
      </c>
      <c r="E233" s="771"/>
      <c r="F233" s="457" t="s">
        <v>6077</v>
      </c>
      <c r="G233" s="778">
        <v>6</v>
      </c>
      <c r="H233" s="801" t="str">
        <f t="shared" si="4"/>
        <v>6</v>
      </c>
      <c r="I233" s="778">
        <v>6</v>
      </c>
      <c r="J233" s="801" t="str">
        <f t="shared" si="3"/>
        <v>6</v>
      </c>
      <c r="K233" s="778">
        <v>0</v>
      </c>
      <c r="L233" s="460"/>
      <c r="M233" s="778">
        <v>0</v>
      </c>
      <c r="N233" s="455"/>
      <c r="O233" s="778" t="b">
        <v>0</v>
      </c>
      <c r="P233" s="460"/>
    </row>
    <row r="234" spans="1:16">
      <c r="A234" s="456"/>
      <c r="B234" s="771"/>
      <c r="C234" s="768" t="s">
        <v>10055</v>
      </c>
      <c r="D234" s="770" t="s">
        <v>6081</v>
      </c>
      <c r="E234" s="771"/>
      <c r="F234" s="457" t="s">
        <v>6071</v>
      </c>
      <c r="G234" s="778">
        <v>6</v>
      </c>
      <c r="H234" s="801" t="str">
        <f t="shared" si="4"/>
        <v>6</v>
      </c>
      <c r="I234" s="778">
        <v>6</v>
      </c>
      <c r="J234" s="801" t="str">
        <f t="shared" si="3"/>
        <v>6</v>
      </c>
      <c r="K234" s="778">
        <v>0</v>
      </c>
      <c r="L234" s="460"/>
      <c r="M234" s="778">
        <v>0</v>
      </c>
      <c r="N234" s="455"/>
      <c r="O234" s="778" t="b">
        <v>0</v>
      </c>
      <c r="P234" s="460"/>
    </row>
    <row r="235" spans="1:16">
      <c r="A235" s="456"/>
      <c r="B235" s="771"/>
      <c r="C235" s="768" t="s">
        <v>10056</v>
      </c>
      <c r="D235" s="770" t="s">
        <v>6086</v>
      </c>
      <c r="E235" s="771"/>
      <c r="F235" s="465" t="s">
        <v>6072</v>
      </c>
      <c r="G235" s="778">
        <v>4</v>
      </c>
      <c r="H235" s="801" t="str">
        <f t="shared" si="4"/>
        <v>4</v>
      </c>
      <c r="I235" s="778">
        <v>4</v>
      </c>
      <c r="J235" s="801" t="str">
        <f t="shared" si="3"/>
        <v>4</v>
      </c>
      <c r="K235" s="778">
        <v>0</v>
      </c>
      <c r="L235" s="460"/>
      <c r="M235" s="778">
        <v>0</v>
      </c>
      <c r="N235" s="455"/>
      <c r="O235" s="778" t="b">
        <v>0</v>
      </c>
      <c r="P235" s="460"/>
    </row>
    <row r="236" spans="1:16">
      <c r="A236" s="456"/>
      <c r="B236" s="771"/>
      <c r="C236" s="768" t="s">
        <v>10065</v>
      </c>
      <c r="D236" s="770" t="s">
        <v>6468</v>
      </c>
      <c r="E236" s="771"/>
      <c r="F236" s="457" t="s">
        <v>7903</v>
      </c>
      <c r="G236" s="778">
        <v>3</v>
      </c>
      <c r="H236" s="801" t="str">
        <f t="shared" si="4"/>
        <v>3</v>
      </c>
      <c r="I236" s="778">
        <v>3</v>
      </c>
      <c r="J236" s="801" t="str">
        <f t="shared" si="3"/>
        <v>3</v>
      </c>
      <c r="K236" s="778">
        <v>1</v>
      </c>
      <c r="L236" s="460"/>
      <c r="M236" s="778">
        <v>0</v>
      </c>
      <c r="N236" s="455"/>
      <c r="O236" s="778" t="b">
        <v>0</v>
      </c>
      <c r="P236" s="460"/>
    </row>
    <row r="237" spans="1:16">
      <c r="A237" s="456"/>
      <c r="B237" s="771"/>
      <c r="C237" s="768" t="s">
        <v>10066</v>
      </c>
      <c r="D237" s="770" t="s">
        <v>6468</v>
      </c>
      <c r="E237" s="771"/>
      <c r="F237" s="457" t="s">
        <v>6469</v>
      </c>
      <c r="G237" s="778">
        <v>3</v>
      </c>
      <c r="H237" s="801" t="str">
        <f t="shared" si="4"/>
        <v>3</v>
      </c>
      <c r="I237" s="778">
        <v>3</v>
      </c>
      <c r="J237" s="801" t="str">
        <f t="shared" si="3"/>
        <v>3</v>
      </c>
      <c r="K237" s="778">
        <v>1</v>
      </c>
      <c r="L237" s="460"/>
      <c r="M237" s="778">
        <v>0</v>
      </c>
      <c r="N237" s="455"/>
      <c r="O237" s="778" t="b">
        <v>0</v>
      </c>
      <c r="P237" s="460"/>
    </row>
    <row r="238" spans="1:16">
      <c r="A238" s="456"/>
      <c r="B238" s="771"/>
      <c r="C238" s="768" t="s">
        <v>10067</v>
      </c>
      <c r="D238" s="770" t="s">
        <v>6468</v>
      </c>
      <c r="E238" s="771"/>
      <c r="F238" s="457" t="s">
        <v>6470</v>
      </c>
      <c r="G238" s="778">
        <v>3</v>
      </c>
      <c r="H238" s="801" t="str">
        <f t="shared" si="4"/>
        <v>3</v>
      </c>
      <c r="I238" s="778">
        <v>3</v>
      </c>
      <c r="J238" s="801" t="str">
        <f t="shared" si="3"/>
        <v>3</v>
      </c>
      <c r="K238" s="778">
        <v>1</v>
      </c>
      <c r="L238" s="460"/>
      <c r="M238" s="778">
        <v>0</v>
      </c>
      <c r="N238" s="455"/>
      <c r="O238" s="778" t="b">
        <v>0</v>
      </c>
      <c r="P238" s="460"/>
    </row>
    <row r="239" spans="1:16">
      <c r="A239" s="456"/>
      <c r="B239" s="771"/>
      <c r="C239" s="768" t="s">
        <v>10068</v>
      </c>
      <c r="D239" s="770" t="s">
        <v>6468</v>
      </c>
      <c r="E239" s="771"/>
      <c r="F239" s="457" t="s">
        <v>6471</v>
      </c>
      <c r="G239" s="778">
        <v>3</v>
      </c>
      <c r="H239" s="801" t="str">
        <f t="shared" si="4"/>
        <v>3</v>
      </c>
      <c r="I239" s="778">
        <v>3</v>
      </c>
      <c r="J239" s="801" t="str">
        <f t="shared" si="3"/>
        <v>3</v>
      </c>
      <c r="K239" s="778">
        <v>1</v>
      </c>
      <c r="L239" s="460"/>
      <c r="M239" s="778">
        <v>0</v>
      </c>
      <c r="N239" s="455"/>
      <c r="O239" s="778" t="b">
        <v>0</v>
      </c>
      <c r="P239" s="460"/>
    </row>
    <row r="240" spans="1:16">
      <c r="A240" s="456"/>
      <c r="B240" s="771"/>
      <c r="C240" s="768" t="s">
        <v>10041</v>
      </c>
      <c r="D240" s="770" t="s">
        <v>6081</v>
      </c>
      <c r="E240" s="771"/>
      <c r="F240" s="457" t="s">
        <v>6080</v>
      </c>
      <c r="G240" s="778">
        <v>6</v>
      </c>
      <c r="H240" s="801" t="str">
        <f t="shared" si="4"/>
        <v>6</v>
      </c>
      <c r="I240" s="778">
        <v>6</v>
      </c>
      <c r="J240" s="801" t="str">
        <f t="shared" si="3"/>
        <v>6</v>
      </c>
      <c r="K240" s="778">
        <v>0</v>
      </c>
      <c r="L240" s="460"/>
      <c r="M240" s="778">
        <v>0</v>
      </c>
      <c r="N240" s="455"/>
      <c r="O240" s="778" t="b">
        <v>0</v>
      </c>
      <c r="P240" s="460"/>
    </row>
    <row r="241" spans="1:16">
      <c r="A241" s="456"/>
      <c r="B241" s="771"/>
      <c r="C241" s="768" t="s">
        <v>10061</v>
      </c>
      <c r="D241" s="770" t="s">
        <v>6460</v>
      </c>
      <c r="E241" s="771"/>
      <c r="F241" s="457" t="s">
        <v>6461</v>
      </c>
      <c r="G241" s="778">
        <v>10</v>
      </c>
      <c r="H241" s="801" t="str">
        <f t="shared" si="4"/>
        <v>10</v>
      </c>
      <c r="I241" s="778">
        <v>10</v>
      </c>
      <c r="J241" s="801" t="str">
        <f t="shared" si="3"/>
        <v>10</v>
      </c>
      <c r="K241" s="778">
        <v>0</v>
      </c>
      <c r="L241" s="460"/>
      <c r="M241" s="778">
        <v>0</v>
      </c>
      <c r="N241" s="455"/>
      <c r="O241" s="778" t="b">
        <v>0</v>
      </c>
      <c r="P241" s="460"/>
    </row>
    <row r="242" spans="1:16">
      <c r="A242" s="456"/>
      <c r="B242" s="771"/>
      <c r="C242" s="768" t="s">
        <v>10062</v>
      </c>
      <c r="D242" s="770" t="s">
        <v>6460</v>
      </c>
      <c r="E242" s="771"/>
      <c r="F242" s="457" t="s">
        <v>6462</v>
      </c>
      <c r="G242" s="778">
        <v>10</v>
      </c>
      <c r="H242" s="801" t="str">
        <f t="shared" si="4"/>
        <v>10</v>
      </c>
      <c r="I242" s="778">
        <v>10</v>
      </c>
      <c r="J242" s="801" t="str">
        <f t="shared" si="3"/>
        <v>10</v>
      </c>
      <c r="K242" s="778">
        <v>0</v>
      </c>
      <c r="L242" s="460"/>
      <c r="M242" s="778">
        <v>0</v>
      </c>
      <c r="N242" s="455"/>
      <c r="O242" s="778" t="b">
        <v>0</v>
      </c>
      <c r="P242" s="460"/>
    </row>
    <row r="243" spans="1:16">
      <c r="A243" s="456"/>
      <c r="B243" s="771"/>
      <c r="C243" s="768" t="s">
        <v>10063</v>
      </c>
      <c r="D243" s="770" t="s">
        <v>6460</v>
      </c>
      <c r="E243" s="771"/>
      <c r="F243" s="457" t="s">
        <v>6463</v>
      </c>
      <c r="G243" s="778">
        <v>10</v>
      </c>
      <c r="H243" s="801" t="str">
        <f t="shared" si="4"/>
        <v>10</v>
      </c>
      <c r="I243" s="778">
        <v>10</v>
      </c>
      <c r="J243" s="801" t="str">
        <f t="shared" si="3"/>
        <v>10</v>
      </c>
      <c r="K243" s="778">
        <v>0</v>
      </c>
      <c r="L243" s="460"/>
      <c r="M243" s="778">
        <v>0</v>
      </c>
      <c r="N243" s="455"/>
      <c r="O243" s="778" t="b">
        <v>0</v>
      </c>
      <c r="P243" s="460"/>
    </row>
    <row r="244" spans="1:16">
      <c r="A244" s="456"/>
      <c r="B244" s="771"/>
      <c r="C244" s="768" t="s">
        <v>10064</v>
      </c>
      <c r="D244" s="770" t="s">
        <v>5733</v>
      </c>
      <c r="E244" s="771"/>
      <c r="F244" s="457" t="s">
        <v>6464</v>
      </c>
      <c r="G244" s="778">
        <v>2</v>
      </c>
      <c r="H244" s="801" t="str">
        <f t="shared" si="4"/>
        <v>2</v>
      </c>
      <c r="I244" s="778">
        <v>2</v>
      </c>
      <c r="J244" s="801" t="str">
        <f t="shared" si="3"/>
        <v>2</v>
      </c>
      <c r="K244" s="778">
        <v>0</v>
      </c>
      <c r="L244" s="460"/>
      <c r="M244" s="778">
        <v>0</v>
      </c>
      <c r="N244" s="455"/>
      <c r="O244" s="778" t="b">
        <v>0</v>
      </c>
      <c r="P244" s="460"/>
    </row>
    <row r="245" spans="1:16">
      <c r="A245" s="456"/>
      <c r="B245" s="771"/>
      <c r="C245" s="768" t="s">
        <v>10069</v>
      </c>
      <c r="D245" s="770" t="s">
        <v>5651</v>
      </c>
      <c r="E245" s="771"/>
      <c r="F245" s="457" t="s">
        <v>6472</v>
      </c>
      <c r="G245" s="778">
        <v>4</v>
      </c>
      <c r="H245" s="801" t="str">
        <f t="shared" si="4"/>
        <v>4</v>
      </c>
      <c r="I245" s="778">
        <v>4</v>
      </c>
      <c r="J245" s="801" t="str">
        <f t="shared" si="3"/>
        <v>4</v>
      </c>
      <c r="K245" s="778">
        <v>1</v>
      </c>
      <c r="L245" s="460"/>
      <c r="M245" s="778">
        <v>0</v>
      </c>
      <c r="N245" s="455"/>
      <c r="O245" s="778" t="b">
        <v>0</v>
      </c>
      <c r="P245" s="460"/>
    </row>
    <row r="246" spans="1:16">
      <c r="A246" s="456"/>
      <c r="B246" s="771"/>
      <c r="C246" s="768" t="s">
        <v>10070</v>
      </c>
      <c r="D246" s="770" t="s">
        <v>5528</v>
      </c>
      <c r="E246" s="771"/>
      <c r="F246" s="457" t="s">
        <v>6473</v>
      </c>
      <c r="G246" s="778">
        <v>6</v>
      </c>
      <c r="H246" s="801" t="str">
        <f t="shared" si="4"/>
        <v>6</v>
      </c>
      <c r="I246" s="778">
        <v>6</v>
      </c>
      <c r="J246" s="801" t="str">
        <f t="shared" si="3"/>
        <v>6</v>
      </c>
      <c r="K246" s="778">
        <v>1</v>
      </c>
      <c r="L246" s="460"/>
      <c r="M246" s="778">
        <v>0</v>
      </c>
      <c r="N246" s="455"/>
      <c r="O246" s="778" t="b">
        <v>0</v>
      </c>
      <c r="P246" s="460"/>
    </row>
    <row r="247" spans="1:16">
      <c r="A247" s="456"/>
      <c r="B247" s="771"/>
      <c r="C247" s="768" t="s">
        <v>10076</v>
      </c>
      <c r="D247" s="770" t="s">
        <v>5733</v>
      </c>
      <c r="E247" s="771"/>
      <c r="F247" s="465" t="s">
        <v>6482</v>
      </c>
      <c r="G247" s="778">
        <v>2</v>
      </c>
      <c r="H247" s="801" t="str">
        <f t="shared" si="4"/>
        <v>2</v>
      </c>
      <c r="I247" s="778">
        <v>2</v>
      </c>
      <c r="J247" s="801" t="str">
        <f t="shared" si="3"/>
        <v>2</v>
      </c>
      <c r="K247" s="778">
        <v>1</v>
      </c>
      <c r="L247" s="460"/>
      <c r="M247" s="778">
        <v>0</v>
      </c>
      <c r="N247" s="455"/>
      <c r="O247" s="778" t="b">
        <v>0</v>
      </c>
      <c r="P247" s="460"/>
    </row>
    <row r="248" spans="1:16">
      <c r="A248" s="456"/>
      <c r="B248" s="771"/>
      <c r="C248" s="768" t="s">
        <v>10077</v>
      </c>
      <c r="D248" s="770" t="s">
        <v>5733</v>
      </c>
      <c r="E248" s="771"/>
      <c r="F248" s="457" t="s">
        <v>6483</v>
      </c>
      <c r="G248" s="778">
        <v>2</v>
      </c>
      <c r="H248" s="801" t="str">
        <f t="shared" si="4"/>
        <v>2</v>
      </c>
      <c r="I248" s="778">
        <v>2</v>
      </c>
      <c r="J248" s="801" t="str">
        <f t="shared" si="3"/>
        <v>2</v>
      </c>
      <c r="K248" s="778">
        <v>1</v>
      </c>
      <c r="L248" s="460"/>
      <c r="M248" s="778">
        <v>0</v>
      </c>
      <c r="N248" s="455"/>
      <c r="O248" s="778" t="b">
        <v>0</v>
      </c>
      <c r="P248" s="460"/>
    </row>
    <row r="249" spans="1:16">
      <c r="A249" s="456"/>
      <c r="B249" s="771"/>
      <c r="C249" s="768" t="s">
        <v>10092</v>
      </c>
      <c r="D249" s="770">
        <v>6</v>
      </c>
      <c r="E249" s="771"/>
      <c r="F249" s="457" t="s">
        <v>6507</v>
      </c>
      <c r="G249" s="778">
        <v>6</v>
      </c>
      <c r="H249" s="460">
        <f t="shared" si="4"/>
        <v>6</v>
      </c>
      <c r="I249" s="778">
        <v>6</v>
      </c>
      <c r="J249" s="460">
        <f t="shared" si="3"/>
        <v>6</v>
      </c>
      <c r="K249" s="778">
        <v>1</v>
      </c>
      <c r="L249" s="460"/>
      <c r="M249" s="778">
        <v>0</v>
      </c>
      <c r="N249" s="455"/>
      <c r="O249" s="778" t="b">
        <v>0</v>
      </c>
      <c r="P249" s="460"/>
    </row>
    <row r="250" spans="1:16">
      <c r="A250" s="456"/>
      <c r="B250" s="771"/>
      <c r="C250" s="768" t="s">
        <v>10079</v>
      </c>
      <c r="D250" s="770" t="s">
        <v>6468</v>
      </c>
      <c r="E250" s="771"/>
      <c r="F250" s="457" t="s">
        <v>6487</v>
      </c>
      <c r="G250" s="778">
        <v>3</v>
      </c>
      <c r="H250" s="460" t="str">
        <f t="shared" si="4"/>
        <v>3</v>
      </c>
      <c r="I250" s="778">
        <v>3</v>
      </c>
      <c r="J250" s="460" t="str">
        <f t="shared" si="3"/>
        <v>3</v>
      </c>
      <c r="K250" s="778">
        <v>1</v>
      </c>
      <c r="L250" s="460"/>
      <c r="M250" s="778">
        <v>0</v>
      </c>
      <c r="N250" s="455"/>
      <c r="O250" s="778" t="b">
        <v>0</v>
      </c>
      <c r="P250" s="460"/>
    </row>
    <row r="251" spans="1:16">
      <c r="A251" s="456"/>
      <c r="B251" s="771"/>
      <c r="C251" s="768" t="s">
        <v>10080</v>
      </c>
      <c r="D251" s="770" t="s">
        <v>5651</v>
      </c>
      <c r="E251" s="771"/>
      <c r="F251" s="457" t="s">
        <v>6488</v>
      </c>
      <c r="G251" s="778">
        <v>4</v>
      </c>
      <c r="H251" s="460" t="str">
        <f t="shared" si="4"/>
        <v>4</v>
      </c>
      <c r="I251" s="778">
        <v>4</v>
      </c>
      <c r="J251" s="460" t="str">
        <f t="shared" si="3"/>
        <v>4</v>
      </c>
      <c r="K251" s="778">
        <v>1</v>
      </c>
      <c r="L251" s="460"/>
      <c r="M251" s="778">
        <v>0</v>
      </c>
      <c r="N251" s="455"/>
      <c r="O251" s="778" t="b">
        <v>0</v>
      </c>
      <c r="P251" s="460"/>
    </row>
    <row r="252" spans="1:16">
      <c r="A252" s="456"/>
      <c r="B252" s="771"/>
      <c r="C252" s="768" t="s">
        <v>10081</v>
      </c>
      <c r="D252" s="770" t="s">
        <v>5733</v>
      </c>
      <c r="E252" s="771"/>
      <c r="F252" s="457" t="s">
        <v>6489</v>
      </c>
      <c r="G252" s="778">
        <v>2</v>
      </c>
      <c r="H252" s="460" t="str">
        <f t="shared" si="4"/>
        <v>2</v>
      </c>
      <c r="I252" s="778">
        <v>2</v>
      </c>
      <c r="J252" s="460" t="str">
        <f t="shared" si="3"/>
        <v>2</v>
      </c>
      <c r="K252" s="778">
        <v>1</v>
      </c>
      <c r="L252" s="460"/>
      <c r="M252" s="778">
        <v>0</v>
      </c>
      <c r="N252" s="455"/>
      <c r="O252" s="778" t="b">
        <v>0</v>
      </c>
      <c r="P252" s="460"/>
    </row>
    <row r="253" spans="1:16">
      <c r="A253" s="456"/>
      <c r="B253" s="771"/>
      <c r="C253" s="768" t="s">
        <v>10082</v>
      </c>
      <c r="D253" s="770" t="s">
        <v>5733</v>
      </c>
      <c r="E253" s="771"/>
      <c r="F253" s="457" t="s">
        <v>6490</v>
      </c>
      <c r="G253" s="778">
        <v>2</v>
      </c>
      <c r="H253" s="460" t="str">
        <f t="shared" si="4"/>
        <v>2</v>
      </c>
      <c r="I253" s="778">
        <v>2</v>
      </c>
      <c r="J253" s="460" t="str">
        <f t="shared" si="3"/>
        <v>2</v>
      </c>
      <c r="K253" s="778">
        <v>1</v>
      </c>
      <c r="L253" s="460"/>
      <c r="M253" s="778">
        <v>0</v>
      </c>
      <c r="N253" s="455"/>
      <c r="O253" s="778" t="b">
        <v>0</v>
      </c>
      <c r="P253" s="460"/>
    </row>
    <row r="254" spans="1:16">
      <c r="A254" s="456"/>
      <c r="B254" s="771"/>
      <c r="C254" s="768" t="s">
        <v>10083</v>
      </c>
      <c r="D254" s="770" t="s">
        <v>6476</v>
      </c>
      <c r="E254" s="771"/>
      <c r="F254" s="457" t="s">
        <v>6491</v>
      </c>
      <c r="G254" s="778">
        <v>8</v>
      </c>
      <c r="H254" s="460" t="str">
        <f t="shared" si="4"/>
        <v>8</v>
      </c>
      <c r="I254" s="778">
        <v>8</v>
      </c>
      <c r="J254" s="460" t="str">
        <f t="shared" si="3"/>
        <v>8</v>
      </c>
      <c r="K254" s="778">
        <v>1</v>
      </c>
      <c r="L254" s="460"/>
      <c r="M254" s="778">
        <v>0</v>
      </c>
      <c r="N254" s="455"/>
      <c r="O254" s="778" t="b">
        <v>0</v>
      </c>
      <c r="P254" s="460"/>
    </row>
    <row r="255" spans="1:16">
      <c r="A255" s="456"/>
      <c r="B255" s="771"/>
      <c r="C255" s="768" t="s">
        <v>10084</v>
      </c>
      <c r="D255" s="770" t="s">
        <v>5651</v>
      </c>
      <c r="E255" s="771"/>
      <c r="F255" s="457" t="s">
        <v>6492</v>
      </c>
      <c r="G255" s="778">
        <v>4</v>
      </c>
      <c r="H255" s="460" t="str">
        <f t="shared" si="4"/>
        <v>4</v>
      </c>
      <c r="I255" s="778">
        <v>4</v>
      </c>
      <c r="J255" s="460" t="str">
        <f t="shared" si="3"/>
        <v>4</v>
      </c>
      <c r="K255" s="778">
        <v>1</v>
      </c>
      <c r="L255" s="460"/>
      <c r="M255" s="778">
        <v>0</v>
      </c>
      <c r="N255" s="455"/>
      <c r="O255" s="778" t="b">
        <v>0</v>
      </c>
      <c r="P255" s="460"/>
    </row>
    <row r="256" spans="1:16">
      <c r="A256" s="456"/>
      <c r="B256" s="771"/>
      <c r="C256" s="768" t="s">
        <v>10085</v>
      </c>
      <c r="D256" s="770" t="s">
        <v>6493</v>
      </c>
      <c r="E256" s="771"/>
      <c r="F256" s="457" t="s">
        <v>6494</v>
      </c>
      <c r="G256" s="778">
        <v>1</v>
      </c>
      <c r="H256" s="460" t="str">
        <f t="shared" si="4"/>
        <v>1</v>
      </c>
      <c r="I256" s="778">
        <v>1</v>
      </c>
      <c r="J256" s="460" t="str">
        <f t="shared" si="3"/>
        <v>1</v>
      </c>
      <c r="K256" s="778">
        <v>1</v>
      </c>
      <c r="L256" s="460"/>
      <c r="M256" s="778">
        <v>0</v>
      </c>
      <c r="N256" s="455"/>
      <c r="O256" s="778" t="b">
        <v>0</v>
      </c>
      <c r="P256" s="460"/>
    </row>
    <row r="257" spans="1:16">
      <c r="A257" s="456"/>
      <c r="B257" s="771"/>
      <c r="C257" s="768" t="s">
        <v>10086</v>
      </c>
      <c r="D257" s="770" t="s">
        <v>6493</v>
      </c>
      <c r="E257" s="771"/>
      <c r="F257" s="457" t="s">
        <v>6495</v>
      </c>
      <c r="G257" s="778">
        <v>1</v>
      </c>
      <c r="H257" s="460" t="str">
        <f t="shared" si="4"/>
        <v>1</v>
      </c>
      <c r="I257" s="778">
        <v>1</v>
      </c>
      <c r="J257" s="460" t="str">
        <f t="shared" si="3"/>
        <v>1</v>
      </c>
      <c r="K257" s="778">
        <v>1</v>
      </c>
      <c r="L257" s="460"/>
      <c r="M257" s="778">
        <v>0</v>
      </c>
      <c r="N257" s="455"/>
      <c r="O257" s="778" t="b">
        <v>0</v>
      </c>
      <c r="P257" s="460"/>
    </row>
    <row r="258" spans="1:16">
      <c r="A258" s="456"/>
      <c r="B258" s="771"/>
      <c r="C258" s="768" t="s">
        <v>10089</v>
      </c>
      <c r="D258" s="770" t="s">
        <v>5528</v>
      </c>
      <c r="E258" s="771"/>
      <c r="F258" s="457" t="s">
        <v>9007</v>
      </c>
      <c r="G258" s="778">
        <v>6</v>
      </c>
      <c r="H258" s="460" t="str">
        <f t="shared" si="4"/>
        <v>6</v>
      </c>
      <c r="I258" s="778">
        <v>6</v>
      </c>
      <c r="J258" s="460" t="str">
        <f t="shared" si="3"/>
        <v>6</v>
      </c>
      <c r="K258" s="778">
        <v>1</v>
      </c>
      <c r="L258" s="460"/>
      <c r="M258" s="778">
        <v>0</v>
      </c>
      <c r="N258" s="455"/>
      <c r="O258" s="778" t="b">
        <v>0</v>
      </c>
      <c r="P258" s="460"/>
    </row>
    <row r="259" spans="1:16">
      <c r="A259" s="456"/>
      <c r="B259" s="771"/>
      <c r="C259" s="768" t="s">
        <v>10093</v>
      </c>
      <c r="D259" s="770">
        <v>3</v>
      </c>
      <c r="E259" s="771"/>
      <c r="F259" s="457" t="s">
        <v>6508</v>
      </c>
      <c r="G259" s="778">
        <v>3</v>
      </c>
      <c r="H259" s="460">
        <f t="shared" si="4"/>
        <v>3</v>
      </c>
      <c r="I259" s="778">
        <v>3</v>
      </c>
      <c r="J259" s="460">
        <f t="shared" si="3"/>
        <v>3</v>
      </c>
      <c r="K259" s="778">
        <v>0</v>
      </c>
      <c r="L259" s="460"/>
      <c r="M259" s="778">
        <v>0</v>
      </c>
      <c r="N259" s="455"/>
      <c r="O259" s="778" t="b">
        <v>0</v>
      </c>
      <c r="P259" s="460"/>
    </row>
    <row r="260" spans="1:16">
      <c r="A260" s="456"/>
      <c r="B260" s="771"/>
      <c r="C260" s="768" t="s">
        <v>10232</v>
      </c>
      <c r="D260" s="770" t="s">
        <v>7754</v>
      </c>
      <c r="E260" s="771"/>
      <c r="F260" s="457" t="s">
        <v>7863</v>
      </c>
      <c r="G260" s="778">
        <v>4</v>
      </c>
      <c r="H260" s="460" t="str">
        <f t="shared" si="4"/>
        <v>4</v>
      </c>
      <c r="I260" s="778">
        <v>4</v>
      </c>
      <c r="J260" s="460" t="str">
        <f t="shared" si="3"/>
        <v>4</v>
      </c>
      <c r="K260" s="778">
        <v>0</v>
      </c>
      <c r="L260" s="460"/>
      <c r="M260" s="778">
        <v>0</v>
      </c>
      <c r="N260" s="455"/>
      <c r="O260" s="778" t="b">
        <v>0</v>
      </c>
      <c r="P260" s="460"/>
    </row>
    <row r="261" spans="1:16">
      <c r="A261" s="456"/>
      <c r="B261" s="771"/>
      <c r="C261" s="768" t="s">
        <v>10233</v>
      </c>
      <c r="D261" s="770" t="s">
        <v>7698</v>
      </c>
      <c r="E261" s="771"/>
      <c r="F261" s="457" t="s">
        <v>7864</v>
      </c>
      <c r="G261" s="778">
        <v>2</v>
      </c>
      <c r="H261" s="455" t="str">
        <f t="shared" si="4"/>
        <v>2</v>
      </c>
      <c r="I261" s="778">
        <v>2</v>
      </c>
      <c r="J261" s="460" t="str">
        <f t="shared" ref="J261:J324" si="5">H261</f>
        <v>2</v>
      </c>
      <c r="K261" s="778">
        <v>0</v>
      </c>
      <c r="L261" s="460"/>
      <c r="M261" s="778">
        <v>0</v>
      </c>
      <c r="N261" s="455"/>
      <c r="O261" s="778" t="b">
        <v>0</v>
      </c>
      <c r="P261" s="460"/>
    </row>
    <row r="262" spans="1:16">
      <c r="A262" s="456"/>
      <c r="B262" s="771"/>
      <c r="C262" s="768" t="s">
        <v>10234</v>
      </c>
      <c r="D262" s="770" t="s">
        <v>7704</v>
      </c>
      <c r="E262" s="771"/>
      <c r="F262" s="457" t="s">
        <v>7865</v>
      </c>
      <c r="G262" s="778">
        <v>6</v>
      </c>
      <c r="H262" s="455" t="str">
        <f t="shared" si="4"/>
        <v>6</v>
      </c>
      <c r="I262" s="778">
        <v>6</v>
      </c>
      <c r="J262" s="460" t="str">
        <f t="shared" si="5"/>
        <v>6</v>
      </c>
      <c r="K262" s="778">
        <v>0</v>
      </c>
      <c r="L262" s="460"/>
      <c r="M262" s="778">
        <v>0</v>
      </c>
      <c r="N262" s="455"/>
      <c r="O262" s="778" t="b">
        <v>0</v>
      </c>
      <c r="P262" s="460"/>
    </row>
    <row r="263" spans="1:16">
      <c r="A263" s="456"/>
      <c r="B263" s="771"/>
      <c r="C263" s="768" t="s">
        <v>10235</v>
      </c>
      <c r="D263" s="770" t="s">
        <v>7704</v>
      </c>
      <c r="E263" s="771"/>
      <c r="F263" s="465" t="s">
        <v>7866</v>
      </c>
      <c r="G263" s="778">
        <v>6</v>
      </c>
      <c r="H263" s="455" t="str">
        <f t="shared" si="4"/>
        <v>6</v>
      </c>
      <c r="I263" s="778">
        <v>6</v>
      </c>
      <c r="J263" s="460" t="str">
        <f t="shared" si="5"/>
        <v>6</v>
      </c>
      <c r="K263" s="778">
        <v>0</v>
      </c>
      <c r="L263" s="460"/>
      <c r="M263" s="778">
        <v>0</v>
      </c>
      <c r="N263" s="455"/>
      <c r="O263" s="778" t="b">
        <v>0</v>
      </c>
      <c r="P263" s="460"/>
    </row>
    <row r="264" spans="1:16">
      <c r="A264" s="456"/>
      <c r="B264" s="771"/>
      <c r="C264" s="768" t="s">
        <v>10236</v>
      </c>
      <c r="D264" s="770" t="s">
        <v>7704</v>
      </c>
      <c r="E264" s="771"/>
      <c r="F264" s="457" t="s">
        <v>7867</v>
      </c>
      <c r="G264" s="778">
        <v>6</v>
      </c>
      <c r="H264" s="455" t="str">
        <f t="shared" si="4"/>
        <v>6</v>
      </c>
      <c r="I264" s="778">
        <v>6</v>
      </c>
      <c r="J264" s="460" t="str">
        <f t="shared" si="5"/>
        <v>6</v>
      </c>
      <c r="K264" s="778">
        <v>0</v>
      </c>
      <c r="L264" s="460"/>
      <c r="M264" s="778">
        <v>0</v>
      </c>
      <c r="N264" s="455"/>
      <c r="O264" s="778" t="b">
        <v>0</v>
      </c>
      <c r="P264" s="460"/>
    </row>
    <row r="265" spans="1:16">
      <c r="A265" s="456"/>
      <c r="B265" s="771"/>
      <c r="C265" s="768" t="s">
        <v>10239</v>
      </c>
      <c r="D265" s="770">
        <v>10</v>
      </c>
      <c r="E265" s="771"/>
      <c r="F265" s="457" t="s">
        <v>8178</v>
      </c>
      <c r="G265" s="778">
        <v>10</v>
      </c>
      <c r="H265" s="455">
        <f t="shared" si="4"/>
        <v>10</v>
      </c>
      <c r="I265" s="778">
        <v>10</v>
      </c>
      <c r="J265" s="460">
        <f t="shared" si="5"/>
        <v>10</v>
      </c>
      <c r="K265" s="778">
        <v>0</v>
      </c>
      <c r="L265" s="460"/>
      <c r="M265" s="778">
        <v>0</v>
      </c>
      <c r="N265" s="455"/>
      <c r="O265" s="778" t="b">
        <v>0</v>
      </c>
      <c r="P265" s="460"/>
    </row>
    <row r="266" spans="1:16">
      <c r="A266" s="456"/>
      <c r="B266" s="771"/>
      <c r="C266" s="768" t="s">
        <v>10240</v>
      </c>
      <c r="D266" s="770">
        <v>10</v>
      </c>
      <c r="E266" s="771"/>
      <c r="F266" s="457" t="s">
        <v>8119</v>
      </c>
      <c r="G266" s="778">
        <v>10</v>
      </c>
      <c r="H266" s="455">
        <f t="shared" si="4"/>
        <v>10</v>
      </c>
      <c r="I266" s="778">
        <v>10</v>
      </c>
      <c r="J266" s="460">
        <f t="shared" si="5"/>
        <v>10</v>
      </c>
      <c r="K266" s="778">
        <v>0</v>
      </c>
      <c r="L266" s="460"/>
      <c r="M266" s="778">
        <v>0</v>
      </c>
      <c r="N266" s="455"/>
      <c r="O266" s="778" t="b">
        <v>0</v>
      </c>
      <c r="P266" s="460"/>
    </row>
    <row r="267" spans="1:16">
      <c r="A267" s="456"/>
      <c r="B267" s="771"/>
      <c r="C267" s="768" t="s">
        <v>10241</v>
      </c>
      <c r="D267" s="770">
        <v>10</v>
      </c>
      <c r="E267" s="771"/>
      <c r="F267" s="457" t="s">
        <v>8133</v>
      </c>
      <c r="G267" s="778">
        <v>10</v>
      </c>
      <c r="H267" s="455">
        <f t="shared" si="4"/>
        <v>10</v>
      </c>
      <c r="I267" s="778">
        <v>10</v>
      </c>
      <c r="J267" s="460">
        <f t="shared" si="5"/>
        <v>10</v>
      </c>
      <c r="K267" s="778">
        <v>0</v>
      </c>
      <c r="L267" s="460"/>
      <c r="M267" s="778">
        <v>0</v>
      </c>
      <c r="N267" s="455"/>
      <c r="O267" s="778" t="b">
        <v>0</v>
      </c>
      <c r="P267" s="460"/>
    </row>
    <row r="268" spans="1:16">
      <c r="A268" s="456"/>
      <c r="B268" s="771"/>
      <c r="C268" s="768" t="s">
        <v>10242</v>
      </c>
      <c r="D268" s="770">
        <v>2</v>
      </c>
      <c r="E268" s="771"/>
      <c r="F268" s="457" t="s">
        <v>8187</v>
      </c>
      <c r="G268" s="778">
        <v>2</v>
      </c>
      <c r="H268" s="455">
        <f t="shared" si="4"/>
        <v>2</v>
      </c>
      <c r="I268" s="778">
        <v>2</v>
      </c>
      <c r="J268" s="460">
        <f t="shared" si="5"/>
        <v>2</v>
      </c>
      <c r="K268" s="778">
        <v>0</v>
      </c>
      <c r="L268" s="460"/>
      <c r="M268" s="778">
        <v>0</v>
      </c>
      <c r="N268" s="455"/>
      <c r="O268" s="778" t="b">
        <v>0</v>
      </c>
      <c r="P268" s="460"/>
    </row>
    <row r="269" spans="1:16">
      <c r="A269" s="456"/>
      <c r="B269" s="771"/>
      <c r="C269" s="768" t="s">
        <v>10243</v>
      </c>
      <c r="D269" s="770">
        <v>4</v>
      </c>
      <c r="E269" s="771"/>
      <c r="F269" s="457" t="s">
        <v>8135</v>
      </c>
      <c r="G269" s="778">
        <v>4</v>
      </c>
      <c r="H269" s="455">
        <f t="shared" si="4"/>
        <v>4</v>
      </c>
      <c r="I269" s="778">
        <v>4</v>
      </c>
      <c r="J269" s="460">
        <f t="shared" si="5"/>
        <v>4</v>
      </c>
      <c r="K269" s="778">
        <v>0</v>
      </c>
      <c r="L269" s="460"/>
      <c r="M269" s="778">
        <v>0</v>
      </c>
      <c r="N269" s="455"/>
      <c r="O269" s="778" t="b">
        <v>0</v>
      </c>
      <c r="P269" s="460"/>
    </row>
    <row r="270" spans="1:16">
      <c r="A270" s="456"/>
      <c r="B270" s="771"/>
      <c r="C270" s="768" t="s">
        <v>10244</v>
      </c>
      <c r="D270" s="770">
        <v>8</v>
      </c>
      <c r="E270" s="771"/>
      <c r="F270" s="457" t="s">
        <v>8166</v>
      </c>
      <c r="G270" s="778">
        <v>8</v>
      </c>
      <c r="H270" s="455">
        <f t="shared" si="4"/>
        <v>8</v>
      </c>
      <c r="I270" s="778">
        <v>8</v>
      </c>
      <c r="J270" s="460">
        <f t="shared" si="5"/>
        <v>8</v>
      </c>
      <c r="K270" s="778">
        <v>0</v>
      </c>
      <c r="L270" s="460"/>
      <c r="M270" s="778">
        <v>0</v>
      </c>
      <c r="N270" s="455"/>
      <c r="O270" s="778" t="b">
        <v>0</v>
      </c>
      <c r="P270" s="460"/>
    </row>
    <row r="271" spans="1:16">
      <c r="A271" s="456"/>
      <c r="B271" s="771"/>
      <c r="C271" s="768" t="s">
        <v>10245</v>
      </c>
      <c r="D271" s="770">
        <v>10</v>
      </c>
      <c r="E271" s="771"/>
      <c r="F271" s="457" t="s">
        <v>8150</v>
      </c>
      <c r="G271" s="778">
        <v>10</v>
      </c>
      <c r="H271" s="455">
        <f t="shared" si="4"/>
        <v>10</v>
      </c>
      <c r="I271" s="778">
        <v>10</v>
      </c>
      <c r="J271" s="460">
        <f t="shared" si="5"/>
        <v>10</v>
      </c>
      <c r="K271" s="778">
        <v>0</v>
      </c>
      <c r="L271" s="460"/>
      <c r="M271" s="778">
        <v>0</v>
      </c>
      <c r="N271" s="455"/>
      <c r="O271" s="778" t="b">
        <v>0</v>
      </c>
      <c r="P271" s="460"/>
    </row>
    <row r="272" spans="1:16">
      <c r="A272" s="456"/>
      <c r="B272" s="771"/>
      <c r="C272" s="768" t="s">
        <v>10246</v>
      </c>
      <c r="D272" s="770">
        <v>10</v>
      </c>
      <c r="E272" s="771"/>
      <c r="F272" s="457" t="s">
        <v>8144</v>
      </c>
      <c r="G272" s="778">
        <v>10</v>
      </c>
      <c r="H272" s="455">
        <f t="shared" si="4"/>
        <v>10</v>
      </c>
      <c r="I272" s="778">
        <v>10</v>
      </c>
      <c r="J272" s="460">
        <f t="shared" si="5"/>
        <v>10</v>
      </c>
      <c r="K272" s="778">
        <v>0</v>
      </c>
      <c r="L272" s="460"/>
      <c r="M272" s="778">
        <v>0</v>
      </c>
      <c r="N272" s="455"/>
      <c r="O272" s="778" t="b">
        <v>0</v>
      </c>
      <c r="P272" s="460"/>
    </row>
    <row r="273" spans="1:16">
      <c r="A273" s="456"/>
      <c r="B273" s="771"/>
      <c r="C273" s="768" t="s">
        <v>10196</v>
      </c>
      <c r="D273" s="770" t="s">
        <v>6012</v>
      </c>
      <c r="E273" s="771"/>
      <c r="F273" s="457" t="s">
        <v>7901</v>
      </c>
      <c r="G273" s="778">
        <v>8</v>
      </c>
      <c r="H273" s="455" t="str">
        <f t="shared" si="4"/>
        <v>8</v>
      </c>
      <c r="I273" s="778">
        <v>8</v>
      </c>
      <c r="J273" s="460" t="str">
        <f t="shared" si="5"/>
        <v>8</v>
      </c>
      <c r="K273" s="778">
        <v>0</v>
      </c>
      <c r="L273" s="460"/>
      <c r="M273" s="778">
        <v>0</v>
      </c>
      <c r="N273" s="455"/>
      <c r="O273" s="778" t="b">
        <v>0</v>
      </c>
      <c r="P273" s="460"/>
    </row>
    <row r="274" spans="1:16">
      <c r="A274" s="456"/>
      <c r="B274" s="771"/>
      <c r="C274" s="768" t="s">
        <v>10197</v>
      </c>
      <c r="D274" s="770" t="s">
        <v>5590</v>
      </c>
      <c r="E274" s="771"/>
      <c r="F274" s="457" t="s">
        <v>7822</v>
      </c>
      <c r="G274" s="778">
        <v>12</v>
      </c>
      <c r="H274" s="455" t="str">
        <f t="shared" si="4"/>
        <v>12</v>
      </c>
      <c r="I274" s="778">
        <v>12</v>
      </c>
      <c r="J274" s="460" t="str">
        <f t="shared" si="5"/>
        <v>12</v>
      </c>
      <c r="K274" s="778">
        <v>0</v>
      </c>
      <c r="L274" s="460"/>
      <c r="M274" s="778">
        <v>0</v>
      </c>
      <c r="N274" s="455"/>
      <c r="O274" s="778" t="b">
        <v>0</v>
      </c>
      <c r="P274" s="460"/>
    </row>
    <row r="275" spans="1:16">
      <c r="A275" s="456"/>
      <c r="B275" s="771"/>
      <c r="C275" s="768" t="s">
        <v>10198</v>
      </c>
      <c r="D275" s="770" t="s">
        <v>5590</v>
      </c>
      <c r="E275" s="771"/>
      <c r="F275" s="457" t="s">
        <v>7823</v>
      </c>
      <c r="G275" s="778">
        <v>12</v>
      </c>
      <c r="H275" s="455" t="str">
        <f t="shared" si="4"/>
        <v>12</v>
      </c>
      <c r="I275" s="778">
        <v>12</v>
      </c>
      <c r="J275" s="460" t="str">
        <f t="shared" si="5"/>
        <v>12</v>
      </c>
      <c r="K275" s="778">
        <v>0</v>
      </c>
      <c r="L275" s="460"/>
      <c r="M275" s="778">
        <v>0</v>
      </c>
      <c r="N275" s="455"/>
      <c r="O275" s="778" t="b">
        <v>0</v>
      </c>
      <c r="P275" s="460"/>
    </row>
    <row r="276" spans="1:16">
      <c r="A276" s="456"/>
      <c r="B276" s="771"/>
      <c r="C276" s="768" t="s">
        <v>10199</v>
      </c>
      <c r="D276" s="770" t="s">
        <v>6012</v>
      </c>
      <c r="E276" s="771"/>
      <c r="F276" s="457" t="s">
        <v>7824</v>
      </c>
      <c r="G276" s="778">
        <v>8</v>
      </c>
      <c r="H276" s="460" t="str">
        <f t="shared" si="4"/>
        <v>8</v>
      </c>
      <c r="I276" s="778">
        <v>8</v>
      </c>
      <c r="J276" s="460" t="str">
        <f t="shared" si="5"/>
        <v>8</v>
      </c>
      <c r="K276" s="778">
        <v>0</v>
      </c>
      <c r="L276" s="460"/>
      <c r="M276" s="778">
        <v>0</v>
      </c>
      <c r="N276" s="455"/>
      <c r="O276" s="778" t="b">
        <v>0</v>
      </c>
      <c r="P276" s="460"/>
    </row>
    <row r="277" spans="1:16">
      <c r="A277" s="456"/>
      <c r="B277" s="771"/>
      <c r="C277" s="768" t="s">
        <v>10200</v>
      </c>
      <c r="D277" s="770" t="s">
        <v>6012</v>
      </c>
      <c r="E277" s="771"/>
      <c r="F277" s="457" t="s">
        <v>7825</v>
      </c>
      <c r="G277" s="778">
        <v>8</v>
      </c>
      <c r="H277" s="460" t="str">
        <f t="shared" si="4"/>
        <v>8</v>
      </c>
      <c r="I277" s="778">
        <v>8</v>
      </c>
      <c r="J277" s="460" t="str">
        <f t="shared" si="5"/>
        <v>8</v>
      </c>
      <c r="K277" s="778">
        <v>0</v>
      </c>
      <c r="L277" s="460"/>
      <c r="M277" s="778">
        <v>0</v>
      </c>
      <c r="N277" s="455"/>
      <c r="O277" s="778" t="b">
        <v>0</v>
      </c>
      <c r="P277" s="460"/>
    </row>
    <row r="278" spans="1:16">
      <c r="A278" s="456"/>
      <c r="B278" s="771"/>
      <c r="C278" s="768" t="s">
        <v>10201</v>
      </c>
      <c r="D278" s="770" t="s">
        <v>7826</v>
      </c>
      <c r="E278" s="771"/>
      <c r="F278" s="457" t="s">
        <v>7827</v>
      </c>
      <c r="G278" s="778">
        <v>0.75</v>
      </c>
      <c r="H278" s="460" t="str">
        <f t="shared" si="4"/>
        <v>0.75</v>
      </c>
      <c r="I278" s="778">
        <v>0.75</v>
      </c>
      <c r="J278" s="460" t="str">
        <f t="shared" si="5"/>
        <v>0.75</v>
      </c>
      <c r="K278" s="778">
        <v>0</v>
      </c>
      <c r="L278" s="460"/>
      <c r="M278" s="778">
        <v>0</v>
      </c>
      <c r="N278" s="455"/>
      <c r="O278" s="778" t="b">
        <v>0</v>
      </c>
      <c r="P278" s="460"/>
    </row>
    <row r="279" spans="1:16">
      <c r="A279" s="456"/>
      <c r="B279" s="771"/>
      <c r="C279" s="768" t="s">
        <v>10202</v>
      </c>
      <c r="D279" s="770" t="s">
        <v>7826</v>
      </c>
      <c r="E279" s="771"/>
      <c r="F279" s="457" t="s">
        <v>7828</v>
      </c>
      <c r="G279" s="778">
        <v>0.75</v>
      </c>
      <c r="H279" s="460" t="str">
        <f t="shared" si="4"/>
        <v>0.75</v>
      </c>
      <c r="I279" s="778">
        <v>0.75</v>
      </c>
      <c r="J279" s="460" t="str">
        <f t="shared" si="5"/>
        <v>0.75</v>
      </c>
      <c r="K279" s="778">
        <v>0</v>
      </c>
      <c r="L279" s="460"/>
      <c r="M279" s="778">
        <v>0</v>
      </c>
      <c r="N279" s="455"/>
      <c r="O279" s="778" t="b">
        <v>0</v>
      </c>
      <c r="P279" s="460"/>
    </row>
    <row r="280" spans="1:16">
      <c r="A280" s="456"/>
      <c r="B280" s="771"/>
      <c r="C280" s="768" t="s">
        <v>10203</v>
      </c>
      <c r="D280" s="770" t="s">
        <v>7826</v>
      </c>
      <c r="E280" s="771"/>
      <c r="F280" s="457" t="s">
        <v>7902</v>
      </c>
      <c r="G280" s="778">
        <v>0.75</v>
      </c>
      <c r="H280" s="460" t="str">
        <f t="shared" si="4"/>
        <v>0.75</v>
      </c>
      <c r="I280" s="778">
        <v>0.75</v>
      </c>
      <c r="J280" s="460" t="str">
        <f t="shared" si="5"/>
        <v>0.75</v>
      </c>
      <c r="K280" s="778">
        <v>0</v>
      </c>
      <c r="L280" s="460"/>
      <c r="M280" s="778">
        <v>0</v>
      </c>
      <c r="N280" s="455"/>
      <c r="O280" s="778" t="b">
        <v>0</v>
      </c>
      <c r="P280" s="460"/>
    </row>
    <row r="281" spans="1:16">
      <c r="A281" s="456"/>
      <c r="B281" s="771"/>
      <c r="C281" s="768" t="s">
        <v>10247</v>
      </c>
      <c r="D281" s="770">
        <v>0.75</v>
      </c>
      <c r="E281" s="771"/>
      <c r="F281" s="457" t="s">
        <v>8194</v>
      </c>
      <c r="G281" s="778">
        <v>0.75</v>
      </c>
      <c r="H281" s="460">
        <f t="shared" si="4"/>
        <v>0.75</v>
      </c>
      <c r="I281" s="778">
        <v>0.75</v>
      </c>
      <c r="J281" s="460">
        <f t="shared" si="5"/>
        <v>0.75</v>
      </c>
      <c r="K281" s="778">
        <v>0</v>
      </c>
      <c r="L281" s="460"/>
      <c r="M281" s="778">
        <v>0</v>
      </c>
      <c r="N281" s="455"/>
      <c r="O281" s="778" t="b">
        <v>0</v>
      </c>
      <c r="P281" s="460"/>
    </row>
    <row r="282" spans="1:16">
      <c r="A282" s="456"/>
      <c r="B282" s="771"/>
      <c r="C282" s="768" t="s">
        <v>10204</v>
      </c>
      <c r="D282" s="770" t="s">
        <v>7829</v>
      </c>
      <c r="E282" s="771"/>
      <c r="F282" s="457" t="s">
        <v>7830</v>
      </c>
      <c r="G282" s="458">
        <v>3</v>
      </c>
      <c r="H282" s="460" t="str">
        <f t="shared" si="4"/>
        <v>3</v>
      </c>
      <c r="I282" s="458">
        <v>3</v>
      </c>
      <c r="J282" s="460" t="str">
        <f t="shared" si="5"/>
        <v>3</v>
      </c>
      <c r="K282" s="744">
        <v>0</v>
      </c>
      <c r="L282" s="460"/>
      <c r="M282" s="458">
        <v>0</v>
      </c>
      <c r="N282" s="455"/>
      <c r="O282" s="778" t="b">
        <v>0</v>
      </c>
      <c r="P282" s="460"/>
    </row>
    <row r="283" spans="1:16">
      <c r="A283" s="456"/>
      <c r="B283" s="771"/>
      <c r="C283" s="768" t="s">
        <v>10205</v>
      </c>
      <c r="D283" s="770" t="s">
        <v>7829</v>
      </c>
      <c r="E283" s="771"/>
      <c r="F283" s="457" t="s">
        <v>7831</v>
      </c>
      <c r="G283" s="458">
        <v>3</v>
      </c>
      <c r="H283" s="460" t="str">
        <f t="shared" si="4"/>
        <v>3</v>
      </c>
      <c r="I283" s="458">
        <v>3</v>
      </c>
      <c r="J283" s="460" t="str">
        <f t="shared" si="5"/>
        <v>3</v>
      </c>
      <c r="K283" s="744">
        <v>0</v>
      </c>
      <c r="L283" s="460"/>
      <c r="M283" s="458">
        <v>0</v>
      </c>
      <c r="N283" s="455"/>
      <c r="O283" s="778" t="b">
        <v>0</v>
      </c>
      <c r="P283" s="460"/>
    </row>
    <row r="284" spans="1:16">
      <c r="A284" s="456"/>
      <c r="B284" s="771"/>
      <c r="C284" s="768" t="s">
        <v>10206</v>
      </c>
      <c r="D284" s="770" t="s">
        <v>7829</v>
      </c>
      <c r="E284" s="771"/>
      <c r="F284" s="457" t="s">
        <v>7832</v>
      </c>
      <c r="G284" s="458">
        <v>3</v>
      </c>
      <c r="H284" s="460" t="str">
        <f t="shared" si="4"/>
        <v>3</v>
      </c>
      <c r="I284" s="458">
        <v>3</v>
      </c>
      <c r="J284" s="460" t="str">
        <f t="shared" si="5"/>
        <v>3</v>
      </c>
      <c r="K284" s="744">
        <v>0</v>
      </c>
      <c r="L284" s="460"/>
      <c r="M284" s="458">
        <v>0</v>
      </c>
      <c r="N284" s="455"/>
      <c r="O284" s="778" t="b">
        <v>0</v>
      </c>
      <c r="P284" s="460"/>
    </row>
    <row r="285" spans="1:16">
      <c r="A285" s="456"/>
      <c r="B285" s="771"/>
      <c r="C285" s="768" t="s">
        <v>10207</v>
      </c>
      <c r="D285" s="770" t="s">
        <v>7829</v>
      </c>
      <c r="E285" s="771"/>
      <c r="F285" s="457" t="s">
        <v>7833</v>
      </c>
      <c r="G285" s="778">
        <v>3</v>
      </c>
      <c r="H285" s="460" t="str">
        <f t="shared" si="4"/>
        <v>3</v>
      </c>
      <c r="I285" s="778">
        <v>3</v>
      </c>
      <c r="J285" s="460" t="str">
        <f t="shared" si="5"/>
        <v>3</v>
      </c>
      <c r="K285" s="778">
        <v>0</v>
      </c>
      <c r="L285" s="460"/>
      <c r="M285" s="778">
        <v>0</v>
      </c>
      <c r="N285" s="455"/>
      <c r="O285" s="778" t="b">
        <v>0</v>
      </c>
      <c r="P285" s="460"/>
    </row>
    <row r="286" spans="1:16">
      <c r="A286" s="456"/>
      <c r="B286" s="771"/>
      <c r="C286" s="768" t="s">
        <v>10208</v>
      </c>
      <c r="D286" s="770" t="s">
        <v>7624</v>
      </c>
      <c r="E286" s="771"/>
      <c r="F286" s="457" t="s">
        <v>7834</v>
      </c>
      <c r="G286" s="778">
        <v>2</v>
      </c>
      <c r="H286" s="455" t="str">
        <f t="shared" si="4"/>
        <v>2</v>
      </c>
      <c r="I286" s="778">
        <v>2</v>
      </c>
      <c r="J286" s="460" t="str">
        <f t="shared" si="5"/>
        <v>2</v>
      </c>
      <c r="K286" s="778">
        <v>0</v>
      </c>
      <c r="L286" s="460"/>
      <c r="M286" s="778">
        <v>0</v>
      </c>
      <c r="N286" s="455"/>
      <c r="O286" s="778" t="b">
        <v>0</v>
      </c>
      <c r="P286" s="460"/>
    </row>
    <row r="287" spans="1:16">
      <c r="A287" s="456"/>
      <c r="B287" s="771"/>
      <c r="C287" s="768" t="s">
        <v>10209</v>
      </c>
      <c r="D287" s="770" t="s">
        <v>7624</v>
      </c>
      <c r="E287" s="771"/>
      <c r="F287" s="457" t="s">
        <v>7835</v>
      </c>
      <c r="G287" s="778">
        <v>2</v>
      </c>
      <c r="H287" s="455" t="str">
        <f t="shared" si="4"/>
        <v>2</v>
      </c>
      <c r="I287" s="778">
        <v>2</v>
      </c>
      <c r="J287" s="460" t="str">
        <f t="shared" si="5"/>
        <v>2</v>
      </c>
      <c r="K287" s="778">
        <v>0</v>
      </c>
      <c r="L287" s="460"/>
      <c r="M287" s="778">
        <v>0</v>
      </c>
      <c r="N287" s="455"/>
      <c r="O287" s="778" t="b">
        <v>0</v>
      </c>
      <c r="P287" s="460"/>
    </row>
    <row r="288" spans="1:16">
      <c r="A288" s="456"/>
      <c r="B288" s="771"/>
      <c r="C288" s="768" t="s">
        <v>10215</v>
      </c>
      <c r="D288" s="770" t="s">
        <v>7826</v>
      </c>
      <c r="E288" s="771"/>
      <c r="F288" s="457" t="s">
        <v>7842</v>
      </c>
      <c r="G288" s="778">
        <v>0.75</v>
      </c>
      <c r="H288" s="455" t="str">
        <f t="shared" si="4"/>
        <v>0.75</v>
      </c>
      <c r="I288" s="778">
        <v>0.75</v>
      </c>
      <c r="J288" s="460" t="str">
        <f t="shared" si="5"/>
        <v>0.75</v>
      </c>
      <c r="K288" s="778">
        <v>0</v>
      </c>
      <c r="L288" s="460"/>
      <c r="M288" s="778">
        <v>0</v>
      </c>
      <c r="N288" s="455"/>
      <c r="O288" s="778" t="b">
        <v>0</v>
      </c>
      <c r="P288" s="460"/>
    </row>
    <row r="289" spans="1:16">
      <c r="A289" s="456"/>
      <c r="B289" s="771"/>
      <c r="C289" s="768" t="s">
        <v>10216</v>
      </c>
      <c r="D289" s="770" t="s">
        <v>7754</v>
      </c>
      <c r="E289" s="771"/>
      <c r="F289" s="457" t="s">
        <v>7843</v>
      </c>
      <c r="G289" s="778">
        <v>4</v>
      </c>
      <c r="H289" s="455" t="str">
        <f t="shared" si="4"/>
        <v>4</v>
      </c>
      <c r="I289" s="778">
        <v>4</v>
      </c>
      <c r="J289" s="460" t="str">
        <f t="shared" si="5"/>
        <v>4</v>
      </c>
      <c r="K289" s="778">
        <v>0</v>
      </c>
      <c r="L289" s="460"/>
      <c r="M289" s="778">
        <v>0</v>
      </c>
      <c r="N289" s="455"/>
      <c r="O289" s="778" t="b">
        <v>0</v>
      </c>
      <c r="P289" s="460"/>
    </row>
    <row r="290" spans="1:16">
      <c r="A290" s="456"/>
      <c r="B290" s="771"/>
      <c r="C290" s="768" t="s">
        <v>10217</v>
      </c>
      <c r="D290" s="770" t="s">
        <v>7698</v>
      </c>
      <c r="E290" s="771"/>
      <c r="F290" s="457" t="s">
        <v>7844</v>
      </c>
      <c r="G290" s="778">
        <v>2</v>
      </c>
      <c r="H290" s="455" t="str">
        <f t="shared" si="4"/>
        <v>2</v>
      </c>
      <c r="I290" s="778">
        <v>2</v>
      </c>
      <c r="J290" s="460" t="str">
        <f t="shared" si="5"/>
        <v>2</v>
      </c>
      <c r="K290" s="778">
        <v>0</v>
      </c>
      <c r="L290" s="460"/>
      <c r="M290" s="778">
        <v>0</v>
      </c>
      <c r="N290" s="455"/>
      <c r="O290" s="778" t="b">
        <v>0</v>
      </c>
      <c r="P290" s="460"/>
    </row>
    <row r="291" spans="1:16">
      <c r="A291" s="456"/>
      <c r="B291" s="771"/>
      <c r="C291" s="768" t="s">
        <v>10218</v>
      </c>
      <c r="D291" s="770" t="s">
        <v>7705</v>
      </c>
      <c r="E291" s="771"/>
      <c r="F291" s="457" t="s">
        <v>7845</v>
      </c>
      <c r="G291" s="778">
        <v>1</v>
      </c>
      <c r="H291" s="455" t="str">
        <f t="shared" si="4"/>
        <v>1</v>
      </c>
      <c r="I291" s="778">
        <v>1</v>
      </c>
      <c r="J291" s="460" t="str">
        <f t="shared" si="5"/>
        <v>1</v>
      </c>
      <c r="K291" s="778">
        <v>0</v>
      </c>
      <c r="L291" s="460"/>
      <c r="M291" s="778">
        <v>0</v>
      </c>
      <c r="N291" s="455"/>
      <c r="O291" s="778" t="b">
        <v>0</v>
      </c>
      <c r="P291" s="460"/>
    </row>
    <row r="292" spans="1:16">
      <c r="A292" s="456"/>
      <c r="B292" s="771"/>
      <c r="C292" s="768" t="s">
        <v>10219</v>
      </c>
      <c r="D292" s="770" t="s">
        <v>7702</v>
      </c>
      <c r="E292" s="771"/>
      <c r="F292" s="457" t="s">
        <v>7846</v>
      </c>
      <c r="G292" s="778">
        <v>3</v>
      </c>
      <c r="H292" s="460" t="str">
        <f t="shared" si="4"/>
        <v>3</v>
      </c>
      <c r="I292" s="778">
        <v>3</v>
      </c>
      <c r="J292" s="460" t="str">
        <f t="shared" si="5"/>
        <v>3</v>
      </c>
      <c r="K292" s="778">
        <v>0</v>
      </c>
      <c r="L292" s="460"/>
      <c r="M292" s="778">
        <v>0</v>
      </c>
      <c r="N292" s="455"/>
      <c r="O292" s="778" t="b">
        <v>0</v>
      </c>
      <c r="P292" s="460"/>
    </row>
    <row r="293" spans="1:16">
      <c r="A293" s="456"/>
      <c r="B293" s="771"/>
      <c r="C293" s="768" t="s">
        <v>10220</v>
      </c>
      <c r="D293" s="770" t="s">
        <v>7705</v>
      </c>
      <c r="E293" s="771"/>
      <c r="F293" s="457" t="s">
        <v>7847</v>
      </c>
      <c r="G293" s="778">
        <v>1</v>
      </c>
      <c r="H293" s="460" t="str">
        <f t="shared" si="4"/>
        <v>1</v>
      </c>
      <c r="I293" s="778">
        <v>1</v>
      </c>
      <c r="J293" s="460" t="str">
        <f t="shared" si="5"/>
        <v>1</v>
      </c>
      <c r="K293" s="778">
        <v>0</v>
      </c>
      <c r="L293" s="460"/>
      <c r="M293" s="778">
        <v>0</v>
      </c>
      <c r="N293" s="455"/>
      <c r="O293" s="778" t="b">
        <v>0</v>
      </c>
      <c r="P293" s="460"/>
    </row>
    <row r="294" spans="1:16">
      <c r="A294" s="456"/>
      <c r="B294" s="771"/>
      <c r="C294" s="768" t="s">
        <v>10221</v>
      </c>
      <c r="D294" s="770" t="s">
        <v>7705</v>
      </c>
      <c r="E294" s="771"/>
      <c r="F294" s="457" t="s">
        <v>7848</v>
      </c>
      <c r="G294" s="778">
        <v>1</v>
      </c>
      <c r="H294" s="460" t="str">
        <f t="shared" si="4"/>
        <v>1</v>
      </c>
      <c r="I294" s="778">
        <v>1</v>
      </c>
      <c r="J294" s="460" t="str">
        <f t="shared" si="5"/>
        <v>1</v>
      </c>
      <c r="K294" s="778">
        <v>0</v>
      </c>
      <c r="L294" s="460"/>
      <c r="M294" s="778">
        <v>0</v>
      </c>
      <c r="N294" s="455"/>
      <c r="O294" s="778" t="b">
        <v>0</v>
      </c>
      <c r="P294" s="460"/>
    </row>
    <row r="295" spans="1:16">
      <c r="A295" s="456"/>
      <c r="B295" s="771"/>
      <c r="C295" s="768" t="s">
        <v>10222</v>
      </c>
      <c r="D295" s="770" t="s">
        <v>7705</v>
      </c>
      <c r="E295" s="771"/>
      <c r="F295" s="457" t="s">
        <v>7849</v>
      </c>
      <c r="G295" s="778">
        <v>1</v>
      </c>
      <c r="H295" s="460" t="str">
        <f t="shared" si="4"/>
        <v>1</v>
      </c>
      <c r="I295" s="778">
        <v>1</v>
      </c>
      <c r="J295" s="460" t="str">
        <f t="shared" si="5"/>
        <v>1</v>
      </c>
      <c r="K295" s="778">
        <v>0</v>
      </c>
      <c r="L295" s="460"/>
      <c r="M295" s="778">
        <v>0</v>
      </c>
      <c r="N295" s="455"/>
      <c r="O295" s="778" t="b">
        <v>0</v>
      </c>
      <c r="P295" s="460"/>
    </row>
    <row r="296" spans="1:16">
      <c r="A296" s="456"/>
      <c r="B296" s="771"/>
      <c r="C296" s="768" t="s">
        <v>10223</v>
      </c>
      <c r="D296" s="770" t="s">
        <v>7717</v>
      </c>
      <c r="E296" s="771"/>
      <c r="F296" s="457" t="s">
        <v>7850</v>
      </c>
      <c r="G296" s="778">
        <v>8</v>
      </c>
      <c r="H296" s="455" t="str">
        <f t="shared" ref="H296:H359" si="6">D296</f>
        <v>8</v>
      </c>
      <c r="I296" s="778">
        <v>8</v>
      </c>
      <c r="J296" s="460" t="str">
        <f t="shared" si="5"/>
        <v>8</v>
      </c>
      <c r="K296" s="778">
        <v>0</v>
      </c>
      <c r="L296" s="460"/>
      <c r="M296" s="778">
        <v>0</v>
      </c>
      <c r="N296" s="455"/>
      <c r="O296" s="778" t="b">
        <v>0</v>
      </c>
      <c r="P296" s="460"/>
    </row>
    <row r="297" spans="1:16">
      <c r="A297" s="456"/>
      <c r="B297" s="771"/>
      <c r="C297" s="768" t="s">
        <v>10248</v>
      </c>
      <c r="D297" s="770">
        <v>10</v>
      </c>
      <c r="E297" s="771"/>
      <c r="F297" s="457" t="s">
        <v>8170</v>
      </c>
      <c r="G297" s="778">
        <v>10</v>
      </c>
      <c r="H297" s="455">
        <f t="shared" si="6"/>
        <v>10</v>
      </c>
      <c r="I297" s="778">
        <v>10</v>
      </c>
      <c r="J297" s="460">
        <f t="shared" si="5"/>
        <v>10</v>
      </c>
      <c r="K297" s="778">
        <v>0</v>
      </c>
      <c r="L297" s="460"/>
      <c r="M297" s="778">
        <v>0</v>
      </c>
      <c r="N297" s="455"/>
      <c r="O297" s="778" t="b">
        <v>0</v>
      </c>
      <c r="P297" s="460"/>
    </row>
    <row r="298" spans="1:16">
      <c r="A298" s="456"/>
      <c r="B298" s="771"/>
      <c r="C298" s="768" t="s">
        <v>10249</v>
      </c>
      <c r="D298" s="770">
        <v>10</v>
      </c>
      <c r="E298" s="771"/>
      <c r="F298" s="457" t="s">
        <v>8181</v>
      </c>
      <c r="G298" s="778">
        <v>10</v>
      </c>
      <c r="H298" s="455">
        <f t="shared" si="6"/>
        <v>10</v>
      </c>
      <c r="I298" s="778">
        <v>10</v>
      </c>
      <c r="J298" s="460">
        <f t="shared" si="5"/>
        <v>10</v>
      </c>
      <c r="K298" s="778">
        <v>0</v>
      </c>
      <c r="L298" s="460"/>
      <c r="M298" s="778">
        <v>0</v>
      </c>
      <c r="N298" s="455"/>
      <c r="O298" s="778" t="b">
        <v>0</v>
      </c>
      <c r="P298" s="460"/>
    </row>
    <row r="299" spans="1:16">
      <c r="A299" s="456"/>
      <c r="B299" s="771"/>
      <c r="C299" s="768" t="s">
        <v>10250</v>
      </c>
      <c r="D299" s="770">
        <v>10</v>
      </c>
      <c r="E299" s="771"/>
      <c r="F299" s="457" t="s">
        <v>8149</v>
      </c>
      <c r="G299" s="778">
        <v>10</v>
      </c>
      <c r="H299" s="460">
        <f t="shared" si="6"/>
        <v>10</v>
      </c>
      <c r="I299" s="778">
        <v>10</v>
      </c>
      <c r="J299" s="460">
        <f t="shared" si="5"/>
        <v>10</v>
      </c>
      <c r="K299" s="778">
        <v>0</v>
      </c>
      <c r="L299" s="460"/>
      <c r="M299" s="778">
        <v>0</v>
      </c>
      <c r="N299" s="455"/>
      <c r="O299" s="778" t="b">
        <v>0</v>
      </c>
      <c r="P299" s="460"/>
    </row>
    <row r="300" spans="1:16">
      <c r="A300" s="456"/>
      <c r="B300" s="771"/>
      <c r="C300" s="768" t="s">
        <v>10251</v>
      </c>
      <c r="D300" s="770">
        <v>10</v>
      </c>
      <c r="E300" s="771"/>
      <c r="F300" s="457" t="s">
        <v>8191</v>
      </c>
      <c r="G300" s="778">
        <v>10</v>
      </c>
      <c r="H300" s="460">
        <f t="shared" si="6"/>
        <v>10</v>
      </c>
      <c r="I300" s="778">
        <v>10</v>
      </c>
      <c r="J300" s="460">
        <f t="shared" si="5"/>
        <v>10</v>
      </c>
      <c r="K300" s="778">
        <v>0</v>
      </c>
      <c r="L300" s="460"/>
      <c r="M300" s="778">
        <v>0</v>
      </c>
      <c r="N300" s="455"/>
      <c r="O300" s="778" t="b">
        <v>0</v>
      </c>
      <c r="P300" s="460"/>
    </row>
    <row r="301" spans="1:16">
      <c r="A301" s="456"/>
      <c r="B301" s="771"/>
      <c r="C301" s="768" t="s">
        <v>10252</v>
      </c>
      <c r="D301" s="770">
        <v>10</v>
      </c>
      <c r="E301" s="771"/>
      <c r="F301" s="457" t="s">
        <v>8143</v>
      </c>
      <c r="G301" s="778">
        <v>10</v>
      </c>
      <c r="H301" s="460">
        <f t="shared" si="6"/>
        <v>10</v>
      </c>
      <c r="I301" s="778">
        <v>10</v>
      </c>
      <c r="J301" s="460">
        <f t="shared" si="5"/>
        <v>10</v>
      </c>
      <c r="K301" s="778">
        <v>0</v>
      </c>
      <c r="L301" s="460"/>
      <c r="M301" s="778">
        <v>0</v>
      </c>
      <c r="N301" s="455"/>
      <c r="O301" s="778" t="b">
        <v>0</v>
      </c>
      <c r="P301" s="460"/>
    </row>
    <row r="302" spans="1:16">
      <c r="A302" s="456"/>
      <c r="B302" s="771"/>
      <c r="C302" s="768" t="s">
        <v>10253</v>
      </c>
      <c r="D302" s="770">
        <v>10</v>
      </c>
      <c r="E302" s="771"/>
      <c r="F302" s="457" t="s">
        <v>8163</v>
      </c>
      <c r="G302" s="778">
        <v>10</v>
      </c>
      <c r="H302" s="460">
        <f t="shared" si="6"/>
        <v>10</v>
      </c>
      <c r="I302" s="778">
        <v>10</v>
      </c>
      <c r="J302" s="460">
        <f t="shared" si="5"/>
        <v>10</v>
      </c>
      <c r="K302" s="778">
        <v>0</v>
      </c>
      <c r="L302" s="460"/>
      <c r="M302" s="778">
        <v>0</v>
      </c>
      <c r="N302" s="455"/>
      <c r="O302" s="778" t="b">
        <v>0</v>
      </c>
      <c r="P302" s="460"/>
    </row>
    <row r="303" spans="1:16">
      <c r="A303" s="456"/>
      <c r="B303" s="771"/>
      <c r="C303" s="768" t="s">
        <v>10254</v>
      </c>
      <c r="D303" s="770">
        <v>10</v>
      </c>
      <c r="E303" s="771"/>
      <c r="F303" s="457" t="s">
        <v>8169</v>
      </c>
      <c r="G303" s="778">
        <v>10</v>
      </c>
      <c r="H303" s="460">
        <f t="shared" si="6"/>
        <v>10</v>
      </c>
      <c r="I303" s="778">
        <v>10</v>
      </c>
      <c r="J303" s="460">
        <f t="shared" si="5"/>
        <v>10</v>
      </c>
      <c r="K303" s="778">
        <v>0</v>
      </c>
      <c r="L303" s="460"/>
      <c r="M303" s="778">
        <v>0</v>
      </c>
      <c r="N303" s="455"/>
      <c r="O303" s="778" t="b">
        <v>0</v>
      </c>
      <c r="P303" s="460"/>
    </row>
    <row r="304" spans="1:16">
      <c r="A304" s="456"/>
      <c r="B304" s="771"/>
      <c r="C304" s="768" t="s">
        <v>10255</v>
      </c>
      <c r="D304" s="770">
        <v>30</v>
      </c>
      <c r="E304" s="771"/>
      <c r="F304" s="457" t="s">
        <v>8158</v>
      </c>
      <c r="G304" s="778">
        <v>30</v>
      </c>
      <c r="H304" s="460">
        <f t="shared" si="6"/>
        <v>30</v>
      </c>
      <c r="I304" s="778">
        <v>30</v>
      </c>
      <c r="J304" s="460">
        <f t="shared" si="5"/>
        <v>30</v>
      </c>
      <c r="K304" s="778">
        <v>0</v>
      </c>
      <c r="L304" s="460"/>
      <c r="M304" s="778">
        <v>0</v>
      </c>
      <c r="N304" s="455"/>
      <c r="O304" s="778" t="b">
        <v>0</v>
      </c>
      <c r="P304" s="460"/>
    </row>
    <row r="305" spans="1:16">
      <c r="A305" s="456"/>
      <c r="B305" s="771"/>
      <c r="C305" s="768" t="s">
        <v>10256</v>
      </c>
      <c r="D305" s="770">
        <v>30</v>
      </c>
      <c r="E305" s="771"/>
      <c r="F305" s="457" t="s">
        <v>8180</v>
      </c>
      <c r="G305" s="778">
        <v>30</v>
      </c>
      <c r="H305" s="460">
        <f t="shared" si="6"/>
        <v>30</v>
      </c>
      <c r="I305" s="778">
        <v>30</v>
      </c>
      <c r="J305" s="460">
        <f t="shared" si="5"/>
        <v>30</v>
      </c>
      <c r="K305" s="778">
        <v>0</v>
      </c>
      <c r="L305" s="460"/>
      <c r="M305" s="778">
        <v>0</v>
      </c>
      <c r="N305" s="455"/>
      <c r="O305" s="778" t="b">
        <v>0</v>
      </c>
      <c r="P305" s="460"/>
    </row>
    <row r="306" spans="1:16">
      <c r="A306" s="456"/>
      <c r="B306" s="771"/>
      <c r="C306" s="768" t="s">
        <v>10257</v>
      </c>
      <c r="D306" s="770">
        <v>10</v>
      </c>
      <c r="E306" s="771"/>
      <c r="F306" s="457" t="s">
        <v>8148</v>
      </c>
      <c r="G306" s="778">
        <v>10</v>
      </c>
      <c r="H306" s="460">
        <f t="shared" si="6"/>
        <v>10</v>
      </c>
      <c r="I306" s="778">
        <v>10</v>
      </c>
      <c r="J306" s="460">
        <f t="shared" si="5"/>
        <v>10</v>
      </c>
      <c r="K306" s="778">
        <v>0</v>
      </c>
      <c r="L306" s="460"/>
      <c r="M306" s="778">
        <v>0</v>
      </c>
      <c r="N306" s="455"/>
      <c r="O306" s="778" t="b">
        <v>0</v>
      </c>
      <c r="P306" s="460"/>
    </row>
    <row r="307" spans="1:16">
      <c r="A307" s="456"/>
      <c r="B307" s="771"/>
      <c r="C307" s="768" t="s">
        <v>10258</v>
      </c>
      <c r="D307" s="770">
        <v>20</v>
      </c>
      <c r="E307" s="771"/>
      <c r="F307" s="457" t="s">
        <v>8134</v>
      </c>
      <c r="G307" s="778">
        <v>20</v>
      </c>
      <c r="H307" s="455">
        <f t="shared" si="6"/>
        <v>20</v>
      </c>
      <c r="I307" s="778">
        <v>20</v>
      </c>
      <c r="J307" s="460">
        <f t="shared" si="5"/>
        <v>20</v>
      </c>
      <c r="K307" s="778">
        <v>0</v>
      </c>
      <c r="L307" s="460"/>
      <c r="M307" s="778">
        <v>0</v>
      </c>
      <c r="N307" s="455"/>
      <c r="O307" s="778" t="b">
        <v>0</v>
      </c>
      <c r="P307" s="460"/>
    </row>
    <row r="308" spans="1:16">
      <c r="A308" s="456"/>
      <c r="B308" s="771"/>
      <c r="C308" s="768" t="s">
        <v>10259</v>
      </c>
      <c r="D308" s="770">
        <v>20</v>
      </c>
      <c r="E308" s="771"/>
      <c r="F308" s="465" t="s">
        <v>8160</v>
      </c>
      <c r="G308" s="778">
        <v>20</v>
      </c>
      <c r="H308" s="455">
        <f t="shared" si="6"/>
        <v>20</v>
      </c>
      <c r="I308" s="778">
        <v>20</v>
      </c>
      <c r="J308" s="460">
        <f t="shared" si="5"/>
        <v>20</v>
      </c>
      <c r="K308" s="778">
        <v>0</v>
      </c>
      <c r="L308" s="460"/>
      <c r="M308" s="778">
        <v>0</v>
      </c>
      <c r="N308" s="455"/>
      <c r="O308" s="778" t="b">
        <v>0</v>
      </c>
      <c r="P308" s="460"/>
    </row>
    <row r="309" spans="1:16">
      <c r="A309" s="456"/>
      <c r="B309" s="771"/>
      <c r="C309" s="768" t="s">
        <v>10260</v>
      </c>
      <c r="D309" s="770">
        <v>10</v>
      </c>
      <c r="E309" s="771"/>
      <c r="F309" s="457" t="s">
        <v>8112</v>
      </c>
      <c r="G309" s="778">
        <v>10</v>
      </c>
      <c r="H309" s="455">
        <f t="shared" si="6"/>
        <v>10</v>
      </c>
      <c r="I309" s="778">
        <v>10</v>
      </c>
      <c r="J309" s="460">
        <f t="shared" si="5"/>
        <v>10</v>
      </c>
      <c r="K309" s="778">
        <v>0</v>
      </c>
      <c r="L309" s="460"/>
      <c r="M309" s="778">
        <v>0</v>
      </c>
      <c r="N309" s="455"/>
      <c r="O309" s="778" t="b">
        <v>0</v>
      </c>
      <c r="P309" s="460"/>
    </row>
    <row r="310" spans="1:16">
      <c r="A310" s="456"/>
      <c r="B310" s="771"/>
      <c r="C310" s="768" t="s">
        <v>10261</v>
      </c>
      <c r="D310" s="770">
        <v>10</v>
      </c>
      <c r="E310" s="771"/>
      <c r="F310" s="457" t="s">
        <v>8155</v>
      </c>
      <c r="G310" s="778">
        <v>10</v>
      </c>
      <c r="H310" s="460">
        <f t="shared" si="6"/>
        <v>10</v>
      </c>
      <c r="I310" s="778">
        <v>10</v>
      </c>
      <c r="J310" s="460">
        <f t="shared" si="5"/>
        <v>10</v>
      </c>
      <c r="K310" s="778">
        <v>0</v>
      </c>
      <c r="L310" s="460"/>
      <c r="M310" s="778">
        <v>0</v>
      </c>
      <c r="N310" s="455"/>
      <c r="O310" s="778" t="b">
        <v>0</v>
      </c>
      <c r="P310" s="460"/>
    </row>
    <row r="311" spans="1:16">
      <c r="A311" s="456"/>
      <c r="B311" s="771"/>
      <c r="C311" s="768" t="s">
        <v>10262</v>
      </c>
      <c r="D311" s="770">
        <v>10</v>
      </c>
      <c r="E311" s="771"/>
      <c r="F311" s="465" t="s">
        <v>8129</v>
      </c>
      <c r="G311" s="778">
        <v>10</v>
      </c>
      <c r="H311" s="455">
        <f t="shared" si="6"/>
        <v>10</v>
      </c>
      <c r="I311" s="778">
        <v>10</v>
      </c>
      <c r="J311" s="460">
        <f t="shared" si="5"/>
        <v>10</v>
      </c>
      <c r="K311" s="778">
        <v>0</v>
      </c>
      <c r="L311" s="460"/>
      <c r="M311" s="778">
        <v>0</v>
      </c>
      <c r="N311" s="455"/>
      <c r="O311" s="778" t="b">
        <v>0</v>
      </c>
      <c r="P311" s="460"/>
    </row>
    <row r="312" spans="1:16">
      <c r="A312" s="456"/>
      <c r="B312" s="771"/>
      <c r="C312" s="768" t="s">
        <v>10263</v>
      </c>
      <c r="D312" s="770">
        <v>8</v>
      </c>
      <c r="E312" s="771"/>
      <c r="F312" s="457" t="s">
        <v>8130</v>
      </c>
      <c r="G312" s="778">
        <v>8</v>
      </c>
      <c r="H312" s="455">
        <f t="shared" si="6"/>
        <v>8</v>
      </c>
      <c r="I312" s="778">
        <v>8</v>
      </c>
      <c r="J312" s="460">
        <f t="shared" si="5"/>
        <v>8</v>
      </c>
      <c r="K312" s="778">
        <v>0</v>
      </c>
      <c r="L312" s="460"/>
      <c r="M312" s="778">
        <v>0</v>
      </c>
      <c r="N312" s="455"/>
      <c r="O312" s="778" t="b">
        <v>0</v>
      </c>
      <c r="P312" s="460"/>
    </row>
    <row r="313" spans="1:16">
      <c r="A313" s="456"/>
      <c r="B313" s="771"/>
      <c r="C313" s="768" t="s">
        <v>10110</v>
      </c>
      <c r="D313" s="770" t="s">
        <v>6460</v>
      </c>
      <c r="E313" s="771"/>
      <c r="F313" s="457" t="s">
        <v>6535</v>
      </c>
      <c r="G313" s="778">
        <v>10</v>
      </c>
      <c r="H313" s="455" t="str">
        <f t="shared" si="6"/>
        <v>10</v>
      </c>
      <c r="I313" s="778">
        <v>10</v>
      </c>
      <c r="J313" s="460" t="str">
        <f t="shared" si="5"/>
        <v>10</v>
      </c>
      <c r="K313" s="778">
        <v>0</v>
      </c>
      <c r="L313" s="460"/>
      <c r="M313" s="778">
        <v>0</v>
      </c>
      <c r="N313" s="455"/>
      <c r="O313" s="778" t="b">
        <v>0</v>
      </c>
      <c r="P313" s="460"/>
    </row>
    <row r="314" spans="1:16">
      <c r="A314" s="456"/>
      <c r="B314" s="771"/>
      <c r="C314" s="768" t="s">
        <v>10111</v>
      </c>
      <c r="D314" s="770" t="s">
        <v>6536</v>
      </c>
      <c r="E314" s="771"/>
      <c r="F314" s="457" t="s">
        <v>6537</v>
      </c>
      <c r="G314" s="778">
        <v>12</v>
      </c>
      <c r="H314" s="455" t="str">
        <f t="shared" si="6"/>
        <v>12</v>
      </c>
      <c r="I314" s="778">
        <v>12</v>
      </c>
      <c r="J314" s="460" t="str">
        <f t="shared" si="5"/>
        <v>12</v>
      </c>
      <c r="K314" s="778">
        <v>0</v>
      </c>
      <c r="L314" s="460"/>
      <c r="M314" s="778">
        <v>0</v>
      </c>
      <c r="N314" s="455"/>
      <c r="O314" s="778" t="b">
        <v>0</v>
      </c>
      <c r="P314" s="460"/>
    </row>
    <row r="315" spans="1:16">
      <c r="A315" s="456"/>
      <c r="B315" s="771"/>
      <c r="C315" s="768" t="s">
        <v>10112</v>
      </c>
      <c r="D315" s="770" t="s">
        <v>6460</v>
      </c>
      <c r="E315" s="771"/>
      <c r="F315" s="457" t="s">
        <v>6538</v>
      </c>
      <c r="G315" s="778">
        <v>10</v>
      </c>
      <c r="H315" s="460" t="str">
        <f t="shared" si="6"/>
        <v>10</v>
      </c>
      <c r="I315" s="778">
        <v>10</v>
      </c>
      <c r="J315" s="460" t="str">
        <f t="shared" si="5"/>
        <v>10</v>
      </c>
      <c r="K315" s="778">
        <v>0</v>
      </c>
      <c r="L315" s="460"/>
      <c r="M315" s="778">
        <v>0</v>
      </c>
      <c r="N315" s="455"/>
      <c r="O315" s="778" t="b">
        <v>0</v>
      </c>
      <c r="P315" s="460"/>
    </row>
    <row r="316" spans="1:16">
      <c r="A316" s="456"/>
      <c r="B316" s="771"/>
      <c r="C316" s="768" t="s">
        <v>10113</v>
      </c>
      <c r="D316" s="770" t="s">
        <v>5528</v>
      </c>
      <c r="E316" s="771"/>
      <c r="F316" s="457" t="s">
        <v>6539</v>
      </c>
      <c r="G316" s="778">
        <v>6</v>
      </c>
      <c r="H316" s="460" t="str">
        <f t="shared" si="6"/>
        <v>6</v>
      </c>
      <c r="I316" s="778">
        <v>6</v>
      </c>
      <c r="J316" s="460" t="str">
        <f t="shared" si="5"/>
        <v>6</v>
      </c>
      <c r="K316" s="778">
        <v>0</v>
      </c>
      <c r="L316" s="460"/>
      <c r="M316" s="778">
        <v>0</v>
      </c>
      <c r="N316" s="455"/>
      <c r="O316" s="778" t="b">
        <v>0</v>
      </c>
      <c r="P316" s="460"/>
    </row>
    <row r="317" spans="1:16">
      <c r="A317" s="456"/>
      <c r="B317" s="771"/>
      <c r="C317" s="768" t="s">
        <v>10114</v>
      </c>
      <c r="D317" s="770" t="s">
        <v>5651</v>
      </c>
      <c r="E317" s="771"/>
      <c r="F317" s="457" t="s">
        <v>6540</v>
      </c>
      <c r="G317" s="778">
        <v>4</v>
      </c>
      <c r="H317" s="455" t="str">
        <f t="shared" si="6"/>
        <v>4</v>
      </c>
      <c r="I317" s="778">
        <v>4</v>
      </c>
      <c r="J317" s="460" t="str">
        <f t="shared" si="5"/>
        <v>4</v>
      </c>
      <c r="K317" s="778">
        <v>0</v>
      </c>
      <c r="L317" s="460"/>
      <c r="M317" s="778">
        <v>0</v>
      </c>
      <c r="N317" s="455"/>
      <c r="O317" s="778" t="b">
        <v>0</v>
      </c>
      <c r="P317" s="460"/>
    </row>
    <row r="318" spans="1:16">
      <c r="A318" s="456"/>
      <c r="B318" s="771"/>
      <c r="C318" s="768" t="s">
        <v>10115</v>
      </c>
      <c r="D318" s="770" t="s">
        <v>5651</v>
      </c>
      <c r="E318" s="771"/>
      <c r="F318" s="457" t="s">
        <v>6541</v>
      </c>
      <c r="G318" s="778">
        <v>4</v>
      </c>
      <c r="H318" s="460" t="str">
        <f t="shared" si="6"/>
        <v>4</v>
      </c>
      <c r="I318" s="778">
        <v>4</v>
      </c>
      <c r="J318" s="460" t="str">
        <f t="shared" si="5"/>
        <v>4</v>
      </c>
      <c r="K318" s="778">
        <v>0</v>
      </c>
      <c r="L318" s="460"/>
      <c r="M318" s="778">
        <v>0</v>
      </c>
      <c r="N318" s="455"/>
      <c r="O318" s="778" t="b">
        <v>0</v>
      </c>
      <c r="P318" s="460"/>
    </row>
    <row r="319" spans="1:16">
      <c r="A319" s="456"/>
      <c r="B319" s="771"/>
      <c r="C319" s="768" t="s">
        <v>10116</v>
      </c>
      <c r="D319" s="770" t="s">
        <v>6536</v>
      </c>
      <c r="E319" s="771"/>
      <c r="F319" s="457" t="s">
        <v>6542</v>
      </c>
      <c r="G319" s="778">
        <v>12</v>
      </c>
      <c r="H319" s="460" t="str">
        <f t="shared" si="6"/>
        <v>12</v>
      </c>
      <c r="I319" s="778">
        <v>12</v>
      </c>
      <c r="J319" s="460" t="str">
        <f t="shared" si="5"/>
        <v>12</v>
      </c>
      <c r="K319" s="778">
        <v>0</v>
      </c>
      <c r="L319" s="460"/>
      <c r="M319" s="778">
        <v>0</v>
      </c>
      <c r="N319" s="455"/>
      <c r="O319" s="778" t="b">
        <v>0</v>
      </c>
      <c r="P319" s="460"/>
    </row>
    <row r="320" spans="1:16">
      <c r="A320" s="456"/>
      <c r="B320" s="771"/>
      <c r="C320" s="768" t="s">
        <v>10117</v>
      </c>
      <c r="D320" s="770" t="s">
        <v>6460</v>
      </c>
      <c r="E320" s="771"/>
      <c r="F320" s="457" t="s">
        <v>6543</v>
      </c>
      <c r="G320" s="778">
        <v>10</v>
      </c>
      <c r="H320" s="460" t="str">
        <f t="shared" si="6"/>
        <v>10</v>
      </c>
      <c r="I320" s="778">
        <v>10</v>
      </c>
      <c r="J320" s="460" t="str">
        <f t="shared" si="5"/>
        <v>10</v>
      </c>
      <c r="K320" s="778">
        <v>0</v>
      </c>
      <c r="L320" s="460"/>
      <c r="M320" s="778">
        <v>0</v>
      </c>
      <c r="N320" s="455"/>
      <c r="O320" s="778" t="b">
        <v>0</v>
      </c>
      <c r="P320" s="460"/>
    </row>
    <row r="321" spans="1:16">
      <c r="A321" s="456"/>
      <c r="B321" s="771"/>
      <c r="C321" s="768" t="s">
        <v>10118</v>
      </c>
      <c r="D321" s="770" t="s">
        <v>6460</v>
      </c>
      <c r="E321" s="771"/>
      <c r="F321" s="457" t="s">
        <v>6544</v>
      </c>
      <c r="G321" s="778">
        <v>10</v>
      </c>
      <c r="H321" s="460" t="str">
        <f t="shared" si="6"/>
        <v>10</v>
      </c>
      <c r="I321" s="778">
        <v>10</v>
      </c>
      <c r="J321" s="460" t="str">
        <f t="shared" si="5"/>
        <v>10</v>
      </c>
      <c r="K321" s="778">
        <v>0</v>
      </c>
      <c r="L321" s="460"/>
      <c r="M321" s="778">
        <v>0</v>
      </c>
      <c r="N321" s="455"/>
      <c r="O321" s="778" t="b">
        <v>0</v>
      </c>
      <c r="P321" s="460"/>
    </row>
    <row r="322" spans="1:16">
      <c r="A322" s="456"/>
      <c r="B322" s="771"/>
      <c r="C322" s="768" t="s">
        <v>10121</v>
      </c>
      <c r="D322" s="770" t="s">
        <v>6460</v>
      </c>
      <c r="E322" s="771"/>
      <c r="F322" s="457" t="s">
        <v>6552</v>
      </c>
      <c r="G322" s="778">
        <v>10</v>
      </c>
      <c r="H322" s="460" t="str">
        <f t="shared" si="6"/>
        <v>10</v>
      </c>
      <c r="I322" s="778">
        <v>10</v>
      </c>
      <c r="J322" s="460" t="str">
        <f t="shared" si="5"/>
        <v>10</v>
      </c>
      <c r="K322" s="778">
        <v>0</v>
      </c>
      <c r="L322" s="460"/>
      <c r="M322" s="778">
        <v>0</v>
      </c>
      <c r="N322" s="455"/>
      <c r="O322" s="778" t="b">
        <v>0</v>
      </c>
      <c r="P322" s="460"/>
    </row>
    <row r="323" spans="1:16">
      <c r="A323" s="456"/>
      <c r="B323" s="771"/>
      <c r="C323" s="768" t="s">
        <v>10122</v>
      </c>
      <c r="D323" s="770" t="s">
        <v>6460</v>
      </c>
      <c r="E323" s="771"/>
      <c r="F323" s="457" t="s">
        <v>6553</v>
      </c>
      <c r="G323" s="778">
        <v>10</v>
      </c>
      <c r="H323" s="460" t="str">
        <f t="shared" si="6"/>
        <v>10</v>
      </c>
      <c r="I323" s="778">
        <v>10</v>
      </c>
      <c r="J323" s="460" t="str">
        <f t="shared" si="5"/>
        <v>10</v>
      </c>
      <c r="K323" s="778">
        <v>0</v>
      </c>
      <c r="L323" s="460"/>
      <c r="M323" s="778">
        <v>0</v>
      </c>
      <c r="N323" s="455"/>
      <c r="O323" s="778" t="b">
        <v>0</v>
      </c>
      <c r="P323" s="460"/>
    </row>
    <row r="324" spans="1:16">
      <c r="A324" s="456"/>
      <c r="B324" s="771"/>
      <c r="C324" s="768" t="s">
        <v>10123</v>
      </c>
      <c r="D324" s="770" t="s">
        <v>6460</v>
      </c>
      <c r="E324" s="771"/>
      <c r="F324" s="457" t="s">
        <v>6554</v>
      </c>
      <c r="G324" s="778">
        <v>10</v>
      </c>
      <c r="H324" s="460" t="str">
        <f t="shared" si="6"/>
        <v>10</v>
      </c>
      <c r="I324" s="778">
        <v>10</v>
      </c>
      <c r="J324" s="460" t="str">
        <f t="shared" si="5"/>
        <v>10</v>
      </c>
      <c r="K324" s="778">
        <v>0</v>
      </c>
      <c r="L324" s="460"/>
      <c r="M324" s="778">
        <v>0</v>
      </c>
      <c r="N324" s="455"/>
      <c r="O324" s="778" t="b">
        <v>0</v>
      </c>
      <c r="P324" s="460"/>
    </row>
    <row r="325" spans="1:16">
      <c r="A325" s="456"/>
      <c r="B325" s="771"/>
      <c r="C325" s="768" t="s">
        <v>10124</v>
      </c>
      <c r="D325" s="770" t="s">
        <v>6460</v>
      </c>
      <c r="E325" s="771"/>
      <c r="F325" s="457" t="s">
        <v>6555</v>
      </c>
      <c r="G325" s="778">
        <v>10</v>
      </c>
      <c r="H325" s="460" t="str">
        <f t="shared" si="6"/>
        <v>10</v>
      </c>
      <c r="I325" s="778">
        <v>10</v>
      </c>
      <c r="J325" s="460" t="str">
        <f t="shared" ref="J325:J388" si="7">H325</f>
        <v>10</v>
      </c>
      <c r="K325" s="778">
        <v>0</v>
      </c>
      <c r="L325" s="460"/>
      <c r="M325" s="778">
        <v>0</v>
      </c>
      <c r="N325" s="455"/>
      <c r="O325" s="778" t="b">
        <v>0</v>
      </c>
      <c r="P325" s="460"/>
    </row>
    <row r="326" spans="1:16">
      <c r="A326" s="456"/>
      <c r="B326" s="771"/>
      <c r="C326" s="768" t="s">
        <v>10125</v>
      </c>
      <c r="D326" s="770" t="s">
        <v>6460</v>
      </c>
      <c r="E326" s="771"/>
      <c r="F326" s="457" t="s">
        <v>6556</v>
      </c>
      <c r="G326" s="778">
        <v>10</v>
      </c>
      <c r="H326" s="460" t="str">
        <f t="shared" si="6"/>
        <v>10</v>
      </c>
      <c r="I326" s="778">
        <v>10</v>
      </c>
      <c r="J326" s="460" t="str">
        <f t="shared" si="7"/>
        <v>10</v>
      </c>
      <c r="K326" s="778">
        <v>0</v>
      </c>
      <c r="L326" s="460"/>
      <c r="M326" s="778">
        <v>0</v>
      </c>
      <c r="N326" s="455"/>
      <c r="O326" s="778" t="b">
        <v>0</v>
      </c>
      <c r="P326" s="460"/>
    </row>
    <row r="327" spans="1:16">
      <c r="A327" s="456"/>
      <c r="B327" s="771"/>
      <c r="C327" s="768" t="s">
        <v>10119</v>
      </c>
      <c r="D327" s="770" t="s">
        <v>6493</v>
      </c>
      <c r="E327" s="771"/>
      <c r="F327" s="457" t="s">
        <v>6545</v>
      </c>
      <c r="G327" s="778">
        <v>1</v>
      </c>
      <c r="H327" s="455" t="str">
        <f t="shared" si="6"/>
        <v>1</v>
      </c>
      <c r="I327" s="778">
        <v>1</v>
      </c>
      <c r="J327" s="460" t="str">
        <f t="shared" si="7"/>
        <v>1</v>
      </c>
      <c r="K327" s="778">
        <v>0</v>
      </c>
      <c r="L327" s="460"/>
      <c r="M327" s="778">
        <v>0</v>
      </c>
      <c r="N327" s="455"/>
      <c r="O327" s="778" t="b">
        <v>0</v>
      </c>
      <c r="P327" s="460"/>
    </row>
    <row r="328" spans="1:16">
      <c r="A328" s="456"/>
      <c r="B328" s="771"/>
      <c r="C328" s="768" t="s">
        <v>10120</v>
      </c>
      <c r="D328" s="770" t="s">
        <v>6493</v>
      </c>
      <c r="E328" s="771"/>
      <c r="F328" s="457" t="s">
        <v>6546</v>
      </c>
      <c r="G328" s="778">
        <v>1</v>
      </c>
      <c r="H328" s="455" t="str">
        <f t="shared" si="6"/>
        <v>1</v>
      </c>
      <c r="I328" s="778">
        <v>1</v>
      </c>
      <c r="J328" s="460" t="str">
        <f t="shared" si="7"/>
        <v>1</v>
      </c>
      <c r="K328" s="778">
        <v>0</v>
      </c>
      <c r="L328" s="460"/>
      <c r="M328" s="778">
        <v>0</v>
      </c>
      <c r="N328" s="455"/>
      <c r="O328" s="778" t="b">
        <v>0</v>
      </c>
      <c r="P328" s="460"/>
    </row>
    <row r="329" spans="1:16">
      <c r="A329" s="456"/>
      <c r="B329" s="771"/>
      <c r="C329" s="768" t="s">
        <v>10264</v>
      </c>
      <c r="D329" s="770">
        <v>8</v>
      </c>
      <c r="E329" s="771"/>
      <c r="F329" s="457" t="s">
        <v>8121</v>
      </c>
      <c r="G329" s="778">
        <v>8</v>
      </c>
      <c r="H329" s="455">
        <f t="shared" si="6"/>
        <v>8</v>
      </c>
      <c r="I329" s="778">
        <v>8</v>
      </c>
      <c r="J329" s="460">
        <f t="shared" si="7"/>
        <v>8</v>
      </c>
      <c r="K329" s="778">
        <v>0</v>
      </c>
      <c r="L329" s="460"/>
      <c r="M329" s="778">
        <v>0</v>
      </c>
      <c r="N329" s="455"/>
      <c r="O329" s="778" t="b">
        <v>0</v>
      </c>
      <c r="P329" s="460"/>
    </row>
    <row r="330" spans="1:16">
      <c r="A330" s="456"/>
      <c r="B330" s="771"/>
      <c r="C330" s="768" t="s">
        <v>10265</v>
      </c>
      <c r="D330" s="770">
        <v>8</v>
      </c>
      <c r="E330" s="771"/>
      <c r="F330" s="457" t="s">
        <v>8140</v>
      </c>
      <c r="G330" s="778">
        <v>8</v>
      </c>
      <c r="H330" s="455">
        <f t="shared" si="6"/>
        <v>8</v>
      </c>
      <c r="I330" s="778">
        <v>8</v>
      </c>
      <c r="J330" s="460">
        <f t="shared" si="7"/>
        <v>8</v>
      </c>
      <c r="K330" s="778">
        <v>0</v>
      </c>
      <c r="L330" s="460"/>
      <c r="M330" s="778">
        <v>0</v>
      </c>
      <c r="N330" s="455"/>
      <c r="O330" s="778" t="b">
        <v>0</v>
      </c>
      <c r="P330" s="460"/>
    </row>
    <row r="331" spans="1:16">
      <c r="A331" s="456"/>
      <c r="B331" s="771"/>
      <c r="C331" s="768" t="s">
        <v>10266</v>
      </c>
      <c r="D331" s="770">
        <v>10</v>
      </c>
      <c r="E331" s="771"/>
      <c r="F331" s="457" t="s">
        <v>8123</v>
      </c>
      <c r="G331" s="778">
        <v>10</v>
      </c>
      <c r="H331" s="455">
        <f t="shared" si="6"/>
        <v>10</v>
      </c>
      <c r="I331" s="778">
        <v>10</v>
      </c>
      <c r="J331" s="460">
        <f t="shared" si="7"/>
        <v>10</v>
      </c>
      <c r="K331" s="778">
        <v>0</v>
      </c>
      <c r="L331" s="460"/>
      <c r="M331" s="778">
        <v>0</v>
      </c>
      <c r="N331" s="455"/>
      <c r="O331" s="778" t="b">
        <v>0</v>
      </c>
      <c r="P331" s="460"/>
    </row>
    <row r="332" spans="1:16">
      <c r="A332" s="456"/>
      <c r="B332" s="771"/>
      <c r="C332" s="768" t="s">
        <v>10267</v>
      </c>
      <c r="D332" s="770">
        <v>10</v>
      </c>
      <c r="E332" s="771"/>
      <c r="F332" s="457" t="s">
        <v>8172</v>
      </c>
      <c r="G332" s="778">
        <v>10</v>
      </c>
      <c r="H332" s="455">
        <f t="shared" si="6"/>
        <v>10</v>
      </c>
      <c r="I332" s="778">
        <v>10</v>
      </c>
      <c r="J332" s="460">
        <f t="shared" si="7"/>
        <v>10</v>
      </c>
      <c r="K332" s="778">
        <v>0</v>
      </c>
      <c r="L332" s="460"/>
      <c r="M332" s="778">
        <v>0</v>
      </c>
      <c r="N332" s="455"/>
      <c r="O332" s="778" t="b">
        <v>0</v>
      </c>
      <c r="P332" s="460"/>
    </row>
    <row r="333" spans="1:16">
      <c r="A333" s="456"/>
      <c r="B333" s="771"/>
      <c r="C333" s="768" t="s">
        <v>10268</v>
      </c>
      <c r="D333" s="770">
        <v>6</v>
      </c>
      <c r="E333" s="771"/>
      <c r="F333" s="457" t="s">
        <v>8147</v>
      </c>
      <c r="G333" s="778">
        <v>6</v>
      </c>
      <c r="H333" s="455">
        <f t="shared" si="6"/>
        <v>6</v>
      </c>
      <c r="I333" s="778">
        <v>6</v>
      </c>
      <c r="J333" s="460">
        <f t="shared" si="7"/>
        <v>6</v>
      </c>
      <c r="K333" s="778">
        <v>0</v>
      </c>
      <c r="L333" s="460"/>
      <c r="M333" s="778">
        <v>0</v>
      </c>
      <c r="N333" s="455"/>
      <c r="O333" s="778" t="b">
        <v>0</v>
      </c>
      <c r="P333" s="460"/>
    </row>
    <row r="334" spans="1:16">
      <c r="A334" s="456"/>
      <c r="B334" s="771"/>
      <c r="C334" s="768" t="s">
        <v>10269</v>
      </c>
      <c r="D334" s="770">
        <v>8</v>
      </c>
      <c r="E334" s="771"/>
      <c r="F334" s="465" t="s">
        <v>8113</v>
      </c>
      <c r="G334" s="778">
        <v>8</v>
      </c>
      <c r="H334" s="455">
        <f t="shared" si="6"/>
        <v>8</v>
      </c>
      <c r="I334" s="778">
        <v>8</v>
      </c>
      <c r="J334" s="460">
        <f t="shared" si="7"/>
        <v>8</v>
      </c>
      <c r="K334" s="778">
        <v>0</v>
      </c>
      <c r="L334" s="460"/>
      <c r="M334" s="778">
        <v>0</v>
      </c>
      <c r="N334" s="772"/>
      <c r="O334" s="778" t="b">
        <v>0</v>
      </c>
      <c r="P334" s="460"/>
    </row>
    <row r="335" spans="1:16">
      <c r="A335" s="456"/>
      <c r="B335" s="771"/>
      <c r="C335" s="768" t="s">
        <v>10270</v>
      </c>
      <c r="D335" s="770">
        <v>10</v>
      </c>
      <c r="E335" s="771"/>
      <c r="F335" s="457" t="s">
        <v>8177</v>
      </c>
      <c r="G335" s="778">
        <v>10</v>
      </c>
      <c r="H335" s="455">
        <f t="shared" si="6"/>
        <v>10</v>
      </c>
      <c r="I335" s="778">
        <v>10</v>
      </c>
      <c r="J335" s="460">
        <f t="shared" si="7"/>
        <v>10</v>
      </c>
      <c r="K335" s="778">
        <v>0</v>
      </c>
      <c r="L335" s="460"/>
      <c r="M335" s="778">
        <v>0</v>
      </c>
      <c r="N335" s="772"/>
      <c r="O335" s="778" t="b">
        <v>0</v>
      </c>
      <c r="P335" s="460"/>
    </row>
    <row r="336" spans="1:16" s="436" customFormat="1">
      <c r="A336" s="461"/>
      <c r="B336" s="771"/>
      <c r="C336" s="768" t="s">
        <v>10271</v>
      </c>
      <c r="D336" s="770">
        <v>10</v>
      </c>
      <c r="E336" s="771"/>
      <c r="F336" s="774" t="s">
        <v>8128</v>
      </c>
      <c r="G336" s="778">
        <v>10</v>
      </c>
      <c r="H336" s="772">
        <f t="shared" si="6"/>
        <v>10</v>
      </c>
      <c r="I336" s="778">
        <v>10</v>
      </c>
      <c r="J336" s="460">
        <f t="shared" si="7"/>
        <v>10</v>
      </c>
      <c r="K336" s="778">
        <v>0</v>
      </c>
      <c r="L336" s="460"/>
      <c r="M336" s="778">
        <v>0</v>
      </c>
      <c r="N336" s="772"/>
      <c r="O336" s="778" t="b">
        <v>0</v>
      </c>
      <c r="P336" s="460"/>
    </row>
    <row r="337" spans="1:16" s="436" customFormat="1">
      <c r="A337" s="461"/>
      <c r="B337" s="771"/>
      <c r="C337" s="768" t="s">
        <v>10272</v>
      </c>
      <c r="D337" s="770">
        <v>10</v>
      </c>
      <c r="E337" s="771"/>
      <c r="F337" s="774" t="s">
        <v>8182</v>
      </c>
      <c r="G337" s="778">
        <v>10</v>
      </c>
      <c r="H337" s="772">
        <f t="shared" si="6"/>
        <v>10</v>
      </c>
      <c r="I337" s="778">
        <v>10</v>
      </c>
      <c r="J337" s="460">
        <f t="shared" si="7"/>
        <v>10</v>
      </c>
      <c r="K337" s="778">
        <v>0</v>
      </c>
      <c r="L337" s="460"/>
      <c r="M337" s="778">
        <v>0</v>
      </c>
      <c r="N337" s="772"/>
      <c r="O337" s="778" t="b">
        <v>0</v>
      </c>
      <c r="P337" s="460"/>
    </row>
    <row r="338" spans="1:16" s="436" customFormat="1">
      <c r="A338" s="461"/>
      <c r="B338" s="771"/>
      <c r="C338" s="768" t="s">
        <v>10273</v>
      </c>
      <c r="D338" s="770">
        <v>6</v>
      </c>
      <c r="E338" s="771"/>
      <c r="F338" s="774" t="s">
        <v>8117</v>
      </c>
      <c r="G338" s="778">
        <v>6</v>
      </c>
      <c r="H338" s="772">
        <f t="shared" si="6"/>
        <v>6</v>
      </c>
      <c r="I338" s="778">
        <v>6</v>
      </c>
      <c r="J338" s="460">
        <f t="shared" si="7"/>
        <v>6</v>
      </c>
      <c r="K338" s="778">
        <v>0</v>
      </c>
      <c r="L338" s="460"/>
      <c r="M338" s="778">
        <v>0</v>
      </c>
      <c r="N338" s="772"/>
      <c r="O338" s="778" t="b">
        <v>0</v>
      </c>
      <c r="P338" s="460"/>
    </row>
    <row r="339" spans="1:16" s="436" customFormat="1">
      <c r="A339" s="461"/>
      <c r="B339" s="771"/>
      <c r="C339" s="768" t="s">
        <v>10274</v>
      </c>
      <c r="D339" s="770">
        <v>10</v>
      </c>
      <c r="E339" s="771"/>
      <c r="F339" s="774" t="s">
        <v>8179</v>
      </c>
      <c r="G339" s="778">
        <v>10</v>
      </c>
      <c r="H339" s="772">
        <f t="shared" si="6"/>
        <v>10</v>
      </c>
      <c r="I339" s="778">
        <v>10</v>
      </c>
      <c r="J339" s="460">
        <f t="shared" si="7"/>
        <v>10</v>
      </c>
      <c r="K339" s="778">
        <v>0</v>
      </c>
      <c r="L339" s="460"/>
      <c r="M339" s="778">
        <v>0</v>
      </c>
      <c r="N339" s="772"/>
      <c r="O339" s="778" t="b">
        <v>0</v>
      </c>
      <c r="P339" s="460"/>
    </row>
    <row r="340" spans="1:16" s="436" customFormat="1">
      <c r="A340" s="461"/>
      <c r="B340" s="771"/>
      <c r="C340" s="768" t="s">
        <v>10275</v>
      </c>
      <c r="D340" s="770">
        <v>10</v>
      </c>
      <c r="E340" s="771"/>
      <c r="F340" s="774" t="s">
        <v>8174</v>
      </c>
      <c r="G340" s="778">
        <v>10</v>
      </c>
      <c r="H340" s="772">
        <f t="shared" si="6"/>
        <v>10</v>
      </c>
      <c r="I340" s="778">
        <v>10</v>
      </c>
      <c r="J340" s="460">
        <f t="shared" si="7"/>
        <v>10</v>
      </c>
      <c r="K340" s="778">
        <v>0</v>
      </c>
      <c r="L340" s="460"/>
      <c r="M340" s="778">
        <v>0</v>
      </c>
      <c r="N340" s="772"/>
      <c r="O340" s="778" t="b">
        <v>0</v>
      </c>
      <c r="P340" s="460"/>
    </row>
    <row r="341" spans="1:16" s="436" customFormat="1">
      <c r="A341" s="461"/>
      <c r="B341" s="771"/>
      <c r="C341" s="768" t="s">
        <v>10276</v>
      </c>
      <c r="D341" s="770">
        <v>10</v>
      </c>
      <c r="E341" s="771"/>
      <c r="F341" s="774" t="s">
        <v>8141</v>
      </c>
      <c r="G341" s="778">
        <v>10</v>
      </c>
      <c r="H341" s="772">
        <f t="shared" si="6"/>
        <v>10</v>
      </c>
      <c r="I341" s="778">
        <v>10</v>
      </c>
      <c r="J341" s="460">
        <f t="shared" si="7"/>
        <v>10</v>
      </c>
      <c r="K341" s="778">
        <v>0</v>
      </c>
      <c r="L341" s="460"/>
      <c r="M341" s="778">
        <v>0</v>
      </c>
      <c r="N341" s="772"/>
      <c r="O341" s="778" t="b">
        <v>0</v>
      </c>
      <c r="P341" s="460"/>
    </row>
    <row r="342" spans="1:16" s="436" customFormat="1">
      <c r="A342" s="461"/>
      <c r="B342" s="771"/>
      <c r="C342" s="768" t="s">
        <v>10277</v>
      </c>
      <c r="D342" s="770">
        <v>6</v>
      </c>
      <c r="E342" s="771"/>
      <c r="F342" s="774" t="s">
        <v>8106</v>
      </c>
      <c r="G342" s="778">
        <v>6</v>
      </c>
      <c r="H342" s="772">
        <f t="shared" si="6"/>
        <v>6</v>
      </c>
      <c r="I342" s="778">
        <v>6</v>
      </c>
      <c r="J342" s="460">
        <f t="shared" si="7"/>
        <v>6</v>
      </c>
      <c r="K342" s="778">
        <v>0</v>
      </c>
      <c r="L342" s="460"/>
      <c r="M342" s="778">
        <v>0</v>
      </c>
      <c r="N342" s="772"/>
      <c r="O342" s="778" t="b">
        <v>0</v>
      </c>
      <c r="P342" s="460"/>
    </row>
    <row r="343" spans="1:16" s="436" customFormat="1">
      <c r="A343" s="461"/>
      <c r="B343" s="771"/>
      <c r="C343" s="768" t="s">
        <v>10278</v>
      </c>
      <c r="D343" s="770">
        <v>8</v>
      </c>
      <c r="E343" s="771"/>
      <c r="F343" s="774" t="s">
        <v>8108</v>
      </c>
      <c r="G343" s="778">
        <v>8</v>
      </c>
      <c r="H343" s="772">
        <f t="shared" si="6"/>
        <v>8</v>
      </c>
      <c r="I343" s="778">
        <v>8</v>
      </c>
      <c r="J343" s="460">
        <f t="shared" si="7"/>
        <v>8</v>
      </c>
      <c r="K343" s="778">
        <v>0</v>
      </c>
      <c r="L343" s="460"/>
      <c r="M343" s="778">
        <v>0</v>
      </c>
      <c r="N343" s="772"/>
      <c r="O343" s="778" t="b">
        <v>0</v>
      </c>
      <c r="P343" s="460"/>
    </row>
    <row r="344" spans="1:16" s="436" customFormat="1">
      <c r="A344" s="461"/>
      <c r="B344" s="771"/>
      <c r="C344" s="768" t="s">
        <v>10279</v>
      </c>
      <c r="D344" s="770">
        <v>8</v>
      </c>
      <c r="E344" s="771"/>
      <c r="F344" s="774" t="s">
        <v>8195</v>
      </c>
      <c r="G344" s="778">
        <v>8</v>
      </c>
      <c r="H344" s="772">
        <f t="shared" si="6"/>
        <v>8</v>
      </c>
      <c r="I344" s="778">
        <v>8</v>
      </c>
      <c r="J344" s="460">
        <f t="shared" si="7"/>
        <v>8</v>
      </c>
      <c r="K344" s="778">
        <v>0</v>
      </c>
      <c r="L344" s="460"/>
      <c r="M344" s="778">
        <v>0</v>
      </c>
      <c r="N344" s="772"/>
      <c r="O344" s="778" t="b">
        <v>0</v>
      </c>
      <c r="P344" s="460"/>
    </row>
    <row r="345" spans="1:16" s="436" customFormat="1">
      <c r="A345" s="461"/>
      <c r="B345" s="771"/>
      <c r="C345" s="768" t="s">
        <v>10280</v>
      </c>
      <c r="D345" s="770">
        <v>10</v>
      </c>
      <c r="E345" s="771"/>
      <c r="F345" s="774" t="s">
        <v>8111</v>
      </c>
      <c r="G345" s="778">
        <v>10</v>
      </c>
      <c r="H345" s="772">
        <f t="shared" si="6"/>
        <v>10</v>
      </c>
      <c r="I345" s="778">
        <v>10</v>
      </c>
      <c r="J345" s="460">
        <f t="shared" si="7"/>
        <v>10</v>
      </c>
      <c r="K345" s="778">
        <v>0</v>
      </c>
      <c r="L345" s="460"/>
      <c r="M345" s="778">
        <v>0</v>
      </c>
      <c r="N345" s="772"/>
      <c r="O345" s="778" t="b">
        <v>0</v>
      </c>
      <c r="P345" s="460"/>
    </row>
    <row r="346" spans="1:16" s="436" customFormat="1">
      <c r="A346" s="461"/>
      <c r="B346" s="771"/>
      <c r="C346" s="768" t="s">
        <v>10281</v>
      </c>
      <c r="D346" s="770">
        <v>12</v>
      </c>
      <c r="E346" s="771"/>
      <c r="F346" s="774" t="s">
        <v>8176</v>
      </c>
      <c r="G346" s="778">
        <v>12</v>
      </c>
      <c r="H346" s="772">
        <f t="shared" si="6"/>
        <v>12</v>
      </c>
      <c r="I346" s="778">
        <v>12</v>
      </c>
      <c r="J346" s="460">
        <f t="shared" si="7"/>
        <v>12</v>
      </c>
      <c r="K346" s="778">
        <v>0</v>
      </c>
      <c r="L346" s="460"/>
      <c r="M346" s="778">
        <v>0</v>
      </c>
      <c r="N346" s="772"/>
      <c r="O346" s="778" t="b">
        <v>0</v>
      </c>
      <c r="P346" s="460"/>
    </row>
    <row r="347" spans="1:16" s="436" customFormat="1">
      <c r="A347" s="461"/>
      <c r="B347" s="771"/>
      <c r="C347" s="768" t="s">
        <v>10282</v>
      </c>
      <c r="D347" s="770">
        <v>0.5</v>
      </c>
      <c r="E347" s="771"/>
      <c r="F347" s="774" t="s">
        <v>8162</v>
      </c>
      <c r="G347" s="778">
        <v>0.5</v>
      </c>
      <c r="H347" s="772">
        <f t="shared" si="6"/>
        <v>0.5</v>
      </c>
      <c r="I347" s="778">
        <v>0.5</v>
      </c>
      <c r="J347" s="460">
        <f t="shared" si="7"/>
        <v>0.5</v>
      </c>
      <c r="K347" s="778">
        <v>0</v>
      </c>
      <c r="L347" s="460"/>
      <c r="M347" s="778">
        <v>0</v>
      </c>
      <c r="N347" s="772"/>
      <c r="O347" s="778" t="b">
        <v>0</v>
      </c>
      <c r="P347" s="460"/>
    </row>
    <row r="348" spans="1:16" s="436" customFormat="1">
      <c r="A348" s="461"/>
      <c r="B348" s="771"/>
      <c r="C348" s="768" t="s">
        <v>10178</v>
      </c>
      <c r="D348" s="770" t="s">
        <v>7719</v>
      </c>
      <c r="E348" s="771"/>
      <c r="F348" s="774" t="s">
        <v>7742</v>
      </c>
      <c r="G348" s="778">
        <v>10</v>
      </c>
      <c r="H348" s="772" t="str">
        <f t="shared" si="6"/>
        <v>10</v>
      </c>
      <c r="I348" s="778">
        <v>10</v>
      </c>
      <c r="J348" s="460" t="str">
        <f t="shared" si="7"/>
        <v>10</v>
      </c>
      <c r="K348" s="778">
        <v>0</v>
      </c>
      <c r="L348" s="460"/>
      <c r="M348" s="778">
        <v>0</v>
      </c>
      <c r="N348" s="772"/>
      <c r="O348" s="778" t="b">
        <v>0</v>
      </c>
      <c r="P348" s="460"/>
    </row>
    <row r="349" spans="1:16" s="436" customFormat="1">
      <c r="A349" s="461"/>
      <c r="B349" s="771"/>
      <c r="C349" s="768" t="s">
        <v>10179</v>
      </c>
      <c r="D349" s="770" t="s">
        <v>7719</v>
      </c>
      <c r="E349" s="771"/>
      <c r="F349" s="774" t="s">
        <v>7743</v>
      </c>
      <c r="G349" s="778">
        <v>10</v>
      </c>
      <c r="H349" s="772" t="str">
        <f t="shared" si="6"/>
        <v>10</v>
      </c>
      <c r="I349" s="778">
        <v>10</v>
      </c>
      <c r="J349" s="460" t="str">
        <f t="shared" si="7"/>
        <v>10</v>
      </c>
      <c r="K349" s="778">
        <v>0</v>
      </c>
      <c r="L349" s="460"/>
      <c r="M349" s="778">
        <v>0</v>
      </c>
      <c r="N349" s="772"/>
      <c r="O349" s="778" t="b">
        <v>0</v>
      </c>
      <c r="P349" s="460"/>
    </row>
    <row r="350" spans="1:16" s="436" customFormat="1">
      <c r="A350" s="461"/>
      <c r="B350" s="771"/>
      <c r="C350" s="768" t="s">
        <v>10180</v>
      </c>
      <c r="D350" s="770" t="s">
        <v>7717</v>
      </c>
      <c r="E350" s="771"/>
      <c r="F350" s="774" t="s">
        <v>7744</v>
      </c>
      <c r="G350" s="778">
        <v>8</v>
      </c>
      <c r="H350" s="772" t="str">
        <f t="shared" si="6"/>
        <v>8</v>
      </c>
      <c r="I350" s="778">
        <v>8</v>
      </c>
      <c r="J350" s="460" t="str">
        <f t="shared" si="7"/>
        <v>8</v>
      </c>
      <c r="K350" s="778">
        <v>0</v>
      </c>
      <c r="L350" s="460"/>
      <c r="M350" s="778">
        <v>0</v>
      </c>
      <c r="N350" s="772"/>
      <c r="O350" s="778" t="b">
        <v>0</v>
      </c>
      <c r="P350" s="460"/>
    </row>
    <row r="351" spans="1:16" s="436" customFormat="1">
      <c r="A351" s="461"/>
      <c r="B351" s="771"/>
      <c r="C351" s="768" t="s">
        <v>10181</v>
      </c>
      <c r="D351" s="770" t="s">
        <v>7719</v>
      </c>
      <c r="E351" s="771"/>
      <c r="F351" s="774" t="s">
        <v>7745</v>
      </c>
      <c r="G351" s="778">
        <v>10</v>
      </c>
      <c r="H351" s="772" t="str">
        <f t="shared" si="6"/>
        <v>10</v>
      </c>
      <c r="I351" s="778">
        <v>10</v>
      </c>
      <c r="J351" s="460" t="str">
        <f t="shared" si="7"/>
        <v>10</v>
      </c>
      <c r="K351" s="778">
        <v>0</v>
      </c>
      <c r="L351" s="460"/>
      <c r="M351" s="778">
        <v>0</v>
      </c>
      <c r="N351" s="772"/>
      <c r="O351" s="778" t="b">
        <v>0</v>
      </c>
      <c r="P351" s="460"/>
    </row>
    <row r="352" spans="1:16" s="436" customFormat="1">
      <c r="A352" s="461"/>
      <c r="B352" s="771"/>
      <c r="C352" s="768" t="s">
        <v>10182</v>
      </c>
      <c r="D352" s="770" t="s">
        <v>7719</v>
      </c>
      <c r="E352" s="771"/>
      <c r="F352" s="774" t="s">
        <v>7746</v>
      </c>
      <c r="G352" s="778">
        <v>10</v>
      </c>
      <c r="H352" s="772" t="str">
        <f t="shared" si="6"/>
        <v>10</v>
      </c>
      <c r="I352" s="778">
        <v>10</v>
      </c>
      <c r="J352" s="460" t="str">
        <f t="shared" si="7"/>
        <v>10</v>
      </c>
      <c r="K352" s="778">
        <v>0</v>
      </c>
      <c r="L352" s="460"/>
      <c r="M352" s="778">
        <v>0</v>
      </c>
      <c r="N352" s="772"/>
      <c r="O352" s="778" t="b">
        <v>0</v>
      </c>
      <c r="P352" s="460"/>
    </row>
    <row r="353" spans="1:16" s="436" customFormat="1">
      <c r="A353" s="461"/>
      <c r="B353" s="771"/>
      <c r="C353" s="768" t="s">
        <v>10183</v>
      </c>
      <c r="D353" s="770" t="s">
        <v>7719</v>
      </c>
      <c r="E353" s="771"/>
      <c r="F353" s="774" t="s">
        <v>7747</v>
      </c>
      <c r="G353" s="778">
        <v>10</v>
      </c>
      <c r="H353" s="772" t="str">
        <f t="shared" si="6"/>
        <v>10</v>
      </c>
      <c r="I353" s="778">
        <v>10</v>
      </c>
      <c r="J353" s="460" t="str">
        <f t="shared" si="7"/>
        <v>10</v>
      </c>
      <c r="K353" s="778">
        <v>0</v>
      </c>
      <c r="L353" s="460"/>
      <c r="M353" s="778">
        <v>0</v>
      </c>
      <c r="N353" s="772"/>
      <c r="O353" s="778" t="b">
        <v>0</v>
      </c>
      <c r="P353" s="460"/>
    </row>
    <row r="354" spans="1:16" s="436" customFormat="1">
      <c r="A354" s="461"/>
      <c r="B354" s="771"/>
      <c r="C354" s="768" t="s">
        <v>10184</v>
      </c>
      <c r="D354" s="770" t="s">
        <v>7719</v>
      </c>
      <c r="E354" s="771"/>
      <c r="F354" s="774" t="s">
        <v>7748</v>
      </c>
      <c r="G354" s="778">
        <v>10</v>
      </c>
      <c r="H354" s="772" t="str">
        <f t="shared" si="6"/>
        <v>10</v>
      </c>
      <c r="I354" s="778">
        <v>10</v>
      </c>
      <c r="J354" s="460" t="str">
        <f t="shared" si="7"/>
        <v>10</v>
      </c>
      <c r="K354" s="778">
        <v>0</v>
      </c>
      <c r="L354" s="460"/>
      <c r="M354" s="778">
        <v>0</v>
      </c>
      <c r="N354" s="772"/>
      <c r="O354" s="778" t="b">
        <v>0</v>
      </c>
      <c r="P354" s="460"/>
    </row>
    <row r="355" spans="1:16" s="436" customFormat="1">
      <c r="A355" s="461"/>
      <c r="B355" s="771"/>
      <c r="C355" s="768" t="s">
        <v>10185</v>
      </c>
      <c r="D355" s="770" t="s">
        <v>7717</v>
      </c>
      <c r="E355" s="771"/>
      <c r="F355" s="774" t="s">
        <v>7749</v>
      </c>
      <c r="G355" s="778">
        <v>8</v>
      </c>
      <c r="H355" s="772" t="str">
        <f t="shared" si="6"/>
        <v>8</v>
      </c>
      <c r="I355" s="778">
        <v>8</v>
      </c>
      <c r="J355" s="460" t="str">
        <f t="shared" si="7"/>
        <v>8</v>
      </c>
      <c r="K355" s="778">
        <v>0</v>
      </c>
      <c r="L355" s="460"/>
      <c r="M355" s="778">
        <v>0</v>
      </c>
      <c r="N355" s="772"/>
      <c r="O355" s="778" t="b">
        <v>0</v>
      </c>
      <c r="P355" s="460"/>
    </row>
    <row r="356" spans="1:16" s="436" customFormat="1">
      <c r="A356" s="461"/>
      <c r="B356" s="771"/>
      <c r="C356" s="768" t="s">
        <v>10186</v>
      </c>
      <c r="D356" s="770" t="s">
        <v>7717</v>
      </c>
      <c r="E356" s="771"/>
      <c r="F356" s="774" t="s">
        <v>7750</v>
      </c>
      <c r="G356" s="778">
        <v>8</v>
      </c>
      <c r="H356" s="772" t="str">
        <f t="shared" si="6"/>
        <v>8</v>
      </c>
      <c r="I356" s="778">
        <v>8</v>
      </c>
      <c r="J356" s="460" t="str">
        <f t="shared" si="7"/>
        <v>8</v>
      </c>
      <c r="K356" s="778">
        <v>0</v>
      </c>
      <c r="L356" s="460"/>
      <c r="M356" s="778">
        <v>0</v>
      </c>
      <c r="N356" s="772"/>
      <c r="O356" s="778" t="b">
        <v>0</v>
      </c>
      <c r="P356" s="460"/>
    </row>
    <row r="357" spans="1:16" s="436" customFormat="1">
      <c r="A357" s="461"/>
      <c r="B357" s="771"/>
      <c r="C357" s="768" t="s">
        <v>10187</v>
      </c>
      <c r="D357" s="770" t="s">
        <v>7717</v>
      </c>
      <c r="E357" s="771"/>
      <c r="F357" s="774" t="s">
        <v>7751</v>
      </c>
      <c r="G357" s="778">
        <v>8</v>
      </c>
      <c r="H357" s="772" t="str">
        <f t="shared" si="6"/>
        <v>8</v>
      </c>
      <c r="I357" s="778">
        <v>8</v>
      </c>
      <c r="J357" s="460" t="str">
        <f t="shared" si="7"/>
        <v>8</v>
      </c>
      <c r="K357" s="778">
        <v>0</v>
      </c>
      <c r="L357" s="460"/>
      <c r="M357" s="778">
        <v>0</v>
      </c>
      <c r="N357" s="772"/>
      <c r="O357" s="778" t="b">
        <v>0</v>
      </c>
      <c r="P357" s="460"/>
    </row>
    <row r="358" spans="1:16" s="436" customFormat="1">
      <c r="A358" s="461"/>
      <c r="B358" s="771"/>
      <c r="C358" s="768" t="s">
        <v>10188</v>
      </c>
      <c r="D358" s="770" t="s">
        <v>7719</v>
      </c>
      <c r="E358" s="771"/>
      <c r="F358" s="774" t="s">
        <v>7752</v>
      </c>
      <c r="G358" s="778">
        <v>10</v>
      </c>
      <c r="H358" s="772" t="str">
        <f t="shared" si="6"/>
        <v>10</v>
      </c>
      <c r="I358" s="778">
        <v>10</v>
      </c>
      <c r="J358" s="460" t="str">
        <f t="shared" si="7"/>
        <v>10</v>
      </c>
      <c r="K358" s="778">
        <v>0</v>
      </c>
      <c r="L358" s="460"/>
      <c r="M358" s="778">
        <v>0</v>
      </c>
      <c r="N358" s="772"/>
      <c r="O358" s="778" t="b">
        <v>0</v>
      </c>
      <c r="P358" s="460"/>
    </row>
    <row r="359" spans="1:16" s="436" customFormat="1">
      <c r="A359" s="461"/>
      <c r="B359" s="771"/>
      <c r="C359" s="768" t="s">
        <v>10189</v>
      </c>
      <c r="D359" s="770" t="s">
        <v>7719</v>
      </c>
      <c r="E359" s="771"/>
      <c r="F359" s="774" t="s">
        <v>7753</v>
      </c>
      <c r="G359" s="778">
        <v>10</v>
      </c>
      <c r="H359" s="772" t="str">
        <f t="shared" si="6"/>
        <v>10</v>
      </c>
      <c r="I359" s="778">
        <v>10</v>
      </c>
      <c r="J359" s="460" t="str">
        <f t="shared" si="7"/>
        <v>10</v>
      </c>
      <c r="K359" s="778">
        <v>0</v>
      </c>
      <c r="L359" s="460"/>
      <c r="M359" s="778">
        <v>0</v>
      </c>
      <c r="N359" s="772"/>
      <c r="O359" s="778" t="b">
        <v>0</v>
      </c>
      <c r="P359" s="460"/>
    </row>
    <row r="360" spans="1:16" s="436" customFormat="1">
      <c r="A360" s="461"/>
      <c r="B360" s="771"/>
      <c r="C360" s="768" t="s">
        <v>10190</v>
      </c>
      <c r="D360" s="770" t="s">
        <v>7754</v>
      </c>
      <c r="E360" s="771"/>
      <c r="F360" s="774" t="s">
        <v>7755</v>
      </c>
      <c r="G360" s="778">
        <v>4</v>
      </c>
      <c r="H360" s="772" t="str">
        <f t="shared" ref="H360:H423" si="8">D360</f>
        <v>4</v>
      </c>
      <c r="I360" s="778">
        <v>4</v>
      </c>
      <c r="J360" s="460" t="str">
        <f t="shared" si="7"/>
        <v>4</v>
      </c>
      <c r="K360" s="778">
        <v>0</v>
      </c>
      <c r="L360" s="460"/>
      <c r="M360" s="778">
        <v>0</v>
      </c>
      <c r="N360" s="772"/>
      <c r="O360" s="778" t="b">
        <v>0</v>
      </c>
      <c r="P360" s="460"/>
    </row>
    <row r="361" spans="1:16" s="436" customFormat="1">
      <c r="A361" s="461"/>
      <c r="B361" s="771"/>
      <c r="C361" s="768" t="s">
        <v>10191</v>
      </c>
      <c r="D361" s="770" t="s">
        <v>7719</v>
      </c>
      <c r="E361" s="771"/>
      <c r="F361" s="774" t="s">
        <v>7756</v>
      </c>
      <c r="G361" s="778">
        <v>10</v>
      </c>
      <c r="H361" s="772" t="str">
        <f t="shared" si="8"/>
        <v>10</v>
      </c>
      <c r="I361" s="778">
        <v>10</v>
      </c>
      <c r="J361" s="460" t="str">
        <f t="shared" si="7"/>
        <v>10</v>
      </c>
      <c r="K361" s="778">
        <v>0</v>
      </c>
      <c r="L361" s="460"/>
      <c r="M361" s="778">
        <v>0</v>
      </c>
      <c r="N361" s="772"/>
      <c r="O361" s="778" t="b">
        <v>0</v>
      </c>
      <c r="P361" s="460"/>
    </row>
    <row r="362" spans="1:16" s="436" customFormat="1">
      <c r="A362" s="461"/>
      <c r="B362" s="771"/>
      <c r="C362" s="768" t="s">
        <v>10192</v>
      </c>
      <c r="D362" s="770" t="s">
        <v>7717</v>
      </c>
      <c r="E362" s="771"/>
      <c r="F362" s="774" t="s">
        <v>7757</v>
      </c>
      <c r="G362" s="778">
        <v>8</v>
      </c>
      <c r="H362" s="772" t="str">
        <f t="shared" si="8"/>
        <v>8</v>
      </c>
      <c r="I362" s="778">
        <v>8</v>
      </c>
      <c r="J362" s="460" t="str">
        <f t="shared" si="7"/>
        <v>8</v>
      </c>
      <c r="K362" s="778">
        <v>0</v>
      </c>
      <c r="L362" s="460"/>
      <c r="M362" s="778">
        <v>0</v>
      </c>
      <c r="N362" s="772"/>
      <c r="O362" s="778" t="b">
        <v>0</v>
      </c>
      <c r="P362" s="460"/>
    </row>
    <row r="363" spans="1:16" s="436" customFormat="1">
      <c r="A363" s="461"/>
      <c r="B363" s="771"/>
      <c r="C363" s="768" t="s">
        <v>10193</v>
      </c>
      <c r="D363" s="770" t="s">
        <v>7719</v>
      </c>
      <c r="E363" s="771"/>
      <c r="F363" s="774" t="s">
        <v>7758</v>
      </c>
      <c r="G363" s="778">
        <v>10</v>
      </c>
      <c r="H363" s="772" t="str">
        <f t="shared" si="8"/>
        <v>10</v>
      </c>
      <c r="I363" s="778">
        <v>10</v>
      </c>
      <c r="J363" s="460" t="str">
        <f t="shared" si="7"/>
        <v>10</v>
      </c>
      <c r="K363" s="778">
        <v>0</v>
      </c>
      <c r="L363" s="460"/>
      <c r="M363" s="778">
        <v>0</v>
      </c>
      <c r="N363" s="772"/>
      <c r="O363" s="778" t="b">
        <v>0</v>
      </c>
      <c r="P363" s="460"/>
    </row>
    <row r="364" spans="1:16" s="436" customFormat="1">
      <c r="A364" s="461"/>
      <c r="B364" s="771"/>
      <c r="C364" s="768" t="s">
        <v>10194</v>
      </c>
      <c r="D364" s="770" t="s">
        <v>7719</v>
      </c>
      <c r="E364" s="771"/>
      <c r="F364" s="774" t="s">
        <v>7759</v>
      </c>
      <c r="G364" s="778">
        <v>10</v>
      </c>
      <c r="H364" s="772" t="str">
        <f t="shared" si="8"/>
        <v>10</v>
      </c>
      <c r="I364" s="778">
        <v>10</v>
      </c>
      <c r="J364" s="460" t="str">
        <f t="shared" si="7"/>
        <v>10</v>
      </c>
      <c r="K364" s="778">
        <v>0</v>
      </c>
      <c r="L364" s="460"/>
      <c r="M364" s="778">
        <v>0</v>
      </c>
      <c r="N364" s="772"/>
      <c r="O364" s="778" t="b">
        <v>0</v>
      </c>
      <c r="P364" s="460"/>
    </row>
    <row r="365" spans="1:16" s="436" customFormat="1">
      <c r="A365" s="461"/>
      <c r="B365" s="771"/>
      <c r="C365" s="768" t="s">
        <v>10195</v>
      </c>
      <c r="D365" s="770" t="s">
        <v>7717</v>
      </c>
      <c r="E365" s="771"/>
      <c r="F365" s="774" t="s">
        <v>7760</v>
      </c>
      <c r="G365" s="778">
        <v>8</v>
      </c>
      <c r="H365" s="772" t="str">
        <f t="shared" si="8"/>
        <v>8</v>
      </c>
      <c r="I365" s="778">
        <v>8</v>
      </c>
      <c r="J365" s="460" t="str">
        <f t="shared" si="7"/>
        <v>8</v>
      </c>
      <c r="K365" s="778">
        <v>0</v>
      </c>
      <c r="L365" s="460"/>
      <c r="M365" s="778">
        <v>0</v>
      </c>
      <c r="N365" s="772"/>
      <c r="O365" s="778" t="b">
        <v>0</v>
      </c>
      <c r="P365" s="460"/>
    </row>
    <row r="366" spans="1:16" s="436" customFormat="1">
      <c r="A366" s="461"/>
      <c r="B366" s="771"/>
      <c r="C366" s="768" t="s">
        <v>10152</v>
      </c>
      <c r="D366" s="770" t="s">
        <v>7698</v>
      </c>
      <c r="E366" s="771"/>
      <c r="F366" s="774" t="s">
        <v>7699</v>
      </c>
      <c r="G366" s="778">
        <v>2</v>
      </c>
      <c r="H366" s="772" t="str">
        <f t="shared" si="8"/>
        <v>2</v>
      </c>
      <c r="I366" s="778">
        <v>2</v>
      </c>
      <c r="J366" s="460" t="str">
        <f t="shared" si="7"/>
        <v>2</v>
      </c>
      <c r="K366" s="778">
        <v>0</v>
      </c>
      <c r="L366" s="460"/>
      <c r="M366" s="778">
        <v>0</v>
      </c>
      <c r="N366" s="772"/>
      <c r="O366" s="778" t="b">
        <v>0</v>
      </c>
      <c r="P366" s="460"/>
    </row>
    <row r="367" spans="1:16" s="436" customFormat="1">
      <c r="A367" s="461"/>
      <c r="B367" s="771"/>
      <c r="C367" s="768" t="s">
        <v>10163</v>
      </c>
      <c r="D367" s="770" t="s">
        <v>7717</v>
      </c>
      <c r="E367" s="771"/>
      <c r="F367" s="774" t="s">
        <v>7718</v>
      </c>
      <c r="G367" s="778">
        <v>8</v>
      </c>
      <c r="H367" s="772" t="str">
        <f t="shared" si="8"/>
        <v>8</v>
      </c>
      <c r="I367" s="778">
        <v>8</v>
      </c>
      <c r="J367" s="460" t="str">
        <f t="shared" si="7"/>
        <v>8</v>
      </c>
      <c r="K367" s="778">
        <v>0</v>
      </c>
      <c r="L367" s="460"/>
      <c r="M367" s="778">
        <v>0</v>
      </c>
      <c r="N367" s="772"/>
      <c r="O367" s="778" t="b">
        <v>0</v>
      </c>
      <c r="P367" s="460"/>
    </row>
    <row r="368" spans="1:16" s="436" customFormat="1">
      <c r="A368" s="461"/>
      <c r="B368" s="771"/>
      <c r="C368" s="768" t="s">
        <v>10153</v>
      </c>
      <c r="D368" s="770" t="s">
        <v>7698</v>
      </c>
      <c r="E368" s="771"/>
      <c r="F368" s="774" t="s">
        <v>7700</v>
      </c>
      <c r="G368" s="778">
        <v>2</v>
      </c>
      <c r="H368" s="772" t="str">
        <f t="shared" si="8"/>
        <v>2</v>
      </c>
      <c r="I368" s="778">
        <v>2</v>
      </c>
      <c r="J368" s="460" t="str">
        <f t="shared" si="7"/>
        <v>2</v>
      </c>
      <c r="K368" s="778">
        <v>0</v>
      </c>
      <c r="L368" s="460"/>
      <c r="M368" s="778">
        <v>0</v>
      </c>
      <c r="N368" s="772"/>
      <c r="O368" s="778" t="b">
        <v>0</v>
      </c>
      <c r="P368" s="460"/>
    </row>
    <row r="369" spans="1:16" s="436" customFormat="1">
      <c r="A369" s="461"/>
      <c r="B369" s="771"/>
      <c r="C369" s="768" t="s">
        <v>10154</v>
      </c>
      <c r="D369" s="770" t="s">
        <v>7698</v>
      </c>
      <c r="E369" s="771"/>
      <c r="F369" s="774" t="s">
        <v>7701</v>
      </c>
      <c r="G369" s="778">
        <v>2</v>
      </c>
      <c r="H369" s="772" t="str">
        <f t="shared" si="8"/>
        <v>2</v>
      </c>
      <c r="I369" s="778">
        <v>2</v>
      </c>
      <c r="J369" s="460" t="str">
        <f t="shared" si="7"/>
        <v>2</v>
      </c>
      <c r="K369" s="778">
        <v>0</v>
      </c>
      <c r="L369" s="460"/>
      <c r="M369" s="778">
        <v>0</v>
      </c>
      <c r="N369" s="772"/>
      <c r="O369" s="778" t="b">
        <v>0</v>
      </c>
      <c r="P369" s="460"/>
    </row>
    <row r="370" spans="1:16" s="436" customFormat="1">
      <c r="A370" s="461"/>
      <c r="B370" s="771"/>
      <c r="C370" s="768" t="s">
        <v>10164</v>
      </c>
      <c r="D370" s="770" t="s">
        <v>7719</v>
      </c>
      <c r="E370" s="771"/>
      <c r="F370" s="774" t="s">
        <v>7720</v>
      </c>
      <c r="G370" s="778">
        <v>10</v>
      </c>
      <c r="H370" s="772" t="str">
        <f t="shared" si="8"/>
        <v>10</v>
      </c>
      <c r="I370" s="778">
        <v>10</v>
      </c>
      <c r="J370" s="460" t="str">
        <f t="shared" si="7"/>
        <v>10</v>
      </c>
      <c r="K370" s="778">
        <v>0</v>
      </c>
      <c r="L370" s="460"/>
      <c r="M370" s="778">
        <v>0</v>
      </c>
      <c r="N370" s="772"/>
      <c r="O370" s="778" t="b">
        <v>0</v>
      </c>
      <c r="P370" s="460"/>
    </row>
    <row r="371" spans="1:16" s="436" customFormat="1">
      <c r="A371" s="461"/>
      <c r="B371" s="771"/>
      <c r="C371" s="768" t="s">
        <v>10165</v>
      </c>
      <c r="D371" s="770" t="s">
        <v>7717</v>
      </c>
      <c r="E371" s="771"/>
      <c r="F371" s="774" t="s">
        <v>7721</v>
      </c>
      <c r="G371" s="778">
        <v>8</v>
      </c>
      <c r="H371" s="772" t="str">
        <f t="shared" si="8"/>
        <v>8</v>
      </c>
      <c r="I371" s="778">
        <v>8</v>
      </c>
      <c r="J371" s="460" t="str">
        <f t="shared" si="7"/>
        <v>8</v>
      </c>
      <c r="K371" s="778">
        <v>0</v>
      </c>
      <c r="L371" s="460"/>
      <c r="M371" s="778">
        <v>0</v>
      </c>
      <c r="N371" s="772"/>
      <c r="O371" s="778" t="b">
        <v>0</v>
      </c>
      <c r="P371" s="460"/>
    </row>
    <row r="372" spans="1:16" s="436" customFormat="1">
      <c r="A372" s="461"/>
      <c r="B372" s="771"/>
      <c r="C372" s="768" t="s">
        <v>10166</v>
      </c>
      <c r="D372" s="770" t="s">
        <v>7717</v>
      </c>
      <c r="E372" s="771"/>
      <c r="F372" s="774" t="s">
        <v>7722</v>
      </c>
      <c r="G372" s="778">
        <v>8</v>
      </c>
      <c r="H372" s="772" t="str">
        <f t="shared" si="8"/>
        <v>8</v>
      </c>
      <c r="I372" s="778">
        <v>8</v>
      </c>
      <c r="J372" s="460" t="str">
        <f t="shared" si="7"/>
        <v>8</v>
      </c>
      <c r="K372" s="778">
        <v>0</v>
      </c>
      <c r="L372" s="460"/>
      <c r="M372" s="778">
        <v>0</v>
      </c>
      <c r="N372" s="772"/>
      <c r="O372" s="778" t="b">
        <v>0</v>
      </c>
      <c r="P372" s="460"/>
    </row>
    <row r="373" spans="1:16" s="436" customFormat="1">
      <c r="A373" s="461"/>
      <c r="B373" s="771"/>
      <c r="C373" s="768" t="s">
        <v>10167</v>
      </c>
      <c r="D373" s="770" t="s">
        <v>7719</v>
      </c>
      <c r="E373" s="771"/>
      <c r="F373" s="774" t="s">
        <v>7723</v>
      </c>
      <c r="G373" s="778">
        <v>10</v>
      </c>
      <c r="H373" s="772" t="str">
        <f t="shared" si="8"/>
        <v>10</v>
      </c>
      <c r="I373" s="778">
        <v>10</v>
      </c>
      <c r="J373" s="460" t="str">
        <f t="shared" si="7"/>
        <v>10</v>
      </c>
      <c r="K373" s="778">
        <v>0</v>
      </c>
      <c r="L373" s="460"/>
      <c r="M373" s="778">
        <v>0</v>
      </c>
      <c r="N373" s="772"/>
      <c r="O373" s="778" t="b">
        <v>0</v>
      </c>
      <c r="P373" s="460"/>
    </row>
    <row r="374" spans="1:16" s="436" customFormat="1">
      <c r="A374" s="461"/>
      <c r="B374" s="771"/>
      <c r="C374" s="768" t="s">
        <v>10168</v>
      </c>
      <c r="D374" s="770" t="s">
        <v>7702</v>
      </c>
      <c r="E374" s="771"/>
      <c r="F374" s="774" t="s">
        <v>7724</v>
      </c>
      <c r="G374" s="778">
        <v>3</v>
      </c>
      <c r="H374" s="772" t="str">
        <f t="shared" si="8"/>
        <v>3</v>
      </c>
      <c r="I374" s="778">
        <v>3</v>
      </c>
      <c r="J374" s="460" t="str">
        <f t="shared" si="7"/>
        <v>3</v>
      </c>
      <c r="K374" s="778">
        <v>0</v>
      </c>
      <c r="L374" s="460"/>
      <c r="M374" s="778">
        <v>0</v>
      </c>
      <c r="N374" s="772"/>
      <c r="O374" s="778" t="b">
        <v>0</v>
      </c>
      <c r="P374" s="460"/>
    </row>
    <row r="375" spans="1:16" s="436" customFormat="1">
      <c r="A375" s="461"/>
      <c r="B375" s="771"/>
      <c r="C375" s="768" t="s">
        <v>10169</v>
      </c>
      <c r="D375" s="770" t="s">
        <v>7704</v>
      </c>
      <c r="E375" s="771"/>
      <c r="F375" s="774" t="s">
        <v>7725</v>
      </c>
      <c r="G375" s="778">
        <v>6</v>
      </c>
      <c r="H375" s="772" t="str">
        <f t="shared" si="8"/>
        <v>6</v>
      </c>
      <c r="I375" s="778">
        <v>6</v>
      </c>
      <c r="J375" s="460" t="str">
        <f t="shared" si="7"/>
        <v>6</v>
      </c>
      <c r="K375" s="778">
        <v>0</v>
      </c>
      <c r="L375" s="460"/>
      <c r="M375" s="778">
        <v>0</v>
      </c>
      <c r="N375" s="772"/>
      <c r="O375" s="778" t="b">
        <v>0</v>
      </c>
      <c r="P375" s="460"/>
    </row>
    <row r="376" spans="1:16" s="436" customFormat="1">
      <c r="A376" s="461"/>
      <c r="B376" s="771"/>
      <c r="C376" s="768" t="s">
        <v>10170</v>
      </c>
      <c r="D376" s="770" t="s">
        <v>7704</v>
      </c>
      <c r="E376" s="771"/>
      <c r="F376" s="774" t="s">
        <v>7726</v>
      </c>
      <c r="G376" s="778">
        <v>6</v>
      </c>
      <c r="H376" s="772" t="str">
        <f t="shared" si="8"/>
        <v>6</v>
      </c>
      <c r="I376" s="778">
        <v>6</v>
      </c>
      <c r="J376" s="460" t="str">
        <f t="shared" si="7"/>
        <v>6</v>
      </c>
      <c r="K376" s="778">
        <v>0</v>
      </c>
      <c r="L376" s="460"/>
      <c r="M376" s="778">
        <v>0</v>
      </c>
      <c r="N376" s="772"/>
      <c r="O376" s="778" t="b">
        <v>0</v>
      </c>
      <c r="P376" s="460"/>
    </row>
    <row r="377" spans="1:16" s="436" customFormat="1">
      <c r="A377" s="461"/>
      <c r="B377" s="771"/>
      <c r="C377" s="768" t="s">
        <v>10171</v>
      </c>
      <c r="D377" s="770" t="s">
        <v>7704</v>
      </c>
      <c r="E377" s="771"/>
      <c r="F377" s="774" t="s">
        <v>7727</v>
      </c>
      <c r="G377" s="778">
        <v>6</v>
      </c>
      <c r="H377" s="772" t="str">
        <f t="shared" si="8"/>
        <v>6</v>
      </c>
      <c r="I377" s="778">
        <v>6</v>
      </c>
      <c r="J377" s="460" t="str">
        <f t="shared" si="7"/>
        <v>6</v>
      </c>
      <c r="K377" s="778">
        <v>0</v>
      </c>
      <c r="L377" s="460"/>
      <c r="M377" s="778">
        <v>0</v>
      </c>
      <c r="N377" s="772"/>
      <c r="O377" s="778" t="b">
        <v>0</v>
      </c>
      <c r="P377" s="460"/>
    </row>
    <row r="378" spans="1:16" s="436" customFormat="1">
      <c r="A378" s="461"/>
      <c r="B378" s="771"/>
      <c r="C378" s="768" t="s">
        <v>10172</v>
      </c>
      <c r="D378" s="770" t="s">
        <v>7704</v>
      </c>
      <c r="E378" s="771"/>
      <c r="F378" s="774" t="s">
        <v>7728</v>
      </c>
      <c r="G378" s="778">
        <v>6</v>
      </c>
      <c r="H378" s="772" t="str">
        <f t="shared" si="8"/>
        <v>6</v>
      </c>
      <c r="I378" s="778">
        <v>6</v>
      </c>
      <c r="J378" s="460" t="str">
        <f t="shared" si="7"/>
        <v>6</v>
      </c>
      <c r="K378" s="778">
        <v>0</v>
      </c>
      <c r="L378" s="460"/>
      <c r="M378" s="778">
        <v>0</v>
      </c>
      <c r="N378" s="772"/>
      <c r="O378" s="778" t="b">
        <v>0</v>
      </c>
      <c r="P378" s="460"/>
    </row>
    <row r="379" spans="1:16" s="436" customFormat="1">
      <c r="A379" s="461"/>
      <c r="B379" s="771"/>
      <c r="C379" s="768" t="s">
        <v>10155</v>
      </c>
      <c r="D379" s="770" t="s">
        <v>7702</v>
      </c>
      <c r="E379" s="771"/>
      <c r="F379" s="774" t="s">
        <v>7703</v>
      </c>
      <c r="G379" s="778">
        <v>3</v>
      </c>
      <c r="H379" s="772" t="str">
        <f t="shared" si="8"/>
        <v>3</v>
      </c>
      <c r="I379" s="778">
        <v>3</v>
      </c>
      <c r="J379" s="460" t="str">
        <f t="shared" si="7"/>
        <v>3</v>
      </c>
      <c r="K379" s="778">
        <v>0</v>
      </c>
      <c r="L379" s="460"/>
      <c r="M379" s="778">
        <v>0</v>
      </c>
      <c r="N379" s="772"/>
      <c r="O379" s="778" t="b">
        <v>0</v>
      </c>
      <c r="P379" s="460"/>
    </row>
    <row r="380" spans="1:16" s="436" customFormat="1">
      <c r="A380" s="461"/>
      <c r="B380" s="771"/>
      <c r="C380" s="768" t="s">
        <v>10173</v>
      </c>
      <c r="D380" s="770" t="s">
        <v>7702</v>
      </c>
      <c r="E380" s="771"/>
      <c r="F380" s="774" t="s">
        <v>7729</v>
      </c>
      <c r="G380" s="778">
        <v>3</v>
      </c>
      <c r="H380" s="772" t="str">
        <f t="shared" si="8"/>
        <v>3</v>
      </c>
      <c r="I380" s="778">
        <v>3</v>
      </c>
      <c r="J380" s="460" t="str">
        <f t="shared" si="7"/>
        <v>3</v>
      </c>
      <c r="K380" s="778">
        <v>0</v>
      </c>
      <c r="L380" s="460"/>
      <c r="M380" s="778">
        <v>0</v>
      </c>
      <c r="N380" s="772"/>
      <c r="O380" s="778" t="b">
        <v>0</v>
      </c>
      <c r="P380" s="460"/>
    </row>
    <row r="381" spans="1:16" s="436" customFormat="1">
      <c r="A381" s="461"/>
      <c r="B381" s="771"/>
      <c r="C381" s="768" t="s">
        <v>10174</v>
      </c>
      <c r="D381" s="770" t="s">
        <v>7702</v>
      </c>
      <c r="E381" s="771"/>
      <c r="F381" s="774" t="s">
        <v>7730</v>
      </c>
      <c r="G381" s="778">
        <v>3</v>
      </c>
      <c r="H381" s="772" t="str">
        <f t="shared" si="8"/>
        <v>3</v>
      </c>
      <c r="I381" s="778">
        <v>3</v>
      </c>
      <c r="J381" s="460" t="str">
        <f t="shared" si="7"/>
        <v>3</v>
      </c>
      <c r="K381" s="778">
        <v>0</v>
      </c>
      <c r="L381" s="460"/>
      <c r="M381" s="778">
        <v>0</v>
      </c>
      <c r="N381" s="772"/>
      <c r="O381" s="778" t="b">
        <v>0</v>
      </c>
      <c r="P381" s="460"/>
    </row>
    <row r="382" spans="1:16" s="436" customFormat="1">
      <c r="A382" s="461"/>
      <c r="B382" s="771"/>
      <c r="C382" s="768" t="s">
        <v>10175</v>
      </c>
      <c r="D382" s="770" t="s">
        <v>7702</v>
      </c>
      <c r="E382" s="771"/>
      <c r="F382" s="774" t="s">
        <v>7731</v>
      </c>
      <c r="G382" s="778">
        <v>3</v>
      </c>
      <c r="H382" s="772" t="str">
        <f t="shared" si="8"/>
        <v>3</v>
      </c>
      <c r="I382" s="778">
        <v>3</v>
      </c>
      <c r="J382" s="460" t="str">
        <f t="shared" si="7"/>
        <v>3</v>
      </c>
      <c r="K382" s="778">
        <v>0</v>
      </c>
      <c r="L382" s="460"/>
      <c r="M382" s="778">
        <v>0</v>
      </c>
      <c r="N382" s="772"/>
      <c r="O382" s="778" t="b">
        <v>0</v>
      </c>
      <c r="P382" s="460"/>
    </row>
    <row r="383" spans="1:16" s="436" customFormat="1">
      <c r="A383" s="461"/>
      <c r="B383" s="771"/>
      <c r="C383" s="768" t="s">
        <v>10176</v>
      </c>
      <c r="D383" s="770" t="s">
        <v>7702</v>
      </c>
      <c r="E383" s="771"/>
      <c r="F383" s="774" t="s">
        <v>7732</v>
      </c>
      <c r="G383" s="778">
        <v>3</v>
      </c>
      <c r="H383" s="772" t="str">
        <f t="shared" si="8"/>
        <v>3</v>
      </c>
      <c r="I383" s="778">
        <v>3</v>
      </c>
      <c r="J383" s="460" t="str">
        <f t="shared" si="7"/>
        <v>3</v>
      </c>
      <c r="K383" s="778">
        <v>0</v>
      </c>
      <c r="L383" s="460"/>
      <c r="M383" s="778">
        <v>0</v>
      </c>
      <c r="N383" s="772"/>
      <c r="O383" s="778" t="b">
        <v>0</v>
      </c>
      <c r="P383" s="460"/>
    </row>
    <row r="384" spans="1:16" s="436" customFormat="1">
      <c r="A384" s="461"/>
      <c r="B384" s="771"/>
      <c r="C384" s="768" t="s">
        <v>10156</v>
      </c>
      <c r="D384" s="770" t="s">
        <v>7705</v>
      </c>
      <c r="E384" s="771"/>
      <c r="F384" s="774" t="s">
        <v>7706</v>
      </c>
      <c r="G384" s="778">
        <v>1</v>
      </c>
      <c r="H384" s="772" t="str">
        <f t="shared" si="8"/>
        <v>1</v>
      </c>
      <c r="I384" s="778">
        <v>1</v>
      </c>
      <c r="J384" s="460" t="str">
        <f t="shared" si="7"/>
        <v>1</v>
      </c>
      <c r="K384" s="778">
        <v>0</v>
      </c>
      <c r="L384" s="460"/>
      <c r="M384" s="778">
        <v>0</v>
      </c>
      <c r="N384" s="772"/>
      <c r="O384" s="778" t="b">
        <v>0</v>
      </c>
      <c r="P384" s="460"/>
    </row>
    <row r="385" spans="1:16" s="436" customFormat="1">
      <c r="A385" s="461"/>
      <c r="B385" s="771"/>
      <c r="C385" s="768" t="s">
        <v>10157</v>
      </c>
      <c r="D385" s="770" t="s">
        <v>7705</v>
      </c>
      <c r="E385" s="771"/>
      <c r="F385" s="774" t="s">
        <v>7707</v>
      </c>
      <c r="G385" s="778">
        <v>1</v>
      </c>
      <c r="H385" s="772" t="str">
        <f t="shared" si="8"/>
        <v>1</v>
      </c>
      <c r="I385" s="778">
        <v>1</v>
      </c>
      <c r="J385" s="460" t="str">
        <f t="shared" si="7"/>
        <v>1</v>
      </c>
      <c r="K385" s="778">
        <v>0</v>
      </c>
      <c r="L385" s="460"/>
      <c r="M385" s="778">
        <v>0</v>
      </c>
      <c r="N385" s="772"/>
      <c r="O385" s="778" t="b">
        <v>0</v>
      </c>
      <c r="P385" s="460"/>
    </row>
    <row r="386" spans="1:16" s="436" customFormat="1">
      <c r="A386" s="461"/>
      <c r="B386" s="771"/>
      <c r="C386" s="768" t="s">
        <v>10283</v>
      </c>
      <c r="D386" s="770">
        <v>1</v>
      </c>
      <c r="E386" s="771"/>
      <c r="F386" s="774" t="s">
        <v>8151</v>
      </c>
      <c r="G386" s="778">
        <v>1</v>
      </c>
      <c r="H386" s="772">
        <f t="shared" si="8"/>
        <v>1</v>
      </c>
      <c r="I386" s="778">
        <v>1</v>
      </c>
      <c r="J386" s="460">
        <f t="shared" si="7"/>
        <v>1</v>
      </c>
      <c r="K386" s="778">
        <v>0</v>
      </c>
      <c r="L386" s="460"/>
      <c r="M386" s="778">
        <v>0</v>
      </c>
      <c r="N386" s="772"/>
      <c r="O386" s="778" t="b">
        <v>0</v>
      </c>
      <c r="P386" s="460"/>
    </row>
    <row r="387" spans="1:16" s="436" customFormat="1">
      <c r="A387" s="461"/>
      <c r="B387" s="771"/>
      <c r="C387" s="768" t="s">
        <v>10284</v>
      </c>
      <c r="D387" s="770">
        <v>1</v>
      </c>
      <c r="E387" s="771"/>
      <c r="F387" s="774" t="s">
        <v>8110</v>
      </c>
      <c r="G387" s="778">
        <v>1</v>
      </c>
      <c r="H387" s="772">
        <f t="shared" si="8"/>
        <v>1</v>
      </c>
      <c r="I387" s="778">
        <v>1</v>
      </c>
      <c r="J387" s="460">
        <f t="shared" si="7"/>
        <v>1</v>
      </c>
      <c r="K387" s="778">
        <v>0</v>
      </c>
      <c r="L387" s="460"/>
      <c r="M387" s="778">
        <v>0</v>
      </c>
      <c r="N387" s="772"/>
      <c r="O387" s="778" t="b">
        <v>0</v>
      </c>
      <c r="P387" s="460"/>
    </row>
    <row r="388" spans="1:16" s="436" customFormat="1">
      <c r="A388" s="461"/>
      <c r="B388" s="771"/>
      <c r="C388" s="768" t="s">
        <v>10285</v>
      </c>
      <c r="D388" s="770">
        <v>1</v>
      </c>
      <c r="E388" s="771"/>
      <c r="F388" s="774" t="s">
        <v>8136</v>
      </c>
      <c r="G388" s="778">
        <v>1</v>
      </c>
      <c r="H388" s="772">
        <f t="shared" si="8"/>
        <v>1</v>
      </c>
      <c r="I388" s="778">
        <v>1</v>
      </c>
      <c r="J388" s="460">
        <f t="shared" si="7"/>
        <v>1</v>
      </c>
      <c r="K388" s="778">
        <v>0</v>
      </c>
      <c r="L388" s="460"/>
      <c r="M388" s="778">
        <v>0</v>
      </c>
      <c r="N388" s="772"/>
      <c r="O388" s="778" t="b">
        <v>0</v>
      </c>
      <c r="P388" s="460"/>
    </row>
    <row r="389" spans="1:16" s="436" customFormat="1">
      <c r="A389" s="461"/>
      <c r="B389" s="771"/>
      <c r="C389" s="768" t="s">
        <v>10286</v>
      </c>
      <c r="D389" s="770">
        <v>1</v>
      </c>
      <c r="E389" s="771"/>
      <c r="F389" s="774" t="s">
        <v>8118</v>
      </c>
      <c r="G389" s="778">
        <v>1</v>
      </c>
      <c r="H389" s="772">
        <f t="shared" si="8"/>
        <v>1</v>
      </c>
      <c r="I389" s="778">
        <v>1</v>
      </c>
      <c r="J389" s="460">
        <f t="shared" ref="J389:J452" si="9">H389</f>
        <v>1</v>
      </c>
      <c r="K389" s="778">
        <v>0</v>
      </c>
      <c r="L389" s="460"/>
      <c r="M389" s="778">
        <v>0</v>
      </c>
      <c r="N389" s="772"/>
      <c r="O389" s="778" t="b">
        <v>0</v>
      </c>
      <c r="P389" s="460"/>
    </row>
    <row r="390" spans="1:16" s="436" customFormat="1">
      <c r="A390" s="461"/>
      <c r="B390" s="771"/>
      <c r="C390" s="768" t="s">
        <v>10287</v>
      </c>
      <c r="D390" s="770">
        <v>1</v>
      </c>
      <c r="E390" s="771"/>
      <c r="F390" s="774" t="s">
        <v>8168</v>
      </c>
      <c r="G390" s="778">
        <v>1</v>
      </c>
      <c r="H390" s="772">
        <f t="shared" si="8"/>
        <v>1</v>
      </c>
      <c r="I390" s="778">
        <v>1</v>
      </c>
      <c r="J390" s="460">
        <f t="shared" si="9"/>
        <v>1</v>
      </c>
      <c r="K390" s="778">
        <v>0</v>
      </c>
      <c r="L390" s="460"/>
      <c r="M390" s="778">
        <v>0</v>
      </c>
      <c r="N390" s="772"/>
      <c r="O390" s="778" t="b">
        <v>0</v>
      </c>
      <c r="P390" s="460"/>
    </row>
    <row r="391" spans="1:16" s="436" customFormat="1">
      <c r="A391" s="461"/>
      <c r="B391" s="771"/>
      <c r="C391" s="768" t="s">
        <v>10288</v>
      </c>
      <c r="D391" s="770">
        <v>1</v>
      </c>
      <c r="E391" s="771"/>
      <c r="F391" s="774" t="s">
        <v>8157</v>
      </c>
      <c r="G391" s="778">
        <v>1</v>
      </c>
      <c r="H391" s="772">
        <f t="shared" si="8"/>
        <v>1</v>
      </c>
      <c r="I391" s="778">
        <v>1</v>
      </c>
      <c r="J391" s="460">
        <f t="shared" si="9"/>
        <v>1</v>
      </c>
      <c r="K391" s="778">
        <v>0</v>
      </c>
      <c r="L391" s="460"/>
      <c r="M391" s="778">
        <v>0</v>
      </c>
      <c r="N391" s="772"/>
      <c r="O391" s="778" t="b">
        <v>0</v>
      </c>
      <c r="P391" s="460"/>
    </row>
    <row r="392" spans="1:16" s="436" customFormat="1">
      <c r="A392" s="461"/>
      <c r="B392" s="771"/>
      <c r="C392" s="768" t="s">
        <v>10289</v>
      </c>
      <c r="D392" s="770">
        <v>1</v>
      </c>
      <c r="E392" s="771"/>
      <c r="F392" s="774" t="s">
        <v>8131</v>
      </c>
      <c r="G392" s="778">
        <v>1</v>
      </c>
      <c r="H392" s="772">
        <f t="shared" si="8"/>
        <v>1</v>
      </c>
      <c r="I392" s="778">
        <v>1</v>
      </c>
      <c r="J392" s="460">
        <f t="shared" si="9"/>
        <v>1</v>
      </c>
      <c r="K392" s="778">
        <v>0</v>
      </c>
      <c r="L392" s="460"/>
      <c r="M392" s="778">
        <v>0</v>
      </c>
      <c r="N392" s="772"/>
      <c r="O392" s="778" t="b">
        <v>0</v>
      </c>
      <c r="P392" s="460"/>
    </row>
    <row r="393" spans="1:16">
      <c r="A393" s="492"/>
      <c r="B393" s="771"/>
      <c r="C393" s="768" t="s">
        <v>10290</v>
      </c>
      <c r="D393" s="770">
        <v>1</v>
      </c>
      <c r="E393" s="771"/>
      <c r="F393" s="774" t="s">
        <v>8146</v>
      </c>
      <c r="G393" s="778">
        <v>1</v>
      </c>
      <c r="H393" s="772">
        <f t="shared" si="8"/>
        <v>1</v>
      </c>
      <c r="I393" s="778">
        <v>1</v>
      </c>
      <c r="J393" s="460">
        <f t="shared" si="9"/>
        <v>1</v>
      </c>
      <c r="K393" s="778">
        <v>0</v>
      </c>
      <c r="L393" s="460"/>
      <c r="M393" s="778">
        <v>0</v>
      </c>
      <c r="N393" s="772"/>
      <c r="O393" s="778" t="b">
        <v>0</v>
      </c>
      <c r="P393" s="460"/>
    </row>
    <row r="394" spans="1:16">
      <c r="A394" s="492"/>
      <c r="B394" s="771"/>
      <c r="C394" s="768" t="s">
        <v>10291</v>
      </c>
      <c r="D394" s="770">
        <v>1</v>
      </c>
      <c r="E394" s="771"/>
      <c r="F394" s="774" t="s">
        <v>8161</v>
      </c>
      <c r="G394" s="778">
        <v>1</v>
      </c>
      <c r="H394" s="772">
        <f t="shared" si="8"/>
        <v>1</v>
      </c>
      <c r="I394" s="778">
        <v>1</v>
      </c>
      <c r="J394" s="460">
        <f t="shared" si="9"/>
        <v>1</v>
      </c>
      <c r="K394" s="778">
        <v>0</v>
      </c>
      <c r="L394" s="460"/>
      <c r="M394" s="778">
        <v>0</v>
      </c>
      <c r="N394" s="772"/>
      <c r="O394" s="778" t="b">
        <v>0</v>
      </c>
      <c r="P394" s="460"/>
    </row>
    <row r="395" spans="1:16">
      <c r="A395" s="492"/>
      <c r="B395" s="771"/>
      <c r="C395" s="768" t="s">
        <v>10292</v>
      </c>
      <c r="D395" s="770">
        <v>1</v>
      </c>
      <c r="E395" s="771"/>
      <c r="F395" s="774" t="s">
        <v>8196</v>
      </c>
      <c r="G395" s="778">
        <v>1</v>
      </c>
      <c r="H395" s="772">
        <f t="shared" si="8"/>
        <v>1</v>
      </c>
      <c r="I395" s="778">
        <v>1</v>
      </c>
      <c r="J395" s="460">
        <f t="shared" si="9"/>
        <v>1</v>
      </c>
      <c r="K395" s="778">
        <v>0</v>
      </c>
      <c r="L395" s="460"/>
      <c r="M395" s="778">
        <v>0</v>
      </c>
      <c r="N395" s="772"/>
      <c r="O395" s="778" t="b">
        <v>0</v>
      </c>
      <c r="P395" s="460"/>
    </row>
    <row r="396" spans="1:16">
      <c r="A396" s="492"/>
      <c r="B396" s="771"/>
      <c r="C396" s="768" t="s">
        <v>10293</v>
      </c>
      <c r="D396" s="770">
        <v>1</v>
      </c>
      <c r="E396" s="771"/>
      <c r="F396" s="774" t="s">
        <v>8153</v>
      </c>
      <c r="G396" s="778">
        <v>1</v>
      </c>
      <c r="H396" s="772">
        <f t="shared" si="8"/>
        <v>1</v>
      </c>
      <c r="I396" s="778">
        <v>1</v>
      </c>
      <c r="J396" s="460">
        <f t="shared" si="9"/>
        <v>1</v>
      </c>
      <c r="K396" s="778">
        <v>0</v>
      </c>
      <c r="L396" s="460"/>
      <c r="M396" s="778">
        <v>0</v>
      </c>
      <c r="N396" s="772"/>
      <c r="O396" s="778" t="b">
        <v>0</v>
      </c>
      <c r="P396" s="460"/>
    </row>
    <row r="397" spans="1:16">
      <c r="A397" s="492"/>
      <c r="B397" s="771"/>
      <c r="C397" s="768" t="s">
        <v>9914</v>
      </c>
      <c r="D397" s="770" t="s">
        <v>5590</v>
      </c>
      <c r="E397" s="771"/>
      <c r="F397" s="774" t="s">
        <v>5585</v>
      </c>
      <c r="G397" s="778">
        <v>12</v>
      </c>
      <c r="H397" s="772" t="str">
        <f t="shared" si="8"/>
        <v>12</v>
      </c>
      <c r="I397" s="778">
        <v>12</v>
      </c>
      <c r="J397" s="460" t="str">
        <f t="shared" si="9"/>
        <v>12</v>
      </c>
      <c r="K397" s="778">
        <v>0</v>
      </c>
      <c r="L397" s="460"/>
      <c r="M397" s="778">
        <v>0</v>
      </c>
      <c r="N397" s="772"/>
      <c r="O397" s="778" t="b">
        <v>0</v>
      </c>
      <c r="P397" s="460"/>
    </row>
    <row r="398" spans="1:16">
      <c r="A398" s="492"/>
      <c r="B398" s="771"/>
      <c r="C398" s="768" t="s">
        <v>9915</v>
      </c>
      <c r="D398" s="770" t="s">
        <v>5591</v>
      </c>
      <c r="E398" s="771"/>
      <c r="F398" s="774" t="s">
        <v>5586</v>
      </c>
      <c r="G398" s="778">
        <v>1.5</v>
      </c>
      <c r="H398" s="772" t="str">
        <f t="shared" si="8"/>
        <v>1.5</v>
      </c>
      <c r="I398" s="778">
        <v>1.5</v>
      </c>
      <c r="J398" s="460" t="str">
        <f t="shared" si="9"/>
        <v>1.5</v>
      </c>
      <c r="K398" s="778">
        <v>0</v>
      </c>
      <c r="L398" s="460"/>
      <c r="M398" s="778">
        <v>0</v>
      </c>
      <c r="N398" s="772"/>
      <c r="O398" s="778" t="b">
        <v>0</v>
      </c>
      <c r="P398" s="460"/>
    </row>
    <row r="399" spans="1:16">
      <c r="A399" s="492"/>
      <c r="B399" s="771"/>
      <c r="C399" s="768" t="s">
        <v>9916</v>
      </c>
      <c r="D399" s="770" t="s">
        <v>5591</v>
      </c>
      <c r="E399" s="771"/>
      <c r="F399" s="774" t="s">
        <v>5587</v>
      </c>
      <c r="G399" s="778">
        <v>1.5</v>
      </c>
      <c r="H399" s="772" t="str">
        <f t="shared" si="8"/>
        <v>1.5</v>
      </c>
      <c r="I399" s="778">
        <v>1.5</v>
      </c>
      <c r="J399" s="460" t="str">
        <f t="shared" si="9"/>
        <v>1.5</v>
      </c>
      <c r="K399" s="778">
        <v>0</v>
      </c>
      <c r="L399" s="460"/>
      <c r="M399" s="778">
        <v>0</v>
      </c>
      <c r="N399" s="772"/>
      <c r="O399" s="778" t="b">
        <v>0</v>
      </c>
      <c r="P399" s="460"/>
    </row>
    <row r="400" spans="1:16">
      <c r="A400" s="492"/>
      <c r="B400" s="771"/>
      <c r="C400" s="768" t="s">
        <v>9917</v>
      </c>
      <c r="D400" s="770" t="s">
        <v>5592</v>
      </c>
      <c r="E400" s="771"/>
      <c r="F400" s="774" t="s">
        <v>5588</v>
      </c>
      <c r="G400" s="778">
        <v>14</v>
      </c>
      <c r="H400" s="772" t="str">
        <f t="shared" si="8"/>
        <v>14</v>
      </c>
      <c r="I400" s="778">
        <v>14</v>
      </c>
      <c r="J400" s="460" t="str">
        <f t="shared" si="9"/>
        <v>14</v>
      </c>
      <c r="K400" s="778">
        <v>0</v>
      </c>
      <c r="L400" s="460"/>
      <c r="M400" s="778">
        <v>0</v>
      </c>
      <c r="N400" s="772"/>
      <c r="O400" s="778" t="b">
        <v>0</v>
      </c>
      <c r="P400" s="460"/>
    </row>
    <row r="401" spans="1:16">
      <c r="A401" s="492"/>
      <c r="B401" s="771"/>
      <c r="C401" s="768" t="s">
        <v>9918</v>
      </c>
      <c r="D401" s="770" t="s">
        <v>5590</v>
      </c>
      <c r="E401" s="771"/>
      <c r="F401" s="774" t="s">
        <v>5589</v>
      </c>
      <c r="G401" s="778">
        <v>12</v>
      </c>
      <c r="H401" s="772" t="str">
        <f t="shared" si="8"/>
        <v>12</v>
      </c>
      <c r="I401" s="778">
        <v>12</v>
      </c>
      <c r="J401" s="460" t="str">
        <f t="shared" si="9"/>
        <v>12</v>
      </c>
      <c r="K401" s="778">
        <v>0</v>
      </c>
      <c r="L401" s="460"/>
      <c r="M401" s="778">
        <v>0</v>
      </c>
      <c r="N401" s="772"/>
      <c r="O401" s="778" t="b">
        <v>0</v>
      </c>
      <c r="P401" s="460"/>
    </row>
    <row r="402" spans="1:16">
      <c r="A402" s="492"/>
      <c r="B402" s="771"/>
      <c r="C402" s="768" t="s">
        <v>9924</v>
      </c>
      <c r="D402" s="770" t="s">
        <v>5591</v>
      </c>
      <c r="E402" s="771"/>
      <c r="F402" s="774" t="s">
        <v>5639</v>
      </c>
      <c r="G402" s="778">
        <v>1.5</v>
      </c>
      <c r="H402" s="772" t="str">
        <f t="shared" si="8"/>
        <v>1.5</v>
      </c>
      <c r="I402" s="778">
        <v>1.5</v>
      </c>
      <c r="J402" s="460" t="str">
        <f t="shared" si="9"/>
        <v>1.5</v>
      </c>
      <c r="K402" s="778">
        <v>0</v>
      </c>
      <c r="L402" s="460"/>
      <c r="M402" s="778">
        <v>3</v>
      </c>
      <c r="N402" s="772">
        <v>3</v>
      </c>
      <c r="O402" s="778" t="b">
        <v>0</v>
      </c>
      <c r="P402" s="460"/>
    </row>
    <row r="403" spans="1:16">
      <c r="A403" s="492"/>
      <c r="B403" s="771"/>
      <c r="C403" s="768" t="s">
        <v>9925</v>
      </c>
      <c r="D403" s="770" t="s">
        <v>5591</v>
      </c>
      <c r="E403" s="771"/>
      <c r="F403" s="774" t="s">
        <v>5640</v>
      </c>
      <c r="G403" s="778">
        <v>1.5</v>
      </c>
      <c r="H403" s="772" t="str">
        <f t="shared" si="8"/>
        <v>1.5</v>
      </c>
      <c r="I403" s="778">
        <v>1.5</v>
      </c>
      <c r="J403" s="460" t="str">
        <f t="shared" si="9"/>
        <v>1.5</v>
      </c>
      <c r="K403" s="778">
        <v>0</v>
      </c>
      <c r="L403" s="460"/>
      <c r="M403" s="778">
        <v>3</v>
      </c>
      <c r="N403" s="772">
        <v>3</v>
      </c>
      <c r="O403" s="778" t="b">
        <v>0</v>
      </c>
      <c r="P403" s="460"/>
    </row>
    <row r="404" spans="1:16">
      <c r="A404" s="492"/>
      <c r="B404" s="771"/>
      <c r="C404" s="768" t="s">
        <v>9926</v>
      </c>
      <c r="D404" s="770" t="s">
        <v>5591</v>
      </c>
      <c r="E404" s="771"/>
      <c r="F404" s="774" t="s">
        <v>5641</v>
      </c>
      <c r="G404" s="778">
        <v>1.5</v>
      </c>
      <c r="H404" s="772" t="str">
        <f t="shared" si="8"/>
        <v>1.5</v>
      </c>
      <c r="I404" s="778">
        <v>1.5</v>
      </c>
      <c r="J404" s="460" t="str">
        <f t="shared" si="9"/>
        <v>1.5</v>
      </c>
      <c r="K404" s="778">
        <v>0</v>
      </c>
      <c r="L404" s="460"/>
      <c r="M404" s="778">
        <v>3</v>
      </c>
      <c r="N404" s="772">
        <v>3</v>
      </c>
      <c r="O404" s="778" t="b">
        <v>0</v>
      </c>
      <c r="P404" s="460"/>
    </row>
    <row r="405" spans="1:16">
      <c r="A405" s="492"/>
      <c r="B405" s="771"/>
      <c r="C405" s="768" t="s">
        <v>9927</v>
      </c>
      <c r="D405" s="770" t="s">
        <v>5591</v>
      </c>
      <c r="E405" s="771"/>
      <c r="F405" s="774" t="s">
        <v>5642</v>
      </c>
      <c r="G405" s="778">
        <v>1.5</v>
      </c>
      <c r="H405" s="772" t="str">
        <f t="shared" si="8"/>
        <v>1.5</v>
      </c>
      <c r="I405" s="778">
        <v>1.5</v>
      </c>
      <c r="J405" s="460" t="str">
        <f t="shared" si="9"/>
        <v>1.5</v>
      </c>
      <c r="K405" s="778">
        <v>0</v>
      </c>
      <c r="L405" s="460"/>
      <c r="M405" s="778">
        <v>3</v>
      </c>
      <c r="N405" s="772">
        <v>3</v>
      </c>
      <c r="O405" s="778" t="b">
        <v>0</v>
      </c>
      <c r="P405" s="460"/>
    </row>
    <row r="406" spans="1:16">
      <c r="A406" s="492"/>
      <c r="B406" s="771"/>
      <c r="C406" s="768" t="s">
        <v>9928</v>
      </c>
      <c r="D406" s="770" t="s">
        <v>5650</v>
      </c>
      <c r="E406" s="771"/>
      <c r="F406" s="774" t="s">
        <v>5643</v>
      </c>
      <c r="G406" s="778">
        <v>8</v>
      </c>
      <c r="H406" s="772" t="str">
        <f t="shared" si="8"/>
        <v>8</v>
      </c>
      <c r="I406" s="778">
        <v>8</v>
      </c>
      <c r="J406" s="460" t="str">
        <f t="shared" si="9"/>
        <v>8</v>
      </c>
      <c r="K406" s="778">
        <v>0</v>
      </c>
      <c r="L406" s="460"/>
      <c r="M406" s="778">
        <v>3</v>
      </c>
      <c r="N406" s="772">
        <v>3</v>
      </c>
      <c r="O406" s="778" t="b">
        <v>0</v>
      </c>
      <c r="P406" s="460"/>
    </row>
    <row r="407" spans="1:16">
      <c r="A407" s="492"/>
      <c r="B407" s="771"/>
      <c r="C407" s="768" t="s">
        <v>9929</v>
      </c>
      <c r="D407" s="770" t="s">
        <v>5650</v>
      </c>
      <c r="E407" s="771"/>
      <c r="F407" s="774" t="s">
        <v>5644</v>
      </c>
      <c r="G407" s="778">
        <v>8</v>
      </c>
      <c r="H407" s="772" t="str">
        <f t="shared" si="8"/>
        <v>8</v>
      </c>
      <c r="I407" s="778">
        <v>8</v>
      </c>
      <c r="J407" s="460" t="str">
        <f t="shared" si="9"/>
        <v>8</v>
      </c>
      <c r="K407" s="778">
        <v>0</v>
      </c>
      <c r="L407" s="460"/>
      <c r="M407" s="778">
        <v>3</v>
      </c>
      <c r="N407" s="772">
        <v>3</v>
      </c>
      <c r="O407" s="778" t="b">
        <v>0</v>
      </c>
      <c r="P407" s="460"/>
    </row>
    <row r="408" spans="1:16">
      <c r="A408" s="492"/>
      <c r="B408" s="771"/>
      <c r="C408" s="768" t="s">
        <v>9930</v>
      </c>
      <c r="D408" s="770" t="s">
        <v>5650</v>
      </c>
      <c r="E408" s="771"/>
      <c r="F408" s="774" t="s">
        <v>5645</v>
      </c>
      <c r="G408" s="778">
        <v>8</v>
      </c>
      <c r="H408" s="772" t="str">
        <f t="shared" si="8"/>
        <v>8</v>
      </c>
      <c r="I408" s="778">
        <v>8</v>
      </c>
      <c r="J408" s="460" t="str">
        <f t="shared" si="9"/>
        <v>8</v>
      </c>
      <c r="K408" s="778">
        <v>0</v>
      </c>
      <c r="L408" s="460"/>
      <c r="M408" s="778">
        <v>0</v>
      </c>
      <c r="N408" s="772"/>
      <c r="O408" s="778" t="b">
        <v>0</v>
      </c>
      <c r="P408" s="460"/>
    </row>
    <row r="409" spans="1:16">
      <c r="A409" s="492"/>
      <c r="B409" s="771"/>
      <c r="C409" s="768" t="s">
        <v>9931</v>
      </c>
      <c r="D409" s="770" t="s">
        <v>5591</v>
      </c>
      <c r="E409" s="771"/>
      <c r="F409" s="774" t="s">
        <v>5646</v>
      </c>
      <c r="G409" s="778">
        <v>1.5</v>
      </c>
      <c r="H409" s="772" t="str">
        <f t="shared" si="8"/>
        <v>1.5</v>
      </c>
      <c r="I409" s="778">
        <v>1.5</v>
      </c>
      <c r="J409" s="460" t="str">
        <f t="shared" si="9"/>
        <v>1.5</v>
      </c>
      <c r="K409" s="778">
        <v>0</v>
      </c>
      <c r="L409" s="460"/>
      <c r="M409" s="778">
        <v>3</v>
      </c>
      <c r="N409" s="772">
        <v>3</v>
      </c>
      <c r="O409" s="778" t="b">
        <v>0</v>
      </c>
      <c r="P409" s="460"/>
    </row>
    <row r="410" spans="1:16">
      <c r="A410" s="492"/>
      <c r="B410" s="771"/>
      <c r="C410" s="768" t="s">
        <v>9932</v>
      </c>
      <c r="D410" s="770" t="s">
        <v>5591</v>
      </c>
      <c r="E410" s="771"/>
      <c r="F410" s="774" t="s">
        <v>5647</v>
      </c>
      <c r="G410" s="778">
        <v>1.5</v>
      </c>
      <c r="H410" s="772" t="str">
        <f t="shared" si="8"/>
        <v>1.5</v>
      </c>
      <c r="I410" s="778">
        <v>1.5</v>
      </c>
      <c r="J410" s="460" t="str">
        <f t="shared" si="9"/>
        <v>1.5</v>
      </c>
      <c r="K410" s="778">
        <v>0</v>
      </c>
      <c r="L410" s="460"/>
      <c r="M410" s="778">
        <v>3</v>
      </c>
      <c r="N410" s="772">
        <v>3</v>
      </c>
      <c r="O410" s="778" t="b">
        <v>0</v>
      </c>
      <c r="P410" s="460"/>
    </row>
    <row r="411" spans="1:16">
      <c r="A411" s="492"/>
      <c r="B411" s="771"/>
      <c r="C411" s="768" t="s">
        <v>9933</v>
      </c>
      <c r="D411" s="770" t="s">
        <v>5591</v>
      </c>
      <c r="E411" s="771"/>
      <c r="F411" s="774" t="s">
        <v>5648</v>
      </c>
      <c r="G411" s="778">
        <v>1.5</v>
      </c>
      <c r="H411" s="772" t="str">
        <f t="shared" si="8"/>
        <v>1.5</v>
      </c>
      <c r="I411" s="778">
        <v>1.5</v>
      </c>
      <c r="J411" s="460" t="str">
        <f t="shared" si="9"/>
        <v>1.5</v>
      </c>
      <c r="K411" s="778">
        <v>0</v>
      </c>
      <c r="L411" s="460"/>
      <c r="M411" s="778">
        <v>0</v>
      </c>
      <c r="N411" s="772"/>
      <c r="O411" s="778" t="b">
        <v>0</v>
      </c>
      <c r="P411" s="460"/>
    </row>
    <row r="412" spans="1:16">
      <c r="A412" s="492"/>
      <c r="B412" s="771"/>
      <c r="C412" s="768" t="s">
        <v>10129</v>
      </c>
      <c r="D412" s="770" t="s">
        <v>6562</v>
      </c>
      <c r="E412" s="771"/>
      <c r="F412" s="774" t="s">
        <v>6563</v>
      </c>
      <c r="G412" s="778">
        <v>16</v>
      </c>
      <c r="H412" s="772" t="str">
        <f t="shared" si="8"/>
        <v>16</v>
      </c>
      <c r="I412" s="778">
        <v>16</v>
      </c>
      <c r="J412" s="460" t="str">
        <f t="shared" si="9"/>
        <v>16</v>
      </c>
      <c r="K412" s="778">
        <v>0</v>
      </c>
      <c r="L412" s="460"/>
      <c r="M412" s="778">
        <v>0</v>
      </c>
      <c r="N412" s="772"/>
      <c r="O412" s="778" t="b">
        <v>0</v>
      </c>
      <c r="P412" s="460"/>
    </row>
    <row r="413" spans="1:16">
      <c r="A413" s="492"/>
      <c r="B413" s="771"/>
      <c r="C413" s="768" t="s">
        <v>10130</v>
      </c>
      <c r="D413" s="770" t="s">
        <v>6460</v>
      </c>
      <c r="E413" s="771"/>
      <c r="F413" s="774" t="s">
        <v>6564</v>
      </c>
      <c r="G413" s="778">
        <v>10</v>
      </c>
      <c r="H413" s="772" t="str">
        <f t="shared" si="8"/>
        <v>10</v>
      </c>
      <c r="I413" s="778">
        <v>10</v>
      </c>
      <c r="J413" s="460" t="str">
        <f t="shared" si="9"/>
        <v>10</v>
      </c>
      <c r="K413" s="778">
        <v>0</v>
      </c>
      <c r="L413" s="460"/>
      <c r="M413" s="778">
        <v>0</v>
      </c>
      <c r="N413" s="772"/>
      <c r="O413" s="778" t="b">
        <v>0</v>
      </c>
      <c r="P413" s="460"/>
    </row>
    <row r="414" spans="1:16">
      <c r="A414" s="492"/>
      <c r="B414" s="771"/>
      <c r="C414" s="768" t="s">
        <v>10131</v>
      </c>
      <c r="D414" s="770" t="s">
        <v>6562</v>
      </c>
      <c r="E414" s="771"/>
      <c r="F414" s="774" t="s">
        <v>6565</v>
      </c>
      <c r="G414" s="778">
        <v>16</v>
      </c>
      <c r="H414" s="772" t="str">
        <f t="shared" si="8"/>
        <v>16</v>
      </c>
      <c r="I414" s="778">
        <v>16</v>
      </c>
      <c r="J414" s="460" t="str">
        <f t="shared" si="9"/>
        <v>16</v>
      </c>
      <c r="K414" s="778">
        <v>0</v>
      </c>
      <c r="L414" s="460"/>
      <c r="M414" s="778">
        <v>0</v>
      </c>
      <c r="N414" s="772"/>
      <c r="O414" s="778" t="b">
        <v>0</v>
      </c>
      <c r="P414" s="460"/>
    </row>
    <row r="415" spans="1:16">
      <c r="A415" s="492"/>
      <c r="B415" s="771"/>
      <c r="C415" s="768" t="s">
        <v>10132</v>
      </c>
      <c r="D415" s="770" t="s">
        <v>6468</v>
      </c>
      <c r="E415" s="771"/>
      <c r="F415" s="774" t="s">
        <v>6566</v>
      </c>
      <c r="G415" s="778">
        <v>3</v>
      </c>
      <c r="H415" s="772" t="str">
        <f t="shared" si="8"/>
        <v>3</v>
      </c>
      <c r="I415" s="778">
        <v>3</v>
      </c>
      <c r="J415" s="460" t="str">
        <f t="shared" si="9"/>
        <v>3</v>
      </c>
      <c r="K415" s="778">
        <v>0</v>
      </c>
      <c r="L415" s="460"/>
      <c r="M415" s="778">
        <v>0</v>
      </c>
      <c r="N415" s="772"/>
      <c r="O415" s="778" t="b">
        <v>0</v>
      </c>
      <c r="P415" s="460"/>
    </row>
    <row r="416" spans="1:16">
      <c r="A416" s="492"/>
      <c r="B416" s="771"/>
      <c r="C416" s="768" t="s">
        <v>10133</v>
      </c>
      <c r="D416" s="770" t="s">
        <v>5733</v>
      </c>
      <c r="E416" s="771"/>
      <c r="F416" s="774" t="s">
        <v>6567</v>
      </c>
      <c r="G416" s="778">
        <v>2</v>
      </c>
      <c r="H416" s="772" t="str">
        <f t="shared" si="8"/>
        <v>2</v>
      </c>
      <c r="I416" s="778">
        <v>2</v>
      </c>
      <c r="J416" s="460" t="str">
        <f t="shared" si="9"/>
        <v>2</v>
      </c>
      <c r="K416" s="778">
        <v>0</v>
      </c>
      <c r="L416" s="460"/>
      <c r="M416" s="778">
        <v>0</v>
      </c>
      <c r="N416" s="772"/>
      <c r="O416" s="778" t="b">
        <v>0</v>
      </c>
      <c r="P416" s="460"/>
    </row>
    <row r="417" spans="1:16">
      <c r="A417" s="492"/>
      <c r="B417" s="771"/>
      <c r="C417" s="768" t="s">
        <v>10134</v>
      </c>
      <c r="D417" s="770" t="s">
        <v>6562</v>
      </c>
      <c r="E417" s="771"/>
      <c r="F417" s="774" t="s">
        <v>6568</v>
      </c>
      <c r="G417" s="778">
        <v>16</v>
      </c>
      <c r="H417" s="772" t="str">
        <f t="shared" si="8"/>
        <v>16</v>
      </c>
      <c r="I417" s="778">
        <v>16</v>
      </c>
      <c r="J417" s="460" t="str">
        <f t="shared" si="9"/>
        <v>16</v>
      </c>
      <c r="K417" s="778">
        <v>0</v>
      </c>
      <c r="L417" s="460"/>
      <c r="M417" s="778">
        <v>0</v>
      </c>
      <c r="N417" s="772"/>
      <c r="O417" s="778" t="b">
        <v>0</v>
      </c>
      <c r="P417" s="460"/>
    </row>
    <row r="418" spans="1:16">
      <c r="A418" s="492"/>
      <c r="B418" s="771"/>
      <c r="C418" s="768" t="s">
        <v>10294</v>
      </c>
      <c r="D418" s="770" t="s">
        <v>10460</v>
      </c>
      <c r="E418" s="771"/>
      <c r="F418" s="774" t="s">
        <v>8120</v>
      </c>
      <c r="G418" s="778">
        <v>1</v>
      </c>
      <c r="H418" s="772" t="str">
        <f t="shared" si="8"/>
        <v>1</v>
      </c>
      <c r="I418" s="778">
        <v>1</v>
      </c>
      <c r="J418" s="460" t="str">
        <f t="shared" si="9"/>
        <v>1</v>
      </c>
      <c r="K418" s="778">
        <v>0</v>
      </c>
      <c r="L418" s="460"/>
      <c r="M418" s="778">
        <v>0</v>
      </c>
      <c r="N418" s="772"/>
      <c r="O418" s="778" t="b">
        <v>0</v>
      </c>
      <c r="P418" s="460"/>
    </row>
    <row r="419" spans="1:16">
      <c r="A419" s="492"/>
      <c r="B419" s="771"/>
      <c r="C419" s="768" t="s">
        <v>10295</v>
      </c>
      <c r="D419" s="770" t="s">
        <v>10460</v>
      </c>
      <c r="E419" s="771"/>
      <c r="F419" s="774" t="s">
        <v>8122</v>
      </c>
      <c r="G419" s="778">
        <v>1</v>
      </c>
      <c r="H419" s="772" t="str">
        <f t="shared" si="8"/>
        <v>1</v>
      </c>
      <c r="I419" s="778">
        <v>1</v>
      </c>
      <c r="J419" s="460" t="str">
        <f t="shared" si="9"/>
        <v>1</v>
      </c>
      <c r="K419" s="778">
        <v>0</v>
      </c>
      <c r="L419" s="460"/>
      <c r="M419" s="778">
        <v>0</v>
      </c>
      <c r="N419" s="772"/>
      <c r="O419" s="778" t="b">
        <v>0</v>
      </c>
      <c r="P419" s="460"/>
    </row>
    <row r="420" spans="1:16">
      <c r="A420" s="492"/>
      <c r="B420" s="771"/>
      <c r="C420" s="768" t="s">
        <v>10296</v>
      </c>
      <c r="D420" s="770" t="s">
        <v>6493</v>
      </c>
      <c r="E420" s="771"/>
      <c r="F420" s="774" t="s">
        <v>8167</v>
      </c>
      <c r="G420" s="778">
        <v>1</v>
      </c>
      <c r="H420" s="772" t="str">
        <f t="shared" si="8"/>
        <v>1</v>
      </c>
      <c r="I420" s="778">
        <v>1</v>
      </c>
      <c r="J420" s="460" t="str">
        <f t="shared" si="9"/>
        <v>1</v>
      </c>
      <c r="K420" s="778">
        <v>0</v>
      </c>
      <c r="L420" s="460"/>
      <c r="M420" s="778">
        <v>0</v>
      </c>
      <c r="N420" s="772"/>
      <c r="O420" s="778" t="b">
        <v>0</v>
      </c>
      <c r="P420" s="460"/>
    </row>
    <row r="421" spans="1:16">
      <c r="A421" s="492"/>
      <c r="B421" s="771"/>
      <c r="C421" s="768" t="s">
        <v>10297</v>
      </c>
      <c r="D421" s="770" t="s">
        <v>6493</v>
      </c>
      <c r="E421" s="771"/>
      <c r="F421" s="774" t="s">
        <v>8190</v>
      </c>
      <c r="G421" s="778">
        <v>1</v>
      </c>
      <c r="H421" s="772" t="str">
        <f t="shared" si="8"/>
        <v>1</v>
      </c>
      <c r="I421" s="778">
        <v>1</v>
      </c>
      <c r="J421" s="460" t="str">
        <f t="shared" si="9"/>
        <v>1</v>
      </c>
      <c r="K421" s="778">
        <v>0</v>
      </c>
      <c r="L421" s="460"/>
      <c r="M421" s="778">
        <v>0</v>
      </c>
      <c r="N421" s="772"/>
      <c r="O421" s="778" t="b">
        <v>0</v>
      </c>
      <c r="P421" s="460"/>
    </row>
    <row r="422" spans="1:16">
      <c r="A422" s="492"/>
      <c r="B422" s="771"/>
      <c r="C422" s="768" t="s">
        <v>10298</v>
      </c>
      <c r="D422" s="770" t="s">
        <v>6493</v>
      </c>
      <c r="E422" s="771"/>
      <c r="F422" s="774" t="s">
        <v>8188</v>
      </c>
      <c r="G422" s="778">
        <v>1</v>
      </c>
      <c r="H422" s="772" t="str">
        <f t="shared" si="8"/>
        <v>1</v>
      </c>
      <c r="I422" s="778">
        <v>1</v>
      </c>
      <c r="J422" s="460" t="str">
        <f t="shared" si="9"/>
        <v>1</v>
      </c>
      <c r="K422" s="778">
        <v>0</v>
      </c>
      <c r="L422" s="460"/>
      <c r="M422" s="778">
        <v>0</v>
      </c>
      <c r="N422" s="772"/>
      <c r="O422" s="778" t="b">
        <v>0</v>
      </c>
      <c r="P422" s="460"/>
    </row>
    <row r="423" spans="1:16">
      <c r="A423" s="492"/>
      <c r="B423" s="771"/>
      <c r="C423" s="768" t="s">
        <v>10299</v>
      </c>
      <c r="D423" s="770" t="s">
        <v>6493</v>
      </c>
      <c r="E423" s="771"/>
      <c r="F423" s="774" t="s">
        <v>8127</v>
      </c>
      <c r="G423" s="778">
        <v>1</v>
      </c>
      <c r="H423" s="772" t="str">
        <f t="shared" si="8"/>
        <v>1</v>
      </c>
      <c r="I423" s="778">
        <v>1</v>
      </c>
      <c r="J423" s="460" t="str">
        <f t="shared" si="9"/>
        <v>1</v>
      </c>
      <c r="K423" s="778">
        <v>0</v>
      </c>
      <c r="L423" s="460"/>
      <c r="M423" s="778">
        <v>0</v>
      </c>
      <c r="N423" s="772"/>
      <c r="O423" s="778" t="b">
        <v>0</v>
      </c>
      <c r="P423" s="460"/>
    </row>
    <row r="424" spans="1:16">
      <c r="A424" s="492"/>
      <c r="B424" s="771"/>
      <c r="C424" s="768" t="s">
        <v>10300</v>
      </c>
      <c r="D424" s="770" t="s">
        <v>6493</v>
      </c>
      <c r="E424" s="771"/>
      <c r="F424" s="774" t="s">
        <v>8184</v>
      </c>
      <c r="G424" s="778">
        <v>1</v>
      </c>
      <c r="H424" s="772" t="str">
        <f t="shared" ref="H424:H487" si="10">D424</f>
        <v>1</v>
      </c>
      <c r="I424" s="778">
        <v>1</v>
      </c>
      <c r="J424" s="460" t="str">
        <f t="shared" si="9"/>
        <v>1</v>
      </c>
      <c r="K424" s="778">
        <v>0</v>
      </c>
      <c r="L424" s="460"/>
      <c r="M424" s="778">
        <v>0</v>
      </c>
      <c r="N424" s="772"/>
      <c r="O424" s="778" t="b">
        <v>0</v>
      </c>
      <c r="P424" s="460"/>
    </row>
    <row r="425" spans="1:16">
      <c r="A425" s="492"/>
      <c r="B425" s="771"/>
      <c r="C425" s="768" t="s">
        <v>10301</v>
      </c>
      <c r="D425" s="770" t="s">
        <v>6493</v>
      </c>
      <c r="E425" s="771"/>
      <c r="F425" s="774" t="s">
        <v>8109</v>
      </c>
      <c r="G425" s="778">
        <v>1</v>
      </c>
      <c r="H425" s="772" t="str">
        <f t="shared" si="10"/>
        <v>1</v>
      </c>
      <c r="I425" s="778">
        <v>1</v>
      </c>
      <c r="J425" s="460" t="str">
        <f t="shared" si="9"/>
        <v>1</v>
      </c>
      <c r="K425" s="778">
        <v>0</v>
      </c>
      <c r="L425" s="460"/>
      <c r="M425" s="778">
        <v>0</v>
      </c>
      <c r="N425" s="772"/>
      <c r="O425" s="778" t="b">
        <v>0</v>
      </c>
      <c r="P425" s="460"/>
    </row>
    <row r="426" spans="1:16">
      <c r="A426" s="492"/>
      <c r="B426" s="771"/>
      <c r="C426" s="768" t="s">
        <v>10302</v>
      </c>
      <c r="D426" s="770" t="s">
        <v>6493</v>
      </c>
      <c r="E426" s="771"/>
      <c r="F426" s="774" t="s">
        <v>8125</v>
      </c>
      <c r="G426" s="778">
        <v>1</v>
      </c>
      <c r="H426" s="772" t="str">
        <f t="shared" si="10"/>
        <v>1</v>
      </c>
      <c r="I426" s="778">
        <v>1</v>
      </c>
      <c r="J426" s="460" t="str">
        <f t="shared" si="9"/>
        <v>1</v>
      </c>
      <c r="K426" s="778">
        <v>0</v>
      </c>
      <c r="L426" s="460"/>
      <c r="M426" s="778">
        <v>0</v>
      </c>
      <c r="N426" s="772"/>
      <c r="O426" s="778" t="b">
        <v>0</v>
      </c>
      <c r="P426" s="460"/>
    </row>
    <row r="427" spans="1:16">
      <c r="A427" s="492"/>
      <c r="B427" s="771"/>
      <c r="C427" s="768" t="s">
        <v>10303</v>
      </c>
      <c r="D427" s="770" t="s">
        <v>6493</v>
      </c>
      <c r="E427" s="771"/>
      <c r="F427" s="774" t="s">
        <v>8139</v>
      </c>
      <c r="G427" s="778">
        <v>1</v>
      </c>
      <c r="H427" s="772" t="str">
        <f t="shared" si="10"/>
        <v>1</v>
      </c>
      <c r="I427" s="778">
        <v>1</v>
      </c>
      <c r="J427" s="460" t="str">
        <f t="shared" si="9"/>
        <v>1</v>
      </c>
      <c r="K427" s="778">
        <v>0</v>
      </c>
      <c r="L427" s="460"/>
      <c r="M427" s="778">
        <v>0</v>
      </c>
      <c r="N427" s="772"/>
      <c r="O427" s="778" t="b">
        <v>0</v>
      </c>
      <c r="P427" s="460"/>
    </row>
    <row r="428" spans="1:16">
      <c r="A428" s="492"/>
      <c r="B428" s="771"/>
      <c r="C428" s="768" t="s">
        <v>10304</v>
      </c>
      <c r="D428" s="770" t="s">
        <v>6493</v>
      </c>
      <c r="E428" s="771"/>
      <c r="F428" s="774" t="s">
        <v>8145</v>
      </c>
      <c r="G428" s="778">
        <v>1</v>
      </c>
      <c r="H428" s="772" t="str">
        <f t="shared" si="10"/>
        <v>1</v>
      </c>
      <c r="I428" s="778">
        <v>1</v>
      </c>
      <c r="J428" s="460" t="str">
        <f t="shared" si="9"/>
        <v>1</v>
      </c>
      <c r="K428" s="778">
        <v>0</v>
      </c>
      <c r="L428" s="460"/>
      <c r="M428" s="778">
        <v>0</v>
      </c>
      <c r="N428" s="772"/>
      <c r="O428" s="778" t="b">
        <v>0</v>
      </c>
      <c r="P428" s="460"/>
    </row>
    <row r="429" spans="1:16">
      <c r="A429" s="492"/>
      <c r="B429" s="771"/>
      <c r="C429" s="768" t="s">
        <v>10305</v>
      </c>
      <c r="D429" s="770" t="s">
        <v>6493</v>
      </c>
      <c r="E429" s="771"/>
      <c r="F429" s="774" t="s">
        <v>8186</v>
      </c>
      <c r="G429" s="778">
        <v>1</v>
      </c>
      <c r="H429" s="772" t="str">
        <f t="shared" si="10"/>
        <v>1</v>
      </c>
      <c r="I429" s="778">
        <v>1</v>
      </c>
      <c r="J429" s="460" t="str">
        <f t="shared" si="9"/>
        <v>1</v>
      </c>
      <c r="K429" s="778">
        <v>0</v>
      </c>
      <c r="L429" s="460"/>
      <c r="M429" s="778">
        <v>0</v>
      </c>
      <c r="N429" s="772"/>
      <c r="O429" s="778" t="b">
        <v>0</v>
      </c>
      <c r="P429" s="460"/>
    </row>
    <row r="430" spans="1:16">
      <c r="A430" s="492"/>
      <c r="B430" s="771"/>
      <c r="C430" s="768" t="s">
        <v>10306</v>
      </c>
      <c r="D430" s="770" t="s">
        <v>6493</v>
      </c>
      <c r="E430" s="771"/>
      <c r="F430" s="774" t="s">
        <v>8183</v>
      </c>
      <c r="G430" s="778">
        <v>1</v>
      </c>
      <c r="H430" s="772" t="str">
        <f t="shared" si="10"/>
        <v>1</v>
      </c>
      <c r="I430" s="778">
        <v>1</v>
      </c>
      <c r="J430" s="460" t="str">
        <f t="shared" si="9"/>
        <v>1</v>
      </c>
      <c r="K430" s="778">
        <v>0</v>
      </c>
      <c r="L430" s="460"/>
      <c r="M430" s="778">
        <v>0</v>
      </c>
      <c r="N430" s="772"/>
      <c r="O430" s="778" t="b">
        <v>0</v>
      </c>
      <c r="P430" s="460"/>
    </row>
    <row r="431" spans="1:16">
      <c r="A431" s="492"/>
      <c r="B431" s="771"/>
      <c r="C431" s="768" t="s">
        <v>10142</v>
      </c>
      <c r="D431" s="770" t="s">
        <v>6493</v>
      </c>
      <c r="E431" s="771"/>
      <c r="F431" s="774" t="s">
        <v>6577</v>
      </c>
      <c r="G431" s="778">
        <v>1</v>
      </c>
      <c r="H431" s="772" t="str">
        <f t="shared" si="10"/>
        <v>1</v>
      </c>
      <c r="I431" s="778">
        <v>1</v>
      </c>
      <c r="J431" s="460" t="str">
        <f t="shared" si="9"/>
        <v>1</v>
      </c>
      <c r="K431" s="778">
        <v>0</v>
      </c>
      <c r="L431" s="460"/>
      <c r="M431" s="778">
        <v>0</v>
      </c>
      <c r="N431" s="772"/>
      <c r="O431" s="778" t="b">
        <v>0</v>
      </c>
      <c r="P431" s="460"/>
    </row>
    <row r="432" spans="1:16">
      <c r="A432" s="492"/>
      <c r="B432" s="771"/>
      <c r="C432" s="768" t="s">
        <v>10143</v>
      </c>
      <c r="D432" s="770" t="s">
        <v>6493</v>
      </c>
      <c r="E432" s="771"/>
      <c r="F432" s="774" t="s">
        <v>6578</v>
      </c>
      <c r="G432" s="778">
        <v>1</v>
      </c>
      <c r="H432" s="772" t="str">
        <f t="shared" si="10"/>
        <v>1</v>
      </c>
      <c r="I432" s="778">
        <v>1</v>
      </c>
      <c r="J432" s="460" t="str">
        <f t="shared" si="9"/>
        <v>1</v>
      </c>
      <c r="K432" s="778">
        <v>0</v>
      </c>
      <c r="L432" s="460"/>
      <c r="M432" s="778">
        <v>0</v>
      </c>
      <c r="N432" s="772"/>
      <c r="O432" s="778" t="b">
        <v>0</v>
      </c>
      <c r="P432" s="460"/>
    </row>
    <row r="433" spans="1:16">
      <c r="A433" s="492"/>
      <c r="B433" s="771"/>
      <c r="C433" s="768" t="s">
        <v>10144</v>
      </c>
      <c r="D433" s="770" t="s">
        <v>5733</v>
      </c>
      <c r="E433" s="771"/>
      <c r="F433" s="774" t="s">
        <v>6579</v>
      </c>
      <c r="G433" s="778">
        <v>2</v>
      </c>
      <c r="H433" s="772" t="str">
        <f t="shared" si="10"/>
        <v>2</v>
      </c>
      <c r="I433" s="778">
        <v>2</v>
      </c>
      <c r="J433" s="460" t="str">
        <f t="shared" si="9"/>
        <v>2</v>
      </c>
      <c r="K433" s="778">
        <v>0</v>
      </c>
      <c r="L433" s="460"/>
      <c r="M433" s="778">
        <v>0</v>
      </c>
      <c r="N433" s="772"/>
      <c r="O433" s="778" t="b">
        <v>0</v>
      </c>
      <c r="P433" s="460"/>
    </row>
    <row r="434" spans="1:16">
      <c r="A434" s="492"/>
      <c r="B434" s="771"/>
      <c r="C434" s="768" t="s">
        <v>10145</v>
      </c>
      <c r="D434" s="770" t="s">
        <v>5733</v>
      </c>
      <c r="E434" s="771"/>
      <c r="F434" s="774" t="s">
        <v>6580</v>
      </c>
      <c r="G434" s="778">
        <v>2</v>
      </c>
      <c r="H434" s="772" t="str">
        <f t="shared" si="10"/>
        <v>2</v>
      </c>
      <c r="I434" s="778">
        <v>2</v>
      </c>
      <c r="J434" s="460" t="str">
        <f t="shared" si="9"/>
        <v>2</v>
      </c>
      <c r="K434" s="778">
        <v>0</v>
      </c>
      <c r="L434" s="460"/>
      <c r="M434" s="778">
        <v>0</v>
      </c>
      <c r="N434" s="772"/>
      <c r="O434" s="778" t="b">
        <v>0</v>
      </c>
      <c r="P434" s="460"/>
    </row>
    <row r="435" spans="1:16">
      <c r="A435" s="492"/>
      <c r="B435" s="771"/>
      <c r="C435" s="768" t="s">
        <v>10146</v>
      </c>
      <c r="D435" s="770" t="s">
        <v>5733</v>
      </c>
      <c r="E435" s="771"/>
      <c r="F435" s="774" t="s">
        <v>6581</v>
      </c>
      <c r="G435" s="778">
        <v>2</v>
      </c>
      <c r="H435" s="772" t="str">
        <f t="shared" si="10"/>
        <v>2</v>
      </c>
      <c r="I435" s="778">
        <v>2</v>
      </c>
      <c r="J435" s="460" t="str">
        <f t="shared" si="9"/>
        <v>2</v>
      </c>
      <c r="K435" s="778">
        <v>0</v>
      </c>
      <c r="L435" s="460"/>
      <c r="M435" s="778">
        <v>0</v>
      </c>
      <c r="N435" s="772"/>
      <c r="O435" s="778" t="b">
        <v>0</v>
      </c>
      <c r="P435" s="460"/>
    </row>
    <row r="436" spans="1:16">
      <c r="A436" s="492"/>
      <c r="B436" s="771"/>
      <c r="C436" s="768" t="s">
        <v>10147</v>
      </c>
      <c r="D436" s="770" t="s">
        <v>6493</v>
      </c>
      <c r="E436" s="771"/>
      <c r="F436" s="774" t="s">
        <v>6582</v>
      </c>
      <c r="G436" s="778">
        <v>1</v>
      </c>
      <c r="H436" s="772" t="str">
        <f t="shared" si="10"/>
        <v>1</v>
      </c>
      <c r="I436" s="778">
        <v>1</v>
      </c>
      <c r="J436" s="460" t="str">
        <f t="shared" si="9"/>
        <v>1</v>
      </c>
      <c r="K436" s="778">
        <v>0</v>
      </c>
      <c r="L436" s="460"/>
      <c r="M436" s="778">
        <v>0</v>
      </c>
      <c r="N436" s="772"/>
      <c r="O436" s="778" t="b">
        <v>0</v>
      </c>
      <c r="P436" s="460"/>
    </row>
    <row r="437" spans="1:16">
      <c r="A437" s="492"/>
      <c r="B437" s="771"/>
      <c r="C437" s="768" t="s">
        <v>10308</v>
      </c>
      <c r="D437" s="770">
        <v>8</v>
      </c>
      <c r="E437" s="771"/>
      <c r="F437" s="774" t="s">
        <v>8192</v>
      </c>
      <c r="G437" s="778">
        <v>8</v>
      </c>
      <c r="H437" s="772">
        <f t="shared" si="10"/>
        <v>8</v>
      </c>
      <c r="I437" s="778">
        <v>8</v>
      </c>
      <c r="J437" s="460">
        <f t="shared" si="9"/>
        <v>8</v>
      </c>
      <c r="K437" s="778">
        <v>0</v>
      </c>
      <c r="L437" s="460"/>
      <c r="M437" s="778">
        <v>0</v>
      </c>
      <c r="N437" s="772"/>
      <c r="O437" s="778" t="b">
        <v>0</v>
      </c>
      <c r="P437" s="460"/>
    </row>
    <row r="438" spans="1:16">
      <c r="A438" s="492"/>
      <c r="B438" s="771"/>
      <c r="C438" s="768" t="s">
        <v>10309</v>
      </c>
      <c r="D438" s="770">
        <v>8</v>
      </c>
      <c r="E438" s="771"/>
      <c r="F438" s="774" t="s">
        <v>8154</v>
      </c>
      <c r="G438" s="778">
        <v>8</v>
      </c>
      <c r="H438" s="772">
        <f t="shared" si="10"/>
        <v>8</v>
      </c>
      <c r="I438" s="778">
        <v>8</v>
      </c>
      <c r="J438" s="460">
        <f t="shared" si="9"/>
        <v>8</v>
      </c>
      <c r="K438" s="778">
        <v>0</v>
      </c>
      <c r="L438" s="460"/>
      <c r="M438" s="778">
        <v>0</v>
      </c>
      <c r="N438" s="772"/>
      <c r="O438" s="778" t="b">
        <v>0</v>
      </c>
      <c r="P438" s="460"/>
    </row>
    <row r="439" spans="1:16">
      <c r="A439" s="492"/>
      <c r="B439" s="771"/>
      <c r="C439" s="768" t="s">
        <v>10310</v>
      </c>
      <c r="D439" s="770">
        <v>1</v>
      </c>
      <c r="E439" s="771"/>
      <c r="F439" s="774" t="s">
        <v>8137</v>
      </c>
      <c r="G439" s="778">
        <v>1</v>
      </c>
      <c r="H439" s="772">
        <f t="shared" si="10"/>
        <v>1</v>
      </c>
      <c r="I439" s="778">
        <v>1</v>
      </c>
      <c r="J439" s="460">
        <f t="shared" si="9"/>
        <v>1</v>
      </c>
      <c r="K439" s="778">
        <v>0</v>
      </c>
      <c r="L439" s="460"/>
      <c r="M439" s="778">
        <v>0</v>
      </c>
      <c r="N439" s="772"/>
      <c r="O439" s="778" t="b">
        <v>0</v>
      </c>
      <c r="P439" s="460"/>
    </row>
    <row r="440" spans="1:16">
      <c r="A440" s="492"/>
      <c r="B440" s="771"/>
      <c r="C440" s="768" t="s">
        <v>10311</v>
      </c>
      <c r="D440" s="770">
        <v>1</v>
      </c>
      <c r="E440" s="771"/>
      <c r="F440" s="774" t="s">
        <v>8173</v>
      </c>
      <c r="G440" s="778">
        <v>1</v>
      </c>
      <c r="H440" s="772">
        <f t="shared" si="10"/>
        <v>1</v>
      </c>
      <c r="I440" s="778">
        <v>1</v>
      </c>
      <c r="J440" s="460">
        <f t="shared" si="9"/>
        <v>1</v>
      </c>
      <c r="K440" s="778">
        <v>0</v>
      </c>
      <c r="L440" s="460"/>
      <c r="M440" s="778">
        <v>0</v>
      </c>
      <c r="N440" s="772"/>
      <c r="O440" s="778" t="b">
        <v>0</v>
      </c>
      <c r="P440" s="460"/>
    </row>
    <row r="441" spans="1:16">
      <c r="A441" s="492"/>
      <c r="B441" s="771"/>
      <c r="C441" s="768" t="s">
        <v>10027</v>
      </c>
      <c r="D441" s="770" t="s">
        <v>6081</v>
      </c>
      <c r="E441" s="771"/>
      <c r="F441" s="774" t="s">
        <v>6044</v>
      </c>
      <c r="G441" s="778">
        <v>6</v>
      </c>
      <c r="H441" s="772" t="str">
        <f t="shared" si="10"/>
        <v>6</v>
      </c>
      <c r="I441" s="778">
        <v>6</v>
      </c>
      <c r="J441" s="460" t="str">
        <f t="shared" si="9"/>
        <v>6</v>
      </c>
      <c r="K441" s="778">
        <v>0</v>
      </c>
      <c r="L441" s="460"/>
      <c r="M441" s="778">
        <v>0</v>
      </c>
      <c r="N441" s="772"/>
      <c r="O441" s="778" t="b">
        <v>0</v>
      </c>
      <c r="P441" s="460"/>
    </row>
    <row r="442" spans="1:16">
      <c r="A442" s="492"/>
      <c r="B442" s="771"/>
      <c r="C442" s="768" t="s">
        <v>10028</v>
      </c>
      <c r="D442" s="770" t="s">
        <v>6082</v>
      </c>
      <c r="E442" s="771"/>
      <c r="F442" s="774" t="s">
        <v>6045</v>
      </c>
      <c r="G442" s="778">
        <v>10</v>
      </c>
      <c r="H442" s="772" t="str">
        <f t="shared" si="10"/>
        <v>10</v>
      </c>
      <c r="I442" s="778">
        <v>10</v>
      </c>
      <c r="J442" s="460" t="str">
        <f t="shared" si="9"/>
        <v>10</v>
      </c>
      <c r="K442" s="778">
        <v>0</v>
      </c>
      <c r="L442" s="460"/>
      <c r="M442" s="778">
        <v>0</v>
      </c>
      <c r="N442" s="772"/>
      <c r="O442" s="778" t="b">
        <v>0</v>
      </c>
      <c r="P442" s="460"/>
    </row>
    <row r="443" spans="1:16">
      <c r="A443" s="492"/>
      <c r="B443" s="771"/>
      <c r="C443" s="768" t="s">
        <v>10029</v>
      </c>
      <c r="D443" s="770" t="s">
        <v>6081</v>
      </c>
      <c r="E443" s="771"/>
      <c r="F443" s="774" t="s">
        <v>6046</v>
      </c>
      <c r="G443" s="778">
        <v>6</v>
      </c>
      <c r="H443" s="772" t="str">
        <f t="shared" si="10"/>
        <v>6</v>
      </c>
      <c r="I443" s="778">
        <v>6</v>
      </c>
      <c r="J443" s="460" t="str">
        <f t="shared" si="9"/>
        <v>6</v>
      </c>
      <c r="K443" s="778">
        <v>0</v>
      </c>
      <c r="L443" s="460"/>
      <c r="M443" s="778">
        <v>0</v>
      </c>
      <c r="N443" s="772"/>
      <c r="O443" s="778" t="b">
        <v>0</v>
      </c>
      <c r="P443" s="460"/>
    </row>
    <row r="444" spans="1:16">
      <c r="A444" s="492"/>
      <c r="B444" s="771"/>
      <c r="C444" s="768" t="s">
        <v>10030</v>
      </c>
      <c r="D444" s="770" t="s">
        <v>6082</v>
      </c>
      <c r="E444" s="771"/>
      <c r="F444" s="774" t="s">
        <v>6047</v>
      </c>
      <c r="G444" s="778">
        <v>10</v>
      </c>
      <c r="H444" s="772" t="str">
        <f t="shared" si="10"/>
        <v>10</v>
      </c>
      <c r="I444" s="778">
        <v>10</v>
      </c>
      <c r="J444" s="460" t="str">
        <f t="shared" si="9"/>
        <v>10</v>
      </c>
      <c r="K444" s="778">
        <v>0</v>
      </c>
      <c r="L444" s="460"/>
      <c r="M444" s="778">
        <v>0</v>
      </c>
      <c r="N444" s="772"/>
      <c r="O444" s="778" t="b">
        <v>0</v>
      </c>
      <c r="P444" s="460"/>
    </row>
    <row r="445" spans="1:16">
      <c r="A445" s="492"/>
      <c r="B445" s="771"/>
      <c r="C445" s="768" t="s">
        <v>10031</v>
      </c>
      <c r="D445" s="770" t="s">
        <v>6083</v>
      </c>
      <c r="E445" s="771"/>
      <c r="F445" s="774" t="s">
        <v>6048</v>
      </c>
      <c r="G445" s="778">
        <v>2</v>
      </c>
      <c r="H445" s="772" t="str">
        <f t="shared" si="10"/>
        <v>2</v>
      </c>
      <c r="I445" s="778">
        <v>2</v>
      </c>
      <c r="J445" s="460" t="str">
        <f t="shared" si="9"/>
        <v>2</v>
      </c>
      <c r="K445" s="778">
        <v>0</v>
      </c>
      <c r="L445" s="460"/>
      <c r="M445" s="778">
        <v>0</v>
      </c>
      <c r="N445" s="772"/>
      <c r="O445" s="778" t="b">
        <v>0</v>
      </c>
      <c r="P445" s="460"/>
    </row>
    <row r="446" spans="1:16">
      <c r="A446" s="519"/>
      <c r="B446" s="771"/>
      <c r="C446" s="768" t="s">
        <v>10032</v>
      </c>
      <c r="D446" s="770" t="s">
        <v>6081</v>
      </c>
      <c r="E446" s="771"/>
      <c r="F446" s="774" t="s">
        <v>6049</v>
      </c>
      <c r="G446" s="778">
        <v>6</v>
      </c>
      <c r="H446" s="772" t="str">
        <f t="shared" si="10"/>
        <v>6</v>
      </c>
      <c r="I446" s="778">
        <v>6</v>
      </c>
      <c r="J446" s="460" t="str">
        <f t="shared" si="9"/>
        <v>6</v>
      </c>
      <c r="K446" s="778">
        <v>0</v>
      </c>
      <c r="L446" s="460"/>
      <c r="M446" s="778">
        <v>0</v>
      </c>
      <c r="N446" s="772"/>
      <c r="O446" s="778" t="b">
        <v>0</v>
      </c>
      <c r="P446" s="460"/>
    </row>
    <row r="447" spans="1:16">
      <c r="A447" s="519"/>
      <c r="B447" s="771"/>
      <c r="C447" s="768" t="s">
        <v>10033</v>
      </c>
      <c r="D447" s="770" t="s">
        <v>6081</v>
      </c>
      <c r="E447" s="771"/>
      <c r="F447" s="774" t="s">
        <v>6050</v>
      </c>
      <c r="G447" s="778">
        <v>6</v>
      </c>
      <c r="H447" s="772" t="str">
        <f t="shared" si="10"/>
        <v>6</v>
      </c>
      <c r="I447" s="778">
        <v>6</v>
      </c>
      <c r="J447" s="460" t="str">
        <f t="shared" si="9"/>
        <v>6</v>
      </c>
      <c r="K447" s="778">
        <v>0</v>
      </c>
      <c r="L447" s="460"/>
      <c r="M447" s="778">
        <v>0</v>
      </c>
      <c r="N447" s="772"/>
      <c r="O447" s="778" t="b">
        <v>0</v>
      </c>
      <c r="P447" s="460"/>
    </row>
    <row r="448" spans="1:16">
      <c r="A448" s="519"/>
      <c r="B448" s="771"/>
      <c r="C448" s="768" t="s">
        <v>10034</v>
      </c>
      <c r="D448" s="770" t="s">
        <v>6082</v>
      </c>
      <c r="E448" s="771"/>
      <c r="F448" s="774" t="s">
        <v>6051</v>
      </c>
      <c r="G448" s="778">
        <v>10</v>
      </c>
      <c r="H448" s="772" t="str">
        <f t="shared" si="10"/>
        <v>10</v>
      </c>
      <c r="I448" s="778">
        <v>10</v>
      </c>
      <c r="J448" s="460" t="str">
        <f t="shared" si="9"/>
        <v>10</v>
      </c>
      <c r="K448" s="778">
        <v>0</v>
      </c>
      <c r="L448" s="460"/>
      <c r="M448" s="778">
        <v>0</v>
      </c>
      <c r="N448" s="772"/>
      <c r="O448" s="778" t="b">
        <v>0</v>
      </c>
      <c r="P448" s="460"/>
    </row>
    <row r="449" spans="1:16">
      <c r="A449" s="519"/>
      <c r="B449" s="771"/>
      <c r="C449" s="768" t="s">
        <v>10035</v>
      </c>
      <c r="D449" s="770" t="s">
        <v>6082</v>
      </c>
      <c r="E449" s="771"/>
      <c r="F449" s="774" t="s">
        <v>6052</v>
      </c>
      <c r="G449" s="778">
        <v>10</v>
      </c>
      <c r="H449" s="772" t="str">
        <f t="shared" si="10"/>
        <v>10</v>
      </c>
      <c r="I449" s="778">
        <v>10</v>
      </c>
      <c r="J449" s="460" t="str">
        <f t="shared" si="9"/>
        <v>10</v>
      </c>
      <c r="K449" s="778">
        <v>0</v>
      </c>
      <c r="L449" s="460"/>
      <c r="M449" s="778">
        <v>0</v>
      </c>
      <c r="N449" s="772"/>
      <c r="O449" s="778" t="b">
        <v>0</v>
      </c>
      <c r="P449" s="460"/>
    </row>
    <row r="450" spans="1:16">
      <c r="A450" s="519"/>
      <c r="B450" s="771"/>
      <c r="C450" s="768" t="s">
        <v>10036</v>
      </c>
      <c r="D450" s="770" t="s">
        <v>6082</v>
      </c>
      <c r="E450" s="771"/>
      <c r="F450" s="774" t="s">
        <v>6053</v>
      </c>
      <c r="G450" s="778">
        <v>10</v>
      </c>
      <c r="H450" s="772" t="str">
        <f t="shared" si="10"/>
        <v>10</v>
      </c>
      <c r="I450" s="778">
        <v>10</v>
      </c>
      <c r="J450" s="460" t="str">
        <f t="shared" si="9"/>
        <v>10</v>
      </c>
      <c r="K450" s="778">
        <v>0</v>
      </c>
      <c r="L450" s="460"/>
      <c r="M450" s="778">
        <v>0</v>
      </c>
      <c r="N450" s="772"/>
      <c r="O450" s="778" t="b">
        <v>0</v>
      </c>
      <c r="P450" s="460"/>
    </row>
    <row r="451" spans="1:16">
      <c r="A451" s="519"/>
      <c r="B451" s="771"/>
      <c r="C451" s="768" t="s">
        <v>10037</v>
      </c>
      <c r="D451" s="770" t="s">
        <v>6084</v>
      </c>
      <c r="E451" s="771"/>
      <c r="F451" s="774" t="s">
        <v>6054</v>
      </c>
      <c r="G451" s="778">
        <v>20</v>
      </c>
      <c r="H451" s="772" t="str">
        <f t="shared" si="10"/>
        <v>20</v>
      </c>
      <c r="I451" s="778">
        <v>20</v>
      </c>
      <c r="J451" s="460" t="str">
        <f t="shared" si="9"/>
        <v>20</v>
      </c>
      <c r="K451" s="778">
        <v>0</v>
      </c>
      <c r="L451" s="460"/>
      <c r="M451" s="778">
        <v>0</v>
      </c>
      <c r="N451" s="772"/>
      <c r="O451" s="778" t="b">
        <v>0</v>
      </c>
      <c r="P451" s="460"/>
    </row>
    <row r="452" spans="1:16">
      <c r="A452" s="519"/>
      <c r="B452" s="771"/>
      <c r="C452" s="768" t="s">
        <v>10038</v>
      </c>
      <c r="D452" s="770" t="s">
        <v>6082</v>
      </c>
      <c r="E452" s="771"/>
      <c r="F452" s="774" t="s">
        <v>6055</v>
      </c>
      <c r="G452" s="778">
        <v>10</v>
      </c>
      <c r="H452" s="772" t="str">
        <f t="shared" si="10"/>
        <v>10</v>
      </c>
      <c r="I452" s="778">
        <v>10</v>
      </c>
      <c r="J452" s="460" t="str">
        <f t="shared" si="9"/>
        <v>10</v>
      </c>
      <c r="K452" s="778">
        <v>0</v>
      </c>
      <c r="L452" s="460"/>
      <c r="M452" s="778">
        <v>0</v>
      </c>
      <c r="N452" s="772"/>
      <c r="O452" s="778" t="b">
        <v>0</v>
      </c>
      <c r="P452" s="460"/>
    </row>
    <row r="453" spans="1:16">
      <c r="A453" s="519"/>
      <c r="B453" s="771"/>
      <c r="C453" s="768" t="s">
        <v>10051</v>
      </c>
      <c r="D453" s="770" t="s">
        <v>6085</v>
      </c>
      <c r="E453" s="771"/>
      <c r="F453" s="774" t="s">
        <v>6070</v>
      </c>
      <c r="G453" s="778">
        <v>3</v>
      </c>
      <c r="H453" s="772" t="str">
        <f t="shared" si="10"/>
        <v>3</v>
      </c>
      <c r="I453" s="778">
        <v>3</v>
      </c>
      <c r="J453" s="460" t="str">
        <f t="shared" ref="J453:J516" si="11">H453</f>
        <v>3</v>
      </c>
      <c r="K453" s="778">
        <v>0</v>
      </c>
      <c r="L453" s="460"/>
      <c r="M453" s="778">
        <v>0</v>
      </c>
      <c r="N453" s="772"/>
      <c r="O453" s="778" t="b">
        <v>0</v>
      </c>
      <c r="P453" s="460"/>
    </row>
    <row r="454" spans="1:16">
      <c r="A454" s="519"/>
      <c r="B454" s="771"/>
      <c r="C454" s="768" t="s">
        <v>10052</v>
      </c>
      <c r="D454" s="770" t="s">
        <v>6085</v>
      </c>
      <c r="E454" s="771"/>
      <c r="F454" s="774" t="s">
        <v>6067</v>
      </c>
      <c r="G454" s="778">
        <v>3</v>
      </c>
      <c r="H454" s="772" t="str">
        <f t="shared" si="10"/>
        <v>3</v>
      </c>
      <c r="I454" s="778">
        <v>3</v>
      </c>
      <c r="J454" s="460" t="str">
        <f t="shared" si="11"/>
        <v>3</v>
      </c>
      <c r="K454" s="778">
        <v>0</v>
      </c>
      <c r="L454" s="460"/>
      <c r="M454" s="778">
        <v>0</v>
      </c>
      <c r="N454" s="772"/>
      <c r="O454" s="778" t="b">
        <v>0</v>
      </c>
      <c r="P454" s="460"/>
    </row>
    <row r="455" spans="1:16">
      <c r="A455" s="519"/>
      <c r="B455" s="771"/>
      <c r="C455" s="768" t="s">
        <v>10053</v>
      </c>
      <c r="D455" s="770" t="s">
        <v>6087</v>
      </c>
      <c r="E455" s="771"/>
      <c r="F455" s="774" t="s">
        <v>6068</v>
      </c>
      <c r="G455" s="778">
        <v>12</v>
      </c>
      <c r="H455" s="772" t="str">
        <f t="shared" si="10"/>
        <v>12</v>
      </c>
      <c r="I455" s="778">
        <v>12</v>
      </c>
      <c r="J455" s="460" t="str">
        <f t="shared" si="11"/>
        <v>12</v>
      </c>
      <c r="K455" s="778">
        <v>0</v>
      </c>
      <c r="L455" s="460"/>
      <c r="M455" s="778">
        <v>0</v>
      </c>
      <c r="N455" s="772"/>
      <c r="O455" s="778" t="b">
        <v>0</v>
      </c>
      <c r="P455" s="460"/>
    </row>
    <row r="456" spans="1:16">
      <c r="A456" s="519"/>
      <c r="B456" s="771"/>
      <c r="C456" s="768" t="s">
        <v>10054</v>
      </c>
      <c r="D456" s="770" t="s">
        <v>6087</v>
      </c>
      <c r="E456" s="771"/>
      <c r="F456" s="774" t="s">
        <v>6069</v>
      </c>
      <c r="G456" s="778">
        <v>12</v>
      </c>
      <c r="H456" s="772" t="str">
        <f t="shared" si="10"/>
        <v>12</v>
      </c>
      <c r="I456" s="778">
        <v>12</v>
      </c>
      <c r="J456" s="460" t="str">
        <f t="shared" si="11"/>
        <v>12</v>
      </c>
      <c r="K456" s="778">
        <v>0</v>
      </c>
      <c r="L456" s="460"/>
      <c r="M456" s="778">
        <v>0</v>
      </c>
      <c r="N456" s="772"/>
      <c r="O456" s="778" t="b">
        <v>0</v>
      </c>
      <c r="P456" s="460"/>
    </row>
    <row r="457" spans="1:16">
      <c r="A457" s="519"/>
      <c r="B457" s="771"/>
      <c r="C457" s="768" t="s">
        <v>10312</v>
      </c>
      <c r="D457" s="770">
        <v>3</v>
      </c>
      <c r="E457" s="771"/>
      <c r="F457" s="774" t="s">
        <v>8115</v>
      </c>
      <c r="G457" s="778">
        <v>3</v>
      </c>
      <c r="H457" s="772">
        <f t="shared" si="10"/>
        <v>3</v>
      </c>
      <c r="I457" s="778">
        <v>3</v>
      </c>
      <c r="J457" s="460">
        <f t="shared" si="11"/>
        <v>3</v>
      </c>
      <c r="K457" s="778">
        <v>0</v>
      </c>
      <c r="L457" s="460"/>
      <c r="M457" s="778">
        <v>0</v>
      </c>
      <c r="N457" s="772"/>
      <c r="O457" s="778" t="b">
        <v>0</v>
      </c>
      <c r="P457" s="460"/>
    </row>
    <row r="458" spans="1:16">
      <c r="A458" s="519"/>
      <c r="B458" s="771"/>
      <c r="C458" s="768" t="s">
        <v>9967</v>
      </c>
      <c r="D458" s="770" t="s">
        <v>5732</v>
      </c>
      <c r="E458" s="771"/>
      <c r="F458" s="774" t="s">
        <v>5670</v>
      </c>
      <c r="G458" s="778">
        <v>6</v>
      </c>
      <c r="H458" s="772" t="str">
        <f t="shared" si="10"/>
        <v>6</v>
      </c>
      <c r="I458" s="778">
        <v>6</v>
      </c>
      <c r="J458" s="460" t="str">
        <f t="shared" si="11"/>
        <v>6</v>
      </c>
      <c r="K458" s="778">
        <v>0</v>
      </c>
      <c r="L458" s="460"/>
      <c r="M458" s="778">
        <v>0</v>
      </c>
      <c r="N458" s="772"/>
      <c r="O458" s="778" t="b">
        <v>0</v>
      </c>
      <c r="P458" s="460"/>
    </row>
    <row r="459" spans="1:16">
      <c r="A459" s="519"/>
      <c r="B459" s="771"/>
      <c r="C459" s="768" t="s">
        <v>9968</v>
      </c>
      <c r="D459" s="770" t="s">
        <v>5591</v>
      </c>
      <c r="E459" s="771"/>
      <c r="F459" s="774" t="s">
        <v>5671</v>
      </c>
      <c r="G459" s="778">
        <v>1.5</v>
      </c>
      <c r="H459" s="772" t="str">
        <f t="shared" si="10"/>
        <v>1.5</v>
      </c>
      <c r="I459" s="778">
        <v>1.5</v>
      </c>
      <c r="J459" s="460" t="str">
        <f t="shared" si="11"/>
        <v>1.5</v>
      </c>
      <c r="K459" s="778">
        <v>0</v>
      </c>
      <c r="L459" s="460"/>
      <c r="M459" s="778">
        <v>3</v>
      </c>
      <c r="N459" s="772">
        <v>3</v>
      </c>
      <c r="O459" s="778" t="b">
        <v>0</v>
      </c>
      <c r="P459" s="460"/>
    </row>
    <row r="460" spans="1:16">
      <c r="A460" s="519"/>
      <c r="B460" s="771"/>
      <c r="C460" s="768" t="s">
        <v>9969</v>
      </c>
      <c r="D460" s="770" t="s">
        <v>5591</v>
      </c>
      <c r="E460" s="771"/>
      <c r="F460" s="774" t="s">
        <v>5672</v>
      </c>
      <c r="G460" s="778">
        <v>1.5</v>
      </c>
      <c r="H460" s="772" t="str">
        <f t="shared" si="10"/>
        <v>1.5</v>
      </c>
      <c r="I460" s="778">
        <v>1.5</v>
      </c>
      <c r="J460" s="460" t="str">
        <f t="shared" si="11"/>
        <v>1.5</v>
      </c>
      <c r="K460" s="778">
        <v>0</v>
      </c>
      <c r="L460" s="460"/>
      <c r="M460" s="778">
        <v>3</v>
      </c>
      <c r="N460" s="772">
        <v>3</v>
      </c>
      <c r="O460" s="778" t="b">
        <v>0</v>
      </c>
      <c r="P460" s="460"/>
    </row>
    <row r="461" spans="1:16">
      <c r="A461" s="519"/>
      <c r="B461" s="771"/>
      <c r="C461" s="768" t="s">
        <v>9970</v>
      </c>
      <c r="D461" s="770" t="s">
        <v>5591</v>
      </c>
      <c r="E461" s="771"/>
      <c r="F461" s="774" t="s">
        <v>5673</v>
      </c>
      <c r="G461" s="778">
        <v>1.5</v>
      </c>
      <c r="H461" s="772" t="str">
        <f t="shared" si="10"/>
        <v>1.5</v>
      </c>
      <c r="I461" s="778">
        <v>1.5</v>
      </c>
      <c r="J461" s="460" t="str">
        <f t="shared" si="11"/>
        <v>1.5</v>
      </c>
      <c r="K461" s="778">
        <v>0</v>
      </c>
      <c r="L461" s="460"/>
      <c r="M461" s="778">
        <v>3</v>
      </c>
      <c r="N461" s="772">
        <v>3</v>
      </c>
      <c r="O461" s="778" t="b">
        <v>0</v>
      </c>
      <c r="P461" s="460"/>
    </row>
    <row r="462" spans="1:16">
      <c r="A462" s="519"/>
      <c r="B462" s="771"/>
      <c r="C462" s="768" t="s">
        <v>9971</v>
      </c>
      <c r="D462" s="770" t="s">
        <v>5591</v>
      </c>
      <c r="E462" s="771"/>
      <c r="F462" s="774" t="s">
        <v>5674</v>
      </c>
      <c r="G462" s="778">
        <v>1.5</v>
      </c>
      <c r="H462" s="772" t="str">
        <f t="shared" si="10"/>
        <v>1.5</v>
      </c>
      <c r="I462" s="778">
        <v>1.5</v>
      </c>
      <c r="J462" s="460" t="str">
        <f t="shared" si="11"/>
        <v>1.5</v>
      </c>
      <c r="K462" s="778">
        <v>0</v>
      </c>
      <c r="L462" s="460"/>
      <c r="M462" s="778">
        <v>3</v>
      </c>
      <c r="N462" s="772">
        <v>3</v>
      </c>
      <c r="O462" s="778" t="b">
        <v>0</v>
      </c>
      <c r="P462" s="460"/>
    </row>
    <row r="463" spans="1:16">
      <c r="A463" s="519"/>
      <c r="B463" s="771"/>
      <c r="C463" s="768" t="s">
        <v>9972</v>
      </c>
      <c r="D463" s="770" t="s">
        <v>5732</v>
      </c>
      <c r="E463" s="771"/>
      <c r="F463" s="774" t="s">
        <v>5675</v>
      </c>
      <c r="G463" s="778">
        <v>6</v>
      </c>
      <c r="H463" s="772" t="str">
        <f t="shared" si="10"/>
        <v>6</v>
      </c>
      <c r="I463" s="778">
        <v>6</v>
      </c>
      <c r="J463" s="460" t="str">
        <f t="shared" si="11"/>
        <v>6</v>
      </c>
      <c r="K463" s="778">
        <v>0</v>
      </c>
      <c r="L463" s="460"/>
      <c r="M463" s="778">
        <v>0</v>
      </c>
      <c r="N463" s="772"/>
      <c r="O463" s="778" t="b">
        <v>0</v>
      </c>
      <c r="P463" s="460"/>
    </row>
    <row r="464" spans="1:16">
      <c r="A464" s="519"/>
      <c r="B464" s="771"/>
      <c r="C464" s="768" t="s">
        <v>9973</v>
      </c>
      <c r="D464" s="770" t="s">
        <v>5591</v>
      </c>
      <c r="E464" s="771"/>
      <c r="F464" s="774" t="s">
        <v>5676</v>
      </c>
      <c r="G464" s="778">
        <v>1.5</v>
      </c>
      <c r="H464" s="772" t="str">
        <f t="shared" si="10"/>
        <v>1.5</v>
      </c>
      <c r="I464" s="778">
        <v>1.5</v>
      </c>
      <c r="J464" s="460" t="str">
        <f t="shared" si="11"/>
        <v>1.5</v>
      </c>
      <c r="K464" s="778">
        <v>0</v>
      </c>
      <c r="L464" s="460"/>
      <c r="M464" s="778">
        <v>3</v>
      </c>
      <c r="N464" s="772">
        <v>3</v>
      </c>
      <c r="O464" s="778" t="b">
        <v>0</v>
      </c>
      <c r="P464" s="460"/>
    </row>
    <row r="465" spans="1:16">
      <c r="A465" s="519"/>
      <c r="B465" s="771"/>
      <c r="C465" s="768" t="s">
        <v>9974</v>
      </c>
      <c r="D465" s="770" t="s">
        <v>5591</v>
      </c>
      <c r="E465" s="771"/>
      <c r="F465" s="774" t="s">
        <v>5677</v>
      </c>
      <c r="G465" s="778">
        <v>1.5</v>
      </c>
      <c r="H465" s="772" t="str">
        <f t="shared" si="10"/>
        <v>1.5</v>
      </c>
      <c r="I465" s="778">
        <v>1.5</v>
      </c>
      <c r="J465" s="460" t="str">
        <f t="shared" si="11"/>
        <v>1.5</v>
      </c>
      <c r="K465" s="778">
        <v>0</v>
      </c>
      <c r="L465" s="460"/>
      <c r="M465" s="778">
        <v>3</v>
      </c>
      <c r="N465" s="772">
        <v>3</v>
      </c>
      <c r="O465" s="778" t="b">
        <v>0</v>
      </c>
      <c r="P465" s="460"/>
    </row>
    <row r="466" spans="1:16">
      <c r="A466" s="519"/>
      <c r="B466" s="771"/>
      <c r="C466" s="768" t="s">
        <v>9975</v>
      </c>
      <c r="D466" s="770" t="s">
        <v>5591</v>
      </c>
      <c r="E466" s="771"/>
      <c r="F466" s="774" t="s">
        <v>5678</v>
      </c>
      <c r="G466" s="778">
        <v>1.5</v>
      </c>
      <c r="H466" s="772" t="str">
        <f t="shared" si="10"/>
        <v>1.5</v>
      </c>
      <c r="I466" s="778">
        <v>1.5</v>
      </c>
      <c r="J466" s="460" t="str">
        <f t="shared" si="11"/>
        <v>1.5</v>
      </c>
      <c r="K466" s="778">
        <v>0</v>
      </c>
      <c r="L466" s="460"/>
      <c r="M466" s="778">
        <v>0</v>
      </c>
      <c r="N466" s="772"/>
      <c r="O466" s="778" t="b">
        <v>0</v>
      </c>
      <c r="P466" s="460"/>
    </row>
    <row r="467" spans="1:16">
      <c r="A467" s="519"/>
      <c r="B467" s="771"/>
      <c r="C467" s="768" t="s">
        <v>5982</v>
      </c>
      <c r="D467" s="770">
        <v>3</v>
      </c>
      <c r="E467" s="771"/>
      <c r="F467" s="774" t="s">
        <v>8138</v>
      </c>
      <c r="G467" s="778">
        <v>3</v>
      </c>
      <c r="H467" s="772">
        <f t="shared" si="10"/>
        <v>3</v>
      </c>
      <c r="I467" s="778">
        <v>3</v>
      </c>
      <c r="J467" s="460">
        <f t="shared" si="11"/>
        <v>3</v>
      </c>
      <c r="K467" s="778">
        <v>1</v>
      </c>
      <c r="L467" s="460"/>
      <c r="M467" s="778">
        <v>0</v>
      </c>
      <c r="N467" s="772"/>
      <c r="O467" s="778" t="b">
        <v>0</v>
      </c>
      <c r="P467" s="460"/>
    </row>
    <row r="468" spans="1:16">
      <c r="A468" s="519"/>
      <c r="B468" s="771"/>
      <c r="C468" s="768" t="s">
        <v>10313</v>
      </c>
      <c r="D468" s="770">
        <v>3</v>
      </c>
      <c r="E468" s="771"/>
      <c r="F468" s="774" t="s">
        <v>8193</v>
      </c>
      <c r="G468" s="778">
        <v>3</v>
      </c>
      <c r="H468" s="772">
        <f t="shared" si="10"/>
        <v>3</v>
      </c>
      <c r="I468" s="778">
        <v>3</v>
      </c>
      <c r="J468" s="460">
        <f t="shared" si="11"/>
        <v>3</v>
      </c>
      <c r="K468" s="778">
        <v>1</v>
      </c>
      <c r="L468" s="460"/>
      <c r="M468" s="778">
        <v>0</v>
      </c>
      <c r="N468" s="772"/>
      <c r="O468" s="778" t="b">
        <v>0</v>
      </c>
      <c r="P468" s="460"/>
    </row>
    <row r="469" spans="1:16">
      <c r="A469" s="519"/>
      <c r="B469" s="771"/>
      <c r="C469" s="768" t="s">
        <v>10140</v>
      </c>
      <c r="D469" s="770" t="s">
        <v>9108</v>
      </c>
      <c r="E469" s="771"/>
      <c r="F469" s="774" t="s">
        <v>6575</v>
      </c>
      <c r="G469" s="778">
        <v>3</v>
      </c>
      <c r="H469" s="772" t="str">
        <f t="shared" si="10"/>
        <v>3</v>
      </c>
      <c r="I469" s="778">
        <v>3</v>
      </c>
      <c r="J469" s="460" t="str">
        <f t="shared" si="11"/>
        <v>3</v>
      </c>
      <c r="K469" s="778">
        <v>0</v>
      </c>
      <c r="L469" s="460"/>
      <c r="M469" s="778">
        <v>3</v>
      </c>
      <c r="N469" s="772"/>
      <c r="O469" s="778" t="b">
        <v>0</v>
      </c>
      <c r="P469" s="460"/>
    </row>
    <row r="470" spans="1:16">
      <c r="A470" s="519"/>
      <c r="B470" s="771"/>
      <c r="C470" s="768" t="s">
        <v>10141</v>
      </c>
      <c r="D470" s="770" t="s">
        <v>9108</v>
      </c>
      <c r="E470" s="771"/>
      <c r="F470" s="774" t="s">
        <v>6576</v>
      </c>
      <c r="G470" s="778">
        <v>3</v>
      </c>
      <c r="H470" s="772" t="str">
        <f t="shared" si="10"/>
        <v>3</v>
      </c>
      <c r="I470" s="778">
        <v>3</v>
      </c>
      <c r="J470" s="460" t="str">
        <f t="shared" si="11"/>
        <v>3</v>
      </c>
      <c r="K470" s="778">
        <v>0</v>
      </c>
      <c r="L470" s="460"/>
      <c r="M470" s="778">
        <v>3</v>
      </c>
      <c r="N470" s="772"/>
      <c r="O470" s="778" t="b">
        <v>0</v>
      </c>
      <c r="P470" s="460"/>
    </row>
    <row r="471" spans="1:16">
      <c r="A471" s="519"/>
      <c r="B471" s="771"/>
      <c r="C471" s="768" t="s">
        <v>10139</v>
      </c>
      <c r="D471" s="770" t="s">
        <v>9108</v>
      </c>
      <c r="E471" s="771"/>
      <c r="F471" s="774" t="s">
        <v>6574</v>
      </c>
      <c r="G471" s="778">
        <v>3</v>
      </c>
      <c r="H471" s="772" t="str">
        <f t="shared" si="10"/>
        <v>3</v>
      </c>
      <c r="I471" s="778">
        <v>3</v>
      </c>
      <c r="J471" s="460" t="str">
        <f t="shared" si="11"/>
        <v>3</v>
      </c>
      <c r="K471" s="778">
        <v>0</v>
      </c>
      <c r="L471" s="460"/>
      <c r="M471" s="778">
        <v>3</v>
      </c>
      <c r="N471" s="772"/>
      <c r="O471" s="778" t="b">
        <v>0</v>
      </c>
      <c r="P471" s="460"/>
    </row>
    <row r="472" spans="1:16">
      <c r="A472" s="519"/>
      <c r="B472" s="771"/>
      <c r="C472" s="768" t="s">
        <v>9954</v>
      </c>
      <c r="D472" s="770" t="s">
        <v>5652</v>
      </c>
      <c r="E472" s="771"/>
      <c r="F472" s="774" t="s">
        <v>5629</v>
      </c>
      <c r="G472" s="778">
        <v>0.75</v>
      </c>
      <c r="H472" s="772" t="str">
        <f t="shared" si="10"/>
        <v>0.75</v>
      </c>
      <c r="I472" s="778">
        <v>0.75</v>
      </c>
      <c r="J472" s="460" t="str">
        <f t="shared" si="11"/>
        <v>0.75</v>
      </c>
      <c r="K472" s="778">
        <v>0</v>
      </c>
      <c r="L472" s="460"/>
      <c r="M472" s="778">
        <v>3</v>
      </c>
      <c r="N472" s="772">
        <v>3</v>
      </c>
      <c r="O472" s="778" t="b">
        <v>0</v>
      </c>
      <c r="P472" s="460"/>
    </row>
    <row r="473" spans="1:16">
      <c r="A473" s="519"/>
      <c r="B473" s="771"/>
      <c r="C473" s="768" t="s">
        <v>9963</v>
      </c>
      <c r="D473" s="770" t="s">
        <v>5652</v>
      </c>
      <c r="E473" s="771"/>
      <c r="F473" s="774" t="s">
        <v>5638</v>
      </c>
      <c r="G473" s="778">
        <v>0.75</v>
      </c>
      <c r="H473" s="772" t="str">
        <f t="shared" si="10"/>
        <v>0.75</v>
      </c>
      <c r="I473" s="778">
        <v>0.75</v>
      </c>
      <c r="J473" s="460" t="str">
        <f t="shared" si="11"/>
        <v>0.75</v>
      </c>
      <c r="K473" s="778">
        <v>0</v>
      </c>
      <c r="L473" s="460"/>
      <c r="M473" s="778">
        <v>3</v>
      </c>
      <c r="N473" s="772">
        <v>3</v>
      </c>
      <c r="O473" s="778" t="b">
        <v>0</v>
      </c>
      <c r="P473" s="460"/>
    </row>
    <row r="474" spans="1:16">
      <c r="A474" s="519"/>
      <c r="B474" s="771"/>
      <c r="C474" s="768" t="s">
        <v>9955</v>
      </c>
      <c r="D474" s="770" t="s">
        <v>5652</v>
      </c>
      <c r="E474" s="771"/>
      <c r="F474" s="774" t="s">
        <v>5630</v>
      </c>
      <c r="G474" s="778">
        <v>0.75</v>
      </c>
      <c r="H474" s="772" t="str">
        <f t="shared" si="10"/>
        <v>0.75</v>
      </c>
      <c r="I474" s="778">
        <v>0.75</v>
      </c>
      <c r="J474" s="460" t="str">
        <f t="shared" si="11"/>
        <v>0.75</v>
      </c>
      <c r="K474" s="778">
        <v>0</v>
      </c>
      <c r="L474" s="460"/>
      <c r="M474" s="778">
        <v>3</v>
      </c>
      <c r="N474" s="772">
        <v>3</v>
      </c>
      <c r="O474" s="778" t="b">
        <v>0</v>
      </c>
      <c r="P474" s="460"/>
    </row>
    <row r="475" spans="1:16">
      <c r="A475" s="519"/>
      <c r="B475" s="771"/>
      <c r="C475" s="768" t="s">
        <v>9956</v>
      </c>
      <c r="D475" s="770" t="s">
        <v>5652</v>
      </c>
      <c r="E475" s="771"/>
      <c r="F475" s="774" t="s">
        <v>5631</v>
      </c>
      <c r="G475" s="778">
        <v>0.75</v>
      </c>
      <c r="H475" s="772" t="str">
        <f t="shared" si="10"/>
        <v>0.75</v>
      </c>
      <c r="I475" s="778">
        <v>0.75</v>
      </c>
      <c r="J475" s="460" t="str">
        <f t="shared" si="11"/>
        <v>0.75</v>
      </c>
      <c r="K475" s="778">
        <v>0</v>
      </c>
      <c r="L475" s="460"/>
      <c r="M475" s="778">
        <v>3</v>
      </c>
      <c r="N475" s="772">
        <v>3</v>
      </c>
      <c r="O475" s="778" t="b">
        <v>0</v>
      </c>
      <c r="P475" s="460"/>
    </row>
    <row r="476" spans="1:16">
      <c r="A476" s="519"/>
      <c r="B476" s="771"/>
      <c r="C476" s="768" t="s">
        <v>9957</v>
      </c>
      <c r="D476" s="770" t="s">
        <v>5652</v>
      </c>
      <c r="E476" s="771"/>
      <c r="F476" s="774" t="s">
        <v>5632</v>
      </c>
      <c r="G476" s="778">
        <v>0.75</v>
      </c>
      <c r="H476" s="772" t="str">
        <f t="shared" si="10"/>
        <v>0.75</v>
      </c>
      <c r="I476" s="778">
        <v>0.75</v>
      </c>
      <c r="J476" s="460" t="str">
        <f t="shared" si="11"/>
        <v>0.75</v>
      </c>
      <c r="K476" s="778">
        <v>0</v>
      </c>
      <c r="L476" s="460"/>
      <c r="M476" s="778">
        <v>3</v>
      </c>
      <c r="N476" s="772">
        <v>3</v>
      </c>
      <c r="O476" s="778" t="b">
        <v>0</v>
      </c>
      <c r="P476" s="460"/>
    </row>
    <row r="477" spans="1:16">
      <c r="A477" s="519"/>
      <c r="B477" s="771"/>
      <c r="C477" s="768" t="s">
        <v>9958</v>
      </c>
      <c r="D477" s="770" t="s">
        <v>5652</v>
      </c>
      <c r="E477" s="771"/>
      <c r="F477" s="774" t="s">
        <v>5633</v>
      </c>
      <c r="G477" s="778">
        <v>0.75</v>
      </c>
      <c r="H477" s="772" t="str">
        <f t="shared" si="10"/>
        <v>0.75</v>
      </c>
      <c r="I477" s="778">
        <v>0.75</v>
      </c>
      <c r="J477" s="460" t="str">
        <f t="shared" si="11"/>
        <v>0.75</v>
      </c>
      <c r="K477" s="778">
        <v>0</v>
      </c>
      <c r="L477" s="460"/>
      <c r="M477" s="778">
        <v>3</v>
      </c>
      <c r="N477" s="772">
        <v>3</v>
      </c>
      <c r="O477" s="778" t="b">
        <v>0</v>
      </c>
      <c r="P477" s="460"/>
    </row>
    <row r="478" spans="1:16">
      <c r="A478" s="519"/>
      <c r="B478" s="771"/>
      <c r="C478" s="768" t="s">
        <v>9959</v>
      </c>
      <c r="D478" s="770" t="s">
        <v>5652</v>
      </c>
      <c r="E478" s="771"/>
      <c r="F478" s="774" t="s">
        <v>5634</v>
      </c>
      <c r="G478" s="778">
        <v>0.75</v>
      </c>
      <c r="H478" s="772" t="str">
        <f t="shared" si="10"/>
        <v>0.75</v>
      </c>
      <c r="I478" s="778">
        <v>0.75</v>
      </c>
      <c r="J478" s="460" t="str">
        <f t="shared" si="11"/>
        <v>0.75</v>
      </c>
      <c r="K478" s="778">
        <v>0</v>
      </c>
      <c r="L478" s="460"/>
      <c r="M478" s="778">
        <v>3</v>
      </c>
      <c r="N478" s="772">
        <v>3</v>
      </c>
      <c r="O478" s="778" t="b">
        <v>0</v>
      </c>
      <c r="P478" s="460"/>
    </row>
    <row r="479" spans="1:16">
      <c r="A479" s="519"/>
      <c r="B479" s="771"/>
      <c r="C479" s="768" t="s">
        <v>9960</v>
      </c>
      <c r="D479" s="770" t="s">
        <v>5652</v>
      </c>
      <c r="E479" s="771"/>
      <c r="F479" s="774" t="s">
        <v>5635</v>
      </c>
      <c r="G479" s="778">
        <v>0.75</v>
      </c>
      <c r="H479" s="772" t="str">
        <f t="shared" si="10"/>
        <v>0.75</v>
      </c>
      <c r="I479" s="778">
        <v>0.75</v>
      </c>
      <c r="J479" s="460" t="str">
        <f t="shared" si="11"/>
        <v>0.75</v>
      </c>
      <c r="K479" s="778">
        <v>0</v>
      </c>
      <c r="L479" s="460"/>
      <c r="M479" s="778">
        <v>3</v>
      </c>
      <c r="N479" s="772">
        <v>3</v>
      </c>
      <c r="O479" s="778" t="b">
        <v>0</v>
      </c>
      <c r="P479" s="460"/>
    </row>
    <row r="480" spans="1:16">
      <c r="A480" s="519"/>
      <c r="B480" s="771"/>
      <c r="C480" s="768" t="s">
        <v>9961</v>
      </c>
      <c r="D480" s="770" t="s">
        <v>5652</v>
      </c>
      <c r="E480" s="771"/>
      <c r="F480" s="774" t="s">
        <v>5636</v>
      </c>
      <c r="G480" s="778">
        <v>0.75</v>
      </c>
      <c r="H480" s="772" t="str">
        <f t="shared" si="10"/>
        <v>0.75</v>
      </c>
      <c r="I480" s="778">
        <v>0.75</v>
      </c>
      <c r="J480" s="460" t="str">
        <f t="shared" si="11"/>
        <v>0.75</v>
      </c>
      <c r="K480" s="778">
        <v>0</v>
      </c>
      <c r="L480" s="460"/>
      <c r="M480" s="778">
        <v>3</v>
      </c>
      <c r="N480" s="772">
        <v>3</v>
      </c>
      <c r="O480" s="778" t="b">
        <v>0</v>
      </c>
      <c r="P480" s="460"/>
    </row>
    <row r="481" spans="1:16">
      <c r="A481" s="519"/>
      <c r="B481" s="771"/>
      <c r="C481" s="768" t="s">
        <v>9962</v>
      </c>
      <c r="D481" s="770" t="s">
        <v>5652</v>
      </c>
      <c r="E481" s="771"/>
      <c r="F481" s="774" t="s">
        <v>5637</v>
      </c>
      <c r="G481" s="778">
        <v>0.75</v>
      </c>
      <c r="H481" s="772" t="str">
        <f t="shared" si="10"/>
        <v>0.75</v>
      </c>
      <c r="I481" s="778">
        <v>0.75</v>
      </c>
      <c r="J481" s="460" t="str">
        <f t="shared" si="11"/>
        <v>0.75</v>
      </c>
      <c r="K481" s="778">
        <v>0</v>
      </c>
      <c r="L481" s="460"/>
      <c r="M481" s="778">
        <v>3</v>
      </c>
      <c r="N481" s="772">
        <v>3</v>
      </c>
      <c r="O481" s="778" t="b">
        <v>0</v>
      </c>
      <c r="P481" s="460"/>
    </row>
    <row r="482" spans="1:16">
      <c r="A482" s="519"/>
      <c r="B482" s="771"/>
      <c r="C482" s="768" t="s">
        <v>10095</v>
      </c>
      <c r="D482" s="770">
        <v>2</v>
      </c>
      <c r="E482" s="771"/>
      <c r="F482" s="774" t="s">
        <v>6509</v>
      </c>
      <c r="G482" s="778">
        <v>2</v>
      </c>
      <c r="H482" s="772">
        <f t="shared" si="10"/>
        <v>2</v>
      </c>
      <c r="I482" s="778">
        <v>2</v>
      </c>
      <c r="J482" s="460">
        <f t="shared" si="11"/>
        <v>2</v>
      </c>
      <c r="K482" s="778">
        <v>0</v>
      </c>
      <c r="L482" s="460"/>
      <c r="M482" s="778">
        <v>3</v>
      </c>
      <c r="N482" s="772">
        <v>3</v>
      </c>
      <c r="O482" s="778" t="b">
        <v>0</v>
      </c>
      <c r="P482" s="460"/>
    </row>
    <row r="483" spans="1:16">
      <c r="A483" s="519"/>
      <c r="B483" s="771"/>
      <c r="C483" s="768" t="s">
        <v>10096</v>
      </c>
      <c r="D483" s="770">
        <v>2</v>
      </c>
      <c r="E483" s="771"/>
      <c r="F483" s="774" t="s">
        <v>6510</v>
      </c>
      <c r="G483" s="778">
        <v>2</v>
      </c>
      <c r="H483" s="772">
        <f t="shared" si="10"/>
        <v>2</v>
      </c>
      <c r="I483" s="778">
        <v>2</v>
      </c>
      <c r="J483" s="460">
        <f t="shared" si="11"/>
        <v>2</v>
      </c>
      <c r="K483" s="778">
        <v>0</v>
      </c>
      <c r="L483" s="460"/>
      <c r="M483" s="778">
        <v>3</v>
      </c>
      <c r="N483" s="772">
        <v>3</v>
      </c>
      <c r="O483" s="778" t="b">
        <v>0</v>
      </c>
      <c r="P483" s="460"/>
    </row>
    <row r="484" spans="1:16">
      <c r="A484" s="519"/>
      <c r="B484" s="771"/>
      <c r="C484" s="768" t="s">
        <v>10097</v>
      </c>
      <c r="D484" s="770">
        <v>2</v>
      </c>
      <c r="E484" s="771"/>
      <c r="F484" s="774" t="s">
        <v>6511</v>
      </c>
      <c r="G484" s="778">
        <v>2</v>
      </c>
      <c r="H484" s="772">
        <f t="shared" si="10"/>
        <v>2</v>
      </c>
      <c r="I484" s="778">
        <v>2</v>
      </c>
      <c r="J484" s="460">
        <f t="shared" si="11"/>
        <v>2</v>
      </c>
      <c r="K484" s="778">
        <v>0</v>
      </c>
      <c r="L484" s="460"/>
      <c r="M484" s="778">
        <v>3</v>
      </c>
      <c r="N484" s="772">
        <v>3</v>
      </c>
      <c r="O484" s="778" t="b">
        <v>0</v>
      </c>
      <c r="P484" s="460"/>
    </row>
    <row r="485" spans="1:16">
      <c r="A485" s="519"/>
      <c r="B485" s="771"/>
      <c r="C485" s="768" t="s">
        <v>10098</v>
      </c>
      <c r="D485" s="770">
        <v>2</v>
      </c>
      <c r="E485" s="771"/>
      <c r="F485" s="774" t="s">
        <v>6512</v>
      </c>
      <c r="G485" s="778">
        <v>2</v>
      </c>
      <c r="H485" s="772">
        <f t="shared" si="10"/>
        <v>2</v>
      </c>
      <c r="I485" s="778">
        <v>2</v>
      </c>
      <c r="J485" s="460">
        <f t="shared" si="11"/>
        <v>2</v>
      </c>
      <c r="K485" s="778">
        <v>0</v>
      </c>
      <c r="L485" s="460"/>
      <c r="M485" s="778">
        <v>3</v>
      </c>
      <c r="N485" s="772">
        <v>3</v>
      </c>
      <c r="O485" s="778" t="b">
        <v>0</v>
      </c>
      <c r="P485" s="460"/>
    </row>
    <row r="486" spans="1:16">
      <c r="A486" s="519"/>
      <c r="B486" s="771"/>
      <c r="C486" s="768" t="s">
        <v>10099</v>
      </c>
      <c r="D486" s="770">
        <v>2</v>
      </c>
      <c r="E486" s="771"/>
      <c r="F486" s="774" t="s">
        <v>6513</v>
      </c>
      <c r="G486" s="778">
        <v>2</v>
      </c>
      <c r="H486" s="772">
        <f t="shared" si="10"/>
        <v>2</v>
      </c>
      <c r="I486" s="778">
        <v>2</v>
      </c>
      <c r="J486" s="460">
        <f t="shared" si="11"/>
        <v>2</v>
      </c>
      <c r="K486" s="778">
        <v>0</v>
      </c>
      <c r="L486" s="460"/>
      <c r="M486" s="778">
        <v>3</v>
      </c>
      <c r="N486" s="772">
        <v>3</v>
      </c>
      <c r="O486" s="778" t="b">
        <v>0</v>
      </c>
      <c r="P486" s="460"/>
    </row>
    <row r="487" spans="1:16">
      <c r="A487" s="519"/>
      <c r="B487" s="771"/>
      <c r="C487" s="768" t="s">
        <v>10100</v>
      </c>
      <c r="D487" s="770">
        <v>2</v>
      </c>
      <c r="E487" s="771"/>
      <c r="F487" s="774" t="s">
        <v>6514</v>
      </c>
      <c r="G487" s="778">
        <v>2</v>
      </c>
      <c r="H487" s="772">
        <f t="shared" si="10"/>
        <v>2</v>
      </c>
      <c r="I487" s="778">
        <v>2</v>
      </c>
      <c r="J487" s="460">
        <f t="shared" si="11"/>
        <v>2</v>
      </c>
      <c r="K487" s="778">
        <v>0</v>
      </c>
      <c r="L487" s="460"/>
      <c r="M487" s="778">
        <v>3</v>
      </c>
      <c r="N487" s="772">
        <v>3</v>
      </c>
      <c r="O487" s="778" t="b">
        <v>0</v>
      </c>
      <c r="P487" s="460"/>
    </row>
    <row r="488" spans="1:16">
      <c r="A488" s="519"/>
      <c r="B488" s="771"/>
      <c r="C488" s="768" t="s">
        <v>10102</v>
      </c>
      <c r="D488" s="770">
        <v>2</v>
      </c>
      <c r="E488" s="771"/>
      <c r="F488" s="774" t="s">
        <v>6516</v>
      </c>
      <c r="G488" s="778">
        <v>2</v>
      </c>
      <c r="H488" s="772">
        <f t="shared" ref="H488:H551" si="12">D488</f>
        <v>2</v>
      </c>
      <c r="I488" s="778">
        <v>2</v>
      </c>
      <c r="J488" s="460">
        <f t="shared" si="11"/>
        <v>2</v>
      </c>
      <c r="K488" s="778">
        <v>0</v>
      </c>
      <c r="L488" s="460"/>
      <c r="M488" s="778">
        <v>3</v>
      </c>
      <c r="N488" s="772">
        <v>3</v>
      </c>
      <c r="O488" s="778" t="b">
        <v>0</v>
      </c>
      <c r="P488" s="460"/>
    </row>
    <row r="489" spans="1:16">
      <c r="A489" s="519"/>
      <c r="B489" s="771"/>
      <c r="C489" s="768" t="s">
        <v>10103</v>
      </c>
      <c r="D489" s="770">
        <v>2</v>
      </c>
      <c r="E489" s="771"/>
      <c r="F489" s="774" t="s">
        <v>6517</v>
      </c>
      <c r="G489" s="778">
        <v>2</v>
      </c>
      <c r="H489" s="772">
        <f t="shared" si="12"/>
        <v>2</v>
      </c>
      <c r="I489" s="778">
        <v>2</v>
      </c>
      <c r="J489" s="460">
        <f t="shared" si="11"/>
        <v>2</v>
      </c>
      <c r="K489" s="778">
        <v>0</v>
      </c>
      <c r="L489" s="460"/>
      <c r="M489" s="778">
        <v>3</v>
      </c>
      <c r="N489" s="772">
        <v>3</v>
      </c>
      <c r="O489" s="778" t="b">
        <v>0</v>
      </c>
      <c r="P489" s="460"/>
    </row>
    <row r="490" spans="1:16">
      <c r="A490" s="519"/>
      <c r="B490" s="771"/>
      <c r="C490" s="768" t="s">
        <v>10104</v>
      </c>
      <c r="D490" s="770">
        <v>2</v>
      </c>
      <c r="E490" s="771"/>
      <c r="F490" s="774" t="s">
        <v>6518</v>
      </c>
      <c r="G490" s="778">
        <v>2</v>
      </c>
      <c r="H490" s="772">
        <f t="shared" si="12"/>
        <v>2</v>
      </c>
      <c r="I490" s="778">
        <v>2</v>
      </c>
      <c r="J490" s="460">
        <f t="shared" si="11"/>
        <v>2</v>
      </c>
      <c r="K490" s="778">
        <v>0</v>
      </c>
      <c r="L490" s="460"/>
      <c r="M490" s="778">
        <v>3</v>
      </c>
      <c r="N490" s="772">
        <v>3</v>
      </c>
      <c r="O490" s="778" t="b">
        <v>0</v>
      </c>
      <c r="P490" s="460"/>
    </row>
    <row r="491" spans="1:16">
      <c r="A491" s="519"/>
      <c r="B491" s="771"/>
      <c r="C491" s="768" t="s">
        <v>10105</v>
      </c>
      <c r="D491" s="770">
        <v>2</v>
      </c>
      <c r="E491" s="771"/>
      <c r="F491" s="774" t="s">
        <v>6519</v>
      </c>
      <c r="G491" s="778">
        <v>2</v>
      </c>
      <c r="H491" s="772">
        <f t="shared" si="12"/>
        <v>2</v>
      </c>
      <c r="I491" s="778">
        <v>2</v>
      </c>
      <c r="J491" s="460">
        <f t="shared" si="11"/>
        <v>2</v>
      </c>
      <c r="K491" s="778">
        <v>0</v>
      </c>
      <c r="L491" s="460"/>
      <c r="M491" s="778">
        <v>3</v>
      </c>
      <c r="N491" s="772">
        <v>3</v>
      </c>
      <c r="O491" s="778" t="b">
        <v>0</v>
      </c>
      <c r="P491" s="460"/>
    </row>
    <row r="492" spans="1:16">
      <c r="A492" s="519"/>
      <c r="B492" s="771"/>
      <c r="C492" s="768" t="s">
        <v>10106</v>
      </c>
      <c r="D492" s="770">
        <v>2</v>
      </c>
      <c r="E492" s="771"/>
      <c r="F492" s="774" t="s">
        <v>6520</v>
      </c>
      <c r="G492" s="778">
        <v>2</v>
      </c>
      <c r="H492" s="772">
        <f t="shared" si="12"/>
        <v>2</v>
      </c>
      <c r="I492" s="778">
        <v>2</v>
      </c>
      <c r="J492" s="460">
        <f t="shared" si="11"/>
        <v>2</v>
      </c>
      <c r="K492" s="778">
        <v>0</v>
      </c>
      <c r="L492" s="460"/>
      <c r="M492" s="778">
        <v>3</v>
      </c>
      <c r="N492" s="772">
        <v>3</v>
      </c>
      <c r="O492" s="778" t="b">
        <v>0</v>
      </c>
      <c r="P492" s="460"/>
    </row>
    <row r="493" spans="1:16">
      <c r="A493" s="519"/>
      <c r="B493" s="771"/>
      <c r="C493" s="768" t="s">
        <v>10107</v>
      </c>
      <c r="D493" s="770">
        <v>2</v>
      </c>
      <c r="E493" s="771"/>
      <c r="F493" s="774" t="s">
        <v>6521</v>
      </c>
      <c r="G493" s="778">
        <v>2</v>
      </c>
      <c r="H493" s="772">
        <f t="shared" si="12"/>
        <v>2</v>
      </c>
      <c r="I493" s="778">
        <v>2</v>
      </c>
      <c r="J493" s="460">
        <f t="shared" si="11"/>
        <v>2</v>
      </c>
      <c r="K493" s="778">
        <v>0</v>
      </c>
      <c r="L493" s="460"/>
      <c r="M493" s="778">
        <v>3</v>
      </c>
      <c r="N493" s="772">
        <v>3</v>
      </c>
      <c r="O493" s="778" t="b">
        <v>0</v>
      </c>
      <c r="P493" s="460"/>
    </row>
    <row r="494" spans="1:16">
      <c r="A494" s="519"/>
      <c r="B494" s="771"/>
      <c r="C494" s="768" t="s">
        <v>9976</v>
      </c>
      <c r="D494" s="770" t="s">
        <v>5734</v>
      </c>
      <c r="E494" s="771"/>
      <c r="F494" s="774" t="s">
        <v>5679</v>
      </c>
      <c r="G494" s="778">
        <v>2</v>
      </c>
      <c r="H494" s="772" t="str">
        <f t="shared" si="12"/>
        <v>2</v>
      </c>
      <c r="I494" s="778">
        <v>2</v>
      </c>
      <c r="J494" s="460" t="str">
        <f t="shared" si="11"/>
        <v>2</v>
      </c>
      <c r="K494" s="778">
        <v>0</v>
      </c>
      <c r="L494" s="460"/>
      <c r="M494" s="778">
        <v>3</v>
      </c>
      <c r="N494" s="772">
        <v>3</v>
      </c>
      <c r="O494" s="778" t="b">
        <v>0</v>
      </c>
      <c r="P494" s="460"/>
    </row>
    <row r="495" spans="1:16">
      <c r="A495" s="519"/>
      <c r="B495" s="771"/>
      <c r="C495" s="768" t="s">
        <v>9985</v>
      </c>
      <c r="D495" s="770" t="s">
        <v>5733</v>
      </c>
      <c r="E495" s="771"/>
      <c r="F495" s="774" t="s">
        <v>5688</v>
      </c>
      <c r="G495" s="778">
        <v>2</v>
      </c>
      <c r="H495" s="772" t="str">
        <f t="shared" si="12"/>
        <v>2</v>
      </c>
      <c r="I495" s="778">
        <v>2</v>
      </c>
      <c r="J495" s="460" t="str">
        <f t="shared" si="11"/>
        <v>2</v>
      </c>
      <c r="K495" s="778">
        <v>0</v>
      </c>
      <c r="L495" s="460"/>
      <c r="M495" s="778">
        <v>3</v>
      </c>
      <c r="N495" s="772">
        <v>3</v>
      </c>
      <c r="O495" s="778" t="b">
        <v>0</v>
      </c>
      <c r="P495" s="460"/>
    </row>
    <row r="496" spans="1:16">
      <c r="A496" s="519"/>
      <c r="B496" s="771"/>
      <c r="C496" s="768" t="s">
        <v>9986</v>
      </c>
      <c r="D496" s="770" t="s">
        <v>5733</v>
      </c>
      <c r="E496" s="771"/>
      <c r="F496" s="774" t="s">
        <v>5689</v>
      </c>
      <c r="G496" s="778">
        <v>2</v>
      </c>
      <c r="H496" s="772" t="str">
        <f t="shared" si="12"/>
        <v>2</v>
      </c>
      <c r="I496" s="778">
        <v>2</v>
      </c>
      <c r="J496" s="460" t="str">
        <f t="shared" si="11"/>
        <v>2</v>
      </c>
      <c r="K496" s="778">
        <v>0</v>
      </c>
      <c r="L496" s="460"/>
      <c r="M496" s="778">
        <v>3</v>
      </c>
      <c r="N496" s="772">
        <v>3</v>
      </c>
      <c r="O496" s="778" t="b">
        <v>0</v>
      </c>
      <c r="P496" s="460"/>
    </row>
    <row r="497" spans="1:16">
      <c r="A497" s="519"/>
      <c r="B497" s="771"/>
      <c r="C497" s="768" t="s">
        <v>9987</v>
      </c>
      <c r="D497" s="770" t="s">
        <v>5733</v>
      </c>
      <c r="E497" s="771"/>
      <c r="F497" s="774" t="s">
        <v>5690</v>
      </c>
      <c r="G497" s="778">
        <v>2</v>
      </c>
      <c r="H497" s="772" t="str">
        <f t="shared" si="12"/>
        <v>2</v>
      </c>
      <c r="I497" s="778">
        <v>2</v>
      </c>
      <c r="J497" s="460" t="str">
        <f t="shared" si="11"/>
        <v>2</v>
      </c>
      <c r="K497" s="778">
        <v>0</v>
      </c>
      <c r="L497" s="460"/>
      <c r="M497" s="778">
        <v>3</v>
      </c>
      <c r="N497" s="772">
        <v>3</v>
      </c>
      <c r="O497" s="778" t="b">
        <v>0</v>
      </c>
      <c r="P497" s="460"/>
    </row>
    <row r="498" spans="1:16">
      <c r="A498" s="519"/>
      <c r="B498" s="771"/>
      <c r="C498" s="768" t="s">
        <v>9988</v>
      </c>
      <c r="D498" s="770" t="s">
        <v>5733</v>
      </c>
      <c r="E498" s="771"/>
      <c r="F498" s="774" t="s">
        <v>5691</v>
      </c>
      <c r="G498" s="778">
        <v>2</v>
      </c>
      <c r="H498" s="772" t="str">
        <f t="shared" si="12"/>
        <v>2</v>
      </c>
      <c r="I498" s="778">
        <v>2</v>
      </c>
      <c r="J498" s="460" t="str">
        <f t="shared" si="11"/>
        <v>2</v>
      </c>
      <c r="K498" s="778">
        <v>0</v>
      </c>
      <c r="L498" s="460"/>
      <c r="M498" s="778">
        <v>3</v>
      </c>
      <c r="N498" s="772">
        <v>3</v>
      </c>
      <c r="O498" s="778" t="b">
        <v>0</v>
      </c>
      <c r="P498" s="460"/>
    </row>
    <row r="499" spans="1:16">
      <c r="A499" s="519"/>
      <c r="B499" s="771"/>
      <c r="C499" s="768" t="s">
        <v>9989</v>
      </c>
      <c r="D499" s="770" t="s">
        <v>5733</v>
      </c>
      <c r="E499" s="771"/>
      <c r="F499" s="774" t="s">
        <v>5692</v>
      </c>
      <c r="G499" s="778">
        <v>2</v>
      </c>
      <c r="H499" s="772" t="str">
        <f t="shared" si="12"/>
        <v>2</v>
      </c>
      <c r="I499" s="778">
        <v>2</v>
      </c>
      <c r="J499" s="460" t="str">
        <f t="shared" si="11"/>
        <v>2</v>
      </c>
      <c r="K499" s="778">
        <v>0</v>
      </c>
      <c r="L499" s="460"/>
      <c r="M499" s="778">
        <v>3</v>
      </c>
      <c r="N499" s="772">
        <v>3</v>
      </c>
      <c r="O499" s="778" t="b">
        <v>0</v>
      </c>
      <c r="P499" s="460"/>
    </row>
    <row r="500" spans="1:16">
      <c r="A500" s="519"/>
      <c r="B500" s="771"/>
      <c r="C500" s="768" t="s">
        <v>9990</v>
      </c>
      <c r="D500" s="770" t="s">
        <v>5733</v>
      </c>
      <c r="E500" s="771"/>
      <c r="F500" s="774" t="s">
        <v>5693</v>
      </c>
      <c r="G500" s="778">
        <v>2</v>
      </c>
      <c r="H500" s="772" t="str">
        <f t="shared" si="12"/>
        <v>2</v>
      </c>
      <c r="I500" s="778">
        <v>2</v>
      </c>
      <c r="J500" s="460" t="str">
        <f t="shared" si="11"/>
        <v>2</v>
      </c>
      <c r="K500" s="778">
        <v>0</v>
      </c>
      <c r="L500" s="460"/>
      <c r="M500" s="778">
        <v>3</v>
      </c>
      <c r="N500" s="772">
        <v>3</v>
      </c>
      <c r="O500" s="778" t="b">
        <v>0</v>
      </c>
      <c r="P500" s="460"/>
    </row>
    <row r="501" spans="1:16">
      <c r="A501" s="519"/>
      <c r="B501" s="771"/>
      <c r="C501" s="768" t="s">
        <v>9991</v>
      </c>
      <c r="D501" s="770" t="s">
        <v>5733</v>
      </c>
      <c r="E501" s="771"/>
      <c r="F501" s="774" t="s">
        <v>5694</v>
      </c>
      <c r="G501" s="778">
        <v>2</v>
      </c>
      <c r="H501" s="772" t="str">
        <f t="shared" si="12"/>
        <v>2</v>
      </c>
      <c r="I501" s="778">
        <v>2</v>
      </c>
      <c r="J501" s="460" t="str">
        <f t="shared" si="11"/>
        <v>2</v>
      </c>
      <c r="K501" s="778">
        <v>0</v>
      </c>
      <c r="L501" s="460"/>
      <c r="M501" s="778">
        <v>3</v>
      </c>
      <c r="N501" s="772">
        <v>3</v>
      </c>
      <c r="O501" s="778" t="b">
        <v>0</v>
      </c>
      <c r="P501" s="460"/>
    </row>
    <row r="502" spans="1:16">
      <c r="A502" s="519"/>
      <c r="B502" s="771"/>
      <c r="C502" s="768" t="s">
        <v>9992</v>
      </c>
      <c r="D502" s="770" t="s">
        <v>5733</v>
      </c>
      <c r="E502" s="771"/>
      <c r="F502" s="774" t="s">
        <v>5729</v>
      </c>
      <c r="G502" s="778">
        <v>2</v>
      </c>
      <c r="H502" s="772" t="str">
        <f t="shared" si="12"/>
        <v>2</v>
      </c>
      <c r="I502" s="778">
        <v>2</v>
      </c>
      <c r="J502" s="460" t="str">
        <f t="shared" si="11"/>
        <v>2</v>
      </c>
      <c r="K502" s="778">
        <v>0</v>
      </c>
      <c r="L502" s="460"/>
      <c r="M502" s="778">
        <v>3</v>
      </c>
      <c r="N502" s="772">
        <v>3</v>
      </c>
      <c r="O502" s="778" t="b">
        <v>0</v>
      </c>
      <c r="P502" s="460"/>
    </row>
    <row r="503" spans="1:16">
      <c r="A503" s="519"/>
      <c r="B503" s="771"/>
      <c r="C503" s="768" t="s">
        <v>9977</v>
      </c>
      <c r="D503" s="770" t="s">
        <v>5734</v>
      </c>
      <c r="E503" s="771"/>
      <c r="F503" s="774" t="s">
        <v>5680</v>
      </c>
      <c r="G503" s="778">
        <v>2</v>
      </c>
      <c r="H503" s="772" t="str">
        <f t="shared" si="12"/>
        <v>2</v>
      </c>
      <c r="I503" s="778">
        <v>2</v>
      </c>
      <c r="J503" s="460" t="str">
        <f t="shared" si="11"/>
        <v>2</v>
      </c>
      <c r="K503" s="778">
        <v>0</v>
      </c>
      <c r="L503" s="460"/>
      <c r="M503" s="778">
        <v>3</v>
      </c>
      <c r="N503" s="772">
        <v>3</v>
      </c>
      <c r="O503" s="778" t="b">
        <v>0</v>
      </c>
      <c r="P503" s="460"/>
    </row>
    <row r="504" spans="1:16">
      <c r="A504" s="519"/>
      <c r="B504" s="771"/>
      <c r="C504" s="768" t="s">
        <v>9978</v>
      </c>
      <c r="D504" s="770" t="s">
        <v>5733</v>
      </c>
      <c r="E504" s="771"/>
      <c r="F504" s="774" t="s">
        <v>5681</v>
      </c>
      <c r="G504" s="778">
        <v>2</v>
      </c>
      <c r="H504" s="772" t="str">
        <f t="shared" si="12"/>
        <v>2</v>
      </c>
      <c r="I504" s="778">
        <v>2</v>
      </c>
      <c r="J504" s="460" t="str">
        <f t="shared" si="11"/>
        <v>2</v>
      </c>
      <c r="K504" s="778">
        <v>0</v>
      </c>
      <c r="L504" s="460"/>
      <c r="M504" s="778">
        <v>3</v>
      </c>
      <c r="N504" s="772">
        <v>3</v>
      </c>
      <c r="O504" s="778" t="b">
        <v>0</v>
      </c>
      <c r="P504" s="460"/>
    </row>
    <row r="505" spans="1:16">
      <c r="A505" s="519"/>
      <c r="B505" s="771"/>
      <c r="C505" s="768" t="s">
        <v>9979</v>
      </c>
      <c r="D505" s="770" t="s">
        <v>5733</v>
      </c>
      <c r="E505" s="771"/>
      <c r="F505" s="774" t="s">
        <v>5682</v>
      </c>
      <c r="G505" s="778">
        <v>2</v>
      </c>
      <c r="H505" s="772" t="str">
        <f t="shared" si="12"/>
        <v>2</v>
      </c>
      <c r="I505" s="778">
        <v>2</v>
      </c>
      <c r="J505" s="460" t="str">
        <f t="shared" si="11"/>
        <v>2</v>
      </c>
      <c r="K505" s="778">
        <v>0</v>
      </c>
      <c r="L505" s="460"/>
      <c r="M505" s="778">
        <v>3</v>
      </c>
      <c r="N505" s="772">
        <v>3</v>
      </c>
      <c r="O505" s="778" t="b">
        <v>0</v>
      </c>
      <c r="P505" s="460"/>
    </row>
    <row r="506" spans="1:16">
      <c r="A506" s="519"/>
      <c r="B506" s="771"/>
      <c r="C506" s="768" t="s">
        <v>9980</v>
      </c>
      <c r="D506" s="770" t="s">
        <v>5733</v>
      </c>
      <c r="E506" s="771"/>
      <c r="F506" s="774" t="s">
        <v>5683</v>
      </c>
      <c r="G506" s="778">
        <v>2</v>
      </c>
      <c r="H506" s="772" t="str">
        <f t="shared" si="12"/>
        <v>2</v>
      </c>
      <c r="I506" s="778">
        <v>2</v>
      </c>
      <c r="J506" s="460" t="str">
        <f t="shared" si="11"/>
        <v>2</v>
      </c>
      <c r="K506" s="778">
        <v>0</v>
      </c>
      <c r="L506" s="460"/>
      <c r="M506" s="778">
        <v>3</v>
      </c>
      <c r="N506" s="772">
        <v>3</v>
      </c>
      <c r="O506" s="778" t="b">
        <v>0</v>
      </c>
      <c r="P506" s="460"/>
    </row>
    <row r="507" spans="1:16">
      <c r="A507" s="519"/>
      <c r="B507" s="771"/>
      <c r="C507" s="768" t="s">
        <v>9981</v>
      </c>
      <c r="D507" s="770" t="s">
        <v>5733</v>
      </c>
      <c r="E507" s="771"/>
      <c r="F507" s="774" t="s">
        <v>5684</v>
      </c>
      <c r="G507" s="778">
        <v>2</v>
      </c>
      <c r="H507" s="772" t="str">
        <f t="shared" si="12"/>
        <v>2</v>
      </c>
      <c r="I507" s="778">
        <v>2</v>
      </c>
      <c r="J507" s="460" t="str">
        <f t="shared" si="11"/>
        <v>2</v>
      </c>
      <c r="K507" s="778">
        <v>0</v>
      </c>
      <c r="L507" s="460"/>
      <c r="M507" s="778">
        <v>3</v>
      </c>
      <c r="N507" s="772">
        <v>3</v>
      </c>
      <c r="O507" s="778" t="b">
        <v>0</v>
      </c>
      <c r="P507" s="460"/>
    </row>
    <row r="508" spans="1:16">
      <c r="A508" s="519"/>
      <c r="B508" s="771"/>
      <c r="C508" s="768" t="s">
        <v>9982</v>
      </c>
      <c r="D508" s="770" t="s">
        <v>5733</v>
      </c>
      <c r="E508" s="771"/>
      <c r="F508" s="774" t="s">
        <v>5685</v>
      </c>
      <c r="G508" s="778">
        <v>2</v>
      </c>
      <c r="H508" s="772" t="str">
        <f t="shared" si="12"/>
        <v>2</v>
      </c>
      <c r="I508" s="778">
        <v>2</v>
      </c>
      <c r="J508" s="460" t="str">
        <f t="shared" si="11"/>
        <v>2</v>
      </c>
      <c r="K508" s="778">
        <v>0</v>
      </c>
      <c r="L508" s="460"/>
      <c r="M508" s="778">
        <v>3</v>
      </c>
      <c r="N508" s="772">
        <v>3</v>
      </c>
      <c r="O508" s="778" t="b">
        <v>0</v>
      </c>
      <c r="P508" s="460"/>
    </row>
    <row r="509" spans="1:16">
      <c r="A509" s="519"/>
      <c r="B509" s="771"/>
      <c r="C509" s="768" t="s">
        <v>9983</v>
      </c>
      <c r="D509" s="770" t="s">
        <v>5733</v>
      </c>
      <c r="E509" s="771"/>
      <c r="F509" s="774" t="s">
        <v>5686</v>
      </c>
      <c r="G509" s="778">
        <v>2</v>
      </c>
      <c r="H509" s="772" t="str">
        <f t="shared" si="12"/>
        <v>2</v>
      </c>
      <c r="I509" s="778">
        <v>2</v>
      </c>
      <c r="J509" s="460" t="str">
        <f t="shared" si="11"/>
        <v>2</v>
      </c>
      <c r="K509" s="778">
        <v>0</v>
      </c>
      <c r="L509" s="460"/>
      <c r="M509" s="778">
        <v>3</v>
      </c>
      <c r="N509" s="772">
        <v>3</v>
      </c>
      <c r="O509" s="778" t="b">
        <v>0</v>
      </c>
      <c r="P509" s="460"/>
    </row>
    <row r="510" spans="1:16">
      <c r="A510" s="519"/>
      <c r="B510" s="771"/>
      <c r="C510" s="768" t="s">
        <v>9984</v>
      </c>
      <c r="D510" s="770" t="s">
        <v>5733</v>
      </c>
      <c r="E510" s="771"/>
      <c r="F510" s="774" t="s">
        <v>5687</v>
      </c>
      <c r="G510" s="778">
        <v>2</v>
      </c>
      <c r="H510" s="772" t="str">
        <f t="shared" si="12"/>
        <v>2</v>
      </c>
      <c r="I510" s="778">
        <v>2</v>
      </c>
      <c r="J510" s="460" t="str">
        <f t="shared" si="11"/>
        <v>2</v>
      </c>
      <c r="K510" s="778">
        <v>0</v>
      </c>
      <c r="L510" s="460"/>
      <c r="M510" s="778">
        <v>3</v>
      </c>
      <c r="N510" s="772">
        <v>3</v>
      </c>
      <c r="O510" s="778" t="b">
        <v>0</v>
      </c>
      <c r="P510" s="460"/>
    </row>
    <row r="511" spans="1:16">
      <c r="A511" s="519"/>
      <c r="B511" s="771"/>
      <c r="C511" s="768" t="s">
        <v>10010</v>
      </c>
      <c r="D511" s="770" t="s">
        <v>5653</v>
      </c>
      <c r="E511" s="771"/>
      <c r="F511" s="774" t="s">
        <v>5711</v>
      </c>
      <c r="G511" s="778">
        <v>0.75</v>
      </c>
      <c r="H511" s="772" t="str">
        <f t="shared" si="12"/>
        <v>0.75</v>
      </c>
      <c r="I511" s="778">
        <v>0.75</v>
      </c>
      <c r="J511" s="460" t="str">
        <f t="shared" si="11"/>
        <v>0.75</v>
      </c>
      <c r="K511" s="778">
        <v>0</v>
      </c>
      <c r="L511" s="460"/>
      <c r="M511" s="778">
        <v>3</v>
      </c>
      <c r="N511" s="772">
        <v>3</v>
      </c>
      <c r="O511" s="778" t="b">
        <v>0</v>
      </c>
      <c r="P511" s="460"/>
    </row>
    <row r="512" spans="1:16">
      <c r="A512" s="519"/>
      <c r="B512" s="771"/>
      <c r="C512" s="768" t="s">
        <v>10019</v>
      </c>
      <c r="D512" s="770" t="s">
        <v>5652</v>
      </c>
      <c r="E512" s="771"/>
      <c r="F512" s="774" t="s">
        <v>5720</v>
      </c>
      <c r="G512" s="778">
        <v>0.75</v>
      </c>
      <c r="H512" s="772" t="str">
        <f t="shared" si="12"/>
        <v>0.75</v>
      </c>
      <c r="I512" s="778">
        <v>0.75</v>
      </c>
      <c r="J512" s="460" t="str">
        <f t="shared" si="11"/>
        <v>0.75</v>
      </c>
      <c r="K512" s="778">
        <v>0</v>
      </c>
      <c r="L512" s="460"/>
      <c r="M512" s="778">
        <v>3</v>
      </c>
      <c r="N512" s="772">
        <v>3</v>
      </c>
      <c r="O512" s="778" t="b">
        <v>0</v>
      </c>
      <c r="P512" s="460"/>
    </row>
    <row r="513" spans="1:16">
      <c r="A513" s="519"/>
      <c r="B513" s="771"/>
      <c r="C513" s="768" t="s">
        <v>10020</v>
      </c>
      <c r="D513" s="770" t="s">
        <v>5652</v>
      </c>
      <c r="E513" s="771"/>
      <c r="F513" s="774" t="s">
        <v>5721</v>
      </c>
      <c r="G513" s="778">
        <v>0.75</v>
      </c>
      <c r="H513" s="772" t="str">
        <f t="shared" si="12"/>
        <v>0.75</v>
      </c>
      <c r="I513" s="778">
        <v>0.75</v>
      </c>
      <c r="J513" s="460" t="str">
        <f t="shared" si="11"/>
        <v>0.75</v>
      </c>
      <c r="K513" s="778">
        <v>0</v>
      </c>
      <c r="L513" s="460"/>
      <c r="M513" s="778">
        <v>3</v>
      </c>
      <c r="N513" s="772">
        <v>3</v>
      </c>
      <c r="O513" s="778" t="b">
        <v>0</v>
      </c>
      <c r="P513" s="460"/>
    </row>
    <row r="514" spans="1:16" s="514" customFormat="1">
      <c r="A514" s="611"/>
      <c r="B514" s="771"/>
      <c r="C514" s="768" t="s">
        <v>10021</v>
      </c>
      <c r="D514" s="770" t="s">
        <v>5652</v>
      </c>
      <c r="E514" s="771"/>
      <c r="F514" s="774" t="s">
        <v>5722</v>
      </c>
      <c r="G514" s="778">
        <v>0.75</v>
      </c>
      <c r="H514" s="772" t="str">
        <f t="shared" si="12"/>
        <v>0.75</v>
      </c>
      <c r="I514" s="778">
        <v>0.75</v>
      </c>
      <c r="J514" s="460" t="str">
        <f t="shared" si="11"/>
        <v>0.75</v>
      </c>
      <c r="K514" s="778">
        <v>0</v>
      </c>
      <c r="L514" s="460"/>
      <c r="M514" s="778">
        <v>3</v>
      </c>
      <c r="N514" s="772">
        <v>3</v>
      </c>
      <c r="O514" s="778" t="b">
        <v>0</v>
      </c>
      <c r="P514" s="460"/>
    </row>
    <row r="515" spans="1:16">
      <c r="A515" s="519"/>
      <c r="B515" s="771"/>
      <c r="C515" s="768" t="s">
        <v>10022</v>
      </c>
      <c r="D515" s="770" t="s">
        <v>5652</v>
      </c>
      <c r="E515" s="771"/>
      <c r="F515" s="774" t="s">
        <v>5723</v>
      </c>
      <c r="G515" s="778">
        <v>0.75</v>
      </c>
      <c r="H515" s="772" t="str">
        <f t="shared" si="12"/>
        <v>0.75</v>
      </c>
      <c r="I515" s="778">
        <v>0.75</v>
      </c>
      <c r="J515" s="460" t="str">
        <f t="shared" si="11"/>
        <v>0.75</v>
      </c>
      <c r="K515" s="778">
        <v>0</v>
      </c>
      <c r="L515" s="460"/>
      <c r="M515" s="778">
        <v>3</v>
      </c>
      <c r="N515" s="772">
        <v>3</v>
      </c>
      <c r="O515" s="778" t="b">
        <v>0</v>
      </c>
      <c r="P515" s="460"/>
    </row>
    <row r="516" spans="1:16">
      <c r="A516" s="519"/>
      <c r="B516" s="771"/>
      <c r="C516" s="768" t="s">
        <v>10023</v>
      </c>
      <c r="D516" s="770" t="s">
        <v>5652</v>
      </c>
      <c r="E516" s="771"/>
      <c r="F516" s="774" t="s">
        <v>5724</v>
      </c>
      <c r="G516" s="778">
        <v>0.75</v>
      </c>
      <c r="H516" s="772" t="str">
        <f t="shared" si="12"/>
        <v>0.75</v>
      </c>
      <c r="I516" s="778">
        <v>0.75</v>
      </c>
      <c r="J516" s="460" t="str">
        <f t="shared" si="11"/>
        <v>0.75</v>
      </c>
      <c r="K516" s="778">
        <v>0</v>
      </c>
      <c r="L516" s="460"/>
      <c r="M516" s="778">
        <v>3</v>
      </c>
      <c r="N516" s="772">
        <v>3</v>
      </c>
      <c r="O516" s="778" t="b">
        <v>0</v>
      </c>
      <c r="P516" s="460"/>
    </row>
    <row r="517" spans="1:16">
      <c r="A517" s="519"/>
      <c r="B517" s="771"/>
      <c r="C517" s="768" t="s">
        <v>10024</v>
      </c>
      <c r="D517" s="770" t="s">
        <v>5652</v>
      </c>
      <c r="E517" s="771"/>
      <c r="F517" s="774" t="s">
        <v>5725</v>
      </c>
      <c r="G517" s="778">
        <v>0.75</v>
      </c>
      <c r="H517" s="772" t="str">
        <f t="shared" si="12"/>
        <v>0.75</v>
      </c>
      <c r="I517" s="778">
        <v>0.75</v>
      </c>
      <c r="J517" s="460" t="str">
        <f t="shared" ref="J517:J575" si="13">H517</f>
        <v>0.75</v>
      </c>
      <c r="K517" s="778">
        <v>0</v>
      </c>
      <c r="L517" s="460"/>
      <c r="M517" s="778">
        <v>3</v>
      </c>
      <c r="N517" s="772">
        <v>3</v>
      </c>
      <c r="O517" s="778" t="b">
        <v>0</v>
      </c>
      <c r="P517" s="460"/>
    </row>
    <row r="518" spans="1:16">
      <c r="A518" s="519"/>
      <c r="B518" s="771"/>
      <c r="C518" s="768" t="s">
        <v>10025</v>
      </c>
      <c r="D518" s="770" t="s">
        <v>5652</v>
      </c>
      <c r="E518" s="771"/>
      <c r="F518" s="774" t="s">
        <v>5726</v>
      </c>
      <c r="G518" s="778">
        <v>0.75</v>
      </c>
      <c r="H518" s="772" t="str">
        <f t="shared" si="12"/>
        <v>0.75</v>
      </c>
      <c r="I518" s="778">
        <v>0.75</v>
      </c>
      <c r="J518" s="460" t="str">
        <f t="shared" si="13"/>
        <v>0.75</v>
      </c>
      <c r="K518" s="778">
        <v>0</v>
      </c>
      <c r="L518" s="460"/>
      <c r="M518" s="778">
        <v>3</v>
      </c>
      <c r="N518" s="772">
        <v>3</v>
      </c>
      <c r="O518" s="778" t="b">
        <v>0</v>
      </c>
      <c r="P518" s="460"/>
    </row>
    <row r="519" spans="1:16">
      <c r="A519" s="519"/>
      <c r="B519" s="771"/>
      <c r="C519" s="768" t="s">
        <v>10026</v>
      </c>
      <c r="D519" s="770" t="s">
        <v>5652</v>
      </c>
      <c r="E519" s="771"/>
      <c r="F519" s="774" t="s">
        <v>5731</v>
      </c>
      <c r="G519" s="778">
        <v>0.75</v>
      </c>
      <c r="H519" s="772" t="str">
        <f t="shared" si="12"/>
        <v>0.75</v>
      </c>
      <c r="I519" s="778">
        <v>0.75</v>
      </c>
      <c r="J519" s="460" t="str">
        <f t="shared" si="13"/>
        <v>0.75</v>
      </c>
      <c r="K519" s="778">
        <v>0</v>
      </c>
      <c r="L519" s="460"/>
      <c r="M519" s="778">
        <v>3</v>
      </c>
      <c r="N519" s="772">
        <v>3</v>
      </c>
      <c r="O519" s="778" t="b">
        <v>0</v>
      </c>
      <c r="P519" s="460"/>
    </row>
    <row r="520" spans="1:16">
      <c r="A520" s="519"/>
      <c r="B520" s="771"/>
      <c r="C520" s="768" t="s">
        <v>10011</v>
      </c>
      <c r="D520" s="770" t="s">
        <v>5653</v>
      </c>
      <c r="E520" s="771"/>
      <c r="F520" s="774" t="s">
        <v>5712</v>
      </c>
      <c r="G520" s="778">
        <v>0.75</v>
      </c>
      <c r="H520" s="772" t="str">
        <f t="shared" si="12"/>
        <v>0.75</v>
      </c>
      <c r="I520" s="778">
        <v>0.75</v>
      </c>
      <c r="J520" s="460" t="str">
        <f t="shared" si="13"/>
        <v>0.75</v>
      </c>
      <c r="K520" s="778">
        <v>0</v>
      </c>
      <c r="L520" s="460"/>
      <c r="M520" s="778">
        <v>3</v>
      </c>
      <c r="N520" s="772">
        <v>3</v>
      </c>
      <c r="O520" s="778" t="b">
        <v>0</v>
      </c>
      <c r="P520" s="460"/>
    </row>
    <row r="521" spans="1:16">
      <c r="A521" s="519"/>
      <c r="B521" s="771"/>
      <c r="C521" s="768" t="s">
        <v>10012</v>
      </c>
      <c r="D521" s="770" t="s">
        <v>5652</v>
      </c>
      <c r="E521" s="771"/>
      <c r="F521" s="774" t="s">
        <v>5713</v>
      </c>
      <c r="G521" s="778">
        <v>0.75</v>
      </c>
      <c r="H521" s="772" t="str">
        <f t="shared" si="12"/>
        <v>0.75</v>
      </c>
      <c r="I521" s="778">
        <v>0.75</v>
      </c>
      <c r="J521" s="460" t="str">
        <f t="shared" si="13"/>
        <v>0.75</v>
      </c>
      <c r="K521" s="778">
        <v>0</v>
      </c>
      <c r="L521" s="460"/>
      <c r="M521" s="778">
        <v>3</v>
      </c>
      <c r="N521" s="772">
        <v>3</v>
      </c>
      <c r="O521" s="778" t="b">
        <v>0</v>
      </c>
      <c r="P521" s="460"/>
    </row>
    <row r="522" spans="1:16">
      <c r="A522" s="519"/>
      <c r="B522" s="771"/>
      <c r="C522" s="768" t="s">
        <v>10013</v>
      </c>
      <c r="D522" s="770" t="s">
        <v>5652</v>
      </c>
      <c r="E522" s="771"/>
      <c r="F522" s="774" t="s">
        <v>5714</v>
      </c>
      <c r="G522" s="778">
        <v>0.75</v>
      </c>
      <c r="H522" s="772" t="str">
        <f t="shared" si="12"/>
        <v>0.75</v>
      </c>
      <c r="I522" s="778">
        <v>0.75</v>
      </c>
      <c r="J522" s="460" t="str">
        <f t="shared" si="13"/>
        <v>0.75</v>
      </c>
      <c r="K522" s="778">
        <v>0</v>
      </c>
      <c r="L522" s="460"/>
      <c r="M522" s="778">
        <v>3</v>
      </c>
      <c r="N522" s="772">
        <v>3</v>
      </c>
      <c r="O522" s="778" t="b">
        <v>0</v>
      </c>
      <c r="P522" s="460"/>
    </row>
    <row r="523" spans="1:16">
      <c r="A523" s="519"/>
      <c r="B523" s="771"/>
      <c r="C523" s="768" t="s">
        <v>10014</v>
      </c>
      <c r="D523" s="770" t="s">
        <v>5652</v>
      </c>
      <c r="E523" s="771"/>
      <c r="F523" s="774" t="s">
        <v>5715</v>
      </c>
      <c r="G523" s="778">
        <v>0.75</v>
      </c>
      <c r="H523" s="772" t="str">
        <f t="shared" si="12"/>
        <v>0.75</v>
      </c>
      <c r="I523" s="778">
        <v>0.75</v>
      </c>
      <c r="J523" s="460" t="str">
        <f t="shared" si="13"/>
        <v>0.75</v>
      </c>
      <c r="K523" s="778">
        <v>0</v>
      </c>
      <c r="L523" s="460"/>
      <c r="M523" s="778">
        <v>3</v>
      </c>
      <c r="N523" s="772">
        <v>3</v>
      </c>
      <c r="O523" s="778" t="b">
        <v>0</v>
      </c>
      <c r="P523" s="460"/>
    </row>
    <row r="524" spans="1:16">
      <c r="A524" s="519"/>
      <c r="B524" s="771"/>
      <c r="C524" s="768" t="s">
        <v>10015</v>
      </c>
      <c r="D524" s="770" t="s">
        <v>5652</v>
      </c>
      <c r="E524" s="771"/>
      <c r="F524" s="774" t="s">
        <v>5716</v>
      </c>
      <c r="G524" s="778">
        <v>0.75</v>
      </c>
      <c r="H524" s="772" t="str">
        <f t="shared" si="12"/>
        <v>0.75</v>
      </c>
      <c r="I524" s="778">
        <v>0.75</v>
      </c>
      <c r="J524" s="460" t="str">
        <f t="shared" si="13"/>
        <v>0.75</v>
      </c>
      <c r="K524" s="778">
        <v>0</v>
      </c>
      <c r="L524" s="460"/>
      <c r="M524" s="778">
        <v>3</v>
      </c>
      <c r="N524" s="772">
        <v>3</v>
      </c>
      <c r="O524" s="778" t="b">
        <v>0</v>
      </c>
      <c r="P524" s="460"/>
    </row>
    <row r="525" spans="1:16">
      <c r="A525" s="519"/>
      <c r="B525" s="771"/>
      <c r="C525" s="768" t="s">
        <v>10016</v>
      </c>
      <c r="D525" s="770" t="s">
        <v>5652</v>
      </c>
      <c r="E525" s="771"/>
      <c r="F525" s="774" t="s">
        <v>5717</v>
      </c>
      <c r="G525" s="778">
        <v>0.75</v>
      </c>
      <c r="H525" s="772" t="str">
        <f t="shared" si="12"/>
        <v>0.75</v>
      </c>
      <c r="I525" s="778">
        <v>0.75</v>
      </c>
      <c r="J525" s="460" t="str">
        <f t="shared" si="13"/>
        <v>0.75</v>
      </c>
      <c r="K525" s="778">
        <v>0</v>
      </c>
      <c r="L525" s="460"/>
      <c r="M525" s="778">
        <v>3</v>
      </c>
      <c r="N525" s="772">
        <v>3</v>
      </c>
      <c r="O525" s="778" t="b">
        <v>0</v>
      </c>
      <c r="P525" s="460"/>
    </row>
    <row r="526" spans="1:16">
      <c r="A526" s="519"/>
      <c r="B526" s="771"/>
      <c r="C526" s="768" t="s">
        <v>10017</v>
      </c>
      <c r="D526" s="770" t="s">
        <v>5652</v>
      </c>
      <c r="E526" s="771"/>
      <c r="F526" s="774" t="s">
        <v>5718</v>
      </c>
      <c r="G526" s="778">
        <v>0.75</v>
      </c>
      <c r="H526" s="772" t="str">
        <f t="shared" si="12"/>
        <v>0.75</v>
      </c>
      <c r="I526" s="778">
        <v>0.75</v>
      </c>
      <c r="J526" s="460" t="str">
        <f t="shared" si="13"/>
        <v>0.75</v>
      </c>
      <c r="K526" s="778">
        <v>0</v>
      </c>
      <c r="L526" s="460"/>
      <c r="M526" s="778">
        <v>3</v>
      </c>
      <c r="N526" s="772">
        <v>3</v>
      </c>
      <c r="O526" s="778" t="b">
        <v>0</v>
      </c>
      <c r="P526" s="460"/>
    </row>
    <row r="527" spans="1:16">
      <c r="A527" s="519"/>
      <c r="B527" s="771"/>
      <c r="C527" s="768" t="s">
        <v>10018</v>
      </c>
      <c r="D527" s="770" t="s">
        <v>5652</v>
      </c>
      <c r="E527" s="771"/>
      <c r="F527" s="774" t="s">
        <v>5719</v>
      </c>
      <c r="G527" s="778">
        <v>0.75</v>
      </c>
      <c r="H527" s="772" t="str">
        <f t="shared" si="12"/>
        <v>0.75</v>
      </c>
      <c r="I527" s="778">
        <v>0.75</v>
      </c>
      <c r="J527" s="460" t="str">
        <f t="shared" si="13"/>
        <v>0.75</v>
      </c>
      <c r="K527" s="778">
        <v>0</v>
      </c>
      <c r="L527" s="460"/>
      <c r="M527" s="778">
        <v>3</v>
      </c>
      <c r="N527" s="772">
        <v>3</v>
      </c>
      <c r="O527" s="778" t="b">
        <v>0</v>
      </c>
      <c r="P527" s="460"/>
    </row>
    <row r="528" spans="1:16">
      <c r="A528" s="519"/>
      <c r="B528" s="771"/>
      <c r="C528" s="768" t="s">
        <v>10126</v>
      </c>
      <c r="D528" s="770" t="s">
        <v>6476</v>
      </c>
      <c r="E528" s="771"/>
      <c r="F528" s="774" t="s">
        <v>6559</v>
      </c>
      <c r="G528" s="778">
        <v>8</v>
      </c>
      <c r="H528" s="772" t="str">
        <f t="shared" si="12"/>
        <v>8</v>
      </c>
      <c r="I528" s="778">
        <v>8</v>
      </c>
      <c r="J528" s="460" t="str">
        <f t="shared" si="13"/>
        <v>8</v>
      </c>
      <c r="K528" s="778">
        <v>1</v>
      </c>
      <c r="L528" s="460"/>
      <c r="M528" s="778">
        <v>0</v>
      </c>
      <c r="N528" s="772"/>
      <c r="O528" s="778" t="b">
        <v>0</v>
      </c>
      <c r="P528" s="460"/>
    </row>
    <row r="529" spans="1:16">
      <c r="A529" s="519"/>
      <c r="B529" s="771"/>
      <c r="C529" s="768" t="s">
        <v>10127</v>
      </c>
      <c r="D529" s="770" t="s">
        <v>6476</v>
      </c>
      <c r="E529" s="771"/>
      <c r="F529" s="774" t="s">
        <v>6560</v>
      </c>
      <c r="G529" s="778">
        <v>8</v>
      </c>
      <c r="H529" s="772" t="str">
        <f t="shared" si="12"/>
        <v>8</v>
      </c>
      <c r="I529" s="778">
        <v>8</v>
      </c>
      <c r="J529" s="460" t="str">
        <f t="shared" si="13"/>
        <v>8</v>
      </c>
      <c r="K529" s="778">
        <v>1</v>
      </c>
      <c r="L529" s="460"/>
      <c r="M529" s="778">
        <v>0</v>
      </c>
      <c r="N529" s="772"/>
      <c r="O529" s="778" t="b">
        <v>0</v>
      </c>
      <c r="P529" s="460"/>
    </row>
    <row r="530" spans="1:16">
      <c r="A530" s="519"/>
      <c r="B530" s="771"/>
      <c r="C530" s="768" t="s">
        <v>10128</v>
      </c>
      <c r="D530" s="770" t="s">
        <v>6476</v>
      </c>
      <c r="E530" s="771"/>
      <c r="F530" s="774" t="s">
        <v>6561</v>
      </c>
      <c r="G530" s="778">
        <v>8</v>
      </c>
      <c r="H530" s="772" t="str">
        <f t="shared" si="12"/>
        <v>8</v>
      </c>
      <c r="I530" s="778">
        <v>8</v>
      </c>
      <c r="J530" s="460" t="str">
        <f t="shared" si="13"/>
        <v>8</v>
      </c>
      <c r="K530" s="778">
        <v>1</v>
      </c>
      <c r="L530" s="460"/>
      <c r="M530" s="778">
        <v>0</v>
      </c>
      <c r="N530" s="772"/>
      <c r="O530" s="778" t="b">
        <v>0</v>
      </c>
      <c r="P530" s="460"/>
    </row>
    <row r="531" spans="1:16">
      <c r="A531" s="519"/>
      <c r="B531" s="771"/>
      <c r="C531" s="768" t="s">
        <v>10177</v>
      </c>
      <c r="D531" s="770" t="s">
        <v>7704</v>
      </c>
      <c r="E531" s="771"/>
      <c r="F531" s="774" t="s">
        <v>9112</v>
      </c>
      <c r="G531" s="778">
        <v>6</v>
      </c>
      <c r="H531" s="772" t="str">
        <f t="shared" si="12"/>
        <v>6</v>
      </c>
      <c r="I531" s="778">
        <v>6</v>
      </c>
      <c r="J531" s="460" t="str">
        <f t="shared" si="13"/>
        <v>6</v>
      </c>
      <c r="K531" s="778">
        <v>0</v>
      </c>
      <c r="L531" s="460"/>
      <c r="M531" s="778">
        <v>0</v>
      </c>
      <c r="N531" s="772"/>
      <c r="O531" s="778" t="b">
        <v>0</v>
      </c>
      <c r="P531" s="460"/>
    </row>
    <row r="532" spans="1:16">
      <c r="A532" s="519"/>
      <c r="B532" s="771"/>
      <c r="C532" s="768" t="s">
        <v>10317</v>
      </c>
      <c r="D532" s="770">
        <v>8</v>
      </c>
      <c r="E532" s="771"/>
      <c r="F532" s="774" t="s">
        <v>8126</v>
      </c>
      <c r="G532" s="778">
        <v>8</v>
      </c>
      <c r="H532" s="772">
        <f t="shared" si="12"/>
        <v>8</v>
      </c>
      <c r="I532" s="778">
        <v>8</v>
      </c>
      <c r="J532" s="460">
        <f t="shared" si="13"/>
        <v>8</v>
      </c>
      <c r="K532" s="778">
        <v>0</v>
      </c>
      <c r="L532" s="460"/>
      <c r="M532" s="778">
        <v>0</v>
      </c>
      <c r="N532" s="772"/>
      <c r="O532" s="778" t="b">
        <v>0</v>
      </c>
      <c r="P532" s="460"/>
    </row>
    <row r="533" spans="1:16">
      <c r="A533" s="519"/>
      <c r="B533" s="771"/>
      <c r="C533" s="768" t="s">
        <v>10318</v>
      </c>
      <c r="D533" s="770">
        <v>8</v>
      </c>
      <c r="E533" s="771"/>
      <c r="F533" s="774" t="s">
        <v>8156</v>
      </c>
      <c r="G533" s="778">
        <v>8</v>
      </c>
      <c r="H533" s="772">
        <f t="shared" si="12"/>
        <v>8</v>
      </c>
      <c r="I533" s="778">
        <v>8</v>
      </c>
      <c r="J533" s="460">
        <f t="shared" si="13"/>
        <v>8</v>
      </c>
      <c r="K533" s="778">
        <v>0</v>
      </c>
      <c r="L533" s="460"/>
      <c r="M533" s="778">
        <v>0</v>
      </c>
      <c r="N533" s="772"/>
      <c r="O533" s="778" t="b">
        <v>0</v>
      </c>
      <c r="P533" s="460"/>
    </row>
    <row r="534" spans="1:16">
      <c r="A534" s="519"/>
      <c r="B534" s="771"/>
      <c r="C534" s="768" t="s">
        <v>10319</v>
      </c>
      <c r="D534" s="770">
        <v>8</v>
      </c>
      <c r="E534" s="771"/>
      <c r="F534" s="774" t="s">
        <v>8142</v>
      </c>
      <c r="G534" s="778">
        <v>8</v>
      </c>
      <c r="H534" s="772">
        <f t="shared" si="12"/>
        <v>8</v>
      </c>
      <c r="I534" s="778">
        <v>8</v>
      </c>
      <c r="J534" s="460">
        <f t="shared" si="13"/>
        <v>8</v>
      </c>
      <c r="K534" s="778">
        <v>0</v>
      </c>
      <c r="L534" s="460"/>
      <c r="M534" s="778">
        <v>0</v>
      </c>
      <c r="N534" s="772"/>
      <c r="O534" s="778" t="b">
        <v>0</v>
      </c>
      <c r="P534" s="460"/>
    </row>
    <row r="535" spans="1:16">
      <c r="A535" s="519"/>
      <c r="B535" s="771"/>
      <c r="C535" s="768" t="s">
        <v>10320</v>
      </c>
      <c r="D535" s="770">
        <v>8</v>
      </c>
      <c r="E535" s="771"/>
      <c r="F535" s="774" t="s">
        <v>8185</v>
      </c>
      <c r="G535" s="778">
        <v>8</v>
      </c>
      <c r="H535" s="772">
        <f t="shared" si="12"/>
        <v>8</v>
      </c>
      <c r="I535" s="778">
        <v>8</v>
      </c>
      <c r="J535" s="460">
        <f t="shared" si="13"/>
        <v>8</v>
      </c>
      <c r="K535" s="778">
        <v>0</v>
      </c>
      <c r="L535" s="460"/>
      <c r="M535" s="778">
        <v>0</v>
      </c>
      <c r="N535" s="772"/>
      <c r="O535" s="778" t="b">
        <v>0</v>
      </c>
      <c r="P535" s="460"/>
    </row>
    <row r="536" spans="1:16">
      <c r="A536" s="519"/>
      <c r="B536" s="771"/>
      <c r="C536" s="768" t="s">
        <v>10321</v>
      </c>
      <c r="D536" s="770">
        <v>8</v>
      </c>
      <c r="E536" s="771"/>
      <c r="F536" s="774" t="s">
        <v>8171</v>
      </c>
      <c r="G536" s="778">
        <v>8</v>
      </c>
      <c r="H536" s="772">
        <f t="shared" si="12"/>
        <v>8</v>
      </c>
      <c r="I536" s="778">
        <v>8</v>
      </c>
      <c r="J536" s="460">
        <f t="shared" si="13"/>
        <v>8</v>
      </c>
      <c r="K536" s="778">
        <v>0</v>
      </c>
      <c r="L536" s="460"/>
      <c r="M536" s="778">
        <v>0</v>
      </c>
      <c r="N536" s="772"/>
      <c r="O536" s="778" t="b">
        <v>0</v>
      </c>
      <c r="P536" s="460"/>
    </row>
    <row r="537" spans="1:16">
      <c r="A537" s="519"/>
      <c r="B537" s="771"/>
      <c r="C537" s="768" t="s">
        <v>10159</v>
      </c>
      <c r="D537" s="770" t="s">
        <v>7712</v>
      </c>
      <c r="E537" s="771"/>
      <c r="F537" s="774" t="s">
        <v>7713</v>
      </c>
      <c r="G537" s="778">
        <v>12</v>
      </c>
      <c r="H537" s="772" t="str">
        <f t="shared" si="12"/>
        <v>12</v>
      </c>
      <c r="I537" s="778">
        <v>12</v>
      </c>
      <c r="J537" s="460" t="str">
        <f t="shared" si="13"/>
        <v>12</v>
      </c>
      <c r="K537" s="778">
        <v>0</v>
      </c>
      <c r="L537" s="460"/>
      <c r="M537" s="778">
        <v>0</v>
      </c>
      <c r="N537" s="772"/>
      <c r="O537" s="778" t="b">
        <v>0</v>
      </c>
      <c r="P537" s="460"/>
    </row>
    <row r="538" spans="1:16">
      <c r="A538" s="519"/>
      <c r="B538" s="771"/>
      <c r="C538" s="768" t="s">
        <v>10160</v>
      </c>
      <c r="D538" s="770" t="s">
        <v>7712</v>
      </c>
      <c r="E538" s="771"/>
      <c r="F538" s="774" t="s">
        <v>7714</v>
      </c>
      <c r="G538" s="778">
        <v>12</v>
      </c>
      <c r="H538" s="772" t="str">
        <f t="shared" si="12"/>
        <v>12</v>
      </c>
      <c r="I538" s="778">
        <v>12</v>
      </c>
      <c r="J538" s="460" t="str">
        <f t="shared" si="13"/>
        <v>12</v>
      </c>
      <c r="K538" s="778">
        <v>0</v>
      </c>
      <c r="L538" s="460"/>
      <c r="M538" s="778">
        <v>0</v>
      </c>
      <c r="N538" s="772"/>
      <c r="O538" s="778" t="b">
        <v>0</v>
      </c>
      <c r="P538" s="460"/>
    </row>
    <row r="539" spans="1:16">
      <c r="A539" s="519"/>
      <c r="B539" s="771"/>
      <c r="C539" s="768" t="s">
        <v>10161</v>
      </c>
      <c r="D539" s="770" t="s">
        <v>7712</v>
      </c>
      <c r="E539" s="771"/>
      <c r="F539" s="774" t="s">
        <v>7715</v>
      </c>
      <c r="G539" s="778">
        <v>12</v>
      </c>
      <c r="H539" s="772" t="str">
        <f t="shared" si="12"/>
        <v>12</v>
      </c>
      <c r="I539" s="778">
        <v>12</v>
      </c>
      <c r="J539" s="460" t="str">
        <f t="shared" si="13"/>
        <v>12</v>
      </c>
      <c r="K539" s="778">
        <v>0</v>
      </c>
      <c r="L539" s="460"/>
      <c r="M539" s="778">
        <v>0</v>
      </c>
      <c r="N539" s="772"/>
      <c r="O539" s="778" t="b">
        <v>0</v>
      </c>
      <c r="P539" s="460"/>
    </row>
    <row r="540" spans="1:16">
      <c r="A540" s="519"/>
      <c r="B540" s="771"/>
      <c r="C540" s="768" t="s">
        <v>10322</v>
      </c>
      <c r="D540" s="827" t="s">
        <v>11702</v>
      </c>
      <c r="E540" s="771"/>
      <c r="F540" s="774" t="s">
        <v>8159</v>
      </c>
      <c r="G540" s="778">
        <v>6</v>
      </c>
      <c r="H540" s="772" t="str">
        <f t="shared" si="12"/>
        <v>6</v>
      </c>
      <c r="I540" s="778">
        <v>6</v>
      </c>
      <c r="J540" s="460" t="str">
        <f t="shared" si="13"/>
        <v>6</v>
      </c>
      <c r="K540" s="778">
        <v>0</v>
      </c>
      <c r="L540" s="460"/>
      <c r="M540" s="778">
        <v>0</v>
      </c>
      <c r="N540" s="772"/>
      <c r="O540" s="778" t="b">
        <v>0</v>
      </c>
      <c r="P540" s="460"/>
    </row>
    <row r="541" spans="1:16">
      <c r="A541" s="519"/>
      <c r="B541" s="771"/>
      <c r="C541" s="768" t="s">
        <v>10323</v>
      </c>
      <c r="D541" s="827" t="s">
        <v>11702</v>
      </c>
      <c r="E541" s="771"/>
      <c r="F541" s="774" t="s">
        <v>8124</v>
      </c>
      <c r="G541" s="778">
        <v>6</v>
      </c>
      <c r="H541" s="772" t="str">
        <f t="shared" si="12"/>
        <v>6</v>
      </c>
      <c r="I541" s="778">
        <v>6</v>
      </c>
      <c r="J541" s="460" t="str">
        <f t="shared" si="13"/>
        <v>6</v>
      </c>
      <c r="K541" s="778">
        <v>0</v>
      </c>
      <c r="L541" s="460"/>
      <c r="M541" s="778">
        <v>0</v>
      </c>
      <c r="N541" s="772"/>
      <c r="O541" s="778" t="b">
        <v>0</v>
      </c>
      <c r="P541" s="460"/>
    </row>
    <row r="542" spans="1:16">
      <c r="A542" s="519"/>
      <c r="B542" s="771"/>
      <c r="C542" s="768" t="s">
        <v>10324</v>
      </c>
      <c r="D542" s="827" t="s">
        <v>11702</v>
      </c>
      <c r="E542" s="771"/>
      <c r="F542" s="774" t="s">
        <v>8132</v>
      </c>
      <c r="G542" s="778">
        <v>6</v>
      </c>
      <c r="H542" s="772" t="str">
        <f t="shared" si="12"/>
        <v>6</v>
      </c>
      <c r="I542" s="778">
        <v>6</v>
      </c>
      <c r="J542" s="460" t="str">
        <f t="shared" si="13"/>
        <v>6</v>
      </c>
      <c r="K542" s="778">
        <v>0</v>
      </c>
      <c r="L542" s="460"/>
      <c r="M542" s="778">
        <v>0</v>
      </c>
      <c r="N542" s="772"/>
      <c r="O542" s="778" t="b">
        <v>0</v>
      </c>
      <c r="P542" s="460"/>
    </row>
    <row r="543" spans="1:16">
      <c r="A543" s="519"/>
      <c r="B543" s="771"/>
      <c r="C543" s="768" t="s">
        <v>10225</v>
      </c>
      <c r="D543" s="770" t="s">
        <v>7704</v>
      </c>
      <c r="E543" s="771"/>
      <c r="F543" s="774" t="s">
        <v>7855</v>
      </c>
      <c r="G543" s="778">
        <v>6</v>
      </c>
      <c r="H543" s="772" t="str">
        <f t="shared" si="12"/>
        <v>6</v>
      </c>
      <c r="I543" s="778">
        <v>6</v>
      </c>
      <c r="J543" s="460" t="str">
        <f t="shared" si="13"/>
        <v>6</v>
      </c>
      <c r="K543" s="778">
        <v>0</v>
      </c>
      <c r="L543" s="460"/>
      <c r="M543" s="778">
        <v>0</v>
      </c>
      <c r="N543" s="772"/>
      <c r="O543" s="778" t="b">
        <v>0</v>
      </c>
      <c r="P543" s="460"/>
    </row>
    <row r="544" spans="1:16">
      <c r="A544" s="519"/>
      <c r="B544" s="771"/>
      <c r="C544" s="768" t="s">
        <v>10211</v>
      </c>
      <c r="D544" s="770" t="s">
        <v>6012</v>
      </c>
      <c r="E544" s="771"/>
      <c r="F544" s="774" t="s">
        <v>7837</v>
      </c>
      <c r="G544" s="778">
        <v>8</v>
      </c>
      <c r="H544" s="772" t="str">
        <f t="shared" si="12"/>
        <v>8</v>
      </c>
      <c r="I544" s="778">
        <v>8</v>
      </c>
      <c r="J544" s="460" t="str">
        <f t="shared" si="13"/>
        <v>8</v>
      </c>
      <c r="K544" s="778">
        <v>0</v>
      </c>
      <c r="L544" s="460"/>
      <c r="M544" s="778">
        <v>0</v>
      </c>
      <c r="N544" s="772"/>
      <c r="O544" s="778" t="b">
        <v>0</v>
      </c>
      <c r="P544" s="460"/>
    </row>
    <row r="545" spans="1:16">
      <c r="A545" s="519"/>
      <c r="B545" s="771"/>
      <c r="C545" s="768" t="s">
        <v>10212</v>
      </c>
      <c r="D545" s="770" t="s">
        <v>6012</v>
      </c>
      <c r="E545" s="771"/>
      <c r="F545" s="774" t="s">
        <v>7838</v>
      </c>
      <c r="G545" s="778">
        <v>8</v>
      </c>
      <c r="H545" s="772" t="str">
        <f t="shared" si="12"/>
        <v>8</v>
      </c>
      <c r="I545" s="778">
        <v>8</v>
      </c>
      <c r="J545" s="460" t="str">
        <f t="shared" si="13"/>
        <v>8</v>
      </c>
      <c r="K545" s="778">
        <v>0</v>
      </c>
      <c r="L545" s="460"/>
      <c r="M545" s="778">
        <v>0</v>
      </c>
      <c r="N545" s="772"/>
      <c r="O545" s="778" t="b">
        <v>0</v>
      </c>
      <c r="P545" s="460"/>
    </row>
    <row r="546" spans="1:16">
      <c r="A546" s="519"/>
      <c r="B546" s="771"/>
      <c r="C546" s="768" t="s">
        <v>10213</v>
      </c>
      <c r="D546" s="770" t="s">
        <v>7839</v>
      </c>
      <c r="E546" s="771"/>
      <c r="F546" s="774" t="s">
        <v>7840</v>
      </c>
      <c r="G546" s="778">
        <v>1</v>
      </c>
      <c r="H546" s="772" t="str">
        <f t="shared" si="12"/>
        <v>1</v>
      </c>
      <c r="I546" s="778">
        <v>1</v>
      </c>
      <c r="J546" s="460" t="str">
        <f t="shared" si="13"/>
        <v>1</v>
      </c>
      <c r="K546" s="778">
        <v>0</v>
      </c>
      <c r="L546" s="460"/>
      <c r="M546" s="778">
        <v>0</v>
      </c>
      <c r="N546" s="772"/>
      <c r="O546" s="778" t="b">
        <v>0</v>
      </c>
      <c r="P546" s="460"/>
    </row>
    <row r="547" spans="1:16">
      <c r="A547" s="519"/>
      <c r="B547" s="771"/>
      <c r="C547" s="768" t="s">
        <v>10325</v>
      </c>
      <c r="D547" s="770" t="s">
        <v>10460</v>
      </c>
      <c r="E547" s="771"/>
      <c r="F547" s="774" t="s">
        <v>8164</v>
      </c>
      <c r="G547" s="778">
        <v>0</v>
      </c>
      <c r="H547" s="772" t="str">
        <f t="shared" si="12"/>
        <v>1</v>
      </c>
      <c r="I547" s="778">
        <v>0</v>
      </c>
      <c r="J547" s="460" t="str">
        <f t="shared" si="13"/>
        <v>1</v>
      </c>
      <c r="K547" s="778">
        <v>0</v>
      </c>
      <c r="L547" s="460"/>
      <c r="M547" s="778">
        <v>0</v>
      </c>
      <c r="N547" s="772"/>
      <c r="O547" s="778" t="b">
        <v>0</v>
      </c>
      <c r="P547" s="460"/>
    </row>
    <row r="548" spans="1:16">
      <c r="A548" s="519"/>
      <c r="B548" s="771"/>
      <c r="C548" s="768" t="s">
        <v>10326</v>
      </c>
      <c r="D548" s="770" t="s">
        <v>10460</v>
      </c>
      <c r="E548" s="771"/>
      <c r="F548" s="774" t="s">
        <v>8175</v>
      </c>
      <c r="G548" s="778">
        <v>0</v>
      </c>
      <c r="H548" s="772" t="str">
        <f t="shared" si="12"/>
        <v>1</v>
      </c>
      <c r="I548" s="778">
        <v>0</v>
      </c>
      <c r="J548" s="460" t="str">
        <f t="shared" si="13"/>
        <v>1</v>
      </c>
      <c r="K548" s="778">
        <v>0</v>
      </c>
      <c r="L548" s="460"/>
      <c r="M548" s="778">
        <v>0</v>
      </c>
      <c r="N548" s="772"/>
      <c r="O548" s="778" t="b">
        <v>0</v>
      </c>
      <c r="P548" s="460"/>
    </row>
    <row r="549" spans="1:16">
      <c r="A549" s="519"/>
      <c r="B549" s="771"/>
      <c r="C549" s="768" t="s">
        <v>10226</v>
      </c>
      <c r="D549" s="770" t="s">
        <v>7704</v>
      </c>
      <c r="E549" s="771"/>
      <c r="F549" s="774" t="s">
        <v>7856</v>
      </c>
      <c r="G549" s="778">
        <v>6</v>
      </c>
      <c r="H549" s="772" t="str">
        <f t="shared" si="12"/>
        <v>6</v>
      </c>
      <c r="I549" s="778">
        <v>6</v>
      </c>
      <c r="J549" s="460" t="str">
        <f t="shared" si="13"/>
        <v>6</v>
      </c>
      <c r="K549" s="778">
        <v>0</v>
      </c>
      <c r="L549" s="460"/>
      <c r="M549" s="778">
        <v>0</v>
      </c>
      <c r="N549" s="772"/>
      <c r="O549" s="778" t="b">
        <v>0</v>
      </c>
      <c r="P549" s="460"/>
    </row>
    <row r="550" spans="1:16">
      <c r="A550" s="519"/>
      <c r="B550" s="771"/>
      <c r="C550" s="768" t="s">
        <v>10071</v>
      </c>
      <c r="D550" s="770" t="s">
        <v>6476</v>
      </c>
      <c r="E550" s="771"/>
      <c r="F550" s="774" t="s">
        <v>6477</v>
      </c>
      <c r="G550" s="778">
        <v>8</v>
      </c>
      <c r="H550" s="772" t="str">
        <f t="shared" si="12"/>
        <v>8</v>
      </c>
      <c r="I550" s="778">
        <v>8</v>
      </c>
      <c r="J550" s="460" t="str">
        <f t="shared" si="13"/>
        <v>8</v>
      </c>
      <c r="K550" s="778">
        <v>1</v>
      </c>
      <c r="L550" s="460"/>
      <c r="M550" s="778">
        <v>0</v>
      </c>
      <c r="N550" s="772"/>
      <c r="O550" s="778" t="b">
        <v>0</v>
      </c>
      <c r="P550" s="460"/>
    </row>
    <row r="551" spans="1:16">
      <c r="A551" s="519"/>
      <c r="B551" s="771"/>
      <c r="C551" s="768" t="s">
        <v>10072</v>
      </c>
      <c r="D551" s="770" t="s">
        <v>6476</v>
      </c>
      <c r="E551" s="771"/>
      <c r="F551" s="774" t="s">
        <v>6478</v>
      </c>
      <c r="G551" s="778">
        <v>8</v>
      </c>
      <c r="H551" s="772" t="str">
        <f t="shared" si="12"/>
        <v>8</v>
      </c>
      <c r="I551" s="778">
        <v>8</v>
      </c>
      <c r="J551" s="460" t="str">
        <f t="shared" si="13"/>
        <v>8</v>
      </c>
      <c r="K551" s="778">
        <v>1</v>
      </c>
      <c r="L551" s="460"/>
      <c r="M551" s="778">
        <v>0</v>
      </c>
      <c r="N551" s="772"/>
      <c r="O551" s="778" t="b">
        <v>0</v>
      </c>
      <c r="P551" s="460"/>
    </row>
    <row r="552" spans="1:16">
      <c r="A552" s="519"/>
      <c r="B552" s="771"/>
      <c r="C552" s="768" t="s">
        <v>10087</v>
      </c>
      <c r="D552" s="770" t="s">
        <v>6476</v>
      </c>
      <c r="E552" s="771"/>
      <c r="F552" s="774" t="s">
        <v>6496</v>
      </c>
      <c r="G552" s="778">
        <v>8</v>
      </c>
      <c r="H552" s="772" t="str">
        <f t="shared" ref="H552:H575" si="14">D552</f>
        <v>8</v>
      </c>
      <c r="I552" s="778">
        <v>8</v>
      </c>
      <c r="J552" s="460" t="str">
        <f t="shared" si="13"/>
        <v>8</v>
      </c>
      <c r="K552" s="778">
        <v>1</v>
      </c>
      <c r="L552" s="460"/>
      <c r="M552" s="778">
        <v>0</v>
      </c>
      <c r="N552" s="772"/>
      <c r="O552" s="778" t="b">
        <v>0</v>
      </c>
      <c r="P552" s="460"/>
    </row>
    <row r="553" spans="1:16">
      <c r="A553" s="519"/>
      <c r="B553" s="771"/>
      <c r="C553" s="768" t="s">
        <v>10088</v>
      </c>
      <c r="D553" s="770" t="s">
        <v>6476</v>
      </c>
      <c r="E553" s="771"/>
      <c r="F553" s="774" t="s">
        <v>6497</v>
      </c>
      <c r="G553" s="778">
        <v>8</v>
      </c>
      <c r="H553" s="772" t="str">
        <f t="shared" si="14"/>
        <v>8</v>
      </c>
      <c r="I553" s="778">
        <v>8</v>
      </c>
      <c r="J553" s="460" t="str">
        <f t="shared" si="13"/>
        <v>8</v>
      </c>
      <c r="K553" s="778">
        <v>1</v>
      </c>
      <c r="L553" s="460"/>
      <c r="M553" s="778">
        <v>0</v>
      </c>
      <c r="N553" s="772"/>
      <c r="O553" s="778" t="b">
        <v>0</v>
      </c>
      <c r="P553" s="460"/>
    </row>
    <row r="554" spans="1:16">
      <c r="A554" s="519"/>
      <c r="B554" s="771"/>
      <c r="C554" s="768" t="s">
        <v>10101</v>
      </c>
      <c r="D554" s="770">
        <v>2</v>
      </c>
      <c r="E554" s="771"/>
      <c r="F554" s="774" t="s">
        <v>6515</v>
      </c>
      <c r="G554" s="778">
        <v>2</v>
      </c>
      <c r="H554" s="772">
        <f t="shared" si="14"/>
        <v>2</v>
      </c>
      <c r="I554" s="778">
        <v>2</v>
      </c>
      <c r="J554" s="460">
        <f t="shared" si="13"/>
        <v>2</v>
      </c>
      <c r="K554" s="778">
        <v>1</v>
      </c>
      <c r="L554" s="460"/>
      <c r="M554" s="778">
        <v>0</v>
      </c>
      <c r="N554" s="772"/>
      <c r="O554" s="778" t="b">
        <v>0</v>
      </c>
      <c r="P554" s="460"/>
    </row>
    <row r="555" spans="1:16">
      <c r="A555" s="519"/>
      <c r="B555" s="771"/>
      <c r="C555" s="768" t="s">
        <v>10227</v>
      </c>
      <c r="D555" s="770" t="s">
        <v>7698</v>
      </c>
      <c r="E555" s="771"/>
      <c r="F555" s="774" t="s">
        <v>7857</v>
      </c>
      <c r="G555" s="778">
        <v>2</v>
      </c>
      <c r="H555" s="772" t="str">
        <f t="shared" si="14"/>
        <v>2</v>
      </c>
      <c r="I555" s="778">
        <v>2</v>
      </c>
      <c r="J555" s="460" t="str">
        <f t="shared" si="13"/>
        <v>2</v>
      </c>
      <c r="K555" s="778">
        <v>0</v>
      </c>
      <c r="L555" s="460"/>
      <c r="M555" s="778">
        <v>0</v>
      </c>
      <c r="N555" s="772"/>
      <c r="O555" s="778" t="b">
        <v>0</v>
      </c>
      <c r="P555" s="460"/>
    </row>
    <row r="556" spans="1:16">
      <c r="A556" s="519"/>
      <c r="B556" s="771"/>
      <c r="C556" s="768" t="s">
        <v>10135</v>
      </c>
      <c r="D556" s="770" t="s">
        <v>5651</v>
      </c>
      <c r="E556" s="771"/>
      <c r="F556" s="774" t="s">
        <v>6570</v>
      </c>
      <c r="G556" s="778">
        <v>4</v>
      </c>
      <c r="H556" s="772" t="str">
        <f t="shared" si="14"/>
        <v>4</v>
      </c>
      <c r="I556" s="778">
        <v>4</v>
      </c>
      <c r="J556" s="460" t="str">
        <f t="shared" si="13"/>
        <v>4</v>
      </c>
      <c r="K556" s="778">
        <v>1</v>
      </c>
      <c r="L556" s="460"/>
      <c r="M556" s="778">
        <v>0</v>
      </c>
      <c r="N556" s="772"/>
      <c r="O556" s="778" t="b">
        <v>0</v>
      </c>
      <c r="P556" s="460"/>
    </row>
    <row r="557" spans="1:16">
      <c r="A557" s="519"/>
      <c r="B557" s="771"/>
      <c r="C557" s="768" t="s">
        <v>10136</v>
      </c>
      <c r="D557" s="770" t="s">
        <v>5651</v>
      </c>
      <c r="E557" s="771"/>
      <c r="F557" s="774" t="s">
        <v>6571</v>
      </c>
      <c r="G557" s="778">
        <v>4</v>
      </c>
      <c r="H557" s="772" t="str">
        <f t="shared" si="14"/>
        <v>4</v>
      </c>
      <c r="I557" s="778">
        <v>4</v>
      </c>
      <c r="J557" s="460" t="str">
        <f t="shared" si="13"/>
        <v>4</v>
      </c>
      <c r="K557" s="778">
        <v>1</v>
      </c>
      <c r="L557" s="460"/>
      <c r="M557" s="778">
        <v>0</v>
      </c>
      <c r="N557" s="772"/>
      <c r="O557" s="778" t="b">
        <v>0</v>
      </c>
      <c r="P557" s="460"/>
    </row>
    <row r="558" spans="1:16">
      <c r="A558" s="519"/>
      <c r="B558" s="771"/>
      <c r="C558" s="768" t="s">
        <v>10148</v>
      </c>
      <c r="D558" s="770" t="s">
        <v>5651</v>
      </c>
      <c r="E558" s="771"/>
      <c r="F558" s="774" t="s">
        <v>6583</v>
      </c>
      <c r="G558" s="778">
        <v>4</v>
      </c>
      <c r="H558" s="772" t="str">
        <f t="shared" si="14"/>
        <v>4</v>
      </c>
      <c r="I558" s="778">
        <v>4</v>
      </c>
      <c r="J558" s="460" t="str">
        <f t="shared" si="13"/>
        <v>4</v>
      </c>
      <c r="K558" s="778">
        <v>1</v>
      </c>
      <c r="L558" s="460"/>
      <c r="M558" s="778">
        <v>0</v>
      </c>
      <c r="N558" s="772"/>
      <c r="O558" s="778" t="b">
        <v>0</v>
      </c>
      <c r="P558" s="460"/>
    </row>
    <row r="559" spans="1:16">
      <c r="A559" s="519"/>
      <c r="B559" s="771"/>
      <c r="C559" s="768" t="s">
        <v>10149</v>
      </c>
      <c r="D559" s="770" t="s">
        <v>5651</v>
      </c>
      <c r="E559" s="771"/>
      <c r="F559" s="774" t="s">
        <v>6584</v>
      </c>
      <c r="G559" s="778">
        <v>4</v>
      </c>
      <c r="H559" s="772" t="str">
        <f t="shared" si="14"/>
        <v>4</v>
      </c>
      <c r="I559" s="778">
        <v>4</v>
      </c>
      <c r="J559" s="460" t="str">
        <f t="shared" si="13"/>
        <v>4</v>
      </c>
      <c r="K559" s="778">
        <v>1</v>
      </c>
      <c r="L559" s="460"/>
      <c r="M559" s="778">
        <v>0</v>
      </c>
      <c r="N559" s="772"/>
      <c r="O559" s="778" t="b">
        <v>0</v>
      </c>
      <c r="P559" s="460"/>
    </row>
    <row r="560" spans="1:16">
      <c r="A560" s="519"/>
      <c r="B560" s="771"/>
      <c r="C560" s="768" t="s">
        <v>10150</v>
      </c>
      <c r="D560" s="770" t="s">
        <v>5733</v>
      </c>
      <c r="E560" s="771"/>
      <c r="F560" s="774" t="s">
        <v>6585</v>
      </c>
      <c r="G560" s="778">
        <v>2</v>
      </c>
      <c r="H560" s="772" t="str">
        <f t="shared" si="14"/>
        <v>2</v>
      </c>
      <c r="I560" s="778">
        <v>2</v>
      </c>
      <c r="J560" s="460" t="str">
        <f t="shared" si="13"/>
        <v>2</v>
      </c>
      <c r="K560" s="778">
        <v>1</v>
      </c>
      <c r="L560" s="460"/>
      <c r="M560" s="778">
        <v>0</v>
      </c>
      <c r="N560" s="772"/>
      <c r="O560" s="778" t="b">
        <v>0</v>
      </c>
      <c r="P560" s="460"/>
    </row>
    <row r="561" spans="1:16">
      <c r="A561" s="519"/>
      <c r="B561" s="771"/>
      <c r="C561" s="768" t="s">
        <v>10151</v>
      </c>
      <c r="D561" s="770" t="s">
        <v>5733</v>
      </c>
      <c r="E561" s="771"/>
      <c r="F561" s="774" t="s">
        <v>6586</v>
      </c>
      <c r="G561" s="778">
        <v>2</v>
      </c>
      <c r="H561" s="772" t="str">
        <f t="shared" si="14"/>
        <v>2</v>
      </c>
      <c r="I561" s="778">
        <v>2</v>
      </c>
      <c r="J561" s="460" t="str">
        <f t="shared" si="13"/>
        <v>2</v>
      </c>
      <c r="K561" s="778">
        <v>1</v>
      </c>
      <c r="L561" s="460"/>
      <c r="M561" s="778">
        <v>0</v>
      </c>
      <c r="N561" s="772"/>
      <c r="O561" s="778" t="b">
        <v>0</v>
      </c>
      <c r="P561" s="460"/>
    </row>
    <row r="562" spans="1:16">
      <c r="A562" s="519"/>
      <c r="B562" s="771"/>
      <c r="C562" s="768" t="s">
        <v>10057</v>
      </c>
      <c r="D562" s="770" t="s">
        <v>6082</v>
      </c>
      <c r="E562" s="771"/>
      <c r="F562" s="774" t="s">
        <v>6073</v>
      </c>
      <c r="G562" s="778">
        <v>10</v>
      </c>
      <c r="H562" s="772" t="str">
        <f t="shared" si="14"/>
        <v>10</v>
      </c>
      <c r="I562" s="778">
        <v>10</v>
      </c>
      <c r="J562" s="460" t="str">
        <f t="shared" si="13"/>
        <v>10</v>
      </c>
      <c r="K562" s="778">
        <v>0</v>
      </c>
      <c r="L562" s="460"/>
      <c r="M562" s="778">
        <v>0</v>
      </c>
      <c r="N562" s="772"/>
      <c r="O562" s="778" t="b">
        <v>0</v>
      </c>
      <c r="P562" s="460"/>
    </row>
    <row r="563" spans="1:16" s="514" customFormat="1">
      <c r="A563" s="729"/>
      <c r="B563" s="771"/>
      <c r="C563" s="768" t="s">
        <v>10058</v>
      </c>
      <c r="D563" s="770" t="s">
        <v>6082</v>
      </c>
      <c r="E563" s="771"/>
      <c r="F563" s="774" t="s">
        <v>6074</v>
      </c>
      <c r="G563" s="778">
        <v>10</v>
      </c>
      <c r="H563" s="772" t="str">
        <f t="shared" si="14"/>
        <v>10</v>
      </c>
      <c r="I563" s="778">
        <v>10</v>
      </c>
      <c r="J563" s="460" t="str">
        <f t="shared" si="13"/>
        <v>10</v>
      </c>
      <c r="K563" s="778">
        <v>0</v>
      </c>
      <c r="L563" s="460"/>
      <c r="M563" s="778">
        <v>0</v>
      </c>
      <c r="N563" s="772"/>
      <c r="O563" s="778" t="b">
        <v>0</v>
      </c>
      <c r="P563" s="460"/>
    </row>
    <row r="564" spans="1:16" s="514" customFormat="1">
      <c r="A564" s="729"/>
      <c r="B564" s="771"/>
      <c r="C564" s="768" t="s">
        <v>10042</v>
      </c>
      <c r="D564" s="770" t="s">
        <v>6082</v>
      </c>
      <c r="E564" s="771"/>
      <c r="F564" s="774" t="s">
        <v>6060</v>
      </c>
      <c r="G564" s="778">
        <v>10</v>
      </c>
      <c r="H564" s="772" t="str">
        <f t="shared" si="14"/>
        <v>10</v>
      </c>
      <c r="I564" s="778">
        <v>10</v>
      </c>
      <c r="J564" s="460" t="str">
        <f t="shared" si="13"/>
        <v>10</v>
      </c>
      <c r="K564" s="778">
        <v>0</v>
      </c>
      <c r="L564" s="460"/>
      <c r="M564" s="778">
        <v>0</v>
      </c>
      <c r="N564" s="772"/>
      <c r="O564" s="778" t="b">
        <v>0</v>
      </c>
      <c r="P564" s="460"/>
    </row>
    <row r="565" spans="1:16" s="514" customFormat="1">
      <c r="A565" s="729"/>
      <c r="B565" s="771"/>
      <c r="C565" s="768" t="s">
        <v>10043</v>
      </c>
      <c r="D565" s="770" t="s">
        <v>6082</v>
      </c>
      <c r="E565" s="771"/>
      <c r="F565" s="774" t="s">
        <v>6062</v>
      </c>
      <c r="G565" s="778">
        <v>10</v>
      </c>
      <c r="H565" s="772" t="str">
        <f t="shared" si="14"/>
        <v>10</v>
      </c>
      <c r="I565" s="778">
        <v>10</v>
      </c>
      <c r="J565" s="460" t="str">
        <f t="shared" si="13"/>
        <v>10</v>
      </c>
      <c r="K565" s="778">
        <v>0</v>
      </c>
      <c r="L565" s="460"/>
      <c r="M565" s="778">
        <v>0</v>
      </c>
      <c r="N565" s="772"/>
      <c r="O565" s="778" t="b">
        <v>0</v>
      </c>
      <c r="P565" s="460"/>
    </row>
    <row r="566" spans="1:16" s="514" customFormat="1">
      <c r="A566" s="729"/>
      <c r="B566" s="771"/>
      <c r="C566" s="768" t="s">
        <v>10044</v>
      </c>
      <c r="D566" s="770" t="s">
        <v>6082</v>
      </c>
      <c r="E566" s="771"/>
      <c r="F566" s="774" t="s">
        <v>6063</v>
      </c>
      <c r="G566" s="778">
        <v>10</v>
      </c>
      <c r="H566" s="772" t="str">
        <f t="shared" si="14"/>
        <v>10</v>
      </c>
      <c r="I566" s="778">
        <v>10</v>
      </c>
      <c r="J566" s="460" t="str">
        <f t="shared" si="13"/>
        <v>10</v>
      </c>
      <c r="K566" s="778">
        <v>0</v>
      </c>
      <c r="L566" s="460"/>
      <c r="M566" s="778">
        <v>0</v>
      </c>
      <c r="N566" s="772"/>
      <c r="O566" s="778" t="b">
        <v>0</v>
      </c>
      <c r="P566" s="460"/>
    </row>
    <row r="567" spans="1:16">
      <c r="A567" s="756"/>
      <c r="B567" s="771"/>
      <c r="C567" s="768" t="s">
        <v>10059</v>
      </c>
      <c r="D567" s="770" t="s">
        <v>6086</v>
      </c>
      <c r="E567" s="771"/>
      <c r="F567" s="774" t="s">
        <v>6061</v>
      </c>
      <c r="G567" s="778">
        <v>4</v>
      </c>
      <c r="H567" s="772" t="str">
        <f t="shared" si="14"/>
        <v>4</v>
      </c>
      <c r="I567" s="778">
        <v>4</v>
      </c>
      <c r="J567" s="460" t="str">
        <f t="shared" si="13"/>
        <v>4</v>
      </c>
      <c r="K567" s="778">
        <v>0</v>
      </c>
      <c r="L567" s="460"/>
      <c r="M567" s="778">
        <v>0</v>
      </c>
      <c r="N567" s="772"/>
      <c r="O567" s="778" t="b">
        <v>0</v>
      </c>
      <c r="P567" s="460"/>
    </row>
    <row r="568" spans="1:16">
      <c r="A568" s="756"/>
      <c r="B568" s="771"/>
      <c r="C568" s="768" t="s">
        <v>10060</v>
      </c>
      <c r="D568" s="770" t="s">
        <v>6086</v>
      </c>
      <c r="E568" s="771"/>
      <c r="F568" s="774" t="s">
        <v>6075</v>
      </c>
      <c r="G568" s="778">
        <v>4</v>
      </c>
      <c r="H568" s="772" t="str">
        <f t="shared" si="14"/>
        <v>4</v>
      </c>
      <c r="I568" s="778">
        <v>4</v>
      </c>
      <c r="J568" s="460" t="str">
        <f t="shared" si="13"/>
        <v>4</v>
      </c>
      <c r="K568" s="778">
        <v>0</v>
      </c>
      <c r="L568" s="460"/>
      <c r="M568" s="778">
        <v>0</v>
      </c>
      <c r="N568" s="772"/>
      <c r="O568" s="778" t="b">
        <v>0</v>
      </c>
      <c r="P568" s="460"/>
    </row>
    <row r="569" spans="1:16">
      <c r="A569" s="756"/>
      <c r="B569" s="771"/>
      <c r="C569" s="768" t="s">
        <v>10045</v>
      </c>
      <c r="D569" s="770" t="s">
        <v>6081</v>
      </c>
      <c r="E569" s="771"/>
      <c r="F569" s="774" t="s">
        <v>6064</v>
      </c>
      <c r="G569" s="778">
        <v>6</v>
      </c>
      <c r="H569" s="772" t="str">
        <f t="shared" si="14"/>
        <v>6</v>
      </c>
      <c r="I569" s="778">
        <v>6</v>
      </c>
      <c r="J569" s="460" t="str">
        <f t="shared" si="13"/>
        <v>6</v>
      </c>
      <c r="K569" s="778">
        <v>0</v>
      </c>
      <c r="L569" s="460"/>
      <c r="M569" s="778">
        <v>0</v>
      </c>
      <c r="N569" s="772"/>
      <c r="O569" s="778" t="b">
        <v>0</v>
      </c>
      <c r="P569" s="460"/>
    </row>
    <row r="570" spans="1:16">
      <c r="A570" s="756"/>
      <c r="B570" s="771"/>
      <c r="C570" s="768" t="s">
        <v>10046</v>
      </c>
      <c r="D570" s="770" t="s">
        <v>6081</v>
      </c>
      <c r="E570" s="771"/>
      <c r="F570" s="774" t="s">
        <v>6065</v>
      </c>
      <c r="G570" s="778">
        <v>6</v>
      </c>
      <c r="H570" s="772" t="str">
        <f t="shared" si="14"/>
        <v>6</v>
      </c>
      <c r="I570" s="778">
        <v>6</v>
      </c>
      <c r="J570" s="460" t="str">
        <f t="shared" si="13"/>
        <v>6</v>
      </c>
      <c r="K570" s="778">
        <v>0</v>
      </c>
      <c r="L570" s="460"/>
      <c r="M570" s="778">
        <v>0</v>
      </c>
      <c r="N570" s="772"/>
      <c r="O570" s="778" t="b">
        <v>0</v>
      </c>
      <c r="P570" s="460"/>
    </row>
    <row r="571" spans="1:16">
      <c r="A571" s="756"/>
      <c r="B571" s="771"/>
      <c r="C571" s="768" t="s">
        <v>10047</v>
      </c>
      <c r="D571" s="770" t="s">
        <v>6081</v>
      </c>
      <c r="E571" s="771"/>
      <c r="F571" s="774" t="s">
        <v>6066</v>
      </c>
      <c r="G571" s="778">
        <v>6</v>
      </c>
      <c r="H571" s="772" t="str">
        <f t="shared" si="14"/>
        <v>6</v>
      </c>
      <c r="I571" s="778">
        <v>6</v>
      </c>
      <c r="J571" s="460" t="str">
        <f t="shared" si="13"/>
        <v>6</v>
      </c>
      <c r="K571" s="778">
        <v>0</v>
      </c>
      <c r="L571" s="460"/>
      <c r="M571" s="778">
        <v>0</v>
      </c>
      <c r="N571" s="772"/>
      <c r="O571" s="778" t="b">
        <v>0</v>
      </c>
      <c r="P571" s="460"/>
    </row>
    <row r="572" spans="1:16">
      <c r="A572" s="756"/>
      <c r="B572" s="771"/>
      <c r="C572" s="768" t="s">
        <v>10237</v>
      </c>
      <c r="D572" s="770" t="s">
        <v>7754</v>
      </c>
      <c r="E572" s="771"/>
      <c r="F572" s="774" t="s">
        <v>7871</v>
      </c>
      <c r="G572" s="778">
        <v>4</v>
      </c>
      <c r="H572" s="772" t="str">
        <f t="shared" si="14"/>
        <v>4</v>
      </c>
      <c r="I572" s="778">
        <v>4</v>
      </c>
      <c r="J572" s="460" t="str">
        <f t="shared" si="13"/>
        <v>4</v>
      </c>
      <c r="K572" s="778">
        <v>0</v>
      </c>
      <c r="L572" s="460"/>
      <c r="M572" s="778">
        <v>0</v>
      </c>
      <c r="N572" s="772"/>
      <c r="O572" s="778" t="b">
        <v>0</v>
      </c>
      <c r="P572" s="460"/>
    </row>
    <row r="573" spans="1:16">
      <c r="A573" s="756"/>
      <c r="B573" s="771"/>
      <c r="C573" s="768" t="s">
        <v>10238</v>
      </c>
      <c r="D573" s="770" t="s">
        <v>7754</v>
      </c>
      <c r="E573" s="771"/>
      <c r="F573" s="774" t="s">
        <v>7872</v>
      </c>
      <c r="G573" s="778">
        <v>4</v>
      </c>
      <c r="H573" s="772" t="str">
        <f t="shared" si="14"/>
        <v>4</v>
      </c>
      <c r="I573" s="778">
        <v>4</v>
      </c>
      <c r="J573" s="460" t="str">
        <f t="shared" si="13"/>
        <v>4</v>
      </c>
      <c r="K573" s="778">
        <v>0</v>
      </c>
      <c r="L573" s="460"/>
      <c r="M573" s="778">
        <v>0</v>
      </c>
      <c r="N573" s="772"/>
      <c r="O573" s="778" t="b">
        <v>0</v>
      </c>
      <c r="P573" s="460"/>
    </row>
    <row r="574" spans="1:16">
      <c r="A574" s="756"/>
      <c r="B574" s="771"/>
      <c r="C574" s="768" t="s">
        <v>10073</v>
      </c>
      <c r="D574" s="770" t="s">
        <v>6476</v>
      </c>
      <c r="E574" s="771"/>
      <c r="F574" s="774" t="s">
        <v>6479</v>
      </c>
      <c r="G574" s="778">
        <v>8</v>
      </c>
      <c r="H574" s="772" t="str">
        <f t="shared" si="14"/>
        <v>8</v>
      </c>
      <c r="I574" s="778">
        <v>8</v>
      </c>
      <c r="J574" s="460" t="str">
        <f t="shared" si="13"/>
        <v>8</v>
      </c>
      <c r="K574" s="778">
        <v>1</v>
      </c>
      <c r="L574" s="460"/>
      <c r="M574" s="778">
        <v>0</v>
      </c>
      <c r="N574" s="772"/>
      <c r="O574" s="778" t="b">
        <v>0</v>
      </c>
      <c r="P574" s="460"/>
    </row>
    <row r="575" spans="1:16">
      <c r="A575" s="756"/>
      <c r="B575" s="771"/>
      <c r="C575" s="768" t="s">
        <v>10074</v>
      </c>
      <c r="D575" s="770" t="s">
        <v>6476</v>
      </c>
      <c r="E575" s="771"/>
      <c r="F575" s="774" t="s">
        <v>6480</v>
      </c>
      <c r="G575" s="778">
        <v>8</v>
      </c>
      <c r="H575" s="772" t="str">
        <f t="shared" si="14"/>
        <v>8</v>
      </c>
      <c r="I575" s="778">
        <v>8</v>
      </c>
      <c r="J575" s="460" t="str">
        <f t="shared" si="13"/>
        <v>8</v>
      </c>
      <c r="K575" s="778">
        <v>1</v>
      </c>
      <c r="L575" s="460"/>
      <c r="M575" s="778">
        <v>0</v>
      </c>
      <c r="N575" s="772"/>
      <c r="O575" s="778" t="b">
        <v>0</v>
      </c>
      <c r="P575" s="460"/>
    </row>
    <row r="576" spans="1:16">
      <c r="J576" s="574"/>
      <c r="K576" s="747"/>
      <c r="L576" s="748"/>
      <c r="M576" s="573"/>
    </row>
    <row r="577" spans="10:13">
      <c r="J577" s="574"/>
      <c r="K577" s="747"/>
      <c r="L577" s="748"/>
      <c r="M577" s="573"/>
    </row>
    <row r="578" spans="10:13">
      <c r="J578" s="574"/>
      <c r="K578" s="747"/>
      <c r="L578" s="748"/>
      <c r="M578" s="573"/>
    </row>
    <row r="579" spans="10:13">
      <c r="J579" s="574"/>
      <c r="K579" s="747"/>
      <c r="L579" s="748"/>
      <c r="M579" s="573"/>
    </row>
    <row r="580" spans="10:13">
      <c r="J580" s="574"/>
      <c r="K580" s="747"/>
      <c r="L580" s="748"/>
      <c r="M580" s="573"/>
    </row>
    <row r="581" spans="10:13">
      <c r="J581" s="574"/>
      <c r="K581" s="747"/>
      <c r="L581" s="748"/>
      <c r="M581" s="573"/>
    </row>
    <row r="582" spans="10:13">
      <c r="J582" s="574"/>
      <c r="K582" s="747"/>
      <c r="L582" s="748"/>
      <c r="M582" s="573"/>
    </row>
    <row r="583" spans="10:13">
      <c r="J583" s="574"/>
      <c r="K583" s="747"/>
      <c r="L583" s="748"/>
      <c r="M583" s="573"/>
    </row>
    <row r="584" spans="10:13">
      <c r="J584" s="574"/>
      <c r="K584" s="747"/>
      <c r="L584" s="748"/>
      <c r="M584" s="573"/>
    </row>
    <row r="585" spans="10:13">
      <c r="J585" s="574"/>
      <c r="K585" s="747"/>
      <c r="L585" s="748"/>
      <c r="M585" s="573"/>
    </row>
    <row r="586" spans="10:13">
      <c r="J586" s="574"/>
      <c r="K586" s="747"/>
      <c r="L586" s="748"/>
      <c r="M586" s="573"/>
    </row>
    <row r="587" spans="10:13">
      <c r="J587" s="574"/>
      <c r="K587" s="747"/>
      <c r="L587" s="748"/>
      <c r="M587" s="573"/>
    </row>
    <row r="588" spans="10:13">
      <c r="J588" s="574"/>
      <c r="K588" s="747"/>
      <c r="L588" s="748"/>
      <c r="M588" s="573"/>
    </row>
    <row r="589" spans="10:13">
      <c r="J589" s="574"/>
      <c r="K589" s="573"/>
      <c r="L589" s="574"/>
      <c r="M589" s="573"/>
    </row>
  </sheetData>
  <sheetProtection sheet="1" objects="1" scenarios="1" formatCells="0" formatColumns="0" formatRows="0" insertColumns="0" insertRows="0" insertHyperlinks="0" deleteColumns="0" deleteRows="0" sort="0" autoFilter="0" pivotTables="0"/>
  <sortState ref="A232:R575">
    <sortCondition ref="F232:F575"/>
  </sortState>
  <dataConsolidate/>
  <mergeCells count="6">
    <mergeCell ref="O1:P1"/>
    <mergeCell ref="G1:H1"/>
    <mergeCell ref="E3:F3"/>
    <mergeCell ref="I1:J1"/>
    <mergeCell ref="K1:L1"/>
    <mergeCell ref="M1:N1"/>
  </mergeCells>
  <phoneticPr fontId="14" type="noConversion"/>
  <conditionalFormatting sqref="A1">
    <cfRule type="cellIs" dxfId="10325" priority="17" stopIfTrue="1" operator="equal">
      <formula>"NOK"</formula>
    </cfRule>
  </conditionalFormatting>
  <conditionalFormatting sqref="G336:G575 M336:M575 I336:I575 O342:O575 I5:I294 M5:M294 G5:G294 K5:K588">
    <cfRule type="cellIs" dxfId="10324" priority="16" stopIfTrue="1" operator="notEqual">
      <formula>H5</formula>
    </cfRule>
  </conditionalFormatting>
  <conditionalFormatting sqref="M334">
    <cfRule type="cellIs" dxfId="10323" priority="7" stopIfTrue="1" operator="notEqual">
      <formula>N334</formula>
    </cfRule>
  </conditionalFormatting>
  <conditionalFormatting sqref="M335">
    <cfRule type="cellIs" dxfId="10322" priority="6" stopIfTrue="1" operator="notEqual">
      <formula>N335</formula>
    </cfRule>
  </conditionalFormatting>
  <conditionalFormatting sqref="O274:O276 O65:O66 O5:O7 O48:O49 O11:O26 O59:O62 O53:O56 O37 O103 O79:O80 O69:O70 O73:O74 O91 O232:O265">
    <cfRule type="cellIs" dxfId="10321" priority="5" stopIfTrue="1" operator="notEqual">
      <formula>P5</formula>
    </cfRule>
  </conditionalFormatting>
  <dataValidations count="1">
    <dataValidation type="list" allowBlank="1" showInputMessage="1" showErrorMessage="1" sqref="G1 I1 K1 M1">
      <formula1>ValveActuatorVariablesList</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sheetPr codeName="Sheet52">
    <tabColor rgb="FF92D050"/>
  </sheetPr>
  <dimension ref="A1:AB167"/>
  <sheetViews>
    <sheetView showGridLines="0" zoomScale="80" zoomScaleNormal="80" workbookViewId="0">
      <pane xSplit="6" ySplit="4" topLeftCell="G5" activePane="bottomRight" state="frozenSplit"/>
      <selection activeCell="I6" sqref="I6"/>
      <selection pane="topRight" activeCell="I6" sqref="I6"/>
      <selection pane="bottomLeft" activeCell="I6" sqref="I6"/>
      <selection pane="bottomRight" activeCell="F1" sqref="F1"/>
    </sheetView>
  </sheetViews>
  <sheetFormatPr defaultRowHeight="12.75"/>
  <cols>
    <col min="1" max="1" width="36.25" style="28" customWidth="1"/>
    <col min="2" max="2" width="7.125" style="28" customWidth="1"/>
    <col min="3" max="3" width="18.25" style="29" customWidth="1"/>
    <col min="4" max="4" width="11.5" style="28" customWidth="1"/>
    <col min="5" max="5" width="16.625" style="28" customWidth="1"/>
    <col min="6" max="6" width="16.625" style="30" customWidth="1"/>
    <col min="7" max="7" width="12" style="31" bestFit="1" customWidth="1"/>
    <col min="8" max="8" width="11.375" style="32" bestFit="1" customWidth="1"/>
    <col min="9" max="9" width="9.75" style="31" customWidth="1"/>
    <col min="10" max="10" width="9.75" style="32" customWidth="1"/>
    <col min="11" max="11" width="9.75" style="31" customWidth="1"/>
    <col min="12" max="12" width="9.75" style="32" customWidth="1"/>
    <col min="13" max="13" width="9.75" style="31" customWidth="1"/>
    <col min="14" max="14" width="9.75" style="32" customWidth="1"/>
    <col min="15" max="15" width="9.75" style="31" customWidth="1"/>
    <col min="16" max="16" width="9.75" style="32" customWidth="1"/>
    <col min="17" max="17" width="9.75" style="31" customWidth="1"/>
    <col min="18" max="18" width="14.75" style="32" customWidth="1"/>
    <col min="19" max="19" width="9.75" style="31" customWidth="1"/>
    <col min="20" max="20" width="9.75" style="32" customWidth="1"/>
    <col min="21" max="21" width="9.75" style="31" customWidth="1"/>
    <col min="22" max="22" width="9.75" style="32" customWidth="1"/>
    <col min="23" max="23" width="9.75" style="529" customWidth="1"/>
    <col min="24" max="24" width="9.75" style="530" customWidth="1"/>
    <col min="25" max="25" width="11.5" style="529" customWidth="1"/>
    <col min="26" max="26" width="9.75" style="530" customWidth="1"/>
    <col min="27" max="27" width="1.25" style="6" customWidth="1"/>
    <col min="28" max="28" width="21.375" style="6" customWidth="1"/>
    <col min="29" max="274" width="9" style="6"/>
    <col min="275" max="275" width="12" style="6" customWidth="1"/>
    <col min="276" max="276" width="7.125" style="6" customWidth="1"/>
    <col min="277" max="277" width="9" style="6"/>
    <col min="278" max="278" width="16" style="6" customWidth="1"/>
    <col min="279" max="279" width="13.75" style="6" customWidth="1"/>
    <col min="280" max="281" width="9.75" style="6" customWidth="1"/>
    <col min="282" max="530" width="9" style="6"/>
    <col min="531" max="531" width="12" style="6" customWidth="1"/>
    <col min="532" max="532" width="7.125" style="6" customWidth="1"/>
    <col min="533" max="533" width="9" style="6"/>
    <col min="534" max="534" width="16" style="6" customWidth="1"/>
    <col min="535" max="535" width="13.75" style="6" customWidth="1"/>
    <col min="536" max="537" width="9.75" style="6" customWidth="1"/>
    <col min="538" max="786" width="9" style="6"/>
    <col min="787" max="787" width="12" style="6" customWidth="1"/>
    <col min="788" max="788" width="7.125" style="6" customWidth="1"/>
    <col min="789" max="789" width="9" style="6"/>
    <col min="790" max="790" width="16" style="6" customWidth="1"/>
    <col min="791" max="791" width="13.75" style="6" customWidth="1"/>
    <col min="792" max="793" width="9.75" style="6" customWidth="1"/>
    <col min="794" max="1042" width="9" style="6"/>
    <col min="1043" max="1043" width="12" style="6" customWidth="1"/>
    <col min="1044" max="1044" width="7.125" style="6" customWidth="1"/>
    <col min="1045" max="1045" width="9" style="6"/>
    <col min="1046" max="1046" width="16" style="6" customWidth="1"/>
    <col min="1047" max="1047" width="13.75" style="6" customWidth="1"/>
    <col min="1048" max="1049" width="9.75" style="6" customWidth="1"/>
    <col min="1050" max="1298" width="9" style="6"/>
    <col min="1299" max="1299" width="12" style="6" customWidth="1"/>
    <col min="1300" max="1300" width="7.125" style="6" customWidth="1"/>
    <col min="1301" max="1301" width="9" style="6"/>
    <col min="1302" max="1302" width="16" style="6" customWidth="1"/>
    <col min="1303" max="1303" width="13.75" style="6" customWidth="1"/>
    <col min="1304" max="1305" width="9.75" style="6" customWidth="1"/>
    <col min="1306" max="1554" width="9" style="6"/>
    <col min="1555" max="1555" width="12" style="6" customWidth="1"/>
    <col min="1556" max="1556" width="7.125" style="6" customWidth="1"/>
    <col min="1557" max="1557" width="9" style="6"/>
    <col min="1558" max="1558" width="16" style="6" customWidth="1"/>
    <col min="1559" max="1559" width="13.75" style="6" customWidth="1"/>
    <col min="1560" max="1561" width="9.75" style="6" customWidth="1"/>
    <col min="1562" max="1810" width="9" style="6"/>
    <col min="1811" max="1811" width="12" style="6" customWidth="1"/>
    <col min="1812" max="1812" width="7.125" style="6" customWidth="1"/>
    <col min="1813" max="1813" width="9" style="6"/>
    <col min="1814" max="1814" width="16" style="6" customWidth="1"/>
    <col min="1815" max="1815" width="13.75" style="6" customWidth="1"/>
    <col min="1816" max="1817" width="9.75" style="6" customWidth="1"/>
    <col min="1818" max="2066" width="9" style="6"/>
    <col min="2067" max="2067" width="12" style="6" customWidth="1"/>
    <col min="2068" max="2068" width="7.125" style="6" customWidth="1"/>
    <col min="2069" max="2069" width="9" style="6"/>
    <col min="2070" max="2070" width="16" style="6" customWidth="1"/>
    <col min="2071" max="2071" width="13.75" style="6" customWidth="1"/>
    <col min="2072" max="2073" width="9.75" style="6" customWidth="1"/>
    <col min="2074" max="2322" width="9" style="6"/>
    <col min="2323" max="2323" width="12" style="6" customWidth="1"/>
    <col min="2324" max="2324" width="7.125" style="6" customWidth="1"/>
    <col min="2325" max="2325" width="9" style="6"/>
    <col min="2326" max="2326" width="16" style="6" customWidth="1"/>
    <col min="2327" max="2327" width="13.75" style="6" customWidth="1"/>
    <col min="2328" max="2329" width="9.75" style="6" customWidth="1"/>
    <col min="2330" max="2578" width="9" style="6"/>
    <col min="2579" max="2579" width="12" style="6" customWidth="1"/>
    <col min="2580" max="2580" width="7.125" style="6" customWidth="1"/>
    <col min="2581" max="2581" width="9" style="6"/>
    <col min="2582" max="2582" width="16" style="6" customWidth="1"/>
    <col min="2583" max="2583" width="13.75" style="6" customWidth="1"/>
    <col min="2584" max="2585" width="9.75" style="6" customWidth="1"/>
    <col min="2586" max="2834" width="9" style="6"/>
    <col min="2835" max="2835" width="12" style="6" customWidth="1"/>
    <col min="2836" max="2836" width="7.125" style="6" customWidth="1"/>
    <col min="2837" max="2837" width="9" style="6"/>
    <col min="2838" max="2838" width="16" style="6" customWidth="1"/>
    <col min="2839" max="2839" width="13.75" style="6" customWidth="1"/>
    <col min="2840" max="2841" width="9.75" style="6" customWidth="1"/>
    <col min="2842" max="3090" width="9" style="6"/>
    <col min="3091" max="3091" width="12" style="6" customWidth="1"/>
    <col min="3092" max="3092" width="7.125" style="6" customWidth="1"/>
    <col min="3093" max="3093" width="9" style="6"/>
    <col min="3094" max="3094" width="16" style="6" customWidth="1"/>
    <col min="3095" max="3095" width="13.75" style="6" customWidth="1"/>
    <col min="3096" max="3097" width="9.75" style="6" customWidth="1"/>
    <col min="3098" max="3346" width="9" style="6"/>
    <col min="3347" max="3347" width="12" style="6" customWidth="1"/>
    <col min="3348" max="3348" width="7.125" style="6" customWidth="1"/>
    <col min="3349" max="3349" width="9" style="6"/>
    <col min="3350" max="3350" width="16" style="6" customWidth="1"/>
    <col min="3351" max="3351" width="13.75" style="6" customWidth="1"/>
    <col min="3352" max="3353" width="9.75" style="6" customWidth="1"/>
    <col min="3354" max="3602" width="9" style="6"/>
    <col min="3603" max="3603" width="12" style="6" customWidth="1"/>
    <col min="3604" max="3604" width="7.125" style="6" customWidth="1"/>
    <col min="3605" max="3605" width="9" style="6"/>
    <col min="3606" max="3606" width="16" style="6" customWidth="1"/>
    <col min="3607" max="3607" width="13.75" style="6" customWidth="1"/>
    <col min="3608" max="3609" width="9.75" style="6" customWidth="1"/>
    <col min="3610" max="3858" width="9" style="6"/>
    <col min="3859" max="3859" width="12" style="6" customWidth="1"/>
    <col min="3860" max="3860" width="7.125" style="6" customWidth="1"/>
    <col min="3861" max="3861" width="9" style="6"/>
    <col min="3862" max="3862" width="16" style="6" customWidth="1"/>
    <col min="3863" max="3863" width="13.75" style="6" customWidth="1"/>
    <col min="3864" max="3865" width="9.75" style="6" customWidth="1"/>
    <col min="3866" max="4114" width="9" style="6"/>
    <col min="4115" max="4115" width="12" style="6" customWidth="1"/>
    <col min="4116" max="4116" width="7.125" style="6" customWidth="1"/>
    <col min="4117" max="4117" width="9" style="6"/>
    <col min="4118" max="4118" width="16" style="6" customWidth="1"/>
    <col min="4119" max="4119" width="13.75" style="6" customWidth="1"/>
    <col min="4120" max="4121" width="9.75" style="6" customWidth="1"/>
    <col min="4122" max="4370" width="9" style="6"/>
    <col min="4371" max="4371" width="12" style="6" customWidth="1"/>
    <col min="4372" max="4372" width="7.125" style="6" customWidth="1"/>
    <col min="4373" max="4373" width="9" style="6"/>
    <col min="4374" max="4374" width="16" style="6" customWidth="1"/>
    <col min="4375" max="4375" width="13.75" style="6" customWidth="1"/>
    <col min="4376" max="4377" width="9.75" style="6" customWidth="1"/>
    <col min="4378" max="4626" width="9" style="6"/>
    <col min="4627" max="4627" width="12" style="6" customWidth="1"/>
    <col min="4628" max="4628" width="7.125" style="6" customWidth="1"/>
    <col min="4629" max="4629" width="9" style="6"/>
    <col min="4630" max="4630" width="16" style="6" customWidth="1"/>
    <col min="4631" max="4631" width="13.75" style="6" customWidth="1"/>
    <col min="4632" max="4633" width="9.75" style="6" customWidth="1"/>
    <col min="4634" max="4882" width="9" style="6"/>
    <col min="4883" max="4883" width="12" style="6" customWidth="1"/>
    <col min="4884" max="4884" width="7.125" style="6" customWidth="1"/>
    <col min="4885" max="4885" width="9" style="6"/>
    <col min="4886" max="4886" width="16" style="6" customWidth="1"/>
    <col min="4887" max="4887" width="13.75" style="6" customWidth="1"/>
    <col min="4888" max="4889" width="9.75" style="6" customWidth="1"/>
    <col min="4890" max="5138" width="9" style="6"/>
    <col min="5139" max="5139" width="12" style="6" customWidth="1"/>
    <col min="5140" max="5140" width="7.125" style="6" customWidth="1"/>
    <col min="5141" max="5141" width="9" style="6"/>
    <col min="5142" max="5142" width="16" style="6" customWidth="1"/>
    <col min="5143" max="5143" width="13.75" style="6" customWidth="1"/>
    <col min="5144" max="5145" width="9.75" style="6" customWidth="1"/>
    <col min="5146" max="5394" width="9" style="6"/>
    <col min="5395" max="5395" width="12" style="6" customWidth="1"/>
    <col min="5396" max="5396" width="7.125" style="6" customWidth="1"/>
    <col min="5397" max="5397" width="9" style="6"/>
    <col min="5398" max="5398" width="16" style="6" customWidth="1"/>
    <col min="5399" max="5399" width="13.75" style="6" customWidth="1"/>
    <col min="5400" max="5401" width="9.75" style="6" customWidth="1"/>
    <col min="5402" max="5650" width="9" style="6"/>
    <col min="5651" max="5651" width="12" style="6" customWidth="1"/>
    <col min="5652" max="5652" width="7.125" style="6" customWidth="1"/>
    <col min="5653" max="5653" width="9" style="6"/>
    <col min="5654" max="5654" width="16" style="6" customWidth="1"/>
    <col min="5655" max="5655" width="13.75" style="6" customWidth="1"/>
    <col min="5656" max="5657" width="9.75" style="6" customWidth="1"/>
    <col min="5658" max="5906" width="9" style="6"/>
    <col min="5907" max="5907" width="12" style="6" customWidth="1"/>
    <col min="5908" max="5908" width="7.125" style="6" customWidth="1"/>
    <col min="5909" max="5909" width="9" style="6"/>
    <col min="5910" max="5910" width="16" style="6" customWidth="1"/>
    <col min="5911" max="5911" width="13.75" style="6" customWidth="1"/>
    <col min="5912" max="5913" width="9.75" style="6" customWidth="1"/>
    <col min="5914" max="6162" width="9" style="6"/>
    <col min="6163" max="6163" width="12" style="6" customWidth="1"/>
    <col min="6164" max="6164" width="7.125" style="6" customWidth="1"/>
    <col min="6165" max="6165" width="9" style="6"/>
    <col min="6166" max="6166" width="16" style="6" customWidth="1"/>
    <col min="6167" max="6167" width="13.75" style="6" customWidth="1"/>
    <col min="6168" max="6169" width="9.75" style="6" customWidth="1"/>
    <col min="6170" max="6418" width="9" style="6"/>
    <col min="6419" max="6419" width="12" style="6" customWidth="1"/>
    <col min="6420" max="6420" width="7.125" style="6" customWidth="1"/>
    <col min="6421" max="6421" width="9" style="6"/>
    <col min="6422" max="6422" width="16" style="6" customWidth="1"/>
    <col min="6423" max="6423" width="13.75" style="6" customWidth="1"/>
    <col min="6424" max="6425" width="9.75" style="6" customWidth="1"/>
    <col min="6426" max="6674" width="9" style="6"/>
    <col min="6675" max="6675" width="12" style="6" customWidth="1"/>
    <col min="6676" max="6676" width="7.125" style="6" customWidth="1"/>
    <col min="6677" max="6677" width="9" style="6"/>
    <col min="6678" max="6678" width="16" style="6" customWidth="1"/>
    <col min="6679" max="6679" width="13.75" style="6" customWidth="1"/>
    <col min="6680" max="6681" width="9.75" style="6" customWidth="1"/>
    <col min="6682" max="6930" width="9" style="6"/>
    <col min="6931" max="6931" width="12" style="6" customWidth="1"/>
    <col min="6932" max="6932" width="7.125" style="6" customWidth="1"/>
    <col min="6933" max="6933" width="9" style="6"/>
    <col min="6934" max="6934" width="16" style="6" customWidth="1"/>
    <col min="6935" max="6935" width="13.75" style="6" customWidth="1"/>
    <col min="6936" max="6937" width="9.75" style="6" customWidth="1"/>
    <col min="6938" max="7186" width="9" style="6"/>
    <col min="7187" max="7187" width="12" style="6" customWidth="1"/>
    <col min="7188" max="7188" width="7.125" style="6" customWidth="1"/>
    <col min="7189" max="7189" width="9" style="6"/>
    <col min="7190" max="7190" width="16" style="6" customWidth="1"/>
    <col min="7191" max="7191" width="13.75" style="6" customWidth="1"/>
    <col min="7192" max="7193" width="9.75" style="6" customWidth="1"/>
    <col min="7194" max="7442" width="9" style="6"/>
    <col min="7443" max="7443" width="12" style="6" customWidth="1"/>
    <col min="7444" max="7444" width="7.125" style="6" customWidth="1"/>
    <col min="7445" max="7445" width="9" style="6"/>
    <col min="7446" max="7446" width="16" style="6" customWidth="1"/>
    <col min="7447" max="7447" width="13.75" style="6" customWidth="1"/>
    <col min="7448" max="7449" width="9.75" style="6" customWidth="1"/>
    <col min="7450" max="7698" width="9" style="6"/>
    <col min="7699" max="7699" width="12" style="6" customWidth="1"/>
    <col min="7700" max="7700" width="7.125" style="6" customWidth="1"/>
    <col min="7701" max="7701" width="9" style="6"/>
    <col min="7702" max="7702" width="16" style="6" customWidth="1"/>
    <col min="7703" max="7703" width="13.75" style="6" customWidth="1"/>
    <col min="7704" max="7705" width="9.75" style="6" customWidth="1"/>
    <col min="7706" max="7954" width="9" style="6"/>
    <col min="7955" max="7955" width="12" style="6" customWidth="1"/>
    <col min="7956" max="7956" width="7.125" style="6" customWidth="1"/>
    <col min="7957" max="7957" width="9" style="6"/>
    <col min="7958" max="7958" width="16" style="6" customWidth="1"/>
    <col min="7959" max="7959" width="13.75" style="6" customWidth="1"/>
    <col min="7960" max="7961" width="9.75" style="6" customWidth="1"/>
    <col min="7962" max="8210" width="9" style="6"/>
    <col min="8211" max="8211" width="12" style="6" customWidth="1"/>
    <col min="8212" max="8212" width="7.125" style="6" customWidth="1"/>
    <col min="8213" max="8213" width="9" style="6"/>
    <col min="8214" max="8214" width="16" style="6" customWidth="1"/>
    <col min="8215" max="8215" width="13.75" style="6" customWidth="1"/>
    <col min="8216" max="8217" width="9.75" style="6" customWidth="1"/>
    <col min="8218" max="8466" width="9" style="6"/>
    <col min="8467" max="8467" width="12" style="6" customWidth="1"/>
    <col min="8468" max="8468" width="7.125" style="6" customWidth="1"/>
    <col min="8469" max="8469" width="9" style="6"/>
    <col min="8470" max="8470" width="16" style="6" customWidth="1"/>
    <col min="8471" max="8471" width="13.75" style="6" customWidth="1"/>
    <col min="8472" max="8473" width="9.75" style="6" customWidth="1"/>
    <col min="8474" max="8722" width="9" style="6"/>
    <col min="8723" max="8723" width="12" style="6" customWidth="1"/>
    <col min="8724" max="8724" width="7.125" style="6" customWidth="1"/>
    <col min="8725" max="8725" width="9" style="6"/>
    <col min="8726" max="8726" width="16" style="6" customWidth="1"/>
    <col min="8727" max="8727" width="13.75" style="6" customWidth="1"/>
    <col min="8728" max="8729" width="9.75" style="6" customWidth="1"/>
    <col min="8730" max="8978" width="9" style="6"/>
    <col min="8979" max="8979" width="12" style="6" customWidth="1"/>
    <col min="8980" max="8980" width="7.125" style="6" customWidth="1"/>
    <col min="8981" max="8981" width="9" style="6"/>
    <col min="8982" max="8982" width="16" style="6" customWidth="1"/>
    <col min="8983" max="8983" width="13.75" style="6" customWidth="1"/>
    <col min="8984" max="8985" width="9.75" style="6" customWidth="1"/>
    <col min="8986" max="9234" width="9" style="6"/>
    <col min="9235" max="9235" width="12" style="6" customWidth="1"/>
    <col min="9236" max="9236" width="7.125" style="6" customWidth="1"/>
    <col min="9237" max="9237" width="9" style="6"/>
    <col min="9238" max="9238" width="16" style="6" customWidth="1"/>
    <col min="9239" max="9239" width="13.75" style="6" customWidth="1"/>
    <col min="9240" max="9241" width="9.75" style="6" customWidth="1"/>
    <col min="9242" max="9490" width="9" style="6"/>
    <col min="9491" max="9491" width="12" style="6" customWidth="1"/>
    <col min="9492" max="9492" width="7.125" style="6" customWidth="1"/>
    <col min="9493" max="9493" width="9" style="6"/>
    <col min="9494" max="9494" width="16" style="6" customWidth="1"/>
    <col min="9495" max="9495" width="13.75" style="6" customWidth="1"/>
    <col min="9496" max="9497" width="9.75" style="6" customWidth="1"/>
    <col min="9498" max="9746" width="9" style="6"/>
    <col min="9747" max="9747" width="12" style="6" customWidth="1"/>
    <col min="9748" max="9748" width="7.125" style="6" customWidth="1"/>
    <col min="9749" max="9749" width="9" style="6"/>
    <col min="9750" max="9750" width="16" style="6" customWidth="1"/>
    <col min="9751" max="9751" width="13.75" style="6" customWidth="1"/>
    <col min="9752" max="9753" width="9.75" style="6" customWidth="1"/>
    <col min="9754" max="10002" width="9" style="6"/>
    <col min="10003" max="10003" width="12" style="6" customWidth="1"/>
    <col min="10004" max="10004" width="7.125" style="6" customWidth="1"/>
    <col min="10005" max="10005" width="9" style="6"/>
    <col min="10006" max="10006" width="16" style="6" customWidth="1"/>
    <col min="10007" max="10007" width="13.75" style="6" customWidth="1"/>
    <col min="10008" max="10009" width="9.75" style="6" customWidth="1"/>
    <col min="10010" max="10258" width="9" style="6"/>
    <col min="10259" max="10259" width="12" style="6" customWidth="1"/>
    <col min="10260" max="10260" width="7.125" style="6" customWidth="1"/>
    <col min="10261" max="10261" width="9" style="6"/>
    <col min="10262" max="10262" width="16" style="6" customWidth="1"/>
    <col min="10263" max="10263" width="13.75" style="6" customWidth="1"/>
    <col min="10264" max="10265" width="9.75" style="6" customWidth="1"/>
    <col min="10266" max="10514" width="9" style="6"/>
    <col min="10515" max="10515" width="12" style="6" customWidth="1"/>
    <col min="10516" max="10516" width="7.125" style="6" customWidth="1"/>
    <col min="10517" max="10517" width="9" style="6"/>
    <col min="10518" max="10518" width="16" style="6" customWidth="1"/>
    <col min="10519" max="10519" width="13.75" style="6" customWidth="1"/>
    <col min="10520" max="10521" width="9.75" style="6" customWidth="1"/>
    <col min="10522" max="10770" width="9" style="6"/>
    <col min="10771" max="10771" width="12" style="6" customWidth="1"/>
    <col min="10772" max="10772" width="7.125" style="6" customWidth="1"/>
    <col min="10773" max="10773" width="9" style="6"/>
    <col min="10774" max="10774" width="16" style="6" customWidth="1"/>
    <col min="10775" max="10775" width="13.75" style="6" customWidth="1"/>
    <col min="10776" max="10777" width="9.75" style="6" customWidth="1"/>
    <col min="10778" max="11026" width="9" style="6"/>
    <col min="11027" max="11027" width="12" style="6" customWidth="1"/>
    <col min="11028" max="11028" width="7.125" style="6" customWidth="1"/>
    <col min="11029" max="11029" width="9" style="6"/>
    <col min="11030" max="11030" width="16" style="6" customWidth="1"/>
    <col min="11031" max="11031" width="13.75" style="6" customWidth="1"/>
    <col min="11032" max="11033" width="9.75" style="6" customWidth="1"/>
    <col min="11034" max="11282" width="9" style="6"/>
    <col min="11283" max="11283" width="12" style="6" customWidth="1"/>
    <col min="11284" max="11284" width="7.125" style="6" customWidth="1"/>
    <col min="11285" max="11285" width="9" style="6"/>
    <col min="11286" max="11286" width="16" style="6" customWidth="1"/>
    <col min="11287" max="11287" width="13.75" style="6" customWidth="1"/>
    <col min="11288" max="11289" width="9.75" style="6" customWidth="1"/>
    <col min="11290" max="11538" width="9" style="6"/>
    <col min="11539" max="11539" width="12" style="6" customWidth="1"/>
    <col min="11540" max="11540" width="7.125" style="6" customWidth="1"/>
    <col min="11541" max="11541" width="9" style="6"/>
    <col min="11542" max="11542" width="16" style="6" customWidth="1"/>
    <col min="11543" max="11543" width="13.75" style="6" customWidth="1"/>
    <col min="11544" max="11545" width="9.75" style="6" customWidth="1"/>
    <col min="11546" max="11794" width="9" style="6"/>
    <col min="11795" max="11795" width="12" style="6" customWidth="1"/>
    <col min="11796" max="11796" width="7.125" style="6" customWidth="1"/>
    <col min="11797" max="11797" width="9" style="6"/>
    <col min="11798" max="11798" width="16" style="6" customWidth="1"/>
    <col min="11799" max="11799" width="13.75" style="6" customWidth="1"/>
    <col min="11800" max="11801" width="9.75" style="6" customWidth="1"/>
    <col min="11802" max="12050" width="9" style="6"/>
    <col min="12051" max="12051" width="12" style="6" customWidth="1"/>
    <col min="12052" max="12052" width="7.125" style="6" customWidth="1"/>
    <col min="12053" max="12053" width="9" style="6"/>
    <col min="12054" max="12054" width="16" style="6" customWidth="1"/>
    <col min="12055" max="12055" width="13.75" style="6" customWidth="1"/>
    <col min="12056" max="12057" width="9.75" style="6" customWidth="1"/>
    <col min="12058" max="12306" width="9" style="6"/>
    <col min="12307" max="12307" width="12" style="6" customWidth="1"/>
    <col min="12308" max="12308" width="7.125" style="6" customWidth="1"/>
    <col min="12309" max="12309" width="9" style="6"/>
    <col min="12310" max="12310" width="16" style="6" customWidth="1"/>
    <col min="12311" max="12311" width="13.75" style="6" customWidth="1"/>
    <col min="12312" max="12313" width="9.75" style="6" customWidth="1"/>
    <col min="12314" max="12562" width="9" style="6"/>
    <col min="12563" max="12563" width="12" style="6" customWidth="1"/>
    <col min="12564" max="12564" width="7.125" style="6" customWidth="1"/>
    <col min="12565" max="12565" width="9" style="6"/>
    <col min="12566" max="12566" width="16" style="6" customWidth="1"/>
    <col min="12567" max="12567" width="13.75" style="6" customWidth="1"/>
    <col min="12568" max="12569" width="9.75" style="6" customWidth="1"/>
    <col min="12570" max="12818" width="9" style="6"/>
    <col min="12819" max="12819" width="12" style="6" customWidth="1"/>
    <col min="12820" max="12820" width="7.125" style="6" customWidth="1"/>
    <col min="12821" max="12821" width="9" style="6"/>
    <col min="12822" max="12822" width="16" style="6" customWidth="1"/>
    <col min="12823" max="12823" width="13.75" style="6" customWidth="1"/>
    <col min="12824" max="12825" width="9.75" style="6" customWidth="1"/>
    <col min="12826" max="13074" width="9" style="6"/>
    <col min="13075" max="13075" width="12" style="6" customWidth="1"/>
    <col min="13076" max="13076" width="7.125" style="6" customWidth="1"/>
    <col min="13077" max="13077" width="9" style="6"/>
    <col min="13078" max="13078" width="16" style="6" customWidth="1"/>
    <col min="13079" max="13079" width="13.75" style="6" customWidth="1"/>
    <col min="13080" max="13081" width="9.75" style="6" customWidth="1"/>
    <col min="13082" max="13330" width="9" style="6"/>
    <col min="13331" max="13331" width="12" style="6" customWidth="1"/>
    <col min="13332" max="13332" width="7.125" style="6" customWidth="1"/>
    <col min="13333" max="13333" width="9" style="6"/>
    <col min="13334" max="13334" width="16" style="6" customWidth="1"/>
    <col min="13335" max="13335" width="13.75" style="6" customWidth="1"/>
    <col min="13336" max="13337" width="9.75" style="6" customWidth="1"/>
    <col min="13338" max="13586" width="9" style="6"/>
    <col min="13587" max="13587" width="12" style="6" customWidth="1"/>
    <col min="13588" max="13588" width="7.125" style="6" customWidth="1"/>
    <col min="13589" max="13589" width="9" style="6"/>
    <col min="13590" max="13590" width="16" style="6" customWidth="1"/>
    <col min="13591" max="13591" width="13.75" style="6" customWidth="1"/>
    <col min="13592" max="13593" width="9.75" style="6" customWidth="1"/>
    <col min="13594" max="13842" width="9" style="6"/>
    <col min="13843" max="13843" width="12" style="6" customWidth="1"/>
    <col min="13844" max="13844" width="7.125" style="6" customWidth="1"/>
    <col min="13845" max="13845" width="9" style="6"/>
    <col min="13846" max="13846" width="16" style="6" customWidth="1"/>
    <col min="13847" max="13847" width="13.75" style="6" customWidth="1"/>
    <col min="13848" max="13849" width="9.75" style="6" customWidth="1"/>
    <col min="13850" max="14098" width="9" style="6"/>
    <col min="14099" max="14099" width="12" style="6" customWidth="1"/>
    <col min="14100" max="14100" width="7.125" style="6" customWidth="1"/>
    <col min="14101" max="14101" width="9" style="6"/>
    <col min="14102" max="14102" width="16" style="6" customWidth="1"/>
    <col min="14103" max="14103" width="13.75" style="6" customWidth="1"/>
    <col min="14104" max="14105" width="9.75" style="6" customWidth="1"/>
    <col min="14106" max="14354" width="9" style="6"/>
    <col min="14355" max="14355" width="12" style="6" customWidth="1"/>
    <col min="14356" max="14356" width="7.125" style="6" customWidth="1"/>
    <col min="14357" max="14357" width="9" style="6"/>
    <col min="14358" max="14358" width="16" style="6" customWidth="1"/>
    <col min="14359" max="14359" width="13.75" style="6" customWidth="1"/>
    <col min="14360" max="14361" width="9.75" style="6" customWidth="1"/>
    <col min="14362" max="14610" width="9" style="6"/>
    <col min="14611" max="14611" width="12" style="6" customWidth="1"/>
    <col min="14612" max="14612" width="7.125" style="6" customWidth="1"/>
    <col min="14613" max="14613" width="9" style="6"/>
    <col min="14614" max="14614" width="16" style="6" customWidth="1"/>
    <col min="14615" max="14615" width="13.75" style="6" customWidth="1"/>
    <col min="14616" max="14617" width="9.75" style="6" customWidth="1"/>
    <col min="14618" max="14866" width="9" style="6"/>
    <col min="14867" max="14867" width="12" style="6" customWidth="1"/>
    <col min="14868" max="14868" width="7.125" style="6" customWidth="1"/>
    <col min="14869" max="14869" width="9" style="6"/>
    <col min="14870" max="14870" width="16" style="6" customWidth="1"/>
    <col min="14871" max="14871" width="13.75" style="6" customWidth="1"/>
    <col min="14872" max="14873" width="9.75" style="6" customWidth="1"/>
    <col min="14874" max="15122" width="9" style="6"/>
    <col min="15123" max="15123" width="12" style="6" customWidth="1"/>
    <col min="15124" max="15124" width="7.125" style="6" customWidth="1"/>
    <col min="15125" max="15125" width="9" style="6"/>
    <col min="15126" max="15126" width="16" style="6" customWidth="1"/>
    <col min="15127" max="15127" width="13.75" style="6" customWidth="1"/>
    <col min="15128" max="15129" width="9.75" style="6" customWidth="1"/>
    <col min="15130" max="15378" width="9" style="6"/>
    <col min="15379" max="15379" width="12" style="6" customWidth="1"/>
    <col min="15380" max="15380" width="7.125" style="6" customWidth="1"/>
    <col min="15381" max="15381" width="9" style="6"/>
    <col min="15382" max="15382" width="16" style="6" customWidth="1"/>
    <col min="15383" max="15383" width="13.75" style="6" customWidth="1"/>
    <col min="15384" max="15385" width="9.75" style="6" customWidth="1"/>
    <col min="15386" max="15634" width="9" style="6"/>
    <col min="15635" max="15635" width="12" style="6" customWidth="1"/>
    <col min="15636" max="15636" width="7.125" style="6" customWidth="1"/>
    <col min="15637" max="15637" width="9" style="6"/>
    <col min="15638" max="15638" width="16" style="6" customWidth="1"/>
    <col min="15639" max="15639" width="13.75" style="6" customWidth="1"/>
    <col min="15640" max="15641" width="9.75" style="6" customWidth="1"/>
    <col min="15642" max="15890" width="9" style="6"/>
    <col min="15891" max="15891" width="12" style="6" customWidth="1"/>
    <col min="15892" max="15892" width="7.125" style="6" customWidth="1"/>
    <col min="15893" max="15893" width="9" style="6"/>
    <col min="15894" max="15894" width="16" style="6" customWidth="1"/>
    <col min="15895" max="15895" width="13.75" style="6" customWidth="1"/>
    <col min="15896" max="15897" width="9.75" style="6" customWidth="1"/>
    <col min="15898" max="16146" width="9" style="6"/>
    <col min="16147" max="16147" width="12" style="6" customWidth="1"/>
    <col min="16148" max="16148" width="7.125" style="6" customWidth="1"/>
    <col min="16149" max="16149" width="9" style="6"/>
    <col min="16150" max="16150" width="16" style="6" customWidth="1"/>
    <col min="16151" max="16151" width="13.75" style="6" customWidth="1"/>
    <col min="16152" max="16153" width="9.75" style="6" customWidth="1"/>
    <col min="16154" max="16384" width="9" style="6"/>
  </cols>
  <sheetData>
    <row r="1" spans="1:28" s="2" customFormat="1" ht="23.25" customHeight="1" thickBot="1">
      <c r="A1" s="1" t="e">
        <f>IF(SUM(2:2)=0,"OK","NOK")</f>
        <v>#DIV/0!</v>
      </c>
      <c r="F1" s="43" t="s">
        <v>11</v>
      </c>
      <c r="G1" s="1085" t="s">
        <v>20</v>
      </c>
      <c r="H1" s="1086"/>
      <c r="I1" s="1085" t="s">
        <v>8084</v>
      </c>
      <c r="J1" s="1086"/>
      <c r="K1" s="1085" t="s">
        <v>28</v>
      </c>
      <c r="L1" s="1086"/>
      <c r="M1" s="1085" t="s">
        <v>30</v>
      </c>
      <c r="N1" s="1086"/>
      <c r="O1" s="1085" t="s">
        <v>31</v>
      </c>
      <c r="P1" s="1086"/>
      <c r="Q1" s="1085" t="s">
        <v>35</v>
      </c>
      <c r="R1" s="1086"/>
      <c r="S1" s="1085" t="s">
        <v>24</v>
      </c>
      <c r="T1" s="1086"/>
      <c r="U1" s="1085" t="s">
        <v>8204</v>
      </c>
      <c r="V1" s="1086"/>
      <c r="W1" s="1085" t="s">
        <v>8206</v>
      </c>
      <c r="X1" s="1086"/>
      <c r="Y1" s="1085" t="s">
        <v>8205</v>
      </c>
      <c r="Z1" s="1086"/>
      <c r="AA1" s="44"/>
      <c r="AB1" s="48" t="s">
        <v>10</v>
      </c>
    </row>
    <row r="2" spans="1:28" ht="13.5" thickBot="1">
      <c r="A2" s="3"/>
      <c r="B2" s="3"/>
      <c r="C2" s="3"/>
      <c r="D2" s="3"/>
      <c r="E2" s="3"/>
      <c r="F2" s="2"/>
      <c r="G2" s="4" t="s">
        <v>0</v>
      </c>
      <c r="H2" s="5">
        <f>SUMX2MY2(G5:G3080,H5:H3080)</f>
        <v>3.2014213502407074E-10</v>
      </c>
      <c r="I2" s="4" t="s">
        <v>0</v>
      </c>
      <c r="J2" s="5">
        <f>SUMX2MY2(I5:I3080,J5:J3080)</f>
        <v>0</v>
      </c>
      <c r="K2" s="4" t="s">
        <v>0</v>
      </c>
      <c r="L2" s="5" t="e">
        <f>SUMX2MY2(K5:K3080,L5:L3080)</f>
        <v>#DIV/0!</v>
      </c>
      <c r="M2" s="4" t="s">
        <v>0</v>
      </c>
      <c r="N2" s="5" t="e">
        <f>SUMX2MY2(M5:M3080,N5:N3080)</f>
        <v>#N/A</v>
      </c>
      <c r="O2" s="4" t="s">
        <v>0</v>
      </c>
      <c r="P2" s="5">
        <f>SUMX2MY2(O5:O3080,P5:P3080)</f>
        <v>3.6472561082412369E-14</v>
      </c>
      <c r="Q2" s="4" t="s">
        <v>0</v>
      </c>
      <c r="R2" s="5">
        <f>SUMX2MY2(Q5:Q3080,R5:R3080)</f>
        <v>0</v>
      </c>
      <c r="S2" s="4" t="s">
        <v>0</v>
      </c>
      <c r="T2" s="5" t="e">
        <f>SUMX2MY2(S5:S3080,T5:T3080)</f>
        <v>#DIV/0!</v>
      </c>
      <c r="U2" s="4" t="s">
        <v>0</v>
      </c>
      <c r="V2" s="5" t="e">
        <f>SUMX2MY2(U5:U3101,V5:V3101)</f>
        <v>#DIV/0!</v>
      </c>
      <c r="W2" s="513" t="s">
        <v>0</v>
      </c>
      <c r="X2" s="183" t="e">
        <f>SUMX2MY2(W5:W3766,X5:X3766)</f>
        <v>#DIV/0!</v>
      </c>
      <c r="Y2" s="513" t="s">
        <v>0</v>
      </c>
      <c r="Z2" s="183" t="e">
        <f>SUMX2MY2(Y5:Y3766,Z5:Z3766)</f>
        <v>#DIV/0!</v>
      </c>
    </row>
    <row r="3" spans="1:28" ht="27.75" customHeight="1">
      <c r="A3" s="35" t="s">
        <v>1</v>
      </c>
      <c r="B3" s="36" t="s">
        <v>2</v>
      </c>
      <c r="C3" s="36" t="s">
        <v>3</v>
      </c>
      <c r="D3" s="36" t="s">
        <v>4</v>
      </c>
      <c r="E3" s="1087" t="s">
        <v>7</v>
      </c>
      <c r="F3" s="1088"/>
      <c r="G3" s="7" t="s">
        <v>5</v>
      </c>
      <c r="H3" s="8" t="s">
        <v>6</v>
      </c>
      <c r="I3" s="7" t="s">
        <v>5</v>
      </c>
      <c r="J3" s="8" t="s">
        <v>6</v>
      </c>
      <c r="K3" s="7" t="s">
        <v>5</v>
      </c>
      <c r="L3" s="8" t="s">
        <v>6</v>
      </c>
      <c r="M3" s="7" t="s">
        <v>5</v>
      </c>
      <c r="N3" s="8" t="s">
        <v>6</v>
      </c>
      <c r="O3" s="7" t="s">
        <v>5</v>
      </c>
      <c r="P3" s="8" t="s">
        <v>6</v>
      </c>
      <c r="Q3" s="7" t="s">
        <v>5</v>
      </c>
      <c r="R3" s="8" t="s">
        <v>6</v>
      </c>
      <c r="S3" s="7" t="s">
        <v>5</v>
      </c>
      <c r="T3" s="8" t="s">
        <v>6</v>
      </c>
      <c r="U3" s="7" t="s">
        <v>5</v>
      </c>
      <c r="V3" s="8" t="s">
        <v>6</v>
      </c>
      <c r="W3" s="515" t="s">
        <v>5</v>
      </c>
      <c r="X3" s="516" t="s">
        <v>6</v>
      </c>
      <c r="Y3" s="515" t="s">
        <v>5</v>
      </c>
      <c r="Z3" s="516" t="s">
        <v>6</v>
      </c>
    </row>
    <row r="4" spans="1:28" ht="15.75" customHeight="1" thickBot="1">
      <c r="A4" s="738"/>
      <c r="B4" s="739"/>
      <c r="C4" s="739"/>
      <c r="D4" s="739"/>
      <c r="E4" s="41" t="s">
        <v>9</v>
      </c>
      <c r="F4" s="42" t="s">
        <v>8</v>
      </c>
      <c r="G4" s="38">
        <v>0</v>
      </c>
      <c r="H4" s="39">
        <v>0</v>
      </c>
      <c r="I4" s="38">
        <v>0</v>
      </c>
      <c r="J4" s="39">
        <v>0</v>
      </c>
      <c r="K4" s="38">
        <v>0</v>
      </c>
      <c r="L4" s="39">
        <v>0</v>
      </c>
      <c r="M4" s="38">
        <v>0</v>
      </c>
      <c r="N4" s="39">
        <v>0</v>
      </c>
      <c r="O4" s="38">
        <v>0</v>
      </c>
      <c r="P4" s="39">
        <v>0</v>
      </c>
      <c r="Q4" s="38">
        <v>0</v>
      </c>
      <c r="R4" s="39">
        <v>0</v>
      </c>
      <c r="S4" s="38">
        <v>0</v>
      </c>
      <c r="T4" s="39">
        <v>0</v>
      </c>
      <c r="U4" s="38">
        <v>0</v>
      </c>
      <c r="V4" s="39">
        <v>0</v>
      </c>
      <c r="W4" s="531">
        <v>0</v>
      </c>
      <c r="X4" s="532">
        <v>0</v>
      </c>
      <c r="Y4" s="531">
        <v>0</v>
      </c>
      <c r="Z4" s="532">
        <v>0</v>
      </c>
    </row>
    <row r="5" spans="1:28">
      <c r="A5" s="776" t="str">
        <f>VLOOKUP(F5,Valve_from_BP!$O:$AE,2,0)</f>
        <v>FICZ2011.pdf</v>
      </c>
      <c r="B5" s="757"/>
      <c r="C5" s="807" t="s">
        <v>799</v>
      </c>
      <c r="D5" s="773"/>
      <c r="E5" s="724"/>
      <c r="F5" s="465" t="s">
        <v>6621</v>
      </c>
      <c r="G5" s="194">
        <v>1.5</v>
      </c>
      <c r="H5" s="460">
        <f>VLOOKUP(F5,Valve_from_BP!$O:$AE,3,0)</f>
        <v>1.5</v>
      </c>
      <c r="I5" s="194">
        <v>1</v>
      </c>
      <c r="J5" s="13">
        <f>VLOOKUP($F5,Valve_from_BP!$O:$AE,5,0)</f>
        <v>1</v>
      </c>
      <c r="K5" s="194" t="b">
        <v>0</v>
      </c>
      <c r="L5" s="13">
        <f>VLOOKUP($F5,Valve_from_BP!$O:$AE,9,0)</f>
        <v>0</v>
      </c>
      <c r="M5" s="194" t="b">
        <v>0</v>
      </c>
      <c r="N5" s="13">
        <f>VLOOKUP($F5,Valve_from_BP!$O:$AE,10,0)</f>
        <v>0</v>
      </c>
      <c r="O5" s="194">
        <v>1</v>
      </c>
      <c r="P5" s="13"/>
      <c r="Q5" s="194">
        <v>2</v>
      </c>
      <c r="R5" s="13">
        <v>2</v>
      </c>
      <c r="S5" s="783" t="s">
        <v>10381</v>
      </c>
      <c r="T5" s="13"/>
      <c r="U5" s="19">
        <v>0</v>
      </c>
      <c r="V5" s="13"/>
      <c r="W5" s="524">
        <v>0</v>
      </c>
      <c r="X5" s="460"/>
      <c r="Y5" s="524">
        <v>2138934.0867432798</v>
      </c>
      <c r="Z5" s="460"/>
    </row>
    <row r="6" spans="1:28">
      <c r="A6" s="776" t="str">
        <f>VLOOKUP(F6,Valve_from_BP!$O:$AE,2,0)</f>
        <v>LICAZ1031.pdf</v>
      </c>
      <c r="B6" s="757"/>
      <c r="C6" s="807" t="s">
        <v>8011</v>
      </c>
      <c r="D6" s="773"/>
      <c r="E6" s="724"/>
      <c r="F6" s="465" t="s">
        <v>8011</v>
      </c>
      <c r="G6" s="194">
        <v>7.51</v>
      </c>
      <c r="H6" s="460">
        <f>VLOOKUP(F6,Valve_from_BP!$O:$AE,3,0)</f>
        <v>7.51</v>
      </c>
      <c r="I6" s="194">
        <v>1</v>
      </c>
      <c r="J6" s="460">
        <f>VLOOKUP($F6,Valve_from_BP!$O:$AE,5,0)</f>
        <v>1</v>
      </c>
      <c r="K6" s="194" t="b">
        <v>0</v>
      </c>
      <c r="L6" s="460">
        <f>VLOOKUP($F6,Valve_from_BP!$O:$AE,9,0)</f>
        <v>0</v>
      </c>
      <c r="M6" s="194" t="b">
        <v>0</v>
      </c>
      <c r="N6" s="460">
        <f>VLOOKUP($F6,Valve_from_BP!$O:$AE,10,0)</f>
        <v>0</v>
      </c>
      <c r="O6" s="194">
        <v>1</v>
      </c>
      <c r="P6" s="13"/>
      <c r="Q6" s="194">
        <v>2</v>
      </c>
      <c r="R6" s="13">
        <v>2</v>
      </c>
      <c r="S6" s="783" t="s">
        <v>10381</v>
      </c>
      <c r="T6" s="13"/>
      <c r="U6" s="19">
        <v>33.255844078114599</v>
      </c>
      <c r="V6" s="13"/>
      <c r="W6" s="524">
        <v>1.46559657327036E-4</v>
      </c>
      <c r="X6" s="460"/>
      <c r="Y6" s="524">
        <v>135571.372254955</v>
      </c>
      <c r="Z6" s="460"/>
    </row>
    <row r="7" spans="1:28">
      <c r="A7" s="776" t="str">
        <f>VLOOKUP(F7,Valve_from_BP!$O:$AE,2,0)</f>
        <v>PCVz3027  0665-29864.pdf</v>
      </c>
      <c r="B7" s="757"/>
      <c r="C7" s="807" t="s">
        <v>5763</v>
      </c>
      <c r="D7" s="773" t="s">
        <v>5769</v>
      </c>
      <c r="E7" s="724"/>
      <c r="F7" s="465" t="s">
        <v>5763</v>
      </c>
      <c r="G7" s="194">
        <v>12.371</v>
      </c>
      <c r="H7" s="460">
        <f>VLOOKUP(F7,Valve_from_BP!$O:$AE,3,0)</f>
        <v>12.371</v>
      </c>
      <c r="I7" s="194">
        <v>0</v>
      </c>
      <c r="J7" s="460">
        <f>VLOOKUP($F7,Valve_from_BP!$O:$AE,5,0)</f>
        <v>0</v>
      </c>
      <c r="K7" s="194" t="b">
        <v>0</v>
      </c>
      <c r="L7" s="460">
        <f>VLOOKUP($F7,Valve_from_BP!$O:$AE,9,0)</f>
        <v>0</v>
      </c>
      <c r="M7" s="194" t="b">
        <v>0</v>
      </c>
      <c r="N7" s="460">
        <f>VLOOKUP($F7,Valve_from_BP!$O:$AE,10,0)</f>
        <v>0</v>
      </c>
      <c r="O7" s="194">
        <v>0</v>
      </c>
      <c r="P7" s="13"/>
      <c r="Q7" s="194">
        <v>2</v>
      </c>
      <c r="R7" s="13">
        <v>2</v>
      </c>
      <c r="S7" s="783" t="s">
        <v>10381</v>
      </c>
      <c r="T7" s="13"/>
      <c r="U7" s="19">
        <v>31.0585339117691</v>
      </c>
      <c r="V7" s="13"/>
      <c r="W7" s="524">
        <v>3.15080211221084E-4</v>
      </c>
      <c r="X7" s="460"/>
      <c r="Y7" s="524">
        <v>262222.58191585401</v>
      </c>
      <c r="Z7" s="460"/>
    </row>
    <row r="8" spans="1:28">
      <c r="A8" s="776" t="str">
        <f>VLOOKUP(F8,Valve_from_BP!$O:$AE,2,0)</f>
        <v>LICAZ4003.pdf</v>
      </c>
      <c r="B8" s="757"/>
      <c r="C8" s="808" t="s">
        <v>7886</v>
      </c>
      <c r="D8" s="773"/>
      <c r="E8" s="724"/>
      <c r="F8" s="465" t="s">
        <v>7886</v>
      </c>
      <c r="G8" s="194">
        <v>39.200000000000003</v>
      </c>
      <c r="H8" s="460">
        <f>VLOOKUP(F8,Valve_from_BP!$O:$AE,3,0)</f>
        <v>39.200000000000003</v>
      </c>
      <c r="I8" s="194">
        <v>1</v>
      </c>
      <c r="J8" s="460">
        <f>VLOOKUP($F8,Valve_from_BP!$O:$AE,5,0)</f>
        <v>1</v>
      </c>
      <c r="K8" s="194" t="b">
        <v>0</v>
      </c>
      <c r="L8" s="460">
        <f>VLOOKUP($F8,Valve_from_BP!$O:$AE,9,0)</f>
        <v>0</v>
      </c>
      <c r="M8" s="194" t="b">
        <v>0</v>
      </c>
      <c r="N8" s="460">
        <f>VLOOKUP($F8,Valve_from_BP!$O:$AE,10,0)</f>
        <v>0</v>
      </c>
      <c r="O8" s="194">
        <v>1</v>
      </c>
      <c r="P8" s="13"/>
      <c r="Q8" s="194">
        <v>2</v>
      </c>
      <c r="R8" s="13">
        <v>2</v>
      </c>
      <c r="S8" s="783" t="s">
        <v>10381</v>
      </c>
      <c r="T8" s="13"/>
      <c r="U8" s="19">
        <v>64.512239316890003</v>
      </c>
      <c r="V8" s="13"/>
      <c r="W8" s="524">
        <v>4.0476842440241396E-3</v>
      </c>
      <c r="X8" s="460"/>
      <c r="Y8" s="524">
        <v>406137.057086988</v>
      </c>
      <c r="Z8" s="460"/>
    </row>
    <row r="9" spans="1:28">
      <c r="A9" s="776" t="str">
        <f>VLOOKUP(F9,Valve_from_BP!$O:$AE,2,0)</f>
        <v>PICZ5007AB.pdf, 3/4</v>
      </c>
      <c r="B9" s="757"/>
      <c r="C9" s="808" t="s">
        <v>6596</v>
      </c>
      <c r="D9" s="773"/>
      <c r="E9" s="724"/>
      <c r="F9" s="465" t="s">
        <v>6596</v>
      </c>
      <c r="G9" s="194">
        <v>39.200000000000003</v>
      </c>
      <c r="H9" s="460">
        <f>VLOOKUP(F9,Valve_from_BP!$O:$AE,3,0)</f>
        <v>39.200000000000003</v>
      </c>
      <c r="I9" s="194">
        <v>1</v>
      </c>
      <c r="J9" s="460">
        <f>VLOOKUP($F9,Valve_from_BP!$O:$AE,5,0)</f>
        <v>1</v>
      </c>
      <c r="K9" s="194" t="b">
        <v>1</v>
      </c>
      <c r="L9" s="460">
        <f>VLOOKUP($F9,Valve_from_BP!$O:$AE,9,0)</f>
        <v>1</v>
      </c>
      <c r="M9" s="194" t="b">
        <v>0</v>
      </c>
      <c r="N9" s="460">
        <f>VLOOKUP($F9,Valve_from_BP!$O:$AE,10,0)</f>
        <v>0</v>
      </c>
      <c r="O9" s="194">
        <v>1</v>
      </c>
      <c r="P9" s="13"/>
      <c r="Q9" s="194">
        <v>2</v>
      </c>
      <c r="R9" s="13">
        <v>2</v>
      </c>
      <c r="S9" s="783" t="s">
        <v>10381</v>
      </c>
      <c r="T9" s="13"/>
      <c r="U9" s="19">
        <v>0</v>
      </c>
      <c r="V9" s="13"/>
      <c r="W9" s="524">
        <v>0</v>
      </c>
      <c r="X9" s="460"/>
      <c r="Y9" s="524">
        <v>411020.85671534803</v>
      </c>
      <c r="Z9" s="460"/>
    </row>
    <row r="10" spans="1:28">
      <c r="A10" s="776">
        <f>VLOOKUP(F10,Valve_from_BP!$O:$AE,2,0)</f>
        <v>0</v>
      </c>
      <c r="B10" s="757"/>
      <c r="C10" s="808" t="s">
        <v>8030</v>
      </c>
      <c r="D10" s="773"/>
      <c r="E10" s="724"/>
      <c r="F10" s="465" t="s">
        <v>8030</v>
      </c>
      <c r="G10" s="194">
        <v>44</v>
      </c>
      <c r="H10" s="460">
        <f>VLOOKUP(F10,Valve_from_BP!$O:$AE,3,0)</f>
        <v>44</v>
      </c>
      <c r="I10" s="194">
        <v>0</v>
      </c>
      <c r="J10" s="460">
        <f>VLOOKUP($F10,Valve_from_BP!$O:$AE,5,0)</f>
        <v>0</v>
      </c>
      <c r="K10" s="194" t="b">
        <v>1</v>
      </c>
      <c r="L10" s="460">
        <f>VLOOKUP($F10,Valve_from_BP!$O:$AE,9,0)</f>
        <v>1</v>
      </c>
      <c r="M10" s="194" t="b">
        <v>0</v>
      </c>
      <c r="N10" s="460">
        <f>VLOOKUP($F10,Valve_from_BP!$O:$AE,10,0)</f>
        <v>0</v>
      </c>
      <c r="O10" s="194">
        <v>1</v>
      </c>
      <c r="P10" s="13"/>
      <c r="Q10" s="194">
        <v>2</v>
      </c>
      <c r="R10" s="13">
        <v>2</v>
      </c>
      <c r="S10" s="783" t="s">
        <v>10381</v>
      </c>
      <c r="T10" s="13"/>
      <c r="U10" s="19">
        <v>100</v>
      </c>
      <c r="V10" s="13"/>
      <c r="W10" s="524">
        <v>0.38059852804807498</v>
      </c>
      <c r="X10" s="460"/>
      <c r="Y10" s="524">
        <v>2500000</v>
      </c>
      <c r="Z10" s="804"/>
    </row>
    <row r="11" spans="1:28">
      <c r="A11" s="776" t="str">
        <f>VLOOKUP(F11,Valve_from_BP!$O:$AE,2,0)</f>
        <v>PICZ2005.pdf</v>
      </c>
      <c r="B11" s="757"/>
      <c r="C11" s="807" t="s">
        <v>6604</v>
      </c>
      <c r="D11" s="773"/>
      <c r="E11" s="724"/>
      <c r="F11" s="465" t="s">
        <v>6604</v>
      </c>
      <c r="G11" s="744">
        <v>52</v>
      </c>
      <c r="H11" s="460">
        <f>VLOOKUP(F11,Valve_from_BP!$O:$AE,3,0)</f>
        <v>52</v>
      </c>
      <c r="I11" s="744">
        <v>0</v>
      </c>
      <c r="J11" s="460">
        <f>VLOOKUP($F11,Valve_from_BP!$O:$AE,5,0)</f>
        <v>0</v>
      </c>
      <c r="K11" s="744" t="b">
        <v>0</v>
      </c>
      <c r="L11" s="460">
        <f>VLOOKUP($F11,Valve_from_BP!$O:$AE,9,0)</f>
        <v>0</v>
      </c>
      <c r="M11" s="744" t="b">
        <v>0</v>
      </c>
      <c r="N11" s="460">
        <f>VLOOKUP($F11,Valve_from_BP!$O:$AE,10,0)</f>
        <v>0</v>
      </c>
      <c r="O11" s="744">
        <v>1</v>
      </c>
      <c r="P11" s="13"/>
      <c r="Q11" s="744">
        <v>2</v>
      </c>
      <c r="R11" s="13">
        <v>2</v>
      </c>
      <c r="S11" s="783" t="s">
        <v>10381</v>
      </c>
      <c r="T11" s="13"/>
      <c r="U11" s="744">
        <v>44.245163696131797</v>
      </c>
      <c r="V11" s="13"/>
      <c r="W11" s="744">
        <v>1.7483157259083901E-3</v>
      </c>
      <c r="X11" s="460"/>
      <c r="Y11" s="744">
        <v>98042.591856996907</v>
      </c>
      <c r="Z11" s="460"/>
    </row>
    <row r="12" spans="1:28">
      <c r="A12" s="776">
        <f>VLOOKUP(F12,Valve_from_BP!$O:$AE,2,0)</f>
        <v>0</v>
      </c>
      <c r="B12" s="757"/>
      <c r="C12" s="807" t="s">
        <v>6610</v>
      </c>
      <c r="D12" s="773"/>
      <c r="E12" s="724"/>
      <c r="F12" s="465" t="s">
        <v>6610</v>
      </c>
      <c r="G12" s="194">
        <v>100</v>
      </c>
      <c r="H12" s="460">
        <f>VLOOKUP(F12,Valve_from_BP!$O:$AE,3,0)</f>
        <v>100</v>
      </c>
      <c r="I12" s="194">
        <v>1</v>
      </c>
      <c r="J12" s="460">
        <f>VLOOKUP($F12,Valve_from_BP!$O:$AE,5,0)</f>
        <v>1</v>
      </c>
      <c r="K12" s="194" t="b">
        <v>0</v>
      </c>
      <c r="L12" s="460">
        <f>VLOOKUP($F12,Valve_from_BP!$O:$AE,9,0)</f>
        <v>0</v>
      </c>
      <c r="M12" s="194" t="b">
        <v>0</v>
      </c>
      <c r="N12" s="460">
        <f>VLOOKUP($F12,Valve_from_BP!$O:$AE,10,0)</f>
        <v>0</v>
      </c>
      <c r="O12" s="194">
        <v>0.25</v>
      </c>
      <c r="P12" s="13"/>
      <c r="Q12" s="194">
        <v>2</v>
      </c>
      <c r="R12" s="13">
        <v>2</v>
      </c>
      <c r="S12" s="783" t="s">
        <v>10381</v>
      </c>
      <c r="T12" s="13"/>
      <c r="U12" s="19">
        <v>68.229785476802405</v>
      </c>
      <c r="V12" s="13"/>
      <c r="W12" s="524">
        <v>9.2693423277976899E-3</v>
      </c>
      <c r="X12" s="460"/>
      <c r="Y12" s="524">
        <v>201308.59150925899</v>
      </c>
      <c r="Z12" s="460"/>
    </row>
    <row r="13" spans="1:28">
      <c r="A13" s="776" t="str">
        <f>VLOOKUP(F13,Valve_from_BP!$O:$AE,2,0)</f>
        <v>FICZ1069-70-71.pdf; 5/7</v>
      </c>
      <c r="B13" s="762"/>
      <c r="C13" s="807" t="s">
        <v>747</v>
      </c>
      <c r="D13" s="773"/>
      <c r="E13" s="459"/>
      <c r="F13" s="465" t="s">
        <v>747</v>
      </c>
      <c r="G13" s="744">
        <v>105</v>
      </c>
      <c r="H13" s="460">
        <f>VLOOKUP(F13,Valve_from_BP!$O:$AE,3,0)</f>
        <v>105</v>
      </c>
      <c r="I13" s="744">
        <v>1</v>
      </c>
      <c r="J13" s="460">
        <f>VLOOKUP($F13,Valve_from_BP!$O:$AE,5,0)</f>
        <v>1</v>
      </c>
      <c r="K13" s="744" t="b">
        <v>1</v>
      </c>
      <c r="L13" s="460">
        <f>VLOOKUP($F13,Valve_from_BP!$O:$AE,9,0)</f>
        <v>1</v>
      </c>
      <c r="M13" s="744" t="b">
        <v>0</v>
      </c>
      <c r="N13" s="460">
        <f>VLOOKUP($F13,Valve_from_BP!$O:$AE,10,0)</f>
        <v>0</v>
      </c>
      <c r="O13" s="744">
        <v>0</v>
      </c>
      <c r="P13" s="460"/>
      <c r="Q13" s="744">
        <v>2</v>
      </c>
      <c r="R13" s="460">
        <v>2</v>
      </c>
      <c r="S13" s="783" t="s">
        <v>10381</v>
      </c>
      <c r="T13" s="460"/>
      <c r="U13" s="744">
        <v>71.800355912994803</v>
      </c>
      <c r="V13" s="13"/>
      <c r="W13" s="744">
        <v>0.138698049218553</v>
      </c>
      <c r="X13" s="460"/>
      <c r="Y13" s="744">
        <v>42598.3030407568</v>
      </c>
      <c r="Z13" s="460"/>
    </row>
    <row r="14" spans="1:28">
      <c r="A14" s="776">
        <f>VLOOKUP(F14,Valve_from_BP!$O:$AE,2,0)</f>
        <v>0</v>
      </c>
      <c r="B14" s="762"/>
      <c r="C14" s="808" t="s">
        <v>6611</v>
      </c>
      <c r="D14" s="773"/>
      <c r="E14" s="459"/>
      <c r="F14" s="465" t="s">
        <v>6611</v>
      </c>
      <c r="G14" s="466">
        <v>105</v>
      </c>
      <c r="H14" s="460">
        <f>VLOOKUP(F14,Valve_from_BP!$O:$AE,3,0)</f>
        <v>105</v>
      </c>
      <c r="I14" s="466">
        <v>1</v>
      </c>
      <c r="J14" s="460">
        <f>VLOOKUP($F14,Valve_from_BP!$O:$AE,5,0)</f>
        <v>1</v>
      </c>
      <c r="K14" s="466" t="b">
        <v>0</v>
      </c>
      <c r="L14" s="460">
        <f>VLOOKUP($F14,Valve_from_BP!$O:$AE,9,0)</f>
        <v>0</v>
      </c>
      <c r="M14" s="466" t="b">
        <v>0</v>
      </c>
      <c r="N14" s="460">
        <f>VLOOKUP($F14,Valve_from_BP!$O:$AE,10,0)</f>
        <v>0</v>
      </c>
      <c r="O14" s="466">
        <v>0.25</v>
      </c>
      <c r="P14" s="460"/>
      <c r="Q14" s="466">
        <v>2</v>
      </c>
      <c r="R14" s="460">
        <v>2</v>
      </c>
      <c r="S14" s="783" t="s">
        <v>10381</v>
      </c>
      <c r="T14" s="460"/>
      <c r="U14" s="19">
        <v>67.072411389112602</v>
      </c>
      <c r="V14" s="13"/>
      <c r="W14" s="524">
        <v>9.2930963816281603E-3</v>
      </c>
      <c r="X14" s="460"/>
      <c r="Y14" s="524">
        <v>201229.18524434901</v>
      </c>
      <c r="Z14" s="460"/>
    </row>
    <row r="15" spans="1:28">
      <c r="A15" s="776">
        <f>VLOOKUP(F15,Valve_from_BP!$O:$AE,2,0)</f>
        <v>0</v>
      </c>
      <c r="B15" s="762"/>
      <c r="C15" s="808" t="s">
        <v>10224</v>
      </c>
      <c r="D15" s="773"/>
      <c r="E15" s="459"/>
      <c r="F15" s="465" t="s">
        <v>7880</v>
      </c>
      <c r="G15" s="466">
        <v>105</v>
      </c>
      <c r="H15" s="460">
        <f>VLOOKUP(F15,Valve_from_BP!$O:$AE,3,0)</f>
        <v>105</v>
      </c>
      <c r="I15" s="466">
        <v>1</v>
      </c>
      <c r="J15" s="460">
        <f>VLOOKUP($F15,Valve_from_BP!$O:$AE,5,0)</f>
        <v>1</v>
      </c>
      <c r="K15" s="466" t="b">
        <v>0</v>
      </c>
      <c r="L15" s="460">
        <f>VLOOKUP($F15,Valve_from_BP!$O:$AE,9,0)</f>
        <v>0</v>
      </c>
      <c r="M15" s="466" t="b">
        <v>0</v>
      </c>
      <c r="N15" s="460">
        <f>VLOOKUP($F15,Valve_from_BP!$O:$AE,10,0)</f>
        <v>0</v>
      </c>
      <c r="O15" s="466">
        <v>1</v>
      </c>
      <c r="P15" s="460"/>
      <c r="Q15" s="466">
        <v>2</v>
      </c>
      <c r="R15" s="460">
        <v>2</v>
      </c>
      <c r="S15" s="783" t="s">
        <v>10381</v>
      </c>
      <c r="T15" s="460"/>
      <c r="U15" s="19">
        <v>52.7164063630333</v>
      </c>
      <c r="V15" s="13"/>
      <c r="W15" s="524">
        <v>3.23846449419534E-3</v>
      </c>
      <c r="X15" s="460"/>
      <c r="Y15" s="524">
        <v>71192.192294259497</v>
      </c>
      <c r="Z15" s="460"/>
    </row>
    <row r="16" spans="1:28">
      <c r="A16" s="776" t="str">
        <f>VLOOKUP(F16,Valve_from_BP!$O:$AE,2,0)</f>
        <v>PICZ2010 and PICZ3001AB and 3010AB.pdf,5/13 &amp; 10/13                             TVZ3002-03.pdf,2/4</v>
      </c>
      <c r="B16" s="762"/>
      <c r="C16" s="808" t="s">
        <v>8032</v>
      </c>
      <c r="D16" s="773"/>
      <c r="E16" s="459"/>
      <c r="F16" s="465" t="s">
        <v>8032</v>
      </c>
      <c r="G16" s="466">
        <v>105</v>
      </c>
      <c r="H16" s="460">
        <f>VLOOKUP(F16,Valve_from_BP!$O:$AE,3,0)</f>
        <v>105</v>
      </c>
      <c r="I16" s="466">
        <v>1</v>
      </c>
      <c r="J16" s="460">
        <f>VLOOKUP($F16,Valve_from_BP!$O:$AE,5,0)</f>
        <v>1</v>
      </c>
      <c r="K16" s="466" t="b">
        <v>0</v>
      </c>
      <c r="L16" s="460">
        <f>VLOOKUP($F16,Valve_from_BP!$O:$AE,9,0)</f>
        <v>0</v>
      </c>
      <c r="M16" s="466" t="b">
        <v>0</v>
      </c>
      <c r="N16" s="460">
        <f>VLOOKUP($F16,Valve_from_BP!$O:$AE,10,0)</f>
        <v>0</v>
      </c>
      <c r="O16" s="466">
        <v>1</v>
      </c>
      <c r="P16" s="460"/>
      <c r="Q16" s="466">
        <v>2</v>
      </c>
      <c r="R16" s="460">
        <v>2</v>
      </c>
      <c r="S16" s="783" t="s">
        <v>10381</v>
      </c>
      <c r="T16" s="460"/>
      <c r="U16" s="19">
        <v>64.705689882328201</v>
      </c>
      <c r="V16" s="13"/>
      <c r="W16" s="524">
        <v>7.2911294093989498E-2</v>
      </c>
      <c r="X16" s="460"/>
      <c r="Y16" s="524">
        <v>246381.568191745</v>
      </c>
      <c r="Z16" s="804"/>
    </row>
    <row r="17" spans="1:26">
      <c r="A17" s="776" t="str">
        <f>VLOOKUP(F17,Valve_from_BP!$O:$AE,2,0)</f>
        <v>PICZ4001.pdf, 3/3</v>
      </c>
      <c r="B17" s="762"/>
      <c r="C17" s="808" t="s">
        <v>7887</v>
      </c>
      <c r="D17" s="773"/>
      <c r="E17" s="740"/>
      <c r="F17" s="465" t="s">
        <v>7887</v>
      </c>
      <c r="G17" s="744">
        <v>105</v>
      </c>
      <c r="H17" s="460">
        <f>VLOOKUP(F17,Valve_from_BP!$O:$AE,3,0)</f>
        <v>105</v>
      </c>
      <c r="I17" s="744">
        <v>1</v>
      </c>
      <c r="J17" s="460">
        <f>VLOOKUP($F17,Valve_from_BP!$O:$AE,5,0)</f>
        <v>1</v>
      </c>
      <c r="K17" s="744" t="b">
        <v>1</v>
      </c>
      <c r="L17" s="460">
        <f>VLOOKUP($F17,Valve_from_BP!$O:$AE,9,0)</f>
        <v>1</v>
      </c>
      <c r="M17" s="744" t="b">
        <v>0</v>
      </c>
      <c r="N17" s="460">
        <f>VLOOKUP($F17,Valve_from_BP!$O:$AE,10,0)</f>
        <v>0</v>
      </c>
      <c r="O17" s="744">
        <v>1</v>
      </c>
      <c r="P17" s="460"/>
      <c r="Q17" s="744">
        <v>2</v>
      </c>
      <c r="R17" s="460">
        <v>2</v>
      </c>
      <c r="S17" s="783" t="s">
        <v>10381</v>
      </c>
      <c r="T17" s="460"/>
      <c r="U17" s="744">
        <v>83.038457260905403</v>
      </c>
      <c r="V17" s="13"/>
      <c r="W17" s="744">
        <v>4.25381323991917E-3</v>
      </c>
      <c r="X17" s="460"/>
      <c r="Y17" s="744">
        <v>210094.6096507</v>
      </c>
      <c r="Z17" s="460"/>
    </row>
    <row r="18" spans="1:26">
      <c r="A18" s="776" t="str">
        <f>VLOOKUP(F18,Valve_from_BP!$O:$AE,2,0)</f>
        <v>LCVZ2007.pdf, 2/3</v>
      </c>
      <c r="B18" s="762"/>
      <c r="C18" s="808" t="s">
        <v>10090</v>
      </c>
      <c r="D18" s="773"/>
      <c r="E18" s="740"/>
      <c r="F18" s="465" t="s">
        <v>6622</v>
      </c>
      <c r="G18" s="744">
        <v>149</v>
      </c>
      <c r="H18" s="460">
        <f>VLOOKUP(F18,Valve_from_BP!$O:$AE,3,0)</f>
        <v>149</v>
      </c>
      <c r="I18" s="744">
        <v>1</v>
      </c>
      <c r="J18" s="460">
        <f>VLOOKUP($F18,Valve_from_BP!$O:$AE,5,0)</f>
        <v>1</v>
      </c>
      <c r="K18" s="744" t="b">
        <v>1</v>
      </c>
      <c r="L18" s="460">
        <f>VLOOKUP($F18,Valve_from_BP!$O:$AE,9,0)</f>
        <v>1</v>
      </c>
      <c r="M18" s="744" t="b">
        <v>0</v>
      </c>
      <c r="N18" s="460">
        <f>VLOOKUP($F18,Valve_from_BP!$O:$AE,10,0)</f>
        <v>0</v>
      </c>
      <c r="O18" s="744">
        <v>1</v>
      </c>
      <c r="P18" s="460"/>
      <c r="Q18" s="744">
        <v>2</v>
      </c>
      <c r="R18" s="460">
        <v>2</v>
      </c>
      <c r="S18" s="783" t="s">
        <v>10381</v>
      </c>
      <c r="T18" s="460"/>
      <c r="U18" s="744">
        <v>96.147940056883002</v>
      </c>
      <c r="V18" s="13"/>
      <c r="W18" s="744">
        <v>0.16119965009322501</v>
      </c>
      <c r="X18" s="460"/>
      <c r="Y18" s="744">
        <v>2045655.44392535</v>
      </c>
      <c r="Z18" s="460"/>
    </row>
    <row r="19" spans="1:26">
      <c r="A19" s="776" t="str">
        <f>VLOOKUP(F19,Valve_from_BP!$O:$AE,2,0)</f>
        <v>FIZT2001V 0665-35416.pdf</v>
      </c>
      <c r="B19" s="762"/>
      <c r="C19" s="808" t="s">
        <v>6600</v>
      </c>
      <c r="D19" s="773"/>
      <c r="E19" s="740"/>
      <c r="F19" s="465" t="s">
        <v>6600</v>
      </c>
      <c r="G19" s="744">
        <v>155</v>
      </c>
      <c r="H19" s="460">
        <f>VLOOKUP(F19,Valve_from_BP!$O:$AE,3,0)</f>
        <v>155</v>
      </c>
      <c r="I19" s="744">
        <v>1</v>
      </c>
      <c r="J19" s="460">
        <f>VLOOKUP($F19,Valve_from_BP!$O:$AE,5,0)</f>
        <v>1</v>
      </c>
      <c r="K19" s="744" t="b">
        <v>0</v>
      </c>
      <c r="L19" s="460">
        <f>VLOOKUP($F19,Valve_from_BP!$O:$AE,9,0)</f>
        <v>0</v>
      </c>
      <c r="M19" s="744" t="b">
        <v>0</v>
      </c>
      <c r="N19" s="460">
        <f>VLOOKUP($F19,Valve_from_BP!$O:$AE,10,0)</f>
        <v>0</v>
      </c>
      <c r="O19" s="744">
        <v>1</v>
      </c>
      <c r="P19" s="460"/>
      <c r="Q19" s="744">
        <v>2</v>
      </c>
      <c r="R19" s="460">
        <v>2</v>
      </c>
      <c r="S19" s="783" t="s">
        <v>10381</v>
      </c>
      <c r="T19" s="460"/>
      <c r="U19" s="744">
        <v>0</v>
      </c>
      <c r="V19" s="13"/>
      <c r="W19" s="744">
        <v>0</v>
      </c>
      <c r="X19" s="460"/>
      <c r="Y19" s="744">
        <v>1805996.1182845701</v>
      </c>
      <c r="Z19" s="460"/>
    </row>
    <row r="20" spans="1:26">
      <c r="A20" s="776">
        <f>VLOOKUP(F20,Valve_from_BP!$O:$AE,2,0)</f>
        <v>0</v>
      </c>
      <c r="B20" s="762"/>
      <c r="C20" s="808" t="s">
        <v>10214</v>
      </c>
      <c r="D20" s="773"/>
      <c r="E20" s="459"/>
      <c r="F20" s="465" t="s">
        <v>7876</v>
      </c>
      <c r="G20" s="466">
        <v>190</v>
      </c>
      <c r="H20" s="460">
        <f>VLOOKUP(F20,Valve_from_BP!$O:$AE,3,0)</f>
        <v>190</v>
      </c>
      <c r="I20" s="466">
        <v>1</v>
      </c>
      <c r="J20" s="460">
        <f>VLOOKUP($F20,Valve_from_BP!$O:$AE,5,0)</f>
        <v>1</v>
      </c>
      <c r="K20" s="466" t="b">
        <v>0</v>
      </c>
      <c r="L20" s="460">
        <f>VLOOKUP($F20,Valve_from_BP!$O:$AE,9,0)</f>
        <v>0</v>
      </c>
      <c r="M20" s="466" t="b">
        <v>0</v>
      </c>
      <c r="N20" s="460">
        <f>VLOOKUP($F20,Valve_from_BP!$O:$AE,10,0)</f>
        <v>0</v>
      </c>
      <c r="O20" s="466">
        <v>1</v>
      </c>
      <c r="P20" s="460"/>
      <c r="Q20" s="466">
        <v>2</v>
      </c>
      <c r="R20" s="460">
        <v>2</v>
      </c>
      <c r="S20" s="783" t="s">
        <v>10381</v>
      </c>
      <c r="T20" s="460"/>
      <c r="U20" s="19">
        <v>89.522922048585002</v>
      </c>
      <c r="V20" s="13"/>
      <c r="W20" s="524">
        <v>1.2657823587793699E-2</v>
      </c>
      <c r="X20" s="460"/>
      <c r="Y20" s="524">
        <v>17379.3316201325</v>
      </c>
      <c r="Z20" s="460"/>
    </row>
    <row r="21" spans="1:26">
      <c r="A21" s="776">
        <f>VLOOKUP(F21,Valve_from_BP!$O:$AE,2,0)</f>
        <v>0</v>
      </c>
      <c r="B21" s="762"/>
      <c r="C21" s="808" t="s">
        <v>6095</v>
      </c>
      <c r="D21" s="773" t="s">
        <v>5769</v>
      </c>
      <c r="E21" s="459"/>
      <c r="F21" s="465" t="s">
        <v>6095</v>
      </c>
      <c r="G21" s="466">
        <v>190</v>
      </c>
      <c r="H21" s="460">
        <f>VLOOKUP(F21,Valve_from_BP!$O:$AE,3,0)</f>
        <v>190</v>
      </c>
      <c r="I21" s="466">
        <v>0</v>
      </c>
      <c r="J21" s="460">
        <f>VLOOKUP($F21,Valve_from_BP!$O:$AE,5,0)</f>
        <v>0</v>
      </c>
      <c r="K21" s="466" t="b">
        <v>0</v>
      </c>
      <c r="L21" s="460">
        <f>VLOOKUP($F21,Valve_from_BP!$O:$AE,9,0)</f>
        <v>0</v>
      </c>
      <c r="M21" s="466" t="b">
        <v>0</v>
      </c>
      <c r="N21" s="460">
        <f>VLOOKUP($F21,Valve_from_BP!$O:$AE,10,0)</f>
        <v>0</v>
      </c>
      <c r="O21" s="466">
        <v>1</v>
      </c>
      <c r="P21" s="460"/>
      <c r="Q21" s="466">
        <v>2</v>
      </c>
      <c r="R21" s="460">
        <v>2</v>
      </c>
      <c r="S21" s="783" t="s">
        <v>10381</v>
      </c>
      <c r="T21" s="460"/>
      <c r="U21" s="19">
        <v>0</v>
      </c>
      <c r="V21" s="13"/>
      <c r="W21" s="524">
        <v>0</v>
      </c>
      <c r="X21" s="460"/>
      <c r="Y21" s="524">
        <v>2500000</v>
      </c>
      <c r="Z21" s="460"/>
    </row>
    <row r="22" spans="1:26">
      <c r="A22" s="776" t="str">
        <f>VLOOKUP(F22,Valve_from_BP!$O:$AE,2,0)</f>
        <v>FCVZ1094-95.pdf, 4/8</v>
      </c>
      <c r="B22" s="762"/>
      <c r="C22" s="807" t="s">
        <v>721</v>
      </c>
      <c r="D22" s="773"/>
      <c r="E22" s="459"/>
      <c r="F22" s="465" t="s">
        <v>721</v>
      </c>
      <c r="G22" s="466">
        <v>215</v>
      </c>
      <c r="H22" s="460">
        <f>VLOOKUP(F22,Valve_from_BP!$O:$AE,3,0)</f>
        <v>215</v>
      </c>
      <c r="I22" s="466">
        <v>0</v>
      </c>
      <c r="J22" s="460">
        <f>VLOOKUP($F22,Valve_from_BP!$O:$AE,5,0)</f>
        <v>0</v>
      </c>
      <c r="K22" s="466" t="b">
        <v>0</v>
      </c>
      <c r="L22" s="460">
        <f>VLOOKUP($F22,Valve_from_BP!$O:$AE,9,0)</f>
        <v>0</v>
      </c>
      <c r="M22" s="466" t="b">
        <v>0</v>
      </c>
      <c r="N22" s="460">
        <f>VLOOKUP($F22,Valve_from_BP!$O:$AE,10,0)</f>
        <v>0</v>
      </c>
      <c r="O22" s="466">
        <v>1</v>
      </c>
      <c r="P22" s="460"/>
      <c r="Q22" s="466">
        <v>2</v>
      </c>
      <c r="R22" s="460">
        <v>2</v>
      </c>
      <c r="S22" s="783" t="s">
        <v>10381</v>
      </c>
      <c r="T22" s="460"/>
      <c r="U22" s="19">
        <v>26.2726482369394</v>
      </c>
      <c r="V22" s="13"/>
      <c r="W22" s="524">
        <v>5.7967519322189798E-2</v>
      </c>
      <c r="X22" s="460"/>
      <c r="Y22" s="524">
        <v>1923726.1105488001</v>
      </c>
      <c r="Z22" s="460"/>
    </row>
    <row r="23" spans="1:26">
      <c r="A23" s="776" t="str">
        <f>VLOOKUP(F23,Valve_from_BP!$O:$AE,2,0)</f>
        <v>FICZ1069-70-71.pdf; 3/7</v>
      </c>
      <c r="B23" s="762"/>
      <c r="C23" s="808" t="s">
        <v>7771</v>
      </c>
      <c r="D23" s="773"/>
      <c r="E23" s="459"/>
      <c r="F23" s="465" t="s">
        <v>7771</v>
      </c>
      <c r="G23" s="466">
        <v>258</v>
      </c>
      <c r="H23" s="460">
        <f>VLOOKUP(F23,Valve_from_BP!$O:$AE,3,0)</f>
        <v>258</v>
      </c>
      <c r="I23" s="466">
        <v>1</v>
      </c>
      <c r="J23" s="460">
        <f>VLOOKUP($F23,Valve_from_BP!$O:$AE,5,0)</f>
        <v>1</v>
      </c>
      <c r="K23" s="466" t="b">
        <v>1</v>
      </c>
      <c r="L23" s="460">
        <f>VLOOKUP($F23,Valve_from_BP!$O:$AE,9,0)</f>
        <v>1</v>
      </c>
      <c r="M23" s="466" t="b">
        <v>0</v>
      </c>
      <c r="N23" s="460">
        <f>VLOOKUP($F23,Valve_from_BP!$O:$AE,10,0)</f>
        <v>0</v>
      </c>
      <c r="O23" s="466">
        <v>0</v>
      </c>
      <c r="P23" s="460"/>
      <c r="Q23" s="466">
        <v>2</v>
      </c>
      <c r="R23" s="460">
        <v>2</v>
      </c>
      <c r="S23" s="783" t="s">
        <v>10381</v>
      </c>
      <c r="T23" s="460"/>
      <c r="U23" s="19">
        <v>79.6559876853171</v>
      </c>
      <c r="V23" s="13"/>
      <c r="W23" s="524">
        <v>0.45577852043642397</v>
      </c>
      <c r="X23" s="460"/>
      <c r="Y23" s="524">
        <v>40614.7991017147</v>
      </c>
      <c r="Z23" s="460"/>
    </row>
    <row r="24" spans="1:26">
      <c r="A24" s="776" t="str">
        <f>VLOOKUP(F24,Valve_from_BP!$O:$AE,2,0)</f>
        <v>FVZ2002.pdf, 3/4</v>
      </c>
      <c r="B24" s="762"/>
      <c r="C24" s="808" t="s">
        <v>6599</v>
      </c>
      <c r="D24" s="773"/>
      <c r="E24" s="459"/>
      <c r="F24" s="465" t="s">
        <v>6599</v>
      </c>
      <c r="G24" s="466">
        <v>400</v>
      </c>
      <c r="H24" s="460">
        <f>VLOOKUP(F24,Valve_from_BP!$O:$AE,3,0)</f>
        <v>400</v>
      </c>
      <c r="I24" s="466">
        <v>1</v>
      </c>
      <c r="J24" s="460">
        <f>VLOOKUP($F24,Valve_from_BP!$O:$AE,5,0)</f>
        <v>1</v>
      </c>
      <c r="K24" s="466" t="b">
        <v>0</v>
      </c>
      <c r="L24" s="460">
        <f>VLOOKUP($F24,Valve_from_BP!$O:$AE,9,0)</f>
        <v>0</v>
      </c>
      <c r="M24" s="466" t="b">
        <v>0</v>
      </c>
      <c r="N24" s="460">
        <f>VLOOKUP($F24,Valve_from_BP!$O:$AE,10,0)</f>
        <v>0</v>
      </c>
      <c r="O24" s="466">
        <v>1</v>
      </c>
      <c r="P24" s="460"/>
      <c r="Q24" s="466">
        <v>2</v>
      </c>
      <c r="R24" s="460">
        <v>2</v>
      </c>
      <c r="S24" s="783" t="s">
        <v>10381</v>
      </c>
      <c r="T24" s="460"/>
      <c r="U24" s="19">
        <v>82.819237519369906</v>
      </c>
      <c r="V24" s="13"/>
      <c r="W24" s="524">
        <v>0.15908311435794101</v>
      </c>
      <c r="X24" s="460"/>
      <c r="Y24" s="524">
        <v>809990.91324769706</v>
      </c>
      <c r="Z24" s="460"/>
    </row>
    <row r="25" spans="1:26">
      <c r="A25" s="776" t="str">
        <f>VLOOKUP(F25,Valve_from_BP!$O:$AE,2,0)</f>
        <v>FVZ3002-3-6-7 and 3013till20.pdf, 2/15      LICZ3009 (new FITZ3008).pdf, 1/2</v>
      </c>
      <c r="B25" s="762"/>
      <c r="C25" s="808" t="s">
        <v>806</v>
      </c>
      <c r="D25" s="773"/>
      <c r="E25" s="459"/>
      <c r="F25" s="465" t="s">
        <v>806</v>
      </c>
      <c r="G25" s="466">
        <v>400</v>
      </c>
      <c r="H25" s="460">
        <f>VLOOKUP(F25,Valve_from_BP!$O:$AE,3,0)</f>
        <v>400</v>
      </c>
      <c r="I25" s="466">
        <v>1</v>
      </c>
      <c r="J25" s="460">
        <f>VLOOKUP($F25,Valve_from_BP!$O:$AE,5,0)</f>
        <v>1</v>
      </c>
      <c r="K25" s="466" t="b">
        <v>0</v>
      </c>
      <c r="L25" s="460">
        <f>VLOOKUP($F25,Valve_from_BP!$O:$AE,9,0)</f>
        <v>0</v>
      </c>
      <c r="M25" s="466" t="b">
        <v>0</v>
      </c>
      <c r="N25" s="460">
        <f>VLOOKUP($F25,Valve_from_BP!$O:$AE,10,0)</f>
        <v>0</v>
      </c>
      <c r="O25" s="466">
        <v>1</v>
      </c>
      <c r="P25" s="460"/>
      <c r="Q25" s="466">
        <v>2</v>
      </c>
      <c r="R25" s="460">
        <v>2</v>
      </c>
      <c r="S25" s="783" t="s">
        <v>10381</v>
      </c>
      <c r="T25" s="460"/>
      <c r="U25" s="19">
        <v>48.300195260371297</v>
      </c>
      <c r="V25" s="13"/>
      <c r="W25" s="524">
        <v>3.6229356536879101E-2</v>
      </c>
      <c r="X25" s="460"/>
      <c r="Y25" s="524">
        <v>471144.78332518099</v>
      </c>
      <c r="Z25" s="460"/>
    </row>
    <row r="26" spans="1:26">
      <c r="A26" s="776">
        <f>VLOOKUP(F26,Valve_from_BP!$O:$AE,2,0)</f>
        <v>0</v>
      </c>
      <c r="B26" s="762"/>
      <c r="C26" s="808" t="s">
        <v>6090</v>
      </c>
      <c r="D26" s="773"/>
      <c r="E26" s="459"/>
      <c r="F26" s="465" t="s">
        <v>6090</v>
      </c>
      <c r="G26" s="466">
        <v>400</v>
      </c>
      <c r="H26" s="460">
        <f>VLOOKUP(F26,Valve_from_BP!$O:$AE,3,0)</f>
        <v>400</v>
      </c>
      <c r="I26" s="466">
        <v>1</v>
      </c>
      <c r="J26" s="460">
        <f>VLOOKUP($F26,Valve_from_BP!$O:$AE,5,0)</f>
        <v>1</v>
      </c>
      <c r="K26" s="466" t="b">
        <v>0</v>
      </c>
      <c r="L26" s="460">
        <f>VLOOKUP($F26,Valve_from_BP!$O:$AE,9,0)</f>
        <v>0</v>
      </c>
      <c r="M26" s="466" t="b">
        <v>0</v>
      </c>
      <c r="N26" s="460">
        <f>VLOOKUP($F26,Valve_from_BP!$O:$AE,10,0)</f>
        <v>0</v>
      </c>
      <c r="O26" s="466">
        <v>0</v>
      </c>
      <c r="P26" s="460"/>
      <c r="Q26" s="466">
        <v>2</v>
      </c>
      <c r="R26" s="460">
        <v>2</v>
      </c>
      <c r="S26" s="783" t="s">
        <v>10381</v>
      </c>
      <c r="T26" s="460"/>
      <c r="U26" s="19">
        <v>61.411918256990901</v>
      </c>
      <c r="V26" s="13"/>
      <c r="W26" s="524">
        <v>3.6595710486736897E-2</v>
      </c>
      <c r="X26" s="460"/>
      <c r="Y26" s="524">
        <v>281210.94410564401</v>
      </c>
      <c r="Z26" s="460"/>
    </row>
    <row r="27" spans="1:26">
      <c r="A27" s="776" t="str">
        <f>VLOOKUP(F27,Valve_from_BP!$O:$AE,2,0)</f>
        <v>PICZ5007AB.pdf, 3/4</v>
      </c>
      <c r="B27" s="762"/>
      <c r="C27" s="808" t="s">
        <v>6598</v>
      </c>
      <c r="D27" s="773"/>
      <c r="E27" s="459"/>
      <c r="F27" s="465" t="s">
        <v>6598</v>
      </c>
      <c r="G27" s="466">
        <v>400</v>
      </c>
      <c r="H27" s="460">
        <f>VLOOKUP(F27,Valve_from_BP!$O:$AE,3,0)</f>
        <v>400</v>
      </c>
      <c r="I27" s="466">
        <v>1</v>
      </c>
      <c r="J27" s="460">
        <f>VLOOKUP($F27,Valve_from_BP!$O:$AE,5,0)</f>
        <v>1</v>
      </c>
      <c r="K27" s="466" t="b">
        <v>1</v>
      </c>
      <c r="L27" s="460">
        <f>VLOOKUP($F27,Valve_from_BP!$O:$AE,9,0)</f>
        <v>1</v>
      </c>
      <c r="M27" s="466" t="b">
        <v>0</v>
      </c>
      <c r="N27" s="460">
        <f>VLOOKUP($F27,Valve_from_BP!$O:$AE,10,0)</f>
        <v>0</v>
      </c>
      <c r="O27" s="466">
        <v>1</v>
      </c>
      <c r="P27" s="460"/>
      <c r="Q27" s="466">
        <v>2</v>
      </c>
      <c r="R27" s="460">
        <v>2</v>
      </c>
      <c r="S27" s="783" t="s">
        <v>10381</v>
      </c>
      <c r="T27" s="460"/>
      <c r="U27" s="19">
        <v>0</v>
      </c>
      <c r="V27" s="13"/>
      <c r="W27" s="524">
        <v>0</v>
      </c>
      <c r="X27" s="460"/>
      <c r="Y27" s="524">
        <v>411020.85671534803</v>
      </c>
      <c r="Z27" s="460"/>
    </row>
    <row r="28" spans="1:26">
      <c r="A28" s="776" t="str">
        <f>VLOOKUP(F28,Valve_from_BP!$O:$AE,2,0)</f>
        <v>PVZ4001B.pdf, 2/4</v>
      </c>
      <c r="B28" s="762"/>
      <c r="C28" s="808" t="s">
        <v>1034</v>
      </c>
      <c r="D28" s="464"/>
      <c r="E28" s="459"/>
      <c r="F28" s="465" t="s">
        <v>1034</v>
      </c>
      <c r="G28" s="744">
        <v>484.97422611928602</v>
      </c>
      <c r="H28" s="460">
        <f>VLOOKUP(F28,Valve_from_BP!$O:$AE,3,0)</f>
        <v>484.97422611928567</v>
      </c>
      <c r="I28" s="744">
        <v>1</v>
      </c>
      <c r="J28" s="460">
        <f>VLOOKUP($F28,Valve_from_BP!$O:$AE,5,0)</f>
        <v>1</v>
      </c>
      <c r="K28" s="744" t="b">
        <v>0</v>
      </c>
      <c r="L28" s="460">
        <f>VLOOKUP($F28,Valve_from_BP!$O:$AE,9,0)</f>
        <v>0</v>
      </c>
      <c r="M28" s="744" t="b">
        <v>0</v>
      </c>
      <c r="N28" s="460">
        <f>VLOOKUP($F28,Valve_from_BP!$O:$AE,10,0)</f>
        <v>0</v>
      </c>
      <c r="O28" s="744">
        <v>1</v>
      </c>
      <c r="P28" s="460"/>
      <c r="Q28" s="744">
        <v>2</v>
      </c>
      <c r="R28" s="460">
        <v>2</v>
      </c>
      <c r="S28" s="783" t="s">
        <v>10381</v>
      </c>
      <c r="T28" s="460"/>
      <c r="U28" s="744">
        <v>0</v>
      </c>
      <c r="V28" s="460"/>
      <c r="W28" s="744">
        <v>0</v>
      </c>
      <c r="X28" s="460"/>
      <c r="Y28" s="744">
        <v>238724.2195489</v>
      </c>
      <c r="Z28" s="460"/>
    </row>
    <row r="29" spans="1:26">
      <c r="A29" s="776">
        <f>VLOOKUP(F29,Valve_from_BP!$O:$AE,2,0)</f>
        <v>0</v>
      </c>
      <c r="B29" s="762"/>
      <c r="C29" s="805" t="s">
        <v>5742</v>
      </c>
      <c r="D29" s="773" t="s">
        <v>5769</v>
      </c>
      <c r="E29" s="459"/>
      <c r="F29" s="465" t="s">
        <v>5742</v>
      </c>
      <c r="G29" s="466">
        <v>540</v>
      </c>
      <c r="H29" s="460">
        <f>VLOOKUP(F29,Valve_from_BP!$O:$AE,3,0)</f>
        <v>540</v>
      </c>
      <c r="I29" s="466">
        <v>0</v>
      </c>
      <c r="J29" s="460">
        <f>VLOOKUP($F29,Valve_from_BP!$O:$AE,5,0)</f>
        <v>0</v>
      </c>
      <c r="K29" s="466" t="b">
        <v>1</v>
      </c>
      <c r="L29" s="460">
        <f>VLOOKUP($F29,Valve_from_BP!$O:$AE,9,0)</f>
        <v>1</v>
      </c>
      <c r="M29" s="466" t="b">
        <v>0</v>
      </c>
      <c r="N29" s="460">
        <f>VLOOKUP($F29,Valve_from_BP!$O:$AE,10,0)</f>
        <v>0</v>
      </c>
      <c r="O29" s="466">
        <v>0</v>
      </c>
      <c r="P29" s="460"/>
      <c r="Q29" s="466">
        <v>2</v>
      </c>
      <c r="R29" s="460">
        <v>2</v>
      </c>
      <c r="S29" s="783" t="s">
        <v>10381</v>
      </c>
      <c r="T29" s="460"/>
      <c r="U29" s="614">
        <v>0</v>
      </c>
      <c r="V29" s="460"/>
      <c r="W29" s="524">
        <v>0</v>
      </c>
      <c r="X29" s="460"/>
      <c r="Y29" s="524">
        <v>334802.01915535901</v>
      </c>
      <c r="Z29" s="460"/>
    </row>
    <row r="30" spans="1:26">
      <c r="A30" s="776" t="str">
        <f>VLOOKUP(F30,Valve_from_BP!$O:$AE,2,0)</f>
        <v>FV1001-17-18-19-24.pdf, 3/17</v>
      </c>
      <c r="B30" s="762"/>
      <c r="C30" s="808" t="s">
        <v>10315</v>
      </c>
      <c r="D30" s="773"/>
      <c r="E30" s="459"/>
      <c r="F30" s="465" t="s">
        <v>7889</v>
      </c>
      <c r="G30" s="466">
        <v>710</v>
      </c>
      <c r="H30" s="460">
        <f>VLOOKUP(F30,Valve_from_BP!$O:$AE,3,0)</f>
        <v>710</v>
      </c>
      <c r="I30" s="466">
        <v>1</v>
      </c>
      <c r="J30" s="460">
        <f>VLOOKUP($F30,Valve_from_BP!$O:$AE,5,0)</f>
        <v>1</v>
      </c>
      <c r="K30" s="466" t="b">
        <v>0</v>
      </c>
      <c r="L30" s="460">
        <f>VLOOKUP($F30,Valve_from_BP!$O:$AE,9,0)</f>
        <v>0</v>
      </c>
      <c r="M30" s="466" t="b">
        <v>0</v>
      </c>
      <c r="N30" s="460">
        <f>VLOOKUP($F30,Valve_from_BP!$O:$AE,10,0)</f>
        <v>0</v>
      </c>
      <c r="O30" s="466">
        <v>1</v>
      </c>
      <c r="P30" s="460"/>
      <c r="Q30" s="466">
        <v>2</v>
      </c>
      <c r="R30" s="460">
        <v>2</v>
      </c>
      <c r="S30" s="783" t="s">
        <v>10381</v>
      </c>
      <c r="T30" s="460"/>
      <c r="U30" s="614">
        <v>63.888959358281703</v>
      </c>
      <c r="V30" s="460"/>
      <c r="W30" s="524">
        <v>4.58280943104524E-2</v>
      </c>
      <c r="X30" s="460"/>
      <c r="Y30" s="524">
        <v>133218.46406110501</v>
      </c>
      <c r="Z30" s="460"/>
    </row>
    <row r="31" spans="1:26">
      <c r="A31" s="776" t="str">
        <f>VLOOKUP(F31,Valve_from_BP!$O:$AE,2,0)</f>
        <v>PICZ5007AB.pdf, 3/4</v>
      </c>
      <c r="B31" s="762"/>
      <c r="C31" s="808" t="s">
        <v>6597</v>
      </c>
      <c r="D31" s="773"/>
      <c r="E31" s="459"/>
      <c r="F31" s="465" t="s">
        <v>6597</v>
      </c>
      <c r="G31" s="466">
        <v>710</v>
      </c>
      <c r="H31" s="460">
        <f>VLOOKUP(F31,Valve_from_BP!$O:$AE,3,0)</f>
        <v>710</v>
      </c>
      <c r="I31" s="466">
        <v>0</v>
      </c>
      <c r="J31" s="460">
        <f>VLOOKUP($F31,Valve_from_BP!$O:$AE,5,0)</f>
        <v>0</v>
      </c>
      <c r="K31" s="466" t="b">
        <v>0</v>
      </c>
      <c r="L31" s="460">
        <f>VLOOKUP($F31,Valve_from_BP!$O:$AE,9,0)</f>
        <v>0</v>
      </c>
      <c r="M31" s="466" t="b">
        <v>0</v>
      </c>
      <c r="N31" s="460">
        <f>VLOOKUP($F31,Valve_from_BP!$O:$AE,10,0)</f>
        <v>0</v>
      </c>
      <c r="O31" s="466">
        <v>1</v>
      </c>
      <c r="P31" s="460"/>
      <c r="Q31" s="466">
        <v>2</v>
      </c>
      <c r="R31" s="460">
        <v>2</v>
      </c>
      <c r="S31" s="783" t="s">
        <v>10381</v>
      </c>
      <c r="T31" s="460"/>
      <c r="U31" s="614">
        <v>81.456596076346898</v>
      </c>
      <c r="V31" s="460"/>
      <c r="W31" s="524">
        <v>0.90805940077117597</v>
      </c>
      <c r="X31" s="460"/>
      <c r="Y31" s="524">
        <v>17681.233681752801</v>
      </c>
      <c r="Z31" s="460"/>
    </row>
    <row r="32" spans="1:26">
      <c r="A32" s="776" t="str">
        <f>VLOOKUP(F32,Valve_from_BP!$O:$AE,2,0)</f>
        <v>FCVZ2003.pdf; page 3 and 4</v>
      </c>
      <c r="B32" s="762"/>
      <c r="C32" s="808" t="s">
        <v>728</v>
      </c>
      <c r="D32" s="773"/>
      <c r="E32" s="459"/>
      <c r="F32" s="465" t="s">
        <v>728</v>
      </c>
      <c r="G32" s="466">
        <v>850</v>
      </c>
      <c r="H32" s="460">
        <f>VLOOKUP(F32,Valve_from_BP!$O:$AE,3,0)</f>
        <v>850</v>
      </c>
      <c r="I32" s="466">
        <v>0</v>
      </c>
      <c r="J32" s="460">
        <f>VLOOKUP($F32,Valve_from_BP!$O:$AE,5,0)</f>
        <v>0</v>
      </c>
      <c r="K32" s="466" t="b">
        <v>0</v>
      </c>
      <c r="L32" s="460">
        <f>VLOOKUP($F32,Valve_from_BP!$O:$AE,9,0)</f>
        <v>0</v>
      </c>
      <c r="M32" s="744" t="b">
        <v>0</v>
      </c>
      <c r="N32" s="460">
        <f>VLOOKUP($F32,Valve_from_BP!$O:$AE,10,0)</f>
        <v>0</v>
      </c>
      <c r="O32" s="466">
        <v>1</v>
      </c>
      <c r="P32" s="460"/>
      <c r="Q32" s="466">
        <v>2</v>
      </c>
      <c r="R32" s="460">
        <v>2</v>
      </c>
      <c r="S32" s="783" t="s">
        <v>10381</v>
      </c>
      <c r="T32" s="460"/>
      <c r="U32" s="614">
        <v>80</v>
      </c>
      <c r="V32" s="460"/>
      <c r="W32" s="524">
        <v>3.23949393843296E-2</v>
      </c>
      <c r="X32" s="460"/>
      <c r="Y32" s="524">
        <v>5290.64994175639</v>
      </c>
      <c r="Z32" s="460"/>
    </row>
    <row r="33" spans="1:26">
      <c r="A33" s="776" t="str">
        <f>VLOOKUP(F33,Valve_from_BP!$O:$AE,2,0)</f>
        <v>FICZ1069-70-71.pdf; 2/7</v>
      </c>
      <c r="B33" s="762"/>
      <c r="C33" s="805" t="s">
        <v>10158</v>
      </c>
      <c r="D33" s="773"/>
      <c r="E33" s="459"/>
      <c r="F33" s="465" t="s">
        <v>7773</v>
      </c>
      <c r="G33" s="466">
        <v>865</v>
      </c>
      <c r="H33" s="460">
        <f>VLOOKUP(F33,Valve_from_BP!$O:$AE,3,0)</f>
        <v>865</v>
      </c>
      <c r="I33" s="466">
        <v>1</v>
      </c>
      <c r="J33" s="460">
        <f>VLOOKUP($F33,Valve_from_BP!$O:$AE,5,0)</f>
        <v>1</v>
      </c>
      <c r="K33" s="466" t="b">
        <v>0</v>
      </c>
      <c r="L33" s="460">
        <f>VLOOKUP($F33,Valve_from_BP!$O:$AE,9,0)</f>
        <v>0</v>
      </c>
      <c r="M33" s="466" t="b">
        <v>0</v>
      </c>
      <c r="N33" s="460">
        <f>VLOOKUP($F33,Valve_from_BP!$O:$AE,10,0)</f>
        <v>0</v>
      </c>
      <c r="O33" s="466">
        <v>0</v>
      </c>
      <c r="P33" s="460"/>
      <c r="Q33" s="466">
        <v>2</v>
      </c>
      <c r="R33" s="460">
        <v>2</v>
      </c>
      <c r="S33" s="783" t="s">
        <v>10381</v>
      </c>
      <c r="T33" s="460"/>
      <c r="U33" s="614">
        <v>74.383450897124902</v>
      </c>
      <c r="V33" s="460"/>
      <c r="W33" s="524">
        <v>1.1557650274584601</v>
      </c>
      <c r="X33" s="460"/>
      <c r="Y33" s="524">
        <v>35083.814805548303</v>
      </c>
      <c r="Z33" s="460"/>
    </row>
    <row r="34" spans="1:26">
      <c r="A34" s="776" t="str">
        <f>VLOOKUP(F34,Valve_from_BP!$O:$AE,2,0)</f>
        <v>FICZ2010.pdf, 2/4</v>
      </c>
      <c r="B34" s="762"/>
      <c r="C34" s="808" t="s">
        <v>6601</v>
      </c>
      <c r="D34" s="773"/>
      <c r="E34" s="459"/>
      <c r="F34" s="465" t="s">
        <v>6601</v>
      </c>
      <c r="G34" s="466">
        <v>1070</v>
      </c>
      <c r="H34" s="460">
        <f>VLOOKUP(F34,Valve_from_BP!$O:$AE,3,0)</f>
        <v>1070</v>
      </c>
      <c r="I34" s="466">
        <v>1</v>
      </c>
      <c r="J34" s="460">
        <f>VLOOKUP($F34,Valve_from_BP!$O:$AE,5,0)</f>
        <v>1</v>
      </c>
      <c r="K34" s="466" t="b">
        <v>1</v>
      </c>
      <c r="L34" s="460">
        <f>VLOOKUP($F34,Valve_from_BP!$O:$AE,9,0)</f>
        <v>1</v>
      </c>
      <c r="M34" s="466" t="b">
        <v>0</v>
      </c>
      <c r="N34" s="460">
        <f>VLOOKUP($F34,Valve_from_BP!$O:$AE,10,0)</f>
        <v>0</v>
      </c>
      <c r="O34" s="466">
        <v>1</v>
      </c>
      <c r="P34" s="460"/>
      <c r="Q34" s="466">
        <v>2</v>
      </c>
      <c r="R34" s="460">
        <v>2</v>
      </c>
      <c r="S34" s="783" t="s">
        <v>10381</v>
      </c>
      <c r="T34" s="460"/>
      <c r="U34" s="614">
        <v>56.8859457309471</v>
      </c>
      <c r="V34" s="460"/>
      <c r="W34" s="524">
        <v>0.159728117359525</v>
      </c>
      <c r="X34" s="460"/>
      <c r="Y34" s="524">
        <v>906738.35289054597</v>
      </c>
      <c r="Z34" s="460"/>
    </row>
    <row r="35" spans="1:26">
      <c r="A35" s="776">
        <f>VLOOKUP(F35,Valve_from_BP!$O:$AE,2,0)</f>
        <v>0</v>
      </c>
      <c r="B35" s="762"/>
      <c r="C35" s="808" t="s">
        <v>7763</v>
      </c>
      <c r="D35" s="773"/>
      <c r="E35" s="459"/>
      <c r="F35" s="465" t="s">
        <v>7763</v>
      </c>
      <c r="G35" s="466">
        <v>1100</v>
      </c>
      <c r="H35" s="460">
        <f>VLOOKUP(F35,Valve_from_BP!$O:$AE,3,0)</f>
        <v>1100</v>
      </c>
      <c r="I35" s="466">
        <v>1</v>
      </c>
      <c r="J35" s="460">
        <f>VLOOKUP($F35,Valve_from_BP!$O:$AE,5,0)</f>
        <v>1</v>
      </c>
      <c r="K35" s="466" t="b">
        <v>0</v>
      </c>
      <c r="L35" s="460">
        <f>VLOOKUP($F35,Valve_from_BP!$O:$AE,9,0)</f>
        <v>0</v>
      </c>
      <c r="M35" s="466" t="b">
        <v>0</v>
      </c>
      <c r="N35" s="460">
        <f>VLOOKUP($F35,Valve_from_BP!$O:$AE,10,0)</f>
        <v>0</v>
      </c>
      <c r="O35" s="466">
        <v>0</v>
      </c>
      <c r="P35" s="460"/>
      <c r="Q35" s="466">
        <v>2</v>
      </c>
      <c r="R35" s="460">
        <v>2</v>
      </c>
      <c r="S35" s="783" t="s">
        <v>10381</v>
      </c>
      <c r="T35" s="460"/>
      <c r="U35" s="614">
        <v>76.301854518751995</v>
      </c>
      <c r="V35" s="460"/>
      <c r="W35" s="524">
        <v>0.24072352966581501</v>
      </c>
      <c r="X35" s="460"/>
      <c r="Y35" s="524">
        <v>751339.58419194701</v>
      </c>
      <c r="Z35" s="460"/>
    </row>
    <row r="36" spans="1:26">
      <c r="A36" s="776">
        <f>VLOOKUP(F36,Valve_from_BP!$O:$AE,2,0)</f>
        <v>0</v>
      </c>
      <c r="B36" s="762"/>
      <c r="C36" s="808" t="s">
        <v>10316</v>
      </c>
      <c r="D36" s="773"/>
      <c r="E36" s="459"/>
      <c r="F36" s="465" t="s">
        <v>9101</v>
      </c>
      <c r="G36" s="466">
        <v>1100</v>
      </c>
      <c r="H36" s="460">
        <f>VLOOKUP(F36,Valve_from_BP!$O:$AE,3,0)</f>
        <v>1100</v>
      </c>
      <c r="I36" s="466">
        <v>1</v>
      </c>
      <c r="J36" s="460">
        <f>VLOOKUP($F36,Valve_from_BP!$O:$AE,5,0)</f>
        <v>1</v>
      </c>
      <c r="K36" s="466" t="b">
        <v>0</v>
      </c>
      <c r="L36" s="460">
        <f>VLOOKUP($F36,Valve_from_BP!$O:$AE,9,0)</f>
        <v>0</v>
      </c>
      <c r="M36" s="466" t="b">
        <v>0</v>
      </c>
      <c r="N36" s="460">
        <f>VLOOKUP($F36,Valve_from_BP!$O:$AE,10,0)</f>
        <v>0</v>
      </c>
      <c r="O36" s="466">
        <v>1</v>
      </c>
      <c r="P36" s="460"/>
      <c r="Q36" s="466">
        <v>2</v>
      </c>
      <c r="R36" s="460">
        <v>2</v>
      </c>
      <c r="S36" s="783" t="s">
        <v>10381</v>
      </c>
      <c r="T36" s="460"/>
      <c r="U36" s="614">
        <v>93.5</v>
      </c>
      <c r="V36" s="460"/>
      <c r="W36" s="524">
        <v>0.163867875253457</v>
      </c>
      <c r="X36" s="460"/>
      <c r="Y36" s="524">
        <v>58554.325889872198</v>
      </c>
      <c r="Z36" s="460"/>
    </row>
    <row r="37" spans="1:26">
      <c r="A37" s="776" t="str">
        <f>VLOOKUP(F37,Valve_from_BP!$O:$AE,2,0)</f>
        <v>HICZ1018-19-22-23.pdf, 5/12</v>
      </c>
      <c r="B37" s="762"/>
      <c r="C37" s="808" t="s">
        <v>874</v>
      </c>
      <c r="D37" s="773"/>
      <c r="E37" s="459"/>
      <c r="F37" s="465" t="s">
        <v>9102</v>
      </c>
      <c r="G37" s="466">
        <v>1100</v>
      </c>
      <c r="H37" s="460">
        <f>VLOOKUP(F37,Valve_from_BP!$O:$AE,3,0)</f>
        <v>1100</v>
      </c>
      <c r="I37" s="466">
        <v>1</v>
      </c>
      <c r="J37" s="460">
        <f>VLOOKUP($F37,Valve_from_BP!$O:$AE,5,0)</f>
        <v>1</v>
      </c>
      <c r="K37" s="466" t="b">
        <v>0</v>
      </c>
      <c r="L37" s="460">
        <f>VLOOKUP($F37,Valve_from_BP!$O:$AE,9,0)</f>
        <v>0</v>
      </c>
      <c r="M37" s="466" t="b">
        <v>0</v>
      </c>
      <c r="N37" s="460">
        <f>VLOOKUP($F37,Valve_from_BP!$O:$AE,10,0)</f>
        <v>0</v>
      </c>
      <c r="O37" s="466">
        <v>1</v>
      </c>
      <c r="P37" s="460"/>
      <c r="Q37" s="466">
        <v>2</v>
      </c>
      <c r="R37" s="460">
        <v>2</v>
      </c>
      <c r="S37" s="783" t="s">
        <v>10381</v>
      </c>
      <c r="T37" s="460"/>
      <c r="U37" s="614">
        <v>93.5</v>
      </c>
      <c r="V37" s="460"/>
      <c r="W37" s="524">
        <v>0.163871645267121</v>
      </c>
      <c r="X37" s="460"/>
      <c r="Y37" s="524">
        <v>58556.942078681997</v>
      </c>
      <c r="Z37" s="460"/>
    </row>
    <row r="38" spans="1:26">
      <c r="A38" s="776">
        <f>VLOOKUP(F38,Valve_from_BP!$O:$AE,2,0)</f>
        <v>0</v>
      </c>
      <c r="B38" s="762"/>
      <c r="C38" s="808" t="s">
        <v>6612</v>
      </c>
      <c r="D38" s="773"/>
      <c r="E38" s="459"/>
      <c r="F38" s="465" t="s">
        <v>6612</v>
      </c>
      <c r="G38" s="466">
        <v>1100</v>
      </c>
      <c r="H38" s="460">
        <f>VLOOKUP(F38,Valve_from_BP!$O:$AE,3,0)</f>
        <v>1100</v>
      </c>
      <c r="I38" s="466">
        <v>1</v>
      </c>
      <c r="J38" s="460">
        <f>VLOOKUP($F38,Valve_from_BP!$O:$AE,5,0)</f>
        <v>1</v>
      </c>
      <c r="K38" s="466" t="b">
        <v>0</v>
      </c>
      <c r="L38" s="460">
        <f>VLOOKUP($F38,Valve_from_BP!$O:$AE,9,0)</f>
        <v>0</v>
      </c>
      <c r="M38" s="466" t="b">
        <v>0</v>
      </c>
      <c r="N38" s="460">
        <f>VLOOKUP($F38,Valve_from_BP!$O:$AE,10,0)</f>
        <v>0</v>
      </c>
      <c r="O38" s="466">
        <v>0.25</v>
      </c>
      <c r="P38" s="460"/>
      <c r="Q38" s="466">
        <v>2</v>
      </c>
      <c r="R38" s="460">
        <v>2</v>
      </c>
      <c r="S38" s="783" t="s">
        <v>10381</v>
      </c>
      <c r="T38" s="460"/>
      <c r="U38" s="614">
        <v>64.797869559720795</v>
      </c>
      <c r="V38" s="460"/>
      <c r="W38" s="524">
        <v>0.162730227630003</v>
      </c>
      <c r="X38" s="460"/>
      <c r="Y38" s="524">
        <v>564745.86507593899</v>
      </c>
      <c r="Z38" s="460"/>
    </row>
    <row r="39" spans="1:26">
      <c r="A39" s="776">
        <f>VLOOKUP(F39,Valve_from_BP!$O:$AE,2,0)</f>
        <v>0</v>
      </c>
      <c r="B39" s="762"/>
      <c r="C39" s="808" t="s">
        <v>866</v>
      </c>
      <c r="D39" s="773"/>
      <c r="E39" s="459"/>
      <c r="F39" s="465" t="s">
        <v>866</v>
      </c>
      <c r="G39" s="466">
        <v>1100</v>
      </c>
      <c r="H39" s="460">
        <f>VLOOKUP(F39,Valve_from_BP!$O:$AE,3,0)</f>
        <v>1100</v>
      </c>
      <c r="I39" s="466">
        <v>1</v>
      </c>
      <c r="J39" s="460">
        <f>VLOOKUP($F39,Valve_from_BP!$O:$AE,5,0)</f>
        <v>1</v>
      </c>
      <c r="K39" s="466" t="b">
        <v>0</v>
      </c>
      <c r="L39" s="460">
        <f>VLOOKUP($F39,Valve_from_BP!$O:$AE,9,0)</f>
        <v>0</v>
      </c>
      <c r="M39" s="466" t="b">
        <v>0</v>
      </c>
      <c r="N39" s="460">
        <f>VLOOKUP($F39,Valve_from_BP!$O:$AE,10,0)</f>
        <v>0</v>
      </c>
      <c r="O39" s="466">
        <v>0.25</v>
      </c>
      <c r="P39" s="460"/>
      <c r="Q39" s="466">
        <v>2</v>
      </c>
      <c r="R39" s="460">
        <v>2</v>
      </c>
      <c r="S39" s="783" t="s">
        <v>10381</v>
      </c>
      <c r="T39" s="460"/>
      <c r="U39" s="614">
        <v>64.797869559720795</v>
      </c>
      <c r="V39" s="460"/>
      <c r="W39" s="524">
        <v>0.16271630467619799</v>
      </c>
      <c r="X39" s="460"/>
      <c r="Y39" s="524">
        <v>564634.28813457605</v>
      </c>
      <c r="Z39" s="460"/>
    </row>
    <row r="40" spans="1:26">
      <c r="A40" s="776" t="str">
        <f>VLOOKUP(F40,Valve_from_BP!$O:$AE,2,0)</f>
        <v>LICZ1024.pdf, 3/4</v>
      </c>
      <c r="B40" s="762"/>
      <c r="C40" s="808" t="s">
        <v>7768</v>
      </c>
      <c r="D40" s="773"/>
      <c r="E40" s="459"/>
      <c r="F40" s="465" t="s">
        <v>7768</v>
      </c>
      <c r="G40" s="466">
        <v>2100</v>
      </c>
      <c r="H40" s="460">
        <f>VLOOKUP(F40,Valve_from_BP!$O:$AE,3,0)</f>
        <v>2100</v>
      </c>
      <c r="I40" s="466">
        <v>0</v>
      </c>
      <c r="J40" s="460">
        <f>VLOOKUP($F40,Valve_from_BP!$O:$AE,5,0)</f>
        <v>0</v>
      </c>
      <c r="K40" s="466" t="b">
        <v>1</v>
      </c>
      <c r="L40" s="460">
        <f>VLOOKUP($F40,Valve_from_BP!$O:$AE,9,0)</f>
        <v>1</v>
      </c>
      <c r="M40" s="466" t="b">
        <v>0</v>
      </c>
      <c r="N40" s="460">
        <f>VLOOKUP($F40,Valve_from_BP!$O:$AE,10,0)</f>
        <v>0</v>
      </c>
      <c r="O40" s="466">
        <v>0</v>
      </c>
      <c r="P40" s="460"/>
      <c r="Q40" s="466">
        <v>2</v>
      </c>
      <c r="R40" s="460">
        <v>2</v>
      </c>
      <c r="S40" s="783" t="s">
        <v>10381</v>
      </c>
      <c r="T40" s="460"/>
      <c r="U40" s="614">
        <v>0</v>
      </c>
      <c r="V40" s="460"/>
      <c r="W40" s="524">
        <v>0</v>
      </c>
      <c r="X40" s="460"/>
      <c r="Y40" s="524">
        <v>45399.382316147101</v>
      </c>
      <c r="Z40" s="460"/>
    </row>
    <row r="41" spans="1:26">
      <c r="A41" s="776" t="str">
        <f>VLOOKUP(F41,Valve_from_BP!$O:$AE,2,0)</f>
        <v>LICZ1024.pdf, 3/4</v>
      </c>
      <c r="B41" s="762"/>
      <c r="C41" s="807" t="s">
        <v>7769</v>
      </c>
      <c r="D41" s="773"/>
      <c r="E41" s="459"/>
      <c r="F41" s="465" t="s">
        <v>7769</v>
      </c>
      <c r="G41" s="744">
        <v>2100</v>
      </c>
      <c r="H41" s="460">
        <f>VLOOKUP(F41,Valve_from_BP!$O:$AE,3,0)</f>
        <v>2100</v>
      </c>
      <c r="I41" s="744">
        <v>0</v>
      </c>
      <c r="J41" s="460">
        <f>VLOOKUP($F41,Valve_from_BP!$O:$AE,5,0)</f>
        <v>0</v>
      </c>
      <c r="K41" s="744" t="b">
        <v>1</v>
      </c>
      <c r="L41" s="460">
        <f>VLOOKUP($F41,Valve_from_BP!$O:$AE,9,0)</f>
        <v>1</v>
      </c>
      <c r="M41" s="744" t="b">
        <v>0</v>
      </c>
      <c r="N41" s="460">
        <f>VLOOKUP($F41,Valve_from_BP!$O:$AE,10,0)</f>
        <v>0</v>
      </c>
      <c r="O41" s="744">
        <v>0</v>
      </c>
      <c r="P41" s="460"/>
      <c r="Q41" s="744">
        <v>2</v>
      </c>
      <c r="R41" s="460">
        <v>2</v>
      </c>
      <c r="S41" s="783" t="s">
        <v>10381</v>
      </c>
      <c r="T41" s="460"/>
      <c r="U41" s="744">
        <v>27.9039650686111</v>
      </c>
      <c r="V41" s="460"/>
      <c r="W41" s="744">
        <v>0.112606115078286</v>
      </c>
      <c r="X41" s="460"/>
      <c r="Y41" s="744">
        <v>45399.382316147101</v>
      </c>
      <c r="Z41" s="460"/>
    </row>
    <row r="42" spans="1:26">
      <c r="A42" s="776" t="str">
        <f>VLOOKUP(F42,Valve_from_BP!$O:$AE,2,0)</f>
        <v>PVz1010Pages from 0665-38248.pdf</v>
      </c>
      <c r="B42" s="762"/>
      <c r="C42" s="808" t="s">
        <v>7765</v>
      </c>
      <c r="D42" s="773"/>
      <c r="E42" s="459"/>
      <c r="F42" s="465" t="s">
        <v>7765</v>
      </c>
      <c r="G42" s="466">
        <v>4100</v>
      </c>
      <c r="H42" s="460">
        <f>VLOOKUP(F42,Valve_from_BP!$O:$AE,3,0)</f>
        <v>4100</v>
      </c>
      <c r="I42" s="466">
        <v>0</v>
      </c>
      <c r="J42" s="460">
        <f>VLOOKUP($F42,Valve_from_BP!$O:$AE,5,0)</f>
        <v>0</v>
      </c>
      <c r="K42" s="466" t="b">
        <v>0</v>
      </c>
      <c r="L42" s="460">
        <f>VLOOKUP($F42,Valve_from_BP!$O:$AE,9,0)</f>
        <v>0</v>
      </c>
      <c r="M42" s="466" t="b">
        <v>0</v>
      </c>
      <c r="N42" s="460">
        <f>VLOOKUP($F42,Valve_from_BP!$O:$AE,10,0)</f>
        <v>0</v>
      </c>
      <c r="O42" s="466">
        <v>0</v>
      </c>
      <c r="P42" s="460"/>
      <c r="Q42" s="466">
        <v>2</v>
      </c>
      <c r="R42" s="460">
        <v>2</v>
      </c>
      <c r="S42" s="783" t="s">
        <v>10381</v>
      </c>
      <c r="T42" s="460"/>
      <c r="U42" s="614">
        <v>22.247269930857001</v>
      </c>
      <c r="V42" s="460"/>
      <c r="W42" s="524">
        <v>1.86881299867217</v>
      </c>
      <c r="X42" s="460"/>
      <c r="Y42" s="524">
        <v>4802.8530879136897</v>
      </c>
      <c r="Z42" s="460"/>
    </row>
    <row r="43" spans="1:26">
      <c r="A43" s="776" t="str">
        <f>VLOOKUP(F43,Valve_from_BP!$O:$AE,2,0)</f>
        <v>LICZ1034.pdf</v>
      </c>
      <c r="B43" s="762"/>
      <c r="C43" s="808" t="s">
        <v>8016</v>
      </c>
      <c r="D43" s="773"/>
      <c r="E43" s="459"/>
      <c r="F43" s="465" t="s">
        <v>8016</v>
      </c>
      <c r="G43" s="466">
        <v>4.62</v>
      </c>
      <c r="H43" s="460">
        <f>VLOOKUP(F43,Valve_from_BP!$O:$AE,3,0)</f>
        <v>4.62</v>
      </c>
      <c r="I43" s="466">
        <v>1</v>
      </c>
      <c r="J43" s="460">
        <f>VLOOKUP($F43,Valve_from_BP!$O:$AE,5,0)</f>
        <v>1</v>
      </c>
      <c r="K43" s="466" t="b">
        <v>1</v>
      </c>
      <c r="L43" s="460">
        <f>VLOOKUP($F43,Valve_from_BP!$O:$AE,9,0)</f>
        <v>1</v>
      </c>
      <c r="M43" s="466" t="b">
        <v>1</v>
      </c>
      <c r="N43" s="460">
        <f>VLOOKUP($F43,Valve_from_BP!$O:$AE,10,0)</f>
        <v>1</v>
      </c>
      <c r="O43" s="466">
        <v>4</v>
      </c>
      <c r="P43" s="460">
        <f>VLOOKUP($F43,Valve_from_BP!$O:$AE,11,0)</f>
        <v>4</v>
      </c>
      <c r="Q43" s="466">
        <v>2</v>
      </c>
      <c r="R43" s="460">
        <v>2</v>
      </c>
      <c r="S43" s="783" t="s">
        <v>10381</v>
      </c>
      <c r="T43" s="460"/>
      <c r="U43" s="614">
        <v>1.79515675116027</v>
      </c>
      <c r="V43" s="460"/>
      <c r="W43" s="524">
        <v>2.47482256447329E-5</v>
      </c>
      <c r="X43" s="460"/>
      <c r="Y43" s="524">
        <v>118421.21011254701</v>
      </c>
      <c r="Z43" s="460"/>
    </row>
    <row r="44" spans="1:26">
      <c r="A44" s="776" t="str">
        <f>VLOOKUP(F44,Valve_from_BP!$O:$AE,2,0)</f>
        <v>LICZ1033.pdf</v>
      </c>
      <c r="B44" s="762"/>
      <c r="C44" s="808" t="s">
        <v>8014</v>
      </c>
      <c r="D44" s="773"/>
      <c r="E44" s="459"/>
      <c r="F44" s="465" t="s">
        <v>8014</v>
      </c>
      <c r="G44" s="466">
        <v>7.51</v>
      </c>
      <c r="H44" s="460">
        <f>VLOOKUP(F44,Valve_from_BP!$O:$AE,3,0)</f>
        <v>7.51</v>
      </c>
      <c r="I44" s="466">
        <v>1</v>
      </c>
      <c r="J44" s="460">
        <f>VLOOKUP($F44,Valve_from_BP!$O:$AE,5,0)</f>
        <v>1</v>
      </c>
      <c r="K44" s="466" t="b">
        <v>1</v>
      </c>
      <c r="L44" s="460">
        <f>VLOOKUP($F44,Valve_from_BP!$O:$AE,9,0)</f>
        <v>1</v>
      </c>
      <c r="M44" s="466" t="b">
        <v>1</v>
      </c>
      <c r="N44" s="460">
        <f>VLOOKUP($F44,Valve_from_BP!$O:$AE,10,0)</f>
        <v>1</v>
      </c>
      <c r="O44" s="466">
        <v>4</v>
      </c>
      <c r="P44" s="460">
        <f>VLOOKUP($F44,Valve_from_BP!$O:$AE,11,0)</f>
        <v>4</v>
      </c>
      <c r="Q44" s="466">
        <v>2</v>
      </c>
      <c r="R44" s="460">
        <v>2</v>
      </c>
      <c r="S44" s="783" t="s">
        <v>10381</v>
      </c>
      <c r="T44" s="460"/>
      <c r="U44" s="614">
        <v>48.373251421723701</v>
      </c>
      <c r="V44" s="460"/>
      <c r="W44" s="524">
        <v>2.9217724453098202E-4</v>
      </c>
      <c r="X44" s="460"/>
      <c r="Y44" s="524">
        <v>130979.90885393901</v>
      </c>
      <c r="Z44" s="460"/>
    </row>
    <row r="45" spans="1:26">
      <c r="A45" s="776" t="str">
        <f>VLOOKUP(F45,Valve_from_BP!$O:$AE,2,0)</f>
        <v>FCVZ2065.pdf, 4/4</v>
      </c>
      <c r="B45" s="762"/>
      <c r="C45" s="808" t="s">
        <v>731</v>
      </c>
      <c r="D45" s="773"/>
      <c r="E45" s="459"/>
      <c r="F45" s="465" t="s">
        <v>731</v>
      </c>
      <c r="G45" s="466">
        <v>8</v>
      </c>
      <c r="H45" s="460">
        <f>VLOOKUP(F45,Valve_from_BP!$O:$AE,3,0)</f>
        <v>8</v>
      </c>
      <c r="I45" s="466">
        <v>1</v>
      </c>
      <c r="J45" s="460">
        <f>VLOOKUP($F45,Valve_from_BP!$O:$AE,5,0)</f>
        <v>1</v>
      </c>
      <c r="K45" s="466" t="b">
        <v>1</v>
      </c>
      <c r="L45" s="460">
        <f>VLOOKUP($F45,Valve_from_BP!$O:$AE,9,0)</f>
        <v>1</v>
      </c>
      <c r="M45" s="466" t="b">
        <v>1</v>
      </c>
      <c r="N45" s="460">
        <f>VLOOKUP($F45,Valve_from_BP!$O:$AE,10,0)</f>
        <v>1</v>
      </c>
      <c r="O45" s="466">
        <v>1</v>
      </c>
      <c r="P45" s="460">
        <f>VLOOKUP($F45,Valve_from_BP!$O:$AE,11,0)</f>
        <v>1</v>
      </c>
      <c r="Q45" s="466">
        <v>2</v>
      </c>
      <c r="R45" s="460">
        <v>2</v>
      </c>
      <c r="S45" s="783" t="s">
        <v>10381</v>
      </c>
      <c r="T45" s="460"/>
      <c r="U45" s="614">
        <v>41.2609791520184</v>
      </c>
      <c r="V45" s="460"/>
      <c r="W45" s="524">
        <v>1.4166794685801099E-3</v>
      </c>
      <c r="X45" s="460"/>
      <c r="Y45" s="524">
        <v>6031053.3748210603</v>
      </c>
      <c r="Z45" s="460"/>
    </row>
    <row r="46" spans="1:26">
      <c r="A46" s="776" t="str">
        <f>VLOOKUP(F46,Valve_from_BP!$O:$AE,2,0)</f>
        <v>LICAZ4001.pdf</v>
      </c>
      <c r="B46" s="762"/>
      <c r="C46" s="808" t="s">
        <v>7885</v>
      </c>
      <c r="D46" s="773"/>
      <c r="E46" s="459"/>
      <c r="F46" s="465" t="s">
        <v>7885</v>
      </c>
      <c r="G46" s="466">
        <v>11.6</v>
      </c>
      <c r="H46" s="460">
        <f>VLOOKUP(F46,Valve_from_BP!$O:$AE,3,0)</f>
        <v>11.6</v>
      </c>
      <c r="I46" s="466">
        <v>1</v>
      </c>
      <c r="J46" s="460">
        <f>VLOOKUP($F46,Valve_from_BP!$O:$AE,5,0)</f>
        <v>1</v>
      </c>
      <c r="K46" s="466" t="b">
        <v>1</v>
      </c>
      <c r="L46" s="460">
        <f>VLOOKUP($F46,Valve_from_BP!$O:$AE,9,0)</f>
        <v>1</v>
      </c>
      <c r="M46" s="466" t="b">
        <v>1</v>
      </c>
      <c r="N46" s="460">
        <f>VLOOKUP($F46,Valve_from_BP!$O:$AE,10,0)</f>
        <v>1</v>
      </c>
      <c r="O46" s="466">
        <v>1</v>
      </c>
      <c r="P46" s="460">
        <f>VLOOKUP($F46,Valve_from_BP!$O:$AE,11,0)</f>
        <v>1</v>
      </c>
      <c r="Q46" s="466">
        <v>2</v>
      </c>
      <c r="R46" s="460">
        <v>2</v>
      </c>
      <c r="S46" s="783" t="s">
        <v>10381</v>
      </c>
      <c r="T46" s="460"/>
      <c r="U46" s="614">
        <v>0</v>
      </c>
      <c r="V46" s="460"/>
      <c r="W46" s="524">
        <v>0</v>
      </c>
      <c r="X46" s="460"/>
      <c r="Y46" s="524">
        <v>496576.89229653502</v>
      </c>
      <c r="Z46" s="460"/>
    </row>
    <row r="47" spans="1:26">
      <c r="A47" s="776" t="str">
        <f>VLOOKUP(F47,Valve_from_BP!$O:$AE,2,0)</f>
        <v>LICZ1043.pdf</v>
      </c>
      <c r="B47" s="762"/>
      <c r="C47" s="808" t="s">
        <v>8031</v>
      </c>
      <c r="D47" s="773"/>
      <c r="E47" s="459"/>
      <c r="F47" s="465" t="s">
        <v>8031</v>
      </c>
      <c r="G47" s="466">
        <v>13.2</v>
      </c>
      <c r="H47" s="460">
        <f>VLOOKUP(F47,Valve_from_BP!$O:$AE,3,0)</f>
        <v>13.2</v>
      </c>
      <c r="I47" s="466">
        <v>1</v>
      </c>
      <c r="J47" s="460">
        <f>VLOOKUP($F47,Valve_from_BP!$O:$AE,5,0)</f>
        <v>1</v>
      </c>
      <c r="K47" s="466" t="b">
        <v>1</v>
      </c>
      <c r="L47" s="460">
        <f>VLOOKUP($F47,Valve_from_BP!$O:$AE,9,0)</f>
        <v>1</v>
      </c>
      <c r="M47" s="466" t="b">
        <v>1</v>
      </c>
      <c r="N47" s="460">
        <f>VLOOKUP($F47,Valve_from_BP!$O:$AE,10,0)</f>
        <v>1</v>
      </c>
      <c r="O47" s="466">
        <v>1</v>
      </c>
      <c r="P47" s="460">
        <f>VLOOKUP($F47,Valve_from_BP!$O:$AE,11,0)</f>
        <v>1</v>
      </c>
      <c r="Q47" s="466">
        <v>2</v>
      </c>
      <c r="R47" s="460">
        <v>2</v>
      </c>
      <c r="S47" s="783" t="s">
        <v>10381</v>
      </c>
      <c r="T47" s="460"/>
      <c r="U47" s="614">
        <v>83.005297990742804</v>
      </c>
      <c r="V47" s="460"/>
      <c r="W47" s="524">
        <v>1.9698795396935298E-3</v>
      </c>
      <c r="X47" s="460"/>
      <c r="Y47" s="524">
        <v>140290.97836173599</v>
      </c>
      <c r="Z47" s="460"/>
    </row>
    <row r="48" spans="1:26">
      <c r="A48" s="776" t="str">
        <f>VLOOKUP(F48,Valve_from_BP!$O:$AE,2,0)</f>
        <v>FICZ1062 1001 0665-30878.pdf</v>
      </c>
      <c r="B48" s="762"/>
      <c r="C48" s="808" t="s">
        <v>7878</v>
      </c>
      <c r="D48" s="773"/>
      <c r="E48" s="459"/>
      <c r="F48" s="465" t="s">
        <v>7878</v>
      </c>
      <c r="G48" s="466">
        <v>14.6</v>
      </c>
      <c r="H48" s="460">
        <f>VLOOKUP(F48,Valve_from_BP!$O:$AE,3,0)</f>
        <v>14.6</v>
      </c>
      <c r="I48" s="466">
        <v>1</v>
      </c>
      <c r="J48" s="460">
        <f>VLOOKUP($F48,Valve_from_BP!$O:$AE,5,0)</f>
        <v>1</v>
      </c>
      <c r="K48" s="466" t="b">
        <v>1</v>
      </c>
      <c r="L48" s="460">
        <f>VLOOKUP($F48,Valve_from_BP!$O:$AE,9,0)</f>
        <v>1</v>
      </c>
      <c r="M48" s="466" t="b">
        <v>1</v>
      </c>
      <c r="N48" s="460">
        <f>VLOOKUP($F48,Valve_from_BP!$O:$AE,10,0)</f>
        <v>1</v>
      </c>
      <c r="O48" s="466">
        <v>1</v>
      </c>
      <c r="P48" s="460">
        <f>VLOOKUP($F48,Valve_from_BP!$O:$AE,11,0)</f>
        <v>1</v>
      </c>
      <c r="Q48" s="466">
        <v>2</v>
      </c>
      <c r="R48" s="460">
        <v>2</v>
      </c>
      <c r="S48" s="783" t="s">
        <v>10381</v>
      </c>
      <c r="T48" s="460"/>
      <c r="U48" s="614">
        <v>96.862697984784702</v>
      </c>
      <c r="V48" s="460"/>
      <c r="W48" s="524">
        <v>6.6666759658938497E-3</v>
      </c>
      <c r="X48" s="460"/>
      <c r="Y48" s="524">
        <v>454803.962162774</v>
      </c>
      <c r="Z48" s="460"/>
    </row>
    <row r="49" spans="1:26">
      <c r="A49" s="776" t="str">
        <f>VLOOKUP(F49,Valve_from_BP!$O:$AE,2,0)</f>
        <v>PICZ2010 and PICZ3001AB and 3010AB.pdf,12/13                                PICZ4001.pdf,2/3</v>
      </c>
      <c r="B49" s="762"/>
      <c r="C49" s="808" t="s">
        <v>7884</v>
      </c>
      <c r="D49" s="773"/>
      <c r="E49" s="459"/>
      <c r="F49" s="465" t="s">
        <v>7884</v>
      </c>
      <c r="G49" s="466">
        <v>16</v>
      </c>
      <c r="H49" s="460">
        <f>VLOOKUP(F49,Valve_from_BP!$O:$AE,3,0)</f>
        <v>16</v>
      </c>
      <c r="I49" s="466">
        <v>0</v>
      </c>
      <c r="J49" s="460">
        <f>VLOOKUP($F49,Valve_from_BP!$O:$AE,5,0)</f>
        <v>0</v>
      </c>
      <c r="K49" s="466" t="b">
        <v>1</v>
      </c>
      <c r="L49" s="460">
        <f>VLOOKUP($F49,Valve_from_BP!$O:$AE,9,0)</f>
        <v>1</v>
      </c>
      <c r="M49" s="466" t="b">
        <v>1</v>
      </c>
      <c r="N49" s="460">
        <f>VLOOKUP($F49,Valve_from_BP!$O:$AE,10,0)</f>
        <v>1</v>
      </c>
      <c r="O49" s="466">
        <v>1.7777777777777799</v>
      </c>
      <c r="P49" s="460">
        <f>VLOOKUP($F49,Valve_from_BP!$O:$AE,11,0)</f>
        <v>1.7777777777777777</v>
      </c>
      <c r="Q49" s="466">
        <v>2</v>
      </c>
      <c r="R49" s="460">
        <v>2</v>
      </c>
      <c r="S49" s="783" t="s">
        <v>10381</v>
      </c>
      <c r="T49" s="460"/>
      <c r="U49" s="614">
        <v>80.435013994282102</v>
      </c>
      <c r="V49" s="460"/>
      <c r="W49" s="524">
        <v>5.1111701164223396E-3</v>
      </c>
      <c r="X49" s="460"/>
      <c r="Y49" s="524">
        <v>220961.55591498001</v>
      </c>
      <c r="Z49" s="460"/>
    </row>
    <row r="50" spans="1:26">
      <c r="A50" s="776" t="str">
        <f>VLOOKUP(F50,Valve_from_BP!$O:$AE,2,0)</f>
        <v>FVZ1086.pdf</v>
      </c>
      <c r="B50" s="762"/>
      <c r="C50" s="808" t="s">
        <v>7879</v>
      </c>
      <c r="D50" s="773"/>
      <c r="E50" s="459"/>
      <c r="F50" s="465" t="s">
        <v>7879</v>
      </c>
      <c r="G50" s="466">
        <v>19.7</v>
      </c>
      <c r="H50" s="460">
        <f>VLOOKUP(F50,Valve_from_BP!$O:$AE,3,0)</f>
        <v>19.7</v>
      </c>
      <c r="I50" s="466">
        <v>1</v>
      </c>
      <c r="J50" s="460">
        <f>VLOOKUP($F50,Valve_from_BP!$O:$AE,5,0)</f>
        <v>1</v>
      </c>
      <c r="K50" s="466" t="b">
        <v>1</v>
      </c>
      <c r="L50" s="460">
        <f>VLOOKUP($F50,Valve_from_BP!$O:$AE,9,0)</f>
        <v>1</v>
      </c>
      <c r="M50" s="466" t="b">
        <v>1</v>
      </c>
      <c r="N50" s="460">
        <f>VLOOKUP($F50,Valve_from_BP!$O:$AE,10,0)</f>
        <v>1</v>
      </c>
      <c r="O50" s="466">
        <v>0.44444444444444398</v>
      </c>
      <c r="P50" s="460">
        <f>VLOOKUP($F50,Valve_from_BP!$O:$AE,11,0)</f>
        <v>0.44444444444444442</v>
      </c>
      <c r="Q50" s="466">
        <v>2</v>
      </c>
      <c r="R50" s="460">
        <v>2</v>
      </c>
      <c r="S50" s="783" t="s">
        <v>10381</v>
      </c>
      <c r="T50" s="460"/>
      <c r="U50" s="614">
        <v>83.389420279198106</v>
      </c>
      <c r="V50" s="460"/>
      <c r="W50" s="524">
        <v>3.9166828453463098E-3</v>
      </c>
      <c r="X50" s="460"/>
      <c r="Y50" s="524">
        <v>254803.962162774</v>
      </c>
      <c r="Z50" s="460"/>
    </row>
    <row r="51" spans="1:26">
      <c r="A51" s="776" t="str">
        <f>VLOOKUP(F51,Valve_from_BP!$O:$AE,2,0)</f>
        <v>LICAZ2004.pdf</v>
      </c>
      <c r="B51" s="762"/>
      <c r="C51" s="808" t="s">
        <v>6603</v>
      </c>
      <c r="D51" s="773"/>
      <c r="E51" s="459"/>
      <c r="F51" s="465" t="s">
        <v>6603</v>
      </c>
      <c r="G51" s="466">
        <v>28.9</v>
      </c>
      <c r="H51" s="460">
        <f>VLOOKUP(F51,Valve_from_BP!$O:$AE,3,0)</f>
        <v>28.9</v>
      </c>
      <c r="I51" s="466">
        <v>1</v>
      </c>
      <c r="J51" s="460">
        <f>VLOOKUP($F51,Valve_from_BP!$O:$AE,5,0)</f>
        <v>1</v>
      </c>
      <c r="K51" s="466" t="b">
        <v>1</v>
      </c>
      <c r="L51" s="460">
        <f>VLOOKUP($F51,Valve_from_BP!$O:$AE,9,0)</f>
        <v>1</v>
      </c>
      <c r="M51" s="466" t="b">
        <v>1</v>
      </c>
      <c r="N51" s="460">
        <f>VLOOKUP($F51,Valve_from_BP!$O:$AE,10,0)</f>
        <v>1</v>
      </c>
      <c r="O51" s="466">
        <v>0.25</v>
      </c>
      <c r="P51" s="460">
        <f>VLOOKUP($F51,Valve_from_BP!$O:$AE,11,0)</f>
        <v>0.25</v>
      </c>
      <c r="Q51" s="466">
        <v>2</v>
      </c>
      <c r="R51" s="460">
        <v>2</v>
      </c>
      <c r="S51" s="783" t="s">
        <v>10381</v>
      </c>
      <c r="T51" s="460"/>
      <c r="U51" s="614">
        <v>0</v>
      </c>
      <c r="V51" s="460"/>
      <c r="W51" s="524">
        <v>0</v>
      </c>
      <c r="X51" s="460"/>
      <c r="Y51" s="524">
        <v>658079.02273565903</v>
      </c>
      <c r="Z51" s="460"/>
    </row>
    <row r="52" spans="1:26" s="436" customFormat="1">
      <c r="A52" s="776">
        <f>VLOOKUP(F52,Valve_from_BP!$O:$AE,2,0)</f>
        <v>0</v>
      </c>
      <c r="B52" s="762"/>
      <c r="C52" s="806" t="s">
        <v>803</v>
      </c>
      <c r="D52" s="773"/>
      <c r="E52" s="459"/>
      <c r="F52" s="846" t="s">
        <v>803</v>
      </c>
      <c r="G52" s="466">
        <v>32</v>
      </c>
      <c r="H52" s="460">
        <f>VLOOKUP(F52,Valve_from_BP!$O:$AE,3,0)</f>
        <v>32</v>
      </c>
      <c r="I52" s="466">
        <v>0</v>
      </c>
      <c r="J52" s="460">
        <f>VLOOKUP($F52,Valve_from_BP!$O:$AE,5,0)</f>
        <v>0</v>
      </c>
      <c r="K52" s="466" t="b">
        <v>1</v>
      </c>
      <c r="L52" s="460">
        <f>VLOOKUP($F52,Valve_from_BP!$O:$AE,9,0)</f>
        <v>1</v>
      </c>
      <c r="M52" s="466" t="b">
        <v>1</v>
      </c>
      <c r="N52" s="460">
        <f>VLOOKUP($F52,Valve_from_BP!$O:$AE,10,0)</f>
        <v>1</v>
      </c>
      <c r="O52" s="466">
        <v>0.11111111111111099</v>
      </c>
      <c r="P52" s="460">
        <f>VLOOKUP($F52,Valve_from_BP!$O:$AE,11,0)</f>
        <v>0.1111111111111111</v>
      </c>
      <c r="Q52" s="466">
        <v>2</v>
      </c>
      <c r="R52" s="772">
        <v>2</v>
      </c>
      <c r="S52" s="783" t="s">
        <v>10381</v>
      </c>
      <c r="T52" s="772"/>
      <c r="U52" s="614">
        <v>12.3701651058689</v>
      </c>
      <c r="V52" s="460"/>
      <c r="W52" s="524">
        <v>1.4109792797324899E-3</v>
      </c>
      <c r="X52" s="460"/>
      <c r="Y52" s="524">
        <v>224509.41879397299</v>
      </c>
      <c r="Z52" s="460"/>
    </row>
    <row r="53" spans="1:26" s="436" customFormat="1">
      <c r="A53" s="776">
        <f>VLOOKUP(F53,Valve_from_BP!$O:$AE,2,0)</f>
        <v>0</v>
      </c>
      <c r="B53" s="762"/>
      <c r="C53" s="807" t="s">
        <v>835</v>
      </c>
      <c r="D53" s="773"/>
      <c r="E53" s="459"/>
      <c r="F53" s="846" t="s">
        <v>835</v>
      </c>
      <c r="G53" s="466">
        <v>32</v>
      </c>
      <c r="H53" s="460">
        <f>VLOOKUP(F53,Valve_from_BP!$O:$AE,3,0)</f>
        <v>32</v>
      </c>
      <c r="I53" s="466">
        <v>1</v>
      </c>
      <c r="J53" s="460">
        <f>VLOOKUP($F53,Valve_from_BP!$O:$AE,5,0)</f>
        <v>1</v>
      </c>
      <c r="K53" s="466" t="b">
        <v>1</v>
      </c>
      <c r="L53" s="460">
        <f>VLOOKUP($F53,Valve_from_BP!$O:$AE,9,0)</f>
        <v>1</v>
      </c>
      <c r="M53" s="466" t="b">
        <v>1</v>
      </c>
      <c r="N53" s="460">
        <f>VLOOKUP($F53,Valve_from_BP!$O:$AE,10,0)</f>
        <v>1</v>
      </c>
      <c r="O53" s="466">
        <v>0.25</v>
      </c>
      <c r="P53" s="460">
        <f>VLOOKUP($F53,Valve_from_BP!$O:$AE,11,0)</f>
        <v>0.25</v>
      </c>
      <c r="Q53" s="466">
        <v>2</v>
      </c>
      <c r="R53" s="772">
        <v>2</v>
      </c>
      <c r="S53" s="783" t="s">
        <v>10381</v>
      </c>
      <c r="T53" s="772"/>
      <c r="U53" s="614">
        <v>0.15626654386531999</v>
      </c>
      <c r="V53" s="460"/>
      <c r="W53" s="524">
        <v>3.3087585167753097E-5</v>
      </c>
      <c r="X53" s="460"/>
      <c r="Y53" s="524">
        <v>755202.29978057905</v>
      </c>
      <c r="Z53" s="460"/>
    </row>
    <row r="54" spans="1:26" s="436" customFormat="1">
      <c r="A54" s="776" t="str">
        <f>VLOOKUP(F54,Valve_from_BP!$O:$AE,2,0)</f>
        <v>LICAZ1032.pdf</v>
      </c>
      <c r="B54" s="762"/>
      <c r="C54" s="808" t="s">
        <v>8198</v>
      </c>
      <c r="D54" s="773"/>
      <c r="E54" s="459"/>
      <c r="F54" s="846" t="s">
        <v>8198</v>
      </c>
      <c r="G54" s="466">
        <v>35.799999999999997</v>
      </c>
      <c r="H54" s="460">
        <f>VLOOKUP(F54,Valve_from_BP!$O:$AE,3,0)</f>
        <v>35.799999999999997</v>
      </c>
      <c r="I54" s="466">
        <v>1</v>
      </c>
      <c r="J54" s="460">
        <f>VLOOKUP($F54,Valve_from_BP!$O:$AE,5,0)</f>
        <v>1</v>
      </c>
      <c r="K54" s="466" t="b">
        <v>1</v>
      </c>
      <c r="L54" s="460">
        <f>VLOOKUP($F54,Valve_from_BP!$O:$AE,9,0)</f>
        <v>1</v>
      </c>
      <c r="M54" s="466" t="b">
        <v>1</v>
      </c>
      <c r="N54" s="460">
        <f>VLOOKUP($F54,Valve_from_BP!$O:$AE,10,0)</f>
        <v>1</v>
      </c>
      <c r="O54" s="466">
        <v>1</v>
      </c>
      <c r="P54" s="460">
        <f>VLOOKUP($F54,Valve_from_BP!$O:$AE,11,0)</f>
        <v>1</v>
      </c>
      <c r="Q54" s="466">
        <v>2</v>
      </c>
      <c r="R54" s="772">
        <v>2</v>
      </c>
      <c r="S54" s="783" t="s">
        <v>10381</v>
      </c>
      <c r="T54" s="772"/>
      <c r="U54" s="614">
        <v>23.199548168230301</v>
      </c>
      <c r="V54" s="460"/>
      <c r="W54" s="524">
        <v>1.3057476852646401E-3</v>
      </c>
      <c r="X54" s="460"/>
      <c r="Y54" s="524">
        <v>835486.985776874</v>
      </c>
      <c r="Z54" s="460"/>
    </row>
    <row r="55" spans="1:26" s="436" customFormat="1">
      <c r="A55" s="776" t="str">
        <f>VLOOKUP(F55,Valve_from_BP!$O:$AE,2,0)</f>
        <v>LICAZ2002.pdf</v>
      </c>
      <c r="B55" s="762"/>
      <c r="C55" s="808" t="s">
        <v>6602</v>
      </c>
      <c r="D55" s="773"/>
      <c r="E55" s="459"/>
      <c r="F55" s="846" t="s">
        <v>6602</v>
      </c>
      <c r="G55" s="466">
        <v>35.799999999999997</v>
      </c>
      <c r="H55" s="460">
        <f>VLOOKUP(F55,Valve_from_BP!$O:$AE,3,0)</f>
        <v>35.799999999999997</v>
      </c>
      <c r="I55" s="466">
        <v>1</v>
      </c>
      <c r="J55" s="460">
        <f>VLOOKUP($F55,Valve_from_BP!$O:$AE,5,0)</f>
        <v>1</v>
      </c>
      <c r="K55" s="466" t="b">
        <v>1</v>
      </c>
      <c r="L55" s="460">
        <f>VLOOKUP($F55,Valve_from_BP!$O:$AE,9,0)</f>
        <v>1</v>
      </c>
      <c r="M55" s="466" t="b">
        <v>1</v>
      </c>
      <c r="N55" s="460">
        <f>VLOOKUP($F55,Valve_from_BP!$O:$AE,10,0)</f>
        <v>1</v>
      </c>
      <c r="O55" s="466">
        <v>1.7777777777777799</v>
      </c>
      <c r="P55" s="460">
        <f>VLOOKUP($F55,Valve_from_BP!$O:$AE,11,0)</f>
        <v>1.7777777777777777</v>
      </c>
      <c r="Q55" s="466">
        <v>2</v>
      </c>
      <c r="R55" s="772">
        <v>2</v>
      </c>
      <c r="S55" s="783" t="s">
        <v>10381</v>
      </c>
      <c r="T55" s="772"/>
      <c r="U55" s="614">
        <v>5.5334946545631501E-3</v>
      </c>
      <c r="V55" s="460"/>
      <c r="W55" s="524">
        <v>2.25119434538314E-6</v>
      </c>
      <c r="X55" s="460"/>
      <c r="Y55" s="524">
        <v>2029632.6364535301</v>
      </c>
      <c r="Z55" s="460"/>
    </row>
    <row r="56" spans="1:26" s="436" customFormat="1">
      <c r="A56" s="776" t="str">
        <f>VLOOKUP(F56,Valve_from_BP!$O:$AE,2,0)</f>
        <v>LICZ1005.pdf</v>
      </c>
      <c r="B56" s="762"/>
      <c r="C56" s="808" t="s">
        <v>7881</v>
      </c>
      <c r="D56" s="773"/>
      <c r="E56" s="459"/>
      <c r="F56" s="846" t="s">
        <v>7881</v>
      </c>
      <c r="G56" s="466">
        <v>39.299999999999997</v>
      </c>
      <c r="H56" s="460">
        <f>VLOOKUP(F56,Valve_from_BP!$O:$AE,3,0)</f>
        <v>39.299999999999997</v>
      </c>
      <c r="I56" s="466">
        <v>1</v>
      </c>
      <c r="J56" s="460">
        <f>VLOOKUP($F56,Valve_from_BP!$O:$AE,5,0)</f>
        <v>1</v>
      </c>
      <c r="K56" s="466" t="b">
        <v>1</v>
      </c>
      <c r="L56" s="460">
        <f>VLOOKUP($F56,Valve_from_BP!$O:$AE,9,0)</f>
        <v>1</v>
      </c>
      <c r="M56" s="466" t="b">
        <v>1</v>
      </c>
      <c r="N56" s="460">
        <f>VLOOKUP($F56,Valve_from_BP!$O:$AE,10,0)</f>
        <v>1</v>
      </c>
      <c r="O56" s="466">
        <v>1</v>
      </c>
      <c r="P56" s="460">
        <f>VLOOKUP($F56,Valve_from_BP!$O:$AE,11,0)</f>
        <v>1</v>
      </c>
      <c r="Q56" s="466">
        <v>2</v>
      </c>
      <c r="R56" s="772">
        <v>2</v>
      </c>
      <c r="S56" s="783" t="s">
        <v>10381</v>
      </c>
      <c r="T56" s="772"/>
      <c r="U56" s="614">
        <v>40.649293074733102</v>
      </c>
      <c r="V56" s="460"/>
      <c r="W56" s="524">
        <v>2.6422038814657E-3</v>
      </c>
      <c r="X56" s="460"/>
      <c r="Y56" s="524">
        <v>888376.42752014205</v>
      </c>
      <c r="Z56" s="460"/>
    </row>
    <row r="57" spans="1:26" s="436" customFormat="1">
      <c r="A57" s="776" t="str">
        <f>VLOOKUP(F57,Valve_from_BP!$O:$AE,2,0)</f>
        <v>FCVZ1008-11-101 and LCVZ1044.pdf, 1/12</v>
      </c>
      <c r="B57" s="762"/>
      <c r="C57" s="808" t="s">
        <v>6608</v>
      </c>
      <c r="D57" s="773"/>
      <c r="E57" s="459"/>
      <c r="F57" s="846" t="s">
        <v>6608</v>
      </c>
      <c r="G57" s="466">
        <v>43.7</v>
      </c>
      <c r="H57" s="460">
        <f>VLOOKUP(F57,Valve_from_BP!$O:$AE,3,0)</f>
        <v>43.7</v>
      </c>
      <c r="I57" s="466">
        <v>1</v>
      </c>
      <c r="J57" s="460">
        <f>VLOOKUP($F57,Valve_from_BP!$O:$AE,5,0)</f>
        <v>1</v>
      </c>
      <c r="K57" s="466" t="b">
        <v>1</v>
      </c>
      <c r="L57" s="460">
        <f>VLOOKUP($F57,Valve_from_BP!$O:$AE,9,0)</f>
        <v>1</v>
      </c>
      <c r="M57" s="466" t="b">
        <v>1</v>
      </c>
      <c r="N57" s="460">
        <f>VLOOKUP($F57,Valve_from_BP!$O:$AE,10,0)</f>
        <v>1</v>
      </c>
      <c r="O57" s="466">
        <v>2.25</v>
      </c>
      <c r="P57" s="460">
        <f>VLOOKUP($F57,Valve_from_BP!$O:$AE,11,0)</f>
        <v>2.25</v>
      </c>
      <c r="Q57" s="466">
        <v>2</v>
      </c>
      <c r="R57" s="772">
        <v>2</v>
      </c>
      <c r="S57" s="783" t="s">
        <v>10381</v>
      </c>
      <c r="T57" s="772"/>
      <c r="U57" s="614">
        <v>64.952556644542994</v>
      </c>
      <c r="V57" s="460"/>
      <c r="W57" s="524">
        <v>8.1977574504711707E-3</v>
      </c>
      <c r="X57" s="460"/>
      <c r="Y57" s="524">
        <v>1066461.1385975</v>
      </c>
      <c r="Z57" s="460"/>
    </row>
    <row r="58" spans="1:26" s="436" customFormat="1">
      <c r="A58" s="776" t="str">
        <f>VLOOKUP(F58,Valve_from_BP!$O:$AE,2,0)</f>
        <v>FCVZ1008-11-101 and LCVZ1044.pdf, 2/12</v>
      </c>
      <c r="B58" s="762"/>
      <c r="C58" s="808" t="s">
        <v>6607</v>
      </c>
      <c r="D58" s="773"/>
      <c r="E58" s="459"/>
      <c r="F58" s="846" t="s">
        <v>6607</v>
      </c>
      <c r="G58" s="466">
        <v>43.7</v>
      </c>
      <c r="H58" s="460">
        <f>VLOOKUP(F58,Valve_from_BP!$O:$AE,3,0)</f>
        <v>43.7</v>
      </c>
      <c r="I58" s="466">
        <v>1</v>
      </c>
      <c r="J58" s="460">
        <f>VLOOKUP($F58,Valve_from_BP!$O:$AE,5,0)</f>
        <v>1</v>
      </c>
      <c r="K58" s="466" t="b">
        <v>1</v>
      </c>
      <c r="L58" s="460">
        <f>VLOOKUP($F58,Valve_from_BP!$O:$AE,9,0)</f>
        <v>1</v>
      </c>
      <c r="M58" s="466" t="b">
        <v>1</v>
      </c>
      <c r="N58" s="460">
        <f>VLOOKUP($F58,Valve_from_BP!$O:$AE,10,0)</f>
        <v>1</v>
      </c>
      <c r="O58" s="466">
        <v>2.25</v>
      </c>
      <c r="P58" s="460">
        <f>VLOOKUP($F58,Valve_from_BP!$O:$AE,11,0)</f>
        <v>2.25</v>
      </c>
      <c r="Q58" s="466">
        <v>2</v>
      </c>
      <c r="R58" s="772">
        <v>2</v>
      </c>
      <c r="S58" s="783" t="s">
        <v>10381</v>
      </c>
      <c r="T58" s="772"/>
      <c r="U58" s="614">
        <v>64.952509984825696</v>
      </c>
      <c r="V58" s="460"/>
      <c r="W58" s="524">
        <v>8.1977576103993803E-3</v>
      </c>
      <c r="X58" s="460"/>
      <c r="Y58" s="524">
        <v>1066465.11363591</v>
      </c>
      <c r="Z58" s="460"/>
    </row>
    <row r="59" spans="1:26" s="436" customFormat="1">
      <c r="A59" s="776">
        <f>VLOOKUP(F59,Valve_from_BP!$O:$AE,2,0)</f>
        <v>0</v>
      </c>
      <c r="B59" s="762"/>
      <c r="C59" s="808" t="s">
        <v>10108</v>
      </c>
      <c r="D59" s="773"/>
      <c r="E59" s="459"/>
      <c r="F59" s="846" t="s">
        <v>6623</v>
      </c>
      <c r="G59" s="466">
        <v>67</v>
      </c>
      <c r="H59" s="460">
        <f>VLOOKUP(F59,Valve_from_BP!$O:$AE,3,0)</f>
        <v>67</v>
      </c>
      <c r="I59" s="466">
        <v>1</v>
      </c>
      <c r="J59" s="460">
        <f>VLOOKUP($F59,Valve_from_BP!$O:$AE,5,0)</f>
        <v>1</v>
      </c>
      <c r="K59" s="466" t="b">
        <v>1</v>
      </c>
      <c r="L59" s="460">
        <f>VLOOKUP($F59,Valve_from_BP!$O:$AE,9,0)</f>
        <v>1</v>
      </c>
      <c r="M59" s="466" t="b">
        <v>1</v>
      </c>
      <c r="N59" s="460">
        <f>VLOOKUP($F59,Valve_from_BP!$O:$AE,10,0)</f>
        <v>1</v>
      </c>
      <c r="O59" s="466">
        <v>1.7777777777777799</v>
      </c>
      <c r="P59" s="460">
        <f>VLOOKUP($F59,Valve_from_BP!$O:$AE,11,0)</f>
        <v>1.7777777777777777</v>
      </c>
      <c r="Q59" s="466">
        <v>2</v>
      </c>
      <c r="R59" s="772">
        <v>2</v>
      </c>
      <c r="S59" s="783" t="s">
        <v>10381</v>
      </c>
      <c r="T59" s="772"/>
      <c r="U59" s="614">
        <v>88.895042942328004</v>
      </c>
      <c r="V59" s="460"/>
      <c r="W59" s="524">
        <v>1.51735974691145E-3</v>
      </c>
      <c r="X59" s="460"/>
      <c r="Y59" s="524">
        <v>35146.6338153084</v>
      </c>
      <c r="Z59" s="460"/>
    </row>
    <row r="60" spans="1:26" s="436" customFormat="1">
      <c r="A60" s="776" t="str">
        <f>VLOOKUP(F60,Valve_from_BP!$O:$AE,2,0)</f>
        <v>FCVZ1008-11-101 and LCVZ1044.pdf, 3/12</v>
      </c>
      <c r="B60" s="762"/>
      <c r="C60" s="808" t="s">
        <v>6613</v>
      </c>
      <c r="D60" s="773"/>
      <c r="E60" s="459"/>
      <c r="F60" s="846" t="s">
        <v>6613</v>
      </c>
      <c r="G60" s="466">
        <v>70.7</v>
      </c>
      <c r="H60" s="460">
        <f>VLOOKUP(F60,Valve_from_BP!$O:$AE,3,0)</f>
        <v>70.7</v>
      </c>
      <c r="I60" s="466">
        <v>1</v>
      </c>
      <c r="J60" s="460">
        <f>VLOOKUP($F60,Valve_from_BP!$O:$AE,5,0)</f>
        <v>1</v>
      </c>
      <c r="K60" s="466" t="b">
        <v>1</v>
      </c>
      <c r="L60" s="460">
        <f>VLOOKUP($F60,Valve_from_BP!$O:$AE,9,0)</f>
        <v>1</v>
      </c>
      <c r="M60" s="466" t="b">
        <v>1</v>
      </c>
      <c r="N60" s="460">
        <f>VLOOKUP($F60,Valve_from_BP!$O:$AE,10,0)</f>
        <v>1</v>
      </c>
      <c r="O60" s="466">
        <v>1</v>
      </c>
      <c r="P60" s="460">
        <f>VLOOKUP($F60,Valve_from_BP!$O:$AE,11,0)</f>
        <v>1</v>
      </c>
      <c r="Q60" s="466">
        <v>2</v>
      </c>
      <c r="R60" s="772">
        <v>2</v>
      </c>
      <c r="S60" s="783" t="s">
        <v>10381</v>
      </c>
      <c r="T60" s="772"/>
      <c r="U60" s="614">
        <v>68.263726323012307</v>
      </c>
      <c r="V60" s="460"/>
      <c r="W60" s="524">
        <v>1.6309220626922898E-2</v>
      </c>
      <c r="X60" s="460"/>
      <c r="Y60" s="524">
        <v>1201742.22536271</v>
      </c>
      <c r="Z60" s="460"/>
    </row>
    <row r="61" spans="1:26" s="436" customFormat="1">
      <c r="A61" s="776">
        <f>VLOOKUP(F61,Valve_from_BP!$O:$AE,2,0)</f>
        <v>0</v>
      </c>
      <c r="B61" s="762"/>
      <c r="C61" s="808" t="s">
        <v>6609</v>
      </c>
      <c r="D61" s="773"/>
      <c r="E61" s="459"/>
      <c r="F61" s="846" t="s">
        <v>6609</v>
      </c>
      <c r="G61" s="466">
        <v>92.4</v>
      </c>
      <c r="H61" s="460">
        <f>VLOOKUP(F61,Valve_from_BP!$O:$AE,3,0)</f>
        <v>92.4</v>
      </c>
      <c r="I61" s="466">
        <v>0</v>
      </c>
      <c r="J61" s="460">
        <f>VLOOKUP($F61,Valve_from_BP!$O:$AE,5,0)</f>
        <v>0</v>
      </c>
      <c r="K61" s="466" t="b">
        <v>1</v>
      </c>
      <c r="L61" s="460">
        <f>VLOOKUP($F61,Valve_from_BP!$O:$AE,9,0)</f>
        <v>1</v>
      </c>
      <c r="M61" s="466" t="b">
        <v>1</v>
      </c>
      <c r="N61" s="460">
        <f>VLOOKUP($F61,Valve_from_BP!$O:$AE,10,0)</f>
        <v>1</v>
      </c>
      <c r="O61" s="466">
        <v>1.7777777777777799</v>
      </c>
      <c r="P61" s="460">
        <f>VLOOKUP($F61,Valve_from_BP!$O:$AE,11,0)</f>
        <v>1.7777777777777777</v>
      </c>
      <c r="Q61" s="466">
        <v>2</v>
      </c>
      <c r="R61" s="772">
        <v>2</v>
      </c>
      <c r="S61" s="783" t="s">
        <v>10381</v>
      </c>
      <c r="T61" s="772"/>
      <c r="U61" s="614">
        <v>0</v>
      </c>
      <c r="V61" s="460"/>
      <c r="W61" s="524">
        <v>0</v>
      </c>
      <c r="X61" s="460"/>
      <c r="Y61" s="524">
        <v>1269794.1278327899</v>
      </c>
      <c r="Z61" s="460"/>
    </row>
    <row r="62" spans="1:26" s="436" customFormat="1">
      <c r="A62" s="776">
        <f>VLOOKUP(F62,Valve_from_BP!$O:$AE,2,0)</f>
        <v>0</v>
      </c>
      <c r="B62" s="762"/>
      <c r="C62" s="808" t="s">
        <v>8007</v>
      </c>
      <c r="D62" s="773"/>
      <c r="E62" s="459"/>
      <c r="F62" s="846" t="s">
        <v>8007</v>
      </c>
      <c r="G62" s="466">
        <v>105</v>
      </c>
      <c r="H62" s="460">
        <f>VLOOKUP(F62,Valve_from_BP!$O:$AE,3,0)</f>
        <v>105</v>
      </c>
      <c r="I62" s="466">
        <v>1</v>
      </c>
      <c r="J62" s="460">
        <f>VLOOKUP($F62,Valve_from_BP!$O:$AE,5,0)</f>
        <v>1</v>
      </c>
      <c r="K62" s="466" t="b">
        <v>1</v>
      </c>
      <c r="L62" s="460">
        <f>VLOOKUP($F62,Valve_from_BP!$O:$AE,9,0)</f>
        <v>1</v>
      </c>
      <c r="M62" s="466" t="b">
        <v>1</v>
      </c>
      <c r="N62" s="460">
        <f>VLOOKUP($F62,Valve_from_BP!$O:$AE,10,0)</f>
        <v>1</v>
      </c>
      <c r="O62" s="466">
        <v>1.7777777777777799</v>
      </c>
      <c r="P62" s="460">
        <f>VLOOKUP($F62,Valve_from_BP!$O:$AE,11,0)</f>
        <v>1.7777777777777777</v>
      </c>
      <c r="Q62" s="466">
        <v>2</v>
      </c>
      <c r="R62" s="772">
        <v>2</v>
      </c>
      <c r="S62" s="783" t="s">
        <v>10381</v>
      </c>
      <c r="T62" s="772"/>
      <c r="U62" s="614">
        <v>34.131543202921897</v>
      </c>
      <c r="V62" s="460"/>
      <c r="W62" s="524">
        <v>6.3382406184692597E-4</v>
      </c>
      <c r="X62" s="460"/>
      <c r="Y62" s="524">
        <v>8927.5007262125691</v>
      </c>
      <c r="Z62" s="804"/>
    </row>
    <row r="63" spans="1:26" s="436" customFormat="1">
      <c r="A63" s="776" t="str">
        <f>VLOOKUP(F63,Valve_from_BP!$O:$AE,2,0)</f>
        <v>Datasheets FCVz3004-3010-2066-2067.pdf,2/7  NL5618-00_J_02_0002.pdf, 30/56</v>
      </c>
      <c r="B63" s="762"/>
      <c r="C63" s="808" t="s">
        <v>6614</v>
      </c>
      <c r="D63" s="773"/>
      <c r="E63" s="459"/>
      <c r="F63" s="846" t="s">
        <v>6614</v>
      </c>
      <c r="G63" s="466">
        <v>136</v>
      </c>
      <c r="H63" s="460">
        <f>VLOOKUP(F63,Valve_from_BP!$O:$AE,3,0)</f>
        <v>136</v>
      </c>
      <c r="I63" s="466">
        <v>1</v>
      </c>
      <c r="J63" s="460">
        <f>VLOOKUP($F63,Valve_from_BP!$O:$AE,5,0)</f>
        <v>1</v>
      </c>
      <c r="K63" s="466" t="b">
        <v>1</v>
      </c>
      <c r="L63" s="460">
        <f>VLOOKUP($F63,Valve_from_BP!$O:$AE,9,0)</f>
        <v>1</v>
      </c>
      <c r="M63" s="466" t="b">
        <v>1</v>
      </c>
      <c r="N63" s="460">
        <f>VLOOKUP($F63,Valve_from_BP!$O:$AE,10,0)</f>
        <v>1</v>
      </c>
      <c r="O63" s="466">
        <v>1</v>
      </c>
      <c r="P63" s="460">
        <f>VLOOKUP($F63,Valve_from_BP!$O:$AE,11,0)</f>
        <v>1</v>
      </c>
      <c r="Q63" s="466">
        <v>2</v>
      </c>
      <c r="R63" s="772">
        <v>2</v>
      </c>
      <c r="S63" s="783" t="s">
        <v>10381</v>
      </c>
      <c r="T63" s="772"/>
      <c r="U63" s="614">
        <v>30.351406972878099</v>
      </c>
      <c r="V63" s="460"/>
      <c r="W63" s="524">
        <v>8.0068276573782293E-3</v>
      </c>
      <c r="X63" s="460"/>
      <c r="Y63" s="524">
        <v>827831.00353272096</v>
      </c>
      <c r="Z63" s="460"/>
    </row>
    <row r="64" spans="1:26" s="436" customFormat="1">
      <c r="A64" s="776" t="str">
        <f>VLOOKUP(F64,Valve_from_BP!$O:$AE,2,0)</f>
        <v>PICZ2010 and PICZ3001AB and 3010AB.pdf, 8/13</v>
      </c>
      <c r="B64" s="762"/>
      <c r="C64" s="808" t="s">
        <v>8033</v>
      </c>
      <c r="D64" s="773"/>
      <c r="E64" s="459"/>
      <c r="F64" s="846" t="s">
        <v>8033</v>
      </c>
      <c r="G64" s="466">
        <v>140</v>
      </c>
      <c r="H64" s="460">
        <f>VLOOKUP(F64,Valve_from_BP!$O:$AE,3,0)</f>
        <v>140</v>
      </c>
      <c r="I64" s="466">
        <v>0</v>
      </c>
      <c r="J64" s="460">
        <f>VLOOKUP($F64,Valve_from_BP!$O:$AE,5,0)</f>
        <v>0</v>
      </c>
      <c r="K64" s="466" t="b">
        <v>1</v>
      </c>
      <c r="L64" s="460">
        <f>VLOOKUP($F64,Valve_from_BP!$O:$AE,9,0)</f>
        <v>1</v>
      </c>
      <c r="M64" s="466" t="b">
        <v>1</v>
      </c>
      <c r="N64" s="460">
        <f>VLOOKUP($F64,Valve_from_BP!$O:$AE,10,0)</f>
        <v>1</v>
      </c>
      <c r="O64" s="466">
        <v>1</v>
      </c>
      <c r="P64" s="460">
        <f>VLOOKUP($F64,Valve_from_BP!$O:$AE,11,0)</f>
        <v>1</v>
      </c>
      <c r="Q64" s="466">
        <v>2</v>
      </c>
      <c r="R64" s="772">
        <v>2</v>
      </c>
      <c r="S64" s="783" t="s">
        <v>10381</v>
      </c>
      <c r="T64" s="772"/>
      <c r="U64" s="614">
        <v>0</v>
      </c>
      <c r="V64" s="460"/>
      <c r="W64" s="524">
        <v>0</v>
      </c>
      <c r="X64" s="460"/>
      <c r="Y64" s="524">
        <v>246381.568191745</v>
      </c>
      <c r="Z64" s="804"/>
    </row>
    <row r="65" spans="1:26" s="436" customFormat="1">
      <c r="A65" s="776">
        <f>VLOOKUP(F65,Valve_from_BP!$O:$AE,2,0)</f>
        <v>0</v>
      </c>
      <c r="B65" s="762"/>
      <c r="C65" s="808" t="s">
        <v>7772</v>
      </c>
      <c r="D65" s="773"/>
      <c r="E65" s="459"/>
      <c r="F65" s="846" t="s">
        <v>7772</v>
      </c>
      <c r="G65" s="466">
        <v>190</v>
      </c>
      <c r="H65" s="460">
        <f>VLOOKUP(F65,Valve_from_BP!$O:$AE,3,0)</f>
        <v>190</v>
      </c>
      <c r="I65" s="466">
        <v>1</v>
      </c>
      <c r="J65" s="460">
        <f>VLOOKUP($F65,Valve_from_BP!$O:$AE,5,0)</f>
        <v>1</v>
      </c>
      <c r="K65" s="466" t="b">
        <v>1</v>
      </c>
      <c r="L65" s="460">
        <f>VLOOKUP($F65,Valve_from_BP!$O:$AE,9,0)</f>
        <v>1</v>
      </c>
      <c r="M65" s="466" t="b">
        <v>1</v>
      </c>
      <c r="N65" s="460">
        <f>VLOOKUP($F65,Valve_from_BP!$O:$AE,10,0)</f>
        <v>1</v>
      </c>
      <c r="O65" s="466">
        <v>4</v>
      </c>
      <c r="P65" s="460">
        <f>VLOOKUP($F65,Valve_from_BP!$O:$AE,11,0)</f>
        <v>4</v>
      </c>
      <c r="Q65" s="466">
        <v>2</v>
      </c>
      <c r="R65" s="772">
        <v>2</v>
      </c>
      <c r="S65" s="783" t="s">
        <v>10381</v>
      </c>
      <c r="T65" s="772"/>
      <c r="U65" s="614">
        <v>0</v>
      </c>
      <c r="V65" s="460"/>
      <c r="W65" s="524">
        <v>0</v>
      </c>
      <c r="X65" s="460"/>
      <c r="Y65" s="524">
        <v>2068.5053345749602</v>
      </c>
      <c r="Z65" s="460"/>
    </row>
    <row r="66" spans="1:26">
      <c r="A66" s="776" t="str">
        <f>VLOOKUP(F66,Valve_from_BP!$O:$AE,2,0)</f>
        <v>FVZ1084.pdf</v>
      </c>
      <c r="B66" s="762"/>
      <c r="C66" s="805" t="s">
        <v>10314</v>
      </c>
      <c r="D66" s="773"/>
      <c r="E66" s="724"/>
      <c r="F66" s="846" t="s">
        <v>9165</v>
      </c>
      <c r="G66" s="497">
        <v>300</v>
      </c>
      <c r="H66" s="460">
        <f>VLOOKUP(F66,Valve_from_BP!$O:$AE,3,0)</f>
        <v>300</v>
      </c>
      <c r="I66" s="497">
        <v>0</v>
      </c>
      <c r="J66" s="460">
        <f>VLOOKUP($F66,Valve_from_BP!$O:$AE,5,0)</f>
        <v>0</v>
      </c>
      <c r="K66" s="497" t="b">
        <v>1</v>
      </c>
      <c r="L66" s="460">
        <f>VLOOKUP($F66,Valve_from_BP!$O:$AE,9,0)</f>
        <v>1</v>
      </c>
      <c r="M66" s="497" t="b">
        <v>1</v>
      </c>
      <c r="N66" s="460">
        <f>VLOOKUP($F66,Valve_from_BP!$O:$AE,10,0)</f>
        <v>1</v>
      </c>
      <c r="O66" s="497">
        <v>1</v>
      </c>
      <c r="P66" s="460">
        <f>VLOOKUP($F66,Valve_from_BP!$O:$AE,11,0)</f>
        <v>1</v>
      </c>
      <c r="Q66" s="497">
        <v>2</v>
      </c>
      <c r="R66" s="772">
        <v>2</v>
      </c>
      <c r="S66" s="783" t="s">
        <v>10381</v>
      </c>
      <c r="T66" s="772"/>
      <c r="U66" s="614">
        <v>0</v>
      </c>
      <c r="V66" s="460"/>
      <c r="W66" s="524">
        <v>0</v>
      </c>
      <c r="X66" s="460"/>
      <c r="Y66" s="524">
        <v>1021536.80466474</v>
      </c>
      <c r="Z66" s="460"/>
    </row>
    <row r="67" spans="1:26">
      <c r="A67" s="776" t="str">
        <f>VLOOKUP(F67,Valve_from_BP!$O:$AE,2,0)</f>
        <v>HICZ1018-19-22-23.pdf,3/12                 TVZ1001-09-12.pdf,3/7&amp;5/7</v>
      </c>
      <c r="B67" s="762"/>
      <c r="C67" s="805" t="s">
        <v>5743</v>
      </c>
      <c r="D67" s="773" t="s">
        <v>5769</v>
      </c>
      <c r="E67" s="490"/>
      <c r="F67" s="846" t="s">
        <v>5743</v>
      </c>
      <c r="G67" s="497">
        <v>350</v>
      </c>
      <c r="H67" s="460">
        <f>VLOOKUP(F67,Valve_from_BP!$O:$AE,3,0)</f>
        <v>350</v>
      </c>
      <c r="I67" s="497">
        <v>0</v>
      </c>
      <c r="J67" s="460">
        <f>VLOOKUP($F67,Valve_from_BP!$O:$AE,5,0)</f>
        <v>0</v>
      </c>
      <c r="K67" s="497" t="b">
        <v>1</v>
      </c>
      <c r="L67" s="460">
        <f>VLOOKUP($F67,Valve_from_BP!$O:$AE,9,0)</f>
        <v>1</v>
      </c>
      <c r="M67" s="497" t="b">
        <v>1</v>
      </c>
      <c r="N67" s="460">
        <f>VLOOKUP($F67,Valve_from_BP!$O:$AE,10,0)</f>
        <v>1</v>
      </c>
      <c r="O67" s="497">
        <v>1</v>
      </c>
      <c r="P67" s="460">
        <f>VLOOKUP($F67,Valve_from_BP!$O:$AE,11,0)</f>
        <v>1</v>
      </c>
      <c r="Q67" s="497">
        <v>2</v>
      </c>
      <c r="R67" s="772">
        <v>2</v>
      </c>
      <c r="S67" s="783" t="s">
        <v>10381</v>
      </c>
      <c r="T67" s="772"/>
      <c r="U67" s="614">
        <v>46.951576773436699</v>
      </c>
      <c r="V67" s="460"/>
      <c r="W67" s="524">
        <v>1.3095701284027201E-2</v>
      </c>
      <c r="X67" s="460"/>
      <c r="Y67" s="524">
        <v>275988.41619932698</v>
      </c>
      <c r="Z67" s="460"/>
    </row>
    <row r="68" spans="1:26">
      <c r="A68" s="776" t="str">
        <f>VLOOKUP(F68,Valve_from_BP!$O:$AE,2,0)</f>
        <v>Datasheets FCVz3004-3010-2066-2067.pdf,3/7  NL5618-00_J_02_0002.pdf, 34/56</v>
      </c>
      <c r="B68" s="762"/>
      <c r="C68" s="808" t="s">
        <v>6096</v>
      </c>
      <c r="D68" s="773"/>
      <c r="E68" s="490"/>
      <c r="F68" s="846" t="s">
        <v>6096</v>
      </c>
      <c r="G68" s="497">
        <v>394</v>
      </c>
      <c r="H68" s="460">
        <f>VLOOKUP(F68,Valve_from_BP!$O:$AE,3,0)</f>
        <v>394</v>
      </c>
      <c r="I68" s="497">
        <v>1</v>
      </c>
      <c r="J68" s="460">
        <f>VLOOKUP($F68,Valve_from_BP!$O:$AE,5,0)</f>
        <v>1</v>
      </c>
      <c r="K68" s="497" t="b">
        <v>1</v>
      </c>
      <c r="L68" s="460">
        <f>VLOOKUP($F68,Valve_from_BP!$O:$AE,9,0)</f>
        <v>1</v>
      </c>
      <c r="M68" s="497" t="b">
        <v>1</v>
      </c>
      <c r="N68" s="460">
        <f>VLOOKUP($F68,Valve_from_BP!$O:$AE,10,0)</f>
        <v>1</v>
      </c>
      <c r="O68" s="497">
        <v>1</v>
      </c>
      <c r="P68" s="460">
        <f>VLOOKUP($F68,Valve_from_BP!$O:$AE,11,0)</f>
        <v>1</v>
      </c>
      <c r="Q68" s="497">
        <v>2</v>
      </c>
      <c r="R68" s="772">
        <v>2</v>
      </c>
      <c r="S68" s="783" t="s">
        <v>10381</v>
      </c>
      <c r="T68" s="772"/>
      <c r="U68" s="614">
        <v>55.496954149278601</v>
      </c>
      <c r="V68" s="460"/>
      <c r="W68" s="524">
        <v>4.3472783349955801E-2</v>
      </c>
      <c r="X68" s="460"/>
      <c r="Y68" s="524">
        <v>473406.02228472597</v>
      </c>
      <c r="Z68" s="460"/>
    </row>
    <row r="69" spans="1:26">
      <c r="A69" s="776" t="str">
        <f>VLOOKUP(F69,Valve_from_BP!$O:$AE,2,0)</f>
        <v>FICZ1002.pdf, 3/9 &amp;  5/9</v>
      </c>
      <c r="B69" s="762"/>
      <c r="C69" s="808" t="s">
        <v>10210</v>
      </c>
      <c r="D69" s="773"/>
      <c r="E69" s="490"/>
      <c r="F69" s="846" t="s">
        <v>7888</v>
      </c>
      <c r="G69" s="497">
        <v>400</v>
      </c>
      <c r="H69" s="460">
        <f>VLOOKUP(F69,Valve_from_BP!$O:$AE,3,0)</f>
        <v>400</v>
      </c>
      <c r="I69" s="497">
        <v>1</v>
      </c>
      <c r="J69" s="460">
        <f>VLOOKUP($F69,Valve_from_BP!$O:$AE,5,0)</f>
        <v>1</v>
      </c>
      <c r="K69" s="497" t="b">
        <v>1</v>
      </c>
      <c r="L69" s="460">
        <f>VLOOKUP($F69,Valve_from_BP!$O:$AE,9,0)</f>
        <v>1</v>
      </c>
      <c r="M69" s="497" t="b">
        <v>1</v>
      </c>
      <c r="N69" s="460">
        <f>VLOOKUP($F69,Valve_from_BP!$O:$AE,10,0)</f>
        <v>1</v>
      </c>
      <c r="O69" s="497">
        <v>1</v>
      </c>
      <c r="P69" s="460">
        <f>VLOOKUP($F69,Valve_from_BP!$O:$AE,11,0)</f>
        <v>1</v>
      </c>
      <c r="Q69" s="497">
        <v>2</v>
      </c>
      <c r="R69" s="772">
        <v>2</v>
      </c>
      <c r="S69" s="783" t="s">
        <v>10381</v>
      </c>
      <c r="T69" s="772"/>
      <c r="U69" s="614">
        <v>62.891007399426101</v>
      </c>
      <c r="V69" s="460"/>
      <c r="W69" s="524">
        <v>8.9878647261717501E-2</v>
      </c>
      <c r="X69" s="460"/>
      <c r="Y69" s="524">
        <v>1658557.0940632001</v>
      </c>
      <c r="Z69" s="460"/>
    </row>
    <row r="70" spans="1:26">
      <c r="A70" s="776">
        <f>VLOOKUP(F70,Valve_from_BP!$O:$AE,2,0)</f>
        <v>0</v>
      </c>
      <c r="B70" s="762"/>
      <c r="C70" s="808" t="s">
        <v>7767</v>
      </c>
      <c r="D70" s="773"/>
      <c r="E70" s="490"/>
      <c r="F70" s="846" t="s">
        <v>7767</v>
      </c>
      <c r="G70" s="497">
        <v>400</v>
      </c>
      <c r="H70" s="460">
        <f>VLOOKUP(F70,Valve_from_BP!$O:$AE,3,0)</f>
        <v>400</v>
      </c>
      <c r="I70" s="497">
        <v>1</v>
      </c>
      <c r="J70" s="460">
        <f>VLOOKUP($F70,Valve_from_BP!$O:$AE,5,0)</f>
        <v>1</v>
      </c>
      <c r="K70" s="497" t="b">
        <v>1</v>
      </c>
      <c r="L70" s="460">
        <f>VLOOKUP($F70,Valve_from_BP!$O:$AE,9,0)</f>
        <v>1</v>
      </c>
      <c r="M70" s="497" t="b">
        <v>1</v>
      </c>
      <c r="N70" s="460">
        <f>VLOOKUP($F70,Valve_from_BP!$O:$AE,10,0)</f>
        <v>1</v>
      </c>
      <c r="O70" s="497">
        <v>1</v>
      </c>
      <c r="P70" s="460">
        <f>VLOOKUP($F70,Valve_from_BP!$O:$AE,11,0)</f>
        <v>1</v>
      </c>
      <c r="Q70" s="497">
        <v>2</v>
      </c>
      <c r="R70" s="772">
        <v>2</v>
      </c>
      <c r="S70" s="783" t="s">
        <v>10381</v>
      </c>
      <c r="T70" s="772"/>
      <c r="U70" s="614">
        <v>32.1918586027587</v>
      </c>
      <c r="V70" s="460"/>
      <c r="W70" s="524">
        <v>1.25917793416491E-2</v>
      </c>
      <c r="X70" s="460"/>
      <c r="Y70" s="524">
        <v>327598.00426038</v>
      </c>
      <c r="Z70" s="460"/>
    </row>
    <row r="71" spans="1:26">
      <c r="A71" s="776">
        <f>VLOOKUP(F71,Valve_from_BP!$O:$AE,2,0)</f>
        <v>0</v>
      </c>
      <c r="B71" s="762"/>
      <c r="C71" s="808" t="s">
        <v>6615</v>
      </c>
      <c r="D71" s="773"/>
      <c r="E71" s="490"/>
      <c r="F71" s="846" t="s">
        <v>6615</v>
      </c>
      <c r="G71" s="497">
        <v>710</v>
      </c>
      <c r="H71" s="460">
        <f>VLOOKUP(F71,Valve_from_BP!$O:$AE,3,0)</f>
        <v>710</v>
      </c>
      <c r="I71" s="497">
        <v>1</v>
      </c>
      <c r="J71" s="460">
        <f>VLOOKUP($F71,Valve_from_BP!$O:$AE,5,0)</f>
        <v>1</v>
      </c>
      <c r="K71" s="497" t="b">
        <v>1</v>
      </c>
      <c r="L71" s="460">
        <f>VLOOKUP($F71,Valve_from_BP!$O:$AE,9,0)</f>
        <v>1</v>
      </c>
      <c r="M71" s="497" t="b">
        <v>1</v>
      </c>
      <c r="N71" s="460">
        <f>VLOOKUP($F71,Valve_from_BP!$O:$AE,10,0)</f>
        <v>1</v>
      </c>
      <c r="O71" s="497">
        <v>1</v>
      </c>
      <c r="P71" s="460">
        <f>VLOOKUP($F71,Valve_from_BP!$O:$AE,11,0)</f>
        <v>1</v>
      </c>
      <c r="Q71" s="497">
        <v>2</v>
      </c>
      <c r="R71" s="772">
        <v>2</v>
      </c>
      <c r="S71" s="783" t="s">
        <v>10381</v>
      </c>
      <c r="T71" s="772"/>
      <c r="U71" s="614">
        <v>37.020192546362097</v>
      </c>
      <c r="V71" s="460"/>
      <c r="W71" s="524">
        <v>3.5978161948799301E-3</v>
      </c>
      <c r="X71" s="460"/>
      <c r="Y71" s="524">
        <v>7156.8614087640299</v>
      </c>
      <c r="Z71" s="460"/>
    </row>
    <row r="72" spans="1:26">
      <c r="A72" s="776">
        <f>VLOOKUP(F72,Valve_from_BP!$O:$AE,2,0)</f>
        <v>0</v>
      </c>
      <c r="B72" s="762"/>
      <c r="C72" s="808" t="s">
        <v>6616</v>
      </c>
      <c r="D72" s="773"/>
      <c r="E72" s="490"/>
      <c r="F72" s="846" t="s">
        <v>6616</v>
      </c>
      <c r="G72" s="497">
        <v>710</v>
      </c>
      <c r="H72" s="460">
        <f>VLOOKUP(F72,Valve_from_BP!$O:$AE,3,0)</f>
        <v>710</v>
      </c>
      <c r="I72" s="497">
        <v>1</v>
      </c>
      <c r="J72" s="460">
        <f>VLOOKUP($F72,Valve_from_BP!$O:$AE,5,0)</f>
        <v>1</v>
      </c>
      <c r="K72" s="497" t="b">
        <v>1</v>
      </c>
      <c r="L72" s="460">
        <f>VLOOKUP($F72,Valve_from_BP!$O:$AE,9,0)</f>
        <v>1</v>
      </c>
      <c r="M72" s="497" t="b">
        <v>1</v>
      </c>
      <c r="N72" s="460">
        <f>VLOOKUP($F72,Valve_from_BP!$O:$AE,10,0)</f>
        <v>1</v>
      </c>
      <c r="O72" s="497">
        <v>1</v>
      </c>
      <c r="P72" s="460">
        <f>VLOOKUP($F72,Valve_from_BP!$O:$AE,11,0)</f>
        <v>1</v>
      </c>
      <c r="Q72" s="497">
        <v>2</v>
      </c>
      <c r="R72" s="772">
        <v>2</v>
      </c>
      <c r="S72" s="783" t="s">
        <v>10381</v>
      </c>
      <c r="T72" s="772"/>
      <c r="U72" s="614">
        <v>6.68728880025804E-2</v>
      </c>
      <c r="V72" s="460"/>
      <c r="W72" s="524">
        <v>1.1619640748467201E-4</v>
      </c>
      <c r="X72" s="460"/>
      <c r="Y72" s="524">
        <v>113259.756633515</v>
      </c>
      <c r="Z72" s="460"/>
    </row>
    <row r="73" spans="1:26">
      <c r="A73" s="776">
        <f>VLOOKUP(F73,Valve_from_BP!$O:$AE,2,0)</f>
        <v>0</v>
      </c>
      <c r="B73" s="762"/>
      <c r="C73" s="808" t="s">
        <v>7762</v>
      </c>
      <c r="D73" s="773"/>
      <c r="E73" s="490"/>
      <c r="F73" s="846" t="s">
        <v>7762</v>
      </c>
      <c r="G73" s="497">
        <v>1100</v>
      </c>
      <c r="H73" s="460">
        <f>VLOOKUP(F73,Valve_from_BP!$O:$AE,3,0)</f>
        <v>1100</v>
      </c>
      <c r="I73" s="497">
        <v>1</v>
      </c>
      <c r="J73" s="460">
        <f>VLOOKUP($F73,Valve_from_BP!$O:$AE,5,0)</f>
        <v>1</v>
      </c>
      <c r="K73" s="497" t="b">
        <v>1</v>
      </c>
      <c r="L73" s="460">
        <f>VLOOKUP($F73,Valve_from_BP!$O:$AE,9,0)</f>
        <v>1</v>
      </c>
      <c r="M73" s="497" t="b">
        <v>1</v>
      </c>
      <c r="N73" s="460">
        <f>VLOOKUP($F73,Valve_from_BP!$O:$AE,10,0)</f>
        <v>1</v>
      </c>
      <c r="O73" s="497">
        <v>1</v>
      </c>
      <c r="P73" s="460">
        <f>VLOOKUP($F73,Valve_from_BP!$O:$AE,11,0)</f>
        <v>1</v>
      </c>
      <c r="Q73" s="497">
        <v>2</v>
      </c>
      <c r="R73" s="772">
        <v>2</v>
      </c>
      <c r="S73" s="783" t="s">
        <v>10381</v>
      </c>
      <c r="T73" s="772"/>
      <c r="U73" s="614">
        <v>74.755394930360197</v>
      </c>
      <c r="V73" s="460"/>
      <c r="W73" s="524">
        <v>0.194448195474511</v>
      </c>
      <c r="X73" s="460"/>
      <c r="Y73" s="524">
        <v>438898.47011375002</v>
      </c>
      <c r="Z73" s="460"/>
    </row>
    <row r="74" spans="1:26">
      <c r="A74" s="776">
        <f>VLOOKUP(F74,Valve_from_BP!$O:$AE,2,0)</f>
        <v>0</v>
      </c>
      <c r="B74" s="762"/>
      <c r="C74" s="808" t="s">
        <v>7764</v>
      </c>
      <c r="D74" s="773"/>
      <c r="E74" s="490"/>
      <c r="F74" s="846" t="s">
        <v>7764</v>
      </c>
      <c r="G74" s="497">
        <v>1550</v>
      </c>
      <c r="H74" s="460">
        <f>VLOOKUP(F74,Valve_from_BP!$O:$AE,3,0)</f>
        <v>1550</v>
      </c>
      <c r="I74" s="497">
        <v>1</v>
      </c>
      <c r="J74" s="460">
        <f>VLOOKUP($F74,Valve_from_BP!$O:$AE,5,0)</f>
        <v>1</v>
      </c>
      <c r="K74" s="497" t="b">
        <v>1</v>
      </c>
      <c r="L74" s="460">
        <f>VLOOKUP($F74,Valve_from_BP!$O:$AE,9,0)</f>
        <v>1</v>
      </c>
      <c r="M74" s="497" t="b">
        <v>1</v>
      </c>
      <c r="N74" s="460">
        <f>VLOOKUP($F74,Valve_from_BP!$O:$AE,10,0)</f>
        <v>1</v>
      </c>
      <c r="O74" s="497">
        <v>0.44444444444444398</v>
      </c>
      <c r="P74" s="460">
        <f>VLOOKUP($F74,Valve_from_BP!$O:$AE,11,0)</f>
        <v>0.44444444444444442</v>
      </c>
      <c r="Q74" s="497">
        <v>2</v>
      </c>
      <c r="R74" s="772">
        <v>2</v>
      </c>
      <c r="S74" s="783" t="s">
        <v>10381</v>
      </c>
      <c r="T74" s="772"/>
      <c r="U74" s="614">
        <v>61.569031944956102</v>
      </c>
      <c r="V74" s="460"/>
      <c r="W74" s="524">
        <v>0.21224437120029799</v>
      </c>
      <c r="X74" s="460"/>
      <c r="Y74" s="524">
        <v>640255.48272009904</v>
      </c>
      <c r="Z74" s="460"/>
    </row>
    <row r="75" spans="1:26">
      <c r="A75" s="776">
        <f>VLOOKUP(F75,Valve_from_BP!$O:$AE,2,0)</f>
        <v>0</v>
      </c>
      <c r="B75" s="762"/>
      <c r="C75" s="808" t="s">
        <v>809</v>
      </c>
      <c r="D75" s="773"/>
      <c r="E75" s="490"/>
      <c r="F75" s="846" t="s">
        <v>809</v>
      </c>
      <c r="G75" s="497">
        <v>1550</v>
      </c>
      <c r="H75" s="460">
        <f>VLOOKUP(F75,Valve_from_BP!$O:$AE,3,0)</f>
        <v>1550</v>
      </c>
      <c r="I75" s="497">
        <v>1</v>
      </c>
      <c r="J75" s="460">
        <f>VLOOKUP($F75,Valve_from_BP!$O:$AE,5,0)</f>
        <v>1</v>
      </c>
      <c r="K75" s="497" t="b">
        <v>1</v>
      </c>
      <c r="L75" s="460">
        <f>VLOOKUP($F75,Valve_from_BP!$O:$AE,9,0)</f>
        <v>1</v>
      </c>
      <c r="M75" s="497" t="b">
        <v>1</v>
      </c>
      <c r="N75" s="460">
        <f>VLOOKUP($F75,Valve_from_BP!$O:$AE,10,0)</f>
        <v>1</v>
      </c>
      <c r="O75" s="497">
        <v>1</v>
      </c>
      <c r="P75" s="460">
        <f>VLOOKUP($F75,Valve_from_BP!$O:$AE,11,0)</f>
        <v>1</v>
      </c>
      <c r="Q75" s="497">
        <v>2</v>
      </c>
      <c r="R75" s="772">
        <v>2</v>
      </c>
      <c r="S75" s="783" t="s">
        <v>10381</v>
      </c>
      <c r="T75" s="772"/>
      <c r="U75" s="614">
        <v>51.296414896084002</v>
      </c>
      <c r="V75" s="460"/>
      <c r="W75" s="524">
        <v>0.14926101428484401</v>
      </c>
      <c r="X75" s="460"/>
      <c r="Y75" s="524">
        <v>771991.52015338396</v>
      </c>
      <c r="Z75" s="460"/>
    </row>
    <row r="76" spans="1:26">
      <c r="A76" s="776" t="str">
        <f>VLOOKUP(F76,Valve_from_BP!$O:$AE,2,0)</f>
        <v>LICZ1019 - A-01101080_RFC_TOTAAL_RevB.pdf, 112/122</v>
      </c>
      <c r="B76" s="762"/>
      <c r="C76" s="808" t="s">
        <v>7770</v>
      </c>
      <c r="D76" s="773"/>
      <c r="E76" s="490"/>
      <c r="F76" s="846" t="s">
        <v>7770</v>
      </c>
      <c r="G76" s="497">
        <v>1750</v>
      </c>
      <c r="H76" s="460">
        <f>VLOOKUP(F76,Valve_from_BP!$O:$AE,3,0)</f>
        <v>1750</v>
      </c>
      <c r="I76" s="497">
        <v>1</v>
      </c>
      <c r="J76" s="460">
        <f>VLOOKUP($F76,Valve_from_BP!$O:$AE,5,0)</f>
        <v>1</v>
      </c>
      <c r="K76" s="497" t="b">
        <v>1</v>
      </c>
      <c r="L76" s="460">
        <f>VLOOKUP($F76,Valve_from_BP!$O:$AE,9,0)</f>
        <v>1</v>
      </c>
      <c r="M76" s="497" t="b">
        <v>1</v>
      </c>
      <c r="N76" s="460">
        <f>VLOOKUP($F76,Valve_from_BP!$O:$AE,10,0)</f>
        <v>1</v>
      </c>
      <c r="O76" s="497">
        <v>0.5625</v>
      </c>
      <c r="P76" s="460">
        <f>VLOOKUP($F76,Valve_from_BP!$O:$AE,11,0)</f>
        <v>0.5625</v>
      </c>
      <c r="Q76" s="497">
        <v>2</v>
      </c>
      <c r="R76" s="772">
        <v>2</v>
      </c>
      <c r="S76" s="783" t="s">
        <v>10381</v>
      </c>
      <c r="T76" s="772"/>
      <c r="U76" s="614">
        <v>48.857612649670699</v>
      </c>
      <c r="V76" s="460"/>
      <c r="W76" s="524">
        <v>8.9770411689954893E-2</v>
      </c>
      <c r="X76" s="460"/>
      <c r="Y76" s="524">
        <v>213239.130269546</v>
      </c>
      <c r="Z76" s="460"/>
    </row>
    <row r="77" spans="1:26">
      <c r="A77" s="776" t="str">
        <f>VLOOKUP(F77,Valve_from_BP!$O:$AE,2,0)</f>
        <v>LICZ1028.pdf</v>
      </c>
      <c r="B77" s="762"/>
      <c r="C77" s="808" t="s">
        <v>7766</v>
      </c>
      <c r="D77" s="773"/>
      <c r="E77" s="490"/>
      <c r="F77" s="846" t="s">
        <v>7766</v>
      </c>
      <c r="G77" s="497">
        <v>2100</v>
      </c>
      <c r="H77" s="460">
        <f>VLOOKUP(F77,Valve_from_BP!$O:$AE,3,0)</f>
        <v>2100</v>
      </c>
      <c r="I77" s="497">
        <v>0</v>
      </c>
      <c r="J77" s="460">
        <f>VLOOKUP($F77,Valve_from_BP!$O:$AE,5,0)</f>
        <v>0</v>
      </c>
      <c r="K77" s="497" t="b">
        <v>1</v>
      </c>
      <c r="L77" s="460">
        <f>VLOOKUP($F77,Valve_from_BP!$O:$AE,9,0)</f>
        <v>1</v>
      </c>
      <c r="M77" s="497" t="b">
        <v>1</v>
      </c>
      <c r="N77" s="460">
        <f>VLOOKUP($F77,Valve_from_BP!$O:$AE,10,0)</f>
        <v>1</v>
      </c>
      <c r="O77" s="497">
        <v>1</v>
      </c>
      <c r="P77" s="460">
        <f>VLOOKUP($F77,Valve_from_BP!$O:$AE,11,0)</f>
        <v>1</v>
      </c>
      <c r="Q77" s="497">
        <v>2</v>
      </c>
      <c r="R77" s="772">
        <v>2</v>
      </c>
      <c r="S77" s="783" t="s">
        <v>10381</v>
      </c>
      <c r="T77" s="772"/>
      <c r="U77" s="614">
        <v>3.5808900387460998</v>
      </c>
      <c r="V77" s="460"/>
      <c r="W77" s="524">
        <v>1.7114830166109599E-2</v>
      </c>
      <c r="X77" s="460"/>
      <c r="Y77" s="524">
        <v>63762.014677196101</v>
      </c>
      <c r="Z77" s="460"/>
    </row>
    <row r="78" spans="1:26">
      <c r="A78" s="776" t="str">
        <f>VLOOKUP(C78,Valve_from_BP!$O:$AE,2,0)</f>
        <v>Datasheets FCVz3004-3010-2066-2067.pdf,4/7 NL5618-00_J_02_0002.pdf, 38/56</v>
      </c>
      <c r="B78" s="762"/>
      <c r="C78" s="181" t="s">
        <v>10463</v>
      </c>
      <c r="D78" s="773"/>
      <c r="E78" s="782"/>
      <c r="F78" s="846" t="s">
        <v>9220</v>
      </c>
      <c r="G78" s="783">
        <v>17.2</v>
      </c>
      <c r="H78" s="460">
        <f>VLOOKUP(C78,Valve_from_BP!$O:$AE,3,0)</f>
        <v>17.2</v>
      </c>
      <c r="I78" s="783">
        <v>1</v>
      </c>
      <c r="J78" s="460">
        <f>VLOOKUP(C78,Valve_from_BP!$O:$AE,5,0)</f>
        <v>1</v>
      </c>
      <c r="K78" s="783" t="b">
        <v>1</v>
      </c>
      <c r="L78" s="460">
        <f>VLOOKUP(C78,Valve_from_BP!$O:$AE,9,0)</f>
        <v>1</v>
      </c>
      <c r="M78" s="783" t="b">
        <v>1</v>
      </c>
      <c r="N78" s="460">
        <f>VLOOKUP(C78,Valve_from_BP!$O:$AE,10,0)</f>
        <v>1</v>
      </c>
      <c r="O78" s="783">
        <v>2.25</v>
      </c>
      <c r="P78" s="772">
        <f>VLOOKUP(C78,Valve_from_BP!$O:$AE,11,0)</f>
        <v>2.25</v>
      </c>
      <c r="Q78" s="783">
        <v>2</v>
      </c>
      <c r="R78" s="772">
        <v>2</v>
      </c>
      <c r="S78" s="783" t="s">
        <v>10381</v>
      </c>
      <c r="T78" s="772"/>
      <c r="U78" s="783">
        <v>65.595079755673794</v>
      </c>
      <c r="V78" s="460"/>
      <c r="W78" s="783">
        <v>2.0975696008202599E-3</v>
      </c>
      <c r="X78" s="460"/>
      <c r="Y78" s="783">
        <v>548669.147911974</v>
      </c>
      <c r="Z78" s="460"/>
    </row>
    <row r="79" spans="1:26">
      <c r="A79" s="776" t="str">
        <f>VLOOKUP(C79,Valve_from_BP!$O:$AE,2,0)</f>
        <v>Datasheets FCVz3004-3010-2066-2067.pdf,5/7 NL5618-00_J_02_0002.pdf, 42/56</v>
      </c>
      <c r="B79" s="762"/>
      <c r="C79" s="181" t="s">
        <v>9346</v>
      </c>
      <c r="D79" s="773"/>
      <c r="E79" s="490"/>
      <c r="F79" s="846" t="s">
        <v>9222</v>
      </c>
      <c r="G79" s="524">
        <v>70.7</v>
      </c>
      <c r="H79" s="460">
        <f>VLOOKUP(C79,Valve_from_BP!$O:$AE,3,0)</f>
        <v>70.7</v>
      </c>
      <c r="I79" s="524">
        <v>1</v>
      </c>
      <c r="J79" s="460">
        <f>VLOOKUP(C79,Valve_from_BP!$O:$AE,5,0)</f>
        <v>1</v>
      </c>
      <c r="K79" s="524" t="b">
        <v>1</v>
      </c>
      <c r="L79" s="460">
        <f>VLOOKUP(C79,Valve_from_BP!$O:$AE,9,0)</f>
        <v>1</v>
      </c>
      <c r="M79" s="524" t="b">
        <v>1</v>
      </c>
      <c r="N79" s="460" t="e">
        <f>VLOOKUP($F79,Valve_from_BP!$O:$AE,10,0)</f>
        <v>#N/A</v>
      </c>
      <c r="O79" s="524">
        <v>1</v>
      </c>
      <c r="P79" s="772">
        <f>VLOOKUP($C79,Valve_from_BP!$O:$AE,11,0)</f>
        <v>1</v>
      </c>
      <c r="Q79" s="524">
        <v>2</v>
      </c>
      <c r="R79" s="772">
        <v>2</v>
      </c>
      <c r="S79" s="783" t="s">
        <v>10381</v>
      </c>
      <c r="T79" s="772"/>
      <c r="U79" s="614">
        <v>0</v>
      </c>
      <c r="V79" s="460"/>
      <c r="W79" s="524">
        <v>0</v>
      </c>
      <c r="X79" s="460"/>
      <c r="Y79" s="524">
        <v>548669.147911974</v>
      </c>
      <c r="Z79" s="460"/>
    </row>
    <row r="80" spans="1:26">
      <c r="A80" s="776" t="str">
        <f>VLOOKUP(C80,Valve_from_BP!$O:$AE,2,0)</f>
        <v>Datasheets FCVz3004-3010-2066-2067.pdf,7/7 NL5618-00_J_02_0002.pdf, 51/56</v>
      </c>
      <c r="B80" s="762"/>
      <c r="C80" s="181" t="s">
        <v>9099</v>
      </c>
      <c r="D80" s="773"/>
      <c r="E80" s="490"/>
      <c r="F80" s="846" t="s">
        <v>8857</v>
      </c>
      <c r="G80" s="524">
        <v>539</v>
      </c>
      <c r="H80" s="460">
        <f>VLOOKUP(C80,Valve_from_BP!$O:$AE,3,0)</f>
        <v>539</v>
      </c>
      <c r="I80" s="524">
        <v>1</v>
      </c>
      <c r="J80" s="460">
        <f>VLOOKUP(C80,Valve_from_BP!$O:$AE,5,0)</f>
        <v>1</v>
      </c>
      <c r="K80" s="524" t="b">
        <v>1</v>
      </c>
      <c r="L80" s="460">
        <f>VLOOKUP(C80,Valve_from_BP!$O:$AE,9,0)</f>
        <v>1</v>
      </c>
      <c r="M80" s="524" t="b">
        <v>0</v>
      </c>
      <c r="N80" s="772"/>
      <c r="O80" s="524">
        <v>1</v>
      </c>
      <c r="P80" s="772"/>
      <c r="Q80" s="524">
        <v>2</v>
      </c>
      <c r="R80" s="772">
        <v>2</v>
      </c>
      <c r="S80" s="783" t="s">
        <v>10381</v>
      </c>
      <c r="T80" s="772"/>
      <c r="U80" s="614">
        <v>0</v>
      </c>
      <c r="V80" s="460"/>
      <c r="W80" s="524">
        <v>0</v>
      </c>
      <c r="X80" s="460"/>
      <c r="Y80" s="524">
        <v>4531.7072116320096</v>
      </c>
      <c r="Z80" s="460"/>
    </row>
    <row r="81" spans="1:26">
      <c r="A81" s="776" t="str">
        <f>VLOOKUP(C81,Valve_from_BP!$O:$AE,2,0)</f>
        <v>FCVZ1008-11-101 and LCVZ1044.pdf, 4/12</v>
      </c>
      <c r="B81" s="762"/>
      <c r="C81" s="181" t="s">
        <v>10464</v>
      </c>
      <c r="D81" s="495"/>
      <c r="E81" s="490"/>
      <c r="F81" s="846" t="s">
        <v>9163</v>
      </c>
      <c r="G81" s="524">
        <v>136</v>
      </c>
      <c r="H81" s="460">
        <f>VLOOKUP(C81,Valve_from_BP!$O:$AE,3,0)</f>
        <v>136</v>
      </c>
      <c r="I81" s="524">
        <v>1</v>
      </c>
      <c r="J81" s="460">
        <f>VLOOKUP(C81,Valve_from_BP!$O:$AE,5,0)</f>
        <v>1</v>
      </c>
      <c r="K81" s="524" t="b">
        <v>1</v>
      </c>
      <c r="L81" s="460">
        <f>VLOOKUP(C81,Valve_from_BP!$O:$AE,9,0)</f>
        <v>1</v>
      </c>
      <c r="M81" s="524" t="b">
        <v>1</v>
      </c>
      <c r="N81" s="772">
        <f>VLOOKUP($C81,Valve_from_BP!$O:$AE,10,0)</f>
        <v>1</v>
      </c>
      <c r="O81" s="524">
        <v>1</v>
      </c>
      <c r="P81" s="772">
        <f>VLOOKUP($C81,Valve_from_BP!$O:$AE,10,0)</f>
        <v>1</v>
      </c>
      <c r="Q81" s="524">
        <v>2</v>
      </c>
      <c r="R81" s="772">
        <v>2</v>
      </c>
      <c r="S81" s="783" t="s">
        <v>10381</v>
      </c>
      <c r="T81" s="772"/>
      <c r="U81" s="614">
        <v>0</v>
      </c>
      <c r="V81" s="460"/>
      <c r="W81" s="524">
        <v>0</v>
      </c>
      <c r="X81" s="460"/>
      <c r="Y81" s="524">
        <v>110679.585361363</v>
      </c>
      <c r="Z81" s="460"/>
    </row>
    <row r="82" spans="1:26" s="514" customFormat="1">
      <c r="A82" s="776" t="str">
        <f>VLOOKUP(C82,Valve_from_BP!$O:$AE,2,0)</f>
        <v>FCVZ1094-95.pdf, 8/8</v>
      </c>
      <c r="B82" s="762"/>
      <c r="C82" s="181" t="s">
        <v>9155</v>
      </c>
      <c r="D82" s="773"/>
      <c r="E82" s="724"/>
      <c r="F82" s="846" t="s">
        <v>9154</v>
      </c>
      <c r="G82" s="524">
        <v>85</v>
      </c>
      <c r="H82" s="460">
        <f>VLOOKUP(C82,Valve_from_BP!$O:$AE,3,0)</f>
        <v>85</v>
      </c>
      <c r="I82" s="524">
        <v>0</v>
      </c>
      <c r="J82" s="460">
        <f>VLOOKUP(C82,Valve_from_BP!$O:$AE,5,0)</f>
        <v>0</v>
      </c>
      <c r="K82" s="524" t="b">
        <v>0</v>
      </c>
      <c r="L82" s="460">
        <f>VLOOKUP(C82,Valve_from_BP!$O:$AE,9,0)</f>
        <v>0</v>
      </c>
      <c r="M82" s="524" t="b">
        <v>0</v>
      </c>
      <c r="N82" s="772">
        <f>VLOOKUP($C82,Valve_from_BP!$O:$AE,10,0)</f>
        <v>0</v>
      </c>
      <c r="O82" s="524">
        <v>0</v>
      </c>
      <c r="P82" s="772">
        <f>VLOOKUP($C82,Valve_from_BP!$O:$AE,11,0)</f>
        <v>0</v>
      </c>
      <c r="Q82" s="524">
        <v>2</v>
      </c>
      <c r="R82" s="772">
        <v>2</v>
      </c>
      <c r="S82" s="783" t="s">
        <v>10381</v>
      </c>
      <c r="T82" s="772"/>
      <c r="U82" s="614">
        <v>62.8416444173562</v>
      </c>
      <c r="V82" s="460"/>
      <c r="W82" s="524">
        <v>0.19843426284368901</v>
      </c>
      <c r="X82" s="460"/>
      <c r="Y82" s="524">
        <v>35083.814805548303</v>
      </c>
      <c r="Z82" s="460"/>
    </row>
    <row r="83" spans="1:26" s="514" customFormat="1">
      <c r="A83" s="776" t="s">
        <v>9094</v>
      </c>
      <c r="B83" s="762"/>
      <c r="C83" s="181" t="s">
        <v>10375</v>
      </c>
      <c r="D83" s="773"/>
      <c r="E83" s="724"/>
      <c r="F83" s="846" t="s">
        <v>7986</v>
      </c>
      <c r="G83" s="524">
        <v>190</v>
      </c>
      <c r="H83" s="460">
        <f>VLOOKUP(C83,Valve_from_BP!$O:$AE,3,0)</f>
        <v>190</v>
      </c>
      <c r="I83" s="524">
        <v>1</v>
      </c>
      <c r="J83" s="460">
        <f>VLOOKUP(C83,Valve_from_BP!$O:$AE,5,0)</f>
        <v>1</v>
      </c>
      <c r="K83" s="524" t="b">
        <v>0</v>
      </c>
      <c r="L83" s="460">
        <f>VLOOKUP(C83,Valve_from_BP!$O:$AE,9,0)</f>
        <v>0</v>
      </c>
      <c r="M83" s="524" t="b">
        <v>0</v>
      </c>
      <c r="N83" s="772"/>
      <c r="O83" s="524">
        <v>1</v>
      </c>
      <c r="P83" s="772"/>
      <c r="Q83" s="524">
        <v>2</v>
      </c>
      <c r="R83" s="772">
        <v>2</v>
      </c>
      <c r="S83" s="783" t="s">
        <v>10381</v>
      </c>
      <c r="T83" s="772"/>
      <c r="U83" s="614">
        <v>48.812437046972697</v>
      </c>
      <c r="V83" s="460"/>
      <c r="W83" s="524">
        <v>1.1999979708450299E-2</v>
      </c>
      <c r="X83" s="460"/>
      <c r="Y83" s="524">
        <v>366557.13192670001</v>
      </c>
      <c r="Z83" s="460"/>
    </row>
    <row r="84" spans="1:26" s="514" customFormat="1">
      <c r="A84" s="776" t="str">
        <f>VLOOKUP(C84,Valve_from_BP!$N:$AE,3,0)</f>
        <v>FV2306.pdf, 1/4</v>
      </c>
      <c r="B84" s="762"/>
      <c r="C84" s="181" t="s">
        <v>9133</v>
      </c>
      <c r="D84" s="773"/>
      <c r="E84" s="724"/>
      <c r="F84" s="846" t="s">
        <v>9130</v>
      </c>
      <c r="G84" s="524">
        <v>1070</v>
      </c>
      <c r="H84" s="460">
        <f>VLOOKUP(C84,Valve_from_BP!$O:$AE,3,0)</f>
        <v>1070</v>
      </c>
      <c r="I84" s="524">
        <v>1</v>
      </c>
      <c r="J84" s="460">
        <f>VLOOKUP(C84,Valve_from_BP!$O:$AE,5,0)</f>
        <v>1</v>
      </c>
      <c r="K84" s="524" t="b">
        <v>0</v>
      </c>
      <c r="L84" s="460">
        <f>VLOOKUP(C84,Valve_from_BP!$O:$AE,9,0)</f>
        <v>0</v>
      </c>
      <c r="M84" s="524" t="b">
        <v>0</v>
      </c>
      <c r="N84" s="772">
        <f>VLOOKUP($C84,Valve_from_BP!$N:$AE,11,0)</f>
        <v>0</v>
      </c>
      <c r="O84" s="524">
        <v>0</v>
      </c>
      <c r="P84" s="772">
        <f>VLOOKUP($C84,Valve_from_BP!$N:$AE,12,0)</f>
        <v>0</v>
      </c>
      <c r="Q84" s="524">
        <v>2</v>
      </c>
      <c r="R84" s="772">
        <v>2</v>
      </c>
      <c r="S84" s="783" t="s">
        <v>10381</v>
      </c>
      <c r="T84" s="772"/>
      <c r="U84" s="614">
        <v>45.694148651526902</v>
      </c>
      <c r="V84" s="460"/>
      <c r="W84" s="524">
        <v>4.30963427634476E-2</v>
      </c>
      <c r="X84" s="460"/>
      <c r="Y84" s="524">
        <v>179505.96161310701</v>
      </c>
      <c r="Z84" s="460"/>
    </row>
    <row r="85" spans="1:26" s="514" customFormat="1">
      <c r="A85" s="776" t="str">
        <f>VLOOKUP(C85,Valve_from_BP!$N:$AE,3,0)</f>
        <v>FV2307-ECliq.pdf</v>
      </c>
      <c r="B85" s="762"/>
      <c r="C85" s="773" t="s">
        <v>9134</v>
      </c>
      <c r="D85" s="773"/>
      <c r="E85" s="724"/>
      <c r="F85" s="846" t="s">
        <v>9131</v>
      </c>
      <c r="G85" s="744">
        <v>1070</v>
      </c>
      <c r="H85" s="788"/>
      <c r="I85" s="744">
        <v>0</v>
      </c>
      <c r="J85" s="460">
        <f>VLOOKUP(C85,Valve_from_BP!$O:$AE,5,0)</f>
        <v>0</v>
      </c>
      <c r="K85" s="744" t="b">
        <v>0</v>
      </c>
      <c r="L85" s="460">
        <f>VLOOKUP(C85,Valve_from_BP!$O:$AE,9,0)</f>
        <v>0</v>
      </c>
      <c r="M85" s="744" t="b">
        <v>0</v>
      </c>
      <c r="N85" s="772">
        <f>VLOOKUP($C85,Valve_from_BP!$N:$AE,11,0)</f>
        <v>0</v>
      </c>
      <c r="O85" s="744">
        <v>0</v>
      </c>
      <c r="P85" s="772">
        <f>VLOOKUP($C85,Valve_from_BP!$N:$AE,12,0)</f>
        <v>0</v>
      </c>
      <c r="Q85" s="744">
        <v>2</v>
      </c>
      <c r="R85" s="772">
        <v>2</v>
      </c>
      <c r="S85" s="783" t="s">
        <v>10381</v>
      </c>
      <c r="T85" s="772"/>
      <c r="U85" s="744">
        <v>100</v>
      </c>
      <c r="V85" s="460"/>
      <c r="W85" s="744">
        <v>0</v>
      </c>
      <c r="X85" s="460"/>
      <c r="Y85" s="744">
        <v>-315485.89849370503</v>
      </c>
      <c r="Z85" s="460"/>
    </row>
    <row r="86" spans="1:26" s="514" customFormat="1">
      <c r="A86" s="776" t="str">
        <f>VLOOKUP(C86,Valve_from_BP!$N:$AE,3,0)</f>
        <v>FV2308-ECliq.pdf</v>
      </c>
      <c r="B86" s="762"/>
      <c r="C86" s="773" t="s">
        <v>778</v>
      </c>
      <c r="D86" s="773"/>
      <c r="E86" s="724"/>
      <c r="F86" s="846" t="s">
        <v>9132</v>
      </c>
      <c r="G86" s="524">
        <v>1070</v>
      </c>
      <c r="H86" s="788"/>
      <c r="I86" s="524">
        <v>0</v>
      </c>
      <c r="J86" s="460">
        <f>VLOOKUP(C86,Valve_from_BP!$O:$AE,5,0)</f>
        <v>0</v>
      </c>
      <c r="K86" s="524" t="b">
        <v>0</v>
      </c>
      <c r="L86" s="460">
        <f>VLOOKUP(C86,Valve_from_BP!$O:$AE,9,0)</f>
        <v>0</v>
      </c>
      <c r="M86" s="524" t="b">
        <v>0</v>
      </c>
      <c r="N86" s="772">
        <f>VLOOKUP($C86,Valve_from_BP!$N:$AE,11,0)</f>
        <v>0</v>
      </c>
      <c r="O86" s="524">
        <v>0</v>
      </c>
      <c r="P86" s="772">
        <f>VLOOKUP($C86,Valve_from_BP!$N:$AE,12,0)</f>
        <v>0</v>
      </c>
      <c r="Q86" s="524">
        <v>2</v>
      </c>
      <c r="R86" s="772">
        <v>2</v>
      </c>
      <c r="S86" s="783" t="s">
        <v>10381</v>
      </c>
      <c r="T86" s="772"/>
      <c r="U86" s="614">
        <v>0</v>
      </c>
      <c r="V86" s="460"/>
      <c r="W86" s="524">
        <v>0</v>
      </c>
      <c r="X86" s="460"/>
      <c r="Y86" s="524">
        <v>-227569.97831546099</v>
      </c>
      <c r="Z86" s="460"/>
    </row>
    <row r="87" spans="1:26" s="514" customFormat="1">
      <c r="A87" s="776" t="str">
        <f>VLOOKUP(C87,Valve_from_BP!$O:$AE,2,0)</f>
        <v>FVZ1032until39.pdf, 5/5</v>
      </c>
      <c r="B87" s="762"/>
      <c r="C87" s="773" t="s">
        <v>9081</v>
      </c>
      <c r="D87" s="773"/>
      <c r="E87" s="724"/>
      <c r="F87" s="846" t="s">
        <v>7987</v>
      </c>
      <c r="G87" s="524">
        <v>190</v>
      </c>
      <c r="H87" s="460">
        <f>VLOOKUP(C87,Valve_from_BP!$O:$AE,3,0)</f>
        <v>190</v>
      </c>
      <c r="I87" s="524">
        <v>1</v>
      </c>
      <c r="J87" s="460">
        <f>VLOOKUP(C87,Valve_from_BP!$O:$AE,5,0)</f>
        <v>1</v>
      </c>
      <c r="K87" s="524" t="b">
        <v>1</v>
      </c>
      <c r="L87" s="460">
        <f>VLOOKUP(C87,Valve_from_BP!$O:$AE,9,0)</f>
        <v>1</v>
      </c>
      <c r="M87" s="524" t="b">
        <v>1</v>
      </c>
      <c r="N87" s="772">
        <v>1</v>
      </c>
      <c r="O87" s="524">
        <v>2.25</v>
      </c>
      <c r="P87" s="772">
        <v>2.25</v>
      </c>
      <c r="Q87" s="524">
        <v>2</v>
      </c>
      <c r="R87" s="772">
        <v>2</v>
      </c>
      <c r="S87" s="783" t="s">
        <v>10381</v>
      </c>
      <c r="T87" s="772"/>
      <c r="U87" s="614">
        <v>74.220571498947095</v>
      </c>
      <c r="V87" s="460"/>
      <c r="W87" s="524">
        <v>4.0684563358398602E-2</v>
      </c>
      <c r="X87" s="460"/>
      <c r="Y87" s="524">
        <v>770738.36037517304</v>
      </c>
      <c r="Z87" s="460"/>
    </row>
    <row r="88" spans="1:26" s="514" customFormat="1">
      <c r="A88" s="776" t="str">
        <f>VLOOKUP(C88,Valve_from_BP!$O:$AE,2,0)</f>
        <v>FVZ1032until39.pdf, 5/5</v>
      </c>
      <c r="B88" s="762"/>
      <c r="C88" s="773" t="s">
        <v>9082</v>
      </c>
      <c r="D88" s="773"/>
      <c r="E88" s="724"/>
      <c r="F88" s="846" t="s">
        <v>5735</v>
      </c>
      <c r="G88" s="524">
        <v>190</v>
      </c>
      <c r="H88" s="460">
        <f>VLOOKUP(C88,Valve_from_BP!$O:$AE,3,0)</f>
        <v>190</v>
      </c>
      <c r="I88" s="524">
        <v>1</v>
      </c>
      <c r="J88" s="460">
        <f>VLOOKUP(C88,Valve_from_BP!$O:$AE,5,0)</f>
        <v>1</v>
      </c>
      <c r="K88" s="524" t="b">
        <v>1</v>
      </c>
      <c r="L88" s="460">
        <f>VLOOKUP(C88,Valve_from_BP!$O:$AE,9,0)</f>
        <v>1</v>
      </c>
      <c r="M88" s="524" t="b">
        <v>1</v>
      </c>
      <c r="N88" s="772">
        <v>1</v>
      </c>
      <c r="O88" s="524">
        <v>2.25</v>
      </c>
      <c r="P88" s="772">
        <v>2.25</v>
      </c>
      <c r="Q88" s="524">
        <v>2</v>
      </c>
      <c r="R88" s="772">
        <v>2</v>
      </c>
      <c r="S88" s="783" t="s">
        <v>10381</v>
      </c>
      <c r="T88" s="772"/>
      <c r="U88" s="614">
        <v>74.220826050194205</v>
      </c>
      <c r="V88" s="460"/>
      <c r="W88" s="524">
        <v>4.0684563025119497E-2</v>
      </c>
      <c r="X88" s="460"/>
      <c r="Y88" s="524">
        <v>770722.60075040301</v>
      </c>
      <c r="Z88" s="460"/>
    </row>
    <row r="89" spans="1:26" s="514" customFormat="1">
      <c r="A89" s="776" t="str">
        <f>VLOOKUP(C89,Valve_from_BP!$O:$AE,2,0)</f>
        <v>FVZ1032until39.pdf, 5/5</v>
      </c>
      <c r="B89" s="762"/>
      <c r="C89" s="181" t="s">
        <v>784</v>
      </c>
      <c r="D89" s="773"/>
      <c r="E89" s="724"/>
      <c r="F89" s="846" t="s">
        <v>5736</v>
      </c>
      <c r="G89" s="524">
        <v>190</v>
      </c>
      <c r="H89" s="460">
        <f>VLOOKUP(C89,Valve_from_BP!$O:$AE,3,0)</f>
        <v>190</v>
      </c>
      <c r="I89" s="524">
        <v>1</v>
      </c>
      <c r="J89" s="460">
        <f>VLOOKUP(C89,Valve_from_BP!$O:$AE,5,0)</f>
        <v>1</v>
      </c>
      <c r="K89" s="524" t="b">
        <v>1</v>
      </c>
      <c r="L89" s="460">
        <f>VLOOKUP(C89,Valve_from_BP!$O:$AE,9,0)</f>
        <v>1</v>
      </c>
      <c r="M89" s="524" t="b">
        <v>1</v>
      </c>
      <c r="N89" s="772">
        <v>1</v>
      </c>
      <c r="O89" s="524">
        <v>2.25</v>
      </c>
      <c r="P89" s="772">
        <v>2.25</v>
      </c>
      <c r="Q89" s="524">
        <v>2</v>
      </c>
      <c r="R89" s="772">
        <v>2</v>
      </c>
      <c r="S89" s="783" t="s">
        <v>10381</v>
      </c>
      <c r="T89" s="772"/>
      <c r="U89" s="614">
        <v>74.221403668062493</v>
      </c>
      <c r="V89" s="460"/>
      <c r="W89" s="524">
        <v>4.0684562343154498E-2</v>
      </c>
      <c r="X89" s="460"/>
      <c r="Y89" s="524">
        <v>770686.84285379597</v>
      </c>
      <c r="Z89" s="460"/>
    </row>
    <row r="90" spans="1:26" s="514" customFormat="1">
      <c r="A90" s="824" t="str">
        <f>VLOOKUP(C90,Valve_from_BP!$O:$AE,2,0)</f>
        <v>FVZ1032until39.pdf, 5/5</v>
      </c>
      <c r="B90" s="823"/>
      <c r="C90" s="822" t="s">
        <v>785</v>
      </c>
      <c r="D90" s="822"/>
      <c r="E90" s="724"/>
      <c r="F90" s="846" t="s">
        <v>5737</v>
      </c>
      <c r="G90" s="524">
        <v>190</v>
      </c>
      <c r="H90" s="460">
        <f>VLOOKUP(C90,Valve_from_BP!$O:$AE,3,0)</f>
        <v>190</v>
      </c>
      <c r="I90" s="524">
        <v>1</v>
      </c>
      <c r="J90" s="460">
        <f>VLOOKUP(C90,Valve_from_BP!$O:$AE,5,0)</f>
        <v>1</v>
      </c>
      <c r="K90" s="524" t="b">
        <v>1</v>
      </c>
      <c r="L90" s="460">
        <f>VLOOKUP(C90,Valve_from_BP!$O:$AE,9,0)</f>
        <v>1</v>
      </c>
      <c r="M90" s="524" t="b">
        <v>1</v>
      </c>
      <c r="N90" s="772">
        <v>1</v>
      </c>
      <c r="O90" s="524">
        <v>2.25</v>
      </c>
      <c r="P90" s="772">
        <v>2.25</v>
      </c>
      <c r="Q90" s="524">
        <v>2</v>
      </c>
      <c r="R90" s="772">
        <v>2</v>
      </c>
      <c r="S90" s="783" t="s">
        <v>10381</v>
      </c>
      <c r="T90" s="772"/>
      <c r="U90" s="614">
        <v>74.221391523753098</v>
      </c>
      <c r="V90" s="460"/>
      <c r="W90" s="524">
        <v>4.0684562155574401E-2</v>
      </c>
      <c r="X90" s="460"/>
      <c r="Y90" s="524">
        <v>770687.58642078005</v>
      </c>
      <c r="Z90" s="460"/>
    </row>
    <row r="91" spans="1:26">
      <c r="A91" s="825" t="str">
        <f>VLOOKUP(C91,Valve_from_BP!$O:$AE,2,0)</f>
        <v>FVZ1032until39.pdf, 5/5</v>
      </c>
      <c r="B91" s="820"/>
      <c r="C91" s="821" t="s">
        <v>786</v>
      </c>
      <c r="D91" s="819"/>
      <c r="E91" s="724"/>
      <c r="F91" s="465" t="s">
        <v>5738</v>
      </c>
      <c r="G91" s="19">
        <v>190</v>
      </c>
      <c r="H91" s="460">
        <f>VLOOKUP(C91,Valve_from_BP!$O:$AE,3,0)</f>
        <v>190</v>
      </c>
      <c r="I91" s="19">
        <v>1</v>
      </c>
      <c r="J91" s="460">
        <f>VLOOKUP(C91,Valve_from_BP!$O:$AE,5,0)</f>
        <v>1</v>
      </c>
      <c r="K91" s="19" t="b">
        <v>1</v>
      </c>
      <c r="L91" s="460">
        <f>VLOOKUP(C91,Valve_from_BP!$O:$AE,9,0)</f>
        <v>1</v>
      </c>
      <c r="M91" s="19" t="b">
        <v>1</v>
      </c>
      <c r="N91" s="13">
        <v>1</v>
      </c>
      <c r="O91" s="19">
        <v>2.25</v>
      </c>
      <c r="P91" s="13">
        <v>2.25</v>
      </c>
      <c r="Q91" s="19">
        <v>2</v>
      </c>
      <c r="R91" s="13">
        <v>2</v>
      </c>
      <c r="S91" s="783" t="s">
        <v>10381</v>
      </c>
      <c r="T91" s="13"/>
      <c r="U91" s="19">
        <v>74.221393648719996</v>
      </c>
      <c r="V91" s="13"/>
      <c r="W91" s="524">
        <v>4.06845621691252E-2</v>
      </c>
      <c r="X91" s="460"/>
      <c r="Y91" s="524">
        <v>770687.45589051</v>
      </c>
      <c r="Z91" s="460"/>
    </row>
    <row r="92" spans="1:26">
      <c r="A92" s="776" t="str">
        <f>VLOOKUP(C92,Valve_from_BP!$O:$AE,2,0)</f>
        <v>FVZ1032until39.pdf, 5/5</v>
      </c>
      <c r="B92" s="757"/>
      <c r="C92" s="773" t="s">
        <v>787</v>
      </c>
      <c r="D92" s="181"/>
      <c r="E92" s="724"/>
      <c r="F92" s="465" t="s">
        <v>5739</v>
      </c>
      <c r="G92" s="19">
        <v>190</v>
      </c>
      <c r="H92" s="460">
        <f>VLOOKUP(C92,Valve_from_BP!$O:$AE,3,0)</f>
        <v>190</v>
      </c>
      <c r="I92" s="19">
        <v>1</v>
      </c>
      <c r="J92" s="460">
        <f>VLOOKUP(C92,Valve_from_BP!$O:$AE,5,0)</f>
        <v>1</v>
      </c>
      <c r="K92" s="19" t="b">
        <v>1</v>
      </c>
      <c r="L92" s="460">
        <f>VLOOKUP(C92,Valve_from_BP!$O:$AE,9,0)</f>
        <v>1</v>
      </c>
      <c r="M92" s="19" t="b">
        <v>1</v>
      </c>
      <c r="N92" s="177">
        <v>1</v>
      </c>
      <c r="O92" s="19">
        <v>2.25</v>
      </c>
      <c r="P92" s="177">
        <v>2.25</v>
      </c>
      <c r="Q92" s="19">
        <v>2</v>
      </c>
      <c r="R92" s="177">
        <v>2</v>
      </c>
      <c r="S92" s="783" t="s">
        <v>10381</v>
      </c>
      <c r="T92" s="177"/>
      <c r="U92" s="19">
        <v>74.221403668062194</v>
      </c>
      <c r="V92" s="177"/>
      <c r="W92" s="524">
        <v>4.06845623431547E-2</v>
      </c>
      <c r="X92" s="460"/>
      <c r="Y92" s="524">
        <v>770686.84285380004</v>
      </c>
      <c r="Z92" s="460"/>
    </row>
    <row r="93" spans="1:26">
      <c r="A93" s="776" t="str">
        <f>VLOOKUP(C93,Valve_from_BP!$O:$AE,2,0)</f>
        <v>FVZ1032until39.pdf, 5/5</v>
      </c>
      <c r="B93" s="757"/>
      <c r="C93" s="773" t="s">
        <v>788</v>
      </c>
      <c r="D93" s="181"/>
      <c r="E93" s="724"/>
      <c r="F93" s="465" t="s">
        <v>5740</v>
      </c>
      <c r="G93" s="19">
        <v>190</v>
      </c>
      <c r="H93" s="460">
        <f>VLOOKUP(C93,Valve_from_BP!$O:$AE,3,0)</f>
        <v>190</v>
      </c>
      <c r="I93" s="19">
        <v>1</v>
      </c>
      <c r="J93" s="460">
        <f>VLOOKUP(C93,Valve_from_BP!$O:$AE,5,0)</f>
        <v>1</v>
      </c>
      <c r="K93" s="19" t="b">
        <v>1</v>
      </c>
      <c r="L93" s="460">
        <f>VLOOKUP(C93,Valve_from_BP!$O:$AE,9,0)</f>
        <v>1</v>
      </c>
      <c r="M93" s="19" t="b">
        <v>1</v>
      </c>
      <c r="N93" s="177">
        <v>1</v>
      </c>
      <c r="O93" s="19">
        <v>2.25</v>
      </c>
      <c r="P93" s="177">
        <v>2.25</v>
      </c>
      <c r="Q93" s="19">
        <v>2</v>
      </c>
      <c r="R93" s="177">
        <v>2</v>
      </c>
      <c r="S93" s="783" t="s">
        <v>10381</v>
      </c>
      <c r="T93" s="177"/>
      <c r="U93" s="19">
        <v>74.220832326460595</v>
      </c>
      <c r="V93" s="177"/>
      <c r="W93" s="524">
        <v>4.0684559269509403E-2</v>
      </c>
      <c r="X93" s="460"/>
      <c r="Y93" s="524">
        <v>770722.13276422105</v>
      </c>
      <c r="Z93" s="460"/>
    </row>
    <row r="94" spans="1:26">
      <c r="A94" s="776" t="str">
        <f>VLOOKUP(C94,Valve_from_BP!$O:$AE,2,0)</f>
        <v>FVZ1032until39.pdf, 5/5</v>
      </c>
      <c r="B94" s="757"/>
      <c r="C94" s="773" t="s">
        <v>789</v>
      </c>
      <c r="D94" s="181"/>
      <c r="E94" s="724"/>
      <c r="F94" s="465" t="s">
        <v>5741</v>
      </c>
      <c r="G94" s="19">
        <v>190</v>
      </c>
      <c r="H94" s="460">
        <f>VLOOKUP(C94,Valve_from_BP!$O:$AE,3,0)</f>
        <v>190</v>
      </c>
      <c r="I94" s="19">
        <v>1</v>
      </c>
      <c r="J94" s="460">
        <f>VLOOKUP(C94,Valve_from_BP!$O:$AE,5,0)</f>
        <v>1</v>
      </c>
      <c r="K94" s="19" t="b">
        <v>1</v>
      </c>
      <c r="L94" s="460">
        <f>VLOOKUP(C94,Valve_from_BP!$O:$AE,9,0)</f>
        <v>1</v>
      </c>
      <c r="M94" s="19" t="b">
        <v>1</v>
      </c>
      <c r="N94" s="177">
        <v>1</v>
      </c>
      <c r="O94" s="19">
        <v>2.25</v>
      </c>
      <c r="P94" s="177">
        <v>2.25</v>
      </c>
      <c r="Q94" s="19">
        <v>2</v>
      </c>
      <c r="R94" s="177">
        <v>2</v>
      </c>
      <c r="S94" s="783" t="s">
        <v>10381</v>
      </c>
      <c r="T94" s="177"/>
      <c r="U94" s="19">
        <v>74.220571499617506</v>
      </c>
      <c r="V94" s="177"/>
      <c r="W94" s="524">
        <v>4.0684563357434297E-2</v>
      </c>
      <c r="X94" s="460"/>
      <c r="Y94" s="524">
        <v>770738.36029537697</v>
      </c>
      <c r="Z94" s="460"/>
    </row>
    <row r="95" spans="1:26">
      <c r="A95" s="776" t="str">
        <f>VLOOKUP(C95,Valve_from_BP!$O:$AE,2,0)</f>
        <v>FVZ1085A Pages from 0665-39923.pdf</v>
      </c>
      <c r="B95" s="757"/>
      <c r="C95" s="773" t="s">
        <v>9098</v>
      </c>
      <c r="D95" s="181"/>
      <c r="E95" s="724"/>
      <c r="F95" s="465" t="s">
        <v>8025</v>
      </c>
      <c r="G95" s="19">
        <v>1750</v>
      </c>
      <c r="H95" s="460">
        <f>VLOOKUP(C95,Valve_from_BP!$O:$AE,3,0)</f>
        <v>1750</v>
      </c>
      <c r="I95" s="19">
        <v>1</v>
      </c>
      <c r="J95" s="460">
        <f>VLOOKUP(C95,Valve_from_BP!$O:$AE,5,0)</f>
        <v>1</v>
      </c>
      <c r="K95" s="19" t="b">
        <v>0</v>
      </c>
      <c r="L95" s="460">
        <f>VLOOKUP(C95,Valve_from_BP!$O:$AE,9,0)</f>
        <v>0</v>
      </c>
      <c r="M95" s="19" t="b">
        <v>0</v>
      </c>
      <c r="N95" s="177"/>
      <c r="O95" s="19">
        <v>1</v>
      </c>
      <c r="P95" s="177"/>
      <c r="Q95" s="19">
        <v>2</v>
      </c>
      <c r="R95" s="177">
        <v>2</v>
      </c>
      <c r="S95" s="783" t="s">
        <v>10381</v>
      </c>
      <c r="T95" s="177"/>
      <c r="U95" s="19">
        <v>0</v>
      </c>
      <c r="V95" s="177"/>
      <c r="W95" s="524">
        <v>0</v>
      </c>
      <c r="X95" s="460"/>
      <c r="Y95" s="524">
        <v>435340.613401899</v>
      </c>
      <c r="Z95" s="460"/>
    </row>
    <row r="96" spans="1:26">
      <c r="A96" s="776" t="str">
        <f>VLOOKUP(C96,Valve_from_BP!$O:$AE,2,0)</f>
        <v>FVZ1085A.pdf</v>
      </c>
      <c r="B96" s="757"/>
      <c r="C96" s="773" t="s">
        <v>9097</v>
      </c>
      <c r="D96" s="181"/>
      <c r="E96" s="724"/>
      <c r="F96" s="465" t="s">
        <v>7995</v>
      </c>
      <c r="G96" s="19">
        <v>1750</v>
      </c>
      <c r="H96" s="460">
        <f>VLOOKUP(C96,Valve_from_BP!$O:$AE,3,0)</f>
        <v>1750</v>
      </c>
      <c r="I96" s="19">
        <v>1</v>
      </c>
      <c r="J96" s="460">
        <f>VLOOKUP(C96,Valve_from_BP!$O:$AE,5,0)</f>
        <v>1</v>
      </c>
      <c r="K96" s="19" t="b">
        <v>0</v>
      </c>
      <c r="L96" s="460">
        <f>VLOOKUP(C96,Valve_from_BP!$O:$AE,9,0)</f>
        <v>0</v>
      </c>
      <c r="M96" s="19" t="b">
        <v>0</v>
      </c>
      <c r="N96" s="177"/>
      <c r="O96" s="19">
        <v>1</v>
      </c>
      <c r="P96" s="177"/>
      <c r="Q96" s="19">
        <v>2</v>
      </c>
      <c r="R96" s="177">
        <v>2</v>
      </c>
      <c r="S96" s="783" t="s">
        <v>10381</v>
      </c>
      <c r="T96" s="177"/>
      <c r="U96" s="19">
        <v>50.660454417506401</v>
      </c>
      <c r="V96" s="177"/>
      <c r="W96" s="524">
        <v>8.2359173338934305E-2</v>
      </c>
      <c r="X96" s="460"/>
      <c r="Y96" s="524">
        <v>166796.871673941</v>
      </c>
      <c r="Z96" s="460"/>
    </row>
    <row r="97" spans="1:26">
      <c r="A97" s="776" t="s">
        <v>9086</v>
      </c>
      <c r="B97" s="757"/>
      <c r="C97" s="773" t="s">
        <v>816</v>
      </c>
      <c r="D97" s="181"/>
      <c r="E97" s="724"/>
      <c r="F97" s="465" t="s">
        <v>5753</v>
      </c>
      <c r="G97" s="19">
        <v>190</v>
      </c>
      <c r="H97" s="460">
        <f>VLOOKUP(C97,Valve_from_BP!$O:$AE,3,0)</f>
        <v>190</v>
      </c>
      <c r="I97" s="19">
        <v>1</v>
      </c>
      <c r="J97" s="460">
        <f>VLOOKUP(C97,Valve_from_BP!$O:$AE,5,0)</f>
        <v>1</v>
      </c>
      <c r="K97" s="19" t="b">
        <v>1</v>
      </c>
      <c r="L97" s="460">
        <f>VLOOKUP(C97,Valve_from_BP!$O:$AE,9,0)</f>
        <v>1</v>
      </c>
      <c r="M97" s="19" t="b">
        <v>1</v>
      </c>
      <c r="N97" s="177">
        <v>1</v>
      </c>
      <c r="O97" s="19">
        <v>2.25</v>
      </c>
      <c r="P97" s="177">
        <v>2.25</v>
      </c>
      <c r="Q97" s="19">
        <v>2</v>
      </c>
      <c r="R97" s="177">
        <v>2</v>
      </c>
      <c r="S97" s="783" t="s">
        <v>10381</v>
      </c>
      <c r="T97" s="177"/>
      <c r="U97" s="19">
        <v>57.411420498722798</v>
      </c>
      <c r="V97" s="177"/>
      <c r="W97" s="524">
        <v>2.8676003801978101E-2</v>
      </c>
      <c r="X97" s="460"/>
      <c r="Y97" s="524">
        <v>1141154.08095427</v>
      </c>
      <c r="Z97" s="460"/>
    </row>
    <row r="98" spans="1:26">
      <c r="A98" s="776" t="s">
        <v>9086</v>
      </c>
      <c r="B98" s="757"/>
      <c r="C98" s="773" t="s">
        <v>819</v>
      </c>
      <c r="D98" s="181"/>
      <c r="E98" s="724"/>
      <c r="F98" s="465" t="s">
        <v>5754</v>
      </c>
      <c r="G98" s="19">
        <v>190</v>
      </c>
      <c r="H98" s="460">
        <f>VLOOKUP(C98,Valve_from_BP!$O:$AE,3,0)</f>
        <v>190</v>
      </c>
      <c r="I98" s="19">
        <v>1</v>
      </c>
      <c r="J98" s="460">
        <f>VLOOKUP(C98,Valve_from_BP!$O:$AE,5,0)</f>
        <v>1</v>
      </c>
      <c r="K98" s="19" t="b">
        <v>1</v>
      </c>
      <c r="L98" s="460">
        <f>VLOOKUP(C98,Valve_from_BP!$O:$AE,9,0)</f>
        <v>1</v>
      </c>
      <c r="M98" s="19" t="b">
        <v>1</v>
      </c>
      <c r="N98" s="177">
        <v>1</v>
      </c>
      <c r="O98" s="19">
        <v>2.25</v>
      </c>
      <c r="P98" s="177">
        <v>2.25</v>
      </c>
      <c r="Q98" s="19">
        <v>2</v>
      </c>
      <c r="R98" s="177">
        <v>2</v>
      </c>
      <c r="S98" s="783" t="s">
        <v>10381</v>
      </c>
      <c r="T98" s="177"/>
      <c r="U98" s="19">
        <v>57.411421413423803</v>
      </c>
      <c r="V98" s="177"/>
      <c r="W98" s="524">
        <v>2.8676003052339399E-2</v>
      </c>
      <c r="X98" s="460"/>
      <c r="Y98" s="524">
        <v>1141153.9367035399</v>
      </c>
      <c r="Z98" s="460"/>
    </row>
    <row r="99" spans="1:26">
      <c r="A99" s="776" t="s">
        <v>9086</v>
      </c>
      <c r="B99" s="757"/>
      <c r="C99" s="773" t="s">
        <v>821</v>
      </c>
      <c r="D99" s="773"/>
      <c r="E99" s="724"/>
      <c r="F99" s="465" t="s">
        <v>5755</v>
      </c>
      <c r="G99" s="19">
        <v>190</v>
      </c>
      <c r="H99" s="460">
        <f>VLOOKUP(C99,Valve_from_BP!$O:$AE,3,0)</f>
        <v>190</v>
      </c>
      <c r="I99" s="19">
        <v>1</v>
      </c>
      <c r="J99" s="460">
        <f>VLOOKUP(C99,Valve_from_BP!$O:$AE,5,0)</f>
        <v>1</v>
      </c>
      <c r="K99" s="19" t="b">
        <v>1</v>
      </c>
      <c r="L99" s="460">
        <f>VLOOKUP(C99,Valve_from_BP!$O:$AE,9,0)</f>
        <v>1</v>
      </c>
      <c r="M99" s="19" t="b">
        <v>1</v>
      </c>
      <c r="N99" s="13">
        <v>1</v>
      </c>
      <c r="O99" s="19">
        <v>2.25</v>
      </c>
      <c r="P99" s="13">
        <v>2.25</v>
      </c>
      <c r="Q99" s="19">
        <v>2</v>
      </c>
      <c r="R99" s="13">
        <v>2</v>
      </c>
      <c r="S99" s="783" t="s">
        <v>10381</v>
      </c>
      <c r="T99" s="13"/>
      <c r="U99" s="19">
        <v>57.411417216488303</v>
      </c>
      <c r="V99" s="13"/>
      <c r="W99" s="524">
        <v>2.86760030445159E-2</v>
      </c>
      <c r="X99" s="460"/>
      <c r="Y99" s="524">
        <v>1141154.3184374301</v>
      </c>
      <c r="Z99" s="460"/>
    </row>
    <row r="100" spans="1:26">
      <c r="A100" s="776" t="s">
        <v>9086</v>
      </c>
      <c r="B100" s="757"/>
      <c r="C100" s="773" t="s">
        <v>823</v>
      </c>
      <c r="D100" s="773"/>
      <c r="E100" s="724"/>
      <c r="F100" s="465" t="s">
        <v>5756</v>
      </c>
      <c r="G100" s="19">
        <v>190</v>
      </c>
      <c r="H100" s="460">
        <f>VLOOKUP(C100,Valve_from_BP!$O:$AE,3,0)</f>
        <v>190</v>
      </c>
      <c r="I100" s="19">
        <v>1</v>
      </c>
      <c r="J100" s="460">
        <f>VLOOKUP(C100,Valve_from_BP!$O:$AE,5,0)</f>
        <v>1</v>
      </c>
      <c r="K100" s="19" t="b">
        <v>1</v>
      </c>
      <c r="L100" s="460">
        <f>VLOOKUP(C100,Valve_from_BP!$O:$AE,9,0)</f>
        <v>1</v>
      </c>
      <c r="M100" s="19" t="b">
        <v>1</v>
      </c>
      <c r="N100" s="13">
        <v>1</v>
      </c>
      <c r="O100" s="19">
        <v>2.25</v>
      </c>
      <c r="P100" s="13">
        <v>2.25</v>
      </c>
      <c r="Q100" s="19">
        <v>2</v>
      </c>
      <c r="R100" s="13">
        <v>2</v>
      </c>
      <c r="S100" s="783" t="s">
        <v>10381</v>
      </c>
      <c r="T100" s="13"/>
      <c r="U100" s="19">
        <v>57.411417216488303</v>
      </c>
      <c r="V100" s="13"/>
      <c r="W100" s="524">
        <v>2.86760030445159E-2</v>
      </c>
      <c r="X100" s="460"/>
      <c r="Y100" s="524">
        <v>1141154.3184374301</v>
      </c>
      <c r="Z100" s="460"/>
    </row>
    <row r="101" spans="1:26">
      <c r="A101" s="776" t="s">
        <v>9086</v>
      </c>
      <c r="B101" s="757"/>
      <c r="C101" s="773" t="s">
        <v>825</v>
      </c>
      <c r="D101" s="773"/>
      <c r="E101" s="724"/>
      <c r="F101" s="465" t="s">
        <v>5757</v>
      </c>
      <c r="G101" s="19">
        <v>190</v>
      </c>
      <c r="H101" s="460">
        <f>VLOOKUP(C101,Valve_from_BP!$O:$AE,3,0)</f>
        <v>190</v>
      </c>
      <c r="I101" s="19">
        <v>1</v>
      </c>
      <c r="J101" s="460">
        <f>VLOOKUP(C101,Valve_from_BP!$O:$AE,5,0)</f>
        <v>1</v>
      </c>
      <c r="K101" s="19" t="b">
        <v>1</v>
      </c>
      <c r="L101" s="460">
        <f>VLOOKUP(C101,Valve_from_BP!$O:$AE,9,0)</f>
        <v>1</v>
      </c>
      <c r="M101" s="19" t="b">
        <v>1</v>
      </c>
      <c r="N101" s="13">
        <v>1</v>
      </c>
      <c r="O101" s="19">
        <v>2.25</v>
      </c>
      <c r="P101" s="13">
        <v>2.25</v>
      </c>
      <c r="Q101" s="19">
        <v>2</v>
      </c>
      <c r="R101" s="13">
        <v>2</v>
      </c>
      <c r="S101" s="783" t="s">
        <v>10381</v>
      </c>
      <c r="T101" s="13"/>
      <c r="U101" s="19">
        <v>57.411416301440603</v>
      </c>
      <c r="V101" s="13"/>
      <c r="W101" s="524">
        <v>2.8676003794314699E-2</v>
      </c>
      <c r="X101" s="460"/>
      <c r="Y101" s="524">
        <v>1141154.4627326</v>
      </c>
      <c r="Z101" s="460"/>
    </row>
    <row r="102" spans="1:26">
      <c r="A102" s="803" t="s">
        <v>9086</v>
      </c>
      <c r="B102" s="757"/>
      <c r="C102" s="181" t="s">
        <v>827</v>
      </c>
      <c r="D102" s="773"/>
      <c r="E102" s="724"/>
      <c r="F102" s="465" t="s">
        <v>5758</v>
      </c>
      <c r="G102" s="19">
        <v>190</v>
      </c>
      <c r="H102" s="460">
        <f>VLOOKUP(C102,Valve_from_BP!$O:$AE,3,0)</f>
        <v>190</v>
      </c>
      <c r="I102" s="19">
        <v>1</v>
      </c>
      <c r="J102" s="460">
        <f>VLOOKUP(C102,Valve_from_BP!$O:$AE,5,0)</f>
        <v>1</v>
      </c>
      <c r="K102" s="19" t="b">
        <v>1</v>
      </c>
      <c r="L102" s="460">
        <f>VLOOKUP(C102,Valve_from_BP!$O:$AE,9,0)</f>
        <v>1</v>
      </c>
      <c r="M102" s="19" t="b">
        <v>1</v>
      </c>
      <c r="N102" s="13">
        <v>1</v>
      </c>
      <c r="O102" s="19">
        <v>2.25</v>
      </c>
      <c r="P102" s="13">
        <v>2.25</v>
      </c>
      <c r="Q102" s="19">
        <v>2</v>
      </c>
      <c r="R102" s="13">
        <v>2</v>
      </c>
      <c r="S102" s="783" t="s">
        <v>10381</v>
      </c>
      <c r="T102" s="13"/>
      <c r="U102" s="19">
        <v>57.411416301440603</v>
      </c>
      <c r="V102" s="13"/>
      <c r="W102" s="524">
        <v>2.86760037943148E-2</v>
      </c>
      <c r="X102" s="460"/>
      <c r="Y102" s="524">
        <v>1141154.4627326</v>
      </c>
      <c r="Z102" s="460"/>
    </row>
    <row r="103" spans="1:26">
      <c r="A103" s="803" t="s">
        <v>9086</v>
      </c>
      <c r="B103" s="757"/>
      <c r="C103" s="181" t="s">
        <v>829</v>
      </c>
      <c r="D103" s="773"/>
      <c r="E103" s="724"/>
      <c r="F103" s="465" t="s">
        <v>5759</v>
      </c>
      <c r="G103" s="19">
        <v>190</v>
      </c>
      <c r="H103" s="460">
        <f>VLOOKUP(C103,Valve_from_BP!$O:$AE,3,0)</f>
        <v>190</v>
      </c>
      <c r="I103" s="19">
        <v>1</v>
      </c>
      <c r="J103" s="460">
        <f>VLOOKUP(C103,Valve_from_BP!$O:$AE,5,0)</f>
        <v>1</v>
      </c>
      <c r="K103" s="19" t="b">
        <v>1</v>
      </c>
      <c r="L103" s="460">
        <f>VLOOKUP(C103,Valve_from_BP!$O:$AE,9,0)</f>
        <v>1</v>
      </c>
      <c r="M103" s="19" t="b">
        <v>1</v>
      </c>
      <c r="N103" s="13">
        <v>1</v>
      </c>
      <c r="O103" s="19">
        <v>2.25</v>
      </c>
      <c r="P103" s="13">
        <v>2.25</v>
      </c>
      <c r="Q103" s="19">
        <v>2</v>
      </c>
      <c r="R103" s="13">
        <v>2</v>
      </c>
      <c r="S103" s="783" t="s">
        <v>10381</v>
      </c>
      <c r="T103" s="13"/>
      <c r="U103" s="19">
        <v>57.411420498722798</v>
      </c>
      <c r="V103" s="13"/>
      <c r="W103" s="524">
        <v>2.8676003801978101E-2</v>
      </c>
      <c r="X103" s="460"/>
      <c r="Y103" s="524">
        <v>1141154.08095428</v>
      </c>
      <c r="Z103" s="460"/>
    </row>
    <row r="104" spans="1:26">
      <c r="A104" s="776" t="s">
        <v>9086</v>
      </c>
      <c r="B104" s="757"/>
      <c r="C104" s="181" t="s">
        <v>831</v>
      </c>
      <c r="D104" s="773"/>
      <c r="E104" s="724"/>
      <c r="F104" s="465" t="s">
        <v>5760</v>
      </c>
      <c r="G104" s="19">
        <v>190</v>
      </c>
      <c r="H104" s="460">
        <f>VLOOKUP(C104,Valve_from_BP!$O:$AE,3,0)</f>
        <v>190</v>
      </c>
      <c r="I104" s="19">
        <v>1</v>
      </c>
      <c r="J104" s="460">
        <f>VLOOKUP(C104,Valve_from_BP!$O:$AE,5,0)</f>
        <v>1</v>
      </c>
      <c r="K104" s="614" t="b">
        <v>1</v>
      </c>
      <c r="L104" s="460">
        <f>VLOOKUP(C104,Valve_from_BP!$O:$AE,9,0)</f>
        <v>1</v>
      </c>
      <c r="M104" s="19" t="b">
        <v>1</v>
      </c>
      <c r="N104" s="13">
        <v>1</v>
      </c>
      <c r="O104" s="19">
        <v>2.25</v>
      </c>
      <c r="P104" s="13">
        <v>2.25</v>
      </c>
      <c r="Q104" s="19">
        <v>2</v>
      </c>
      <c r="R104" s="13">
        <v>2</v>
      </c>
      <c r="S104" s="783" t="s">
        <v>10381</v>
      </c>
      <c r="T104" s="13"/>
      <c r="U104" s="19">
        <v>57.411420498722798</v>
      </c>
      <c r="V104" s="13"/>
      <c r="W104" s="524">
        <v>2.8676003801978101E-2</v>
      </c>
      <c r="X104" s="460"/>
      <c r="Y104" s="524">
        <v>1141154.08095428</v>
      </c>
      <c r="Z104" s="460"/>
    </row>
    <row r="105" spans="1:26">
      <c r="A105" s="776" t="s">
        <v>9086</v>
      </c>
      <c r="B105" s="757"/>
      <c r="C105" s="181" t="s">
        <v>811</v>
      </c>
      <c r="D105" s="773"/>
      <c r="E105" s="724"/>
      <c r="F105" s="465" t="s">
        <v>6088</v>
      </c>
      <c r="G105" s="19">
        <v>1550</v>
      </c>
      <c r="H105" s="460">
        <f>VLOOKUP(C105,Valve_from_BP!$O:$AE,3,0)</f>
        <v>1550</v>
      </c>
      <c r="I105" s="19">
        <v>1</v>
      </c>
      <c r="J105" s="460">
        <f>VLOOKUP(C105,Valve_from_BP!$O:$AE,5,0)</f>
        <v>1</v>
      </c>
      <c r="K105" s="19" t="b">
        <v>0</v>
      </c>
      <c r="L105" s="460">
        <f>VLOOKUP(C105,Valve_from_BP!$O:$AE,9,0)</f>
        <v>0</v>
      </c>
      <c r="M105" s="19" t="b">
        <v>0</v>
      </c>
      <c r="N105" s="13">
        <v>0</v>
      </c>
      <c r="O105" s="19">
        <v>0</v>
      </c>
      <c r="P105" s="13">
        <v>0</v>
      </c>
      <c r="Q105" s="19">
        <v>2</v>
      </c>
      <c r="R105" s="13">
        <v>2</v>
      </c>
      <c r="S105" s="783" t="s">
        <v>10381</v>
      </c>
      <c r="T105" s="13"/>
      <c r="U105" s="19">
        <v>49.202346568774303</v>
      </c>
      <c r="V105" s="13"/>
      <c r="W105" s="524">
        <v>0.12778080035512299</v>
      </c>
      <c r="X105" s="460"/>
      <c r="Y105" s="524">
        <v>453829.16770152899</v>
      </c>
      <c r="Z105" s="460"/>
    </row>
    <row r="106" spans="1:26">
      <c r="A106" s="776" t="s">
        <v>9086</v>
      </c>
      <c r="B106" s="757"/>
      <c r="C106" s="181" t="s">
        <v>813</v>
      </c>
      <c r="D106" s="773"/>
      <c r="E106" s="724"/>
      <c r="F106" s="465" t="s">
        <v>6089</v>
      </c>
      <c r="G106" s="19">
        <v>710</v>
      </c>
      <c r="H106" s="460">
        <f>VLOOKUP(C106,Valve_from_BP!$O:$AE,3,0)</f>
        <v>710</v>
      </c>
      <c r="I106" s="19">
        <v>1</v>
      </c>
      <c r="J106" s="460">
        <f>VLOOKUP(C106,Valve_from_BP!$O:$AE,5,0)</f>
        <v>1</v>
      </c>
      <c r="K106" s="19" t="b">
        <v>0</v>
      </c>
      <c r="L106" s="460">
        <f>VLOOKUP(C106,Valve_from_BP!$O:$AE,9,0)</f>
        <v>0</v>
      </c>
      <c r="M106" s="19" t="b">
        <v>0</v>
      </c>
      <c r="N106" s="13">
        <v>0</v>
      </c>
      <c r="O106" s="19">
        <v>0</v>
      </c>
      <c r="P106" s="13">
        <v>0</v>
      </c>
      <c r="Q106" s="19">
        <v>2</v>
      </c>
      <c r="R106" s="13">
        <v>2</v>
      </c>
      <c r="S106" s="783" t="s">
        <v>10381</v>
      </c>
      <c r="T106" s="13"/>
      <c r="U106" s="19">
        <v>75.724026559635305</v>
      </c>
      <c r="V106" s="13"/>
      <c r="W106" s="524">
        <v>5.49337716603037E-2</v>
      </c>
      <c r="X106" s="460"/>
      <c r="Y106" s="524">
        <v>-2340.2961666561</v>
      </c>
      <c r="Z106" s="460"/>
    </row>
    <row r="107" spans="1:26">
      <c r="A107" s="776" t="str">
        <f>VLOOKUP(C107,Valve_from_BP!$O:$AE,2,0)</f>
        <v>HICZ3004.pdf, 2/2</v>
      </c>
      <c r="B107" s="757"/>
      <c r="C107" s="181" t="s">
        <v>9090</v>
      </c>
      <c r="D107" s="773"/>
      <c r="E107" s="724"/>
      <c r="F107" s="465" t="s">
        <v>6097</v>
      </c>
      <c r="G107" s="19">
        <v>150</v>
      </c>
      <c r="H107" s="460">
        <f>VLOOKUP(C107,Valve_from_BP!$O:$AE,3,0)</f>
        <v>150</v>
      </c>
      <c r="I107" s="19">
        <v>1</v>
      </c>
      <c r="J107" s="460">
        <f>VLOOKUP(C107,Valve_from_BP!$O:$AE,5,0)</f>
        <v>1</v>
      </c>
      <c r="K107" s="19" t="b">
        <v>1</v>
      </c>
      <c r="L107" s="460">
        <f>VLOOKUP(C107,Valve_from_BP!$O:$AE,9,0)</f>
        <v>1</v>
      </c>
      <c r="M107" s="19" t="b">
        <v>1</v>
      </c>
      <c r="N107" s="13">
        <v>1</v>
      </c>
      <c r="O107" s="19">
        <v>1</v>
      </c>
      <c r="P107" s="13">
        <v>1</v>
      </c>
      <c r="Q107" s="19">
        <v>2</v>
      </c>
      <c r="R107" s="13">
        <v>2</v>
      </c>
      <c r="S107" s="783" t="s">
        <v>10381</v>
      </c>
      <c r="T107" s="13"/>
      <c r="U107" s="19">
        <v>2</v>
      </c>
      <c r="V107" s="13"/>
      <c r="W107" s="524">
        <v>5.2123517577482801E-5</v>
      </c>
      <c r="X107" s="460"/>
      <c r="Y107" s="524">
        <v>55586.062704351898</v>
      </c>
      <c r="Z107" s="460"/>
    </row>
    <row r="108" spans="1:26">
      <c r="A108" s="776" t="str">
        <f>VLOOKUP(C108,Valve_from_BP!$O:$AE,2,0)</f>
        <v>LHCIZ5008.pdf</v>
      </c>
      <c r="B108" s="757"/>
      <c r="C108" s="181" t="s">
        <v>9104</v>
      </c>
      <c r="D108" s="773"/>
      <c r="E108" s="724"/>
      <c r="F108" s="465" t="s">
        <v>9103</v>
      </c>
      <c r="G108" s="19">
        <v>50</v>
      </c>
      <c r="H108" s="788"/>
      <c r="I108" s="19">
        <v>1</v>
      </c>
      <c r="J108" s="460">
        <f>VLOOKUP(C108,Valve_from_BP!$O:$AE,5,0)</f>
        <v>1</v>
      </c>
      <c r="K108" s="19" t="b">
        <v>0</v>
      </c>
      <c r="L108" s="460">
        <f>VLOOKUP(C108,Valve_from_BP!$O:$AE,9,0)</f>
        <v>0</v>
      </c>
      <c r="M108" s="19" t="b">
        <v>0</v>
      </c>
      <c r="N108" s="13">
        <f>VLOOKUP($C108,Valve_from_BP!$O:$AE,10,0)</f>
        <v>0</v>
      </c>
      <c r="O108" s="19">
        <v>1</v>
      </c>
      <c r="P108" s="13"/>
      <c r="Q108" s="19">
        <v>2</v>
      </c>
      <c r="R108" s="13">
        <v>2</v>
      </c>
      <c r="S108" s="783" t="s">
        <v>10381</v>
      </c>
      <c r="T108" s="13"/>
      <c r="U108" s="19">
        <v>0</v>
      </c>
      <c r="V108" s="13"/>
      <c r="W108" s="524">
        <v>0</v>
      </c>
      <c r="X108" s="460"/>
      <c r="Y108" s="524">
        <v>401765.72745930502</v>
      </c>
      <c r="Z108" s="460"/>
    </row>
    <row r="109" spans="1:26">
      <c r="A109" s="776" t="str">
        <f>VLOOKUP(C109,Valve_from_BP!$O:$AE,2,0)</f>
        <v>PICZ2010 and PICZ3001AB and 3010AB.pdf,13/13</v>
      </c>
      <c r="B109" s="757"/>
      <c r="C109" s="181" t="s">
        <v>9088</v>
      </c>
      <c r="D109" s="773"/>
      <c r="E109" s="724"/>
      <c r="F109" s="465" t="s">
        <v>5762</v>
      </c>
      <c r="G109" s="19">
        <v>350</v>
      </c>
      <c r="H109" s="460">
        <f>VLOOKUP(C109,Valve_from_BP!$O:$AE,3,0)</f>
        <v>350</v>
      </c>
      <c r="I109" s="19">
        <v>1</v>
      </c>
      <c r="J109" s="460">
        <f>VLOOKUP(C109,Valve_from_BP!$O:$AE,5,0)</f>
        <v>1</v>
      </c>
      <c r="K109" s="19" t="b">
        <v>1</v>
      </c>
      <c r="L109" s="460">
        <f>VLOOKUP(C109,Valve_from_BP!$O:$AE,9,0)</f>
        <v>1</v>
      </c>
      <c r="M109" s="19" t="b">
        <v>1</v>
      </c>
      <c r="N109" s="13">
        <v>1</v>
      </c>
      <c r="O109" s="19">
        <v>1</v>
      </c>
      <c r="P109" s="13">
        <v>1</v>
      </c>
      <c r="Q109" s="19">
        <v>2</v>
      </c>
      <c r="R109" s="13">
        <v>2</v>
      </c>
      <c r="S109" s="783" t="s">
        <v>10381</v>
      </c>
      <c r="T109" s="13"/>
      <c r="U109" s="19">
        <v>79.3</v>
      </c>
      <c r="V109" s="13"/>
      <c r="W109" s="524">
        <v>1.1117897923125599E-3</v>
      </c>
      <c r="X109" s="460"/>
      <c r="Y109" s="524">
        <v>7530.3352357508302</v>
      </c>
      <c r="Z109" s="460"/>
    </row>
    <row r="110" spans="1:26">
      <c r="A110" s="776" t="str">
        <f>VLOOKUP(C110,Valve_from_BP!$O:$AE,2,0)</f>
        <v>PICZ3004.pdf,</v>
      </c>
      <c r="B110" s="757"/>
      <c r="C110" s="181" t="s">
        <v>9091</v>
      </c>
      <c r="D110" s="773"/>
      <c r="E110" s="724"/>
      <c r="F110" s="465" t="s">
        <v>9160</v>
      </c>
      <c r="G110" s="19">
        <v>28.9</v>
      </c>
      <c r="H110" s="460">
        <f>VLOOKUP(C110,Valve_from_BP!$O:$AE,3,0)</f>
        <v>28.9</v>
      </c>
      <c r="I110" s="19">
        <v>1</v>
      </c>
      <c r="J110" s="460">
        <f>VLOOKUP(C110,Valve_from_BP!$O:$AE,5,0)</f>
        <v>1</v>
      </c>
      <c r="K110" s="19" t="b">
        <v>0</v>
      </c>
      <c r="L110" s="460">
        <f>VLOOKUP(C110,Valve_from_BP!$O:$AE,9,0)</f>
        <v>0</v>
      </c>
      <c r="M110" s="19" t="b">
        <v>0</v>
      </c>
      <c r="N110" s="13">
        <v>0</v>
      </c>
      <c r="O110" s="19">
        <v>0</v>
      </c>
      <c r="P110" s="13">
        <v>0</v>
      </c>
      <c r="Q110" s="19">
        <v>2</v>
      </c>
      <c r="R110" s="13">
        <v>2</v>
      </c>
      <c r="S110" s="783" t="s">
        <v>10381</v>
      </c>
      <c r="T110" s="13"/>
      <c r="U110" s="19">
        <v>0</v>
      </c>
      <c r="V110" s="13"/>
      <c r="W110" s="524">
        <v>0</v>
      </c>
      <c r="X110" s="460"/>
      <c r="Y110" s="524">
        <v>308612.886271436</v>
      </c>
      <c r="Z110" s="460"/>
    </row>
    <row r="111" spans="1:26" s="514" customFormat="1">
      <c r="A111" s="776" t="str">
        <f>VLOOKUP(C111,Valve_from_BP!$O:$AE,2,0)</f>
        <v>TICZ3049.pdf</v>
      </c>
      <c r="B111" s="762"/>
      <c r="C111" s="181" t="s">
        <v>9089</v>
      </c>
      <c r="D111" s="773"/>
      <c r="E111" s="724"/>
      <c r="F111" s="846" t="s">
        <v>6093</v>
      </c>
      <c r="G111" s="744">
        <v>104</v>
      </c>
      <c r="H111" s="460">
        <f>VLOOKUP(C111,Valve_from_BP!$O:$AE,3,0)</f>
        <v>104</v>
      </c>
      <c r="I111" s="744">
        <v>1</v>
      </c>
      <c r="J111" s="460">
        <f>VLOOKUP(C111,Valve_from_BP!$O:$AE,5,0)</f>
        <v>1</v>
      </c>
      <c r="K111" s="744" t="b">
        <v>1</v>
      </c>
      <c r="L111" s="460">
        <f>VLOOKUP(C111,Valve_from_BP!$O:$AE,9,0)</f>
        <v>1</v>
      </c>
      <c r="M111" s="744" t="b">
        <v>1</v>
      </c>
      <c r="N111" s="772">
        <v>1</v>
      </c>
      <c r="O111" s="744">
        <v>1</v>
      </c>
      <c r="P111" s="772">
        <v>1</v>
      </c>
      <c r="Q111" s="744">
        <v>2</v>
      </c>
      <c r="R111" s="772">
        <v>2</v>
      </c>
      <c r="S111" s="783" t="s">
        <v>10381</v>
      </c>
      <c r="T111" s="772"/>
      <c r="U111" s="744">
        <v>0</v>
      </c>
      <c r="V111" s="460"/>
      <c r="W111" s="744">
        <v>0</v>
      </c>
      <c r="X111" s="460"/>
      <c r="Y111" s="744">
        <v>71610.485558952598</v>
      </c>
      <c r="Z111" s="460"/>
    </row>
    <row r="112" spans="1:26" s="514" customFormat="1">
      <c r="A112" s="843" t="str">
        <f>VLOOKUP(F112,Valve_from_BP!$N:$AE,3,0)</f>
        <v>TCVZ1008.pdf</v>
      </c>
      <c r="B112" s="762"/>
      <c r="C112" s="181" t="s">
        <v>10334</v>
      </c>
      <c r="D112" s="773"/>
      <c r="E112" s="724"/>
      <c r="F112" s="846" t="s">
        <v>1038</v>
      </c>
      <c r="G112" s="524">
        <v>1.49</v>
      </c>
      <c r="H112" s="460">
        <f>VLOOKUP(F112,Valve_from_BP!$N:$AE,4,0)</f>
        <v>1.49</v>
      </c>
      <c r="I112" s="614">
        <v>0</v>
      </c>
      <c r="J112" s="460">
        <f>VLOOKUP(C112,Valve_from_BP!$O:$AE,5,0)</f>
        <v>0</v>
      </c>
      <c r="K112" s="614" t="b">
        <v>1</v>
      </c>
      <c r="L112" s="460">
        <f>VLOOKUP(C112,Valve_from_BP!$O:$AE,9,0)</f>
        <v>1</v>
      </c>
      <c r="M112" s="614" t="b">
        <v>1</v>
      </c>
      <c r="N112" s="772">
        <v>1</v>
      </c>
      <c r="O112" s="614">
        <v>1</v>
      </c>
      <c r="P112" s="772">
        <v>1</v>
      </c>
      <c r="Q112" s="614">
        <v>2</v>
      </c>
      <c r="R112" s="772">
        <v>2</v>
      </c>
      <c r="S112" s="783" t="s">
        <v>10381</v>
      </c>
      <c r="T112" s="772"/>
      <c r="U112" s="614">
        <v>4.8456719697522201</v>
      </c>
      <c r="V112" s="460"/>
      <c r="W112" s="524">
        <v>1.57218860982149E-4</v>
      </c>
      <c r="X112" s="460"/>
      <c r="Y112" s="524">
        <v>3150359.0603758702</v>
      </c>
      <c r="Z112" s="460"/>
    </row>
    <row r="113" spans="1:26" s="514" customFormat="1">
      <c r="A113" s="776" t="str">
        <f>VLOOKUP(C113,Valve_from_BP!$O:$AE,2,0)</f>
        <v>TVZ2327 0665-44206.pdf</v>
      </c>
      <c r="B113" s="762"/>
      <c r="C113" s="181" t="s">
        <v>9172</v>
      </c>
      <c r="D113" s="773"/>
      <c r="E113" s="724"/>
      <c r="F113" s="846" t="s">
        <v>9168</v>
      </c>
      <c r="G113" s="614">
        <v>500</v>
      </c>
      <c r="H113" s="460">
        <f>VLOOKUP(C113,Valve_from_BP!$O:$AE,3,0)</f>
        <v>500</v>
      </c>
      <c r="I113" s="614">
        <v>1</v>
      </c>
      <c r="J113" s="460">
        <f>VLOOKUP(C113,Valve_from_BP!$O:$AE,5,0)</f>
        <v>1</v>
      </c>
      <c r="K113" s="614" t="b">
        <v>1</v>
      </c>
      <c r="L113" s="460">
        <f>VLOOKUP(C113,Valve_from_BP!$O:$AE,9,0)</f>
        <v>1</v>
      </c>
      <c r="M113" s="614" t="b">
        <v>1</v>
      </c>
      <c r="N113" s="772">
        <f>VLOOKUP($C113,Valve_from_BP!$O:$AE,10,0)</f>
        <v>1</v>
      </c>
      <c r="O113" s="614">
        <v>0.44444444444444398</v>
      </c>
      <c r="P113" s="772">
        <f>VLOOKUP($C113,Valve_from_BP!$O:$AE,11,0)</f>
        <v>0.44444444444444442</v>
      </c>
      <c r="Q113" s="614">
        <v>2</v>
      </c>
      <c r="R113" s="772">
        <v>2</v>
      </c>
      <c r="S113" s="783" t="s">
        <v>10381</v>
      </c>
      <c r="T113" s="772"/>
      <c r="U113" s="614">
        <v>0</v>
      </c>
      <c r="V113" s="460"/>
      <c r="W113" s="614">
        <v>0</v>
      </c>
      <c r="X113" s="460"/>
      <c r="Y113" s="614">
        <v>853561.71155892801</v>
      </c>
      <c r="Z113" s="804"/>
    </row>
    <row r="114" spans="1:26" s="514" customFormat="1">
      <c r="A114" s="776"/>
      <c r="B114" s="762"/>
      <c r="C114" s="181" t="s">
        <v>9087</v>
      </c>
      <c r="D114" s="773"/>
      <c r="E114" s="724"/>
      <c r="F114" s="846" t="s">
        <v>5761</v>
      </c>
      <c r="G114" s="614">
        <v>240</v>
      </c>
      <c r="H114" s="460">
        <f>VLOOKUP(C114,Valve_from_BP!$O:$AE,3,0)</f>
        <v>240</v>
      </c>
      <c r="I114" s="614">
        <v>1</v>
      </c>
      <c r="J114" s="460">
        <f>VLOOKUP(C114,Valve_from_BP!$O:$AE,5,0)</f>
        <v>1</v>
      </c>
      <c r="K114" s="614" t="b">
        <v>1</v>
      </c>
      <c r="L114" s="460">
        <f>VLOOKUP(C114,Valve_from_BP!$O:$AE,9,0)</f>
        <v>1</v>
      </c>
      <c r="M114" s="614" t="b">
        <v>1</v>
      </c>
      <c r="N114" s="772">
        <v>1</v>
      </c>
      <c r="O114" s="614">
        <v>1</v>
      </c>
      <c r="P114" s="772">
        <v>1</v>
      </c>
      <c r="Q114" s="614">
        <v>2</v>
      </c>
      <c r="R114" s="772">
        <v>2</v>
      </c>
      <c r="S114" s="783" t="s">
        <v>10381</v>
      </c>
      <c r="T114" s="772"/>
      <c r="U114" s="614">
        <v>0</v>
      </c>
      <c r="V114" s="460"/>
      <c r="W114" s="614">
        <v>0</v>
      </c>
      <c r="X114" s="460"/>
      <c r="Y114" s="614">
        <v>262222.71541723498</v>
      </c>
      <c r="Z114" s="460"/>
    </row>
    <row r="115" spans="1:26" s="514" customFormat="1">
      <c r="A115" s="776"/>
      <c r="B115" s="762"/>
      <c r="C115" s="181" t="s">
        <v>10340</v>
      </c>
      <c r="D115" s="773" t="s">
        <v>5769</v>
      </c>
      <c r="E115" s="724"/>
      <c r="F115" s="846" t="s">
        <v>6091</v>
      </c>
      <c r="G115" s="614">
        <v>1100</v>
      </c>
      <c r="H115" s="460">
        <f>VLOOKUP(C115,Valve_from_BP!$O:$AE,3,0)</f>
        <v>1100</v>
      </c>
      <c r="I115" s="614">
        <v>0</v>
      </c>
      <c r="J115" s="460">
        <f>VLOOKUP(C115,Valve_from_BP!$O:$AE,5,0)</f>
        <v>0</v>
      </c>
      <c r="K115" s="614" t="b">
        <v>1</v>
      </c>
      <c r="L115" s="460">
        <f>VLOOKUP(C115,Valve_from_BP!$O:$AE,9,0)</f>
        <v>1</v>
      </c>
      <c r="M115" s="614" t="b">
        <v>0</v>
      </c>
      <c r="N115" s="772">
        <v>0</v>
      </c>
      <c r="O115" s="614">
        <v>0</v>
      </c>
      <c r="P115" s="772">
        <v>0</v>
      </c>
      <c r="Q115" s="614">
        <v>2</v>
      </c>
      <c r="R115" s="772">
        <v>2</v>
      </c>
      <c r="S115" s="783" t="s">
        <v>10381</v>
      </c>
      <c r="T115" s="772"/>
      <c r="U115" s="614">
        <v>77</v>
      </c>
      <c r="V115" s="460"/>
      <c r="W115" s="614">
        <v>0.17648098125033901</v>
      </c>
      <c r="X115" s="460"/>
      <c r="Y115" s="614">
        <v>54949.165325264403</v>
      </c>
      <c r="Z115" s="460"/>
    </row>
    <row r="116" spans="1:26" s="514" customFormat="1">
      <c r="A116" s="776"/>
      <c r="B116" s="762"/>
      <c r="C116" s="181" t="s">
        <v>10341</v>
      </c>
      <c r="D116" s="773" t="s">
        <v>5769</v>
      </c>
      <c r="E116" s="724"/>
      <c r="F116" s="846" t="s">
        <v>6092</v>
      </c>
      <c r="G116" s="614">
        <v>1100</v>
      </c>
      <c r="H116" s="460">
        <f>VLOOKUP(C116,Valve_from_BP!$O:$AE,3,0)</f>
        <v>1100</v>
      </c>
      <c r="I116" s="614">
        <v>0</v>
      </c>
      <c r="J116" s="460">
        <f>VLOOKUP(C116,Valve_from_BP!$O:$AE,5,0)</f>
        <v>0</v>
      </c>
      <c r="K116" s="614" t="b">
        <v>0</v>
      </c>
      <c r="L116" s="460">
        <f>VLOOKUP(C116,Valve_from_BP!$O:$AE,9,0)</f>
        <v>0</v>
      </c>
      <c r="M116" s="614" t="b">
        <v>0</v>
      </c>
      <c r="N116" s="772">
        <v>0</v>
      </c>
      <c r="O116" s="614">
        <v>0</v>
      </c>
      <c r="P116" s="772">
        <v>0</v>
      </c>
      <c r="Q116" s="614">
        <v>2</v>
      </c>
      <c r="R116" s="772">
        <v>2</v>
      </c>
      <c r="S116" s="783" t="s">
        <v>10381</v>
      </c>
      <c r="T116" s="772"/>
      <c r="U116" s="614">
        <v>42.056042132214301</v>
      </c>
      <c r="V116" s="460"/>
      <c r="W116" s="614">
        <v>7.1732719457477806E-2</v>
      </c>
      <c r="X116" s="460"/>
      <c r="Y116" s="614">
        <v>27713.325771915301</v>
      </c>
      <c r="Z116" s="460"/>
    </row>
    <row r="117" spans="1:26" s="514" customFormat="1">
      <c r="A117" s="776"/>
      <c r="B117" s="818"/>
      <c r="C117" s="817" t="s">
        <v>769</v>
      </c>
      <c r="D117" s="827"/>
      <c r="E117" s="724"/>
      <c r="F117" s="846" t="s">
        <v>7984</v>
      </c>
      <c r="G117" s="614">
        <v>190</v>
      </c>
      <c r="H117" s="788">
        <v>190</v>
      </c>
      <c r="I117" s="614">
        <v>0</v>
      </c>
      <c r="J117" s="460">
        <f>VLOOKUP(C117,Valve_from_BP!$O:$AE,5,0)</f>
        <v>0</v>
      </c>
      <c r="K117" s="614" t="b">
        <v>1</v>
      </c>
      <c r="L117" s="460">
        <f>VLOOKUP(C117,Valve_from_BP!$O:$AE,9,0)</f>
        <v>1</v>
      </c>
      <c r="M117" s="614" t="b">
        <v>1</v>
      </c>
      <c r="N117" s="772"/>
      <c r="O117" s="614">
        <v>2.25</v>
      </c>
      <c r="P117" s="772"/>
      <c r="Q117" s="614">
        <v>2</v>
      </c>
      <c r="R117" s="772">
        <v>2</v>
      </c>
      <c r="S117" s="783" t="s">
        <v>10381</v>
      </c>
      <c r="T117" s="772"/>
      <c r="U117" s="614">
        <v>0</v>
      </c>
      <c r="V117" s="460"/>
      <c r="W117" s="614">
        <v>0</v>
      </c>
      <c r="X117" s="460"/>
      <c r="Y117" s="614">
        <v>435832.11605934298</v>
      </c>
      <c r="Z117" s="460"/>
    </row>
    <row r="118" spans="1:26" s="514" customFormat="1">
      <c r="A118" s="776"/>
      <c r="B118" s="762"/>
      <c r="C118" s="181" t="s">
        <v>10466</v>
      </c>
      <c r="D118" s="773"/>
      <c r="E118" s="724"/>
      <c r="F118" s="846" t="s">
        <v>6617</v>
      </c>
      <c r="G118" s="614">
        <v>120</v>
      </c>
      <c r="H118" s="788"/>
      <c r="I118" s="614">
        <v>1</v>
      </c>
      <c r="J118" s="460">
        <v>1</v>
      </c>
      <c r="K118" s="614" t="b">
        <v>1</v>
      </c>
      <c r="L118" s="460">
        <f>VLOOKUP(C118,Valve_from_BP!$O:$AE,9,0)</f>
        <v>1</v>
      </c>
      <c r="M118" s="614" t="b">
        <v>0</v>
      </c>
      <c r="N118" s="772">
        <f>VLOOKUP($F118,Valve_from_BP!$O:$AE,10,0)</f>
        <v>0</v>
      </c>
      <c r="O118" s="614">
        <v>1</v>
      </c>
      <c r="P118" s="772"/>
      <c r="Q118" s="614">
        <v>2</v>
      </c>
      <c r="R118" s="772">
        <v>2</v>
      </c>
      <c r="S118" s="783" t="s">
        <v>10381</v>
      </c>
      <c r="T118" s="772"/>
      <c r="U118" s="614">
        <v>92.707152100253097</v>
      </c>
      <c r="V118" s="772"/>
      <c r="W118" s="614">
        <v>7.5942889628662996E-2</v>
      </c>
      <c r="X118" s="772"/>
      <c r="Y118" s="614">
        <v>1004242.0344830099</v>
      </c>
      <c r="Z118" s="772"/>
    </row>
    <row r="119" spans="1:26" s="514" customFormat="1">
      <c r="A119" s="776"/>
      <c r="B119" s="762"/>
      <c r="C119" s="181" t="s">
        <v>10467</v>
      </c>
      <c r="D119" s="773"/>
      <c r="E119" s="724"/>
      <c r="F119" s="846" t="s">
        <v>6618</v>
      </c>
      <c r="G119" s="614">
        <v>120</v>
      </c>
      <c r="H119" s="788"/>
      <c r="I119" s="614">
        <v>1</v>
      </c>
      <c r="J119" s="460">
        <v>1</v>
      </c>
      <c r="K119" s="614" t="b">
        <v>0</v>
      </c>
      <c r="L119" s="460">
        <f>VLOOKUP(C119,Valve_from_BP!$O:$AE,9,0)</f>
        <v>0</v>
      </c>
      <c r="M119" s="614" t="b">
        <v>0</v>
      </c>
      <c r="N119" s="772">
        <f>VLOOKUP($F119,Valve_from_BP!$O:$AE,10,0)</f>
        <v>0</v>
      </c>
      <c r="O119" s="614">
        <v>1</v>
      </c>
      <c r="P119" s="772"/>
      <c r="Q119" s="614">
        <v>2</v>
      </c>
      <c r="R119" s="772">
        <v>2</v>
      </c>
      <c r="S119" s="783" t="s">
        <v>10381</v>
      </c>
      <c r="T119" s="772"/>
      <c r="U119" s="614">
        <v>0</v>
      </c>
      <c r="V119" s="772"/>
      <c r="W119" s="614">
        <v>0</v>
      </c>
      <c r="X119" s="772"/>
      <c r="Y119" s="614">
        <v>1039347.13753083</v>
      </c>
      <c r="Z119" s="772"/>
    </row>
    <row r="120" spans="1:26" s="514" customFormat="1">
      <c r="A120" s="776"/>
      <c r="B120" s="762"/>
      <c r="C120" s="181" t="s">
        <v>10468</v>
      </c>
      <c r="D120" s="773"/>
      <c r="E120" s="724"/>
      <c r="F120" s="846" t="s">
        <v>7875</v>
      </c>
      <c r="G120" s="614">
        <v>10</v>
      </c>
      <c r="H120" s="788"/>
      <c r="I120" s="614">
        <v>0</v>
      </c>
      <c r="J120" s="460">
        <v>0</v>
      </c>
      <c r="K120" s="614" t="b">
        <v>0</v>
      </c>
      <c r="L120" s="460">
        <f>VLOOKUP(C120,Valve_from_BP!$O:$AE,9,0)</f>
        <v>0</v>
      </c>
      <c r="M120" s="614" t="b">
        <v>1</v>
      </c>
      <c r="N120" s="772"/>
      <c r="O120" s="614">
        <v>1</v>
      </c>
      <c r="P120" s="772"/>
      <c r="Q120" s="614">
        <v>2</v>
      </c>
      <c r="R120" s="772">
        <v>2</v>
      </c>
      <c r="S120" s="783" t="s">
        <v>10381</v>
      </c>
      <c r="T120" s="772"/>
      <c r="U120" s="614">
        <v>0</v>
      </c>
      <c r="V120" s="772"/>
      <c r="W120" s="614">
        <v>0</v>
      </c>
      <c r="X120" s="772"/>
      <c r="Y120" s="614">
        <v>1403743.77774834</v>
      </c>
      <c r="Z120" s="772"/>
    </row>
    <row r="121" spans="1:26" s="514" customFormat="1">
      <c r="A121" s="776" t="str">
        <f>VLOOKUP(F121,Valve_from_BP!$O:$AE,2,0)</f>
        <v>LCVZ1052-NL550543-A0110172.pdf</v>
      </c>
      <c r="B121" s="762"/>
      <c r="C121" s="181" t="s">
        <v>10471</v>
      </c>
      <c r="D121" s="773"/>
      <c r="E121" s="724"/>
      <c r="F121" s="846" t="s">
        <v>8010</v>
      </c>
      <c r="G121" s="614">
        <v>500</v>
      </c>
      <c r="H121" s="788"/>
      <c r="I121" s="614">
        <v>0</v>
      </c>
      <c r="J121" s="460">
        <f>VLOOKUP($F121,Valve_from_BP!$O:$AE,5,0)</f>
        <v>0</v>
      </c>
      <c r="K121" s="614" t="b">
        <v>1</v>
      </c>
      <c r="L121" s="460">
        <f>VLOOKUP(C121,Valve_from_BP!$O:$AE,9,0)</f>
        <v>1</v>
      </c>
      <c r="M121" s="614" t="b">
        <v>1</v>
      </c>
      <c r="N121" s="772">
        <f>VLOOKUP($F121,Valve_from_BP!$O:$AE,10,0)</f>
        <v>1</v>
      </c>
      <c r="O121" s="614">
        <v>2.25</v>
      </c>
      <c r="P121" s="772">
        <f>VLOOKUP($F121,Valve_from_BP!$O:$AE,11,0)</f>
        <v>2.25</v>
      </c>
      <c r="Q121" s="614">
        <v>2</v>
      </c>
      <c r="R121" s="772">
        <v>2</v>
      </c>
      <c r="S121" s="783" t="s">
        <v>10381</v>
      </c>
      <c r="T121" s="772"/>
      <c r="U121" s="614">
        <v>0</v>
      </c>
      <c r="V121" s="772"/>
      <c r="W121" s="614">
        <v>0</v>
      </c>
      <c r="X121" s="772"/>
      <c r="Y121" s="614">
        <v>1315818.25079263</v>
      </c>
      <c r="Z121" s="772"/>
    </row>
    <row r="122" spans="1:26" s="514" customFormat="1">
      <c r="A122" s="776" t="str">
        <f>VLOOKUP(F122,Valve_from_BP!$O:$AE,2,0)</f>
        <v>PCVz10119  Pages from 0665-45655.pdf</v>
      </c>
      <c r="B122" s="762"/>
      <c r="C122" s="181" t="s">
        <v>10474</v>
      </c>
      <c r="D122" s="773"/>
      <c r="E122" s="724"/>
      <c r="F122" s="846" t="s">
        <v>8866</v>
      </c>
      <c r="G122" s="744">
        <v>1300</v>
      </c>
      <c r="H122" s="788"/>
      <c r="I122" s="715">
        <v>0</v>
      </c>
      <c r="J122" s="460">
        <f>VLOOKUP($F122,Valve_from_BP!$O:$AE,5,0)</f>
        <v>0</v>
      </c>
      <c r="K122" s="744" t="b">
        <v>1</v>
      </c>
      <c r="L122" s="460">
        <f>VLOOKUP(C122,Valve_from_BP!$O:$AE,9,0)</f>
        <v>1</v>
      </c>
      <c r="M122" s="744" t="b">
        <v>1</v>
      </c>
      <c r="N122" s="772">
        <f>VLOOKUP($F122,Valve_from_BP!$O:$AE,10,0)</f>
        <v>1</v>
      </c>
      <c r="O122" s="744">
        <v>1</v>
      </c>
      <c r="P122" s="772"/>
      <c r="Q122" s="744">
        <v>2</v>
      </c>
      <c r="R122" s="772">
        <v>2</v>
      </c>
      <c r="S122" s="783" t="s">
        <v>10381</v>
      </c>
      <c r="T122" s="772"/>
      <c r="U122" s="744">
        <v>50</v>
      </c>
      <c r="V122" s="772"/>
      <c r="W122" s="744">
        <v>1.8780585507367699E-2</v>
      </c>
      <c r="X122" s="772"/>
      <c r="Y122" s="744">
        <v>1436.9235130695199</v>
      </c>
      <c r="Z122" s="752"/>
    </row>
    <row r="123" spans="1:26">
      <c r="A123" s="776"/>
      <c r="B123" s="762"/>
      <c r="C123" s="181" t="s">
        <v>10485</v>
      </c>
      <c r="D123" s="773"/>
      <c r="E123" s="754"/>
      <c r="F123" s="846" t="s">
        <v>9224</v>
      </c>
      <c r="G123" s="761">
        <v>50</v>
      </c>
      <c r="H123" s="788"/>
      <c r="I123" s="761">
        <v>1</v>
      </c>
      <c r="J123" s="460">
        <v>1</v>
      </c>
      <c r="K123" s="761" t="b">
        <v>0</v>
      </c>
      <c r="L123" s="460">
        <f>VLOOKUP(C123,Valve_from_BP!$O:$AE,9,0)</f>
        <v>0</v>
      </c>
      <c r="M123" s="761" t="b">
        <v>0</v>
      </c>
      <c r="N123" s="772"/>
      <c r="O123" s="761">
        <v>1</v>
      </c>
      <c r="P123" s="772"/>
      <c r="Q123" s="761">
        <v>2</v>
      </c>
      <c r="R123" s="772">
        <v>2</v>
      </c>
      <c r="S123" s="783" t="s">
        <v>10381</v>
      </c>
      <c r="T123" s="772"/>
      <c r="U123" s="761">
        <v>0</v>
      </c>
      <c r="V123" s="460"/>
      <c r="W123" s="761">
        <v>0</v>
      </c>
      <c r="X123" s="460"/>
      <c r="Y123" s="761">
        <v>189609.54218162701</v>
      </c>
      <c r="Z123" s="460"/>
    </row>
    <row r="124" spans="1:26">
      <c r="A124" s="745"/>
      <c r="B124" s="762"/>
      <c r="C124" s="181" t="s">
        <v>10489</v>
      </c>
      <c r="D124" s="759"/>
      <c r="E124" s="754"/>
      <c r="F124" s="846" t="s">
        <v>7882</v>
      </c>
      <c r="G124" s="761">
        <v>10</v>
      </c>
      <c r="H124" s="788"/>
      <c r="I124" s="761">
        <v>0</v>
      </c>
      <c r="J124" s="772">
        <f>VLOOKUP($F124,Valve_from_BP!$O:$AE,5,0)</f>
        <v>0</v>
      </c>
      <c r="K124" s="761" t="b">
        <v>1</v>
      </c>
      <c r="L124" s="460">
        <f>VLOOKUP(C124,Valve_from_BP!$O:$AE,9,0)</f>
        <v>1</v>
      </c>
      <c r="M124" s="761" t="b">
        <v>1</v>
      </c>
      <c r="N124" s="772">
        <f>VLOOKUP($F124,Valve_from_BP!$O:$AE,10,0)</f>
        <v>1</v>
      </c>
      <c r="O124" s="761">
        <v>1</v>
      </c>
      <c r="P124" s="772"/>
      <c r="Q124" s="761">
        <v>2</v>
      </c>
      <c r="R124" s="772">
        <v>2</v>
      </c>
      <c r="S124" s="783" t="s">
        <v>10381</v>
      </c>
      <c r="T124" s="772"/>
      <c r="U124" s="761">
        <v>0</v>
      </c>
      <c r="V124" s="460"/>
      <c r="W124" s="761">
        <v>0</v>
      </c>
      <c r="X124" s="460"/>
      <c r="Y124" s="761">
        <v>269241.18418567901</v>
      </c>
      <c r="Z124" s="460"/>
    </row>
    <row r="125" spans="1:26">
      <c r="A125" s="745" t="str">
        <f>VLOOKUP(F125,Valve_from_BP!$O:$AE,2,0)</f>
        <v>TCVZ1035-10164-10168- NL587210-A0111102.pdf</v>
      </c>
      <c r="B125" s="762"/>
      <c r="C125" s="181" t="s">
        <v>10490</v>
      </c>
      <c r="D125" s="759" t="s">
        <v>5770</v>
      </c>
      <c r="E125" s="754"/>
      <c r="F125" s="846" t="s">
        <v>5746</v>
      </c>
      <c r="G125" s="761">
        <v>500000</v>
      </c>
      <c r="H125" s="788"/>
      <c r="I125" s="761">
        <v>1</v>
      </c>
      <c r="J125" s="772">
        <v>1</v>
      </c>
      <c r="K125" s="761" t="b">
        <v>0</v>
      </c>
      <c r="L125" s="460">
        <f>VLOOKUP(C125,Valve_from_BP!$O:$AE,9,0)</f>
        <v>0</v>
      </c>
      <c r="M125" s="761" t="b">
        <v>0</v>
      </c>
      <c r="N125" s="755">
        <v>0</v>
      </c>
      <c r="O125" s="761">
        <v>0</v>
      </c>
      <c r="P125" s="755">
        <v>0</v>
      </c>
      <c r="Q125" s="761">
        <v>2</v>
      </c>
      <c r="R125" s="755">
        <v>2</v>
      </c>
      <c r="S125" s="783" t="s">
        <v>10381</v>
      </c>
      <c r="T125" s="755"/>
      <c r="U125" s="761">
        <v>0</v>
      </c>
      <c r="V125" s="460"/>
      <c r="W125" s="761">
        <v>0</v>
      </c>
      <c r="X125" s="460"/>
      <c r="Y125" s="761">
        <v>512.65328506519995</v>
      </c>
      <c r="Z125" s="460"/>
    </row>
    <row r="126" spans="1:26">
      <c r="A126" s="745"/>
      <c r="B126" s="762"/>
      <c r="C126" s="181" t="s">
        <v>10493</v>
      </c>
      <c r="D126" s="759" t="s">
        <v>5770</v>
      </c>
      <c r="E126" s="754"/>
      <c r="F126" s="846" t="s">
        <v>5748</v>
      </c>
      <c r="G126" s="761">
        <v>80000</v>
      </c>
      <c r="H126" s="788"/>
      <c r="I126" s="761">
        <v>1</v>
      </c>
      <c r="J126" s="772">
        <v>1</v>
      </c>
      <c r="K126" s="761" t="b">
        <v>0</v>
      </c>
      <c r="L126" s="460">
        <f>VLOOKUP(C126,Valve_from_BP!$O:$AE,9,0)</f>
        <v>0</v>
      </c>
      <c r="M126" s="761" t="b">
        <v>0</v>
      </c>
      <c r="N126" s="755">
        <v>0</v>
      </c>
      <c r="O126" s="761">
        <v>0</v>
      </c>
      <c r="P126" s="755">
        <v>0</v>
      </c>
      <c r="Q126" s="761">
        <v>2</v>
      </c>
      <c r="R126" s="755">
        <v>2</v>
      </c>
      <c r="S126" s="783" t="s">
        <v>10381</v>
      </c>
      <c r="T126" s="755"/>
      <c r="U126" s="761">
        <v>37.3581635876494</v>
      </c>
      <c r="V126" s="460"/>
      <c r="W126" s="761">
        <v>1.7577815247736901E-2</v>
      </c>
      <c r="X126" s="460"/>
      <c r="Y126" s="761">
        <v>1984.54093095187</v>
      </c>
      <c r="Z126" s="460"/>
    </row>
    <row r="127" spans="1:26">
      <c r="A127" s="745"/>
      <c r="B127" s="762"/>
      <c r="C127" s="181" t="s">
        <v>10495</v>
      </c>
      <c r="D127" s="759" t="s">
        <v>5770</v>
      </c>
      <c r="E127" s="754"/>
      <c r="F127" s="846" t="s">
        <v>5752</v>
      </c>
      <c r="G127" s="761">
        <v>1000</v>
      </c>
      <c r="H127" s="788"/>
      <c r="I127" s="761">
        <v>1</v>
      </c>
      <c r="J127" s="772">
        <v>1</v>
      </c>
      <c r="K127" s="761" t="b">
        <v>0</v>
      </c>
      <c r="L127" s="460">
        <f>VLOOKUP(C127,Valve_from_BP!$O:$AE,9,0)</f>
        <v>0</v>
      </c>
      <c r="M127" s="761" t="b">
        <v>0</v>
      </c>
      <c r="N127" s="755">
        <v>0</v>
      </c>
      <c r="O127" s="761">
        <v>0</v>
      </c>
      <c r="P127" s="755">
        <v>0</v>
      </c>
      <c r="Q127" s="761">
        <v>2</v>
      </c>
      <c r="R127" s="755">
        <v>2</v>
      </c>
      <c r="S127" s="783" t="s">
        <v>10381</v>
      </c>
      <c r="T127" s="755"/>
      <c r="U127" s="761">
        <v>100</v>
      </c>
      <c r="V127" s="460"/>
      <c r="W127" s="761">
        <v>1.30957014261626E-2</v>
      </c>
      <c r="X127" s="460"/>
      <c r="Y127" s="761">
        <v>4894.3445956000896</v>
      </c>
      <c r="Z127" s="460"/>
    </row>
    <row r="128" spans="1:26">
      <c r="A128" s="776"/>
      <c r="B128" s="757"/>
      <c r="C128" s="181" t="s">
        <v>10498</v>
      </c>
      <c r="D128" s="773" t="s">
        <v>5770</v>
      </c>
      <c r="E128" s="724"/>
      <c r="F128" s="465" t="s">
        <v>5751</v>
      </c>
      <c r="G128" s="19">
        <v>100000</v>
      </c>
      <c r="H128" s="788"/>
      <c r="I128" s="19">
        <v>1</v>
      </c>
      <c r="J128" s="460">
        <v>1</v>
      </c>
      <c r="K128" s="19" t="b">
        <v>0</v>
      </c>
      <c r="L128" s="460">
        <f>VLOOKUP(C128,Valve_from_BP!$O:$AE,9,0)</f>
        <v>0</v>
      </c>
      <c r="M128" s="19" t="b">
        <v>0</v>
      </c>
      <c r="N128" s="460">
        <v>0</v>
      </c>
      <c r="O128" s="19">
        <v>0</v>
      </c>
      <c r="P128" s="460">
        <v>0</v>
      </c>
      <c r="Q128" s="19">
        <v>2</v>
      </c>
      <c r="R128" s="460">
        <v>2</v>
      </c>
      <c r="S128" s="783" t="s">
        <v>10381</v>
      </c>
      <c r="T128" s="460"/>
      <c r="U128" s="19">
        <v>0</v>
      </c>
      <c r="V128" s="13"/>
      <c r="W128" s="524">
        <v>0</v>
      </c>
      <c r="X128" s="460"/>
      <c r="Y128" s="524">
        <v>197.149881178935</v>
      </c>
      <c r="Z128" s="460"/>
    </row>
    <row r="129" spans="1:26">
      <c r="A129" s="776"/>
      <c r="B129" s="757"/>
      <c r="C129" s="181" t="s">
        <v>10499</v>
      </c>
      <c r="D129" s="773"/>
      <c r="E129" s="724"/>
      <c r="F129" s="465" t="s">
        <v>9115</v>
      </c>
      <c r="G129" s="19">
        <v>500</v>
      </c>
      <c r="H129" s="788"/>
      <c r="I129" s="19">
        <v>0</v>
      </c>
      <c r="J129" s="460">
        <v>0</v>
      </c>
      <c r="K129" s="19" t="b">
        <v>0</v>
      </c>
      <c r="L129" s="460">
        <f>VLOOKUP(C129,Valve_from_BP!$O:$AE,9,0)</f>
        <v>0</v>
      </c>
      <c r="M129" s="19" t="b">
        <v>0</v>
      </c>
      <c r="N129" s="460"/>
      <c r="O129" s="19">
        <v>1</v>
      </c>
      <c r="P129" s="460"/>
      <c r="Q129" s="19">
        <v>2</v>
      </c>
      <c r="R129" s="460">
        <v>2</v>
      </c>
      <c r="S129" s="783" t="s">
        <v>10381</v>
      </c>
      <c r="T129" s="460"/>
      <c r="U129" s="19">
        <v>0</v>
      </c>
      <c r="V129" s="460"/>
      <c r="W129" s="524">
        <v>0</v>
      </c>
      <c r="X129" s="460"/>
      <c r="Y129" s="524">
        <v>-199074.69484113299</v>
      </c>
      <c r="Z129" s="804"/>
    </row>
    <row r="130" spans="1:26">
      <c r="A130" s="776"/>
      <c r="B130" s="757"/>
      <c r="C130" s="181" t="s">
        <v>10500</v>
      </c>
      <c r="D130" s="773" t="s">
        <v>5770</v>
      </c>
      <c r="E130" s="724"/>
      <c r="F130" s="465" t="s">
        <v>1086</v>
      </c>
      <c r="G130" s="19">
        <v>10</v>
      </c>
      <c r="H130" s="788"/>
      <c r="I130" s="19">
        <v>1</v>
      </c>
      <c r="J130" s="460">
        <v>1</v>
      </c>
      <c r="K130" s="19" t="b">
        <v>0</v>
      </c>
      <c r="L130" s="460">
        <f>VLOOKUP(C130,Valve_from_BP!$O:$AE,9,0)</f>
        <v>0</v>
      </c>
      <c r="M130" s="19" t="b">
        <v>0</v>
      </c>
      <c r="N130" s="460">
        <v>0</v>
      </c>
      <c r="O130" s="19">
        <v>0</v>
      </c>
      <c r="P130" s="460">
        <v>0</v>
      </c>
      <c r="Q130" s="19">
        <v>2</v>
      </c>
      <c r="R130" s="460">
        <v>2</v>
      </c>
      <c r="S130" s="783" t="s">
        <v>10381</v>
      </c>
      <c r="T130" s="460"/>
      <c r="U130" s="19">
        <v>100</v>
      </c>
      <c r="V130" s="177"/>
      <c r="W130" s="524">
        <v>2.1484840295141601E-5</v>
      </c>
      <c r="X130" s="460"/>
      <c r="Y130" s="524">
        <v>128.660418918706</v>
      </c>
      <c r="Z130" s="460"/>
    </row>
    <row r="131" spans="1:26">
      <c r="A131" s="201"/>
      <c r="B131" s="757"/>
      <c r="C131" s="181" t="s">
        <v>10501</v>
      </c>
      <c r="D131" s="17"/>
      <c r="E131" s="724"/>
      <c r="F131" s="465" t="s">
        <v>6605</v>
      </c>
      <c r="G131" s="19">
        <v>600</v>
      </c>
      <c r="H131" s="788"/>
      <c r="I131" s="19">
        <v>0</v>
      </c>
      <c r="J131" s="177">
        <v>0</v>
      </c>
      <c r="K131" s="19" t="b">
        <v>0</v>
      </c>
      <c r="L131" s="460">
        <f>VLOOKUP(C131,Valve_from_BP!$O:$AE,9,0)</f>
        <v>0</v>
      </c>
      <c r="M131" s="19" t="b">
        <v>0</v>
      </c>
      <c r="N131" s="460">
        <f>VLOOKUP($F131,Valve_from_BP!$O:$AE,10,0)</f>
        <v>0</v>
      </c>
      <c r="O131" s="19">
        <v>1</v>
      </c>
      <c r="P131" s="460"/>
      <c r="Q131" s="19">
        <v>2</v>
      </c>
      <c r="R131" s="460">
        <v>2</v>
      </c>
      <c r="S131" s="783" t="s">
        <v>10381</v>
      </c>
      <c r="T131" s="460"/>
      <c r="U131" s="19">
        <v>100</v>
      </c>
      <c r="V131" s="177"/>
      <c r="W131" s="524">
        <v>1.51736201526001E-3</v>
      </c>
      <c r="X131" s="460"/>
      <c r="Y131" s="524">
        <v>173.358695978415</v>
      </c>
      <c r="Z131" s="460"/>
    </row>
    <row r="132" spans="1:26">
      <c r="A132" s="776"/>
      <c r="B132" s="757"/>
      <c r="C132" s="181" t="s">
        <v>10504</v>
      </c>
      <c r="D132" s="773"/>
      <c r="E132" s="724"/>
      <c r="F132" s="465" t="s">
        <v>1062</v>
      </c>
      <c r="G132" s="19">
        <v>100</v>
      </c>
      <c r="H132" s="788"/>
      <c r="I132" s="19">
        <v>1</v>
      </c>
      <c r="J132" s="177">
        <v>1</v>
      </c>
      <c r="K132" s="19" t="b">
        <v>0</v>
      </c>
      <c r="L132" s="460">
        <f>VLOOKUP(C132,Valve_from_BP!$O:$AE,9,0)</f>
        <v>0</v>
      </c>
      <c r="M132" s="19" t="b">
        <v>0</v>
      </c>
      <c r="N132" s="460">
        <f>VLOOKUP($F132,Valve_from_BP!$O:$AE,10,0)</f>
        <v>0</v>
      </c>
      <c r="O132" s="19">
        <v>0.25</v>
      </c>
      <c r="P132" s="460"/>
      <c r="Q132" s="19">
        <v>2</v>
      </c>
      <c r="R132" s="460">
        <v>2</v>
      </c>
      <c r="S132" s="783" t="s">
        <v>10381</v>
      </c>
      <c r="T132" s="460"/>
      <c r="U132" s="19">
        <v>100</v>
      </c>
      <c r="V132" s="177"/>
      <c r="W132" s="524">
        <v>2.4430852044085599E-4</v>
      </c>
      <c r="X132" s="460"/>
      <c r="Y132" s="524">
        <v>155.38755234977</v>
      </c>
      <c r="Z132" s="460"/>
    </row>
    <row r="133" spans="1:26">
      <c r="A133" s="776"/>
      <c r="B133" s="757"/>
      <c r="C133" s="181" t="s">
        <v>10505</v>
      </c>
      <c r="D133" s="773"/>
      <c r="E133" s="724"/>
      <c r="F133" s="465" t="s">
        <v>6619</v>
      </c>
      <c r="G133" s="19">
        <v>1600</v>
      </c>
      <c r="H133" s="788"/>
      <c r="I133" s="19">
        <v>1</v>
      </c>
      <c r="J133" s="460">
        <v>1</v>
      </c>
      <c r="K133" s="19" t="b">
        <v>0</v>
      </c>
      <c r="L133" s="460">
        <f>VLOOKUP(C133,Valve_from_BP!$O:$AE,9,0)</f>
        <v>0</v>
      </c>
      <c r="M133" s="19" t="b">
        <v>0</v>
      </c>
      <c r="N133" s="460">
        <f>VLOOKUP($F133,Valve_from_BP!$O:$AE,10,0)</f>
        <v>0</v>
      </c>
      <c r="O133" s="19">
        <v>1</v>
      </c>
      <c r="P133" s="460"/>
      <c r="Q133" s="19">
        <v>2</v>
      </c>
      <c r="R133" s="460">
        <v>2</v>
      </c>
      <c r="S133" s="783" t="s">
        <v>10381</v>
      </c>
      <c r="T133" s="460"/>
      <c r="U133" s="19">
        <v>100</v>
      </c>
      <c r="V133" s="177"/>
      <c r="W133" s="524">
        <v>8.6277234767188404E-2</v>
      </c>
      <c r="X133" s="460"/>
      <c r="Y133" s="524">
        <v>5309.1488492954504</v>
      </c>
      <c r="Z133" s="460"/>
    </row>
    <row r="134" spans="1:26">
      <c r="A134" s="776"/>
      <c r="B134" s="757"/>
      <c r="C134" s="181" t="s">
        <v>10506</v>
      </c>
      <c r="D134" s="773"/>
      <c r="E134" s="724"/>
      <c r="F134" s="465" t="s">
        <v>6620</v>
      </c>
      <c r="G134" s="19">
        <v>610</v>
      </c>
      <c r="H134" s="788"/>
      <c r="I134" s="19">
        <v>1</v>
      </c>
      <c r="J134" s="460">
        <v>1</v>
      </c>
      <c r="K134" s="19" t="b">
        <v>0</v>
      </c>
      <c r="L134" s="460">
        <f>VLOOKUP(C134,Valve_from_BP!$O:$AE,9,0)</f>
        <v>0</v>
      </c>
      <c r="M134" s="19" t="b">
        <v>0</v>
      </c>
      <c r="N134" s="460">
        <f>VLOOKUP($F134,Valve_from_BP!$O:$AE,10,0)</f>
        <v>0</v>
      </c>
      <c r="O134" s="19">
        <v>1</v>
      </c>
      <c r="P134" s="460"/>
      <c r="Q134" s="19">
        <v>2</v>
      </c>
      <c r="R134" s="460">
        <v>2</v>
      </c>
      <c r="S134" s="783" t="s">
        <v>10381</v>
      </c>
      <c r="T134" s="460"/>
      <c r="U134" s="19">
        <v>100</v>
      </c>
      <c r="V134" s="460"/>
      <c r="W134" s="524">
        <v>0.14772292056720401</v>
      </c>
      <c r="X134" s="460"/>
      <c r="Y134" s="524">
        <v>110903.01584497</v>
      </c>
      <c r="Z134" s="460"/>
    </row>
    <row r="135" spans="1:26">
      <c r="A135" s="776"/>
      <c r="B135" s="757"/>
      <c r="C135" s="181" t="s">
        <v>10507</v>
      </c>
      <c r="D135" s="773" t="s">
        <v>5770</v>
      </c>
      <c r="E135" s="724"/>
      <c r="F135" s="465" t="s">
        <v>5764</v>
      </c>
      <c r="G135" s="19">
        <v>10</v>
      </c>
      <c r="H135" s="788"/>
      <c r="I135" s="19">
        <v>1</v>
      </c>
      <c r="J135" s="460">
        <v>1</v>
      </c>
      <c r="K135" s="19" t="b">
        <v>0</v>
      </c>
      <c r="L135" s="460">
        <f>VLOOKUP(C135,Valve_from_BP!$O:$AE,9,0)</f>
        <v>0</v>
      </c>
      <c r="M135" s="19" t="b">
        <v>0</v>
      </c>
      <c r="N135" s="460">
        <v>0</v>
      </c>
      <c r="O135" s="19">
        <v>0</v>
      </c>
      <c r="P135" s="460">
        <v>0</v>
      </c>
      <c r="Q135" s="19">
        <v>2</v>
      </c>
      <c r="R135" s="460">
        <v>2</v>
      </c>
      <c r="S135" s="783" t="s">
        <v>10381</v>
      </c>
      <c r="T135" s="460"/>
      <c r="U135" s="19">
        <v>100</v>
      </c>
      <c r="V135" s="460"/>
      <c r="W135" s="524">
        <v>2.7183502464103898E-6</v>
      </c>
      <c r="X135" s="460"/>
      <c r="Y135" s="524">
        <v>47.369535603240401</v>
      </c>
      <c r="Z135" s="460"/>
    </row>
    <row r="136" spans="1:26">
      <c r="A136" s="776"/>
      <c r="B136" s="757"/>
      <c r="C136" s="181" t="s">
        <v>10508</v>
      </c>
      <c r="D136" s="773" t="s">
        <v>5770</v>
      </c>
      <c r="E136" s="724"/>
      <c r="F136" s="465" t="s">
        <v>5765</v>
      </c>
      <c r="G136" s="19">
        <v>10</v>
      </c>
      <c r="H136" s="788"/>
      <c r="I136" s="19">
        <v>1</v>
      </c>
      <c r="J136" s="177">
        <v>1</v>
      </c>
      <c r="K136" s="19" t="b">
        <v>0</v>
      </c>
      <c r="L136" s="460">
        <f>VLOOKUP(C136,Valve_from_BP!$O:$AE,9,0)</f>
        <v>0</v>
      </c>
      <c r="M136" s="19" t="b">
        <v>0</v>
      </c>
      <c r="N136" s="177">
        <v>0</v>
      </c>
      <c r="O136" s="19">
        <v>0</v>
      </c>
      <c r="P136" s="177">
        <v>0</v>
      </c>
      <c r="Q136" s="19">
        <v>2</v>
      </c>
      <c r="R136" s="177">
        <v>2</v>
      </c>
      <c r="S136" s="783" t="s">
        <v>10381</v>
      </c>
      <c r="T136" s="177"/>
      <c r="U136" s="19">
        <v>0</v>
      </c>
      <c r="V136" s="177"/>
      <c r="W136" s="524">
        <v>0</v>
      </c>
      <c r="X136" s="460"/>
      <c r="Y136" s="524">
        <v>106998.667093107</v>
      </c>
      <c r="Z136" s="460"/>
    </row>
    <row r="137" spans="1:26">
      <c r="A137" s="776"/>
      <c r="B137" s="757"/>
      <c r="C137" s="181" t="s">
        <v>10509</v>
      </c>
      <c r="D137" s="773" t="s">
        <v>5770</v>
      </c>
      <c r="E137" s="724"/>
      <c r="F137" s="465" t="s">
        <v>5766</v>
      </c>
      <c r="G137" s="19">
        <v>50</v>
      </c>
      <c r="H137" s="788"/>
      <c r="I137" s="19">
        <v>1</v>
      </c>
      <c r="J137" s="13">
        <v>1</v>
      </c>
      <c r="K137" s="19" t="b">
        <v>0</v>
      </c>
      <c r="L137" s="460">
        <f>VLOOKUP(C137,Valve_from_BP!$O:$AE,9,0)</f>
        <v>0</v>
      </c>
      <c r="M137" s="19" t="b">
        <v>0</v>
      </c>
      <c r="N137" s="460">
        <v>0</v>
      </c>
      <c r="O137" s="19">
        <v>0</v>
      </c>
      <c r="P137" s="460">
        <v>0</v>
      </c>
      <c r="Q137" s="19">
        <v>2</v>
      </c>
      <c r="R137" s="460">
        <v>2</v>
      </c>
      <c r="S137" s="783" t="s">
        <v>10381</v>
      </c>
      <c r="T137" s="460"/>
      <c r="U137" s="19">
        <v>0</v>
      </c>
      <c r="V137" s="460"/>
      <c r="W137" s="524">
        <v>0</v>
      </c>
      <c r="X137" s="460"/>
      <c r="Y137" s="524">
        <v>2812524.3095946</v>
      </c>
      <c r="Z137" s="460"/>
    </row>
    <row r="138" spans="1:26">
      <c r="A138" s="776"/>
      <c r="B138" s="757"/>
      <c r="C138" s="181" t="s">
        <v>10511</v>
      </c>
      <c r="D138" s="773" t="s">
        <v>5770</v>
      </c>
      <c r="E138" s="724"/>
      <c r="F138" s="465" t="s">
        <v>5768</v>
      </c>
      <c r="G138" s="19">
        <v>10</v>
      </c>
      <c r="H138" s="788"/>
      <c r="I138" s="19">
        <v>1</v>
      </c>
      <c r="J138" s="13">
        <v>1</v>
      </c>
      <c r="K138" s="19" t="b">
        <v>0</v>
      </c>
      <c r="L138" s="460">
        <f>VLOOKUP(C138,Valve_from_BP!$O:$AE,9,0)</f>
        <v>0</v>
      </c>
      <c r="M138" s="19" t="b">
        <v>0</v>
      </c>
      <c r="N138" s="460">
        <v>0</v>
      </c>
      <c r="O138" s="19">
        <v>0</v>
      </c>
      <c r="P138" s="460">
        <v>0</v>
      </c>
      <c r="Q138" s="19">
        <v>2</v>
      </c>
      <c r="R138" s="460">
        <v>2</v>
      </c>
      <c r="S138" s="783" t="s">
        <v>10381</v>
      </c>
      <c r="T138" s="460"/>
      <c r="U138" s="19">
        <v>100</v>
      </c>
      <c r="V138" s="13"/>
      <c r="W138" s="524">
        <v>1.59758544485029E-5</v>
      </c>
      <c r="X138" s="460"/>
      <c r="Y138" s="524">
        <v>82.565915069077207</v>
      </c>
      <c r="Z138" s="460"/>
    </row>
    <row r="139" spans="1:26">
      <c r="A139" s="776"/>
      <c r="B139" s="757"/>
      <c r="C139" s="181" t="s">
        <v>10512</v>
      </c>
      <c r="D139" s="773"/>
      <c r="E139" s="724"/>
      <c r="F139" s="465" t="s">
        <v>9114</v>
      </c>
      <c r="G139" s="19">
        <v>500</v>
      </c>
      <c r="H139" s="788"/>
      <c r="I139" s="19">
        <v>0</v>
      </c>
      <c r="J139" s="13">
        <v>0</v>
      </c>
      <c r="K139" s="19" t="b">
        <v>0</v>
      </c>
      <c r="L139" s="460">
        <f>VLOOKUP(C139,Valve_from_BP!$O:$AE,9,0)</f>
        <v>0</v>
      </c>
      <c r="M139" s="19" t="b">
        <v>0</v>
      </c>
      <c r="N139" s="13"/>
      <c r="O139" s="19">
        <v>1</v>
      </c>
      <c r="P139" s="13"/>
      <c r="Q139" s="19">
        <v>2</v>
      </c>
      <c r="R139" s="13">
        <v>2</v>
      </c>
      <c r="S139" s="783" t="s">
        <v>10381</v>
      </c>
      <c r="T139" s="13"/>
      <c r="U139" s="19">
        <v>100</v>
      </c>
      <c r="V139" s="13"/>
      <c r="W139" s="524">
        <v>0</v>
      </c>
      <c r="X139" s="460"/>
      <c r="Y139" s="524">
        <v>-1.8686553230509201E-3</v>
      </c>
      <c r="Z139" s="804"/>
    </row>
    <row r="140" spans="1:26" s="514" customFormat="1">
      <c r="A140" s="799" t="s">
        <v>10465</v>
      </c>
      <c r="B140" s="762"/>
      <c r="C140" s="826"/>
      <c r="D140" s="827" t="s">
        <v>5770</v>
      </c>
      <c r="E140" s="782"/>
      <c r="F140" s="774" t="s">
        <v>5747</v>
      </c>
      <c r="G140" s="744">
        <v>80000</v>
      </c>
      <c r="H140" s="460"/>
      <c r="I140" s="744">
        <v>1</v>
      </c>
      <c r="J140" s="460"/>
      <c r="K140" s="744" t="b">
        <v>0</v>
      </c>
      <c r="L140" s="460" t="b">
        <v>0</v>
      </c>
      <c r="M140" s="744" t="b">
        <v>0</v>
      </c>
      <c r="N140" s="772" t="b">
        <v>0</v>
      </c>
      <c r="O140" s="744">
        <v>0</v>
      </c>
      <c r="P140" s="772">
        <v>0</v>
      </c>
      <c r="Q140" s="744">
        <v>2</v>
      </c>
      <c r="R140" s="772">
        <v>2</v>
      </c>
      <c r="S140" s="783" t="s">
        <v>10381</v>
      </c>
      <c r="T140" s="772"/>
      <c r="U140" s="744">
        <v>37.358163587163801</v>
      </c>
      <c r="V140" s="460"/>
      <c r="W140" s="744">
        <v>1.7577815247901502E-2</v>
      </c>
      <c r="X140" s="460"/>
      <c r="Y140" s="744">
        <v>1984.5409309558499</v>
      </c>
      <c r="Z140" s="460"/>
    </row>
    <row r="141" spans="1:26" s="514" customFormat="1">
      <c r="A141" s="799" t="s">
        <v>10465</v>
      </c>
      <c r="B141" s="762"/>
      <c r="C141" s="181" t="s">
        <v>10469</v>
      </c>
      <c r="D141" s="773"/>
      <c r="E141" s="724"/>
      <c r="F141" s="846" t="s">
        <v>7877</v>
      </c>
      <c r="G141" s="614">
        <v>600</v>
      </c>
      <c r="H141" s="460"/>
      <c r="I141" s="614">
        <v>0</v>
      </c>
      <c r="J141" s="460"/>
      <c r="K141" s="614" t="b">
        <v>1</v>
      </c>
      <c r="L141" s="460" t="b">
        <v>1</v>
      </c>
      <c r="M141" s="614" t="b">
        <v>1</v>
      </c>
      <c r="N141" s="772" t="b">
        <v>1</v>
      </c>
      <c r="O141" s="614">
        <v>1</v>
      </c>
      <c r="P141" s="772"/>
      <c r="Q141" s="614">
        <v>2</v>
      </c>
      <c r="R141" s="772">
        <v>2</v>
      </c>
      <c r="S141" s="783" t="s">
        <v>10381</v>
      </c>
      <c r="T141" s="772"/>
      <c r="U141" s="614">
        <v>53.856155377703203</v>
      </c>
      <c r="V141" s="772"/>
      <c r="W141" s="614">
        <v>0.17779521194949</v>
      </c>
      <c r="X141" s="772"/>
      <c r="Y141" s="614">
        <v>1644.79178152143</v>
      </c>
      <c r="Z141" s="772"/>
    </row>
    <row r="142" spans="1:26" s="514" customFormat="1">
      <c r="A142" s="799" t="s">
        <v>10465</v>
      </c>
      <c r="B142" s="762"/>
      <c r="C142" s="181" t="s">
        <v>10470</v>
      </c>
      <c r="D142" s="773"/>
      <c r="E142" s="724"/>
      <c r="F142" s="846" t="s">
        <v>9110</v>
      </c>
      <c r="G142" s="614">
        <v>150</v>
      </c>
      <c r="H142" s="460"/>
      <c r="I142" s="614">
        <v>0</v>
      </c>
      <c r="J142" s="460"/>
      <c r="K142" s="614" t="b">
        <v>0</v>
      </c>
      <c r="L142" s="460" t="b">
        <v>0</v>
      </c>
      <c r="M142" s="614" t="b">
        <v>0</v>
      </c>
      <c r="N142" s="772" t="b">
        <v>0</v>
      </c>
      <c r="O142" s="614">
        <v>1</v>
      </c>
      <c r="P142" s="772"/>
      <c r="Q142" s="614">
        <v>2</v>
      </c>
      <c r="R142" s="772">
        <v>2</v>
      </c>
      <c r="S142" s="783" t="s">
        <v>10381</v>
      </c>
      <c r="T142" s="772"/>
      <c r="U142" s="614">
        <v>100</v>
      </c>
      <c r="V142" s="772"/>
      <c r="W142" s="614">
        <v>6.8300166910277302E-3</v>
      </c>
      <c r="X142" s="772"/>
      <c r="Y142" s="614">
        <v>3438.5858624528</v>
      </c>
      <c r="Z142" s="772"/>
    </row>
    <row r="143" spans="1:26" s="514" customFormat="1">
      <c r="A143" s="799" t="s">
        <v>10465</v>
      </c>
      <c r="B143" s="762"/>
      <c r="C143" s="181" t="s">
        <v>10472</v>
      </c>
      <c r="D143" s="773"/>
      <c r="E143" s="724"/>
      <c r="F143" s="846" t="s">
        <v>9218</v>
      </c>
      <c r="G143" s="614">
        <v>39.200000000000003</v>
      </c>
      <c r="H143" s="460"/>
      <c r="I143" s="715">
        <v>1</v>
      </c>
      <c r="J143" s="460">
        <v>1</v>
      </c>
      <c r="K143" s="614" t="b">
        <v>1</v>
      </c>
      <c r="L143" s="460" t="b">
        <v>1</v>
      </c>
      <c r="M143" s="614" t="b">
        <v>0</v>
      </c>
      <c r="N143" s="772" t="b">
        <v>0</v>
      </c>
      <c r="O143" s="614">
        <v>1</v>
      </c>
      <c r="P143" s="772"/>
      <c r="Q143" s="614">
        <v>2</v>
      </c>
      <c r="R143" s="772">
        <v>2</v>
      </c>
      <c r="S143" s="783" t="s">
        <v>10381</v>
      </c>
      <c r="T143" s="772"/>
      <c r="U143" s="614">
        <v>0</v>
      </c>
      <c r="V143" s="772"/>
      <c r="W143" s="614">
        <v>0</v>
      </c>
      <c r="X143" s="772"/>
      <c r="Y143" s="614">
        <v>350390.45781837503</v>
      </c>
      <c r="Z143" s="772"/>
    </row>
    <row r="144" spans="1:26" s="514" customFormat="1">
      <c r="A144" s="799" t="s">
        <v>10465</v>
      </c>
      <c r="B144" s="762"/>
      <c r="C144" s="181" t="s">
        <v>10473</v>
      </c>
      <c r="D144" s="773"/>
      <c r="E144" s="724"/>
      <c r="F144" s="846" t="s">
        <v>8201</v>
      </c>
      <c r="G144" s="614">
        <v>5</v>
      </c>
      <c r="H144" s="460"/>
      <c r="I144" s="744">
        <v>0</v>
      </c>
      <c r="J144" s="460"/>
      <c r="K144" s="614" t="b">
        <v>0</v>
      </c>
      <c r="L144" s="460" t="b">
        <v>0</v>
      </c>
      <c r="M144" s="614" t="b">
        <v>0</v>
      </c>
      <c r="N144" s="772" t="b">
        <v>0</v>
      </c>
      <c r="O144" s="614">
        <v>1</v>
      </c>
      <c r="P144" s="772"/>
      <c r="Q144" s="614">
        <v>2</v>
      </c>
      <c r="R144" s="772">
        <v>2</v>
      </c>
      <c r="S144" s="783" t="s">
        <v>10381</v>
      </c>
      <c r="T144" s="772"/>
      <c r="U144" s="614">
        <v>28.962469724274399</v>
      </c>
      <c r="V144" s="772"/>
      <c r="W144" s="614">
        <v>1.9690376379187099E-3</v>
      </c>
      <c r="X144" s="772"/>
      <c r="Y144" s="614">
        <v>2999926.0660262001</v>
      </c>
      <c r="Z144" s="752"/>
    </row>
    <row r="145" spans="1:26" s="514" customFormat="1">
      <c r="A145" s="799" t="s">
        <v>10465</v>
      </c>
      <c r="B145" s="762"/>
      <c r="C145" s="181" t="s">
        <v>10475</v>
      </c>
      <c r="D145" s="773" t="s">
        <v>5770</v>
      </c>
      <c r="E145" s="724"/>
      <c r="F145" s="846" t="s">
        <v>5744</v>
      </c>
      <c r="G145" s="744">
        <v>1</v>
      </c>
      <c r="H145" s="460"/>
      <c r="I145" s="744">
        <v>1</v>
      </c>
      <c r="J145" s="460"/>
      <c r="K145" s="744" t="b">
        <v>1</v>
      </c>
      <c r="L145" s="460" t="b">
        <v>1</v>
      </c>
      <c r="M145" s="744" t="b">
        <v>1</v>
      </c>
      <c r="N145" s="772" t="b">
        <v>1</v>
      </c>
      <c r="O145" s="744">
        <v>2.25</v>
      </c>
      <c r="P145" s="772">
        <v>2.25</v>
      </c>
      <c r="Q145" s="744">
        <v>2</v>
      </c>
      <c r="R145" s="772">
        <v>2</v>
      </c>
      <c r="S145" s="783" t="s">
        <v>10381</v>
      </c>
      <c r="T145" s="772"/>
      <c r="U145" s="744">
        <v>69.646136587553301</v>
      </c>
      <c r="V145" s="772"/>
      <c r="W145" s="744">
        <v>2.1484519447585399E-5</v>
      </c>
      <c r="X145" s="772"/>
      <c r="Y145" s="744">
        <v>187007.673616499</v>
      </c>
      <c r="Z145" s="772"/>
    </row>
    <row r="146" spans="1:26" s="514" customFormat="1">
      <c r="A146" s="799" t="s">
        <v>10465</v>
      </c>
      <c r="B146" s="762"/>
      <c r="C146" s="181" t="s">
        <v>10476</v>
      </c>
      <c r="D146" s="773" t="s">
        <v>5770</v>
      </c>
      <c r="E146" s="724"/>
      <c r="F146" s="846" t="s">
        <v>5745</v>
      </c>
      <c r="G146" s="614">
        <v>60</v>
      </c>
      <c r="H146" s="460"/>
      <c r="I146" s="614">
        <v>1</v>
      </c>
      <c r="J146" s="460"/>
      <c r="K146" s="614" t="b">
        <v>1</v>
      </c>
      <c r="L146" s="460" t="b">
        <v>1</v>
      </c>
      <c r="M146" s="614" t="b">
        <v>1</v>
      </c>
      <c r="N146" s="772" t="b">
        <v>1</v>
      </c>
      <c r="O146" s="614">
        <v>2.25</v>
      </c>
      <c r="P146" s="772">
        <v>2.25</v>
      </c>
      <c r="Q146" s="614">
        <v>2</v>
      </c>
      <c r="R146" s="772">
        <v>2</v>
      </c>
      <c r="S146" s="783" t="s">
        <v>10381</v>
      </c>
      <c r="T146" s="772"/>
      <c r="U146" s="614">
        <v>69.202398613046398</v>
      </c>
      <c r="V146" s="772"/>
      <c r="W146" s="614">
        <v>2.7606120747548501E-4</v>
      </c>
      <c r="X146" s="772"/>
      <c r="Y146" s="614">
        <v>17419.864614767201</v>
      </c>
      <c r="Z146" s="772"/>
    </row>
    <row r="147" spans="1:26" s="514" customFormat="1">
      <c r="A147" s="799" t="s">
        <v>10465</v>
      </c>
      <c r="B147" s="762"/>
      <c r="C147" s="181" t="s">
        <v>10477</v>
      </c>
      <c r="D147" s="773"/>
      <c r="E147" s="724"/>
      <c r="F147" s="846" t="s">
        <v>8203</v>
      </c>
      <c r="G147" s="614">
        <v>100</v>
      </c>
      <c r="H147" s="460"/>
      <c r="I147" s="614">
        <v>0</v>
      </c>
      <c r="J147" s="460"/>
      <c r="K147" s="614" t="b">
        <v>0</v>
      </c>
      <c r="L147" s="460" t="b">
        <v>0</v>
      </c>
      <c r="M147" s="614" t="b">
        <v>0</v>
      </c>
      <c r="N147" s="772" t="b">
        <v>0</v>
      </c>
      <c r="O147" s="614">
        <v>1</v>
      </c>
      <c r="P147" s="772"/>
      <c r="Q147" s="614">
        <v>2</v>
      </c>
      <c r="R147" s="772">
        <v>2</v>
      </c>
      <c r="S147" s="783" t="s">
        <v>10381</v>
      </c>
      <c r="T147" s="772"/>
      <c r="U147" s="614">
        <v>0</v>
      </c>
      <c r="V147" s="772"/>
      <c r="W147" s="614">
        <v>0</v>
      </c>
      <c r="X147" s="772"/>
      <c r="Y147" s="614">
        <v>107499.230605847</v>
      </c>
      <c r="Z147" s="752"/>
    </row>
    <row r="148" spans="1:26" s="514" customFormat="1">
      <c r="A148" s="799" t="s">
        <v>10465</v>
      </c>
      <c r="B148" s="762"/>
      <c r="C148" s="181" t="s">
        <v>10478</v>
      </c>
      <c r="D148" s="773"/>
      <c r="E148" s="724"/>
      <c r="F148" s="846" t="s">
        <v>8202</v>
      </c>
      <c r="G148" s="614">
        <v>40</v>
      </c>
      <c r="H148" s="460"/>
      <c r="I148" s="614">
        <v>0</v>
      </c>
      <c r="J148" s="460"/>
      <c r="K148" s="614" t="b">
        <v>0</v>
      </c>
      <c r="L148" s="460" t="b">
        <v>0</v>
      </c>
      <c r="M148" s="614" t="b">
        <v>0</v>
      </c>
      <c r="N148" s="772" t="b">
        <v>0</v>
      </c>
      <c r="O148" s="614">
        <v>1</v>
      </c>
      <c r="P148" s="772"/>
      <c r="Q148" s="614">
        <v>2</v>
      </c>
      <c r="R148" s="772">
        <v>2</v>
      </c>
      <c r="S148" s="783" t="s">
        <v>10381</v>
      </c>
      <c r="T148" s="772"/>
      <c r="U148" s="614">
        <v>0</v>
      </c>
      <c r="V148" s="772"/>
      <c r="W148" s="614">
        <v>0</v>
      </c>
      <c r="X148" s="772"/>
      <c r="Y148" s="614">
        <v>35146.6338153084</v>
      </c>
      <c r="Z148" s="752"/>
    </row>
    <row r="149" spans="1:26" s="514" customFormat="1">
      <c r="A149" s="799" t="s">
        <v>10465</v>
      </c>
      <c r="B149" s="762"/>
      <c r="C149" s="181" t="s">
        <v>10479</v>
      </c>
      <c r="D149" s="773"/>
      <c r="E149" s="724"/>
      <c r="F149" s="846" t="s">
        <v>8200</v>
      </c>
      <c r="G149" s="614">
        <v>20</v>
      </c>
      <c r="H149" s="460"/>
      <c r="I149" s="614">
        <v>0</v>
      </c>
      <c r="J149" s="460"/>
      <c r="K149" s="614" t="b">
        <v>0</v>
      </c>
      <c r="L149" s="460" t="b">
        <v>0</v>
      </c>
      <c r="M149" s="614" t="b">
        <v>0</v>
      </c>
      <c r="N149" s="772" t="b">
        <v>0</v>
      </c>
      <c r="O149" s="614">
        <v>1</v>
      </c>
      <c r="P149" s="772"/>
      <c r="Q149" s="614">
        <v>2</v>
      </c>
      <c r="R149" s="772">
        <v>2</v>
      </c>
      <c r="S149" s="783" t="s">
        <v>10381</v>
      </c>
      <c r="T149" s="772"/>
      <c r="U149" s="614">
        <v>26.419648315013799</v>
      </c>
      <c r="V149" s="460"/>
      <c r="W149" s="614">
        <v>3.1267030130935698E-3</v>
      </c>
      <c r="X149" s="772"/>
      <c r="Y149" s="614">
        <v>3108837.0640709102</v>
      </c>
      <c r="Z149" s="752"/>
    </row>
    <row r="150" spans="1:26" s="514" customFormat="1">
      <c r="A150" s="799" t="s">
        <v>10465</v>
      </c>
      <c r="B150" s="762"/>
      <c r="C150" s="181" t="s">
        <v>10480</v>
      </c>
      <c r="D150" s="773"/>
      <c r="E150" s="724"/>
      <c r="F150" s="846" t="s">
        <v>8199</v>
      </c>
      <c r="G150" s="614">
        <v>16</v>
      </c>
      <c r="H150" s="460"/>
      <c r="I150" s="614">
        <v>0</v>
      </c>
      <c r="J150" s="460"/>
      <c r="K150" s="614" t="b">
        <v>0</v>
      </c>
      <c r="L150" s="460" t="b">
        <v>0</v>
      </c>
      <c r="M150" s="614" t="b">
        <v>0</v>
      </c>
      <c r="N150" s="772" t="b">
        <v>0</v>
      </c>
      <c r="O150" s="614">
        <v>1</v>
      </c>
      <c r="P150" s="772"/>
      <c r="Q150" s="614">
        <v>2</v>
      </c>
      <c r="R150" s="772">
        <v>2</v>
      </c>
      <c r="S150" s="783" t="s">
        <v>10381</v>
      </c>
      <c r="T150" s="772"/>
      <c r="U150" s="614">
        <v>18.946865287262799</v>
      </c>
      <c r="V150" s="460"/>
      <c r="W150" s="614">
        <v>2.4430607049212501E-4</v>
      </c>
      <c r="X150" s="772"/>
      <c r="Y150" s="614">
        <v>226202.75773692399</v>
      </c>
      <c r="Z150" s="752"/>
    </row>
    <row r="151" spans="1:26" s="514" customFormat="1">
      <c r="A151" s="799" t="s">
        <v>10465</v>
      </c>
      <c r="B151" s="762"/>
      <c r="C151" s="181" t="s">
        <v>10481</v>
      </c>
      <c r="D151" s="742" t="s">
        <v>5769</v>
      </c>
      <c r="E151" s="740"/>
      <c r="F151" s="846" t="s">
        <v>6094</v>
      </c>
      <c r="G151" s="744">
        <v>400</v>
      </c>
      <c r="H151" s="460"/>
      <c r="I151" s="744">
        <v>1</v>
      </c>
      <c r="J151" s="460"/>
      <c r="K151" s="744" t="b">
        <v>0</v>
      </c>
      <c r="L151" s="460" t="b">
        <v>0</v>
      </c>
      <c r="M151" s="744" t="b">
        <v>0</v>
      </c>
      <c r="N151" s="772" t="b">
        <v>0</v>
      </c>
      <c r="O151" s="744">
        <v>0</v>
      </c>
      <c r="P151" s="772">
        <v>0</v>
      </c>
      <c r="Q151" s="744">
        <v>2</v>
      </c>
      <c r="R151" s="772">
        <v>2</v>
      </c>
      <c r="S151" s="783" t="s">
        <v>10381</v>
      </c>
      <c r="T151" s="772"/>
      <c r="U151" s="744">
        <v>75</v>
      </c>
      <c r="V151" s="460"/>
      <c r="W151" s="744">
        <v>3.6604711889883297E-2</v>
      </c>
      <c r="X151" s="772"/>
      <c r="Y151" s="744">
        <v>83506.623581727195</v>
      </c>
      <c r="Z151" s="772"/>
    </row>
    <row r="152" spans="1:26" s="514" customFormat="1">
      <c r="A152" s="799" t="s">
        <v>10465</v>
      </c>
      <c r="B152" s="762"/>
      <c r="C152" s="181" t="s">
        <v>10482</v>
      </c>
      <c r="D152" s="773" t="s">
        <v>5770</v>
      </c>
      <c r="E152" s="740"/>
      <c r="F152" s="846" t="s">
        <v>5767</v>
      </c>
      <c r="G152" s="744">
        <v>0.8</v>
      </c>
      <c r="H152" s="460"/>
      <c r="I152" s="744">
        <v>1</v>
      </c>
      <c r="J152" s="460"/>
      <c r="K152" s="744" t="b">
        <v>1</v>
      </c>
      <c r="L152" s="460" t="b">
        <v>1</v>
      </c>
      <c r="M152" s="744" t="b">
        <v>1</v>
      </c>
      <c r="N152" s="772" t="b">
        <v>1</v>
      </c>
      <c r="O152" s="744">
        <v>1</v>
      </c>
      <c r="P152" s="772">
        <v>1</v>
      </c>
      <c r="Q152" s="744">
        <v>2</v>
      </c>
      <c r="R152" s="772">
        <v>2</v>
      </c>
      <c r="S152" s="783" t="s">
        <v>10381</v>
      </c>
      <c r="T152" s="772"/>
      <c r="U152" s="744">
        <v>71.910337243346206</v>
      </c>
      <c r="V152" s="460"/>
      <c r="W152" s="744">
        <v>1.5975594395624699E-5</v>
      </c>
      <c r="X152" s="460"/>
      <c r="Y152" s="744">
        <v>140661.129830986</v>
      </c>
      <c r="Z152" s="460"/>
    </row>
    <row r="153" spans="1:26" s="514" customFormat="1">
      <c r="A153" s="799" t="s">
        <v>10465</v>
      </c>
      <c r="B153" s="762"/>
      <c r="C153" s="181" t="s">
        <v>10483</v>
      </c>
      <c r="D153" s="773" t="s">
        <v>5770</v>
      </c>
      <c r="E153" s="740"/>
      <c r="F153" s="846" t="s">
        <v>5772</v>
      </c>
      <c r="G153" s="744">
        <v>60</v>
      </c>
      <c r="H153" s="460"/>
      <c r="I153" s="744">
        <v>1</v>
      </c>
      <c r="J153" s="460"/>
      <c r="K153" s="744" t="b">
        <v>1</v>
      </c>
      <c r="L153" s="460" t="b">
        <v>1</v>
      </c>
      <c r="M153" s="744" t="b">
        <v>1</v>
      </c>
      <c r="N153" s="772" t="b">
        <v>1</v>
      </c>
      <c r="O153" s="744">
        <v>1</v>
      </c>
      <c r="P153" s="772">
        <v>1</v>
      </c>
      <c r="Q153" s="744">
        <v>2</v>
      </c>
      <c r="R153" s="772">
        <v>2</v>
      </c>
      <c r="S153" s="783" t="s">
        <v>10381</v>
      </c>
      <c r="T153" s="772"/>
      <c r="U153" s="744">
        <v>73.485038067155799</v>
      </c>
      <c r="V153" s="460"/>
      <c r="W153" s="744">
        <v>2.1939408070146201E-4</v>
      </c>
      <c r="X153" s="460"/>
      <c r="Y153" s="744">
        <v>7646.5009525718597</v>
      </c>
      <c r="Z153" s="460"/>
    </row>
    <row r="154" spans="1:26" s="514" customFormat="1">
      <c r="A154" s="799" t="s">
        <v>10465</v>
      </c>
      <c r="B154" s="762"/>
      <c r="C154" s="181" t="s">
        <v>10484</v>
      </c>
      <c r="D154" s="773"/>
      <c r="E154" s="740"/>
      <c r="F154" s="846" t="s">
        <v>9221</v>
      </c>
      <c r="G154" s="744">
        <v>200</v>
      </c>
      <c r="H154" s="460"/>
      <c r="I154" s="744">
        <v>1</v>
      </c>
      <c r="J154" s="460">
        <v>1</v>
      </c>
      <c r="K154" s="744" t="b">
        <v>1</v>
      </c>
      <c r="L154" s="460" t="b">
        <v>1</v>
      </c>
      <c r="M154" s="744" t="b">
        <v>0</v>
      </c>
      <c r="N154" s="772" t="b">
        <v>0</v>
      </c>
      <c r="O154" s="744">
        <v>1</v>
      </c>
      <c r="P154" s="772"/>
      <c r="Q154" s="744">
        <v>2</v>
      </c>
      <c r="R154" s="772">
        <v>2</v>
      </c>
      <c r="S154" s="783" t="s">
        <v>10381</v>
      </c>
      <c r="T154" s="772"/>
      <c r="U154" s="744">
        <v>88.180372450722203</v>
      </c>
      <c r="V154" s="460"/>
      <c r="W154" s="744">
        <v>0.52277245826954999</v>
      </c>
      <c r="X154" s="460"/>
      <c r="Y154" s="744">
        <v>190000.00000000201</v>
      </c>
      <c r="Z154" s="460"/>
    </row>
    <row r="155" spans="1:26">
      <c r="A155" s="799" t="s">
        <v>10465</v>
      </c>
      <c r="B155" s="762"/>
      <c r="C155" s="181" t="s">
        <v>10486</v>
      </c>
      <c r="D155" s="759"/>
      <c r="E155" s="754"/>
      <c r="F155" s="846" t="s">
        <v>9219</v>
      </c>
      <c r="G155" s="761">
        <v>20</v>
      </c>
      <c r="H155" s="460"/>
      <c r="I155" s="761">
        <v>1</v>
      </c>
      <c r="J155" s="460">
        <v>1</v>
      </c>
      <c r="K155" s="761" t="b">
        <v>1</v>
      </c>
      <c r="L155" s="460" t="b">
        <v>1</v>
      </c>
      <c r="M155" s="761" t="b">
        <v>0</v>
      </c>
      <c r="N155" s="772" t="b">
        <v>0</v>
      </c>
      <c r="O155" s="761">
        <v>1</v>
      </c>
      <c r="P155" s="772"/>
      <c r="Q155" s="761">
        <v>2</v>
      </c>
      <c r="R155" s="772">
        <v>2</v>
      </c>
      <c r="S155" s="783" t="s">
        <v>10381</v>
      </c>
      <c r="T155" s="772"/>
      <c r="U155" s="761">
        <v>100</v>
      </c>
      <c r="V155" s="460"/>
      <c r="W155" s="761">
        <v>8.4933541890240494E-2</v>
      </c>
      <c r="X155" s="460"/>
      <c r="Y155" s="761">
        <v>199339.48279914301</v>
      </c>
      <c r="Z155" s="460"/>
    </row>
    <row r="156" spans="1:26">
      <c r="A156" s="799" t="s">
        <v>10465</v>
      </c>
      <c r="B156" s="762"/>
      <c r="C156" s="181" t="s">
        <v>10487</v>
      </c>
      <c r="D156" s="759"/>
      <c r="E156" s="754"/>
      <c r="F156" s="846" t="s">
        <v>9225</v>
      </c>
      <c r="G156" s="761">
        <v>85</v>
      </c>
      <c r="H156" s="460"/>
      <c r="I156" s="761">
        <v>1</v>
      </c>
      <c r="J156" s="772">
        <v>1</v>
      </c>
      <c r="K156" s="761" t="b">
        <v>1</v>
      </c>
      <c r="L156" s="460" t="b">
        <v>1</v>
      </c>
      <c r="M156" s="761" t="b">
        <v>0</v>
      </c>
      <c r="N156" s="772" t="b">
        <v>0</v>
      </c>
      <c r="O156" s="761">
        <v>1</v>
      </c>
      <c r="P156" s="772"/>
      <c r="Q156" s="761">
        <v>2</v>
      </c>
      <c r="R156" s="772">
        <v>2</v>
      </c>
      <c r="S156" s="783" t="s">
        <v>10381</v>
      </c>
      <c r="T156" s="772"/>
      <c r="U156" s="761">
        <v>0</v>
      </c>
      <c r="V156" s="460"/>
      <c r="W156" s="761">
        <v>0</v>
      </c>
      <c r="X156" s="460"/>
      <c r="Y156" s="761">
        <v>190433.362704845</v>
      </c>
      <c r="Z156" s="460"/>
    </row>
    <row r="157" spans="1:26">
      <c r="A157" s="799" t="s">
        <v>10465</v>
      </c>
      <c r="B157" s="762"/>
      <c r="C157" s="181" t="s">
        <v>10488</v>
      </c>
      <c r="D157" s="759"/>
      <c r="E157" s="754"/>
      <c r="F157" s="846" t="s">
        <v>9223</v>
      </c>
      <c r="G157" s="761">
        <v>500</v>
      </c>
      <c r="H157" s="460"/>
      <c r="I157" s="761">
        <v>1</v>
      </c>
      <c r="J157" s="772">
        <v>1</v>
      </c>
      <c r="K157" s="761" t="b">
        <v>1</v>
      </c>
      <c r="L157" s="460" t="b">
        <v>1</v>
      </c>
      <c r="M157" s="761" t="b">
        <v>0</v>
      </c>
      <c r="N157" s="772" t="b">
        <v>0</v>
      </c>
      <c r="O157" s="761">
        <v>1</v>
      </c>
      <c r="P157" s="772"/>
      <c r="Q157" s="761">
        <v>2</v>
      </c>
      <c r="R157" s="772">
        <v>2</v>
      </c>
      <c r="S157" s="783" t="s">
        <v>10381</v>
      </c>
      <c r="T157" s="772"/>
      <c r="U157" s="761">
        <v>0</v>
      </c>
      <c r="V157" s="460"/>
      <c r="W157" s="761">
        <v>0</v>
      </c>
      <c r="X157" s="460"/>
      <c r="Y157" s="761">
        <v>188297.02071834201</v>
      </c>
      <c r="Z157" s="460"/>
    </row>
    <row r="158" spans="1:26">
      <c r="A158" s="799" t="s">
        <v>10465</v>
      </c>
      <c r="B158" s="757"/>
      <c r="C158" s="181" t="s">
        <v>10491</v>
      </c>
      <c r="D158" s="773"/>
      <c r="E158" s="724"/>
      <c r="F158" s="465" t="s">
        <v>8197</v>
      </c>
      <c r="G158" s="19">
        <v>400</v>
      </c>
      <c r="H158" s="460"/>
      <c r="I158" s="19">
        <v>0</v>
      </c>
      <c r="J158" s="460"/>
      <c r="K158" s="19" t="b">
        <v>0</v>
      </c>
      <c r="L158" s="460" t="b">
        <v>0</v>
      </c>
      <c r="M158" s="19" t="b">
        <v>0</v>
      </c>
      <c r="N158" s="460" t="b">
        <v>0</v>
      </c>
      <c r="O158" s="19">
        <v>1</v>
      </c>
      <c r="P158" s="460"/>
      <c r="Q158" s="19">
        <v>2</v>
      </c>
      <c r="R158" s="460">
        <v>2</v>
      </c>
      <c r="S158" s="783" t="s">
        <v>10381</v>
      </c>
      <c r="T158" s="460"/>
      <c r="U158" s="19">
        <v>54.949198019079702</v>
      </c>
      <c r="V158" s="13"/>
      <c r="W158" s="524">
        <v>3.0630877786404702E-3</v>
      </c>
      <c r="X158" s="460"/>
      <c r="Y158" s="524">
        <v>323.63350602431501</v>
      </c>
      <c r="Z158" s="804"/>
    </row>
    <row r="159" spans="1:26">
      <c r="A159" s="799" t="s">
        <v>10465</v>
      </c>
      <c r="B159" s="757"/>
      <c r="C159" s="181" t="s">
        <v>10492</v>
      </c>
      <c r="D159" s="773"/>
      <c r="E159" s="724"/>
      <c r="F159" s="465" t="s">
        <v>9171</v>
      </c>
      <c r="G159" s="19">
        <v>53</v>
      </c>
      <c r="H159" s="460"/>
      <c r="I159" s="19">
        <v>0</v>
      </c>
      <c r="J159" s="460"/>
      <c r="K159" s="19" t="b">
        <v>0</v>
      </c>
      <c r="L159" s="460" t="b">
        <v>0</v>
      </c>
      <c r="M159" s="19" t="b">
        <v>0</v>
      </c>
      <c r="N159" s="460" t="b">
        <v>0</v>
      </c>
      <c r="O159" s="19">
        <v>1</v>
      </c>
      <c r="P159" s="460"/>
      <c r="Q159" s="19">
        <v>2</v>
      </c>
      <c r="R159" s="460">
        <v>2</v>
      </c>
      <c r="S159" s="783" t="s">
        <v>10381</v>
      </c>
      <c r="T159" s="460"/>
      <c r="U159" s="19">
        <v>100</v>
      </c>
      <c r="V159" s="460"/>
      <c r="W159" s="524">
        <v>7.9955573977204802E-3</v>
      </c>
      <c r="X159" s="460"/>
      <c r="Y159" s="524">
        <v>27876.522007763899</v>
      </c>
      <c r="Z159" s="804"/>
    </row>
    <row r="160" spans="1:26">
      <c r="A160" s="799" t="s">
        <v>10465</v>
      </c>
      <c r="B160" s="757"/>
      <c r="C160" s="181" t="s">
        <v>10494</v>
      </c>
      <c r="D160" s="773"/>
      <c r="E160" s="724"/>
      <c r="F160" s="465" t="s">
        <v>9226</v>
      </c>
      <c r="G160" s="19">
        <v>500</v>
      </c>
      <c r="H160" s="460"/>
      <c r="I160" s="19">
        <v>1</v>
      </c>
      <c r="J160" s="460">
        <v>1</v>
      </c>
      <c r="K160" s="19" t="b">
        <v>1</v>
      </c>
      <c r="L160" s="460" t="b">
        <v>1</v>
      </c>
      <c r="M160" s="19" t="b">
        <v>0</v>
      </c>
      <c r="N160" s="460" t="b">
        <v>0</v>
      </c>
      <c r="O160" s="19">
        <v>1</v>
      </c>
      <c r="P160" s="460"/>
      <c r="Q160" s="19">
        <v>2</v>
      </c>
      <c r="R160" s="460">
        <v>2</v>
      </c>
      <c r="S160" s="783" t="s">
        <v>10381</v>
      </c>
      <c r="T160" s="460"/>
      <c r="U160" s="19">
        <v>100</v>
      </c>
      <c r="V160" s="460"/>
      <c r="W160" s="524">
        <v>8.4898044171498196E-2</v>
      </c>
      <c r="X160" s="460"/>
      <c r="Y160" s="524">
        <v>270.059382481966</v>
      </c>
      <c r="Z160" s="460"/>
    </row>
    <row r="161" spans="1:26">
      <c r="A161" s="799" t="s">
        <v>10465</v>
      </c>
      <c r="B161" s="757"/>
      <c r="C161" s="181" t="s">
        <v>10496</v>
      </c>
      <c r="D161" s="773"/>
      <c r="E161" s="724"/>
      <c r="F161" s="465" t="s">
        <v>9118</v>
      </c>
      <c r="G161" s="19">
        <v>8000</v>
      </c>
      <c r="H161" s="460"/>
      <c r="I161" s="19">
        <v>0</v>
      </c>
      <c r="J161" s="13"/>
      <c r="K161" s="19" t="b">
        <v>0</v>
      </c>
      <c r="L161" s="460" t="b">
        <v>0</v>
      </c>
      <c r="M161" s="19" t="b">
        <v>0</v>
      </c>
      <c r="N161" s="13" t="b">
        <v>0</v>
      </c>
      <c r="O161" s="19">
        <v>1</v>
      </c>
      <c r="P161" s="13"/>
      <c r="Q161" s="19">
        <v>2</v>
      </c>
      <c r="R161" s="13">
        <v>2</v>
      </c>
      <c r="S161" s="783" t="s">
        <v>10381</v>
      </c>
      <c r="T161" s="13"/>
      <c r="U161" s="19">
        <v>100</v>
      </c>
      <c r="V161" s="13"/>
      <c r="W161" s="524">
        <v>0.32776818731995899</v>
      </c>
      <c r="X161" s="460"/>
      <c r="Y161" s="524">
        <v>2430.3320119387899</v>
      </c>
      <c r="Z161" s="804"/>
    </row>
    <row r="162" spans="1:26">
      <c r="A162" s="799" t="s">
        <v>10465</v>
      </c>
      <c r="B162" s="757"/>
      <c r="C162" s="181" t="s">
        <v>10497</v>
      </c>
      <c r="D162" s="773"/>
      <c r="E162" s="724"/>
      <c r="F162" s="465" t="s">
        <v>7883</v>
      </c>
      <c r="G162" s="19">
        <v>1000</v>
      </c>
      <c r="H162" s="460"/>
      <c r="I162" s="19">
        <v>0</v>
      </c>
      <c r="J162" s="13"/>
      <c r="K162" s="19" t="b">
        <v>1</v>
      </c>
      <c r="L162" s="460" t="b">
        <v>1</v>
      </c>
      <c r="M162" s="19" t="b">
        <v>1</v>
      </c>
      <c r="N162" s="460" t="b">
        <v>1</v>
      </c>
      <c r="O162" s="19">
        <v>1</v>
      </c>
      <c r="P162" s="460"/>
      <c r="Q162" s="19">
        <v>2</v>
      </c>
      <c r="R162" s="460">
        <v>2</v>
      </c>
      <c r="S162" s="783" t="s">
        <v>10381</v>
      </c>
      <c r="T162" s="460"/>
      <c r="U162" s="19">
        <v>0</v>
      </c>
      <c r="V162" s="460"/>
      <c r="W162" s="524">
        <v>0</v>
      </c>
      <c r="X162" s="460"/>
      <c r="Y162" s="524">
        <v>146034.07431145999</v>
      </c>
      <c r="Z162" s="460"/>
    </row>
    <row r="163" spans="1:26">
      <c r="A163" s="799" t="s">
        <v>10465</v>
      </c>
      <c r="B163" s="757"/>
      <c r="C163" s="181" t="s">
        <v>10502</v>
      </c>
      <c r="D163" s="773"/>
      <c r="E163" s="724"/>
      <c r="F163" s="465" t="s">
        <v>6606</v>
      </c>
      <c r="G163" s="19">
        <v>600</v>
      </c>
      <c r="H163" s="460"/>
      <c r="I163" s="19">
        <v>0</v>
      </c>
      <c r="J163" s="13"/>
      <c r="K163" s="19" t="b">
        <v>0</v>
      </c>
      <c r="L163" s="460" t="b">
        <v>0</v>
      </c>
      <c r="M163" s="19" t="b">
        <v>0</v>
      </c>
      <c r="N163" s="460" t="b">
        <v>0</v>
      </c>
      <c r="O163" s="19">
        <v>1</v>
      </c>
      <c r="P163" s="460"/>
      <c r="Q163" s="19">
        <v>2</v>
      </c>
      <c r="R163" s="460">
        <v>2</v>
      </c>
      <c r="S163" s="783" t="s">
        <v>10381</v>
      </c>
      <c r="T163" s="460"/>
      <c r="U163" s="19">
        <v>100</v>
      </c>
      <c r="V163" s="13"/>
      <c r="W163" s="524">
        <v>1.4109669741104299E-3</v>
      </c>
      <c r="X163" s="460"/>
      <c r="Y163" s="524">
        <v>43.440122249070598</v>
      </c>
      <c r="Z163" s="460"/>
    </row>
    <row r="164" spans="1:26">
      <c r="A164" s="799" t="s">
        <v>10465</v>
      </c>
      <c r="B164" s="757"/>
      <c r="C164" s="181" t="s">
        <v>10503</v>
      </c>
      <c r="D164" s="773"/>
      <c r="E164" s="724"/>
      <c r="F164" s="465" t="s">
        <v>9162</v>
      </c>
      <c r="G164" s="744">
        <v>300000</v>
      </c>
      <c r="H164" s="460"/>
      <c r="I164" s="744">
        <v>1</v>
      </c>
      <c r="J164" s="13"/>
      <c r="K164" s="744" t="b">
        <v>1</v>
      </c>
      <c r="L164" s="460" t="b">
        <v>1</v>
      </c>
      <c r="M164" s="744" t="b">
        <v>1</v>
      </c>
      <c r="N164" s="460" t="b">
        <v>1</v>
      </c>
      <c r="O164" s="744">
        <v>1.7777777777777799</v>
      </c>
      <c r="P164" s="460">
        <v>1.7777777777777799</v>
      </c>
      <c r="Q164" s="744">
        <v>2</v>
      </c>
      <c r="R164" s="460">
        <v>2</v>
      </c>
      <c r="S164" s="783" t="s">
        <v>10381</v>
      </c>
      <c r="T164" s="460"/>
      <c r="U164" s="744">
        <v>61.375184897207902</v>
      </c>
      <c r="V164" s="13"/>
      <c r="W164" s="744">
        <v>2.19936012821168E-2</v>
      </c>
      <c r="X164" s="460"/>
      <c r="Y164" s="744">
        <v>70.503530029745903</v>
      </c>
      <c r="Z164" s="460"/>
    </row>
    <row r="165" spans="1:26" s="184" customFormat="1">
      <c r="A165" s="799" t="s">
        <v>10465</v>
      </c>
      <c r="B165" s="757"/>
      <c r="C165" s="181" t="s">
        <v>10510</v>
      </c>
      <c r="D165" s="773" t="s">
        <v>5770</v>
      </c>
      <c r="E165" s="724"/>
      <c r="F165" s="465" t="s">
        <v>9158</v>
      </c>
      <c r="G165" s="194">
        <v>1000000</v>
      </c>
      <c r="H165" s="460"/>
      <c r="I165" s="194">
        <v>1</v>
      </c>
      <c r="J165" s="193"/>
      <c r="K165" s="194" t="b">
        <v>0</v>
      </c>
      <c r="L165" s="460" t="b">
        <v>0</v>
      </c>
      <c r="M165" s="194" t="b">
        <v>0</v>
      </c>
      <c r="N165" s="460" t="b">
        <v>0</v>
      </c>
      <c r="O165" s="194">
        <v>0</v>
      </c>
      <c r="P165" s="460">
        <v>0</v>
      </c>
      <c r="Q165" s="194">
        <v>2</v>
      </c>
      <c r="R165" s="460">
        <v>2</v>
      </c>
      <c r="S165" s="783" t="s">
        <v>10381</v>
      </c>
      <c r="T165" s="460"/>
      <c r="U165" s="194">
        <v>100</v>
      </c>
      <c r="V165" s="460"/>
      <c r="W165" s="524">
        <v>3.2264839447062897E-2</v>
      </c>
      <c r="X165" s="460"/>
      <c r="Y165" s="524">
        <v>22.526548290610702</v>
      </c>
      <c r="Z165" s="460"/>
    </row>
    <row r="166" spans="1:26">
      <c r="A166" s="799" t="s">
        <v>10465</v>
      </c>
      <c r="B166" s="757"/>
      <c r="C166" s="181" t="s">
        <v>10513</v>
      </c>
      <c r="D166" s="773" t="s">
        <v>5770</v>
      </c>
      <c r="E166" s="724"/>
      <c r="F166" s="465" t="s">
        <v>5749</v>
      </c>
      <c r="G166" s="194">
        <v>100000</v>
      </c>
      <c r="H166" s="460"/>
      <c r="I166" s="194">
        <v>1</v>
      </c>
      <c r="J166" s="13"/>
      <c r="K166" s="194" t="b">
        <v>0</v>
      </c>
      <c r="L166" s="460" t="b">
        <v>0</v>
      </c>
      <c r="M166" s="194" t="b">
        <v>0</v>
      </c>
      <c r="N166" s="460" t="b">
        <v>0</v>
      </c>
      <c r="O166" s="194">
        <v>0</v>
      </c>
      <c r="P166" s="460">
        <v>0</v>
      </c>
      <c r="Q166" s="194">
        <v>2</v>
      </c>
      <c r="R166" s="460">
        <v>2</v>
      </c>
      <c r="S166" s="783" t="s">
        <v>10381</v>
      </c>
      <c r="T166" s="460"/>
      <c r="U166" s="19">
        <v>100</v>
      </c>
      <c r="V166" s="460"/>
      <c r="W166" s="524">
        <v>1.7577800508664702E-2</v>
      </c>
      <c r="X166" s="460"/>
      <c r="Y166" s="524">
        <v>42.003389500067001</v>
      </c>
      <c r="Z166" s="460"/>
    </row>
    <row r="167" spans="1:26">
      <c r="A167" s="799" t="s">
        <v>10465</v>
      </c>
      <c r="B167" s="757"/>
      <c r="C167" s="181" t="s">
        <v>10514</v>
      </c>
      <c r="D167" s="773" t="s">
        <v>5770</v>
      </c>
      <c r="E167" s="724"/>
      <c r="F167" s="465" t="s">
        <v>5750</v>
      </c>
      <c r="G167" s="194">
        <v>100000</v>
      </c>
      <c r="H167" s="460"/>
      <c r="I167" s="194">
        <v>1</v>
      </c>
      <c r="J167" s="13"/>
      <c r="K167" s="194" t="b">
        <v>0</v>
      </c>
      <c r="L167" s="460" t="b">
        <v>0</v>
      </c>
      <c r="M167" s="194" t="b">
        <v>0</v>
      </c>
      <c r="N167" s="460" t="b">
        <v>0</v>
      </c>
      <c r="O167" s="194">
        <v>0</v>
      </c>
      <c r="P167" s="460">
        <v>0</v>
      </c>
      <c r="Q167" s="194">
        <v>2</v>
      </c>
      <c r="R167" s="460">
        <v>2</v>
      </c>
      <c r="S167" s="783" t="s">
        <v>10381</v>
      </c>
      <c r="T167" s="460"/>
      <c r="U167" s="19">
        <v>100</v>
      </c>
      <c r="V167" s="460"/>
      <c r="W167" s="524">
        <v>1.7577800508464799E-2</v>
      </c>
      <c r="X167" s="460"/>
      <c r="Y167" s="524">
        <v>42.003389499877798</v>
      </c>
      <c r="Z167" s="460"/>
    </row>
  </sheetData>
  <sheetProtection sheet="1" objects="1" scenarios="1" formatCells="0" formatColumns="0" formatRows="0" insertColumns="0" insertRows="0" insertHyperlinks="0" deleteColumns="0" deleteRows="0" sort="0" autoFilter="0" pivotTables="0"/>
  <dataConsolidate/>
  <mergeCells count="11">
    <mergeCell ref="O1:P1"/>
    <mergeCell ref="G1:H1"/>
    <mergeCell ref="E3:F3"/>
    <mergeCell ref="I1:J1"/>
    <mergeCell ref="K1:L1"/>
    <mergeCell ref="M1:N1"/>
    <mergeCell ref="W1:X1"/>
    <mergeCell ref="Y1:Z1"/>
    <mergeCell ref="U1:V1"/>
    <mergeCell ref="Q1:R1"/>
    <mergeCell ref="S1:T1"/>
  </mergeCells>
  <phoneticPr fontId="14" type="noConversion"/>
  <conditionalFormatting sqref="A1">
    <cfRule type="cellIs" dxfId="10320" priority="30" stopIfTrue="1" operator="equal">
      <formula>"NOK"</formula>
    </cfRule>
  </conditionalFormatting>
  <conditionalFormatting sqref="V149:V150 T148:T150 U5:U29 Z118:Z120 Y121:Z122 Y141:Z150 Q154:Z157 Q123:Z127 Y128:Y140 Y158:Y167 S128:S150 S158:S167 U128:U150 U158:U167 W128:W150 W158:W167 Q128:Q150 Q158:Q167 G152:G167 K152:K167 O152:O167 I152:I167 M152:M167 Y5:Y120 S5:S122 U49:U122 W5:W122 Q5:Q122 G5:G150 K5:K150 O5:O150 I5:I150 M5:M150">
    <cfRule type="cellIs" dxfId="10319" priority="29" stopIfTrue="1" operator="notEqual">
      <formula>H5</formula>
    </cfRule>
  </conditionalFormatting>
  <conditionalFormatting sqref="U28:U50">
    <cfRule type="cellIs" dxfId="10318" priority="13" stopIfTrue="1" operator="notEqual">
      <formula>V28</formula>
    </cfRule>
  </conditionalFormatting>
  <conditionalFormatting sqref="T114:T115 R114:R115 X114:X115 Z114:Z115 V114:V115">
    <cfRule type="cellIs" dxfId="10317" priority="11" stopIfTrue="1" operator="notEqual">
      <formula>S114</formula>
    </cfRule>
  </conditionalFormatting>
  <conditionalFormatting sqref="Q151 Y151:Z151 S151:W151 G151 K151 O151 I151 M151">
    <cfRule type="cellIs" dxfId="10316" priority="7" stopIfTrue="1" operator="notEqual">
      <formula>H151</formula>
    </cfRule>
  </conditionalFormatting>
  <conditionalFormatting sqref="S152 Q152 W152 Y152 U152">
    <cfRule type="cellIs" dxfId="10315" priority="6" stopIfTrue="1" operator="notEqual">
      <formula>R152</formula>
    </cfRule>
  </conditionalFormatting>
  <conditionalFormatting sqref="T152 R152 X152 Z152 V152">
    <cfRule type="cellIs" dxfId="10314" priority="5" stopIfTrue="1" operator="notEqual">
      <formula>S152</formula>
    </cfRule>
  </conditionalFormatting>
  <conditionalFormatting sqref="S153 Q153 W153 Y153 U153 G153 K153 O153 I153 M153">
    <cfRule type="cellIs" dxfId="10313" priority="4" stopIfTrue="1" operator="notEqual">
      <formula>H153</formula>
    </cfRule>
  </conditionalFormatting>
  <conditionalFormatting sqref="T153 R153 X153 Z153 V153">
    <cfRule type="cellIs" dxfId="10312" priority="3" stopIfTrue="1" operator="notEqual">
      <formula>S153</formula>
    </cfRule>
  </conditionalFormatting>
  <dataValidations count="1">
    <dataValidation type="list" allowBlank="1" showInputMessage="1" showErrorMessage="1" sqref="S1 G1 Q1 O1 M1 K1 I1 U1 W1 Y1">
      <formula1>ControlValveVariablesList</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sheetPr codeName="Sheet58">
    <tabColor rgb="FF92D050"/>
  </sheetPr>
  <dimension ref="A1:V464"/>
  <sheetViews>
    <sheetView showGridLines="0" zoomScale="85" zoomScaleNormal="85" workbookViewId="0">
      <pane xSplit="6" ySplit="4" topLeftCell="G5" activePane="bottomRight" state="frozenSplit"/>
      <selection activeCell="I6" sqref="I6"/>
      <selection pane="topRight" activeCell="I6" sqref="I6"/>
      <selection pane="bottomLeft" activeCell="I6" sqref="I6"/>
      <selection pane="bottomRight" activeCell="F1" sqref="F1"/>
    </sheetView>
  </sheetViews>
  <sheetFormatPr defaultRowHeight="12.75"/>
  <cols>
    <col min="1" max="1" width="32.625" style="28" customWidth="1"/>
    <col min="2" max="2" width="7.125" style="28" customWidth="1"/>
    <col min="3" max="3" width="11.125" style="29" customWidth="1"/>
    <col min="4" max="4" width="6.125" style="28" customWidth="1"/>
    <col min="5" max="5" width="16.625" style="28" customWidth="1"/>
    <col min="6" max="6" width="20.25" style="30" customWidth="1"/>
    <col min="7" max="7" width="9.75" style="31" customWidth="1"/>
    <col min="8" max="8" width="9.75" style="32" customWidth="1"/>
    <col min="9" max="9" width="9.75" style="31" customWidth="1"/>
    <col min="10" max="10" width="9.75" style="32" customWidth="1"/>
    <col min="11" max="11" width="9.75" style="31" customWidth="1"/>
    <col min="12" max="12" width="9.75" style="32" customWidth="1"/>
    <col min="13" max="13" width="9.75" style="31" customWidth="1"/>
    <col min="14" max="14" width="9.75" style="32" customWidth="1"/>
    <col min="15" max="15" width="15.25" style="31" customWidth="1"/>
    <col min="16" max="16" width="12.625" style="32" customWidth="1"/>
    <col min="17" max="17" width="13.25" style="31" customWidth="1"/>
    <col min="18" max="18" width="12.625" style="32" customWidth="1"/>
    <col min="19" max="19" width="9.75" style="31" customWidth="1"/>
    <col min="20" max="20" width="9.75" style="32" customWidth="1"/>
    <col min="21" max="21" width="1.25" style="6" customWidth="1"/>
    <col min="22" max="22" width="21.375" style="6" customWidth="1"/>
    <col min="23" max="268" width="9" style="6"/>
    <col min="269" max="269" width="12" style="6" customWidth="1"/>
    <col min="270" max="270" width="7.125" style="6" customWidth="1"/>
    <col min="271" max="271" width="9" style="6"/>
    <col min="272" max="272" width="16" style="6" customWidth="1"/>
    <col min="273" max="273" width="13.75" style="6" customWidth="1"/>
    <col min="274" max="275" width="9.75" style="6" customWidth="1"/>
    <col min="276" max="524" width="9" style="6"/>
    <col min="525" max="525" width="12" style="6" customWidth="1"/>
    <col min="526" max="526" width="7.125" style="6" customWidth="1"/>
    <col min="527" max="527" width="9" style="6"/>
    <col min="528" max="528" width="16" style="6" customWidth="1"/>
    <col min="529" max="529" width="13.75" style="6" customWidth="1"/>
    <col min="530" max="531" width="9.75" style="6" customWidth="1"/>
    <col min="532" max="780" width="9" style="6"/>
    <col min="781" max="781" width="12" style="6" customWidth="1"/>
    <col min="782" max="782" width="7.125" style="6" customWidth="1"/>
    <col min="783" max="783" width="9" style="6"/>
    <col min="784" max="784" width="16" style="6" customWidth="1"/>
    <col min="785" max="785" width="13.75" style="6" customWidth="1"/>
    <col min="786" max="787" width="9.75" style="6" customWidth="1"/>
    <col min="788" max="1036" width="9" style="6"/>
    <col min="1037" max="1037" width="12" style="6" customWidth="1"/>
    <col min="1038" max="1038" width="7.125" style="6" customWidth="1"/>
    <col min="1039" max="1039" width="9" style="6"/>
    <col min="1040" max="1040" width="16" style="6" customWidth="1"/>
    <col min="1041" max="1041" width="13.75" style="6" customWidth="1"/>
    <col min="1042" max="1043" width="9.75" style="6" customWidth="1"/>
    <col min="1044" max="1292" width="9" style="6"/>
    <col min="1293" max="1293" width="12" style="6" customWidth="1"/>
    <col min="1294" max="1294" width="7.125" style="6" customWidth="1"/>
    <col min="1295" max="1295" width="9" style="6"/>
    <col min="1296" max="1296" width="16" style="6" customWidth="1"/>
    <col min="1297" max="1297" width="13.75" style="6" customWidth="1"/>
    <col min="1298" max="1299" width="9.75" style="6" customWidth="1"/>
    <col min="1300" max="1548" width="9" style="6"/>
    <col min="1549" max="1549" width="12" style="6" customWidth="1"/>
    <col min="1550" max="1550" width="7.125" style="6" customWidth="1"/>
    <col min="1551" max="1551" width="9" style="6"/>
    <col min="1552" max="1552" width="16" style="6" customWidth="1"/>
    <col min="1553" max="1553" width="13.75" style="6" customWidth="1"/>
    <col min="1554" max="1555" width="9.75" style="6" customWidth="1"/>
    <col min="1556" max="1804" width="9" style="6"/>
    <col min="1805" max="1805" width="12" style="6" customWidth="1"/>
    <col min="1806" max="1806" width="7.125" style="6" customWidth="1"/>
    <col min="1807" max="1807" width="9" style="6"/>
    <col min="1808" max="1808" width="16" style="6" customWidth="1"/>
    <col min="1809" max="1809" width="13.75" style="6" customWidth="1"/>
    <col min="1810" max="1811" width="9.75" style="6" customWidth="1"/>
    <col min="1812" max="2060" width="9" style="6"/>
    <col min="2061" max="2061" width="12" style="6" customWidth="1"/>
    <col min="2062" max="2062" width="7.125" style="6" customWidth="1"/>
    <col min="2063" max="2063" width="9" style="6"/>
    <col min="2064" max="2064" width="16" style="6" customWidth="1"/>
    <col min="2065" max="2065" width="13.75" style="6" customWidth="1"/>
    <col min="2066" max="2067" width="9.75" style="6" customWidth="1"/>
    <col min="2068" max="2316" width="9" style="6"/>
    <col min="2317" max="2317" width="12" style="6" customWidth="1"/>
    <col min="2318" max="2318" width="7.125" style="6" customWidth="1"/>
    <col min="2319" max="2319" width="9" style="6"/>
    <col min="2320" max="2320" width="16" style="6" customWidth="1"/>
    <col min="2321" max="2321" width="13.75" style="6" customWidth="1"/>
    <col min="2322" max="2323" width="9.75" style="6" customWidth="1"/>
    <col min="2324" max="2572" width="9" style="6"/>
    <col min="2573" max="2573" width="12" style="6" customWidth="1"/>
    <col min="2574" max="2574" width="7.125" style="6" customWidth="1"/>
    <col min="2575" max="2575" width="9" style="6"/>
    <col min="2576" max="2576" width="16" style="6" customWidth="1"/>
    <col min="2577" max="2577" width="13.75" style="6" customWidth="1"/>
    <col min="2578" max="2579" width="9.75" style="6" customWidth="1"/>
    <col min="2580" max="2828" width="9" style="6"/>
    <col min="2829" max="2829" width="12" style="6" customWidth="1"/>
    <col min="2830" max="2830" width="7.125" style="6" customWidth="1"/>
    <col min="2831" max="2831" width="9" style="6"/>
    <col min="2832" max="2832" width="16" style="6" customWidth="1"/>
    <col min="2833" max="2833" width="13.75" style="6" customWidth="1"/>
    <col min="2834" max="2835" width="9.75" style="6" customWidth="1"/>
    <col min="2836" max="3084" width="9" style="6"/>
    <col min="3085" max="3085" width="12" style="6" customWidth="1"/>
    <col min="3086" max="3086" width="7.125" style="6" customWidth="1"/>
    <col min="3087" max="3087" width="9" style="6"/>
    <col min="3088" max="3088" width="16" style="6" customWidth="1"/>
    <col min="3089" max="3089" width="13.75" style="6" customWidth="1"/>
    <col min="3090" max="3091" width="9.75" style="6" customWidth="1"/>
    <col min="3092" max="3340" width="9" style="6"/>
    <col min="3341" max="3341" width="12" style="6" customWidth="1"/>
    <col min="3342" max="3342" width="7.125" style="6" customWidth="1"/>
    <col min="3343" max="3343" width="9" style="6"/>
    <col min="3344" max="3344" width="16" style="6" customWidth="1"/>
    <col min="3345" max="3345" width="13.75" style="6" customWidth="1"/>
    <col min="3346" max="3347" width="9.75" style="6" customWidth="1"/>
    <col min="3348" max="3596" width="9" style="6"/>
    <col min="3597" max="3597" width="12" style="6" customWidth="1"/>
    <col min="3598" max="3598" width="7.125" style="6" customWidth="1"/>
    <col min="3599" max="3599" width="9" style="6"/>
    <col min="3600" max="3600" width="16" style="6" customWidth="1"/>
    <col min="3601" max="3601" width="13.75" style="6" customWidth="1"/>
    <col min="3602" max="3603" width="9.75" style="6" customWidth="1"/>
    <col min="3604" max="3852" width="9" style="6"/>
    <col min="3853" max="3853" width="12" style="6" customWidth="1"/>
    <col min="3854" max="3854" width="7.125" style="6" customWidth="1"/>
    <col min="3855" max="3855" width="9" style="6"/>
    <col min="3856" max="3856" width="16" style="6" customWidth="1"/>
    <col min="3857" max="3857" width="13.75" style="6" customWidth="1"/>
    <col min="3858" max="3859" width="9.75" style="6" customWidth="1"/>
    <col min="3860" max="4108" width="9" style="6"/>
    <col min="4109" max="4109" width="12" style="6" customWidth="1"/>
    <col min="4110" max="4110" width="7.125" style="6" customWidth="1"/>
    <col min="4111" max="4111" width="9" style="6"/>
    <col min="4112" max="4112" width="16" style="6" customWidth="1"/>
    <col min="4113" max="4113" width="13.75" style="6" customWidth="1"/>
    <col min="4114" max="4115" width="9.75" style="6" customWidth="1"/>
    <col min="4116" max="4364" width="9" style="6"/>
    <col min="4365" max="4365" width="12" style="6" customWidth="1"/>
    <col min="4366" max="4366" width="7.125" style="6" customWidth="1"/>
    <col min="4367" max="4367" width="9" style="6"/>
    <col min="4368" max="4368" width="16" style="6" customWidth="1"/>
    <col min="4369" max="4369" width="13.75" style="6" customWidth="1"/>
    <col min="4370" max="4371" width="9.75" style="6" customWidth="1"/>
    <col min="4372" max="4620" width="9" style="6"/>
    <col min="4621" max="4621" width="12" style="6" customWidth="1"/>
    <col min="4622" max="4622" width="7.125" style="6" customWidth="1"/>
    <col min="4623" max="4623" width="9" style="6"/>
    <col min="4624" max="4624" width="16" style="6" customWidth="1"/>
    <col min="4625" max="4625" width="13.75" style="6" customWidth="1"/>
    <col min="4626" max="4627" width="9.75" style="6" customWidth="1"/>
    <col min="4628" max="4876" width="9" style="6"/>
    <col min="4877" max="4877" width="12" style="6" customWidth="1"/>
    <col min="4878" max="4878" width="7.125" style="6" customWidth="1"/>
    <col min="4879" max="4879" width="9" style="6"/>
    <col min="4880" max="4880" width="16" style="6" customWidth="1"/>
    <col min="4881" max="4881" width="13.75" style="6" customWidth="1"/>
    <col min="4882" max="4883" width="9.75" style="6" customWidth="1"/>
    <col min="4884" max="5132" width="9" style="6"/>
    <col min="5133" max="5133" width="12" style="6" customWidth="1"/>
    <col min="5134" max="5134" width="7.125" style="6" customWidth="1"/>
    <col min="5135" max="5135" width="9" style="6"/>
    <col min="5136" max="5136" width="16" style="6" customWidth="1"/>
    <col min="5137" max="5137" width="13.75" style="6" customWidth="1"/>
    <col min="5138" max="5139" width="9.75" style="6" customWidth="1"/>
    <col min="5140" max="5388" width="9" style="6"/>
    <col min="5389" max="5389" width="12" style="6" customWidth="1"/>
    <col min="5390" max="5390" width="7.125" style="6" customWidth="1"/>
    <col min="5391" max="5391" width="9" style="6"/>
    <col min="5392" max="5392" width="16" style="6" customWidth="1"/>
    <col min="5393" max="5393" width="13.75" style="6" customWidth="1"/>
    <col min="5394" max="5395" width="9.75" style="6" customWidth="1"/>
    <col min="5396" max="5644" width="9" style="6"/>
    <col min="5645" max="5645" width="12" style="6" customWidth="1"/>
    <col min="5646" max="5646" width="7.125" style="6" customWidth="1"/>
    <col min="5647" max="5647" width="9" style="6"/>
    <col min="5648" max="5648" width="16" style="6" customWidth="1"/>
    <col min="5649" max="5649" width="13.75" style="6" customWidth="1"/>
    <col min="5650" max="5651" width="9.75" style="6" customWidth="1"/>
    <col min="5652" max="5900" width="9" style="6"/>
    <col min="5901" max="5901" width="12" style="6" customWidth="1"/>
    <col min="5902" max="5902" width="7.125" style="6" customWidth="1"/>
    <col min="5903" max="5903" width="9" style="6"/>
    <col min="5904" max="5904" width="16" style="6" customWidth="1"/>
    <col min="5905" max="5905" width="13.75" style="6" customWidth="1"/>
    <col min="5906" max="5907" width="9.75" style="6" customWidth="1"/>
    <col min="5908" max="6156" width="9" style="6"/>
    <col min="6157" max="6157" width="12" style="6" customWidth="1"/>
    <col min="6158" max="6158" width="7.125" style="6" customWidth="1"/>
    <col min="6159" max="6159" width="9" style="6"/>
    <col min="6160" max="6160" width="16" style="6" customWidth="1"/>
    <col min="6161" max="6161" width="13.75" style="6" customWidth="1"/>
    <col min="6162" max="6163" width="9.75" style="6" customWidth="1"/>
    <col min="6164" max="6412" width="9" style="6"/>
    <col min="6413" max="6413" width="12" style="6" customWidth="1"/>
    <col min="6414" max="6414" width="7.125" style="6" customWidth="1"/>
    <col min="6415" max="6415" width="9" style="6"/>
    <col min="6416" max="6416" width="16" style="6" customWidth="1"/>
    <col min="6417" max="6417" width="13.75" style="6" customWidth="1"/>
    <col min="6418" max="6419" width="9.75" style="6" customWidth="1"/>
    <col min="6420" max="6668" width="9" style="6"/>
    <col min="6669" max="6669" width="12" style="6" customWidth="1"/>
    <col min="6670" max="6670" width="7.125" style="6" customWidth="1"/>
    <col min="6671" max="6671" width="9" style="6"/>
    <col min="6672" max="6672" width="16" style="6" customWidth="1"/>
    <col min="6673" max="6673" width="13.75" style="6" customWidth="1"/>
    <col min="6674" max="6675" width="9.75" style="6" customWidth="1"/>
    <col min="6676" max="6924" width="9" style="6"/>
    <col min="6925" max="6925" width="12" style="6" customWidth="1"/>
    <col min="6926" max="6926" width="7.125" style="6" customWidth="1"/>
    <col min="6927" max="6927" width="9" style="6"/>
    <col min="6928" max="6928" width="16" style="6" customWidth="1"/>
    <col min="6929" max="6929" width="13.75" style="6" customWidth="1"/>
    <col min="6930" max="6931" width="9.75" style="6" customWidth="1"/>
    <col min="6932" max="7180" width="9" style="6"/>
    <col min="7181" max="7181" width="12" style="6" customWidth="1"/>
    <col min="7182" max="7182" width="7.125" style="6" customWidth="1"/>
    <col min="7183" max="7183" width="9" style="6"/>
    <col min="7184" max="7184" width="16" style="6" customWidth="1"/>
    <col min="7185" max="7185" width="13.75" style="6" customWidth="1"/>
    <col min="7186" max="7187" width="9.75" style="6" customWidth="1"/>
    <col min="7188" max="7436" width="9" style="6"/>
    <col min="7437" max="7437" width="12" style="6" customWidth="1"/>
    <col min="7438" max="7438" width="7.125" style="6" customWidth="1"/>
    <col min="7439" max="7439" width="9" style="6"/>
    <col min="7440" max="7440" width="16" style="6" customWidth="1"/>
    <col min="7441" max="7441" width="13.75" style="6" customWidth="1"/>
    <col min="7442" max="7443" width="9.75" style="6" customWidth="1"/>
    <col min="7444" max="7692" width="9" style="6"/>
    <col min="7693" max="7693" width="12" style="6" customWidth="1"/>
    <col min="7694" max="7694" width="7.125" style="6" customWidth="1"/>
    <col min="7695" max="7695" width="9" style="6"/>
    <col min="7696" max="7696" width="16" style="6" customWidth="1"/>
    <col min="7697" max="7697" width="13.75" style="6" customWidth="1"/>
    <col min="7698" max="7699" width="9.75" style="6" customWidth="1"/>
    <col min="7700" max="7948" width="9" style="6"/>
    <col min="7949" max="7949" width="12" style="6" customWidth="1"/>
    <col min="7950" max="7950" width="7.125" style="6" customWidth="1"/>
    <col min="7951" max="7951" width="9" style="6"/>
    <col min="7952" max="7952" width="16" style="6" customWidth="1"/>
    <col min="7953" max="7953" width="13.75" style="6" customWidth="1"/>
    <col min="7954" max="7955" width="9.75" style="6" customWidth="1"/>
    <col min="7956" max="8204" width="9" style="6"/>
    <col min="8205" max="8205" width="12" style="6" customWidth="1"/>
    <col min="8206" max="8206" width="7.125" style="6" customWidth="1"/>
    <col min="8207" max="8207" width="9" style="6"/>
    <col min="8208" max="8208" width="16" style="6" customWidth="1"/>
    <col min="8209" max="8209" width="13.75" style="6" customWidth="1"/>
    <col min="8210" max="8211" width="9.75" style="6" customWidth="1"/>
    <col min="8212" max="8460" width="9" style="6"/>
    <col min="8461" max="8461" width="12" style="6" customWidth="1"/>
    <col min="8462" max="8462" width="7.125" style="6" customWidth="1"/>
    <col min="8463" max="8463" width="9" style="6"/>
    <col min="8464" max="8464" width="16" style="6" customWidth="1"/>
    <col min="8465" max="8465" width="13.75" style="6" customWidth="1"/>
    <col min="8466" max="8467" width="9.75" style="6" customWidth="1"/>
    <col min="8468" max="8716" width="9" style="6"/>
    <col min="8717" max="8717" width="12" style="6" customWidth="1"/>
    <col min="8718" max="8718" width="7.125" style="6" customWidth="1"/>
    <col min="8719" max="8719" width="9" style="6"/>
    <col min="8720" max="8720" width="16" style="6" customWidth="1"/>
    <col min="8721" max="8721" width="13.75" style="6" customWidth="1"/>
    <col min="8722" max="8723" width="9.75" style="6" customWidth="1"/>
    <col min="8724" max="8972" width="9" style="6"/>
    <col min="8973" max="8973" width="12" style="6" customWidth="1"/>
    <col min="8974" max="8974" width="7.125" style="6" customWidth="1"/>
    <col min="8975" max="8975" width="9" style="6"/>
    <col min="8976" max="8976" width="16" style="6" customWidth="1"/>
    <col min="8977" max="8977" width="13.75" style="6" customWidth="1"/>
    <col min="8978" max="8979" width="9.75" style="6" customWidth="1"/>
    <col min="8980" max="9228" width="9" style="6"/>
    <col min="9229" max="9229" width="12" style="6" customWidth="1"/>
    <col min="9230" max="9230" width="7.125" style="6" customWidth="1"/>
    <col min="9231" max="9231" width="9" style="6"/>
    <col min="9232" max="9232" width="16" style="6" customWidth="1"/>
    <col min="9233" max="9233" width="13.75" style="6" customWidth="1"/>
    <col min="9234" max="9235" width="9.75" style="6" customWidth="1"/>
    <col min="9236" max="9484" width="9" style="6"/>
    <col min="9485" max="9485" width="12" style="6" customWidth="1"/>
    <col min="9486" max="9486" width="7.125" style="6" customWidth="1"/>
    <col min="9487" max="9487" width="9" style="6"/>
    <col min="9488" max="9488" width="16" style="6" customWidth="1"/>
    <col min="9489" max="9489" width="13.75" style="6" customWidth="1"/>
    <col min="9490" max="9491" width="9.75" style="6" customWidth="1"/>
    <col min="9492" max="9740" width="9" style="6"/>
    <col min="9741" max="9741" width="12" style="6" customWidth="1"/>
    <col min="9742" max="9742" width="7.125" style="6" customWidth="1"/>
    <col min="9743" max="9743" width="9" style="6"/>
    <col min="9744" max="9744" width="16" style="6" customWidth="1"/>
    <col min="9745" max="9745" width="13.75" style="6" customWidth="1"/>
    <col min="9746" max="9747" width="9.75" style="6" customWidth="1"/>
    <col min="9748" max="9996" width="9" style="6"/>
    <col min="9997" max="9997" width="12" style="6" customWidth="1"/>
    <col min="9998" max="9998" width="7.125" style="6" customWidth="1"/>
    <col min="9999" max="9999" width="9" style="6"/>
    <col min="10000" max="10000" width="16" style="6" customWidth="1"/>
    <col min="10001" max="10001" width="13.75" style="6" customWidth="1"/>
    <col min="10002" max="10003" width="9.75" style="6" customWidth="1"/>
    <col min="10004" max="10252" width="9" style="6"/>
    <col min="10253" max="10253" width="12" style="6" customWidth="1"/>
    <col min="10254" max="10254" width="7.125" style="6" customWidth="1"/>
    <col min="10255" max="10255" width="9" style="6"/>
    <col min="10256" max="10256" width="16" style="6" customWidth="1"/>
    <col min="10257" max="10257" width="13.75" style="6" customWidth="1"/>
    <col min="10258" max="10259" width="9.75" style="6" customWidth="1"/>
    <col min="10260" max="10508" width="9" style="6"/>
    <col min="10509" max="10509" width="12" style="6" customWidth="1"/>
    <col min="10510" max="10510" width="7.125" style="6" customWidth="1"/>
    <col min="10511" max="10511" width="9" style="6"/>
    <col min="10512" max="10512" width="16" style="6" customWidth="1"/>
    <col min="10513" max="10513" width="13.75" style="6" customWidth="1"/>
    <col min="10514" max="10515" width="9.75" style="6" customWidth="1"/>
    <col min="10516" max="10764" width="9" style="6"/>
    <col min="10765" max="10765" width="12" style="6" customWidth="1"/>
    <col min="10766" max="10766" width="7.125" style="6" customWidth="1"/>
    <col min="10767" max="10767" width="9" style="6"/>
    <col min="10768" max="10768" width="16" style="6" customWidth="1"/>
    <col min="10769" max="10769" width="13.75" style="6" customWidth="1"/>
    <col min="10770" max="10771" width="9.75" style="6" customWidth="1"/>
    <col min="10772" max="11020" width="9" style="6"/>
    <col min="11021" max="11021" width="12" style="6" customWidth="1"/>
    <col min="11022" max="11022" width="7.125" style="6" customWidth="1"/>
    <col min="11023" max="11023" width="9" style="6"/>
    <col min="11024" max="11024" width="16" style="6" customWidth="1"/>
    <col min="11025" max="11025" width="13.75" style="6" customWidth="1"/>
    <col min="11026" max="11027" width="9.75" style="6" customWidth="1"/>
    <col min="11028" max="11276" width="9" style="6"/>
    <col min="11277" max="11277" width="12" style="6" customWidth="1"/>
    <col min="11278" max="11278" width="7.125" style="6" customWidth="1"/>
    <col min="11279" max="11279" width="9" style="6"/>
    <col min="11280" max="11280" width="16" style="6" customWidth="1"/>
    <col min="11281" max="11281" width="13.75" style="6" customWidth="1"/>
    <col min="11282" max="11283" width="9.75" style="6" customWidth="1"/>
    <col min="11284" max="11532" width="9" style="6"/>
    <col min="11533" max="11533" width="12" style="6" customWidth="1"/>
    <col min="11534" max="11534" width="7.125" style="6" customWidth="1"/>
    <col min="11535" max="11535" width="9" style="6"/>
    <col min="11536" max="11536" width="16" style="6" customWidth="1"/>
    <col min="11537" max="11537" width="13.75" style="6" customWidth="1"/>
    <col min="11538" max="11539" width="9.75" style="6" customWidth="1"/>
    <col min="11540" max="11788" width="9" style="6"/>
    <col min="11789" max="11789" width="12" style="6" customWidth="1"/>
    <col min="11790" max="11790" width="7.125" style="6" customWidth="1"/>
    <col min="11791" max="11791" width="9" style="6"/>
    <col min="11792" max="11792" width="16" style="6" customWidth="1"/>
    <col min="11793" max="11793" width="13.75" style="6" customWidth="1"/>
    <col min="11794" max="11795" width="9.75" style="6" customWidth="1"/>
    <col min="11796" max="12044" width="9" style="6"/>
    <col min="12045" max="12045" width="12" style="6" customWidth="1"/>
    <col min="12046" max="12046" width="7.125" style="6" customWidth="1"/>
    <col min="12047" max="12047" width="9" style="6"/>
    <col min="12048" max="12048" width="16" style="6" customWidth="1"/>
    <col min="12049" max="12049" width="13.75" style="6" customWidth="1"/>
    <col min="12050" max="12051" width="9.75" style="6" customWidth="1"/>
    <col min="12052" max="12300" width="9" style="6"/>
    <col min="12301" max="12301" width="12" style="6" customWidth="1"/>
    <col min="12302" max="12302" width="7.125" style="6" customWidth="1"/>
    <col min="12303" max="12303" width="9" style="6"/>
    <col min="12304" max="12304" width="16" style="6" customWidth="1"/>
    <col min="12305" max="12305" width="13.75" style="6" customWidth="1"/>
    <col min="12306" max="12307" width="9.75" style="6" customWidth="1"/>
    <col min="12308" max="12556" width="9" style="6"/>
    <col min="12557" max="12557" width="12" style="6" customWidth="1"/>
    <col min="12558" max="12558" width="7.125" style="6" customWidth="1"/>
    <col min="12559" max="12559" width="9" style="6"/>
    <col min="12560" max="12560" width="16" style="6" customWidth="1"/>
    <col min="12561" max="12561" width="13.75" style="6" customWidth="1"/>
    <col min="12562" max="12563" width="9.75" style="6" customWidth="1"/>
    <col min="12564" max="12812" width="9" style="6"/>
    <col min="12813" max="12813" width="12" style="6" customWidth="1"/>
    <col min="12814" max="12814" width="7.125" style="6" customWidth="1"/>
    <col min="12815" max="12815" width="9" style="6"/>
    <col min="12816" max="12816" width="16" style="6" customWidth="1"/>
    <col min="12817" max="12817" width="13.75" style="6" customWidth="1"/>
    <col min="12818" max="12819" width="9.75" style="6" customWidth="1"/>
    <col min="12820" max="13068" width="9" style="6"/>
    <col min="13069" max="13069" width="12" style="6" customWidth="1"/>
    <col min="13070" max="13070" width="7.125" style="6" customWidth="1"/>
    <col min="13071" max="13071" width="9" style="6"/>
    <col min="13072" max="13072" width="16" style="6" customWidth="1"/>
    <col min="13073" max="13073" width="13.75" style="6" customWidth="1"/>
    <col min="13074" max="13075" width="9.75" style="6" customWidth="1"/>
    <col min="13076" max="13324" width="9" style="6"/>
    <col min="13325" max="13325" width="12" style="6" customWidth="1"/>
    <col min="13326" max="13326" width="7.125" style="6" customWidth="1"/>
    <col min="13327" max="13327" width="9" style="6"/>
    <col min="13328" max="13328" width="16" style="6" customWidth="1"/>
    <col min="13329" max="13329" width="13.75" style="6" customWidth="1"/>
    <col min="13330" max="13331" width="9.75" style="6" customWidth="1"/>
    <col min="13332" max="13580" width="9" style="6"/>
    <col min="13581" max="13581" width="12" style="6" customWidth="1"/>
    <col min="13582" max="13582" width="7.125" style="6" customWidth="1"/>
    <col min="13583" max="13583" width="9" style="6"/>
    <col min="13584" max="13584" width="16" style="6" customWidth="1"/>
    <col min="13585" max="13585" width="13.75" style="6" customWidth="1"/>
    <col min="13586" max="13587" width="9.75" style="6" customWidth="1"/>
    <col min="13588" max="13836" width="9" style="6"/>
    <col min="13837" max="13837" width="12" style="6" customWidth="1"/>
    <col min="13838" max="13838" width="7.125" style="6" customWidth="1"/>
    <col min="13839" max="13839" width="9" style="6"/>
    <col min="13840" max="13840" width="16" style="6" customWidth="1"/>
    <col min="13841" max="13841" width="13.75" style="6" customWidth="1"/>
    <col min="13842" max="13843" width="9.75" style="6" customWidth="1"/>
    <col min="13844" max="14092" width="9" style="6"/>
    <col min="14093" max="14093" width="12" style="6" customWidth="1"/>
    <col min="14094" max="14094" width="7.125" style="6" customWidth="1"/>
    <col min="14095" max="14095" width="9" style="6"/>
    <col min="14096" max="14096" width="16" style="6" customWidth="1"/>
    <col min="14097" max="14097" width="13.75" style="6" customWidth="1"/>
    <col min="14098" max="14099" width="9.75" style="6" customWidth="1"/>
    <col min="14100" max="14348" width="9" style="6"/>
    <col min="14349" max="14349" width="12" style="6" customWidth="1"/>
    <col min="14350" max="14350" width="7.125" style="6" customWidth="1"/>
    <col min="14351" max="14351" width="9" style="6"/>
    <col min="14352" max="14352" width="16" style="6" customWidth="1"/>
    <col min="14353" max="14353" width="13.75" style="6" customWidth="1"/>
    <col min="14354" max="14355" width="9.75" style="6" customWidth="1"/>
    <col min="14356" max="14604" width="9" style="6"/>
    <col min="14605" max="14605" width="12" style="6" customWidth="1"/>
    <col min="14606" max="14606" width="7.125" style="6" customWidth="1"/>
    <col min="14607" max="14607" width="9" style="6"/>
    <col min="14608" max="14608" width="16" style="6" customWidth="1"/>
    <col min="14609" max="14609" width="13.75" style="6" customWidth="1"/>
    <col min="14610" max="14611" width="9.75" style="6" customWidth="1"/>
    <col min="14612" max="14860" width="9" style="6"/>
    <col min="14861" max="14861" width="12" style="6" customWidth="1"/>
    <col min="14862" max="14862" width="7.125" style="6" customWidth="1"/>
    <col min="14863" max="14863" width="9" style="6"/>
    <col min="14864" max="14864" width="16" style="6" customWidth="1"/>
    <col min="14865" max="14865" width="13.75" style="6" customWidth="1"/>
    <col min="14866" max="14867" width="9.75" style="6" customWidth="1"/>
    <col min="14868" max="15116" width="9" style="6"/>
    <col min="15117" max="15117" width="12" style="6" customWidth="1"/>
    <col min="15118" max="15118" width="7.125" style="6" customWidth="1"/>
    <col min="15119" max="15119" width="9" style="6"/>
    <col min="15120" max="15120" width="16" style="6" customWidth="1"/>
    <col min="15121" max="15121" width="13.75" style="6" customWidth="1"/>
    <col min="15122" max="15123" width="9.75" style="6" customWidth="1"/>
    <col min="15124" max="15372" width="9" style="6"/>
    <col min="15373" max="15373" width="12" style="6" customWidth="1"/>
    <col min="15374" max="15374" width="7.125" style="6" customWidth="1"/>
    <col min="15375" max="15375" width="9" style="6"/>
    <col min="15376" max="15376" width="16" style="6" customWidth="1"/>
    <col min="15377" max="15377" width="13.75" style="6" customWidth="1"/>
    <col min="15378" max="15379" width="9.75" style="6" customWidth="1"/>
    <col min="15380" max="15628" width="9" style="6"/>
    <col min="15629" max="15629" width="12" style="6" customWidth="1"/>
    <col min="15630" max="15630" width="7.125" style="6" customWidth="1"/>
    <col min="15631" max="15631" width="9" style="6"/>
    <col min="15632" max="15632" width="16" style="6" customWidth="1"/>
    <col min="15633" max="15633" width="13.75" style="6" customWidth="1"/>
    <col min="15634" max="15635" width="9.75" style="6" customWidth="1"/>
    <col min="15636" max="15884" width="9" style="6"/>
    <col min="15885" max="15885" width="12" style="6" customWidth="1"/>
    <col min="15886" max="15886" width="7.125" style="6" customWidth="1"/>
    <col min="15887" max="15887" width="9" style="6"/>
    <col min="15888" max="15888" width="16" style="6" customWidth="1"/>
    <col min="15889" max="15889" width="13.75" style="6" customWidth="1"/>
    <col min="15890" max="15891" width="9.75" style="6" customWidth="1"/>
    <col min="15892" max="16140" width="9" style="6"/>
    <col min="16141" max="16141" width="12" style="6" customWidth="1"/>
    <col min="16142" max="16142" width="7.125" style="6" customWidth="1"/>
    <col min="16143" max="16143" width="9" style="6"/>
    <col min="16144" max="16144" width="16" style="6" customWidth="1"/>
    <col min="16145" max="16145" width="13.75" style="6" customWidth="1"/>
    <col min="16146" max="16147" width="9.75" style="6" customWidth="1"/>
    <col min="16148" max="16384" width="9" style="6"/>
  </cols>
  <sheetData>
    <row r="1" spans="1:22" s="2" customFormat="1" ht="23.25" customHeight="1" thickBot="1">
      <c r="A1" s="1" t="e">
        <f>IF(SUM(2:2)=0,"OK","NOK")</f>
        <v>#DIV/0!</v>
      </c>
      <c r="F1" s="43" t="s">
        <v>414</v>
      </c>
      <c r="G1" s="1085" t="s">
        <v>416</v>
      </c>
      <c r="H1" s="1086"/>
      <c r="I1" s="1085" t="s">
        <v>28</v>
      </c>
      <c r="J1" s="1086"/>
      <c r="K1" s="1085" t="s">
        <v>30</v>
      </c>
      <c r="L1" s="1086"/>
      <c r="M1" s="1085" t="s">
        <v>417</v>
      </c>
      <c r="N1" s="1086"/>
      <c r="O1" s="1085" t="s">
        <v>418</v>
      </c>
      <c r="P1" s="1086"/>
      <c r="Q1" s="1085" t="s">
        <v>419</v>
      </c>
      <c r="R1" s="1086"/>
      <c r="S1" s="1085"/>
      <c r="T1" s="1086"/>
      <c r="U1" s="44"/>
      <c r="V1" s="48" t="s">
        <v>10</v>
      </c>
    </row>
    <row r="2" spans="1:22" ht="13.5" thickBot="1">
      <c r="A2" s="3"/>
      <c r="B2" s="3"/>
      <c r="C2" s="3"/>
      <c r="D2" s="3"/>
      <c r="E2" s="3"/>
      <c r="F2" s="2"/>
      <c r="G2" s="4" t="s">
        <v>0</v>
      </c>
      <c r="H2" s="5">
        <f>SUMX2MY2(G5:G4965,H5:H4965)</f>
        <v>0</v>
      </c>
      <c r="I2" s="4" t="s">
        <v>0</v>
      </c>
      <c r="J2" s="5" t="e">
        <f>SUMX2MY2(I5:I4965,J5:J4965)</f>
        <v>#DIV/0!</v>
      </c>
      <c r="K2" s="4" t="s">
        <v>0</v>
      </c>
      <c r="L2" s="5" t="e">
        <f>SUMX2MY2(K5:K4965,L5:L4965)</f>
        <v>#DIV/0!</v>
      </c>
      <c r="M2" s="4" t="s">
        <v>0</v>
      </c>
      <c r="N2" s="5">
        <f>SUMX2MY2(M5:M4965,N5:N4965)</f>
        <v>2.0954757928848267E-8</v>
      </c>
      <c r="O2" s="4" t="s">
        <v>0</v>
      </c>
      <c r="P2" s="5">
        <f>SUMX2MY2(O5:O4965,P5:P4965)</f>
        <v>-4.8828125E-4</v>
      </c>
      <c r="Q2" s="4" t="s">
        <v>0</v>
      </c>
      <c r="R2" s="5">
        <f>SUMX2MY2(Q5:Q4965,R5:R4965)</f>
        <v>-2.44140625E-4</v>
      </c>
      <c r="S2" s="4" t="s">
        <v>0</v>
      </c>
      <c r="T2" s="5" t="e">
        <f>SUMX2MY2(S5:S4965,T5:T4965)</f>
        <v>#DIV/0!</v>
      </c>
    </row>
    <row r="3" spans="1:22" ht="27.75" customHeight="1">
      <c r="A3" s="35" t="s">
        <v>1</v>
      </c>
      <c r="B3" s="36" t="s">
        <v>2</v>
      </c>
      <c r="C3" s="36" t="s">
        <v>3</v>
      </c>
      <c r="D3" s="36" t="s">
        <v>4</v>
      </c>
      <c r="E3" s="1087" t="s">
        <v>7</v>
      </c>
      <c r="F3" s="1088"/>
      <c r="G3" s="7" t="s">
        <v>5</v>
      </c>
      <c r="H3" s="8" t="s">
        <v>6</v>
      </c>
      <c r="I3" s="7" t="s">
        <v>5</v>
      </c>
      <c r="J3" s="8" t="s">
        <v>6</v>
      </c>
      <c r="K3" s="7" t="s">
        <v>5</v>
      </c>
      <c r="L3" s="8" t="s">
        <v>6</v>
      </c>
      <c r="M3" s="7" t="s">
        <v>5</v>
      </c>
      <c r="N3" s="8" t="s">
        <v>6</v>
      </c>
      <c r="O3" s="7" t="s">
        <v>5</v>
      </c>
      <c r="P3" s="8" t="s">
        <v>6</v>
      </c>
      <c r="Q3" s="7" t="s">
        <v>5</v>
      </c>
      <c r="R3" s="8" t="s">
        <v>6</v>
      </c>
      <c r="S3" s="7" t="s">
        <v>5</v>
      </c>
      <c r="T3" s="8" t="s">
        <v>6</v>
      </c>
    </row>
    <row r="4" spans="1:22" ht="15.75" customHeight="1" thickBot="1">
      <c r="A4" s="34"/>
      <c r="B4" s="33"/>
      <c r="C4" s="33"/>
      <c r="D4" s="33"/>
      <c r="E4" s="41" t="s">
        <v>9</v>
      </c>
      <c r="F4" s="42" t="s">
        <v>8</v>
      </c>
      <c r="G4" s="38">
        <v>0</v>
      </c>
      <c r="H4" s="39">
        <v>0</v>
      </c>
      <c r="I4" s="38">
        <v>0</v>
      </c>
      <c r="J4" s="39">
        <v>0</v>
      </c>
      <c r="K4" s="38">
        <v>0</v>
      </c>
      <c r="L4" s="39">
        <v>0</v>
      </c>
      <c r="M4" s="38">
        <v>0</v>
      </c>
      <c r="N4" s="39">
        <v>0</v>
      </c>
      <c r="O4" s="38">
        <v>0</v>
      </c>
      <c r="P4" s="39">
        <v>0</v>
      </c>
      <c r="Q4" s="38">
        <v>0</v>
      </c>
      <c r="R4" s="39">
        <v>0</v>
      </c>
      <c r="S4" s="38">
        <v>0</v>
      </c>
      <c r="T4" s="39">
        <v>0</v>
      </c>
    </row>
    <row r="5" spans="1:22" s="184" customFormat="1">
      <c r="A5" s="737" t="str">
        <f>VLOOKUP($F5,PSV_from_BP!$F:$L,2,0)</f>
        <v>REL.VALVE TZ2202 OVHD SPLITTER</v>
      </c>
      <c r="B5" s="196"/>
      <c r="C5" s="197"/>
      <c r="D5" s="198"/>
      <c r="E5" s="609"/>
      <c r="F5" s="465" t="s">
        <v>8088</v>
      </c>
      <c r="G5" s="194">
        <v>1</v>
      </c>
      <c r="H5" s="193">
        <v>1</v>
      </c>
      <c r="I5" s="194" t="b">
        <v>1</v>
      </c>
      <c r="J5" s="193">
        <v>1</v>
      </c>
      <c r="K5" s="194" t="b">
        <v>0</v>
      </c>
      <c r="L5" s="193">
        <v>0</v>
      </c>
      <c r="M5" s="194">
        <v>16774.16</v>
      </c>
      <c r="N5" s="193">
        <f>VLOOKUP(F5,PSV_from_BP!$F$3:$L$125,6,0)*645.16</f>
        <v>16774.16</v>
      </c>
      <c r="O5" s="194">
        <v>431325</v>
      </c>
      <c r="P5" s="193">
        <f>VLOOKUP(F5,PSV_from_BP!$F$3:$L$125,7,0)*100000+101325</f>
        <v>431325</v>
      </c>
      <c r="Q5" s="194">
        <v>401132.25</v>
      </c>
      <c r="R5" s="193">
        <f>P5*0.93</f>
        <v>401132.25</v>
      </c>
      <c r="S5" s="194"/>
      <c r="T5" s="193"/>
    </row>
    <row r="6" spans="1:22">
      <c r="A6" s="737" t="str">
        <f>VLOOKUP($F6,PSV_from_BP!$F:$L,2,0)</f>
        <v>REL.VALVE TZ2202 OVHD SPLITTER</v>
      </c>
      <c r="B6" s="15"/>
      <c r="C6" s="16"/>
      <c r="D6" s="17"/>
      <c r="E6" s="609"/>
      <c r="F6" s="465" t="s">
        <v>6028</v>
      </c>
      <c r="G6" s="194">
        <v>1</v>
      </c>
      <c r="H6" s="193">
        <v>1</v>
      </c>
      <c r="I6" s="194" t="b">
        <v>1</v>
      </c>
      <c r="J6" s="193">
        <v>1</v>
      </c>
      <c r="K6" s="194" t="b">
        <v>0</v>
      </c>
      <c r="L6" s="193">
        <v>0</v>
      </c>
      <c r="M6" s="194">
        <v>16774.16</v>
      </c>
      <c r="N6" s="193">
        <f>VLOOKUP(F6,PSV_from_BP!$F$3:$L$125,6,0)*645.16</f>
        <v>16774.16</v>
      </c>
      <c r="O6" s="194">
        <v>431325</v>
      </c>
      <c r="P6" s="193">
        <f>VLOOKUP(F6,PSV_from_BP!$F$3:$L$125,7,0)*100000+101325</f>
        <v>431325</v>
      </c>
      <c r="Q6" s="194">
        <v>401132.25</v>
      </c>
      <c r="R6" s="193">
        <f t="shared" ref="R6:R15" si="0">P6*0.93</f>
        <v>401132.25</v>
      </c>
      <c r="S6" s="19"/>
      <c r="T6" s="13"/>
    </row>
    <row r="7" spans="1:22">
      <c r="A7" s="737" t="str">
        <f>VLOOKUP($F7,PSV_from_BP!$F:$L,2,0)</f>
        <v>REL.VALVE TZ2202 OVHD SPLITTER</v>
      </c>
      <c r="B7" s="15"/>
      <c r="C7" s="16"/>
      <c r="D7" s="17"/>
      <c r="E7" s="609"/>
      <c r="F7" s="465" t="s">
        <v>6029</v>
      </c>
      <c r="G7" s="194">
        <v>1</v>
      </c>
      <c r="H7" s="193">
        <v>1</v>
      </c>
      <c r="I7" s="194" t="b">
        <v>1</v>
      </c>
      <c r="J7" s="193">
        <v>1</v>
      </c>
      <c r="K7" s="194" t="b">
        <v>0</v>
      </c>
      <c r="L7" s="193">
        <v>0</v>
      </c>
      <c r="M7" s="194">
        <v>16774.16</v>
      </c>
      <c r="N7" s="193">
        <f>VLOOKUP(F7,PSV_from_BP!$F$3:$L$125,6,0)*645.16</f>
        <v>16774.16</v>
      </c>
      <c r="O7" s="194">
        <v>431325</v>
      </c>
      <c r="P7" s="193">
        <f>VLOOKUP(F7,PSV_from_BP!$F$3:$L$125,7,0)*100000+101325</f>
        <v>431325</v>
      </c>
      <c r="Q7" s="194">
        <v>401132.25</v>
      </c>
      <c r="R7" s="193">
        <f t="shared" si="0"/>
        <v>401132.25</v>
      </c>
      <c r="S7" s="19"/>
      <c r="T7" s="13"/>
    </row>
    <row r="8" spans="1:22">
      <c r="A8" s="737" t="str">
        <f>VLOOKUP($F8,PSV_from_BP!$F:$L,2,0)</f>
        <v>REL.VALVE TZ2202 OVHD SPLITTER</v>
      </c>
      <c r="B8" s="15"/>
      <c r="C8" s="16"/>
      <c r="D8" s="17"/>
      <c r="E8" s="609"/>
      <c r="F8" s="465" t="s">
        <v>6030</v>
      </c>
      <c r="G8" s="194">
        <v>1</v>
      </c>
      <c r="H8" s="193">
        <v>1</v>
      </c>
      <c r="I8" s="194" t="b">
        <v>1</v>
      </c>
      <c r="J8" s="193">
        <v>1</v>
      </c>
      <c r="K8" s="194" t="b">
        <v>0</v>
      </c>
      <c r="L8" s="193">
        <v>0</v>
      </c>
      <c r="M8" s="194">
        <v>16774.16</v>
      </c>
      <c r="N8" s="193">
        <f>VLOOKUP(F8,PSV_from_BP!$F$3:$L$125,6,0)*645.16</f>
        <v>16774.16</v>
      </c>
      <c r="O8" s="194">
        <v>431325</v>
      </c>
      <c r="P8" s="193">
        <f>VLOOKUP(F8,PSV_from_BP!$F$3:$L$125,7,0)*100000+101325</f>
        <v>431325</v>
      </c>
      <c r="Q8" s="194">
        <v>401132.25</v>
      </c>
      <c r="R8" s="193">
        <f t="shared" si="0"/>
        <v>401132.25</v>
      </c>
      <c r="S8" s="19"/>
      <c r="T8" s="13"/>
    </row>
    <row r="9" spans="1:22">
      <c r="A9" s="737" t="str">
        <f>VLOOKUP($F9,PSV_from_BP!$F:$L,2,0)</f>
        <v>REL.VALVE TZ2202 OVHD SPLITTER</v>
      </c>
      <c r="B9" s="15"/>
      <c r="C9" s="16"/>
      <c r="D9" s="17"/>
      <c r="E9" s="609"/>
      <c r="F9" s="465" t="s">
        <v>6031</v>
      </c>
      <c r="G9" s="194">
        <v>1</v>
      </c>
      <c r="H9" s="193">
        <v>1</v>
      </c>
      <c r="I9" s="194" t="b">
        <v>1</v>
      </c>
      <c r="J9" s="193">
        <v>1</v>
      </c>
      <c r="K9" s="194" t="b">
        <v>0</v>
      </c>
      <c r="L9" s="193">
        <v>0</v>
      </c>
      <c r="M9" s="194">
        <v>16774.16</v>
      </c>
      <c r="N9" s="193">
        <f>VLOOKUP(F9,PSV_from_BP!$F$3:$L$125,6,0)*645.16</f>
        <v>16774.16</v>
      </c>
      <c r="O9" s="194">
        <v>431325</v>
      </c>
      <c r="P9" s="193">
        <f>VLOOKUP(F9,PSV_from_BP!$F$3:$L$125,7,0)*100000+101325</f>
        <v>431325</v>
      </c>
      <c r="Q9" s="194">
        <v>401132.25</v>
      </c>
      <c r="R9" s="193">
        <f t="shared" si="0"/>
        <v>401132.25</v>
      </c>
      <c r="S9" s="19"/>
      <c r="T9" s="13"/>
    </row>
    <row r="10" spans="1:22">
      <c r="A10" s="737" t="str">
        <f>VLOOKUP($F10,PSV_from_BP!$F:$L,2,0)</f>
        <v>REL.VALVE TZ2202 OVHD SPLITTER</v>
      </c>
      <c r="B10" s="15"/>
      <c r="C10" s="16"/>
      <c r="D10" s="17"/>
      <c r="E10" s="609"/>
      <c r="F10" s="465" t="s">
        <v>6032</v>
      </c>
      <c r="G10" s="194">
        <v>1</v>
      </c>
      <c r="H10" s="193">
        <v>1</v>
      </c>
      <c r="I10" s="194" t="b">
        <v>1</v>
      </c>
      <c r="J10" s="193">
        <v>1</v>
      </c>
      <c r="K10" s="194" t="b">
        <v>0</v>
      </c>
      <c r="L10" s="193">
        <v>0</v>
      </c>
      <c r="M10" s="194">
        <v>16774.16</v>
      </c>
      <c r="N10" s="193">
        <f>VLOOKUP(F10,PSV_from_BP!$F$3:$L$125,6,0)*645.16</f>
        <v>16774.16</v>
      </c>
      <c r="O10" s="194">
        <v>431325</v>
      </c>
      <c r="P10" s="193">
        <f>VLOOKUP(F10,PSV_from_BP!$F$3:$L$125,7,0)*100000+101325</f>
        <v>431325</v>
      </c>
      <c r="Q10" s="194">
        <v>401132.25</v>
      </c>
      <c r="R10" s="193">
        <f t="shared" si="0"/>
        <v>401132.25</v>
      </c>
      <c r="S10" s="19"/>
      <c r="T10" s="13"/>
    </row>
    <row r="11" spans="1:22">
      <c r="A11" s="737" t="str">
        <f>VLOOKUP($F11,PSV_from_BP!$F:$L,2,0)</f>
        <v>REL.VALVE TZ2202 OVHD SPLITTER</v>
      </c>
      <c r="B11" s="15"/>
      <c r="C11" s="16"/>
      <c r="D11" s="17"/>
      <c r="E11" s="609"/>
      <c r="F11" s="465" t="s">
        <v>6033</v>
      </c>
      <c r="G11" s="194">
        <v>1</v>
      </c>
      <c r="H11" s="193">
        <v>1</v>
      </c>
      <c r="I11" s="194" t="b">
        <v>1</v>
      </c>
      <c r="J11" s="193">
        <v>1</v>
      </c>
      <c r="K11" s="194" t="b">
        <v>0</v>
      </c>
      <c r="L11" s="193">
        <v>0</v>
      </c>
      <c r="M11" s="194">
        <v>16774.16</v>
      </c>
      <c r="N11" s="193">
        <f>VLOOKUP(F11,PSV_from_BP!$F$3:$L$125,6,0)*645.16</f>
        <v>16774.16</v>
      </c>
      <c r="O11" s="194">
        <v>431325</v>
      </c>
      <c r="P11" s="193">
        <f>VLOOKUP(F11,PSV_from_BP!$F$3:$L$125,7,0)*100000+101325</f>
        <v>431325</v>
      </c>
      <c r="Q11" s="194">
        <v>401132.25</v>
      </c>
      <c r="R11" s="193">
        <f t="shared" si="0"/>
        <v>401132.25</v>
      </c>
      <c r="S11" s="19"/>
      <c r="T11" s="13"/>
    </row>
    <row r="12" spans="1:22">
      <c r="A12" s="737" t="str">
        <f>VLOOKUP($F12,PSV_from_BP!$F:$L,2,0)</f>
        <v>REL.VALVE TZ2202 OVHD SPLITTER</v>
      </c>
      <c r="B12" s="15"/>
      <c r="C12" s="16"/>
      <c r="D12" s="17"/>
      <c r="E12" s="609"/>
      <c r="F12" s="465" t="s">
        <v>6034</v>
      </c>
      <c r="G12" s="194">
        <v>1</v>
      </c>
      <c r="H12" s="193">
        <v>1</v>
      </c>
      <c r="I12" s="194" t="b">
        <v>1</v>
      </c>
      <c r="J12" s="193">
        <v>1</v>
      </c>
      <c r="K12" s="194" t="b">
        <v>0</v>
      </c>
      <c r="L12" s="193">
        <v>0</v>
      </c>
      <c r="M12" s="194">
        <v>16774.16</v>
      </c>
      <c r="N12" s="193">
        <f>VLOOKUP(F12,PSV_from_BP!$F$3:$L$125,6,0)*645.16</f>
        <v>16774.16</v>
      </c>
      <c r="O12" s="194">
        <v>431325</v>
      </c>
      <c r="P12" s="193">
        <f>VLOOKUP(F12,PSV_from_BP!$F$3:$L$125,7,0)*100000+101325</f>
        <v>431325</v>
      </c>
      <c r="Q12" s="194">
        <v>401132.25</v>
      </c>
      <c r="R12" s="193">
        <f t="shared" si="0"/>
        <v>401132.25</v>
      </c>
      <c r="S12" s="19"/>
      <c r="T12" s="13"/>
    </row>
    <row r="13" spans="1:22">
      <c r="A13" s="737" t="str">
        <f>VLOOKUP($F13,PSV_from_BP!$F:$L,2,0)</f>
        <v>REL.VALVE TZ2202 OVHD SPLITTER</v>
      </c>
      <c r="B13" s="15"/>
      <c r="C13" s="16"/>
      <c r="D13" s="17"/>
      <c r="E13" s="609"/>
      <c r="F13" s="465" t="s">
        <v>6035</v>
      </c>
      <c r="G13" s="194">
        <v>1</v>
      </c>
      <c r="H13" s="193">
        <v>1</v>
      </c>
      <c r="I13" s="194" t="b">
        <v>1</v>
      </c>
      <c r="J13" s="193">
        <v>1</v>
      </c>
      <c r="K13" s="194" t="b">
        <v>0</v>
      </c>
      <c r="L13" s="193">
        <v>0</v>
      </c>
      <c r="M13" s="194">
        <v>16774.16</v>
      </c>
      <c r="N13" s="193">
        <f>VLOOKUP(F13,PSV_from_BP!$F$3:$L$125,6,0)*645.16</f>
        <v>16774.16</v>
      </c>
      <c r="O13" s="194">
        <v>431325</v>
      </c>
      <c r="P13" s="193">
        <f>VLOOKUP(F13,PSV_from_BP!$F$3:$L$125,7,0)*100000+101325</f>
        <v>431325</v>
      </c>
      <c r="Q13" s="194">
        <v>401132.25</v>
      </c>
      <c r="R13" s="193">
        <f t="shared" si="0"/>
        <v>401132.25</v>
      </c>
      <c r="S13" s="19"/>
      <c r="T13" s="13"/>
    </row>
    <row r="14" spans="1:22">
      <c r="A14" s="737" t="str">
        <f>VLOOKUP($F14,PSV_from_BP!$F:$L,2,0)</f>
        <v>REL.VALVE TZ2202 SPLITTER</v>
      </c>
      <c r="B14" s="15"/>
      <c r="C14" s="16"/>
      <c r="D14" s="17"/>
      <c r="E14" s="609"/>
      <c r="F14" s="465" t="s">
        <v>6036</v>
      </c>
      <c r="G14" s="194">
        <v>1</v>
      </c>
      <c r="H14" s="193">
        <v>1</v>
      </c>
      <c r="I14" s="194" t="b">
        <v>1</v>
      </c>
      <c r="J14" s="193">
        <v>1</v>
      </c>
      <c r="K14" s="194" t="b">
        <v>0</v>
      </c>
      <c r="L14" s="193">
        <v>0</v>
      </c>
      <c r="M14" s="194">
        <v>16774.16</v>
      </c>
      <c r="N14" s="193">
        <f>VLOOKUP(F14,PSV_from_BP!$F$3:$L$125,6,0)*645.16</f>
        <v>16774.16</v>
      </c>
      <c r="O14" s="194">
        <v>431325</v>
      </c>
      <c r="P14" s="193">
        <f>VLOOKUP(F14,PSV_from_BP!$F$3:$L$125,7,0)*100000+101325</f>
        <v>431325</v>
      </c>
      <c r="Q14" s="194">
        <v>401132.25</v>
      </c>
      <c r="R14" s="193">
        <f t="shared" si="0"/>
        <v>401132.25</v>
      </c>
      <c r="S14" s="19"/>
      <c r="T14" s="13"/>
    </row>
    <row r="15" spans="1:22">
      <c r="A15" s="737" t="str">
        <f>VLOOKUP($C15,PSV_from_BP!$F:$L,2,0)</f>
        <v>REL.VALVE TZ2202 OVHD SPLITTER</v>
      </c>
      <c r="B15" s="15"/>
      <c r="C15" s="599" t="s">
        <v>9008</v>
      </c>
      <c r="D15" s="17"/>
      <c r="E15" s="609"/>
      <c r="F15" s="465" t="s">
        <v>6037</v>
      </c>
      <c r="G15" s="194">
        <v>1</v>
      </c>
      <c r="H15" s="193">
        <v>1</v>
      </c>
      <c r="I15" s="194" t="b">
        <v>1</v>
      </c>
      <c r="J15" s="193">
        <v>1</v>
      </c>
      <c r="K15" s="194" t="b">
        <v>0</v>
      </c>
      <c r="L15" s="193">
        <v>0</v>
      </c>
      <c r="M15" s="194">
        <v>33548.32</v>
      </c>
      <c r="N15" s="460">
        <f>VLOOKUP(C15,PSV_from_BP!$F$3:$L$125,6,0)*645.16*2</f>
        <v>33548.32</v>
      </c>
      <c r="O15" s="194">
        <v>381325</v>
      </c>
      <c r="P15" s="460">
        <f>VLOOKUP(C15,PSV_from_BP!$F$3:$L$125,7,0)*100000+101325</f>
        <v>381325</v>
      </c>
      <c r="Q15" s="194">
        <v>354632.25</v>
      </c>
      <c r="R15" s="193">
        <f t="shared" si="0"/>
        <v>354632.25</v>
      </c>
      <c r="S15" s="19"/>
      <c r="T15" s="13"/>
    </row>
    <row r="16" spans="1:22" ht="14.25">
      <c r="A16" s="737" t="str">
        <f>VLOOKUP($F16,PSV_from_BP!$F:$L,2,0)</f>
        <v>REL.VALVE DZ3002 FUEL GAS</v>
      </c>
      <c r="B16" s="446"/>
      <c r="C16" s="447"/>
      <c r="D16" s="448"/>
      <c r="E16" s="448"/>
      <c r="F16" s="453" t="s">
        <v>6321</v>
      </c>
      <c r="G16" s="454">
        <v>1</v>
      </c>
      <c r="H16" s="449">
        <v>1</v>
      </c>
      <c r="I16" s="454" t="b">
        <v>1</v>
      </c>
      <c r="J16" s="449">
        <v>1</v>
      </c>
      <c r="K16" s="454" t="b">
        <v>0</v>
      </c>
      <c r="L16" s="449">
        <v>0</v>
      </c>
      <c r="M16" s="454">
        <v>7129.018</v>
      </c>
      <c r="N16" s="449">
        <f>VLOOKUP(F16,PSV_from_BP!$F$3:$L$125,6,0)*645.16</f>
        <v>7129.018</v>
      </c>
      <c r="O16" s="454">
        <v>531325</v>
      </c>
      <c r="P16" s="449">
        <f>VLOOKUP(F16,PSV_from_BP!$F$3:$L$125,7,0)*100000+101325</f>
        <v>531325</v>
      </c>
      <c r="Q16" s="454">
        <v>425060</v>
      </c>
      <c r="R16" s="449">
        <f>P16*0.8</f>
        <v>425060</v>
      </c>
      <c r="S16" s="454"/>
      <c r="T16" s="449"/>
      <c r="U16" s="444"/>
      <c r="V16" s="444"/>
    </row>
    <row r="17" spans="1:22" ht="14.25">
      <c r="A17" s="737" t="str">
        <f>VLOOKUP($F17,PSV_from_BP!$F:$L,2,0)</f>
        <v>REL.VALVE DZ3002 FUEL GAS</v>
      </c>
      <c r="B17" s="450"/>
      <c r="C17" s="451"/>
      <c r="D17" s="452"/>
      <c r="E17" s="448"/>
      <c r="F17" s="453" t="s">
        <v>465</v>
      </c>
      <c r="G17" s="454">
        <v>1</v>
      </c>
      <c r="H17" s="449">
        <v>1</v>
      </c>
      <c r="I17" s="454" t="b">
        <v>1</v>
      </c>
      <c r="J17" s="449">
        <v>1</v>
      </c>
      <c r="K17" s="454" t="b">
        <v>0</v>
      </c>
      <c r="L17" s="449">
        <v>0</v>
      </c>
      <c r="M17" s="454">
        <v>7129.018</v>
      </c>
      <c r="N17" s="449">
        <f>VLOOKUP(F17,PSV_from_BP!$F$3:$L$125,6,0)*645.16</f>
        <v>7129.018</v>
      </c>
      <c r="O17" s="454">
        <v>531325</v>
      </c>
      <c r="P17" s="449">
        <f>VLOOKUP(F17,PSV_from_BP!$F$3:$L$125,7,0)*100000+101325</f>
        <v>531325</v>
      </c>
      <c r="Q17" s="454">
        <v>425060</v>
      </c>
      <c r="R17" s="449">
        <f t="shared" ref="R17:R51" si="1">P17*0.8</f>
        <v>425060</v>
      </c>
      <c r="S17" s="454"/>
      <c r="T17" s="449"/>
      <c r="U17" s="444"/>
      <c r="V17" s="444"/>
    </row>
    <row r="18" spans="1:22" ht="14.25">
      <c r="A18" s="737" t="str">
        <f>VLOOKUP($F18,PSV_from_BP!$F:$L,2,0)</f>
        <v>REL.VALVE REACT.FEED CHARGE</v>
      </c>
      <c r="B18" s="450"/>
      <c r="C18" s="451"/>
      <c r="D18" s="452"/>
      <c r="E18" s="609"/>
      <c r="F18" s="453" t="s">
        <v>1272</v>
      </c>
      <c r="G18" s="614">
        <v>1</v>
      </c>
      <c r="H18" s="449">
        <v>1</v>
      </c>
      <c r="I18" s="614" t="b">
        <v>1</v>
      </c>
      <c r="J18" s="449">
        <v>1</v>
      </c>
      <c r="K18" s="614" t="b">
        <v>0</v>
      </c>
      <c r="L18" s="449">
        <v>0</v>
      </c>
      <c r="M18" s="614">
        <v>2799.9944</v>
      </c>
      <c r="N18" s="449">
        <f>VLOOKUP(F18,PSV_from_BP!$F$3:$L$125,6,0)*645.16</f>
        <v>2799.9943999999996</v>
      </c>
      <c r="O18" s="614">
        <v>4921325</v>
      </c>
      <c r="P18" s="449">
        <f>VLOOKUP(F18,PSV_from_BP!$F$3:$L$125,7,0)*100000+101325</f>
        <v>4921325</v>
      </c>
      <c r="Q18" s="614">
        <v>3937060</v>
      </c>
      <c r="R18" s="449">
        <f t="shared" si="1"/>
        <v>3937060</v>
      </c>
      <c r="S18" s="454"/>
      <c r="T18" s="449"/>
      <c r="U18" s="444"/>
      <c r="V18" s="444"/>
    </row>
    <row r="19" spans="1:22" ht="14.25">
      <c r="A19" s="737" t="str">
        <f>VLOOKUP($F19,PSV_from_BP!$F:$L,2,0)</f>
        <v>REL.VALVE REACT.FEED CHARGE</v>
      </c>
      <c r="B19" s="450"/>
      <c r="C19" s="451"/>
      <c r="D19" s="452"/>
      <c r="E19" s="609"/>
      <c r="F19" s="453" t="s">
        <v>1270</v>
      </c>
      <c r="G19" s="614">
        <v>1</v>
      </c>
      <c r="H19" s="449">
        <v>1</v>
      </c>
      <c r="I19" s="614" t="b">
        <v>1</v>
      </c>
      <c r="J19" s="449">
        <v>1</v>
      </c>
      <c r="K19" s="614" t="b">
        <v>0</v>
      </c>
      <c r="L19" s="449">
        <v>0</v>
      </c>
      <c r="M19" s="614">
        <v>2799.9944</v>
      </c>
      <c r="N19" s="449">
        <f>VLOOKUP(F19,PSV_from_BP!$F$3:$L$125,6,0)*645.16</f>
        <v>2799.9943999999996</v>
      </c>
      <c r="O19" s="614">
        <v>4921325</v>
      </c>
      <c r="P19" s="449">
        <f>VLOOKUP(F19,PSV_from_BP!$F$3:$L$125,7,0)*100000+101325</f>
        <v>4921325</v>
      </c>
      <c r="Q19" s="614">
        <v>3937060</v>
      </c>
      <c r="R19" s="449">
        <f t="shared" si="1"/>
        <v>3937060</v>
      </c>
      <c r="S19" s="454"/>
      <c r="T19" s="449"/>
      <c r="U19" s="444"/>
      <c r="V19" s="444"/>
    </row>
    <row r="20" spans="1:22" ht="14.25">
      <c r="A20" s="737" t="str">
        <f>VLOOKUP($F20,PSV_from_BP!$F:$L,2,0)</f>
        <v>REL.VALVE RECYCLE GAS COMPR.</v>
      </c>
      <c r="B20" s="450"/>
      <c r="C20" s="451"/>
      <c r="D20" s="452"/>
      <c r="E20" s="448"/>
      <c r="F20" s="453" t="s">
        <v>1261</v>
      </c>
      <c r="G20" s="454">
        <v>1</v>
      </c>
      <c r="H20" s="449">
        <v>1</v>
      </c>
      <c r="I20" s="454" t="b">
        <v>1</v>
      </c>
      <c r="J20" s="449">
        <v>1</v>
      </c>
      <c r="K20" s="454" t="b">
        <v>0</v>
      </c>
      <c r="L20" s="449">
        <v>0</v>
      </c>
      <c r="M20" s="454">
        <v>1185.8040800000001</v>
      </c>
      <c r="N20" s="449">
        <f>VLOOKUP(F20,PSV_from_BP!$F$3:$L$125,6,0)*645.16</f>
        <v>1185.8040799999999</v>
      </c>
      <c r="O20" s="454">
        <v>4901325</v>
      </c>
      <c r="P20" s="449">
        <f>VLOOKUP(F20,PSV_from_BP!$F$3:$L$125,7,0)*100000+101325</f>
        <v>4901325</v>
      </c>
      <c r="Q20" s="454">
        <v>3921060</v>
      </c>
      <c r="R20" s="449">
        <f t="shared" si="1"/>
        <v>3921060</v>
      </c>
      <c r="S20" s="454"/>
      <c r="T20" s="449"/>
      <c r="U20" s="444"/>
      <c r="V20" s="444"/>
    </row>
    <row r="21" spans="1:22" ht="14.25">
      <c r="A21" s="737" t="str">
        <f>VLOOKUP($F21,PSV_from_BP!$F:$L,2,0)</f>
        <v>REL.VALVE RECYCLE GAS COMPR.</v>
      </c>
      <c r="B21" s="450"/>
      <c r="C21" s="451"/>
      <c r="D21" s="452"/>
      <c r="E21" s="448"/>
      <c r="F21" s="453" t="s">
        <v>1259</v>
      </c>
      <c r="G21" s="454">
        <v>1</v>
      </c>
      <c r="H21" s="449">
        <v>1</v>
      </c>
      <c r="I21" s="454" t="b">
        <v>1</v>
      </c>
      <c r="J21" s="449">
        <v>1</v>
      </c>
      <c r="K21" s="454" t="b">
        <v>0</v>
      </c>
      <c r="L21" s="449">
        <v>0</v>
      </c>
      <c r="M21" s="454">
        <v>1185.8040800000001</v>
      </c>
      <c r="N21" s="449">
        <f>VLOOKUP(F21,PSV_from_BP!$F$3:$L$125,6,0)*645.16</f>
        <v>1185.8040799999999</v>
      </c>
      <c r="O21" s="454">
        <v>4901325</v>
      </c>
      <c r="P21" s="449">
        <f>VLOOKUP(F21,PSV_from_BP!$F$3:$L$125,7,0)*100000+101325</f>
        <v>4901325</v>
      </c>
      <c r="Q21" s="454">
        <v>3921060</v>
      </c>
      <c r="R21" s="449">
        <f t="shared" si="1"/>
        <v>3921060</v>
      </c>
      <c r="S21" s="454"/>
      <c r="T21" s="449"/>
      <c r="U21" s="444"/>
      <c r="V21" s="444"/>
    </row>
    <row r="22" spans="1:22" ht="14.25">
      <c r="A22" s="737" t="str">
        <f>VLOOKUP($F22,PSV_from_BP!$F:$L,2,0)</f>
        <v>REL.VALVE STABILIZER FEED LINE</v>
      </c>
      <c r="B22" s="450"/>
      <c r="C22" s="451"/>
      <c r="D22" s="452"/>
      <c r="E22" s="448"/>
      <c r="F22" s="453" t="s">
        <v>1273</v>
      </c>
      <c r="G22" s="454">
        <v>1</v>
      </c>
      <c r="H22" s="449">
        <v>1</v>
      </c>
      <c r="I22" s="454" t="b">
        <v>1</v>
      </c>
      <c r="J22" s="449">
        <v>1</v>
      </c>
      <c r="K22" s="454" t="b">
        <v>0</v>
      </c>
      <c r="L22" s="449">
        <v>0</v>
      </c>
      <c r="M22" s="454">
        <v>7129.018</v>
      </c>
      <c r="N22" s="449">
        <f>VLOOKUP(F22,PSV_from_BP!$F$3:$L$125,6,0)*645.16</f>
        <v>7129.018</v>
      </c>
      <c r="O22" s="454">
        <v>2311325</v>
      </c>
      <c r="P22" s="449">
        <f>VLOOKUP(F22,PSV_from_BP!$F$3:$L$125,7,0)*100000+101325</f>
        <v>2311325</v>
      </c>
      <c r="Q22" s="454">
        <v>1849060</v>
      </c>
      <c r="R22" s="449">
        <f t="shared" si="1"/>
        <v>1849060</v>
      </c>
      <c r="S22" s="454"/>
      <c r="T22" s="449"/>
      <c r="U22" s="444"/>
      <c r="V22" s="444"/>
    </row>
    <row r="23" spans="1:22" ht="14.25">
      <c r="A23" s="737" t="str">
        <f>VLOOKUP($F23,PSV_from_BP!$F:$L,2,0)</f>
        <v>REL.VALVE DZ2151 VAP/LIQ</v>
      </c>
      <c r="B23" s="450"/>
      <c r="C23" s="451"/>
      <c r="D23" s="452"/>
      <c r="E23" s="448"/>
      <c r="F23" s="465" t="s">
        <v>8085</v>
      </c>
      <c r="G23" s="454">
        <v>1</v>
      </c>
      <c r="H23" s="449">
        <v>1</v>
      </c>
      <c r="I23" s="454" t="b">
        <v>1</v>
      </c>
      <c r="J23" s="449">
        <v>1</v>
      </c>
      <c r="K23" s="454" t="b">
        <v>0</v>
      </c>
      <c r="L23" s="449">
        <v>0</v>
      </c>
      <c r="M23" s="454">
        <v>2799.9944</v>
      </c>
      <c r="N23" s="449">
        <f>VLOOKUP(F23,PSV_from_BP!$F$3:$L$125,6,0)*645.16</f>
        <v>2799.9943999999996</v>
      </c>
      <c r="O23" s="454">
        <v>3641325</v>
      </c>
      <c r="P23" s="449">
        <f>VLOOKUP(F23,PSV_from_BP!$F$3:$L$125,7,0)*100000+101325</f>
        <v>3641325</v>
      </c>
      <c r="Q23" s="454">
        <v>2913060</v>
      </c>
      <c r="R23" s="449">
        <f t="shared" si="1"/>
        <v>2913060</v>
      </c>
      <c r="S23" s="454"/>
      <c r="T23" s="449"/>
      <c r="U23" s="444"/>
      <c r="V23" s="444"/>
    </row>
    <row r="24" spans="1:22" ht="14.25">
      <c r="A24" s="737" t="str">
        <f>VLOOKUP($F24,PSV_from_BP!$F:$L,2,0)</f>
        <v>REL.VALVE DZ2151 VAP/LIQ.</v>
      </c>
      <c r="B24" s="450"/>
      <c r="C24" s="451"/>
      <c r="D24" s="452"/>
      <c r="E24" s="448"/>
      <c r="F24" s="453" t="s">
        <v>1265</v>
      </c>
      <c r="G24" s="454">
        <v>1</v>
      </c>
      <c r="H24" s="449">
        <v>1</v>
      </c>
      <c r="I24" s="454" t="b">
        <v>1</v>
      </c>
      <c r="J24" s="449">
        <v>1</v>
      </c>
      <c r="K24" s="454" t="b">
        <v>0</v>
      </c>
      <c r="L24" s="449">
        <v>0</v>
      </c>
      <c r="M24" s="454">
        <v>2799.9944</v>
      </c>
      <c r="N24" s="449">
        <f>VLOOKUP(F24,PSV_from_BP!$F$3:$L$125,6,0)*645.16</f>
        <v>2799.9943999999996</v>
      </c>
      <c r="O24" s="454">
        <v>3641325</v>
      </c>
      <c r="P24" s="449">
        <f>VLOOKUP(F24,PSV_from_BP!$F$3:$L$125,7,0)*100000+101325</f>
        <v>3641325</v>
      </c>
      <c r="Q24" s="454">
        <v>2913060</v>
      </c>
      <c r="R24" s="449">
        <f t="shared" si="1"/>
        <v>2913060</v>
      </c>
      <c r="S24" s="454"/>
      <c r="T24" s="449"/>
      <c r="U24" s="444"/>
      <c r="V24" s="444"/>
    </row>
    <row r="25" spans="1:22" ht="14.25">
      <c r="A25" s="737" t="str">
        <f>VLOOKUP($F25,PSV_from_BP!$F:$L,2,0)</f>
        <v>REL.VALVE DZ2151 VAP/LIQ</v>
      </c>
      <c r="B25" s="450"/>
      <c r="C25" s="451"/>
      <c r="D25" s="452"/>
      <c r="E25" s="448"/>
      <c r="F25" s="453" t="s">
        <v>1269</v>
      </c>
      <c r="G25" s="454">
        <v>1</v>
      </c>
      <c r="H25" s="449">
        <v>1</v>
      </c>
      <c r="I25" s="454" t="b">
        <v>1</v>
      </c>
      <c r="J25" s="449">
        <v>1</v>
      </c>
      <c r="K25" s="454" t="b">
        <v>1</v>
      </c>
      <c r="L25" s="449">
        <v>1</v>
      </c>
      <c r="M25" s="454">
        <v>2799.9944</v>
      </c>
      <c r="N25" s="449">
        <f>VLOOKUP(F25,PSV_from_BP!$F$3:$L$125,6,0)*645.16</f>
        <v>2799.9943999999996</v>
      </c>
      <c r="O25" s="454">
        <v>3641325</v>
      </c>
      <c r="P25" s="449">
        <f>VLOOKUP(F25,PSV_from_BP!$F$3:$L$125,7,0)*100000+101325</f>
        <v>3641325</v>
      </c>
      <c r="Q25" s="454">
        <v>2913060</v>
      </c>
      <c r="R25" s="449">
        <f t="shared" si="1"/>
        <v>2913060</v>
      </c>
      <c r="S25" s="454"/>
      <c r="T25" s="449"/>
      <c r="U25" s="444"/>
      <c r="V25" s="444"/>
    </row>
    <row r="26" spans="1:22" ht="14.25">
      <c r="A26" s="737" t="str">
        <f>VLOOKUP($F26,PSV_from_BP!$F:$L,2,0)</f>
        <v>REL.VALVE DZ2152 LP SEPARAT</v>
      </c>
      <c r="B26" s="450"/>
      <c r="C26" s="451"/>
      <c r="D26" s="452"/>
      <c r="E26" s="448"/>
      <c r="F26" s="453" t="s">
        <v>1264</v>
      </c>
      <c r="G26" s="454">
        <v>1</v>
      </c>
      <c r="H26" s="449">
        <v>1</v>
      </c>
      <c r="I26" s="454" t="b">
        <v>1</v>
      </c>
      <c r="J26" s="449">
        <v>1</v>
      </c>
      <c r="K26" s="454" t="b">
        <v>1</v>
      </c>
      <c r="L26" s="449">
        <v>1</v>
      </c>
      <c r="M26" s="454">
        <v>16774.16</v>
      </c>
      <c r="N26" s="449">
        <f>VLOOKUP(F26,PSV_from_BP!$F$3:$L$125,6,0)*645.16</f>
        <v>16774.16</v>
      </c>
      <c r="O26" s="454">
        <v>981325</v>
      </c>
      <c r="P26" s="449">
        <f>VLOOKUP(F26,PSV_from_BP!$F$3:$L$125,7,0)*100000+101325</f>
        <v>981325.00000000012</v>
      </c>
      <c r="Q26" s="454">
        <v>785060</v>
      </c>
      <c r="R26" s="449">
        <f t="shared" si="1"/>
        <v>785060.00000000012</v>
      </c>
      <c r="S26" s="454"/>
      <c r="T26" s="449"/>
      <c r="U26" s="444"/>
      <c r="V26" s="444"/>
    </row>
    <row r="27" spans="1:22" ht="14.25">
      <c r="A27" s="737" t="str">
        <f>VLOOKUP($F27,PSV_from_BP!$F:$L,2,0)</f>
        <v>REL.VALVE DZ2152 LP SEPARAT</v>
      </c>
      <c r="B27" s="450"/>
      <c r="C27" s="451"/>
      <c r="D27" s="452"/>
      <c r="E27" s="448"/>
      <c r="F27" s="453" t="s">
        <v>1262</v>
      </c>
      <c r="G27" s="454">
        <v>1</v>
      </c>
      <c r="H27" s="449">
        <v>1</v>
      </c>
      <c r="I27" s="454" t="b">
        <v>1</v>
      </c>
      <c r="J27" s="449">
        <v>1</v>
      </c>
      <c r="K27" s="454" t="b">
        <v>1</v>
      </c>
      <c r="L27" s="449">
        <v>1</v>
      </c>
      <c r="M27" s="454">
        <v>16774.16</v>
      </c>
      <c r="N27" s="449">
        <f>VLOOKUP(F27,PSV_from_BP!$F$3:$L$125,6,0)*645.16</f>
        <v>16774.16</v>
      </c>
      <c r="O27" s="454">
        <v>981325</v>
      </c>
      <c r="P27" s="449">
        <f>VLOOKUP(F27,PSV_from_BP!$F$3:$L$125,7,0)*100000+101325</f>
        <v>981325.00000000012</v>
      </c>
      <c r="Q27" s="454">
        <v>785060</v>
      </c>
      <c r="R27" s="449">
        <f t="shared" si="1"/>
        <v>785060.00000000012</v>
      </c>
      <c r="S27" s="454"/>
      <c r="T27" s="449"/>
      <c r="U27" s="444"/>
      <c r="V27" s="444"/>
    </row>
    <row r="28" spans="1:22">
      <c r="A28" s="737" t="str">
        <f>VLOOKUP($F28,PSV_from_BP!$F:$L,2,0)</f>
        <v>REL.VALVE DZ2101C DESALTER</v>
      </c>
      <c r="B28" s="450"/>
      <c r="C28" s="451"/>
      <c r="D28" s="452"/>
      <c r="E28" s="448"/>
      <c r="F28" s="453" t="s">
        <v>1282</v>
      </c>
      <c r="G28" s="454">
        <v>1</v>
      </c>
      <c r="H28" s="449">
        <v>1</v>
      </c>
      <c r="I28" s="454" t="b">
        <v>1</v>
      </c>
      <c r="J28" s="449">
        <v>1</v>
      </c>
      <c r="K28" s="454" t="b">
        <v>0</v>
      </c>
      <c r="L28" s="449">
        <v>0</v>
      </c>
      <c r="M28" s="454">
        <v>7129.018</v>
      </c>
      <c r="N28" s="449">
        <f>VLOOKUP(F28,PSV_from_BP!$F$3:$L$125,6,0)*645.16</f>
        <v>7129.018</v>
      </c>
      <c r="O28" s="454">
        <v>1091325</v>
      </c>
      <c r="P28" s="449">
        <f>VLOOKUP(F28,PSV_from_BP!$F$3:$L$125,7,0)*100000+101325</f>
        <v>1091325</v>
      </c>
      <c r="Q28" s="454">
        <v>873060</v>
      </c>
      <c r="R28" s="449">
        <f t="shared" si="1"/>
        <v>873060</v>
      </c>
      <c r="S28" s="454"/>
      <c r="T28" s="449"/>
      <c r="U28" s="436"/>
      <c r="V28" s="436"/>
    </row>
    <row r="29" spans="1:22">
      <c r="A29" s="737" t="str">
        <f>VLOOKUP($F29,PSV_from_BP!$F:$L,2,0)</f>
        <v>REL.VALVE DZ2101C DESALTER</v>
      </c>
      <c r="B29" s="450"/>
      <c r="C29" s="451"/>
      <c r="D29" s="452"/>
      <c r="E29" s="448"/>
      <c r="F29" s="465" t="s">
        <v>8105</v>
      </c>
      <c r="G29" s="454">
        <v>1</v>
      </c>
      <c r="H29" s="449">
        <v>1</v>
      </c>
      <c r="I29" s="454" t="b">
        <v>1</v>
      </c>
      <c r="J29" s="449">
        <v>1</v>
      </c>
      <c r="K29" s="454" t="b">
        <v>0</v>
      </c>
      <c r="L29" s="449">
        <v>0</v>
      </c>
      <c r="M29" s="454">
        <v>7129.018</v>
      </c>
      <c r="N29" s="449">
        <f>VLOOKUP(F29,PSV_from_BP!$F$3:$L$125,6,0)*645.16</f>
        <v>7129.018</v>
      </c>
      <c r="O29" s="454">
        <v>1091325</v>
      </c>
      <c r="P29" s="449">
        <f>VLOOKUP(F29,PSV_from_BP!$F$3:$L$125,7,0)*100000+101325</f>
        <v>1091325</v>
      </c>
      <c r="Q29" s="454">
        <v>873060</v>
      </c>
      <c r="R29" s="449">
        <f t="shared" si="1"/>
        <v>873060</v>
      </c>
      <c r="S29" s="454"/>
      <c r="T29" s="449"/>
      <c r="U29" s="436"/>
      <c r="V29" s="436"/>
    </row>
    <row r="30" spans="1:22">
      <c r="A30" s="737" t="str">
        <f>VLOOKUP($F30,PSV_from_BP!$F:$L,2,0)</f>
        <v>REL.VALVE TZ2201 STABILIZER</v>
      </c>
      <c r="B30" s="450"/>
      <c r="C30" s="451"/>
      <c r="D30" s="452"/>
      <c r="E30" s="448"/>
      <c r="F30" s="453" t="s">
        <v>1284</v>
      </c>
      <c r="G30" s="454">
        <v>1</v>
      </c>
      <c r="H30" s="449">
        <v>1</v>
      </c>
      <c r="I30" s="454" t="b">
        <v>1</v>
      </c>
      <c r="J30" s="449">
        <v>1</v>
      </c>
      <c r="K30" s="454" t="b">
        <v>0</v>
      </c>
      <c r="L30" s="449">
        <v>0</v>
      </c>
      <c r="M30" s="454">
        <v>10322.56</v>
      </c>
      <c r="N30" s="449">
        <f>VLOOKUP(F30,PSV_from_BP!$F$3:$L$125,6,0)*645.16</f>
        <v>10322.56</v>
      </c>
      <c r="O30" s="454">
        <v>1511325</v>
      </c>
      <c r="P30" s="449">
        <f>VLOOKUP(F30,PSV_from_BP!$F$3:$L$125,7,0)*100000+101325</f>
        <v>1511325</v>
      </c>
      <c r="Q30" s="454">
        <v>1209060</v>
      </c>
      <c r="R30" s="449">
        <f t="shared" si="1"/>
        <v>1209060</v>
      </c>
      <c r="S30" s="454"/>
      <c r="T30" s="449"/>
      <c r="U30" s="436"/>
      <c r="V30" s="436"/>
    </row>
    <row r="31" spans="1:22">
      <c r="A31" s="737" t="str">
        <f>VLOOKUP($F31,PSV_from_BP!$F:$L,2,0)</f>
        <v>REL.VALVE TZ2202 STABILIZER</v>
      </c>
      <c r="B31" s="450"/>
      <c r="C31" s="451"/>
      <c r="D31" s="452"/>
      <c r="E31" s="448"/>
      <c r="F31" s="453" t="s">
        <v>1286</v>
      </c>
      <c r="G31" s="454">
        <v>1</v>
      </c>
      <c r="H31" s="449">
        <v>1</v>
      </c>
      <c r="I31" s="454" t="b">
        <v>1</v>
      </c>
      <c r="J31" s="449">
        <v>1</v>
      </c>
      <c r="K31" s="454" t="b">
        <v>0</v>
      </c>
      <c r="L31" s="449">
        <v>0</v>
      </c>
      <c r="M31" s="454">
        <v>10322.56</v>
      </c>
      <c r="N31" s="449">
        <f>VLOOKUP(F31,PSV_from_BP!$F$3:$L$125,6,0)*645.16</f>
        <v>10322.56</v>
      </c>
      <c r="O31" s="454">
        <v>1511325</v>
      </c>
      <c r="P31" s="449">
        <f>VLOOKUP(F31,PSV_from_BP!$F$3:$L$125,7,0)*100000+101325</f>
        <v>1511325</v>
      </c>
      <c r="Q31" s="454">
        <v>1209060</v>
      </c>
      <c r="R31" s="449">
        <f t="shared" si="1"/>
        <v>1209060</v>
      </c>
      <c r="S31" s="454"/>
      <c r="T31" s="449"/>
      <c r="U31" s="436"/>
      <c r="V31" s="436"/>
    </row>
    <row r="32" spans="1:22" s="436" customFormat="1">
      <c r="A32" s="737" t="str">
        <f>VLOOKUP($F32,PSV_from_BP!$F:$L,2,0)</f>
        <v>REL.VALVE OVHD CRUDE COLUMN TZ</v>
      </c>
      <c r="B32" s="462"/>
      <c r="C32" s="463"/>
      <c r="D32" s="464"/>
      <c r="E32" s="609"/>
      <c r="F32" s="556" t="s">
        <v>1157</v>
      </c>
      <c r="G32" s="497">
        <v>1</v>
      </c>
      <c r="H32" s="468">
        <v>1</v>
      </c>
      <c r="I32" s="497" t="b">
        <v>1</v>
      </c>
      <c r="J32" s="468">
        <v>1</v>
      </c>
      <c r="K32" s="497" t="b">
        <v>0</v>
      </c>
      <c r="L32" s="468">
        <v>0</v>
      </c>
      <c r="M32" s="497">
        <v>16774.16</v>
      </c>
      <c r="N32" s="468">
        <f>VLOOKUP(F32,PSV_from_BP!$F$3:$L$125,6,0)*645.16</f>
        <v>16774.16</v>
      </c>
      <c r="O32" s="497">
        <v>391325</v>
      </c>
      <c r="P32" s="468">
        <f>VLOOKUP(F32,PSV_from_BP!$F$3:$L$125,7,0)*100000+101325</f>
        <v>391325</v>
      </c>
      <c r="Q32" s="497">
        <v>313060</v>
      </c>
      <c r="R32" s="468">
        <f t="shared" si="1"/>
        <v>313060</v>
      </c>
      <c r="S32" s="466"/>
      <c r="T32" s="468"/>
    </row>
    <row r="33" spans="1:20" s="436" customFormat="1">
      <c r="A33" s="737" t="str">
        <f>VLOOKUP($F33,PSV_from_BP!$F:$L,2,0)</f>
        <v>REL.VALVE OVHD CRUDE COLUMN TZ</v>
      </c>
      <c r="B33" s="462"/>
      <c r="C33" s="463"/>
      <c r="D33" s="464"/>
      <c r="E33" s="490"/>
      <c r="F33" s="467" t="s">
        <v>1160</v>
      </c>
      <c r="G33" s="497">
        <v>1</v>
      </c>
      <c r="H33" s="468">
        <v>1</v>
      </c>
      <c r="I33" s="497" t="b">
        <v>1</v>
      </c>
      <c r="J33" s="468">
        <v>1</v>
      </c>
      <c r="K33" s="497" t="b">
        <v>0</v>
      </c>
      <c r="L33" s="468">
        <v>0</v>
      </c>
      <c r="M33" s="497">
        <v>16774.16</v>
      </c>
      <c r="N33" s="468">
        <f>VLOOKUP(F33,PSV_from_BP!$F$3:$L$125,6,0)*645.16</f>
        <v>16774.16</v>
      </c>
      <c r="O33" s="497">
        <v>391325</v>
      </c>
      <c r="P33" s="468">
        <f>VLOOKUP(F33,PSV_from_BP!$F$3:$L$125,7,0)*100000+101325</f>
        <v>391325</v>
      </c>
      <c r="Q33" s="497">
        <v>313060</v>
      </c>
      <c r="R33" s="468">
        <f t="shared" si="1"/>
        <v>313060</v>
      </c>
      <c r="S33" s="466"/>
      <c r="T33" s="468"/>
    </row>
    <row r="34" spans="1:20" s="436" customFormat="1">
      <c r="A34" s="737" t="str">
        <f>VLOOKUP($F34,PSV_from_BP!$F:$L,2,0)</f>
        <v>REL.VALVE OVHD CRUDE COLUMN TZ</v>
      </c>
      <c r="B34" s="462"/>
      <c r="C34" s="463"/>
      <c r="D34" s="464"/>
      <c r="E34" s="490"/>
      <c r="F34" s="467" t="s">
        <v>1161</v>
      </c>
      <c r="G34" s="497">
        <v>1</v>
      </c>
      <c r="H34" s="468">
        <v>1</v>
      </c>
      <c r="I34" s="497" t="b">
        <v>1</v>
      </c>
      <c r="J34" s="468">
        <v>1</v>
      </c>
      <c r="K34" s="497" t="b">
        <v>0</v>
      </c>
      <c r="L34" s="468">
        <v>0</v>
      </c>
      <c r="M34" s="497">
        <v>16774.16</v>
      </c>
      <c r="N34" s="468">
        <f>VLOOKUP(F34,PSV_from_BP!$F$3:$L$125,6,0)*645.16</f>
        <v>16774.16</v>
      </c>
      <c r="O34" s="497">
        <v>431325</v>
      </c>
      <c r="P34" s="468">
        <f>VLOOKUP(F34,PSV_from_BP!$F$3:$L$125,7,0)*100000+101325</f>
        <v>431325</v>
      </c>
      <c r="Q34" s="497">
        <v>345060</v>
      </c>
      <c r="R34" s="468">
        <f t="shared" si="1"/>
        <v>345060</v>
      </c>
      <c r="S34" s="466"/>
      <c r="T34" s="468"/>
    </row>
    <row r="35" spans="1:20" s="436" customFormat="1">
      <c r="A35" s="737" t="str">
        <f>VLOOKUP($F35,PSV_from_BP!$F:$L,2,0)</f>
        <v>REL.VALVE TZ 2101 CRUDE TOWER</v>
      </c>
      <c r="B35" s="462"/>
      <c r="C35" s="463"/>
      <c r="D35" s="464"/>
      <c r="E35" s="490"/>
      <c r="F35" s="503" t="s">
        <v>8086</v>
      </c>
      <c r="G35" s="497">
        <v>1</v>
      </c>
      <c r="H35" s="468">
        <v>1</v>
      </c>
      <c r="I35" s="497" t="b">
        <v>1</v>
      </c>
      <c r="J35" s="468">
        <v>1</v>
      </c>
      <c r="K35" s="497" t="b">
        <v>0</v>
      </c>
      <c r="L35" s="468">
        <v>0</v>
      </c>
      <c r="M35" s="497">
        <v>16774.16</v>
      </c>
      <c r="N35" s="468">
        <f>VLOOKUP(F35,PSV_from_BP!$F$3:$L$125,6,0)*645.16</f>
        <v>16774.16</v>
      </c>
      <c r="O35" s="497">
        <v>431325</v>
      </c>
      <c r="P35" s="468">
        <f>VLOOKUP(F35,PSV_from_BP!$F$3:$L$125,7,0)*100000+101325</f>
        <v>431325</v>
      </c>
      <c r="Q35" s="497">
        <v>345060</v>
      </c>
      <c r="R35" s="468">
        <f t="shared" si="1"/>
        <v>345060</v>
      </c>
      <c r="S35" s="466"/>
      <c r="T35" s="468"/>
    </row>
    <row r="36" spans="1:20" s="436" customFormat="1">
      <c r="A36" s="737" t="str">
        <f>VLOOKUP($F36,PSV_from_BP!$F:$L,2,0)</f>
        <v>REL.VALVE TZ 2101 CRUDE TOWER</v>
      </c>
      <c r="B36" s="462"/>
      <c r="C36" s="463"/>
      <c r="D36" s="464"/>
      <c r="E36" s="490"/>
      <c r="F36" s="467" t="s">
        <v>1164</v>
      </c>
      <c r="G36" s="497">
        <v>1</v>
      </c>
      <c r="H36" s="468">
        <v>1</v>
      </c>
      <c r="I36" s="497" t="b">
        <v>1</v>
      </c>
      <c r="J36" s="468">
        <v>1</v>
      </c>
      <c r="K36" s="497" t="b">
        <v>0</v>
      </c>
      <c r="L36" s="468">
        <v>0</v>
      </c>
      <c r="M36" s="497">
        <v>16774.16</v>
      </c>
      <c r="N36" s="468">
        <f>VLOOKUP(F36,PSV_from_BP!$F$3:$L$125,6,0)*645.16</f>
        <v>16774.16</v>
      </c>
      <c r="O36" s="497">
        <v>431325</v>
      </c>
      <c r="P36" s="468">
        <f>VLOOKUP(F36,PSV_from_BP!$F$3:$L$125,7,0)*100000+101325</f>
        <v>431325</v>
      </c>
      <c r="Q36" s="497">
        <v>345060</v>
      </c>
      <c r="R36" s="468">
        <f t="shared" si="1"/>
        <v>345060</v>
      </c>
      <c r="S36" s="466"/>
      <c r="T36" s="468"/>
    </row>
    <row r="37" spans="1:20" s="436" customFormat="1">
      <c r="A37" s="737" t="str">
        <f>VLOOKUP($F37,PSV_from_BP!$F:$L,2,0)</f>
        <v>REL.VALVE TZ 2101 CRUDE TOWER</v>
      </c>
      <c r="B37" s="462"/>
      <c r="C37" s="463"/>
      <c r="D37" s="464"/>
      <c r="E37" s="490"/>
      <c r="F37" s="467" t="s">
        <v>1165</v>
      </c>
      <c r="G37" s="497">
        <v>1</v>
      </c>
      <c r="H37" s="468">
        <v>1</v>
      </c>
      <c r="I37" s="497" t="b">
        <v>1</v>
      </c>
      <c r="J37" s="468">
        <v>1</v>
      </c>
      <c r="K37" s="497" t="b">
        <v>0</v>
      </c>
      <c r="L37" s="468">
        <v>0</v>
      </c>
      <c r="M37" s="497">
        <v>16774.16</v>
      </c>
      <c r="N37" s="468">
        <f>VLOOKUP(F37,PSV_from_BP!$F$3:$L$125,6,0)*645.16</f>
        <v>16774.16</v>
      </c>
      <c r="O37" s="497">
        <v>431325</v>
      </c>
      <c r="P37" s="468">
        <f>VLOOKUP(F37,PSV_from_BP!$F$3:$L$125,7,0)*100000+101325</f>
        <v>431325</v>
      </c>
      <c r="Q37" s="497">
        <v>345060</v>
      </c>
      <c r="R37" s="468">
        <f t="shared" si="1"/>
        <v>345060</v>
      </c>
      <c r="S37" s="466"/>
      <c r="T37" s="468"/>
    </row>
    <row r="38" spans="1:20" s="436" customFormat="1">
      <c r="A38" s="737" t="str">
        <f>VLOOKUP($F38,PSV_from_BP!$F:$L,2,0)</f>
        <v>REL.VALVE TZ 2101 CRUDE TOWER</v>
      </c>
      <c r="B38" s="462"/>
      <c r="C38" s="463"/>
      <c r="D38" s="464"/>
      <c r="E38" s="490"/>
      <c r="F38" s="467" t="s">
        <v>1166</v>
      </c>
      <c r="G38" s="497">
        <v>1</v>
      </c>
      <c r="H38" s="468">
        <v>1</v>
      </c>
      <c r="I38" s="497" t="b">
        <v>1</v>
      </c>
      <c r="J38" s="468">
        <v>1</v>
      </c>
      <c r="K38" s="497" t="b">
        <v>0</v>
      </c>
      <c r="L38" s="468">
        <v>0</v>
      </c>
      <c r="M38" s="497">
        <v>16774.16</v>
      </c>
      <c r="N38" s="468">
        <f>VLOOKUP(F38,PSV_from_BP!$F$3:$L$125,6,0)*645.16</f>
        <v>16774.16</v>
      </c>
      <c r="O38" s="497">
        <v>431325</v>
      </c>
      <c r="P38" s="468">
        <f>VLOOKUP(F38,PSV_from_BP!$F$3:$L$125,7,0)*100000+101325</f>
        <v>431325</v>
      </c>
      <c r="Q38" s="497">
        <v>345060</v>
      </c>
      <c r="R38" s="468">
        <f t="shared" si="1"/>
        <v>345060</v>
      </c>
      <c r="S38" s="466"/>
      <c r="T38" s="468"/>
    </row>
    <row r="39" spans="1:20" s="436" customFormat="1">
      <c r="A39" s="737" t="str">
        <f>VLOOKUP($F39,PSV_from_BP!$F:$L,2,0)</f>
        <v>REL.VALVE TZ 2101 CRUDE TOWER</v>
      </c>
      <c r="B39" s="462"/>
      <c r="C39" s="463"/>
      <c r="D39" s="464"/>
      <c r="E39" s="490"/>
      <c r="F39" s="523" t="s">
        <v>8091</v>
      </c>
      <c r="G39" s="497">
        <v>1</v>
      </c>
      <c r="H39" s="468">
        <v>1</v>
      </c>
      <c r="I39" s="497" t="b">
        <v>1</v>
      </c>
      <c r="J39" s="468">
        <v>1</v>
      </c>
      <c r="K39" s="497" t="b">
        <v>0</v>
      </c>
      <c r="L39" s="468">
        <v>0</v>
      </c>
      <c r="M39" s="497">
        <v>16774.16</v>
      </c>
      <c r="N39" s="468">
        <f>VLOOKUP(F39,PSV_from_BP!$F$3:$L$125,6,0)*645.16</f>
        <v>16774.16</v>
      </c>
      <c r="O39" s="497">
        <v>431325</v>
      </c>
      <c r="P39" s="468">
        <f>VLOOKUP(F39,PSV_from_BP!$F$3:$L$125,7,0)*100000+101325</f>
        <v>431325</v>
      </c>
      <c r="Q39" s="497">
        <v>345060</v>
      </c>
      <c r="R39" s="468">
        <f t="shared" si="1"/>
        <v>345060</v>
      </c>
      <c r="S39" s="466"/>
      <c r="T39" s="468"/>
    </row>
    <row r="40" spans="1:20" s="436" customFormat="1">
      <c r="A40" s="737" t="str">
        <f>VLOOKUP($F40,PSV_from_BP!$F:$L,2,0)</f>
        <v>REL.VALVE OVHD CRUDE COLUMN TZ</v>
      </c>
      <c r="B40" s="462"/>
      <c r="C40" s="463"/>
      <c r="D40" s="464"/>
      <c r="E40" s="490"/>
      <c r="F40" s="467" t="s">
        <v>1168</v>
      </c>
      <c r="G40" s="497">
        <v>1</v>
      </c>
      <c r="H40" s="468">
        <v>1</v>
      </c>
      <c r="I40" s="497" t="b">
        <v>1</v>
      </c>
      <c r="J40" s="468">
        <v>1</v>
      </c>
      <c r="K40" s="497" t="b">
        <v>0</v>
      </c>
      <c r="L40" s="468">
        <v>0</v>
      </c>
      <c r="M40" s="497">
        <v>16774.16</v>
      </c>
      <c r="N40" s="468">
        <f>VLOOKUP(F40,PSV_from_BP!$F$3:$L$125,6,0)*645.16</f>
        <v>16774.16</v>
      </c>
      <c r="O40" s="497">
        <v>431325</v>
      </c>
      <c r="P40" s="468">
        <f>VLOOKUP(F40,PSV_from_BP!$F$3:$L$125,7,0)*100000+101325</f>
        <v>431325</v>
      </c>
      <c r="Q40" s="497">
        <v>345060</v>
      </c>
      <c r="R40" s="468">
        <f>P40*0.8</f>
        <v>345060</v>
      </c>
      <c r="S40" s="466"/>
      <c r="T40" s="468"/>
    </row>
    <row r="41" spans="1:20" s="436" customFormat="1">
      <c r="A41" s="737" t="str">
        <f>VLOOKUP($F41,PSV_from_BP!$F:$L,2,0)</f>
        <v>REL.VALVE OVHD CRUDE COLUMN TZ</v>
      </c>
      <c r="B41" s="462"/>
      <c r="C41" s="463"/>
      <c r="D41" s="464"/>
      <c r="E41" s="490"/>
      <c r="F41" s="467" t="s">
        <v>1169</v>
      </c>
      <c r="G41" s="497">
        <v>1</v>
      </c>
      <c r="H41" s="468">
        <v>1</v>
      </c>
      <c r="I41" s="497" t="b">
        <v>1</v>
      </c>
      <c r="J41" s="468">
        <v>1</v>
      </c>
      <c r="K41" s="497" t="b">
        <v>0</v>
      </c>
      <c r="L41" s="468">
        <v>0</v>
      </c>
      <c r="M41" s="497">
        <v>16774.16</v>
      </c>
      <c r="N41" s="468">
        <f>VLOOKUP(F41,PSV_from_BP!$F$3:$L$125,6,0)*645.16</f>
        <v>16774.16</v>
      </c>
      <c r="O41" s="497">
        <v>431325</v>
      </c>
      <c r="P41" s="468">
        <f>VLOOKUP(F41,PSV_from_BP!$F$3:$L$125,7,0)*100000+101325</f>
        <v>431325</v>
      </c>
      <c r="Q41" s="497">
        <v>345060</v>
      </c>
      <c r="R41" s="468">
        <f t="shared" si="1"/>
        <v>345060</v>
      </c>
      <c r="S41" s="466"/>
      <c r="T41" s="468"/>
    </row>
    <row r="42" spans="1:20" s="436" customFormat="1">
      <c r="A42" s="737" t="str">
        <f>VLOOKUP($F42,PSV_from_BP!$F:$L,2,0)</f>
        <v>REL.VALVE DZ2101A DESALTER</v>
      </c>
      <c r="B42" s="462"/>
      <c r="C42" s="463"/>
      <c r="D42" s="464"/>
      <c r="E42" s="490"/>
      <c r="F42" s="467" t="s">
        <v>1170</v>
      </c>
      <c r="G42" s="497">
        <v>1</v>
      </c>
      <c r="H42" s="468">
        <v>1</v>
      </c>
      <c r="I42" s="497" t="b">
        <v>1</v>
      </c>
      <c r="J42" s="468">
        <v>1</v>
      </c>
      <c r="K42" s="497" t="b">
        <v>0</v>
      </c>
      <c r="L42" s="468">
        <v>0</v>
      </c>
      <c r="M42" s="497">
        <v>10322.56</v>
      </c>
      <c r="N42" s="468">
        <f>VLOOKUP(F42,PSV_from_BP!$F$3:$L$125,6,0)*645.16</f>
        <v>10322.56</v>
      </c>
      <c r="O42" s="497">
        <v>1091325</v>
      </c>
      <c r="P42" s="468">
        <f>VLOOKUP(F42,PSV_from_BP!$F$3:$L$125,7,0)*100000+101325</f>
        <v>1091325</v>
      </c>
      <c r="Q42" s="497">
        <v>873060</v>
      </c>
      <c r="R42" s="468">
        <f t="shared" si="1"/>
        <v>873060</v>
      </c>
      <c r="S42" s="466"/>
      <c r="T42" s="468"/>
    </row>
    <row r="43" spans="1:20" s="436" customFormat="1">
      <c r="A43" s="737" t="str">
        <f>VLOOKUP($F43,PSV_from_BP!$F:$L,2,0)</f>
        <v>REL.VALVE DZ2101A DESALTER</v>
      </c>
      <c r="B43" s="462"/>
      <c r="C43" s="463"/>
      <c r="D43" s="464"/>
      <c r="E43" s="490"/>
      <c r="F43" s="467" t="s">
        <v>1173</v>
      </c>
      <c r="G43" s="497">
        <v>1</v>
      </c>
      <c r="H43" s="468">
        <v>1</v>
      </c>
      <c r="I43" s="497" t="b">
        <v>1</v>
      </c>
      <c r="J43" s="468">
        <v>1</v>
      </c>
      <c r="K43" s="497" t="b">
        <v>0</v>
      </c>
      <c r="L43" s="468">
        <v>0</v>
      </c>
      <c r="M43" s="497">
        <v>10322.56</v>
      </c>
      <c r="N43" s="468">
        <f>VLOOKUP(F43,PSV_from_BP!$F$3:$L$125,6,0)*645.16</f>
        <v>10322.56</v>
      </c>
      <c r="O43" s="497">
        <v>1091325</v>
      </c>
      <c r="P43" s="468">
        <f>VLOOKUP(F43,PSV_from_BP!$F$3:$L$125,7,0)*100000+101325</f>
        <v>1091325</v>
      </c>
      <c r="Q43" s="497">
        <v>873060</v>
      </c>
      <c r="R43" s="468">
        <f t="shared" si="1"/>
        <v>873060</v>
      </c>
      <c r="S43" s="466"/>
      <c r="T43" s="468"/>
    </row>
    <row r="44" spans="1:20" s="436" customFormat="1">
      <c r="A44" s="737" t="str">
        <f>VLOOKUP($F44,PSV_from_BP!$F:$L,2,0)</f>
        <v>REL.VALVE DZ2101A DESALTER</v>
      </c>
      <c r="B44" s="462"/>
      <c r="C44" s="463"/>
      <c r="D44" s="464"/>
      <c r="E44" s="490"/>
      <c r="F44" s="467" t="s">
        <v>1174</v>
      </c>
      <c r="G44" s="497">
        <v>1</v>
      </c>
      <c r="H44" s="468">
        <v>1</v>
      </c>
      <c r="I44" s="497" t="b">
        <v>1</v>
      </c>
      <c r="J44" s="468">
        <v>1</v>
      </c>
      <c r="K44" s="497" t="b">
        <v>0</v>
      </c>
      <c r="L44" s="468">
        <v>0</v>
      </c>
      <c r="M44" s="497">
        <v>10322.56</v>
      </c>
      <c r="N44" s="468">
        <f>VLOOKUP(F44,PSV_from_BP!$F$3:$L$125,6,0)*645.16</f>
        <v>10322.56</v>
      </c>
      <c r="O44" s="497">
        <v>1091325</v>
      </c>
      <c r="P44" s="468">
        <f>VLOOKUP(F44,PSV_from_BP!$F$3:$L$125,7,0)*100000+101325</f>
        <v>1091325</v>
      </c>
      <c r="Q44" s="497">
        <v>873060</v>
      </c>
      <c r="R44" s="468">
        <f t="shared" si="1"/>
        <v>873060</v>
      </c>
      <c r="S44" s="466"/>
      <c r="T44" s="468"/>
    </row>
    <row r="45" spans="1:20" s="436" customFormat="1">
      <c r="A45" s="737" t="str">
        <f>VLOOKUP($F45,PSV_from_BP!$F:$L,2,0)</f>
        <v>REL.VALVE DESALTER DZ2101B</v>
      </c>
      <c r="B45" s="462"/>
      <c r="C45" s="463"/>
      <c r="D45" s="464"/>
      <c r="E45" s="490"/>
      <c r="F45" s="467" t="s">
        <v>1175</v>
      </c>
      <c r="G45" s="497">
        <v>1</v>
      </c>
      <c r="H45" s="468">
        <v>1</v>
      </c>
      <c r="I45" s="497" t="b">
        <v>1</v>
      </c>
      <c r="J45" s="468">
        <v>1</v>
      </c>
      <c r="K45" s="497" t="b">
        <v>0</v>
      </c>
      <c r="L45" s="468">
        <v>0</v>
      </c>
      <c r="M45" s="497">
        <v>10322.56</v>
      </c>
      <c r="N45" s="468">
        <f>VLOOKUP(F45,PSV_from_BP!$F$3:$L$125,6,0)*645.16</f>
        <v>10322.56</v>
      </c>
      <c r="O45" s="497">
        <v>1091325</v>
      </c>
      <c r="P45" s="468">
        <f>VLOOKUP(F45,PSV_from_BP!$F$3:$L$125,7,0)*100000+101325</f>
        <v>1091325</v>
      </c>
      <c r="Q45" s="497">
        <v>873060</v>
      </c>
      <c r="R45" s="468">
        <f t="shared" si="1"/>
        <v>873060</v>
      </c>
      <c r="S45" s="466"/>
      <c r="T45" s="468"/>
    </row>
    <row r="46" spans="1:20" s="436" customFormat="1">
      <c r="A46" s="737" t="str">
        <f>VLOOKUP($F46,PSV_from_BP!$F:$L,2,0)</f>
        <v>REL.VALVE DESALTER D2101B</v>
      </c>
      <c r="B46" s="462"/>
      <c r="C46" s="463"/>
      <c r="D46" s="464"/>
      <c r="E46" s="490"/>
      <c r="F46" s="467" t="s">
        <v>1177</v>
      </c>
      <c r="G46" s="497">
        <v>1</v>
      </c>
      <c r="H46" s="468">
        <v>1</v>
      </c>
      <c r="I46" s="497" t="b">
        <v>1</v>
      </c>
      <c r="J46" s="468">
        <v>1</v>
      </c>
      <c r="K46" s="497" t="b">
        <v>0</v>
      </c>
      <c r="L46" s="468">
        <v>0</v>
      </c>
      <c r="M46" s="497">
        <v>10322.56</v>
      </c>
      <c r="N46" s="468">
        <f>VLOOKUP(F46,PSV_from_BP!$F$3:$L$125,6,0)*645.16</f>
        <v>10322.56</v>
      </c>
      <c r="O46" s="497">
        <v>1091325</v>
      </c>
      <c r="P46" s="468">
        <f>VLOOKUP(F46,PSV_from_BP!$F$3:$L$125,7,0)*100000+101325</f>
        <v>1091325</v>
      </c>
      <c r="Q46" s="497">
        <v>873060</v>
      </c>
      <c r="R46" s="468">
        <f t="shared" si="1"/>
        <v>873060</v>
      </c>
      <c r="S46" s="466"/>
      <c r="T46" s="468"/>
    </row>
    <row r="47" spans="1:20" s="436" customFormat="1">
      <c r="A47" s="737" t="str">
        <f>VLOOKUP($F47,PSV_from_BP!$F:$L,2,0)</f>
        <v>REL.VALVE DESALTER DZ2101B</v>
      </c>
      <c r="B47" s="462"/>
      <c r="C47" s="463"/>
      <c r="D47" s="464"/>
      <c r="E47" s="490"/>
      <c r="F47" s="467" t="s">
        <v>7621</v>
      </c>
      <c r="G47" s="497">
        <v>1</v>
      </c>
      <c r="H47" s="468">
        <v>1</v>
      </c>
      <c r="I47" s="497" t="b">
        <v>1</v>
      </c>
      <c r="J47" s="468">
        <v>1</v>
      </c>
      <c r="K47" s="497" t="b">
        <v>0</v>
      </c>
      <c r="L47" s="468">
        <v>0</v>
      </c>
      <c r="M47" s="497">
        <v>10322.56</v>
      </c>
      <c r="N47" s="468">
        <f>VLOOKUP(F47,PSV_from_BP!$F$3:$L$125,6,0)*645.16</f>
        <v>10322.56</v>
      </c>
      <c r="O47" s="497">
        <v>1091325</v>
      </c>
      <c r="P47" s="468">
        <f>VLOOKUP(F47,PSV_from_BP!$F$3:$L$125,7,0)*100000+101325</f>
        <v>1091325</v>
      </c>
      <c r="Q47" s="497">
        <v>873060</v>
      </c>
      <c r="R47" s="468">
        <f t="shared" si="1"/>
        <v>873060</v>
      </c>
      <c r="S47" s="466"/>
      <c r="T47" s="468"/>
    </row>
    <row r="48" spans="1:20">
      <c r="A48" s="737" t="str">
        <f>VLOOKUP($F48,PSV_from_BP!$F:$L,2,0)</f>
        <v>REL.VALVE DZ2103 OVHD RECEIVER
Crude overhead drum</v>
      </c>
      <c r="B48" s="493"/>
      <c r="C48" s="494"/>
      <c r="D48" s="495"/>
      <c r="E48" s="609"/>
      <c r="F48" s="556" t="s">
        <v>7904</v>
      </c>
      <c r="G48" s="497">
        <v>1</v>
      </c>
      <c r="H48" s="491">
        <v>1</v>
      </c>
      <c r="I48" s="497" t="b">
        <v>1</v>
      </c>
      <c r="J48" s="491">
        <v>1</v>
      </c>
      <c r="K48" s="497" t="b">
        <v>1</v>
      </c>
      <c r="L48" s="491">
        <v>1</v>
      </c>
      <c r="M48" s="497">
        <v>7129.018</v>
      </c>
      <c r="N48" s="491">
        <f>VLOOKUP(F48,PSV_from_BP!$F$3:$L$125,6,0)*645.16</f>
        <v>7129.018</v>
      </c>
      <c r="O48" s="497">
        <v>451325</v>
      </c>
      <c r="P48" s="491">
        <f>VLOOKUP(F48,PSV_from_BP!$F$3:$L$125,7,0)*100000+101325</f>
        <v>451325</v>
      </c>
      <c r="Q48" s="497">
        <v>361060</v>
      </c>
      <c r="R48" s="491">
        <f t="shared" si="1"/>
        <v>361060</v>
      </c>
      <c r="S48" s="19"/>
      <c r="T48" s="13"/>
    </row>
    <row r="49" spans="1:20">
      <c r="A49" s="737" t="str">
        <f>VLOOKUP($F49,PSV_from_BP!$F:$L,2,0)</f>
        <v>REL.VALVE DZ2103 OVHD RECEIVER
Crude overhead drum</v>
      </c>
      <c r="B49" s="493"/>
      <c r="C49" s="494"/>
      <c r="D49" s="495"/>
      <c r="E49" s="490"/>
      <c r="F49" s="496" t="s">
        <v>1135</v>
      </c>
      <c r="G49" s="497">
        <v>1</v>
      </c>
      <c r="H49" s="491">
        <v>1</v>
      </c>
      <c r="I49" s="497" t="b">
        <v>1</v>
      </c>
      <c r="J49" s="491">
        <v>1</v>
      </c>
      <c r="K49" s="497" t="b">
        <v>1</v>
      </c>
      <c r="L49" s="491">
        <v>1</v>
      </c>
      <c r="M49" s="497">
        <v>7129.018</v>
      </c>
      <c r="N49" s="491">
        <f>VLOOKUP(F49,PSV_from_BP!$F$3:$L$125,6,0)*645.16</f>
        <v>7129.018</v>
      </c>
      <c r="O49" s="497">
        <v>451325</v>
      </c>
      <c r="P49" s="491">
        <f>VLOOKUP(F49,PSV_from_BP!$F$3:$L$125,7,0)*100000+101325</f>
        <v>451325</v>
      </c>
      <c r="Q49" s="497">
        <v>361060</v>
      </c>
      <c r="R49" s="491">
        <f t="shared" si="1"/>
        <v>361060</v>
      </c>
      <c r="S49" s="19"/>
      <c r="T49" s="13"/>
    </row>
    <row r="50" spans="1:20">
      <c r="A50" s="737" t="str">
        <f>VLOOKUP($F50,PSV_from_BP!$F:$L,2,0)</f>
        <v>REL.VALVE TZ2851 OVHD GAS ABS.</v>
      </c>
      <c r="B50" s="493"/>
      <c r="C50" s="494"/>
      <c r="D50" s="495"/>
      <c r="E50" s="490"/>
      <c r="F50" s="496" t="s">
        <v>1315</v>
      </c>
      <c r="G50" s="497">
        <v>1</v>
      </c>
      <c r="H50" s="491">
        <v>1</v>
      </c>
      <c r="I50" s="497" t="b">
        <v>1</v>
      </c>
      <c r="J50" s="491">
        <v>1</v>
      </c>
      <c r="K50" s="497" t="b">
        <v>1</v>
      </c>
      <c r="L50" s="491">
        <v>1</v>
      </c>
      <c r="M50" s="497">
        <v>2799.9944</v>
      </c>
      <c r="N50" s="491">
        <f>VLOOKUP(F50,PSV_from_BP!$F$3:$L$125,6,0)*645.16</f>
        <v>2799.9943999999996</v>
      </c>
      <c r="O50" s="497">
        <v>721325</v>
      </c>
      <c r="P50" s="491">
        <f>VLOOKUP(F50,PSV_from_BP!$F$3:$L$125,7,0)*100000+101325</f>
        <v>721325</v>
      </c>
      <c r="Q50" s="497">
        <v>577060</v>
      </c>
      <c r="R50" s="491">
        <f t="shared" si="1"/>
        <v>577060</v>
      </c>
      <c r="S50" s="19"/>
      <c r="T50" s="13"/>
    </row>
    <row r="51" spans="1:20">
      <c r="A51" s="737" t="str">
        <f>VLOOKUP($F51,PSV_from_BP!$F:$L,2,0)</f>
        <v>REL.VALVE TZ2851 OVHD GAS ABS.</v>
      </c>
      <c r="B51" s="493"/>
      <c r="C51" s="494"/>
      <c r="D51" s="495"/>
      <c r="E51" s="490"/>
      <c r="F51" s="496" t="s">
        <v>1317</v>
      </c>
      <c r="G51" s="497">
        <v>1</v>
      </c>
      <c r="H51" s="491">
        <v>1</v>
      </c>
      <c r="I51" s="497" t="b">
        <v>1</v>
      </c>
      <c r="J51" s="491">
        <v>1</v>
      </c>
      <c r="K51" s="497" t="b">
        <v>1</v>
      </c>
      <c r="L51" s="491">
        <v>1</v>
      </c>
      <c r="M51" s="497">
        <v>2799.9944</v>
      </c>
      <c r="N51" s="491">
        <f>VLOOKUP(F51,PSV_from_BP!$F$3:$L$125,6,0)*645.16</f>
        <v>2799.9943999999996</v>
      </c>
      <c r="O51" s="497">
        <v>721325</v>
      </c>
      <c r="P51" s="491">
        <f>VLOOKUP(F51,PSV_from_BP!$F$3:$L$125,7,0)*100000+101325</f>
        <v>721325</v>
      </c>
      <c r="Q51" s="497">
        <v>577060</v>
      </c>
      <c r="R51" s="491">
        <f t="shared" si="1"/>
        <v>577060</v>
      </c>
      <c r="S51" s="19"/>
      <c r="T51" s="13"/>
    </row>
    <row r="52" spans="1:20">
      <c r="A52" s="737" t="str">
        <f>VLOOKUP($F52,PSV_from_BP!$F:$L,2,0)</f>
        <v>REL.VALVE EZ2127 SHELL SIDE</v>
      </c>
      <c r="B52" s="520"/>
      <c r="C52" s="16"/>
      <c r="D52" s="17"/>
      <c r="E52" s="609"/>
      <c r="F52" s="465" t="s">
        <v>8848</v>
      </c>
      <c r="G52" s="524">
        <v>1</v>
      </c>
      <c r="H52" s="518">
        <v>1</v>
      </c>
      <c r="I52" s="524" t="b">
        <v>0</v>
      </c>
      <c r="J52" s="518">
        <v>0</v>
      </c>
      <c r="K52" s="524" t="b">
        <v>0</v>
      </c>
      <c r="L52" s="518">
        <v>0</v>
      </c>
      <c r="M52" s="524">
        <v>126.45135999999999</v>
      </c>
      <c r="N52" s="518">
        <f>VLOOKUP(F52,PSV_from_BP!$F$3:$L$125,6,0)*645.16</f>
        <v>126.45135999999999</v>
      </c>
      <c r="O52" s="524">
        <v>811325</v>
      </c>
      <c r="P52" s="518">
        <f>VLOOKUP(F52,PSV_from_BP!$F$3:$L$125,7,0)*100000+101325</f>
        <v>811325</v>
      </c>
      <c r="Q52" s="524">
        <v>649060</v>
      </c>
      <c r="R52" s="518">
        <f>P52*0.8</f>
        <v>649060</v>
      </c>
      <c r="S52" s="19"/>
      <c r="T52" s="13"/>
    </row>
    <row r="53" spans="1:20">
      <c r="A53" s="737" t="str">
        <f>VLOOKUP($F53,PSV_from_BP!$F:$L,2,0)</f>
        <v>REL.VALVE EZ2127 2X3</v>
      </c>
      <c r="B53" s="15"/>
      <c r="C53" s="16"/>
      <c r="D53" s="17"/>
      <c r="E53" s="609"/>
      <c r="F53" s="465" t="s">
        <v>1221</v>
      </c>
      <c r="G53" s="524">
        <v>1</v>
      </c>
      <c r="H53" s="518">
        <v>1</v>
      </c>
      <c r="I53" s="524" t="b">
        <v>0</v>
      </c>
      <c r="J53" s="518">
        <v>0</v>
      </c>
      <c r="K53" s="524" t="b">
        <v>0</v>
      </c>
      <c r="L53" s="518">
        <v>0</v>
      </c>
      <c r="M53" s="524">
        <v>506.45060000000001</v>
      </c>
      <c r="N53" s="518">
        <f>VLOOKUP(F53,PSV_from_BP!$F$3:$L$125,6,0)*645.16</f>
        <v>506.45060000000001</v>
      </c>
      <c r="O53" s="524">
        <v>1081325</v>
      </c>
      <c r="P53" s="518">
        <f>VLOOKUP(F53,PSV_from_BP!$F$3:$L$125,7,0)*100000+101325</f>
        <v>1081325</v>
      </c>
      <c r="Q53" s="524">
        <v>865060</v>
      </c>
      <c r="R53" s="518">
        <f>P53*0.8</f>
        <v>865060</v>
      </c>
      <c r="S53" s="19"/>
      <c r="T53" s="13"/>
    </row>
    <row r="54" spans="1:20">
      <c r="A54" s="737" t="str">
        <f>VLOOKUP($F54,PSV_from_BP!$F:$L,2,0)</f>
        <v>REL.VALVE DZ2105 LGO/HGO CONDR
Vacuum oil seperator</v>
      </c>
      <c r="B54" s="15"/>
      <c r="C54" s="16"/>
      <c r="D54" s="17"/>
      <c r="E54" s="609"/>
      <c r="F54" s="465" t="s">
        <v>8102</v>
      </c>
      <c r="G54" s="524">
        <v>1</v>
      </c>
      <c r="H54" s="518">
        <v>1</v>
      </c>
      <c r="I54" s="524" t="b">
        <v>1</v>
      </c>
      <c r="J54" s="518">
        <v>1</v>
      </c>
      <c r="K54" s="524" t="b">
        <v>0</v>
      </c>
      <c r="L54" s="518">
        <v>0</v>
      </c>
      <c r="M54" s="524">
        <v>1185.8040800000001</v>
      </c>
      <c r="N54" s="518">
        <f>VLOOKUP(F54,PSV_from_BP!$F$3:$L$125,6,0)*645.16</f>
        <v>1185.8040799999999</v>
      </c>
      <c r="O54" s="524">
        <v>421325</v>
      </c>
      <c r="P54" s="518">
        <f>VLOOKUP(F54,PSV_from_BP!$F$3:$L$125,7,0)*100000+101325</f>
        <v>421325</v>
      </c>
      <c r="Q54" s="524">
        <v>337060</v>
      </c>
      <c r="R54" s="518">
        <f>P54*0.8</f>
        <v>337060</v>
      </c>
      <c r="S54" s="19"/>
      <c r="T54" s="13"/>
    </row>
    <row r="55" spans="1:20">
      <c r="A55" s="14"/>
      <c r="B55" s="15"/>
      <c r="C55" s="16"/>
      <c r="D55" s="17"/>
      <c r="E55" s="12"/>
      <c r="F55" s="18"/>
      <c r="G55" s="19"/>
      <c r="H55" s="13"/>
      <c r="I55" s="19"/>
      <c r="J55" s="13"/>
      <c r="K55" s="19"/>
      <c r="L55" s="13"/>
      <c r="M55" s="19"/>
      <c r="N55" s="13"/>
      <c r="O55" s="19"/>
      <c r="P55" s="13"/>
      <c r="Q55" s="19"/>
      <c r="R55" s="13"/>
      <c r="S55" s="19"/>
      <c r="T55" s="13"/>
    </row>
    <row r="56" spans="1:20">
      <c r="A56" s="14"/>
      <c r="B56" s="15"/>
      <c r="C56" s="16"/>
      <c r="D56" s="17"/>
      <c r="E56" s="12"/>
      <c r="F56" s="18"/>
      <c r="G56" s="19"/>
      <c r="H56" s="13"/>
      <c r="I56" s="19"/>
      <c r="J56" s="13"/>
      <c r="K56" s="19"/>
      <c r="L56" s="13"/>
      <c r="M56" s="19"/>
      <c r="N56" s="13"/>
      <c r="O56" s="19"/>
      <c r="P56" s="13"/>
      <c r="Q56" s="19"/>
      <c r="R56" s="13"/>
      <c r="S56" s="19"/>
      <c r="T56" s="13"/>
    </row>
    <row r="57" spans="1:20">
      <c r="A57" s="14"/>
      <c r="B57" s="15"/>
      <c r="C57" s="16"/>
      <c r="D57" s="17"/>
      <c r="E57" s="12"/>
      <c r="F57" s="18"/>
      <c r="G57" s="19"/>
      <c r="H57" s="13"/>
      <c r="I57" s="19"/>
      <c r="J57" s="13"/>
      <c r="K57" s="19"/>
      <c r="L57" s="13"/>
      <c r="M57" s="19"/>
      <c r="N57" s="13"/>
      <c r="O57" s="19"/>
      <c r="P57" s="13"/>
      <c r="Q57" s="19"/>
      <c r="R57" s="13"/>
      <c r="S57" s="19"/>
      <c r="T57" s="13"/>
    </row>
    <row r="58" spans="1:20">
      <c r="A58" s="14"/>
      <c r="B58" s="15"/>
      <c r="C58" s="16"/>
      <c r="D58" s="17"/>
      <c r="E58" s="12"/>
      <c r="F58" s="18"/>
      <c r="G58" s="19"/>
      <c r="H58" s="13"/>
      <c r="I58" s="19"/>
      <c r="J58" s="13"/>
      <c r="K58" s="19"/>
      <c r="L58" s="13"/>
      <c r="M58" s="19"/>
      <c r="N58" s="13"/>
      <c r="O58" s="19"/>
      <c r="P58" s="13"/>
      <c r="Q58" s="19"/>
      <c r="R58" s="13"/>
      <c r="S58" s="19"/>
      <c r="T58" s="13"/>
    </row>
    <row r="59" spans="1:20">
      <c r="A59" s="14"/>
      <c r="B59" s="15"/>
      <c r="C59" s="16"/>
      <c r="D59" s="17"/>
      <c r="E59" s="12"/>
      <c r="F59" s="18"/>
      <c r="G59" s="19"/>
      <c r="H59" s="13"/>
      <c r="I59" s="19"/>
      <c r="J59" s="13"/>
      <c r="K59" s="19"/>
      <c r="L59" s="13"/>
      <c r="M59" s="19"/>
      <c r="N59" s="13"/>
      <c r="O59" s="19"/>
      <c r="P59" s="13"/>
      <c r="Q59" s="19"/>
      <c r="R59" s="13"/>
      <c r="S59" s="19"/>
      <c r="T59" s="13"/>
    </row>
    <row r="60" spans="1:20">
      <c r="A60" s="14"/>
      <c r="B60" s="15"/>
      <c r="C60" s="16"/>
      <c r="D60" s="17"/>
      <c r="E60" s="12"/>
      <c r="F60" s="18"/>
      <c r="G60" s="19"/>
      <c r="H60" s="13"/>
      <c r="I60" s="19"/>
      <c r="J60" s="13"/>
      <c r="K60" s="19"/>
      <c r="L60" s="13"/>
      <c r="M60" s="19"/>
      <c r="N60" s="13"/>
      <c r="O60" s="19"/>
      <c r="P60" s="13"/>
      <c r="Q60" s="19"/>
      <c r="R60" s="13"/>
      <c r="S60" s="19"/>
      <c r="T60" s="13"/>
    </row>
    <row r="61" spans="1:20">
      <c r="A61" s="14"/>
      <c r="B61" s="15"/>
      <c r="C61" s="16"/>
      <c r="D61" s="17"/>
      <c r="E61" s="12"/>
      <c r="F61" s="18"/>
      <c r="G61" s="19"/>
      <c r="H61" s="13"/>
      <c r="I61" s="19"/>
      <c r="J61" s="13"/>
      <c r="K61" s="19"/>
      <c r="L61" s="13"/>
      <c r="M61" s="19"/>
      <c r="N61" s="13"/>
      <c r="O61" s="19"/>
      <c r="P61" s="13"/>
      <c r="Q61" s="19"/>
      <c r="R61" s="13"/>
      <c r="S61" s="19"/>
      <c r="T61" s="13"/>
    </row>
    <row r="62" spans="1:20">
      <c r="A62" s="14"/>
      <c r="B62" s="15"/>
      <c r="C62" s="16"/>
      <c r="D62" s="17"/>
      <c r="E62" s="12"/>
      <c r="F62" s="18"/>
      <c r="G62" s="19"/>
      <c r="H62" s="13"/>
      <c r="I62" s="19"/>
      <c r="J62" s="13"/>
      <c r="K62" s="19"/>
      <c r="L62" s="13"/>
      <c r="M62" s="19"/>
      <c r="N62" s="13"/>
      <c r="O62" s="19"/>
      <c r="P62" s="13"/>
      <c r="Q62" s="19"/>
      <c r="R62" s="13"/>
      <c r="S62" s="19"/>
      <c r="T62" s="13"/>
    </row>
    <row r="63" spans="1:20">
      <c r="A63" s="14"/>
      <c r="B63" s="15"/>
      <c r="C63" s="16"/>
      <c r="D63" s="17"/>
      <c r="E63" s="12"/>
      <c r="F63" s="18"/>
      <c r="G63" s="19"/>
      <c r="H63" s="13"/>
      <c r="I63" s="19"/>
      <c r="J63" s="13"/>
      <c r="K63" s="19"/>
      <c r="L63" s="13"/>
      <c r="M63" s="19"/>
      <c r="N63" s="13"/>
      <c r="O63" s="19"/>
      <c r="P63" s="13"/>
      <c r="Q63" s="19"/>
      <c r="R63" s="13"/>
      <c r="S63" s="19"/>
      <c r="T63" s="13"/>
    </row>
    <row r="64" spans="1:20">
      <c r="A64" s="14"/>
      <c r="B64" s="15"/>
      <c r="C64" s="16"/>
      <c r="D64" s="17"/>
      <c r="E64" s="12"/>
      <c r="F64" s="18"/>
      <c r="G64" s="19"/>
      <c r="H64" s="13"/>
      <c r="I64" s="19"/>
      <c r="J64" s="13"/>
      <c r="K64" s="19"/>
      <c r="L64" s="13"/>
      <c r="M64" s="19"/>
      <c r="N64" s="13"/>
      <c r="O64" s="19"/>
      <c r="P64" s="13"/>
      <c r="Q64" s="19"/>
      <c r="R64" s="13"/>
      <c r="S64" s="19"/>
      <c r="T64" s="13"/>
    </row>
    <row r="65" spans="1:20">
      <c r="A65" s="14"/>
      <c r="B65" s="15"/>
      <c r="C65" s="16"/>
      <c r="D65" s="17"/>
      <c r="E65" s="12"/>
      <c r="F65" s="18"/>
      <c r="G65" s="19"/>
      <c r="H65" s="13"/>
      <c r="I65" s="19"/>
      <c r="J65" s="13"/>
      <c r="K65" s="19"/>
      <c r="L65" s="13"/>
      <c r="M65" s="19"/>
      <c r="N65" s="13"/>
      <c r="O65" s="19"/>
      <c r="P65" s="13"/>
      <c r="Q65" s="19"/>
      <c r="R65" s="13"/>
      <c r="S65" s="19"/>
      <c r="T65" s="13"/>
    </row>
    <row r="66" spans="1:20">
      <c r="A66" s="14"/>
      <c r="B66" s="15"/>
      <c r="C66" s="16"/>
      <c r="D66" s="17"/>
      <c r="E66" s="12"/>
      <c r="F66" s="18"/>
      <c r="G66" s="19"/>
      <c r="H66" s="13"/>
      <c r="I66" s="19"/>
      <c r="J66" s="13"/>
      <c r="K66" s="19"/>
      <c r="L66" s="13"/>
      <c r="M66" s="19"/>
      <c r="N66" s="13"/>
      <c r="O66" s="19"/>
      <c r="P66" s="13"/>
      <c r="Q66" s="19"/>
      <c r="R66" s="13"/>
      <c r="S66" s="19"/>
      <c r="T66" s="13"/>
    </row>
    <row r="67" spans="1:20">
      <c r="A67" s="14"/>
      <c r="B67" s="15"/>
      <c r="C67" s="16"/>
      <c r="D67" s="17"/>
      <c r="E67" s="12"/>
      <c r="F67" s="18"/>
      <c r="G67" s="19"/>
      <c r="H67" s="13"/>
      <c r="I67" s="19"/>
      <c r="J67" s="13"/>
      <c r="K67" s="19"/>
      <c r="L67" s="13"/>
      <c r="M67" s="19"/>
      <c r="N67" s="13"/>
      <c r="O67" s="19"/>
      <c r="P67" s="13"/>
      <c r="Q67" s="19"/>
      <c r="R67" s="13"/>
      <c r="S67" s="19"/>
      <c r="T67" s="13"/>
    </row>
    <row r="68" spans="1:20">
      <c r="A68" s="14"/>
      <c r="B68" s="15"/>
      <c r="C68" s="16"/>
      <c r="D68" s="17"/>
      <c r="E68" s="12"/>
      <c r="F68" s="18"/>
      <c r="G68" s="19"/>
      <c r="H68" s="13"/>
      <c r="I68" s="19"/>
      <c r="J68" s="13"/>
      <c r="K68" s="19"/>
      <c r="L68" s="13"/>
      <c r="M68" s="19"/>
      <c r="N68" s="13"/>
      <c r="O68" s="19"/>
      <c r="P68" s="13"/>
      <c r="Q68" s="19"/>
      <c r="R68" s="13"/>
      <c r="S68" s="19"/>
      <c r="T68" s="13"/>
    </row>
    <row r="69" spans="1:20">
      <c r="A69" s="14"/>
      <c r="B69" s="15"/>
      <c r="C69" s="16"/>
      <c r="D69" s="17"/>
      <c r="E69" s="12"/>
      <c r="F69" s="18"/>
      <c r="G69" s="19"/>
      <c r="H69" s="13"/>
      <c r="I69" s="19"/>
      <c r="J69" s="13"/>
      <c r="K69" s="19"/>
      <c r="L69" s="13"/>
      <c r="M69" s="19"/>
      <c r="N69" s="13"/>
      <c r="O69" s="19"/>
      <c r="P69" s="13"/>
      <c r="Q69" s="19"/>
      <c r="R69" s="13"/>
      <c r="S69" s="19"/>
      <c r="T69" s="13"/>
    </row>
    <row r="70" spans="1:20">
      <c r="A70" s="14"/>
      <c r="B70" s="15"/>
      <c r="C70" s="16"/>
      <c r="D70" s="17"/>
      <c r="E70" s="12"/>
      <c r="F70" s="18"/>
      <c r="G70" s="19"/>
      <c r="H70" s="13"/>
      <c r="I70" s="19"/>
      <c r="J70" s="13"/>
      <c r="K70" s="19"/>
      <c r="L70" s="13"/>
      <c r="M70" s="19"/>
      <c r="N70" s="13"/>
      <c r="O70" s="19"/>
      <c r="P70" s="13"/>
      <c r="Q70" s="19"/>
      <c r="R70" s="13"/>
      <c r="S70" s="19"/>
      <c r="T70" s="13"/>
    </row>
    <row r="71" spans="1:20">
      <c r="A71" s="14"/>
      <c r="B71" s="15"/>
      <c r="C71" s="16"/>
      <c r="D71" s="17"/>
      <c r="E71" s="12"/>
      <c r="F71" s="18"/>
      <c r="G71" s="19"/>
      <c r="H71" s="13"/>
      <c r="I71" s="19"/>
      <c r="J71" s="13"/>
      <c r="K71" s="19"/>
      <c r="L71" s="13"/>
      <c r="M71" s="19"/>
      <c r="N71" s="13"/>
      <c r="O71" s="19"/>
      <c r="P71" s="13"/>
      <c r="Q71" s="19"/>
      <c r="R71" s="13"/>
      <c r="S71" s="19"/>
      <c r="T71" s="13"/>
    </row>
    <row r="72" spans="1:20">
      <c r="A72" s="14"/>
      <c r="B72" s="15"/>
      <c r="C72" s="16"/>
      <c r="D72" s="17"/>
      <c r="E72" s="12"/>
      <c r="F72" s="18"/>
      <c r="G72" s="19"/>
      <c r="H72" s="13"/>
      <c r="I72" s="19"/>
      <c r="J72" s="13"/>
      <c r="K72" s="19"/>
      <c r="L72" s="13"/>
      <c r="M72" s="19"/>
      <c r="N72" s="13"/>
      <c r="O72" s="19"/>
      <c r="P72" s="13"/>
      <c r="Q72" s="19"/>
      <c r="R72" s="13"/>
      <c r="S72" s="19"/>
      <c r="T72" s="13"/>
    </row>
    <row r="73" spans="1:20">
      <c r="A73" s="14"/>
      <c r="B73" s="15"/>
      <c r="C73" s="16"/>
      <c r="D73" s="17"/>
      <c r="E73" s="12"/>
      <c r="F73" s="18"/>
      <c r="G73" s="19"/>
      <c r="H73" s="13"/>
      <c r="I73" s="19"/>
      <c r="J73" s="13"/>
      <c r="K73" s="19"/>
      <c r="L73" s="13"/>
      <c r="M73" s="19"/>
      <c r="N73" s="13"/>
      <c r="O73" s="19"/>
      <c r="P73" s="13"/>
      <c r="Q73" s="19"/>
      <c r="R73" s="13"/>
      <c r="S73" s="19"/>
      <c r="T73" s="13"/>
    </row>
    <row r="74" spans="1:20">
      <c r="A74" s="14"/>
      <c r="B74" s="15"/>
      <c r="C74" s="16"/>
      <c r="D74" s="17"/>
      <c r="E74" s="12"/>
      <c r="F74" s="18"/>
      <c r="G74" s="19"/>
      <c r="H74" s="13"/>
      <c r="I74" s="19"/>
      <c r="J74" s="13"/>
      <c r="K74" s="19"/>
      <c r="L74" s="13"/>
      <c r="M74" s="19"/>
      <c r="N74" s="13"/>
      <c r="O74" s="19"/>
      <c r="P74" s="13"/>
      <c r="Q74" s="19"/>
      <c r="R74" s="13"/>
      <c r="S74" s="19"/>
      <c r="T74" s="13"/>
    </row>
    <row r="75" spans="1:20">
      <c r="A75" s="14"/>
      <c r="B75" s="15"/>
      <c r="C75" s="16"/>
      <c r="D75" s="17"/>
      <c r="E75" s="12"/>
      <c r="F75" s="18"/>
      <c r="G75" s="19"/>
      <c r="H75" s="13"/>
      <c r="I75" s="19"/>
      <c r="J75" s="13"/>
      <c r="K75" s="19"/>
      <c r="L75" s="13"/>
      <c r="M75" s="19"/>
      <c r="N75" s="13"/>
      <c r="O75" s="19"/>
      <c r="P75" s="13"/>
      <c r="Q75" s="19"/>
      <c r="R75" s="13"/>
      <c r="S75" s="19"/>
      <c r="T75" s="13"/>
    </row>
    <row r="76" spans="1:20">
      <c r="A76" s="14"/>
      <c r="B76" s="15"/>
      <c r="C76" s="16"/>
      <c r="D76" s="17"/>
      <c r="E76" s="12"/>
      <c r="F76" s="18"/>
      <c r="G76" s="19"/>
      <c r="H76" s="13"/>
      <c r="I76" s="19"/>
      <c r="J76" s="13"/>
      <c r="K76" s="19"/>
      <c r="L76" s="13"/>
      <c r="M76" s="19"/>
      <c r="N76" s="13"/>
      <c r="O76" s="19"/>
      <c r="P76" s="13"/>
      <c r="Q76" s="19"/>
      <c r="R76" s="13"/>
      <c r="S76" s="19"/>
      <c r="T76" s="13"/>
    </row>
    <row r="77" spans="1:20">
      <c r="A77" s="14"/>
      <c r="B77" s="15"/>
      <c r="C77" s="16"/>
      <c r="D77" s="17"/>
      <c r="E77" s="12"/>
      <c r="F77" s="18"/>
      <c r="G77" s="19"/>
      <c r="H77" s="13"/>
      <c r="I77" s="19"/>
      <c r="J77" s="13"/>
      <c r="K77" s="19"/>
      <c r="L77" s="13"/>
      <c r="M77" s="19"/>
      <c r="N77" s="13"/>
      <c r="O77" s="19"/>
      <c r="P77" s="13"/>
      <c r="Q77" s="19"/>
      <c r="R77" s="13"/>
      <c r="S77" s="19"/>
      <c r="T77" s="13"/>
    </row>
    <row r="78" spans="1:20">
      <c r="A78" s="14"/>
      <c r="B78" s="15"/>
      <c r="C78" s="16"/>
      <c r="D78" s="17"/>
      <c r="E78" s="12"/>
      <c r="F78" s="18"/>
      <c r="G78" s="19"/>
      <c r="H78" s="13"/>
      <c r="I78" s="19"/>
      <c r="J78" s="13"/>
      <c r="K78" s="19"/>
      <c r="L78" s="13"/>
      <c r="M78" s="19"/>
      <c r="N78" s="13"/>
      <c r="O78" s="19"/>
      <c r="P78" s="13"/>
      <c r="Q78" s="19"/>
      <c r="R78" s="13"/>
      <c r="S78" s="19"/>
      <c r="T78" s="13"/>
    </row>
    <row r="79" spans="1:20">
      <c r="A79" s="14"/>
      <c r="B79" s="15"/>
      <c r="C79" s="16"/>
      <c r="D79" s="17"/>
      <c r="E79" s="12"/>
      <c r="F79" s="18"/>
      <c r="G79" s="19"/>
      <c r="H79" s="13"/>
      <c r="I79" s="19"/>
      <c r="J79" s="13"/>
      <c r="K79" s="19"/>
      <c r="L79" s="13"/>
      <c r="M79" s="19"/>
      <c r="N79" s="13"/>
      <c r="O79" s="19"/>
      <c r="P79" s="13"/>
      <c r="Q79" s="19"/>
      <c r="R79" s="13"/>
      <c r="S79" s="19"/>
      <c r="T79" s="13"/>
    </row>
    <row r="80" spans="1:20">
      <c r="A80" s="14"/>
      <c r="B80" s="15"/>
      <c r="C80" s="16"/>
      <c r="D80" s="17"/>
      <c r="E80" s="12"/>
      <c r="F80" s="18"/>
      <c r="G80" s="19"/>
      <c r="H80" s="13"/>
      <c r="I80" s="19"/>
      <c r="J80" s="13"/>
      <c r="K80" s="19"/>
      <c r="L80" s="13"/>
      <c r="M80" s="19"/>
      <c r="N80" s="13"/>
      <c r="O80" s="19"/>
      <c r="P80" s="13"/>
      <c r="Q80" s="19"/>
      <c r="R80" s="13"/>
      <c r="S80" s="19"/>
      <c r="T80" s="13"/>
    </row>
    <row r="81" spans="1:20">
      <c r="A81" s="14"/>
      <c r="B81" s="15"/>
      <c r="C81" s="16"/>
      <c r="D81" s="17"/>
      <c r="E81" s="12"/>
      <c r="F81" s="18"/>
      <c r="G81" s="19"/>
      <c r="H81" s="13"/>
      <c r="I81" s="19"/>
      <c r="J81" s="13"/>
      <c r="K81" s="19"/>
      <c r="L81" s="13"/>
      <c r="M81" s="19"/>
      <c r="N81" s="13"/>
      <c r="O81" s="19"/>
      <c r="P81" s="13"/>
      <c r="Q81" s="19"/>
      <c r="R81" s="13"/>
      <c r="S81" s="19"/>
      <c r="T81" s="13"/>
    </row>
    <row r="82" spans="1:20">
      <c r="A82" s="14"/>
      <c r="B82" s="15"/>
      <c r="C82" s="16"/>
      <c r="D82" s="17"/>
      <c r="E82" s="12"/>
      <c r="F82" s="18"/>
      <c r="G82" s="19"/>
      <c r="H82" s="13"/>
      <c r="I82" s="19"/>
      <c r="J82" s="13"/>
      <c r="K82" s="19"/>
      <c r="L82" s="13"/>
      <c r="M82" s="19"/>
      <c r="N82" s="13"/>
      <c r="O82" s="19"/>
      <c r="P82" s="13"/>
      <c r="Q82" s="19"/>
      <c r="R82" s="13"/>
      <c r="S82" s="19"/>
      <c r="T82" s="13"/>
    </row>
    <row r="83" spans="1:20">
      <c r="A83" s="14"/>
      <c r="B83" s="15"/>
      <c r="C83" s="16"/>
      <c r="D83" s="17"/>
      <c r="E83" s="12"/>
      <c r="F83" s="18"/>
      <c r="G83" s="19"/>
      <c r="H83" s="13"/>
      <c r="I83" s="19"/>
      <c r="J83" s="13"/>
      <c r="K83" s="19"/>
      <c r="L83" s="13"/>
      <c r="M83" s="19"/>
      <c r="N83" s="13"/>
      <c r="O83" s="19"/>
      <c r="P83" s="13"/>
      <c r="Q83" s="19"/>
      <c r="R83" s="13"/>
      <c r="S83" s="19"/>
      <c r="T83" s="13"/>
    </row>
    <row r="84" spans="1:20">
      <c r="A84" s="14"/>
      <c r="B84" s="15"/>
      <c r="C84" s="16"/>
      <c r="D84" s="17"/>
      <c r="E84" s="12"/>
      <c r="F84" s="18"/>
      <c r="G84" s="19"/>
      <c r="H84" s="13"/>
      <c r="I84" s="19"/>
      <c r="J84" s="13"/>
      <c r="K84" s="19"/>
      <c r="L84" s="13"/>
      <c r="M84" s="19"/>
      <c r="N84" s="13"/>
      <c r="O84" s="19"/>
      <c r="P84" s="13"/>
      <c r="Q84" s="19"/>
      <c r="R84" s="13"/>
      <c r="S84" s="19"/>
      <c r="T84" s="13"/>
    </row>
    <row r="85" spans="1:20">
      <c r="A85" s="14"/>
      <c r="B85" s="15"/>
      <c r="C85" s="16"/>
      <c r="D85" s="17"/>
      <c r="E85" s="12"/>
      <c r="F85" s="18"/>
      <c r="G85" s="19"/>
      <c r="H85" s="13"/>
      <c r="I85" s="19"/>
      <c r="J85" s="13"/>
      <c r="K85" s="19"/>
      <c r="L85" s="13"/>
      <c r="M85" s="19"/>
      <c r="N85" s="13"/>
      <c r="O85" s="19"/>
      <c r="P85" s="13"/>
      <c r="Q85" s="19"/>
      <c r="R85" s="13"/>
      <c r="S85" s="19"/>
      <c r="T85" s="13"/>
    </row>
    <row r="86" spans="1:20">
      <c r="A86" s="14"/>
      <c r="B86" s="15"/>
      <c r="C86" s="16"/>
      <c r="D86" s="17"/>
      <c r="E86" s="12"/>
      <c r="F86" s="18"/>
      <c r="G86" s="19"/>
      <c r="H86" s="13"/>
      <c r="I86" s="19"/>
      <c r="J86" s="13"/>
      <c r="K86" s="19"/>
      <c r="L86" s="13"/>
      <c r="M86" s="19"/>
      <c r="N86" s="13"/>
      <c r="O86" s="19"/>
      <c r="P86" s="13"/>
      <c r="Q86" s="19"/>
      <c r="R86" s="13"/>
      <c r="S86" s="19"/>
      <c r="T86" s="13"/>
    </row>
    <row r="87" spans="1:20">
      <c r="A87" s="14"/>
      <c r="B87" s="15"/>
      <c r="C87" s="16"/>
      <c r="D87" s="17"/>
      <c r="E87" s="12"/>
      <c r="F87" s="18"/>
      <c r="G87" s="19"/>
      <c r="H87" s="13"/>
      <c r="I87" s="19"/>
      <c r="J87" s="13"/>
      <c r="K87" s="19"/>
      <c r="L87" s="13"/>
      <c r="M87" s="19"/>
      <c r="N87" s="13"/>
      <c r="O87" s="19"/>
      <c r="P87" s="13"/>
      <c r="Q87" s="19"/>
      <c r="R87" s="13"/>
      <c r="S87" s="19"/>
      <c r="T87" s="13"/>
    </row>
    <row r="88" spans="1:20">
      <c r="A88" s="14"/>
      <c r="B88" s="15"/>
      <c r="C88" s="16"/>
      <c r="D88" s="17"/>
      <c r="E88" s="12"/>
      <c r="F88" s="18"/>
      <c r="G88" s="19"/>
      <c r="H88" s="13"/>
      <c r="I88" s="19"/>
      <c r="J88" s="13"/>
      <c r="K88" s="19"/>
      <c r="L88" s="13"/>
      <c r="M88" s="19"/>
      <c r="N88" s="13"/>
      <c r="O88" s="19"/>
      <c r="P88" s="13"/>
      <c r="Q88" s="19"/>
      <c r="R88" s="13"/>
      <c r="S88" s="19"/>
      <c r="T88" s="13"/>
    </row>
    <row r="89" spans="1:20">
      <c r="A89" s="14"/>
      <c r="B89" s="15"/>
      <c r="C89" s="16"/>
      <c r="D89" s="17"/>
      <c r="E89" s="12"/>
      <c r="F89" s="18"/>
      <c r="G89" s="19"/>
      <c r="H89" s="13"/>
      <c r="I89" s="19"/>
      <c r="J89" s="13"/>
      <c r="K89" s="19"/>
      <c r="L89" s="13"/>
      <c r="M89" s="19"/>
      <c r="N89" s="13"/>
      <c r="O89" s="19"/>
      <c r="P89" s="13"/>
      <c r="Q89" s="19"/>
      <c r="R89" s="13"/>
      <c r="S89" s="19"/>
      <c r="T89" s="13"/>
    </row>
    <row r="90" spans="1:20">
      <c r="A90" s="14"/>
      <c r="B90" s="15"/>
      <c r="C90" s="16"/>
      <c r="D90" s="17"/>
      <c r="E90" s="12"/>
      <c r="F90" s="18"/>
      <c r="G90" s="19"/>
      <c r="H90" s="13"/>
      <c r="I90" s="19"/>
      <c r="J90" s="13"/>
      <c r="K90" s="19"/>
      <c r="L90" s="13"/>
      <c r="M90" s="19"/>
      <c r="N90" s="13"/>
      <c r="O90" s="19"/>
      <c r="P90" s="13"/>
      <c r="Q90" s="19"/>
      <c r="R90" s="13"/>
      <c r="S90" s="19"/>
      <c r="T90" s="13"/>
    </row>
    <row r="91" spans="1:20">
      <c r="A91" s="14"/>
      <c r="B91" s="15"/>
      <c r="C91" s="16"/>
      <c r="D91" s="17"/>
      <c r="E91" s="12"/>
      <c r="F91" s="18"/>
      <c r="G91" s="19"/>
      <c r="H91" s="13"/>
      <c r="I91" s="19"/>
      <c r="J91" s="13"/>
      <c r="K91" s="19"/>
      <c r="L91" s="13"/>
      <c r="M91" s="19"/>
      <c r="N91" s="13"/>
      <c r="O91" s="19"/>
      <c r="P91" s="13"/>
      <c r="Q91" s="19"/>
      <c r="R91" s="13"/>
      <c r="S91" s="19"/>
      <c r="T91" s="13"/>
    </row>
    <row r="92" spans="1:20">
      <c r="A92" s="14"/>
      <c r="B92" s="15"/>
      <c r="C92" s="16"/>
      <c r="D92" s="17"/>
      <c r="E92" s="12"/>
      <c r="F92" s="18"/>
      <c r="G92" s="19"/>
      <c r="H92" s="13"/>
      <c r="I92" s="19"/>
      <c r="J92" s="13"/>
      <c r="K92" s="19"/>
      <c r="L92" s="13"/>
      <c r="M92" s="19"/>
      <c r="N92" s="13"/>
      <c r="O92" s="19"/>
      <c r="P92" s="13"/>
      <c r="Q92" s="19"/>
      <c r="R92" s="13"/>
      <c r="S92" s="19"/>
      <c r="T92" s="13"/>
    </row>
    <row r="93" spans="1:20">
      <c r="A93" s="14"/>
      <c r="B93" s="15"/>
      <c r="C93" s="16"/>
      <c r="D93" s="17"/>
      <c r="E93" s="12"/>
      <c r="F93" s="18"/>
      <c r="G93" s="19"/>
      <c r="H93" s="13"/>
      <c r="I93" s="19"/>
      <c r="J93" s="13"/>
      <c r="K93" s="19"/>
      <c r="L93" s="13"/>
      <c r="M93" s="19"/>
      <c r="N93" s="13"/>
      <c r="O93" s="19"/>
      <c r="P93" s="13"/>
      <c r="Q93" s="19"/>
      <c r="R93" s="13"/>
      <c r="S93" s="19"/>
      <c r="T93" s="13"/>
    </row>
    <row r="94" spans="1:20">
      <c r="A94" s="14"/>
      <c r="B94" s="15"/>
      <c r="C94" s="16"/>
      <c r="D94" s="17"/>
      <c r="E94" s="12"/>
      <c r="F94" s="18"/>
      <c r="G94" s="19"/>
      <c r="H94" s="13"/>
      <c r="I94" s="19"/>
      <c r="J94" s="13"/>
      <c r="K94" s="19"/>
      <c r="L94" s="13"/>
      <c r="M94" s="19"/>
      <c r="N94" s="13"/>
      <c r="O94" s="19"/>
      <c r="P94" s="13"/>
      <c r="Q94" s="19"/>
      <c r="R94" s="13"/>
      <c r="S94" s="19"/>
      <c r="T94" s="13"/>
    </row>
    <row r="95" spans="1:20">
      <c r="A95" s="14"/>
      <c r="B95" s="15"/>
      <c r="C95" s="16"/>
      <c r="D95" s="17"/>
      <c r="E95" s="12"/>
      <c r="F95" s="18"/>
      <c r="G95" s="19"/>
      <c r="H95" s="13"/>
      <c r="I95" s="19"/>
      <c r="J95" s="13"/>
      <c r="K95" s="19"/>
      <c r="L95" s="13"/>
      <c r="M95" s="19"/>
      <c r="N95" s="13"/>
      <c r="O95" s="19"/>
      <c r="P95" s="13"/>
      <c r="Q95" s="19"/>
      <c r="R95" s="13"/>
      <c r="S95" s="19"/>
      <c r="T95" s="13"/>
    </row>
    <row r="96" spans="1:20">
      <c r="A96" s="14"/>
      <c r="B96" s="15"/>
      <c r="C96" s="16"/>
      <c r="D96" s="17"/>
      <c r="E96" s="12"/>
      <c r="F96" s="18"/>
      <c r="G96" s="19"/>
      <c r="H96" s="13"/>
      <c r="I96" s="19"/>
      <c r="J96" s="13"/>
      <c r="K96" s="19"/>
      <c r="L96" s="13"/>
      <c r="M96" s="19"/>
      <c r="N96" s="13"/>
      <c r="O96" s="19"/>
      <c r="P96" s="13"/>
      <c r="Q96" s="19"/>
      <c r="R96" s="13"/>
      <c r="S96" s="19"/>
      <c r="T96" s="13"/>
    </row>
    <row r="97" spans="1:20">
      <c r="A97" s="14"/>
      <c r="B97" s="15"/>
      <c r="C97" s="16"/>
      <c r="D97" s="17"/>
      <c r="E97" s="12"/>
      <c r="F97" s="18"/>
      <c r="G97" s="19"/>
      <c r="H97" s="13"/>
      <c r="I97" s="19"/>
      <c r="J97" s="13"/>
      <c r="K97" s="19"/>
      <c r="L97" s="13"/>
      <c r="M97" s="19"/>
      <c r="N97" s="13"/>
      <c r="O97" s="19"/>
      <c r="P97" s="13"/>
      <c r="Q97" s="19"/>
      <c r="R97" s="13"/>
      <c r="S97" s="19"/>
      <c r="T97" s="13"/>
    </row>
    <row r="98" spans="1:20">
      <c r="A98" s="14"/>
      <c r="B98" s="15"/>
      <c r="C98" s="16"/>
      <c r="D98" s="17"/>
      <c r="E98" s="12"/>
      <c r="F98" s="18"/>
      <c r="G98" s="19"/>
      <c r="H98" s="13"/>
      <c r="I98" s="19"/>
      <c r="J98" s="13"/>
      <c r="K98" s="19"/>
      <c r="L98" s="13"/>
      <c r="M98" s="19"/>
      <c r="N98" s="13"/>
      <c r="O98" s="19"/>
      <c r="P98" s="13"/>
      <c r="Q98" s="19"/>
      <c r="R98" s="13"/>
      <c r="S98" s="19"/>
      <c r="T98" s="13"/>
    </row>
    <row r="99" spans="1:20">
      <c r="A99" s="14"/>
      <c r="B99" s="15"/>
      <c r="C99" s="16"/>
      <c r="D99" s="17"/>
      <c r="E99" s="12"/>
      <c r="F99" s="18"/>
      <c r="G99" s="19"/>
      <c r="H99" s="13"/>
      <c r="I99" s="19"/>
      <c r="J99" s="13"/>
      <c r="K99" s="19"/>
      <c r="L99" s="13"/>
      <c r="M99" s="19"/>
      <c r="N99" s="13"/>
      <c r="O99" s="19"/>
      <c r="P99" s="13"/>
      <c r="Q99" s="19"/>
      <c r="R99" s="13"/>
      <c r="S99" s="19"/>
      <c r="T99" s="13"/>
    </row>
    <row r="100" spans="1:20">
      <c r="A100" s="14"/>
      <c r="B100" s="15"/>
      <c r="C100" s="16"/>
      <c r="D100" s="17"/>
      <c r="E100" s="12"/>
      <c r="F100" s="18"/>
      <c r="G100" s="19"/>
      <c r="H100" s="13"/>
      <c r="I100" s="19"/>
      <c r="J100" s="13"/>
      <c r="K100" s="19"/>
      <c r="L100" s="13"/>
      <c r="M100" s="19"/>
      <c r="N100" s="13"/>
      <c r="O100" s="19"/>
      <c r="P100" s="13"/>
      <c r="Q100" s="19"/>
      <c r="R100" s="13"/>
      <c r="S100" s="19"/>
      <c r="T100" s="13"/>
    </row>
    <row r="101" spans="1:20">
      <c r="A101" s="14"/>
      <c r="B101" s="15"/>
      <c r="C101" s="16"/>
      <c r="D101" s="17"/>
      <c r="E101" s="12"/>
      <c r="F101" s="18"/>
      <c r="G101" s="19"/>
      <c r="H101" s="13"/>
      <c r="I101" s="19"/>
      <c r="J101" s="13"/>
      <c r="K101" s="19"/>
      <c r="L101" s="13"/>
      <c r="M101" s="19"/>
      <c r="N101" s="13"/>
      <c r="O101" s="19"/>
      <c r="P101" s="13"/>
      <c r="Q101" s="19"/>
      <c r="R101" s="13"/>
      <c r="S101" s="19"/>
      <c r="T101" s="13"/>
    </row>
    <row r="102" spans="1:20">
      <c r="A102" s="14"/>
      <c r="B102" s="15"/>
      <c r="C102" s="16"/>
      <c r="D102" s="17"/>
      <c r="E102" s="12"/>
      <c r="F102" s="18"/>
      <c r="G102" s="19"/>
      <c r="H102" s="13"/>
      <c r="I102" s="19"/>
      <c r="J102" s="13"/>
      <c r="K102" s="19"/>
      <c r="L102" s="13"/>
      <c r="M102" s="19"/>
      <c r="N102" s="13"/>
      <c r="O102" s="19"/>
      <c r="P102" s="13"/>
      <c r="Q102" s="19"/>
      <c r="R102" s="13"/>
      <c r="S102" s="19"/>
      <c r="T102" s="13"/>
    </row>
    <row r="103" spans="1:20">
      <c r="A103" s="14"/>
      <c r="B103" s="15"/>
      <c r="C103" s="16"/>
      <c r="D103" s="17"/>
      <c r="E103" s="12"/>
      <c r="F103" s="18"/>
      <c r="G103" s="19"/>
      <c r="H103" s="13"/>
      <c r="I103" s="19"/>
      <c r="J103" s="13"/>
      <c r="K103" s="19"/>
      <c r="L103" s="13"/>
      <c r="M103" s="19"/>
      <c r="N103" s="13"/>
      <c r="O103" s="19"/>
      <c r="P103" s="13"/>
      <c r="Q103" s="19"/>
      <c r="R103" s="13"/>
      <c r="S103" s="19"/>
      <c r="T103" s="13"/>
    </row>
    <row r="104" spans="1:20">
      <c r="A104" s="14"/>
      <c r="B104" s="15"/>
      <c r="C104" s="16"/>
      <c r="D104" s="17"/>
      <c r="E104" s="12"/>
      <c r="F104" s="18"/>
      <c r="G104" s="19"/>
      <c r="H104" s="13"/>
      <c r="I104" s="19"/>
      <c r="J104" s="13"/>
      <c r="K104" s="19"/>
      <c r="L104" s="13"/>
      <c r="M104" s="19"/>
      <c r="N104" s="13"/>
      <c r="O104" s="19"/>
      <c r="P104" s="13"/>
      <c r="Q104" s="19"/>
      <c r="R104" s="13"/>
      <c r="S104" s="19"/>
      <c r="T104" s="13"/>
    </row>
    <row r="105" spans="1:20">
      <c r="A105" s="14"/>
      <c r="B105" s="15"/>
      <c r="C105" s="16"/>
      <c r="D105" s="17"/>
      <c r="E105" s="12"/>
      <c r="F105" s="18"/>
      <c r="G105" s="19"/>
      <c r="H105" s="13"/>
      <c r="I105" s="19"/>
      <c r="J105" s="13"/>
      <c r="K105" s="19"/>
      <c r="L105" s="13"/>
      <c r="M105" s="19"/>
      <c r="N105" s="13"/>
      <c r="O105" s="19"/>
      <c r="P105" s="13"/>
      <c r="Q105" s="19"/>
      <c r="R105" s="13"/>
      <c r="S105" s="19"/>
      <c r="T105" s="13"/>
    </row>
    <row r="106" spans="1:20">
      <c r="A106" s="14"/>
      <c r="B106" s="15"/>
      <c r="C106" s="16"/>
      <c r="D106" s="17"/>
      <c r="E106" s="12"/>
      <c r="F106" s="18"/>
      <c r="G106" s="19"/>
      <c r="H106" s="13"/>
      <c r="I106" s="19"/>
      <c r="J106" s="13"/>
      <c r="K106" s="19"/>
      <c r="L106" s="13"/>
      <c r="M106" s="19"/>
      <c r="N106" s="13"/>
      <c r="O106" s="19"/>
      <c r="P106" s="13"/>
      <c r="Q106" s="19"/>
      <c r="R106" s="13"/>
      <c r="S106" s="19"/>
      <c r="T106" s="13"/>
    </row>
    <row r="107" spans="1:20">
      <c r="A107" s="14"/>
      <c r="B107" s="15"/>
      <c r="C107" s="16"/>
      <c r="D107" s="17"/>
      <c r="E107" s="12"/>
      <c r="F107" s="18"/>
      <c r="G107" s="19"/>
      <c r="H107" s="13"/>
      <c r="I107" s="19"/>
      <c r="J107" s="13"/>
      <c r="K107" s="19"/>
      <c r="L107" s="13"/>
      <c r="M107" s="19"/>
      <c r="N107" s="13"/>
      <c r="O107" s="19"/>
      <c r="P107" s="13"/>
      <c r="Q107" s="19"/>
      <c r="R107" s="13"/>
      <c r="S107" s="19"/>
      <c r="T107" s="13"/>
    </row>
    <row r="108" spans="1:20">
      <c r="A108" s="14"/>
      <c r="B108" s="15"/>
      <c r="C108" s="16"/>
      <c r="D108" s="17"/>
      <c r="E108" s="12"/>
      <c r="F108" s="18"/>
      <c r="G108" s="19"/>
      <c r="H108" s="13"/>
      <c r="I108" s="19"/>
      <c r="J108" s="13"/>
      <c r="K108" s="19"/>
      <c r="L108" s="13"/>
      <c r="M108" s="19"/>
      <c r="N108" s="13"/>
      <c r="O108" s="19"/>
      <c r="P108" s="13"/>
      <c r="Q108" s="19"/>
      <c r="R108" s="13"/>
      <c r="S108" s="19"/>
      <c r="T108" s="13"/>
    </row>
    <row r="109" spans="1:20">
      <c r="A109" s="14"/>
      <c r="B109" s="15"/>
      <c r="C109" s="16"/>
      <c r="D109" s="17"/>
      <c r="E109" s="12"/>
      <c r="F109" s="18"/>
      <c r="G109" s="19"/>
      <c r="H109" s="13"/>
      <c r="I109" s="19"/>
      <c r="J109" s="13"/>
      <c r="K109" s="19"/>
      <c r="L109" s="13"/>
      <c r="M109" s="19"/>
      <c r="N109" s="13"/>
      <c r="O109" s="19"/>
      <c r="P109" s="13"/>
      <c r="Q109" s="19"/>
      <c r="R109" s="13"/>
      <c r="S109" s="19"/>
      <c r="T109" s="13"/>
    </row>
    <row r="110" spans="1:20">
      <c r="A110" s="14"/>
      <c r="B110" s="15"/>
      <c r="C110" s="16"/>
      <c r="D110" s="17"/>
      <c r="E110" s="12"/>
      <c r="F110" s="18"/>
      <c r="G110" s="19"/>
      <c r="H110" s="13"/>
      <c r="I110" s="19"/>
      <c r="J110" s="13"/>
      <c r="K110" s="19"/>
      <c r="L110" s="13"/>
      <c r="M110" s="19"/>
      <c r="N110" s="13"/>
      <c r="O110" s="19"/>
      <c r="P110" s="13"/>
      <c r="Q110" s="19"/>
      <c r="R110" s="13"/>
      <c r="S110" s="19"/>
      <c r="T110" s="13"/>
    </row>
    <row r="111" spans="1:20">
      <c r="A111" s="14"/>
      <c r="B111" s="15"/>
      <c r="C111" s="16"/>
      <c r="D111" s="17"/>
      <c r="E111" s="12"/>
      <c r="F111" s="18"/>
      <c r="G111" s="19"/>
      <c r="H111" s="13"/>
      <c r="I111" s="19"/>
      <c r="J111" s="13"/>
      <c r="K111" s="19"/>
      <c r="L111" s="13"/>
      <c r="M111" s="19"/>
      <c r="N111" s="13"/>
      <c r="O111" s="19"/>
      <c r="P111" s="13"/>
      <c r="Q111" s="19"/>
      <c r="R111" s="13"/>
      <c r="S111" s="19"/>
      <c r="T111" s="13"/>
    </row>
    <row r="112" spans="1:20">
      <c r="A112" s="14"/>
      <c r="B112" s="15"/>
      <c r="C112" s="16"/>
      <c r="D112" s="17"/>
      <c r="E112" s="12"/>
      <c r="F112" s="18"/>
      <c r="G112" s="19"/>
      <c r="H112" s="13"/>
      <c r="I112" s="19"/>
      <c r="J112" s="13"/>
      <c r="K112" s="19"/>
      <c r="L112" s="13"/>
      <c r="M112" s="19"/>
      <c r="N112" s="13"/>
      <c r="O112" s="19"/>
      <c r="P112" s="13"/>
      <c r="Q112" s="19"/>
      <c r="R112" s="13"/>
      <c r="S112" s="19"/>
      <c r="T112" s="13"/>
    </row>
    <row r="113" spans="1:20">
      <c r="A113" s="14"/>
      <c r="B113" s="15"/>
      <c r="C113" s="16"/>
      <c r="D113" s="17"/>
      <c r="E113" s="12"/>
      <c r="F113" s="18"/>
      <c r="G113" s="19"/>
      <c r="H113" s="13"/>
      <c r="I113" s="19"/>
      <c r="J113" s="13"/>
      <c r="K113" s="19"/>
      <c r="L113" s="13"/>
      <c r="M113" s="19"/>
      <c r="N113" s="13"/>
      <c r="O113" s="19"/>
      <c r="P113" s="13"/>
      <c r="Q113" s="19"/>
      <c r="R113" s="13"/>
      <c r="S113" s="19"/>
      <c r="T113" s="13"/>
    </row>
    <row r="114" spans="1:20">
      <c r="A114" s="14"/>
      <c r="B114" s="15"/>
      <c r="C114" s="16"/>
      <c r="D114" s="17"/>
      <c r="E114" s="12"/>
      <c r="F114" s="18"/>
      <c r="G114" s="19"/>
      <c r="H114" s="13"/>
      <c r="I114" s="19"/>
      <c r="J114" s="13"/>
      <c r="K114" s="19"/>
      <c r="L114" s="13"/>
      <c r="M114" s="19"/>
      <c r="N114" s="13"/>
      <c r="O114" s="19"/>
      <c r="P114" s="13"/>
      <c r="Q114" s="19"/>
      <c r="R114" s="13"/>
      <c r="S114" s="19"/>
      <c r="T114" s="13"/>
    </row>
    <row r="115" spans="1:20">
      <c r="A115" s="14"/>
      <c r="B115" s="15"/>
      <c r="C115" s="16"/>
      <c r="D115" s="17"/>
      <c r="E115" s="12"/>
      <c r="F115" s="18"/>
      <c r="G115" s="19"/>
      <c r="H115" s="13"/>
      <c r="I115" s="19"/>
      <c r="J115" s="13"/>
      <c r="K115" s="19"/>
      <c r="L115" s="13"/>
      <c r="M115" s="19"/>
      <c r="N115" s="13"/>
      <c r="O115" s="19"/>
      <c r="P115" s="13"/>
      <c r="Q115" s="19"/>
      <c r="R115" s="13"/>
      <c r="S115" s="19"/>
      <c r="T115" s="13"/>
    </row>
    <row r="116" spans="1:20">
      <c r="A116" s="14"/>
      <c r="B116" s="15"/>
      <c r="C116" s="16"/>
      <c r="D116" s="17"/>
      <c r="E116" s="12"/>
      <c r="F116" s="18"/>
      <c r="G116" s="19"/>
      <c r="H116" s="13"/>
      <c r="I116" s="19"/>
      <c r="J116" s="13"/>
      <c r="K116" s="19"/>
      <c r="L116" s="13"/>
      <c r="M116" s="19"/>
      <c r="N116" s="13"/>
      <c r="O116" s="19"/>
      <c r="P116" s="13"/>
      <c r="Q116" s="19"/>
      <c r="R116" s="13"/>
      <c r="S116" s="19"/>
      <c r="T116" s="13"/>
    </row>
    <row r="117" spans="1:20">
      <c r="A117" s="14"/>
      <c r="B117" s="15"/>
      <c r="C117" s="16"/>
      <c r="D117" s="17"/>
      <c r="E117" s="12"/>
      <c r="F117" s="18"/>
      <c r="G117" s="19"/>
      <c r="H117" s="13"/>
      <c r="I117" s="19"/>
      <c r="J117" s="13"/>
      <c r="K117" s="19"/>
      <c r="L117" s="13"/>
      <c r="M117" s="19"/>
      <c r="N117" s="13"/>
      <c r="O117" s="19"/>
      <c r="P117" s="13"/>
      <c r="Q117" s="19"/>
      <c r="R117" s="13"/>
      <c r="S117" s="19"/>
      <c r="T117" s="13"/>
    </row>
    <row r="118" spans="1:20">
      <c r="A118" s="14"/>
      <c r="B118" s="15"/>
      <c r="C118" s="16"/>
      <c r="D118" s="17"/>
      <c r="E118" s="12"/>
      <c r="F118" s="18"/>
      <c r="G118" s="19"/>
      <c r="H118" s="13"/>
      <c r="I118" s="19"/>
      <c r="J118" s="13"/>
      <c r="K118" s="19"/>
      <c r="L118" s="13"/>
      <c r="M118" s="19"/>
      <c r="N118" s="13"/>
      <c r="O118" s="19"/>
      <c r="P118" s="13"/>
      <c r="Q118" s="19"/>
      <c r="R118" s="13"/>
      <c r="S118" s="19"/>
      <c r="T118" s="13"/>
    </row>
    <row r="119" spans="1:20">
      <c r="A119" s="14"/>
      <c r="B119" s="15"/>
      <c r="C119" s="16"/>
      <c r="D119" s="17"/>
      <c r="E119" s="12"/>
      <c r="F119" s="18"/>
      <c r="G119" s="19"/>
      <c r="H119" s="13"/>
      <c r="I119" s="19"/>
      <c r="J119" s="13"/>
      <c r="K119" s="19"/>
      <c r="L119" s="13"/>
      <c r="M119" s="19"/>
      <c r="N119" s="13"/>
      <c r="O119" s="19"/>
      <c r="P119" s="13"/>
      <c r="Q119" s="19"/>
      <c r="R119" s="13"/>
      <c r="S119" s="19"/>
      <c r="T119" s="13"/>
    </row>
    <row r="120" spans="1:20">
      <c r="A120" s="14"/>
      <c r="B120" s="15"/>
      <c r="C120" s="16"/>
      <c r="D120" s="17"/>
      <c r="E120" s="12"/>
      <c r="F120" s="18"/>
      <c r="G120" s="19"/>
      <c r="H120" s="13"/>
      <c r="I120" s="19"/>
      <c r="J120" s="13"/>
      <c r="K120" s="19"/>
      <c r="L120" s="13"/>
      <c r="M120" s="19"/>
      <c r="N120" s="13"/>
      <c r="O120" s="19"/>
      <c r="P120" s="13"/>
      <c r="Q120" s="19"/>
      <c r="R120" s="13"/>
      <c r="S120" s="19"/>
      <c r="T120" s="13"/>
    </row>
    <row r="121" spans="1:20">
      <c r="A121" s="14"/>
      <c r="B121" s="15"/>
      <c r="C121" s="16"/>
      <c r="D121" s="17"/>
      <c r="E121" s="12"/>
      <c r="F121" s="18"/>
      <c r="G121" s="19"/>
      <c r="H121" s="13"/>
      <c r="I121" s="19"/>
      <c r="J121" s="13"/>
      <c r="K121" s="19"/>
      <c r="L121" s="13"/>
      <c r="M121" s="19"/>
      <c r="N121" s="13"/>
      <c r="O121" s="19"/>
      <c r="P121" s="13"/>
      <c r="Q121" s="19"/>
      <c r="R121" s="13"/>
      <c r="S121" s="19"/>
      <c r="T121" s="13"/>
    </row>
    <row r="122" spans="1:20">
      <c r="A122" s="14"/>
      <c r="B122" s="15"/>
      <c r="C122" s="16"/>
      <c r="D122" s="17"/>
      <c r="E122" s="12"/>
      <c r="F122" s="18"/>
      <c r="G122" s="19"/>
      <c r="H122" s="13"/>
      <c r="I122" s="19"/>
      <c r="J122" s="13"/>
      <c r="K122" s="19"/>
      <c r="L122" s="13"/>
      <c r="M122" s="19"/>
      <c r="N122" s="13"/>
      <c r="O122" s="19"/>
      <c r="P122" s="13"/>
      <c r="Q122" s="19"/>
      <c r="R122" s="13"/>
      <c r="S122" s="19"/>
      <c r="T122" s="13"/>
    </row>
    <row r="123" spans="1:20">
      <c r="A123" s="14"/>
      <c r="B123" s="15"/>
      <c r="C123" s="16"/>
      <c r="D123" s="17"/>
      <c r="E123" s="12"/>
      <c r="F123" s="18"/>
      <c r="G123" s="19"/>
      <c r="H123" s="13"/>
      <c r="I123" s="19"/>
      <c r="J123" s="13"/>
      <c r="K123" s="19"/>
      <c r="L123" s="13"/>
      <c r="M123" s="19"/>
      <c r="N123" s="13"/>
      <c r="O123" s="19"/>
      <c r="P123" s="13"/>
      <c r="Q123" s="19"/>
      <c r="R123" s="13"/>
      <c r="S123" s="19"/>
      <c r="T123" s="13"/>
    </row>
    <row r="124" spans="1:20">
      <c r="A124" s="14"/>
      <c r="B124" s="15"/>
      <c r="C124" s="16"/>
      <c r="D124" s="17"/>
      <c r="E124" s="12"/>
      <c r="F124" s="18"/>
      <c r="G124" s="19"/>
      <c r="H124" s="13"/>
      <c r="I124" s="19"/>
      <c r="J124" s="13"/>
      <c r="K124" s="19"/>
      <c r="L124" s="13"/>
      <c r="M124" s="19"/>
      <c r="N124" s="13"/>
      <c r="O124" s="19"/>
      <c r="P124" s="13"/>
      <c r="Q124" s="19"/>
      <c r="R124" s="13"/>
      <c r="S124" s="19"/>
      <c r="T124" s="13"/>
    </row>
    <row r="125" spans="1:20">
      <c r="A125" s="14"/>
      <c r="B125" s="15"/>
      <c r="C125" s="16"/>
      <c r="D125" s="17"/>
      <c r="E125" s="12"/>
      <c r="F125" s="18"/>
      <c r="G125" s="19"/>
      <c r="H125" s="13"/>
      <c r="I125" s="19"/>
      <c r="J125" s="13"/>
      <c r="K125" s="19"/>
      <c r="L125" s="13"/>
      <c r="M125" s="19"/>
      <c r="N125" s="13"/>
      <c r="O125" s="19"/>
      <c r="P125" s="13"/>
      <c r="Q125" s="19"/>
      <c r="R125" s="13"/>
      <c r="S125" s="19"/>
      <c r="T125" s="13"/>
    </row>
    <row r="126" spans="1:20">
      <c r="A126" s="14"/>
      <c r="B126" s="15"/>
      <c r="C126" s="16"/>
      <c r="D126" s="17"/>
      <c r="E126" s="12"/>
      <c r="F126" s="18"/>
      <c r="G126" s="19"/>
      <c r="H126" s="13"/>
      <c r="I126" s="19"/>
      <c r="J126" s="13"/>
      <c r="K126" s="19"/>
      <c r="L126" s="13"/>
      <c r="M126" s="19"/>
      <c r="N126" s="13"/>
      <c r="O126" s="19"/>
      <c r="P126" s="13"/>
      <c r="Q126" s="19"/>
      <c r="R126" s="13"/>
      <c r="S126" s="19"/>
      <c r="T126" s="13"/>
    </row>
    <row r="127" spans="1:20">
      <c r="A127" s="14"/>
      <c r="B127" s="15"/>
      <c r="C127" s="16"/>
      <c r="D127" s="17"/>
      <c r="E127" s="12"/>
      <c r="F127" s="18"/>
      <c r="G127" s="19"/>
      <c r="H127" s="13"/>
      <c r="I127" s="19"/>
      <c r="J127" s="13"/>
      <c r="K127" s="19"/>
      <c r="L127" s="13"/>
      <c r="M127" s="19"/>
      <c r="N127" s="13"/>
      <c r="O127" s="19"/>
      <c r="P127" s="13"/>
      <c r="Q127" s="19"/>
      <c r="R127" s="13"/>
      <c r="S127" s="19"/>
      <c r="T127" s="13"/>
    </row>
    <row r="128" spans="1:20">
      <c r="A128" s="14"/>
      <c r="B128" s="15"/>
      <c r="C128" s="16"/>
      <c r="D128" s="17"/>
      <c r="E128" s="12"/>
      <c r="F128" s="18"/>
      <c r="G128" s="19"/>
      <c r="H128" s="13"/>
      <c r="I128" s="19"/>
      <c r="J128" s="13"/>
      <c r="K128" s="19"/>
      <c r="L128" s="13"/>
      <c r="M128" s="19"/>
      <c r="N128" s="13"/>
      <c r="O128" s="19"/>
      <c r="P128" s="13"/>
      <c r="Q128" s="19"/>
      <c r="R128" s="13"/>
      <c r="S128" s="19"/>
      <c r="T128" s="13"/>
    </row>
    <row r="129" spans="1:20">
      <c r="A129" s="14"/>
      <c r="B129" s="15"/>
      <c r="C129" s="16"/>
      <c r="D129" s="17"/>
      <c r="E129" s="12"/>
      <c r="F129" s="18"/>
      <c r="G129" s="19"/>
      <c r="H129" s="13"/>
      <c r="I129" s="19"/>
      <c r="J129" s="13"/>
      <c r="K129" s="19"/>
      <c r="L129" s="13"/>
      <c r="M129" s="19"/>
      <c r="N129" s="13"/>
      <c r="O129" s="19"/>
      <c r="P129" s="13"/>
      <c r="Q129" s="19"/>
      <c r="R129" s="13"/>
      <c r="S129" s="19"/>
      <c r="T129" s="13"/>
    </row>
    <row r="130" spans="1:20">
      <c r="A130" s="14"/>
      <c r="B130" s="15"/>
      <c r="C130" s="16"/>
      <c r="D130" s="17"/>
      <c r="E130" s="12"/>
      <c r="F130" s="18"/>
      <c r="G130" s="19"/>
      <c r="H130" s="13"/>
      <c r="I130" s="19"/>
      <c r="J130" s="13"/>
      <c r="K130" s="19"/>
      <c r="L130" s="13"/>
      <c r="M130" s="19"/>
      <c r="N130" s="13"/>
      <c r="O130" s="19"/>
      <c r="P130" s="13"/>
      <c r="Q130" s="19"/>
      <c r="R130" s="13"/>
      <c r="S130" s="19"/>
      <c r="T130" s="13"/>
    </row>
    <row r="131" spans="1:20">
      <c r="A131" s="14"/>
      <c r="B131" s="15"/>
      <c r="C131" s="16"/>
      <c r="D131" s="17"/>
      <c r="E131" s="12"/>
      <c r="F131" s="18"/>
      <c r="G131" s="19"/>
      <c r="H131" s="13"/>
      <c r="I131" s="19"/>
      <c r="J131" s="13"/>
      <c r="K131" s="19"/>
      <c r="L131" s="13"/>
      <c r="M131" s="19"/>
      <c r="N131" s="13"/>
      <c r="O131" s="19"/>
      <c r="P131" s="13"/>
      <c r="Q131" s="19"/>
      <c r="R131" s="13"/>
      <c r="S131" s="19"/>
      <c r="T131" s="13"/>
    </row>
    <row r="132" spans="1:20">
      <c r="A132" s="14"/>
      <c r="B132" s="15"/>
      <c r="C132" s="16"/>
      <c r="D132" s="17"/>
      <c r="E132" s="12"/>
      <c r="F132" s="18"/>
      <c r="G132" s="19"/>
      <c r="H132" s="13"/>
      <c r="I132" s="19"/>
      <c r="J132" s="13"/>
      <c r="K132" s="19"/>
      <c r="L132" s="13"/>
      <c r="M132" s="19"/>
      <c r="N132" s="13"/>
      <c r="O132" s="19"/>
      <c r="P132" s="13"/>
      <c r="Q132" s="19"/>
      <c r="R132" s="13"/>
      <c r="S132" s="19"/>
      <c r="T132" s="13"/>
    </row>
    <row r="133" spans="1:20">
      <c r="A133" s="14"/>
      <c r="B133" s="15"/>
      <c r="C133" s="16"/>
      <c r="D133" s="17"/>
      <c r="E133" s="12"/>
      <c r="F133" s="18"/>
      <c r="G133" s="19"/>
      <c r="H133" s="13"/>
      <c r="I133" s="19"/>
      <c r="J133" s="13"/>
      <c r="K133" s="19"/>
      <c r="L133" s="13"/>
      <c r="M133" s="19"/>
      <c r="N133" s="13"/>
      <c r="O133" s="19"/>
      <c r="P133" s="13"/>
      <c r="Q133" s="19"/>
      <c r="R133" s="13"/>
      <c r="S133" s="19"/>
      <c r="T133" s="13"/>
    </row>
    <row r="134" spans="1:20">
      <c r="A134" s="14"/>
      <c r="B134" s="15"/>
      <c r="C134" s="16"/>
      <c r="D134" s="17"/>
      <c r="E134" s="12"/>
      <c r="F134" s="18"/>
      <c r="G134" s="19"/>
      <c r="H134" s="13"/>
      <c r="I134" s="19"/>
      <c r="J134" s="13"/>
      <c r="K134" s="19"/>
      <c r="L134" s="13"/>
      <c r="M134" s="19"/>
      <c r="N134" s="13"/>
      <c r="O134" s="19"/>
      <c r="P134" s="13"/>
      <c r="Q134" s="19"/>
      <c r="R134" s="13"/>
      <c r="S134" s="19"/>
      <c r="T134" s="13"/>
    </row>
    <row r="135" spans="1:20">
      <c r="A135" s="14"/>
      <c r="B135" s="15"/>
      <c r="C135" s="16"/>
      <c r="D135" s="17"/>
      <c r="E135" s="12"/>
      <c r="F135" s="18"/>
      <c r="G135" s="19"/>
      <c r="H135" s="13"/>
      <c r="I135" s="19"/>
      <c r="J135" s="13"/>
      <c r="K135" s="19"/>
      <c r="L135" s="13"/>
      <c r="M135" s="19"/>
      <c r="N135" s="13"/>
      <c r="O135" s="19"/>
      <c r="P135" s="13"/>
      <c r="Q135" s="19"/>
      <c r="R135" s="13"/>
      <c r="S135" s="19"/>
      <c r="T135" s="13"/>
    </row>
    <row r="136" spans="1:20">
      <c r="A136" s="14"/>
      <c r="B136" s="15"/>
      <c r="C136" s="16"/>
      <c r="D136" s="17"/>
      <c r="E136" s="12"/>
      <c r="F136" s="18"/>
      <c r="G136" s="19"/>
      <c r="H136" s="13"/>
      <c r="I136" s="19"/>
      <c r="J136" s="13"/>
      <c r="K136" s="19"/>
      <c r="L136" s="13"/>
      <c r="M136" s="19"/>
      <c r="N136" s="13"/>
      <c r="O136" s="19"/>
      <c r="P136" s="13"/>
      <c r="Q136" s="19"/>
      <c r="R136" s="13"/>
      <c r="S136" s="19"/>
      <c r="T136" s="13"/>
    </row>
    <row r="137" spans="1:20">
      <c r="A137" s="14"/>
      <c r="B137" s="15"/>
      <c r="C137" s="16"/>
      <c r="D137" s="17"/>
      <c r="E137" s="12"/>
      <c r="F137" s="18"/>
      <c r="G137" s="19"/>
      <c r="H137" s="13"/>
      <c r="I137" s="19"/>
      <c r="J137" s="13"/>
      <c r="K137" s="19"/>
      <c r="L137" s="13"/>
      <c r="M137" s="19"/>
      <c r="N137" s="13"/>
      <c r="O137" s="19"/>
      <c r="P137" s="13"/>
      <c r="Q137" s="19"/>
      <c r="R137" s="13"/>
      <c r="S137" s="19"/>
      <c r="T137" s="13"/>
    </row>
    <row r="138" spans="1:20">
      <c r="A138" s="14"/>
      <c r="B138" s="15"/>
      <c r="C138" s="16"/>
      <c r="D138" s="17"/>
      <c r="E138" s="12"/>
      <c r="F138" s="18"/>
      <c r="G138" s="19"/>
      <c r="H138" s="13"/>
      <c r="I138" s="19"/>
      <c r="J138" s="13"/>
      <c r="K138" s="19"/>
      <c r="L138" s="13"/>
      <c r="M138" s="19"/>
      <c r="N138" s="13"/>
      <c r="O138" s="19"/>
      <c r="P138" s="13"/>
      <c r="Q138" s="19"/>
      <c r="R138" s="13"/>
      <c r="S138" s="19"/>
      <c r="T138" s="13"/>
    </row>
    <row r="139" spans="1:20">
      <c r="A139" s="14"/>
      <c r="B139" s="15"/>
      <c r="C139" s="16"/>
      <c r="D139" s="17"/>
      <c r="E139" s="12"/>
      <c r="F139" s="18"/>
      <c r="G139" s="19"/>
      <c r="H139" s="13"/>
      <c r="I139" s="19"/>
      <c r="J139" s="13"/>
      <c r="K139" s="19"/>
      <c r="L139" s="13"/>
      <c r="M139" s="19"/>
      <c r="N139" s="13"/>
      <c r="O139" s="19"/>
      <c r="P139" s="13"/>
      <c r="Q139" s="19"/>
      <c r="R139" s="13"/>
      <c r="S139" s="19"/>
      <c r="T139" s="13"/>
    </row>
    <row r="140" spans="1:20">
      <c r="A140" s="14"/>
      <c r="B140" s="15"/>
      <c r="C140" s="16"/>
      <c r="D140" s="17"/>
      <c r="E140" s="12"/>
      <c r="F140" s="18"/>
      <c r="G140" s="19"/>
      <c r="H140" s="13"/>
      <c r="I140" s="19"/>
      <c r="J140" s="13"/>
      <c r="K140" s="19"/>
      <c r="L140" s="13"/>
      <c r="M140" s="19"/>
      <c r="N140" s="13"/>
      <c r="O140" s="19"/>
      <c r="P140" s="13"/>
      <c r="Q140" s="19"/>
      <c r="R140" s="13"/>
      <c r="S140" s="19"/>
      <c r="T140" s="13"/>
    </row>
    <row r="141" spans="1:20">
      <c r="A141" s="14"/>
      <c r="B141" s="15"/>
      <c r="C141" s="16"/>
      <c r="D141" s="17"/>
      <c r="E141" s="12"/>
      <c r="F141" s="18"/>
      <c r="G141" s="19"/>
      <c r="H141" s="13"/>
      <c r="I141" s="19"/>
      <c r="J141" s="13"/>
      <c r="K141" s="19"/>
      <c r="L141" s="13"/>
      <c r="M141" s="19"/>
      <c r="N141" s="13"/>
      <c r="O141" s="19"/>
      <c r="P141" s="13"/>
      <c r="Q141" s="19"/>
      <c r="R141" s="13"/>
      <c r="S141" s="19"/>
      <c r="T141" s="13"/>
    </row>
    <row r="142" spans="1:20">
      <c r="A142" s="14"/>
      <c r="B142" s="15"/>
      <c r="C142" s="16"/>
      <c r="D142" s="17"/>
      <c r="E142" s="12"/>
      <c r="F142" s="18"/>
      <c r="G142" s="19"/>
      <c r="H142" s="13"/>
      <c r="I142" s="19"/>
      <c r="J142" s="13"/>
      <c r="K142" s="19"/>
      <c r="L142" s="13"/>
      <c r="M142" s="19"/>
      <c r="N142" s="13"/>
      <c r="O142" s="19"/>
      <c r="P142" s="13"/>
      <c r="Q142" s="19"/>
      <c r="R142" s="13"/>
      <c r="S142" s="19"/>
      <c r="T142" s="13"/>
    </row>
    <row r="143" spans="1:20">
      <c r="A143" s="14"/>
      <c r="B143" s="15"/>
      <c r="C143" s="16"/>
      <c r="D143" s="17"/>
      <c r="E143" s="12"/>
      <c r="F143" s="18"/>
      <c r="G143" s="19"/>
      <c r="H143" s="13"/>
      <c r="I143" s="19"/>
      <c r="J143" s="13"/>
      <c r="K143" s="19"/>
      <c r="L143" s="13"/>
      <c r="M143" s="19"/>
      <c r="N143" s="13"/>
      <c r="O143" s="19"/>
      <c r="P143" s="13"/>
      <c r="Q143" s="19"/>
      <c r="R143" s="13"/>
      <c r="S143" s="19"/>
      <c r="T143" s="13"/>
    </row>
    <row r="144" spans="1:20">
      <c r="A144" s="14"/>
      <c r="B144" s="15"/>
      <c r="C144" s="16"/>
      <c r="D144" s="17"/>
      <c r="E144" s="12"/>
      <c r="F144" s="18"/>
      <c r="G144" s="19"/>
      <c r="H144" s="13"/>
      <c r="I144" s="19"/>
      <c r="J144" s="13"/>
      <c r="K144" s="19"/>
      <c r="L144" s="13"/>
      <c r="M144" s="19"/>
      <c r="N144" s="13"/>
      <c r="O144" s="19"/>
      <c r="P144" s="13"/>
      <c r="Q144" s="19"/>
      <c r="R144" s="13"/>
      <c r="S144" s="19"/>
      <c r="T144" s="13"/>
    </row>
    <row r="145" spans="1:20">
      <c r="A145" s="14"/>
      <c r="B145" s="15"/>
      <c r="C145" s="16"/>
      <c r="D145" s="17"/>
      <c r="E145" s="12"/>
      <c r="F145" s="18"/>
      <c r="G145" s="19"/>
      <c r="H145" s="13"/>
      <c r="I145" s="19"/>
      <c r="J145" s="13"/>
      <c r="K145" s="19"/>
      <c r="L145" s="13"/>
      <c r="M145" s="19"/>
      <c r="N145" s="13"/>
      <c r="O145" s="19"/>
      <c r="P145" s="13"/>
      <c r="Q145" s="19"/>
      <c r="R145" s="13"/>
      <c r="S145" s="19"/>
      <c r="T145" s="13"/>
    </row>
    <row r="146" spans="1:20">
      <c r="A146" s="14"/>
      <c r="B146" s="15"/>
      <c r="C146" s="16"/>
      <c r="D146" s="17"/>
      <c r="E146" s="12"/>
      <c r="F146" s="18"/>
      <c r="G146" s="19"/>
      <c r="H146" s="13"/>
      <c r="I146" s="19"/>
      <c r="J146" s="13"/>
      <c r="K146" s="19"/>
      <c r="L146" s="13"/>
      <c r="M146" s="19"/>
      <c r="N146" s="13"/>
      <c r="O146" s="19"/>
      <c r="P146" s="13"/>
      <c r="Q146" s="19"/>
      <c r="R146" s="13"/>
      <c r="S146" s="19"/>
      <c r="T146" s="13"/>
    </row>
    <row r="147" spans="1:20">
      <c r="A147" s="14"/>
      <c r="B147" s="15"/>
      <c r="C147" s="16"/>
      <c r="D147" s="17"/>
      <c r="E147" s="12"/>
      <c r="F147" s="18"/>
      <c r="G147" s="19"/>
      <c r="H147" s="13"/>
      <c r="I147" s="19"/>
      <c r="J147" s="13"/>
      <c r="K147" s="19"/>
      <c r="L147" s="13"/>
      <c r="M147" s="19"/>
      <c r="N147" s="13"/>
      <c r="O147" s="19"/>
      <c r="P147" s="13"/>
      <c r="Q147" s="19"/>
      <c r="R147" s="13"/>
      <c r="S147" s="19"/>
      <c r="T147" s="13"/>
    </row>
    <row r="148" spans="1:20">
      <c r="A148" s="14"/>
      <c r="B148" s="15"/>
      <c r="C148" s="16"/>
      <c r="D148" s="17"/>
      <c r="E148" s="12"/>
      <c r="F148" s="18"/>
      <c r="G148" s="19"/>
      <c r="H148" s="13"/>
      <c r="I148" s="19"/>
      <c r="J148" s="13"/>
      <c r="K148" s="19"/>
      <c r="L148" s="13"/>
      <c r="M148" s="19"/>
      <c r="N148" s="13"/>
      <c r="O148" s="19"/>
      <c r="P148" s="13"/>
      <c r="Q148" s="19"/>
      <c r="R148" s="13"/>
      <c r="S148" s="19"/>
      <c r="T148" s="13"/>
    </row>
    <row r="149" spans="1:20">
      <c r="A149" s="14"/>
      <c r="B149" s="15"/>
      <c r="C149" s="16"/>
      <c r="D149" s="17"/>
      <c r="E149" s="12"/>
      <c r="F149" s="18"/>
      <c r="G149" s="19"/>
      <c r="H149" s="13"/>
      <c r="I149" s="19"/>
      <c r="J149" s="13"/>
      <c r="K149" s="19"/>
      <c r="L149" s="13"/>
      <c r="M149" s="19"/>
      <c r="N149" s="13"/>
      <c r="O149" s="19"/>
      <c r="P149" s="13"/>
      <c r="Q149" s="19"/>
      <c r="R149" s="13"/>
      <c r="S149" s="19"/>
      <c r="T149" s="13"/>
    </row>
    <row r="150" spans="1:20">
      <c r="A150" s="14"/>
      <c r="B150" s="15"/>
      <c r="C150" s="16"/>
      <c r="D150" s="17"/>
      <c r="E150" s="12"/>
      <c r="F150" s="18"/>
      <c r="G150" s="19"/>
      <c r="H150" s="13"/>
      <c r="I150" s="19"/>
      <c r="J150" s="13"/>
      <c r="K150" s="19"/>
      <c r="L150" s="13"/>
      <c r="M150" s="19"/>
      <c r="N150" s="13"/>
      <c r="O150" s="19"/>
      <c r="P150" s="13"/>
      <c r="Q150" s="19"/>
      <c r="R150" s="13"/>
      <c r="S150" s="19"/>
      <c r="T150" s="13"/>
    </row>
    <row r="151" spans="1:20">
      <c r="A151" s="14"/>
      <c r="B151" s="15"/>
      <c r="C151" s="16"/>
      <c r="D151" s="17"/>
      <c r="E151" s="12"/>
      <c r="F151" s="18"/>
      <c r="G151" s="19"/>
      <c r="H151" s="13"/>
      <c r="I151" s="19"/>
      <c r="J151" s="13"/>
      <c r="K151" s="19"/>
      <c r="L151" s="13"/>
      <c r="M151" s="19"/>
      <c r="N151" s="13"/>
      <c r="O151" s="19"/>
      <c r="P151" s="13"/>
      <c r="Q151" s="19"/>
      <c r="R151" s="13"/>
      <c r="S151" s="19"/>
      <c r="T151" s="13"/>
    </row>
    <row r="152" spans="1:20">
      <c r="A152" s="14"/>
      <c r="B152" s="15"/>
      <c r="C152" s="16"/>
      <c r="D152" s="17"/>
      <c r="E152" s="12"/>
      <c r="F152" s="18"/>
      <c r="G152" s="19"/>
      <c r="H152" s="13"/>
      <c r="I152" s="19"/>
      <c r="J152" s="13"/>
      <c r="K152" s="19"/>
      <c r="L152" s="13"/>
      <c r="M152" s="19"/>
      <c r="N152" s="13"/>
      <c r="O152" s="19"/>
      <c r="P152" s="13"/>
      <c r="Q152" s="19"/>
      <c r="R152" s="13"/>
      <c r="S152" s="19"/>
      <c r="T152" s="13"/>
    </row>
    <row r="153" spans="1:20">
      <c r="A153" s="14"/>
      <c r="B153" s="15"/>
      <c r="C153" s="16"/>
      <c r="D153" s="17"/>
      <c r="E153" s="12"/>
      <c r="F153" s="18"/>
      <c r="G153" s="19"/>
      <c r="H153" s="13"/>
      <c r="I153" s="19"/>
      <c r="J153" s="13"/>
      <c r="K153" s="19"/>
      <c r="L153" s="13"/>
      <c r="M153" s="19"/>
      <c r="N153" s="13"/>
      <c r="O153" s="19"/>
      <c r="P153" s="13"/>
      <c r="Q153" s="19"/>
      <c r="R153" s="13"/>
      <c r="S153" s="19"/>
      <c r="T153" s="13"/>
    </row>
    <row r="154" spans="1:20">
      <c r="A154" s="14"/>
      <c r="B154" s="15"/>
      <c r="C154" s="16"/>
      <c r="D154" s="17"/>
      <c r="E154" s="12"/>
      <c r="F154" s="18"/>
      <c r="G154" s="19"/>
      <c r="H154" s="13"/>
      <c r="I154" s="19"/>
      <c r="J154" s="13"/>
      <c r="K154" s="19"/>
      <c r="L154" s="13"/>
      <c r="M154" s="19"/>
      <c r="N154" s="13"/>
      <c r="O154" s="19"/>
      <c r="P154" s="13"/>
      <c r="Q154" s="19"/>
      <c r="R154" s="13"/>
      <c r="S154" s="19"/>
      <c r="T154" s="13"/>
    </row>
    <row r="155" spans="1:20">
      <c r="A155" s="14"/>
      <c r="B155" s="15"/>
      <c r="C155" s="16"/>
      <c r="D155" s="17"/>
      <c r="E155" s="12"/>
      <c r="F155" s="18"/>
      <c r="G155" s="19"/>
      <c r="H155" s="13"/>
      <c r="I155" s="19"/>
      <c r="J155" s="13"/>
      <c r="K155" s="19"/>
      <c r="L155" s="13"/>
      <c r="M155" s="19"/>
      <c r="N155" s="13"/>
      <c r="O155" s="19"/>
      <c r="P155" s="13"/>
      <c r="Q155" s="19"/>
      <c r="R155" s="13"/>
      <c r="S155" s="19"/>
      <c r="T155" s="13"/>
    </row>
    <row r="156" spans="1:20">
      <c r="A156" s="14"/>
      <c r="B156" s="15"/>
      <c r="C156" s="16"/>
      <c r="D156" s="17"/>
      <c r="E156" s="12"/>
      <c r="F156" s="18"/>
      <c r="G156" s="19"/>
      <c r="H156" s="13"/>
      <c r="I156" s="19"/>
      <c r="J156" s="13"/>
      <c r="K156" s="19"/>
      <c r="L156" s="13"/>
      <c r="M156" s="19"/>
      <c r="N156" s="13"/>
      <c r="O156" s="19"/>
      <c r="P156" s="13"/>
      <c r="Q156" s="19"/>
      <c r="R156" s="13"/>
      <c r="S156" s="19"/>
      <c r="T156" s="13"/>
    </row>
    <row r="157" spans="1:20">
      <c r="A157" s="14"/>
      <c r="B157" s="15"/>
      <c r="C157" s="16"/>
      <c r="D157" s="17"/>
      <c r="E157" s="12"/>
      <c r="F157" s="18"/>
      <c r="G157" s="19"/>
      <c r="H157" s="13"/>
      <c r="I157" s="19"/>
      <c r="J157" s="13"/>
      <c r="K157" s="19"/>
      <c r="L157" s="13"/>
      <c r="M157" s="19"/>
      <c r="N157" s="13"/>
      <c r="O157" s="19"/>
      <c r="P157" s="13"/>
      <c r="Q157" s="19"/>
      <c r="R157" s="13"/>
      <c r="S157" s="19"/>
      <c r="T157" s="13"/>
    </row>
    <row r="158" spans="1:20">
      <c r="A158" s="14"/>
      <c r="B158" s="15"/>
      <c r="C158" s="16"/>
      <c r="D158" s="17"/>
      <c r="E158" s="12"/>
      <c r="F158" s="18"/>
      <c r="G158" s="19"/>
      <c r="H158" s="13"/>
      <c r="I158" s="19"/>
      <c r="J158" s="13"/>
      <c r="K158" s="19"/>
      <c r="L158" s="13"/>
      <c r="M158" s="19"/>
      <c r="N158" s="13"/>
      <c r="O158" s="19"/>
      <c r="P158" s="13"/>
      <c r="Q158" s="19"/>
      <c r="R158" s="13"/>
      <c r="S158" s="19"/>
      <c r="T158" s="13"/>
    </row>
    <row r="159" spans="1:20">
      <c r="A159" s="14"/>
      <c r="B159" s="15"/>
      <c r="C159" s="16"/>
      <c r="D159" s="17"/>
      <c r="E159" s="12"/>
      <c r="F159" s="18"/>
      <c r="G159" s="19"/>
      <c r="H159" s="13"/>
      <c r="I159" s="19"/>
      <c r="J159" s="13"/>
      <c r="K159" s="19"/>
      <c r="L159" s="13"/>
      <c r="M159" s="19"/>
      <c r="N159" s="13"/>
      <c r="O159" s="19"/>
      <c r="P159" s="13"/>
      <c r="Q159" s="19"/>
      <c r="R159" s="13"/>
      <c r="S159" s="19"/>
      <c r="T159" s="13"/>
    </row>
    <row r="160" spans="1:20">
      <c r="A160" s="14"/>
      <c r="B160" s="15"/>
      <c r="C160" s="16"/>
      <c r="D160" s="17"/>
      <c r="E160" s="12"/>
      <c r="F160" s="18"/>
      <c r="G160" s="19"/>
      <c r="H160" s="13"/>
      <c r="I160" s="19"/>
      <c r="J160" s="13"/>
      <c r="K160" s="19"/>
      <c r="L160" s="13"/>
      <c r="M160" s="19"/>
      <c r="N160" s="13"/>
      <c r="O160" s="19"/>
      <c r="P160" s="13"/>
      <c r="Q160" s="19"/>
      <c r="R160" s="13"/>
      <c r="S160" s="19"/>
      <c r="T160" s="13"/>
    </row>
    <row r="161" spans="1:20">
      <c r="A161" s="14"/>
      <c r="B161" s="15"/>
      <c r="C161" s="16"/>
      <c r="D161" s="17"/>
      <c r="E161" s="12"/>
      <c r="F161" s="18"/>
      <c r="G161" s="19"/>
      <c r="H161" s="13"/>
      <c r="I161" s="19"/>
      <c r="J161" s="13"/>
      <c r="K161" s="19"/>
      <c r="L161" s="13"/>
      <c r="M161" s="19"/>
      <c r="N161" s="13"/>
      <c r="O161" s="19"/>
      <c r="P161" s="13"/>
      <c r="Q161" s="19"/>
      <c r="R161" s="13"/>
      <c r="S161" s="19"/>
      <c r="T161" s="13"/>
    </row>
    <row r="162" spans="1:20">
      <c r="A162" s="14"/>
      <c r="B162" s="15"/>
      <c r="C162" s="16"/>
      <c r="D162" s="17"/>
      <c r="E162" s="12"/>
      <c r="F162" s="18"/>
      <c r="G162" s="19"/>
      <c r="H162" s="13"/>
      <c r="I162" s="19"/>
      <c r="J162" s="13"/>
      <c r="K162" s="19"/>
      <c r="L162" s="13"/>
      <c r="M162" s="19"/>
      <c r="N162" s="13"/>
      <c r="O162" s="19"/>
      <c r="P162" s="13"/>
      <c r="Q162" s="19"/>
      <c r="R162" s="13"/>
      <c r="S162" s="19"/>
      <c r="T162" s="13"/>
    </row>
    <row r="163" spans="1:20">
      <c r="A163" s="14"/>
      <c r="B163" s="15"/>
      <c r="C163" s="16"/>
      <c r="D163" s="17"/>
      <c r="E163" s="12"/>
      <c r="F163" s="18"/>
      <c r="G163" s="19"/>
      <c r="H163" s="13"/>
      <c r="I163" s="19"/>
      <c r="J163" s="13"/>
      <c r="K163" s="19"/>
      <c r="L163" s="13"/>
      <c r="M163" s="19"/>
      <c r="N163" s="13"/>
      <c r="O163" s="19"/>
      <c r="P163" s="13"/>
      <c r="Q163" s="19"/>
      <c r="R163" s="13"/>
      <c r="S163" s="19"/>
      <c r="T163" s="13"/>
    </row>
    <row r="164" spans="1:20">
      <c r="A164" s="14"/>
      <c r="B164" s="15"/>
      <c r="C164" s="16"/>
      <c r="D164" s="17"/>
      <c r="E164" s="12"/>
      <c r="F164" s="18"/>
      <c r="G164" s="19"/>
      <c r="H164" s="13"/>
      <c r="I164" s="19"/>
      <c r="J164" s="13"/>
      <c r="K164" s="19"/>
      <c r="L164" s="13"/>
      <c r="M164" s="19"/>
      <c r="N164" s="13"/>
      <c r="O164" s="19"/>
      <c r="P164" s="13"/>
      <c r="Q164" s="19"/>
      <c r="R164" s="13"/>
      <c r="S164" s="19"/>
      <c r="T164" s="13"/>
    </row>
    <row r="165" spans="1:20">
      <c r="A165" s="14"/>
      <c r="B165" s="15"/>
      <c r="C165" s="16"/>
      <c r="D165" s="17"/>
      <c r="E165" s="12"/>
      <c r="F165" s="18"/>
      <c r="G165" s="19"/>
      <c r="H165" s="13"/>
      <c r="I165" s="19"/>
      <c r="J165" s="13"/>
      <c r="K165" s="19"/>
      <c r="L165" s="13"/>
      <c r="M165" s="19"/>
      <c r="N165" s="13"/>
      <c r="O165" s="19"/>
      <c r="P165" s="13"/>
      <c r="Q165" s="19"/>
      <c r="R165" s="13"/>
      <c r="S165" s="19"/>
      <c r="T165" s="13"/>
    </row>
    <row r="166" spans="1:20">
      <c r="A166" s="14"/>
      <c r="B166" s="15"/>
      <c r="C166" s="16"/>
      <c r="D166" s="17"/>
      <c r="E166" s="12"/>
      <c r="F166" s="18"/>
      <c r="G166" s="19"/>
      <c r="H166" s="13"/>
      <c r="I166" s="19"/>
      <c r="J166" s="13"/>
      <c r="K166" s="19"/>
      <c r="L166" s="13"/>
      <c r="M166" s="19"/>
      <c r="N166" s="13"/>
      <c r="O166" s="19"/>
      <c r="P166" s="13"/>
      <c r="Q166" s="19"/>
      <c r="R166" s="13"/>
      <c r="S166" s="19"/>
      <c r="T166" s="13"/>
    </row>
    <row r="167" spans="1:20">
      <c r="A167" s="14"/>
      <c r="B167" s="15"/>
      <c r="C167" s="16"/>
      <c r="D167" s="17"/>
      <c r="E167" s="12"/>
      <c r="F167" s="18"/>
      <c r="G167" s="19"/>
      <c r="H167" s="13"/>
      <c r="I167" s="19"/>
      <c r="J167" s="13"/>
      <c r="K167" s="19"/>
      <c r="L167" s="13"/>
      <c r="M167" s="19"/>
      <c r="N167" s="13"/>
      <c r="O167" s="19"/>
      <c r="P167" s="13"/>
      <c r="Q167" s="19"/>
      <c r="R167" s="13"/>
      <c r="S167" s="19"/>
      <c r="T167" s="13"/>
    </row>
    <row r="168" spans="1:20">
      <c r="A168" s="14"/>
      <c r="B168" s="15"/>
      <c r="C168" s="16"/>
      <c r="D168" s="17"/>
      <c r="E168" s="12"/>
      <c r="F168" s="18"/>
      <c r="G168" s="19"/>
      <c r="H168" s="13"/>
      <c r="I168" s="19"/>
      <c r="J168" s="13"/>
      <c r="K168" s="19"/>
      <c r="L168" s="13"/>
      <c r="M168" s="19"/>
      <c r="N168" s="13"/>
      <c r="O168" s="19"/>
      <c r="P168" s="13"/>
      <c r="Q168" s="19"/>
      <c r="R168" s="13"/>
      <c r="S168" s="19"/>
      <c r="T168" s="13"/>
    </row>
    <row r="169" spans="1:20">
      <c r="A169" s="14"/>
      <c r="B169" s="15"/>
      <c r="C169" s="16"/>
      <c r="D169" s="17"/>
      <c r="E169" s="12"/>
      <c r="F169" s="18"/>
      <c r="G169" s="19"/>
      <c r="H169" s="13"/>
      <c r="I169" s="19"/>
      <c r="J169" s="13"/>
      <c r="K169" s="19"/>
      <c r="L169" s="13"/>
      <c r="M169" s="19"/>
      <c r="N169" s="13"/>
      <c r="O169" s="19"/>
      <c r="P169" s="13"/>
      <c r="Q169" s="19"/>
      <c r="R169" s="13"/>
      <c r="S169" s="19"/>
      <c r="T169" s="13"/>
    </row>
    <row r="170" spans="1:20">
      <c r="A170" s="14"/>
      <c r="B170" s="15"/>
      <c r="C170" s="16"/>
      <c r="D170" s="17"/>
      <c r="E170" s="12"/>
      <c r="F170" s="18"/>
      <c r="G170" s="19"/>
      <c r="H170" s="13"/>
      <c r="I170" s="19"/>
      <c r="J170" s="13"/>
      <c r="K170" s="19"/>
      <c r="L170" s="13"/>
      <c r="M170" s="19"/>
      <c r="N170" s="13"/>
      <c r="O170" s="19"/>
      <c r="P170" s="13"/>
      <c r="Q170" s="19"/>
      <c r="R170" s="13"/>
      <c r="S170" s="19"/>
      <c r="T170" s="13"/>
    </row>
    <row r="171" spans="1:20">
      <c r="A171" s="14"/>
      <c r="B171" s="15"/>
      <c r="C171" s="16"/>
      <c r="D171" s="17"/>
      <c r="E171" s="12"/>
      <c r="F171" s="18"/>
      <c r="G171" s="19"/>
      <c r="H171" s="13"/>
      <c r="I171" s="19"/>
      <c r="J171" s="13"/>
      <c r="K171" s="19"/>
      <c r="L171" s="13"/>
      <c r="M171" s="19"/>
      <c r="N171" s="13"/>
      <c r="O171" s="19"/>
      <c r="P171" s="13"/>
      <c r="Q171" s="19"/>
      <c r="R171" s="13"/>
      <c r="S171" s="19"/>
      <c r="T171" s="13"/>
    </row>
    <row r="172" spans="1:20">
      <c r="A172" s="14"/>
      <c r="B172" s="15"/>
      <c r="C172" s="16"/>
      <c r="D172" s="17"/>
      <c r="E172" s="12"/>
      <c r="F172" s="18"/>
      <c r="G172" s="19"/>
      <c r="H172" s="13"/>
      <c r="I172" s="19"/>
      <c r="J172" s="13"/>
      <c r="K172" s="19"/>
      <c r="L172" s="13"/>
      <c r="M172" s="19"/>
      <c r="N172" s="13"/>
      <c r="O172" s="19"/>
      <c r="P172" s="13"/>
      <c r="Q172" s="19"/>
      <c r="R172" s="13"/>
      <c r="S172" s="19"/>
      <c r="T172" s="13"/>
    </row>
    <row r="173" spans="1:20">
      <c r="A173" s="14"/>
      <c r="B173" s="15"/>
      <c r="C173" s="16"/>
      <c r="D173" s="17"/>
      <c r="E173" s="12"/>
      <c r="F173" s="18"/>
      <c r="G173" s="19"/>
      <c r="H173" s="13"/>
      <c r="I173" s="19"/>
      <c r="J173" s="13"/>
      <c r="K173" s="19"/>
      <c r="L173" s="13"/>
      <c r="M173" s="19"/>
      <c r="N173" s="13"/>
      <c r="O173" s="19"/>
      <c r="P173" s="13"/>
      <c r="Q173" s="19"/>
      <c r="R173" s="13"/>
      <c r="S173" s="19"/>
      <c r="T173" s="13"/>
    </row>
    <row r="174" spans="1:20">
      <c r="A174" s="14"/>
      <c r="B174" s="15"/>
      <c r="C174" s="16"/>
      <c r="D174" s="17"/>
      <c r="E174" s="12"/>
      <c r="F174" s="18"/>
      <c r="G174" s="19"/>
      <c r="H174" s="13"/>
      <c r="I174" s="19"/>
      <c r="J174" s="13"/>
      <c r="K174" s="19"/>
      <c r="L174" s="13"/>
      <c r="M174" s="19"/>
      <c r="N174" s="13"/>
      <c r="O174" s="19"/>
      <c r="P174" s="13"/>
      <c r="Q174" s="19"/>
      <c r="R174" s="13"/>
      <c r="S174" s="19"/>
      <c r="T174" s="13"/>
    </row>
    <row r="175" spans="1:20">
      <c r="A175" s="14"/>
      <c r="B175" s="15"/>
      <c r="C175" s="16"/>
      <c r="D175" s="17"/>
      <c r="E175" s="12"/>
      <c r="F175" s="18"/>
      <c r="G175" s="19"/>
      <c r="H175" s="13"/>
      <c r="I175" s="19"/>
      <c r="J175" s="13"/>
      <c r="K175" s="19"/>
      <c r="L175" s="13"/>
      <c r="M175" s="19"/>
      <c r="N175" s="13"/>
      <c r="O175" s="19"/>
      <c r="P175" s="13"/>
      <c r="Q175" s="19"/>
      <c r="R175" s="13"/>
      <c r="S175" s="19"/>
      <c r="T175" s="13"/>
    </row>
    <row r="176" spans="1:20">
      <c r="A176" s="14"/>
      <c r="B176" s="15"/>
      <c r="C176" s="16"/>
      <c r="D176" s="17"/>
      <c r="E176" s="12"/>
      <c r="F176" s="18"/>
      <c r="G176" s="19"/>
      <c r="H176" s="13"/>
      <c r="I176" s="19"/>
      <c r="J176" s="13"/>
      <c r="K176" s="19"/>
      <c r="L176" s="13"/>
      <c r="M176" s="19"/>
      <c r="N176" s="13"/>
      <c r="O176" s="19"/>
      <c r="P176" s="13"/>
      <c r="Q176" s="19"/>
      <c r="R176" s="13"/>
      <c r="S176" s="19"/>
      <c r="T176" s="13"/>
    </row>
    <row r="177" spans="1:20">
      <c r="A177" s="14"/>
      <c r="B177" s="15"/>
      <c r="C177" s="16"/>
      <c r="D177" s="17"/>
      <c r="E177" s="12"/>
      <c r="F177" s="18"/>
      <c r="G177" s="19"/>
      <c r="H177" s="13"/>
      <c r="I177" s="19"/>
      <c r="J177" s="13"/>
      <c r="K177" s="19"/>
      <c r="L177" s="13"/>
      <c r="M177" s="19"/>
      <c r="N177" s="13"/>
      <c r="O177" s="19"/>
      <c r="P177" s="13"/>
      <c r="Q177" s="19"/>
      <c r="R177" s="13"/>
      <c r="S177" s="19"/>
      <c r="T177" s="13"/>
    </row>
    <row r="178" spans="1:20">
      <c r="A178" s="14"/>
      <c r="B178" s="15"/>
      <c r="C178" s="16"/>
      <c r="D178" s="17"/>
      <c r="E178" s="12"/>
      <c r="F178" s="18"/>
      <c r="G178" s="19"/>
      <c r="H178" s="13"/>
      <c r="I178" s="19"/>
      <c r="J178" s="13"/>
      <c r="K178" s="19"/>
      <c r="L178" s="13"/>
      <c r="M178" s="19"/>
      <c r="N178" s="13"/>
      <c r="O178" s="19"/>
      <c r="P178" s="13"/>
      <c r="Q178" s="19"/>
      <c r="R178" s="13"/>
      <c r="S178" s="19"/>
      <c r="T178" s="13"/>
    </row>
    <row r="179" spans="1:20">
      <c r="A179" s="14"/>
      <c r="B179" s="15"/>
      <c r="C179" s="16"/>
      <c r="D179" s="17"/>
      <c r="E179" s="12"/>
      <c r="F179" s="18"/>
      <c r="G179" s="19"/>
      <c r="H179" s="13"/>
      <c r="I179" s="19"/>
      <c r="J179" s="13"/>
      <c r="K179" s="19"/>
      <c r="L179" s="13"/>
      <c r="M179" s="19"/>
      <c r="N179" s="13"/>
      <c r="O179" s="19"/>
      <c r="P179" s="13"/>
      <c r="Q179" s="19"/>
      <c r="R179" s="13"/>
      <c r="S179" s="19"/>
      <c r="T179" s="13"/>
    </row>
    <row r="180" spans="1:20">
      <c r="A180" s="14"/>
      <c r="B180" s="15"/>
      <c r="C180" s="16"/>
      <c r="D180" s="17"/>
      <c r="E180" s="12"/>
      <c r="F180" s="18"/>
      <c r="G180" s="19"/>
      <c r="H180" s="13"/>
      <c r="I180" s="19"/>
      <c r="J180" s="13"/>
      <c r="K180" s="19"/>
      <c r="L180" s="13"/>
      <c r="M180" s="19"/>
      <c r="N180" s="13"/>
      <c r="O180" s="19"/>
      <c r="P180" s="13"/>
      <c r="Q180" s="19"/>
      <c r="R180" s="13"/>
      <c r="S180" s="19"/>
      <c r="T180" s="13"/>
    </row>
    <row r="181" spans="1:20">
      <c r="A181" s="14"/>
      <c r="B181" s="15"/>
      <c r="C181" s="16"/>
      <c r="D181" s="17"/>
      <c r="E181" s="12"/>
      <c r="F181" s="18"/>
      <c r="G181" s="19"/>
      <c r="H181" s="13"/>
      <c r="I181" s="19"/>
      <c r="J181" s="13"/>
      <c r="K181" s="19"/>
      <c r="L181" s="13"/>
      <c r="M181" s="19"/>
      <c r="N181" s="13"/>
      <c r="O181" s="19"/>
      <c r="P181" s="13"/>
      <c r="Q181" s="19"/>
      <c r="R181" s="13"/>
      <c r="S181" s="19"/>
      <c r="T181" s="13"/>
    </row>
    <row r="182" spans="1:20">
      <c r="A182" s="14"/>
      <c r="B182" s="15"/>
      <c r="C182" s="16"/>
      <c r="D182" s="17"/>
      <c r="E182" s="12"/>
      <c r="F182" s="18"/>
      <c r="G182" s="19"/>
      <c r="H182" s="13"/>
      <c r="I182" s="19"/>
      <c r="J182" s="13"/>
      <c r="K182" s="19"/>
      <c r="L182" s="13"/>
      <c r="M182" s="19"/>
      <c r="N182" s="13"/>
      <c r="O182" s="19"/>
      <c r="P182" s="13"/>
      <c r="Q182" s="19"/>
      <c r="R182" s="13"/>
      <c r="S182" s="19"/>
      <c r="T182" s="13"/>
    </row>
    <row r="183" spans="1:20">
      <c r="A183" s="14"/>
      <c r="B183" s="15"/>
      <c r="C183" s="16"/>
      <c r="D183" s="17"/>
      <c r="E183" s="12"/>
      <c r="F183" s="18"/>
      <c r="G183" s="19"/>
      <c r="H183" s="13"/>
      <c r="I183" s="19"/>
      <c r="J183" s="13"/>
      <c r="K183" s="19"/>
      <c r="L183" s="13"/>
      <c r="M183" s="19"/>
      <c r="N183" s="13"/>
      <c r="O183" s="19"/>
      <c r="P183" s="13"/>
      <c r="Q183" s="19"/>
      <c r="R183" s="13"/>
      <c r="S183" s="19"/>
      <c r="T183" s="13"/>
    </row>
    <row r="184" spans="1:20">
      <c r="A184" s="14"/>
      <c r="B184" s="15"/>
      <c r="C184" s="16"/>
      <c r="D184" s="17"/>
      <c r="E184" s="12"/>
      <c r="F184" s="18"/>
      <c r="G184" s="19"/>
      <c r="H184" s="13"/>
      <c r="I184" s="19"/>
      <c r="J184" s="13"/>
      <c r="K184" s="19"/>
      <c r="L184" s="13"/>
      <c r="M184" s="19"/>
      <c r="N184" s="13"/>
      <c r="O184" s="19"/>
      <c r="P184" s="13"/>
      <c r="Q184" s="19"/>
      <c r="R184" s="13"/>
      <c r="S184" s="19"/>
      <c r="T184" s="13"/>
    </row>
    <row r="185" spans="1:20">
      <c r="A185" s="14"/>
      <c r="B185" s="15"/>
      <c r="C185" s="16"/>
      <c r="D185" s="17"/>
      <c r="E185" s="12"/>
      <c r="F185" s="18"/>
      <c r="G185" s="19"/>
      <c r="H185" s="13"/>
      <c r="I185" s="19"/>
      <c r="J185" s="13"/>
      <c r="K185" s="19"/>
      <c r="L185" s="13"/>
      <c r="M185" s="19"/>
      <c r="N185" s="13"/>
      <c r="O185" s="19"/>
      <c r="P185" s="13"/>
      <c r="Q185" s="19"/>
      <c r="R185" s="13"/>
      <c r="S185" s="19"/>
      <c r="T185" s="13"/>
    </row>
    <row r="186" spans="1:20">
      <c r="A186" s="14"/>
      <c r="B186" s="15"/>
      <c r="C186" s="16"/>
      <c r="D186" s="17"/>
      <c r="E186" s="12"/>
      <c r="F186" s="18"/>
      <c r="G186" s="19"/>
      <c r="H186" s="13"/>
      <c r="I186" s="19"/>
      <c r="J186" s="13"/>
      <c r="K186" s="19"/>
      <c r="L186" s="13"/>
      <c r="M186" s="19"/>
      <c r="N186" s="13"/>
      <c r="O186" s="19"/>
      <c r="P186" s="13"/>
      <c r="Q186" s="19"/>
      <c r="R186" s="13"/>
      <c r="S186" s="19"/>
      <c r="T186" s="13"/>
    </row>
    <row r="187" spans="1:20">
      <c r="A187" s="14"/>
      <c r="B187" s="15"/>
      <c r="C187" s="16"/>
      <c r="D187" s="17"/>
      <c r="E187" s="12"/>
      <c r="F187" s="18"/>
      <c r="G187" s="19"/>
      <c r="H187" s="13"/>
      <c r="I187" s="19"/>
      <c r="J187" s="13"/>
      <c r="K187" s="19"/>
      <c r="L187" s="13"/>
      <c r="M187" s="19"/>
      <c r="N187" s="13"/>
      <c r="O187" s="19"/>
      <c r="P187" s="13"/>
      <c r="Q187" s="19"/>
      <c r="R187" s="13"/>
      <c r="S187" s="19"/>
      <c r="T187" s="13"/>
    </row>
    <row r="188" spans="1:20">
      <c r="A188" s="14"/>
      <c r="B188" s="15"/>
      <c r="C188" s="16"/>
      <c r="D188" s="17"/>
      <c r="E188" s="12"/>
      <c r="F188" s="18"/>
      <c r="G188" s="19"/>
      <c r="H188" s="13"/>
      <c r="I188" s="19"/>
      <c r="J188" s="13"/>
      <c r="K188" s="19"/>
      <c r="L188" s="13"/>
      <c r="M188" s="19"/>
      <c r="N188" s="13"/>
      <c r="O188" s="19"/>
      <c r="P188" s="13"/>
      <c r="Q188" s="19"/>
      <c r="R188" s="13"/>
      <c r="S188" s="19"/>
      <c r="T188" s="13"/>
    </row>
    <row r="189" spans="1:20">
      <c r="A189" s="14"/>
      <c r="B189" s="15"/>
      <c r="C189" s="16"/>
      <c r="D189" s="17"/>
      <c r="E189" s="12"/>
      <c r="F189" s="18"/>
      <c r="G189" s="19"/>
      <c r="H189" s="13"/>
      <c r="I189" s="19"/>
      <c r="J189" s="13"/>
      <c r="K189" s="19"/>
      <c r="L189" s="13"/>
      <c r="M189" s="19"/>
      <c r="N189" s="13"/>
      <c r="O189" s="19"/>
      <c r="P189" s="13"/>
      <c r="Q189" s="19"/>
      <c r="R189" s="13"/>
      <c r="S189" s="19"/>
      <c r="T189" s="13"/>
    </row>
    <row r="190" spans="1:20">
      <c r="A190" s="14"/>
      <c r="B190" s="15"/>
      <c r="C190" s="16"/>
      <c r="D190" s="17"/>
      <c r="E190" s="12"/>
      <c r="F190" s="18"/>
      <c r="G190" s="19"/>
      <c r="H190" s="13"/>
      <c r="I190" s="19"/>
      <c r="J190" s="13"/>
      <c r="K190" s="19"/>
      <c r="L190" s="13"/>
      <c r="M190" s="19"/>
      <c r="N190" s="13"/>
      <c r="O190" s="19"/>
      <c r="P190" s="13"/>
      <c r="Q190" s="19"/>
      <c r="R190" s="13"/>
      <c r="S190" s="19"/>
      <c r="T190" s="13"/>
    </row>
    <row r="191" spans="1:20">
      <c r="A191" s="14"/>
      <c r="B191" s="15"/>
      <c r="C191" s="16"/>
      <c r="D191" s="17"/>
      <c r="E191" s="12"/>
      <c r="F191" s="18"/>
      <c r="G191" s="19"/>
      <c r="H191" s="13"/>
      <c r="I191" s="19"/>
      <c r="J191" s="13"/>
      <c r="K191" s="19"/>
      <c r="L191" s="13"/>
      <c r="M191" s="19"/>
      <c r="N191" s="13"/>
      <c r="O191" s="19"/>
      <c r="P191" s="13"/>
      <c r="Q191" s="19"/>
      <c r="R191" s="13"/>
      <c r="S191" s="19"/>
      <c r="T191" s="13"/>
    </row>
    <row r="192" spans="1:20">
      <c r="A192" s="14"/>
      <c r="B192" s="15"/>
      <c r="C192" s="16"/>
      <c r="D192" s="17"/>
      <c r="E192" s="12"/>
      <c r="F192" s="18"/>
      <c r="G192" s="19"/>
      <c r="H192" s="13"/>
      <c r="I192" s="19"/>
      <c r="J192" s="13"/>
      <c r="K192" s="19"/>
      <c r="L192" s="13"/>
      <c r="M192" s="19"/>
      <c r="N192" s="13"/>
      <c r="O192" s="19"/>
      <c r="P192" s="13"/>
      <c r="Q192" s="19"/>
      <c r="R192" s="13"/>
      <c r="S192" s="19"/>
      <c r="T192" s="13"/>
    </row>
    <row r="193" spans="1:20">
      <c r="A193" s="14"/>
      <c r="B193" s="15"/>
      <c r="C193" s="16"/>
      <c r="D193" s="17"/>
      <c r="E193" s="12"/>
      <c r="F193" s="18"/>
      <c r="G193" s="19"/>
      <c r="H193" s="13"/>
      <c r="I193" s="19"/>
      <c r="J193" s="13"/>
      <c r="K193" s="19"/>
      <c r="L193" s="13"/>
      <c r="M193" s="19"/>
      <c r="N193" s="13"/>
      <c r="O193" s="19"/>
      <c r="P193" s="13"/>
      <c r="Q193" s="19"/>
      <c r="R193" s="13"/>
      <c r="S193" s="19"/>
      <c r="T193" s="13"/>
    </row>
    <row r="194" spans="1:20">
      <c r="A194" s="14"/>
      <c r="B194" s="15"/>
      <c r="C194" s="16"/>
      <c r="D194" s="17"/>
      <c r="E194" s="12"/>
      <c r="F194" s="18"/>
      <c r="G194" s="19"/>
      <c r="H194" s="13"/>
      <c r="I194" s="19"/>
      <c r="J194" s="13"/>
      <c r="K194" s="19"/>
      <c r="L194" s="13"/>
      <c r="M194" s="19"/>
      <c r="N194" s="13"/>
      <c r="O194" s="19"/>
      <c r="P194" s="13"/>
      <c r="Q194" s="19"/>
      <c r="R194" s="13"/>
      <c r="S194" s="19"/>
      <c r="T194" s="13"/>
    </row>
    <row r="195" spans="1:20">
      <c r="A195" s="14"/>
      <c r="B195" s="15"/>
      <c r="C195" s="16"/>
      <c r="D195" s="17"/>
      <c r="E195" s="12"/>
      <c r="F195" s="18"/>
      <c r="G195" s="19"/>
      <c r="H195" s="13"/>
      <c r="I195" s="19"/>
      <c r="J195" s="13"/>
      <c r="K195" s="19"/>
      <c r="L195" s="13"/>
      <c r="M195" s="19"/>
      <c r="N195" s="13"/>
      <c r="O195" s="19"/>
      <c r="P195" s="13"/>
      <c r="Q195" s="19"/>
      <c r="R195" s="13"/>
      <c r="S195" s="19"/>
      <c r="T195" s="13"/>
    </row>
    <row r="196" spans="1:20">
      <c r="A196" s="14"/>
      <c r="B196" s="15"/>
      <c r="C196" s="16"/>
      <c r="D196" s="17"/>
      <c r="E196" s="12"/>
      <c r="F196" s="18"/>
      <c r="G196" s="19"/>
      <c r="H196" s="13"/>
      <c r="I196" s="19"/>
      <c r="J196" s="13"/>
      <c r="K196" s="19"/>
      <c r="L196" s="13"/>
      <c r="M196" s="19"/>
      <c r="N196" s="13"/>
      <c r="O196" s="19"/>
      <c r="P196" s="13"/>
      <c r="Q196" s="19"/>
      <c r="R196" s="13"/>
      <c r="S196" s="19"/>
      <c r="T196" s="13"/>
    </row>
    <row r="197" spans="1:20">
      <c r="A197" s="14"/>
      <c r="B197" s="15"/>
      <c r="C197" s="16"/>
      <c r="D197" s="17"/>
      <c r="E197" s="12"/>
      <c r="F197" s="18"/>
      <c r="G197" s="19"/>
      <c r="H197" s="13"/>
      <c r="I197" s="19"/>
      <c r="J197" s="13"/>
      <c r="K197" s="19"/>
      <c r="L197" s="13"/>
      <c r="M197" s="19"/>
      <c r="N197" s="13"/>
      <c r="O197" s="19"/>
      <c r="P197" s="13"/>
      <c r="Q197" s="19"/>
      <c r="R197" s="13"/>
      <c r="S197" s="19"/>
      <c r="T197" s="13"/>
    </row>
    <row r="198" spans="1:20">
      <c r="A198" s="14"/>
      <c r="B198" s="15"/>
      <c r="C198" s="16"/>
      <c r="D198" s="17"/>
      <c r="E198" s="12"/>
      <c r="F198" s="18"/>
      <c r="G198" s="19"/>
      <c r="H198" s="13"/>
      <c r="I198" s="19"/>
      <c r="J198" s="13"/>
      <c r="K198" s="19"/>
      <c r="L198" s="13"/>
      <c r="M198" s="19"/>
      <c r="N198" s="13"/>
      <c r="O198" s="19"/>
      <c r="P198" s="13"/>
      <c r="Q198" s="19"/>
      <c r="R198" s="13"/>
      <c r="S198" s="19"/>
      <c r="T198" s="13"/>
    </row>
    <row r="199" spans="1:20">
      <c r="A199" s="14"/>
      <c r="B199" s="15"/>
      <c r="C199" s="16"/>
      <c r="D199" s="17"/>
      <c r="E199" s="12"/>
      <c r="F199" s="18"/>
      <c r="G199" s="19"/>
      <c r="H199" s="13"/>
      <c r="I199" s="19"/>
      <c r="J199" s="13"/>
      <c r="K199" s="19"/>
      <c r="L199" s="13"/>
      <c r="M199" s="19"/>
      <c r="N199" s="13"/>
      <c r="O199" s="19"/>
      <c r="P199" s="13"/>
      <c r="Q199" s="19"/>
      <c r="R199" s="13"/>
      <c r="S199" s="19"/>
      <c r="T199" s="13"/>
    </row>
    <row r="200" spans="1:20">
      <c r="A200" s="14"/>
      <c r="B200" s="15"/>
      <c r="C200" s="16"/>
      <c r="D200" s="17"/>
      <c r="E200" s="12"/>
      <c r="F200" s="18"/>
      <c r="G200" s="19"/>
      <c r="H200" s="13"/>
      <c r="I200" s="19"/>
      <c r="J200" s="13"/>
      <c r="K200" s="19"/>
      <c r="L200" s="13"/>
      <c r="M200" s="19"/>
      <c r="N200" s="13"/>
      <c r="O200" s="19"/>
      <c r="P200" s="13"/>
      <c r="Q200" s="19"/>
      <c r="R200" s="13"/>
      <c r="S200" s="19"/>
      <c r="T200" s="13"/>
    </row>
    <row r="201" spans="1:20">
      <c r="A201" s="14"/>
      <c r="B201" s="15"/>
      <c r="C201" s="16"/>
      <c r="D201" s="17"/>
      <c r="E201" s="12"/>
      <c r="F201" s="18"/>
      <c r="G201" s="19"/>
      <c r="H201" s="13"/>
      <c r="I201" s="19"/>
      <c r="J201" s="13"/>
      <c r="K201" s="19"/>
      <c r="L201" s="13"/>
      <c r="M201" s="19"/>
      <c r="N201" s="13"/>
      <c r="O201" s="19"/>
      <c r="P201" s="13"/>
      <c r="Q201" s="19"/>
      <c r="R201" s="13"/>
      <c r="S201" s="19"/>
      <c r="T201" s="13"/>
    </row>
    <row r="202" spans="1:20">
      <c r="A202" s="14"/>
      <c r="B202" s="15"/>
      <c r="C202" s="16"/>
      <c r="D202" s="17"/>
      <c r="E202" s="12"/>
      <c r="F202" s="18"/>
      <c r="G202" s="19"/>
      <c r="H202" s="13"/>
      <c r="I202" s="19"/>
      <c r="J202" s="13"/>
      <c r="K202" s="19"/>
      <c r="L202" s="13"/>
      <c r="M202" s="19"/>
      <c r="N202" s="13"/>
      <c r="O202" s="19"/>
      <c r="P202" s="13"/>
      <c r="Q202" s="19"/>
      <c r="R202" s="13"/>
      <c r="S202" s="19"/>
      <c r="T202" s="13"/>
    </row>
    <row r="203" spans="1:20">
      <c r="A203" s="14"/>
      <c r="B203" s="15"/>
      <c r="C203" s="16"/>
      <c r="D203" s="17"/>
      <c r="E203" s="12"/>
      <c r="F203" s="18"/>
      <c r="G203" s="19"/>
      <c r="H203" s="13"/>
      <c r="I203" s="19"/>
      <c r="J203" s="13"/>
      <c r="K203" s="19"/>
      <c r="L203" s="13"/>
      <c r="M203" s="19"/>
      <c r="N203" s="13"/>
      <c r="O203" s="19"/>
      <c r="P203" s="13"/>
      <c r="Q203" s="19"/>
      <c r="R203" s="13"/>
      <c r="S203" s="19"/>
      <c r="T203" s="13"/>
    </row>
    <row r="204" spans="1:20">
      <c r="A204" s="14"/>
      <c r="B204" s="15"/>
      <c r="C204" s="16"/>
      <c r="D204" s="17"/>
      <c r="E204" s="12"/>
      <c r="F204" s="18"/>
      <c r="G204" s="19"/>
      <c r="H204" s="13"/>
      <c r="I204" s="19"/>
      <c r="J204" s="13"/>
      <c r="K204" s="19"/>
      <c r="L204" s="13"/>
      <c r="M204" s="19"/>
      <c r="N204" s="13"/>
      <c r="O204" s="19"/>
      <c r="P204" s="13"/>
      <c r="Q204" s="19"/>
      <c r="R204" s="13"/>
      <c r="S204" s="19"/>
      <c r="T204" s="13"/>
    </row>
    <row r="205" spans="1:20">
      <c r="A205" s="14"/>
      <c r="B205" s="15"/>
      <c r="C205" s="16"/>
      <c r="D205" s="17"/>
      <c r="E205" s="12"/>
      <c r="F205" s="18"/>
      <c r="G205" s="19"/>
      <c r="H205" s="13"/>
      <c r="I205" s="19"/>
      <c r="J205" s="13"/>
      <c r="K205" s="19"/>
      <c r="L205" s="13"/>
      <c r="M205" s="19"/>
      <c r="N205" s="13"/>
      <c r="O205" s="19"/>
      <c r="P205" s="13"/>
      <c r="Q205" s="19"/>
      <c r="R205" s="13"/>
      <c r="S205" s="19"/>
      <c r="T205" s="13"/>
    </row>
    <row r="206" spans="1:20">
      <c r="A206" s="14"/>
      <c r="B206" s="15"/>
      <c r="C206" s="16"/>
      <c r="D206" s="17"/>
      <c r="E206" s="12"/>
      <c r="F206" s="18"/>
      <c r="G206" s="19"/>
      <c r="H206" s="13"/>
      <c r="I206" s="19"/>
      <c r="J206" s="13"/>
      <c r="K206" s="19"/>
      <c r="L206" s="13"/>
      <c r="M206" s="19"/>
      <c r="N206" s="13"/>
      <c r="O206" s="19"/>
      <c r="P206" s="13"/>
      <c r="Q206" s="19"/>
      <c r="R206" s="13"/>
      <c r="S206" s="19"/>
      <c r="T206" s="13"/>
    </row>
    <row r="207" spans="1:20">
      <c r="A207" s="14"/>
      <c r="B207" s="15"/>
      <c r="C207" s="16"/>
      <c r="D207" s="17"/>
      <c r="E207" s="12"/>
      <c r="F207" s="18"/>
      <c r="G207" s="19"/>
      <c r="H207" s="13"/>
      <c r="I207" s="19"/>
      <c r="J207" s="13"/>
      <c r="K207" s="19"/>
      <c r="L207" s="13"/>
      <c r="M207" s="19"/>
      <c r="N207" s="13"/>
      <c r="O207" s="19"/>
      <c r="P207" s="13"/>
      <c r="Q207" s="19"/>
      <c r="R207" s="13"/>
      <c r="S207" s="19"/>
      <c r="T207" s="13"/>
    </row>
    <row r="208" spans="1:20">
      <c r="A208" s="14"/>
      <c r="B208" s="15"/>
      <c r="C208" s="16"/>
      <c r="D208" s="17"/>
      <c r="E208" s="12"/>
      <c r="F208" s="18"/>
      <c r="G208" s="19"/>
      <c r="H208" s="13"/>
      <c r="I208" s="19"/>
      <c r="J208" s="13"/>
      <c r="K208" s="19"/>
      <c r="L208" s="13"/>
      <c r="M208" s="19"/>
      <c r="N208" s="13"/>
      <c r="O208" s="19"/>
      <c r="P208" s="13"/>
      <c r="Q208" s="19"/>
      <c r="R208" s="13"/>
      <c r="S208" s="19"/>
      <c r="T208" s="13"/>
    </row>
    <row r="209" spans="1:20">
      <c r="A209" s="14"/>
      <c r="B209" s="15"/>
      <c r="C209" s="16"/>
      <c r="D209" s="17"/>
      <c r="E209" s="12"/>
      <c r="F209" s="18"/>
      <c r="G209" s="19"/>
      <c r="H209" s="13"/>
      <c r="I209" s="19"/>
      <c r="J209" s="13"/>
      <c r="K209" s="19"/>
      <c r="L209" s="13"/>
      <c r="M209" s="19"/>
      <c r="N209" s="13"/>
      <c r="O209" s="19"/>
      <c r="P209" s="13"/>
      <c r="Q209" s="19"/>
      <c r="R209" s="13"/>
      <c r="S209" s="19"/>
      <c r="T209" s="13"/>
    </row>
    <row r="210" spans="1:20">
      <c r="A210" s="14"/>
      <c r="B210" s="15"/>
      <c r="C210" s="16"/>
      <c r="D210" s="17"/>
      <c r="E210" s="12"/>
      <c r="F210" s="18"/>
      <c r="G210" s="19"/>
      <c r="H210" s="13"/>
      <c r="I210" s="19"/>
      <c r="J210" s="13"/>
      <c r="K210" s="19"/>
      <c r="L210" s="13"/>
      <c r="M210" s="19"/>
      <c r="N210" s="13"/>
      <c r="O210" s="19"/>
      <c r="P210" s="13"/>
      <c r="Q210" s="19"/>
      <c r="R210" s="13"/>
      <c r="S210" s="19"/>
      <c r="T210" s="13"/>
    </row>
    <row r="211" spans="1:20">
      <c r="A211" s="14"/>
      <c r="B211" s="15"/>
      <c r="C211" s="16"/>
      <c r="D211" s="17"/>
      <c r="E211" s="12"/>
      <c r="F211" s="18"/>
      <c r="G211" s="19"/>
      <c r="H211" s="13"/>
      <c r="I211" s="19"/>
      <c r="J211" s="13"/>
      <c r="K211" s="19"/>
      <c r="L211" s="13"/>
      <c r="M211" s="19"/>
      <c r="N211" s="13"/>
      <c r="O211" s="19"/>
      <c r="P211" s="13"/>
      <c r="Q211" s="19"/>
      <c r="R211" s="13"/>
      <c r="S211" s="19"/>
      <c r="T211" s="13"/>
    </row>
    <row r="212" spans="1:20">
      <c r="A212" s="14"/>
      <c r="B212" s="15"/>
      <c r="C212" s="16"/>
      <c r="D212" s="17"/>
      <c r="E212" s="12"/>
      <c r="F212" s="18"/>
      <c r="G212" s="19"/>
      <c r="H212" s="13"/>
      <c r="I212" s="19"/>
      <c r="J212" s="13"/>
      <c r="K212" s="19"/>
      <c r="L212" s="13"/>
      <c r="M212" s="19"/>
      <c r="N212" s="13"/>
      <c r="O212" s="19"/>
      <c r="P212" s="13"/>
      <c r="Q212" s="19"/>
      <c r="R212" s="13"/>
      <c r="S212" s="19"/>
      <c r="T212" s="13"/>
    </row>
    <row r="213" spans="1:20">
      <c r="A213" s="14"/>
      <c r="B213" s="15"/>
      <c r="C213" s="16"/>
      <c r="D213" s="17"/>
      <c r="E213" s="12"/>
      <c r="F213" s="18"/>
      <c r="G213" s="19"/>
      <c r="H213" s="13"/>
      <c r="I213" s="19"/>
      <c r="J213" s="13"/>
      <c r="K213" s="19"/>
      <c r="L213" s="13"/>
      <c r="M213" s="19"/>
      <c r="N213" s="13"/>
      <c r="O213" s="19"/>
      <c r="P213" s="13"/>
      <c r="Q213" s="19"/>
      <c r="R213" s="13"/>
      <c r="S213" s="19"/>
      <c r="T213" s="13"/>
    </row>
    <row r="214" spans="1:20">
      <c r="A214" s="14"/>
      <c r="B214" s="15"/>
      <c r="C214" s="16"/>
      <c r="D214" s="17"/>
      <c r="E214" s="12"/>
      <c r="F214" s="18"/>
      <c r="G214" s="19"/>
      <c r="H214" s="13"/>
      <c r="I214" s="19"/>
      <c r="J214" s="13"/>
      <c r="K214" s="19"/>
      <c r="L214" s="13"/>
      <c r="M214" s="19"/>
      <c r="N214" s="13"/>
      <c r="O214" s="19"/>
      <c r="P214" s="13"/>
      <c r="Q214" s="19"/>
      <c r="R214" s="13"/>
      <c r="S214" s="19"/>
      <c r="T214" s="13"/>
    </row>
    <row r="215" spans="1:20">
      <c r="A215" s="14"/>
      <c r="B215" s="15"/>
      <c r="C215" s="16"/>
      <c r="D215" s="17"/>
      <c r="E215" s="12"/>
      <c r="F215" s="18"/>
      <c r="G215" s="19"/>
      <c r="H215" s="13"/>
      <c r="I215" s="19"/>
      <c r="J215" s="13"/>
      <c r="K215" s="19"/>
      <c r="L215" s="13"/>
      <c r="M215" s="19"/>
      <c r="N215" s="13"/>
      <c r="O215" s="19"/>
      <c r="P215" s="13"/>
      <c r="Q215" s="19"/>
      <c r="R215" s="13"/>
      <c r="S215" s="19"/>
      <c r="T215" s="13"/>
    </row>
    <row r="216" spans="1:20">
      <c r="A216" s="14"/>
      <c r="B216" s="15"/>
      <c r="C216" s="16"/>
      <c r="D216" s="17"/>
      <c r="E216" s="12"/>
      <c r="F216" s="18"/>
      <c r="G216" s="19"/>
      <c r="H216" s="13"/>
      <c r="I216" s="19"/>
      <c r="J216" s="13"/>
      <c r="K216" s="19"/>
      <c r="L216" s="13"/>
      <c r="M216" s="19"/>
      <c r="N216" s="13"/>
      <c r="O216" s="19"/>
      <c r="P216" s="13"/>
      <c r="Q216" s="19"/>
      <c r="R216" s="13"/>
      <c r="S216" s="19"/>
      <c r="T216" s="13"/>
    </row>
    <row r="217" spans="1:20">
      <c r="A217" s="14"/>
      <c r="B217" s="15"/>
      <c r="C217" s="16"/>
      <c r="D217" s="17"/>
      <c r="E217" s="12"/>
      <c r="F217" s="18"/>
      <c r="G217" s="19"/>
      <c r="H217" s="13"/>
      <c r="I217" s="19"/>
      <c r="J217" s="13"/>
      <c r="K217" s="19"/>
      <c r="L217" s="13"/>
      <c r="M217" s="19"/>
      <c r="N217" s="13"/>
      <c r="O217" s="19"/>
      <c r="P217" s="13"/>
      <c r="Q217" s="19"/>
      <c r="R217" s="13"/>
      <c r="S217" s="19"/>
      <c r="T217" s="13"/>
    </row>
    <row r="218" spans="1:20">
      <c r="A218" s="14"/>
      <c r="B218" s="15"/>
      <c r="C218" s="16"/>
      <c r="D218" s="17"/>
      <c r="E218" s="12"/>
      <c r="F218" s="18"/>
      <c r="G218" s="19"/>
      <c r="H218" s="13"/>
      <c r="I218" s="19"/>
      <c r="J218" s="13"/>
      <c r="K218" s="19"/>
      <c r="L218" s="13"/>
      <c r="M218" s="19"/>
      <c r="N218" s="13"/>
      <c r="O218" s="19"/>
      <c r="P218" s="13"/>
      <c r="Q218" s="19"/>
      <c r="R218" s="13"/>
      <c r="S218" s="19"/>
      <c r="T218" s="13"/>
    </row>
    <row r="219" spans="1:20">
      <c r="A219" s="14"/>
      <c r="B219" s="15"/>
      <c r="C219" s="16"/>
      <c r="D219" s="17"/>
      <c r="E219" s="12"/>
      <c r="F219" s="18"/>
      <c r="G219" s="19"/>
      <c r="H219" s="13"/>
      <c r="I219" s="19"/>
      <c r="J219" s="13"/>
      <c r="K219" s="19"/>
      <c r="L219" s="13"/>
      <c r="M219" s="19"/>
      <c r="N219" s="13"/>
      <c r="O219" s="19"/>
      <c r="P219" s="13"/>
      <c r="Q219" s="19"/>
      <c r="R219" s="13"/>
      <c r="S219" s="19"/>
      <c r="T219" s="13"/>
    </row>
    <row r="220" spans="1:20">
      <c r="A220" s="14"/>
      <c r="B220" s="15"/>
      <c r="C220" s="16"/>
      <c r="D220" s="17"/>
      <c r="E220" s="12"/>
      <c r="F220" s="18"/>
      <c r="G220" s="19"/>
      <c r="H220" s="13"/>
      <c r="I220" s="19"/>
      <c r="J220" s="13"/>
      <c r="K220" s="19"/>
      <c r="L220" s="13"/>
      <c r="M220" s="19"/>
      <c r="N220" s="13"/>
      <c r="O220" s="19"/>
      <c r="P220" s="13"/>
      <c r="Q220" s="19"/>
      <c r="R220" s="13"/>
      <c r="S220" s="19"/>
      <c r="T220" s="13"/>
    </row>
    <row r="221" spans="1:20">
      <c r="A221" s="14"/>
      <c r="B221" s="15"/>
      <c r="C221" s="16"/>
      <c r="D221" s="17"/>
      <c r="E221" s="12"/>
      <c r="F221" s="18"/>
      <c r="G221" s="19"/>
      <c r="H221" s="13"/>
      <c r="I221" s="19"/>
      <c r="J221" s="13"/>
      <c r="K221" s="19"/>
      <c r="L221" s="13"/>
      <c r="M221" s="19"/>
      <c r="N221" s="13"/>
      <c r="O221" s="19"/>
      <c r="P221" s="13"/>
      <c r="Q221" s="19"/>
      <c r="R221" s="13"/>
      <c r="S221" s="19"/>
      <c r="T221" s="13"/>
    </row>
    <row r="222" spans="1:20">
      <c r="A222" s="14"/>
      <c r="B222" s="15"/>
      <c r="C222" s="16"/>
      <c r="D222" s="17"/>
      <c r="E222" s="12"/>
      <c r="F222" s="18"/>
      <c r="G222" s="19"/>
      <c r="H222" s="13"/>
      <c r="I222" s="19"/>
      <c r="J222" s="13"/>
      <c r="K222" s="19"/>
      <c r="L222" s="13"/>
      <c r="M222" s="19"/>
      <c r="N222" s="13"/>
      <c r="O222" s="19"/>
      <c r="P222" s="13"/>
      <c r="Q222" s="19"/>
      <c r="R222" s="13"/>
      <c r="S222" s="19"/>
      <c r="T222" s="13"/>
    </row>
    <row r="223" spans="1:20">
      <c r="A223" s="14"/>
      <c r="B223" s="15"/>
      <c r="C223" s="16"/>
      <c r="D223" s="17"/>
      <c r="E223" s="12"/>
      <c r="F223" s="18"/>
      <c r="G223" s="19"/>
      <c r="H223" s="13"/>
      <c r="I223" s="19"/>
      <c r="J223" s="13"/>
      <c r="K223" s="19"/>
      <c r="L223" s="13"/>
      <c r="M223" s="19"/>
      <c r="N223" s="13"/>
      <c r="O223" s="19"/>
      <c r="P223" s="13"/>
      <c r="Q223" s="19"/>
      <c r="R223" s="13"/>
      <c r="S223" s="19"/>
      <c r="T223" s="13"/>
    </row>
    <row r="224" spans="1:20">
      <c r="A224" s="14"/>
      <c r="B224" s="15"/>
      <c r="C224" s="16"/>
      <c r="D224" s="17"/>
      <c r="E224" s="12"/>
      <c r="F224" s="18"/>
      <c r="G224" s="19"/>
      <c r="H224" s="13"/>
      <c r="I224" s="19"/>
      <c r="J224" s="13"/>
      <c r="K224" s="19"/>
      <c r="L224" s="13"/>
      <c r="M224" s="19"/>
      <c r="N224" s="13"/>
      <c r="O224" s="19"/>
      <c r="P224" s="13"/>
      <c r="Q224" s="19"/>
      <c r="R224" s="13"/>
      <c r="S224" s="19"/>
      <c r="T224" s="13"/>
    </row>
    <row r="225" spans="1:20">
      <c r="A225" s="14"/>
      <c r="B225" s="15"/>
      <c r="C225" s="16"/>
      <c r="D225" s="17"/>
      <c r="E225" s="12"/>
      <c r="F225" s="18"/>
      <c r="G225" s="19"/>
      <c r="H225" s="13"/>
      <c r="I225" s="19"/>
      <c r="J225" s="13"/>
      <c r="K225" s="19"/>
      <c r="L225" s="13"/>
      <c r="M225" s="19"/>
      <c r="N225" s="13"/>
      <c r="O225" s="19"/>
      <c r="P225" s="13"/>
      <c r="Q225" s="19"/>
      <c r="R225" s="13"/>
      <c r="S225" s="19"/>
      <c r="T225" s="13"/>
    </row>
    <row r="226" spans="1:20">
      <c r="A226" s="14"/>
      <c r="B226" s="15"/>
      <c r="C226" s="16"/>
      <c r="D226" s="17"/>
      <c r="E226" s="12"/>
      <c r="F226" s="18"/>
      <c r="G226" s="19"/>
      <c r="H226" s="13"/>
      <c r="I226" s="19"/>
      <c r="J226" s="13"/>
      <c r="K226" s="19"/>
      <c r="L226" s="13"/>
      <c r="M226" s="19"/>
      <c r="N226" s="13"/>
      <c r="O226" s="19"/>
      <c r="P226" s="13"/>
      <c r="Q226" s="19"/>
      <c r="R226" s="13"/>
      <c r="S226" s="19"/>
      <c r="T226" s="13"/>
    </row>
    <row r="227" spans="1:20">
      <c r="A227" s="14"/>
      <c r="B227" s="15"/>
      <c r="C227" s="16"/>
      <c r="D227" s="17"/>
      <c r="E227" s="12"/>
      <c r="F227" s="18"/>
      <c r="G227" s="19"/>
      <c r="H227" s="13"/>
      <c r="I227" s="19"/>
      <c r="J227" s="13"/>
      <c r="K227" s="19"/>
      <c r="L227" s="13"/>
      <c r="M227" s="19"/>
      <c r="N227" s="13"/>
      <c r="O227" s="19"/>
      <c r="P227" s="13"/>
      <c r="Q227" s="19"/>
      <c r="R227" s="13"/>
      <c r="S227" s="19"/>
      <c r="T227" s="13"/>
    </row>
    <row r="228" spans="1:20">
      <c r="A228" s="14"/>
      <c r="B228" s="15"/>
      <c r="C228" s="16"/>
      <c r="D228" s="17"/>
      <c r="E228" s="12"/>
      <c r="F228" s="18"/>
      <c r="G228" s="19"/>
      <c r="H228" s="13"/>
      <c r="I228" s="19"/>
      <c r="J228" s="13"/>
      <c r="K228" s="19"/>
      <c r="L228" s="13"/>
      <c r="M228" s="19"/>
      <c r="N228" s="13"/>
      <c r="O228" s="19"/>
      <c r="P228" s="13"/>
      <c r="Q228" s="19"/>
      <c r="R228" s="13"/>
      <c r="S228" s="19"/>
      <c r="T228" s="13"/>
    </row>
    <row r="229" spans="1:20">
      <c r="A229" s="14"/>
      <c r="B229" s="15"/>
      <c r="C229" s="16"/>
      <c r="D229" s="17"/>
      <c r="E229" s="12"/>
      <c r="F229" s="18"/>
      <c r="G229" s="19"/>
      <c r="H229" s="13"/>
      <c r="I229" s="19"/>
      <c r="J229" s="13"/>
      <c r="K229" s="19"/>
      <c r="L229" s="13"/>
      <c r="M229" s="19"/>
      <c r="N229" s="13"/>
      <c r="O229" s="19"/>
      <c r="P229" s="13"/>
      <c r="Q229" s="19"/>
      <c r="R229" s="13"/>
      <c r="S229" s="19"/>
      <c r="T229" s="13"/>
    </row>
    <row r="230" spans="1:20">
      <c r="A230" s="14"/>
      <c r="B230" s="15"/>
      <c r="C230" s="16"/>
      <c r="D230" s="17"/>
      <c r="E230" s="12"/>
      <c r="F230" s="18"/>
      <c r="G230" s="19"/>
      <c r="H230" s="13"/>
      <c r="I230" s="19"/>
      <c r="J230" s="13"/>
      <c r="K230" s="19"/>
      <c r="L230" s="13"/>
      <c r="M230" s="19"/>
      <c r="N230" s="13"/>
      <c r="O230" s="19"/>
      <c r="P230" s="13"/>
      <c r="Q230" s="19"/>
      <c r="R230" s="13"/>
      <c r="S230" s="19"/>
      <c r="T230" s="13"/>
    </row>
    <row r="231" spans="1:20">
      <c r="A231" s="14"/>
      <c r="B231" s="15"/>
      <c r="C231" s="16"/>
      <c r="D231" s="17"/>
      <c r="E231" s="12"/>
      <c r="F231" s="18"/>
      <c r="G231" s="19"/>
      <c r="H231" s="13"/>
      <c r="I231" s="19"/>
      <c r="J231" s="13"/>
      <c r="K231" s="19"/>
      <c r="L231" s="13"/>
      <c r="M231" s="19"/>
      <c r="N231" s="13"/>
      <c r="O231" s="19"/>
      <c r="P231" s="13"/>
      <c r="Q231" s="19"/>
      <c r="R231" s="13"/>
      <c r="S231" s="19"/>
      <c r="T231" s="13"/>
    </row>
    <row r="232" spans="1:20">
      <c r="A232" s="14"/>
      <c r="B232" s="15"/>
      <c r="C232" s="16"/>
      <c r="D232" s="17"/>
      <c r="E232" s="12"/>
      <c r="F232" s="18"/>
      <c r="G232" s="19"/>
      <c r="H232" s="13"/>
      <c r="I232" s="19"/>
      <c r="J232" s="13"/>
      <c r="K232" s="19"/>
      <c r="L232" s="13"/>
      <c r="M232" s="19"/>
      <c r="N232" s="13"/>
      <c r="O232" s="19"/>
      <c r="P232" s="13"/>
      <c r="Q232" s="19"/>
      <c r="R232" s="13"/>
      <c r="S232" s="19"/>
      <c r="T232" s="13"/>
    </row>
    <row r="233" spans="1:20">
      <c r="A233" s="14"/>
      <c r="B233" s="15"/>
      <c r="C233" s="16"/>
      <c r="D233" s="17"/>
      <c r="E233" s="12"/>
      <c r="F233" s="18"/>
      <c r="G233" s="19"/>
      <c r="H233" s="13"/>
      <c r="I233" s="19"/>
      <c r="J233" s="13"/>
      <c r="K233" s="19"/>
      <c r="L233" s="13"/>
      <c r="M233" s="19"/>
      <c r="N233" s="13"/>
      <c r="O233" s="19"/>
      <c r="P233" s="13"/>
      <c r="Q233" s="19"/>
      <c r="R233" s="13"/>
      <c r="S233" s="19"/>
      <c r="T233" s="13"/>
    </row>
    <row r="234" spans="1:20">
      <c r="A234" s="14"/>
      <c r="B234" s="15"/>
      <c r="C234" s="16"/>
      <c r="D234" s="17"/>
      <c r="E234" s="12"/>
      <c r="F234" s="18"/>
      <c r="G234" s="19"/>
      <c r="H234" s="13"/>
      <c r="I234" s="19"/>
      <c r="J234" s="13"/>
      <c r="K234" s="19"/>
      <c r="L234" s="13"/>
      <c r="M234" s="19"/>
      <c r="N234" s="13"/>
      <c r="O234" s="19"/>
      <c r="P234" s="13"/>
      <c r="Q234" s="19"/>
      <c r="R234" s="13"/>
      <c r="S234" s="19"/>
      <c r="T234" s="13"/>
    </row>
    <row r="235" spans="1:20">
      <c r="A235" s="14"/>
      <c r="B235" s="15"/>
      <c r="C235" s="16"/>
      <c r="D235" s="17"/>
      <c r="E235" s="12"/>
      <c r="F235" s="18"/>
      <c r="G235" s="19"/>
      <c r="H235" s="13"/>
      <c r="I235" s="19"/>
      <c r="J235" s="13"/>
      <c r="K235" s="19"/>
      <c r="L235" s="13"/>
      <c r="M235" s="19"/>
      <c r="N235" s="13"/>
      <c r="O235" s="19"/>
      <c r="P235" s="13"/>
      <c r="Q235" s="19"/>
      <c r="R235" s="13"/>
      <c r="S235" s="19"/>
      <c r="T235" s="13"/>
    </row>
    <row r="236" spans="1:20">
      <c r="A236" s="14"/>
      <c r="B236" s="15"/>
      <c r="C236" s="16"/>
      <c r="D236" s="17"/>
      <c r="E236" s="12"/>
      <c r="F236" s="18"/>
      <c r="G236" s="19"/>
      <c r="H236" s="13"/>
      <c r="I236" s="19"/>
      <c r="J236" s="13"/>
      <c r="K236" s="19"/>
      <c r="L236" s="13"/>
      <c r="M236" s="19"/>
      <c r="N236" s="13"/>
      <c r="O236" s="19"/>
      <c r="P236" s="13"/>
      <c r="Q236" s="19"/>
      <c r="R236" s="13"/>
      <c r="S236" s="19"/>
      <c r="T236" s="13"/>
    </row>
    <row r="237" spans="1:20">
      <c r="A237" s="14"/>
      <c r="B237" s="15"/>
      <c r="C237" s="16"/>
      <c r="D237" s="17"/>
      <c r="E237" s="12"/>
      <c r="F237" s="18"/>
      <c r="G237" s="19"/>
      <c r="H237" s="13"/>
      <c r="I237" s="19"/>
      <c r="J237" s="13"/>
      <c r="K237" s="19"/>
      <c r="L237" s="13"/>
      <c r="M237" s="19"/>
      <c r="N237" s="13"/>
      <c r="O237" s="19"/>
      <c r="P237" s="13"/>
      <c r="Q237" s="19"/>
      <c r="R237" s="13"/>
      <c r="S237" s="19"/>
      <c r="T237" s="13"/>
    </row>
    <row r="238" spans="1:20">
      <c r="A238" s="14"/>
      <c r="B238" s="15"/>
      <c r="C238" s="16"/>
      <c r="D238" s="17"/>
      <c r="E238" s="12"/>
      <c r="F238" s="18"/>
      <c r="G238" s="19"/>
      <c r="H238" s="13"/>
      <c r="I238" s="19"/>
      <c r="J238" s="13"/>
      <c r="K238" s="19"/>
      <c r="L238" s="13"/>
      <c r="M238" s="19"/>
      <c r="N238" s="13"/>
      <c r="O238" s="19"/>
      <c r="P238" s="13"/>
      <c r="Q238" s="19"/>
      <c r="R238" s="13"/>
      <c r="S238" s="19"/>
      <c r="T238" s="13"/>
    </row>
    <row r="239" spans="1:20">
      <c r="A239" s="14"/>
      <c r="B239" s="15"/>
      <c r="C239" s="16"/>
      <c r="D239" s="17"/>
      <c r="E239" s="12"/>
      <c r="F239" s="18"/>
      <c r="G239" s="19"/>
      <c r="H239" s="13"/>
      <c r="I239" s="19"/>
      <c r="J239" s="13"/>
      <c r="K239" s="19"/>
      <c r="L239" s="13"/>
      <c r="M239" s="19"/>
      <c r="N239" s="13"/>
      <c r="O239" s="19"/>
      <c r="P239" s="13"/>
      <c r="Q239" s="19"/>
      <c r="R239" s="13"/>
      <c r="S239" s="19"/>
      <c r="T239" s="13"/>
    </row>
    <row r="240" spans="1:20">
      <c r="A240" s="14"/>
      <c r="B240" s="15"/>
      <c r="C240" s="16"/>
      <c r="D240" s="17"/>
      <c r="E240" s="12"/>
      <c r="F240" s="18"/>
      <c r="G240" s="19"/>
      <c r="H240" s="13"/>
      <c r="I240" s="19"/>
      <c r="J240" s="13"/>
      <c r="K240" s="19"/>
      <c r="L240" s="13"/>
      <c r="M240" s="19"/>
      <c r="N240" s="13"/>
      <c r="O240" s="19"/>
      <c r="P240" s="13"/>
      <c r="Q240" s="19"/>
      <c r="R240" s="13"/>
      <c r="S240" s="19"/>
      <c r="T240" s="13"/>
    </row>
    <row r="241" spans="1:20">
      <c r="A241" s="14"/>
      <c r="B241" s="15"/>
      <c r="C241" s="16"/>
      <c r="D241" s="17"/>
      <c r="E241" s="12"/>
      <c r="F241" s="18"/>
      <c r="G241" s="19"/>
      <c r="H241" s="13"/>
      <c r="I241" s="19"/>
      <c r="J241" s="13"/>
      <c r="K241" s="19"/>
      <c r="L241" s="13"/>
      <c r="M241" s="19"/>
      <c r="N241" s="13"/>
      <c r="O241" s="19"/>
      <c r="P241" s="13"/>
      <c r="Q241" s="19"/>
      <c r="R241" s="13"/>
      <c r="S241" s="19"/>
      <c r="T241" s="13"/>
    </row>
    <row r="242" spans="1:20">
      <c r="A242" s="14"/>
      <c r="B242" s="15"/>
      <c r="C242" s="16"/>
      <c r="D242" s="17"/>
      <c r="E242" s="12"/>
      <c r="F242" s="18"/>
      <c r="G242" s="19"/>
      <c r="H242" s="13"/>
      <c r="I242" s="19"/>
      <c r="J242" s="13"/>
      <c r="K242" s="19"/>
      <c r="L242" s="13"/>
      <c r="M242" s="19"/>
      <c r="N242" s="13"/>
      <c r="O242" s="19"/>
      <c r="P242" s="13"/>
      <c r="Q242" s="19"/>
      <c r="R242" s="13"/>
      <c r="S242" s="19"/>
      <c r="T242" s="13"/>
    </row>
    <row r="243" spans="1:20">
      <c r="A243" s="14"/>
      <c r="B243" s="15"/>
      <c r="C243" s="16"/>
      <c r="D243" s="17"/>
      <c r="E243" s="12"/>
      <c r="F243" s="18"/>
      <c r="G243" s="19"/>
      <c r="H243" s="13"/>
      <c r="I243" s="19"/>
      <c r="J243" s="13"/>
      <c r="K243" s="19"/>
      <c r="L243" s="13"/>
      <c r="M243" s="19"/>
      <c r="N243" s="13"/>
      <c r="O243" s="19"/>
      <c r="P243" s="13"/>
      <c r="Q243" s="19"/>
      <c r="R243" s="13"/>
      <c r="S243" s="19"/>
      <c r="T243" s="13"/>
    </row>
    <row r="244" spans="1:20">
      <c r="A244" s="14"/>
      <c r="B244" s="15"/>
      <c r="C244" s="16"/>
      <c r="D244" s="17"/>
      <c r="E244" s="12"/>
      <c r="F244" s="18"/>
      <c r="G244" s="19"/>
      <c r="H244" s="13"/>
      <c r="I244" s="19"/>
      <c r="J244" s="13"/>
      <c r="K244" s="19"/>
      <c r="L244" s="13"/>
      <c r="M244" s="19"/>
      <c r="N244" s="13"/>
      <c r="O244" s="19"/>
      <c r="P244" s="13"/>
      <c r="Q244" s="19"/>
      <c r="R244" s="13"/>
      <c r="S244" s="19"/>
      <c r="T244" s="13"/>
    </row>
    <row r="245" spans="1:20">
      <c r="A245" s="14"/>
      <c r="B245" s="15"/>
      <c r="C245" s="16"/>
      <c r="D245" s="17"/>
      <c r="E245" s="12"/>
      <c r="F245" s="18"/>
      <c r="G245" s="19"/>
      <c r="H245" s="13"/>
      <c r="I245" s="19"/>
      <c r="J245" s="13"/>
      <c r="K245" s="19"/>
      <c r="L245" s="13"/>
      <c r="M245" s="19"/>
      <c r="N245" s="13"/>
      <c r="O245" s="19"/>
      <c r="P245" s="13"/>
      <c r="Q245" s="19"/>
      <c r="R245" s="13"/>
      <c r="S245" s="19"/>
      <c r="T245" s="13"/>
    </row>
    <row r="246" spans="1:20">
      <c r="A246" s="14"/>
      <c r="B246" s="15"/>
      <c r="C246" s="16"/>
      <c r="D246" s="17"/>
      <c r="E246" s="12"/>
      <c r="F246" s="18"/>
      <c r="G246" s="19"/>
      <c r="H246" s="13"/>
      <c r="I246" s="19"/>
      <c r="J246" s="13"/>
      <c r="K246" s="19"/>
      <c r="L246" s="13"/>
      <c r="M246" s="19"/>
      <c r="N246" s="13"/>
      <c r="O246" s="19"/>
      <c r="P246" s="13"/>
      <c r="Q246" s="19"/>
      <c r="R246" s="13"/>
      <c r="S246" s="19"/>
      <c r="T246" s="13"/>
    </row>
    <row r="247" spans="1:20">
      <c r="A247" s="14"/>
      <c r="B247" s="15"/>
      <c r="C247" s="16"/>
      <c r="D247" s="17"/>
      <c r="E247" s="12"/>
      <c r="F247" s="18"/>
      <c r="G247" s="19"/>
      <c r="H247" s="13"/>
      <c r="I247" s="19"/>
      <c r="J247" s="13"/>
      <c r="K247" s="19"/>
      <c r="L247" s="13"/>
      <c r="M247" s="19"/>
      <c r="N247" s="13"/>
      <c r="O247" s="19"/>
      <c r="P247" s="13"/>
      <c r="Q247" s="19"/>
      <c r="R247" s="13"/>
      <c r="S247" s="19"/>
      <c r="T247" s="13"/>
    </row>
    <row r="248" spans="1:20">
      <c r="A248" s="14"/>
      <c r="B248" s="15"/>
      <c r="C248" s="16"/>
      <c r="D248" s="17"/>
      <c r="E248" s="12"/>
      <c r="F248" s="18"/>
      <c r="G248" s="19"/>
      <c r="H248" s="13"/>
      <c r="I248" s="19"/>
      <c r="J248" s="13"/>
      <c r="K248" s="19"/>
      <c r="L248" s="13"/>
      <c r="M248" s="19"/>
      <c r="N248" s="13"/>
      <c r="O248" s="19"/>
      <c r="P248" s="13"/>
      <c r="Q248" s="19"/>
      <c r="R248" s="13"/>
      <c r="S248" s="19"/>
      <c r="T248" s="13"/>
    </row>
    <row r="249" spans="1:20">
      <c r="A249" s="14"/>
      <c r="B249" s="15"/>
      <c r="C249" s="16"/>
      <c r="D249" s="17"/>
      <c r="E249" s="12"/>
      <c r="F249" s="18"/>
      <c r="G249" s="19"/>
      <c r="H249" s="13"/>
      <c r="I249" s="19"/>
      <c r="J249" s="13"/>
      <c r="K249" s="19"/>
      <c r="L249" s="13"/>
      <c r="M249" s="19"/>
      <c r="N249" s="13"/>
      <c r="O249" s="19"/>
      <c r="P249" s="13"/>
      <c r="Q249" s="19"/>
      <c r="R249" s="13"/>
      <c r="S249" s="19"/>
      <c r="T249" s="13"/>
    </row>
    <row r="250" spans="1:20">
      <c r="A250" s="14"/>
      <c r="B250" s="15"/>
      <c r="C250" s="16"/>
      <c r="D250" s="17"/>
      <c r="E250" s="12"/>
      <c r="F250" s="18"/>
      <c r="G250" s="19"/>
      <c r="H250" s="13"/>
      <c r="I250" s="19"/>
      <c r="J250" s="13"/>
      <c r="K250" s="19"/>
      <c r="L250" s="13"/>
      <c r="M250" s="19"/>
      <c r="N250" s="13"/>
      <c r="O250" s="19"/>
      <c r="P250" s="13"/>
      <c r="Q250" s="19"/>
      <c r="R250" s="13"/>
      <c r="S250" s="19"/>
      <c r="T250" s="13"/>
    </row>
    <row r="251" spans="1:20">
      <c r="A251" s="14"/>
      <c r="B251" s="15"/>
      <c r="C251" s="16"/>
      <c r="D251" s="17"/>
      <c r="E251" s="12"/>
      <c r="F251" s="18"/>
      <c r="G251" s="19"/>
      <c r="H251" s="13"/>
      <c r="I251" s="19"/>
      <c r="J251" s="13"/>
      <c r="K251" s="19"/>
      <c r="L251" s="13"/>
      <c r="M251" s="19"/>
      <c r="N251" s="13"/>
      <c r="O251" s="19"/>
      <c r="P251" s="13"/>
      <c r="Q251" s="19"/>
      <c r="R251" s="13"/>
      <c r="S251" s="19"/>
      <c r="T251" s="13"/>
    </row>
    <row r="252" spans="1:20">
      <c r="A252" s="14"/>
      <c r="B252" s="15"/>
      <c r="C252" s="16"/>
      <c r="D252" s="17"/>
      <c r="E252" s="12"/>
      <c r="F252" s="18"/>
      <c r="G252" s="19"/>
      <c r="H252" s="13"/>
      <c r="I252" s="19"/>
      <c r="J252" s="13"/>
      <c r="K252" s="19"/>
      <c r="L252" s="13"/>
      <c r="M252" s="19"/>
      <c r="N252" s="13"/>
      <c r="O252" s="19"/>
      <c r="P252" s="13"/>
      <c r="Q252" s="19"/>
      <c r="R252" s="13"/>
      <c r="S252" s="19"/>
      <c r="T252" s="13"/>
    </row>
    <row r="253" spans="1:20">
      <c r="A253" s="14"/>
      <c r="B253" s="15"/>
      <c r="C253" s="16"/>
      <c r="D253" s="17"/>
      <c r="E253" s="12"/>
      <c r="F253" s="18"/>
      <c r="G253" s="19"/>
      <c r="H253" s="13"/>
      <c r="I253" s="19"/>
      <c r="J253" s="13"/>
      <c r="K253" s="19"/>
      <c r="L253" s="13"/>
      <c r="M253" s="19"/>
      <c r="N253" s="13"/>
      <c r="O253" s="19"/>
      <c r="P253" s="13"/>
      <c r="Q253" s="19"/>
      <c r="R253" s="13"/>
      <c r="S253" s="19"/>
      <c r="T253" s="13"/>
    </row>
    <row r="254" spans="1:20">
      <c r="A254" s="14"/>
      <c r="B254" s="15"/>
      <c r="C254" s="16"/>
      <c r="D254" s="17"/>
      <c r="E254" s="12"/>
      <c r="F254" s="18"/>
      <c r="G254" s="19"/>
      <c r="H254" s="13"/>
      <c r="I254" s="19"/>
      <c r="J254" s="13"/>
      <c r="K254" s="19"/>
      <c r="L254" s="13"/>
      <c r="M254" s="19"/>
      <c r="N254" s="13"/>
      <c r="O254" s="19"/>
      <c r="P254" s="13"/>
      <c r="Q254" s="19"/>
      <c r="R254" s="13"/>
      <c r="S254" s="19"/>
      <c r="T254" s="13"/>
    </row>
    <row r="255" spans="1:20">
      <c r="A255" s="14"/>
      <c r="B255" s="15"/>
      <c r="C255" s="16"/>
      <c r="D255" s="17"/>
      <c r="E255" s="12"/>
      <c r="F255" s="18"/>
      <c r="G255" s="19"/>
      <c r="H255" s="13"/>
      <c r="I255" s="19"/>
      <c r="J255" s="13"/>
      <c r="K255" s="19"/>
      <c r="L255" s="13"/>
      <c r="M255" s="19"/>
      <c r="N255" s="13"/>
      <c r="O255" s="19"/>
      <c r="P255" s="13"/>
      <c r="Q255" s="19"/>
      <c r="R255" s="13"/>
      <c r="S255" s="19"/>
      <c r="T255" s="13"/>
    </row>
    <row r="256" spans="1:20">
      <c r="A256" s="14"/>
      <c r="B256" s="15"/>
      <c r="C256" s="16"/>
      <c r="D256" s="17"/>
      <c r="E256" s="12"/>
      <c r="F256" s="18"/>
      <c r="G256" s="19"/>
      <c r="H256" s="13"/>
      <c r="I256" s="19"/>
      <c r="J256" s="13"/>
      <c r="K256" s="19"/>
      <c r="L256" s="13"/>
      <c r="M256" s="19"/>
      <c r="N256" s="13"/>
      <c r="O256" s="19"/>
      <c r="P256" s="13"/>
      <c r="Q256" s="19"/>
      <c r="R256" s="13"/>
      <c r="S256" s="19"/>
      <c r="T256" s="13"/>
    </row>
    <row r="257" spans="1:20">
      <c r="A257" s="14"/>
      <c r="B257" s="15"/>
      <c r="C257" s="16"/>
      <c r="D257" s="17"/>
      <c r="E257" s="12"/>
      <c r="F257" s="18"/>
      <c r="G257" s="19"/>
      <c r="H257" s="13"/>
      <c r="I257" s="19"/>
      <c r="J257" s="13"/>
      <c r="K257" s="19"/>
      <c r="L257" s="13"/>
      <c r="M257" s="19"/>
      <c r="N257" s="13"/>
      <c r="O257" s="19"/>
      <c r="P257" s="13"/>
      <c r="Q257" s="19"/>
      <c r="R257" s="13"/>
      <c r="S257" s="19"/>
      <c r="T257" s="13"/>
    </row>
    <row r="258" spans="1:20">
      <c r="A258" s="14"/>
      <c r="B258" s="15"/>
      <c r="C258" s="16"/>
      <c r="D258" s="17"/>
      <c r="E258" s="12"/>
      <c r="F258" s="18"/>
      <c r="G258" s="19"/>
      <c r="H258" s="13"/>
      <c r="I258" s="19"/>
      <c r="J258" s="13"/>
      <c r="K258" s="19"/>
      <c r="L258" s="13"/>
      <c r="M258" s="19"/>
      <c r="N258" s="13"/>
      <c r="O258" s="19"/>
      <c r="P258" s="13"/>
      <c r="Q258" s="19"/>
      <c r="R258" s="13"/>
      <c r="S258" s="19"/>
      <c r="T258" s="13"/>
    </row>
    <row r="259" spans="1:20">
      <c r="A259" s="14"/>
      <c r="B259" s="15"/>
      <c r="C259" s="16"/>
      <c r="D259" s="17"/>
      <c r="E259" s="12"/>
      <c r="F259" s="18"/>
      <c r="G259" s="19"/>
      <c r="H259" s="13"/>
      <c r="I259" s="19"/>
      <c r="J259" s="13"/>
      <c r="K259" s="19"/>
      <c r="L259" s="13"/>
      <c r="M259" s="19"/>
      <c r="N259" s="13"/>
      <c r="O259" s="19"/>
      <c r="P259" s="13"/>
      <c r="Q259" s="19"/>
      <c r="R259" s="13"/>
      <c r="S259" s="19"/>
      <c r="T259" s="13"/>
    </row>
    <row r="260" spans="1:20">
      <c r="A260" s="14"/>
      <c r="B260" s="15"/>
      <c r="C260" s="16"/>
      <c r="D260" s="17"/>
      <c r="E260" s="12"/>
      <c r="F260" s="18"/>
      <c r="G260" s="19"/>
      <c r="H260" s="13"/>
      <c r="I260" s="19"/>
      <c r="J260" s="13"/>
      <c r="K260" s="19"/>
      <c r="L260" s="13"/>
      <c r="M260" s="19"/>
      <c r="N260" s="13"/>
      <c r="O260" s="19"/>
      <c r="P260" s="13"/>
      <c r="Q260" s="19"/>
      <c r="R260" s="13"/>
      <c r="S260" s="19"/>
      <c r="T260" s="13"/>
    </row>
    <row r="261" spans="1:20">
      <c r="A261" s="14"/>
      <c r="B261" s="15"/>
      <c r="C261" s="16"/>
      <c r="D261" s="17"/>
      <c r="E261" s="12"/>
      <c r="F261" s="18"/>
      <c r="G261" s="19"/>
      <c r="H261" s="13"/>
      <c r="I261" s="19"/>
      <c r="J261" s="13"/>
      <c r="K261" s="19"/>
      <c r="L261" s="13"/>
      <c r="M261" s="19"/>
      <c r="N261" s="13"/>
      <c r="O261" s="19"/>
      <c r="P261" s="13"/>
      <c r="Q261" s="19"/>
      <c r="R261" s="13"/>
      <c r="S261" s="19"/>
      <c r="T261" s="13"/>
    </row>
    <row r="262" spans="1:20">
      <c r="A262" s="14"/>
      <c r="B262" s="15"/>
      <c r="C262" s="16"/>
      <c r="D262" s="17"/>
      <c r="E262" s="12"/>
      <c r="F262" s="18"/>
      <c r="G262" s="19"/>
      <c r="H262" s="13"/>
      <c r="I262" s="19"/>
      <c r="J262" s="13"/>
      <c r="K262" s="19"/>
      <c r="L262" s="13"/>
      <c r="M262" s="19"/>
      <c r="N262" s="13"/>
      <c r="O262" s="19"/>
      <c r="P262" s="13"/>
      <c r="Q262" s="19"/>
      <c r="R262" s="13"/>
      <c r="S262" s="19"/>
      <c r="T262" s="13"/>
    </row>
    <row r="263" spans="1:20">
      <c r="A263" s="14"/>
      <c r="B263" s="15"/>
      <c r="C263" s="16"/>
      <c r="D263" s="17"/>
      <c r="E263" s="12"/>
      <c r="F263" s="18"/>
      <c r="G263" s="19"/>
      <c r="H263" s="13"/>
      <c r="I263" s="19"/>
      <c r="J263" s="13"/>
      <c r="K263" s="19"/>
      <c r="L263" s="13"/>
      <c r="M263" s="19"/>
      <c r="N263" s="13"/>
      <c r="O263" s="19"/>
      <c r="P263" s="13"/>
      <c r="Q263" s="19"/>
      <c r="R263" s="13"/>
      <c r="S263" s="19"/>
      <c r="T263" s="13"/>
    </row>
    <row r="264" spans="1:20">
      <c r="A264" s="14"/>
      <c r="B264" s="15"/>
      <c r="C264" s="16"/>
      <c r="D264" s="17"/>
      <c r="E264" s="12"/>
      <c r="F264" s="18"/>
      <c r="G264" s="19"/>
      <c r="H264" s="13"/>
      <c r="I264" s="19"/>
      <c r="J264" s="13"/>
      <c r="K264" s="19"/>
      <c r="L264" s="13"/>
      <c r="M264" s="19"/>
      <c r="N264" s="13"/>
      <c r="O264" s="19"/>
      <c r="P264" s="13"/>
      <c r="Q264" s="19"/>
      <c r="R264" s="13"/>
      <c r="S264" s="19"/>
      <c r="T264" s="13"/>
    </row>
    <row r="265" spans="1:20">
      <c r="A265" s="14"/>
      <c r="B265" s="15"/>
      <c r="C265" s="16"/>
      <c r="D265" s="17"/>
      <c r="E265" s="12"/>
      <c r="F265" s="18"/>
      <c r="G265" s="19"/>
      <c r="H265" s="13"/>
      <c r="I265" s="19"/>
      <c r="J265" s="13"/>
      <c r="K265" s="19"/>
      <c r="L265" s="13"/>
      <c r="M265" s="19"/>
      <c r="N265" s="13"/>
      <c r="O265" s="19"/>
      <c r="P265" s="13"/>
      <c r="Q265" s="19"/>
      <c r="R265" s="13"/>
      <c r="S265" s="19"/>
      <c r="T265" s="13"/>
    </row>
    <row r="266" spans="1:20">
      <c r="A266" s="14"/>
      <c r="B266" s="15"/>
      <c r="C266" s="16"/>
      <c r="D266" s="17"/>
      <c r="E266" s="12"/>
      <c r="F266" s="18"/>
      <c r="G266" s="19"/>
      <c r="H266" s="13"/>
      <c r="I266" s="19"/>
      <c r="J266" s="13"/>
      <c r="K266" s="19"/>
      <c r="L266" s="13"/>
      <c r="M266" s="19"/>
      <c r="N266" s="13"/>
      <c r="O266" s="19"/>
      <c r="P266" s="13"/>
      <c r="Q266" s="19"/>
      <c r="R266" s="13"/>
      <c r="S266" s="19"/>
      <c r="T266" s="13"/>
    </row>
    <row r="267" spans="1:20">
      <c r="A267" s="14"/>
      <c r="B267" s="15"/>
      <c r="C267" s="16"/>
      <c r="D267" s="17"/>
      <c r="E267" s="12"/>
      <c r="F267" s="18"/>
      <c r="G267" s="19"/>
      <c r="H267" s="13"/>
      <c r="I267" s="19"/>
      <c r="J267" s="13"/>
      <c r="K267" s="19"/>
      <c r="L267" s="13"/>
      <c r="M267" s="19"/>
      <c r="N267" s="13"/>
      <c r="O267" s="19"/>
      <c r="P267" s="13"/>
      <c r="Q267" s="19"/>
      <c r="R267" s="13"/>
      <c r="S267" s="19"/>
      <c r="T267" s="13"/>
    </row>
    <row r="268" spans="1:20">
      <c r="A268" s="14"/>
      <c r="B268" s="15"/>
      <c r="C268" s="16"/>
      <c r="D268" s="17"/>
      <c r="E268" s="12"/>
      <c r="F268" s="18"/>
      <c r="G268" s="19"/>
      <c r="H268" s="13"/>
      <c r="I268" s="19"/>
      <c r="J268" s="13"/>
      <c r="K268" s="19"/>
      <c r="L268" s="13"/>
      <c r="M268" s="19"/>
      <c r="N268" s="13"/>
      <c r="O268" s="19"/>
      <c r="P268" s="13"/>
      <c r="Q268" s="19"/>
      <c r="R268" s="13"/>
      <c r="S268" s="19"/>
      <c r="T268" s="13"/>
    </row>
    <row r="269" spans="1:20">
      <c r="A269" s="14"/>
      <c r="B269" s="15"/>
      <c r="C269" s="16"/>
      <c r="D269" s="17"/>
      <c r="E269" s="12"/>
      <c r="F269" s="18"/>
      <c r="G269" s="19"/>
      <c r="H269" s="13"/>
      <c r="I269" s="19"/>
      <c r="J269" s="13"/>
      <c r="K269" s="19"/>
      <c r="L269" s="13"/>
      <c r="M269" s="19"/>
      <c r="N269" s="13"/>
      <c r="O269" s="19"/>
      <c r="P269" s="13"/>
      <c r="Q269" s="19"/>
      <c r="R269" s="13"/>
      <c r="S269" s="19"/>
      <c r="T269" s="13"/>
    </row>
    <row r="270" spans="1:20">
      <c r="A270" s="14"/>
      <c r="B270" s="15"/>
      <c r="C270" s="16"/>
      <c r="D270" s="17"/>
      <c r="E270" s="12"/>
      <c r="F270" s="18"/>
      <c r="G270" s="19"/>
      <c r="H270" s="13"/>
      <c r="I270" s="19"/>
      <c r="J270" s="13"/>
      <c r="K270" s="19"/>
      <c r="L270" s="13"/>
      <c r="M270" s="19"/>
      <c r="N270" s="13"/>
      <c r="O270" s="19"/>
      <c r="P270" s="13"/>
      <c r="Q270" s="19"/>
      <c r="R270" s="13"/>
      <c r="S270" s="19"/>
      <c r="T270" s="13"/>
    </row>
    <row r="271" spans="1:20">
      <c r="A271" s="14"/>
      <c r="B271" s="15"/>
      <c r="C271" s="16"/>
      <c r="D271" s="17"/>
      <c r="E271" s="12"/>
      <c r="F271" s="18"/>
      <c r="G271" s="19"/>
      <c r="H271" s="13"/>
      <c r="I271" s="19"/>
      <c r="J271" s="13"/>
      <c r="K271" s="19"/>
      <c r="L271" s="13"/>
      <c r="M271" s="19"/>
      <c r="N271" s="13"/>
      <c r="O271" s="19"/>
      <c r="P271" s="13"/>
      <c r="Q271" s="19"/>
      <c r="R271" s="13"/>
      <c r="S271" s="19"/>
      <c r="T271" s="13"/>
    </row>
    <row r="272" spans="1:20">
      <c r="A272" s="14"/>
      <c r="B272" s="15"/>
      <c r="C272" s="16"/>
      <c r="D272" s="17"/>
      <c r="E272" s="12"/>
      <c r="F272" s="18"/>
      <c r="G272" s="19"/>
      <c r="H272" s="13"/>
      <c r="I272" s="19"/>
      <c r="J272" s="13"/>
      <c r="K272" s="19"/>
      <c r="L272" s="13"/>
      <c r="M272" s="19"/>
      <c r="N272" s="13"/>
      <c r="O272" s="19"/>
      <c r="P272" s="13"/>
      <c r="Q272" s="19"/>
      <c r="R272" s="13"/>
      <c r="S272" s="19"/>
      <c r="T272" s="13"/>
    </row>
    <row r="273" spans="1:20">
      <c r="A273" s="14"/>
      <c r="B273" s="15"/>
      <c r="C273" s="16"/>
      <c r="D273" s="17"/>
      <c r="E273" s="12"/>
      <c r="F273" s="18"/>
      <c r="G273" s="19"/>
      <c r="H273" s="13"/>
      <c r="I273" s="19"/>
      <c r="J273" s="13"/>
      <c r="K273" s="19"/>
      <c r="L273" s="13"/>
      <c r="M273" s="19"/>
      <c r="N273" s="13"/>
      <c r="O273" s="19"/>
      <c r="P273" s="13"/>
      <c r="Q273" s="19"/>
      <c r="R273" s="13"/>
      <c r="S273" s="19"/>
      <c r="T273" s="13"/>
    </row>
    <row r="274" spans="1:20">
      <c r="A274" s="14"/>
      <c r="B274" s="15"/>
      <c r="C274" s="16"/>
      <c r="D274" s="17"/>
      <c r="E274" s="12"/>
      <c r="F274" s="18"/>
      <c r="G274" s="19"/>
      <c r="H274" s="13"/>
      <c r="I274" s="19"/>
      <c r="J274" s="13"/>
      <c r="K274" s="19"/>
      <c r="L274" s="13"/>
      <c r="M274" s="19"/>
      <c r="N274" s="13"/>
      <c r="O274" s="19"/>
      <c r="P274" s="13"/>
      <c r="Q274" s="19"/>
      <c r="R274" s="13"/>
      <c r="S274" s="19"/>
      <c r="T274" s="13"/>
    </row>
    <row r="275" spans="1:20">
      <c r="A275" s="14"/>
      <c r="B275" s="15"/>
      <c r="C275" s="16"/>
      <c r="D275" s="17"/>
      <c r="E275" s="12"/>
      <c r="F275" s="18"/>
      <c r="G275" s="19"/>
      <c r="H275" s="13"/>
      <c r="I275" s="19"/>
      <c r="J275" s="13"/>
      <c r="K275" s="19"/>
      <c r="L275" s="13"/>
      <c r="M275" s="19"/>
      <c r="N275" s="13"/>
      <c r="O275" s="19"/>
      <c r="P275" s="13"/>
      <c r="Q275" s="19"/>
      <c r="R275" s="13"/>
      <c r="S275" s="19"/>
      <c r="T275" s="13"/>
    </row>
    <row r="276" spans="1:20">
      <c r="A276" s="14"/>
      <c r="B276" s="15"/>
      <c r="C276" s="16"/>
      <c r="D276" s="17"/>
      <c r="E276" s="12"/>
      <c r="F276" s="18"/>
      <c r="G276" s="19"/>
      <c r="H276" s="13"/>
      <c r="I276" s="19"/>
      <c r="J276" s="13"/>
      <c r="K276" s="19"/>
      <c r="L276" s="13"/>
      <c r="M276" s="19"/>
      <c r="N276" s="13"/>
      <c r="O276" s="19"/>
      <c r="P276" s="13"/>
      <c r="Q276" s="19"/>
      <c r="R276" s="13"/>
      <c r="S276" s="19"/>
      <c r="T276" s="13"/>
    </row>
    <row r="277" spans="1:20">
      <c r="A277" s="14"/>
      <c r="B277" s="15"/>
      <c r="C277" s="16"/>
      <c r="D277" s="17"/>
      <c r="E277" s="12"/>
      <c r="F277" s="18"/>
      <c r="G277" s="19"/>
      <c r="H277" s="13"/>
      <c r="I277" s="19"/>
      <c r="J277" s="13"/>
      <c r="K277" s="19"/>
      <c r="L277" s="13"/>
      <c r="M277" s="19"/>
      <c r="N277" s="13"/>
      <c r="O277" s="19"/>
      <c r="P277" s="13"/>
      <c r="Q277" s="19"/>
      <c r="R277" s="13"/>
      <c r="S277" s="19"/>
      <c r="T277" s="13"/>
    </row>
    <row r="278" spans="1:20">
      <c r="A278" s="14"/>
      <c r="B278" s="15"/>
      <c r="C278" s="16"/>
      <c r="D278" s="17"/>
      <c r="E278" s="12"/>
      <c r="F278" s="18"/>
      <c r="G278" s="19"/>
      <c r="H278" s="13"/>
      <c r="I278" s="19"/>
      <c r="J278" s="13"/>
      <c r="K278" s="19"/>
      <c r="L278" s="13"/>
      <c r="M278" s="19"/>
      <c r="N278" s="13"/>
      <c r="O278" s="19"/>
      <c r="P278" s="13"/>
      <c r="Q278" s="19"/>
      <c r="R278" s="13"/>
      <c r="S278" s="19"/>
      <c r="T278" s="13"/>
    </row>
    <row r="279" spans="1:20">
      <c r="A279" s="14"/>
      <c r="B279" s="15"/>
      <c r="C279" s="16"/>
      <c r="D279" s="17"/>
      <c r="E279" s="12"/>
      <c r="F279" s="18"/>
      <c r="G279" s="19"/>
      <c r="H279" s="13"/>
      <c r="I279" s="19"/>
      <c r="J279" s="13"/>
      <c r="K279" s="19"/>
      <c r="L279" s="13"/>
      <c r="M279" s="19"/>
      <c r="N279" s="13"/>
      <c r="O279" s="19"/>
      <c r="P279" s="13"/>
      <c r="Q279" s="19"/>
      <c r="R279" s="13"/>
      <c r="S279" s="19"/>
      <c r="T279" s="13"/>
    </row>
    <row r="280" spans="1:20">
      <c r="A280" s="14"/>
      <c r="B280" s="15"/>
      <c r="C280" s="16"/>
      <c r="D280" s="17"/>
      <c r="E280" s="12"/>
      <c r="F280" s="18"/>
      <c r="G280" s="19"/>
      <c r="H280" s="13"/>
      <c r="I280" s="19"/>
      <c r="J280" s="13"/>
      <c r="K280" s="19"/>
      <c r="L280" s="13"/>
      <c r="M280" s="19"/>
      <c r="N280" s="13"/>
      <c r="O280" s="19"/>
      <c r="P280" s="13"/>
      <c r="Q280" s="19"/>
      <c r="R280" s="13"/>
      <c r="S280" s="19"/>
      <c r="T280" s="13"/>
    </row>
    <row r="281" spans="1:20">
      <c r="A281" s="14"/>
      <c r="B281" s="15"/>
      <c r="C281" s="16"/>
      <c r="D281" s="17"/>
      <c r="E281" s="12"/>
      <c r="F281" s="18"/>
      <c r="G281" s="19"/>
      <c r="H281" s="13"/>
      <c r="I281" s="19"/>
      <c r="J281" s="13"/>
      <c r="K281" s="19"/>
      <c r="L281" s="13"/>
      <c r="M281" s="19"/>
      <c r="N281" s="13"/>
      <c r="O281" s="19"/>
      <c r="P281" s="13"/>
      <c r="Q281" s="19"/>
      <c r="R281" s="13"/>
      <c r="S281" s="19"/>
      <c r="T281" s="13"/>
    </row>
    <row r="282" spans="1:20">
      <c r="A282" s="14"/>
      <c r="B282" s="15"/>
      <c r="C282" s="16"/>
      <c r="D282" s="17"/>
      <c r="E282" s="12"/>
      <c r="F282" s="18"/>
      <c r="G282" s="19"/>
      <c r="H282" s="13"/>
      <c r="I282" s="19"/>
      <c r="J282" s="13"/>
      <c r="K282" s="19"/>
      <c r="L282" s="13"/>
      <c r="M282" s="19"/>
      <c r="N282" s="13"/>
      <c r="O282" s="19"/>
      <c r="P282" s="13"/>
      <c r="Q282" s="19"/>
      <c r="R282" s="13"/>
      <c r="S282" s="19"/>
      <c r="T282" s="13"/>
    </row>
    <row r="283" spans="1:20">
      <c r="A283" s="14"/>
      <c r="B283" s="15"/>
      <c r="C283" s="16"/>
      <c r="D283" s="17"/>
      <c r="E283" s="12"/>
      <c r="F283" s="18"/>
      <c r="G283" s="19"/>
      <c r="H283" s="13"/>
      <c r="I283" s="19"/>
      <c r="J283" s="13"/>
      <c r="K283" s="19"/>
      <c r="L283" s="13"/>
      <c r="M283" s="19"/>
      <c r="N283" s="13"/>
      <c r="O283" s="19"/>
      <c r="P283" s="13"/>
      <c r="Q283" s="19"/>
      <c r="R283" s="13"/>
      <c r="S283" s="19"/>
      <c r="T283" s="13"/>
    </row>
    <row r="284" spans="1:20">
      <c r="A284" s="14"/>
      <c r="B284" s="15"/>
      <c r="C284" s="16"/>
      <c r="D284" s="17"/>
      <c r="E284" s="12"/>
      <c r="F284" s="18"/>
      <c r="G284" s="19"/>
      <c r="H284" s="13"/>
      <c r="I284" s="19"/>
      <c r="J284" s="13"/>
      <c r="K284" s="19"/>
      <c r="L284" s="13"/>
      <c r="M284" s="19"/>
      <c r="N284" s="13"/>
      <c r="O284" s="19"/>
      <c r="P284" s="13"/>
      <c r="Q284" s="19"/>
      <c r="R284" s="13"/>
      <c r="S284" s="19"/>
      <c r="T284" s="13"/>
    </row>
    <row r="285" spans="1:20">
      <c r="A285" s="14"/>
      <c r="B285" s="15"/>
      <c r="C285" s="16"/>
      <c r="D285" s="17"/>
      <c r="E285" s="12"/>
      <c r="F285" s="18"/>
      <c r="G285" s="19"/>
      <c r="H285" s="13"/>
      <c r="I285" s="19"/>
      <c r="J285" s="13"/>
      <c r="K285" s="19"/>
      <c r="L285" s="13"/>
      <c r="M285" s="19"/>
      <c r="N285" s="13"/>
      <c r="O285" s="19"/>
      <c r="P285" s="13"/>
      <c r="Q285" s="19"/>
      <c r="R285" s="13"/>
      <c r="S285" s="19"/>
      <c r="T285" s="13"/>
    </row>
    <row r="286" spans="1:20">
      <c r="A286" s="14"/>
      <c r="B286" s="15"/>
      <c r="C286" s="16"/>
      <c r="D286" s="17"/>
      <c r="E286" s="12"/>
      <c r="F286" s="18"/>
      <c r="G286" s="19"/>
      <c r="H286" s="13"/>
      <c r="I286" s="19"/>
      <c r="J286" s="13"/>
      <c r="K286" s="19"/>
      <c r="L286" s="13"/>
      <c r="M286" s="19"/>
      <c r="N286" s="13"/>
      <c r="O286" s="19"/>
      <c r="P286" s="13"/>
      <c r="Q286" s="19"/>
      <c r="R286" s="13"/>
      <c r="S286" s="19"/>
      <c r="T286" s="13"/>
    </row>
    <row r="287" spans="1:20">
      <c r="A287" s="14"/>
      <c r="B287" s="15"/>
      <c r="C287" s="16"/>
      <c r="D287" s="17"/>
      <c r="E287" s="12"/>
      <c r="F287" s="18"/>
      <c r="G287" s="19"/>
      <c r="H287" s="13"/>
      <c r="I287" s="19"/>
      <c r="J287" s="13"/>
      <c r="K287" s="19"/>
      <c r="L287" s="13"/>
      <c r="M287" s="19"/>
      <c r="N287" s="13"/>
      <c r="O287" s="19"/>
      <c r="P287" s="13"/>
      <c r="Q287" s="19"/>
      <c r="R287" s="13"/>
      <c r="S287" s="19"/>
      <c r="T287" s="13"/>
    </row>
    <row r="288" spans="1:20">
      <c r="A288" s="14"/>
      <c r="B288" s="15"/>
      <c r="C288" s="16"/>
      <c r="D288" s="17"/>
      <c r="E288" s="12"/>
      <c r="F288" s="18"/>
      <c r="G288" s="19"/>
      <c r="H288" s="13"/>
      <c r="I288" s="19"/>
      <c r="J288" s="13"/>
      <c r="K288" s="19"/>
      <c r="L288" s="13"/>
      <c r="M288" s="19"/>
      <c r="N288" s="13"/>
      <c r="O288" s="19"/>
      <c r="P288" s="13"/>
      <c r="Q288" s="19"/>
      <c r="R288" s="13"/>
      <c r="S288" s="19"/>
      <c r="T288" s="13"/>
    </row>
    <row r="289" spans="1:20">
      <c r="A289" s="14"/>
      <c r="B289" s="15"/>
      <c r="C289" s="16"/>
      <c r="D289" s="17"/>
      <c r="E289" s="12"/>
      <c r="F289" s="18"/>
      <c r="G289" s="19"/>
      <c r="H289" s="13"/>
      <c r="I289" s="19"/>
      <c r="J289" s="13"/>
      <c r="K289" s="19"/>
      <c r="L289" s="13"/>
      <c r="M289" s="19"/>
      <c r="N289" s="13"/>
      <c r="O289" s="19"/>
      <c r="P289" s="13"/>
      <c r="Q289" s="19"/>
      <c r="R289" s="13"/>
      <c r="S289" s="19"/>
      <c r="T289" s="13"/>
    </row>
    <row r="290" spans="1:20">
      <c r="A290" s="14"/>
      <c r="B290" s="15"/>
      <c r="C290" s="16"/>
      <c r="D290" s="17"/>
      <c r="E290" s="12"/>
      <c r="F290" s="18"/>
      <c r="G290" s="19"/>
      <c r="H290" s="13"/>
      <c r="I290" s="19"/>
      <c r="J290" s="13"/>
      <c r="K290" s="19"/>
      <c r="L290" s="13"/>
      <c r="M290" s="19"/>
      <c r="N290" s="13"/>
      <c r="O290" s="19"/>
      <c r="P290" s="13"/>
      <c r="Q290" s="19"/>
      <c r="R290" s="13"/>
      <c r="S290" s="19"/>
      <c r="T290" s="13"/>
    </row>
    <row r="291" spans="1:20">
      <c r="A291" s="14"/>
      <c r="B291" s="15"/>
      <c r="C291" s="16"/>
      <c r="D291" s="17"/>
      <c r="E291" s="12"/>
      <c r="F291" s="18"/>
      <c r="G291" s="19"/>
      <c r="H291" s="13"/>
      <c r="I291" s="19"/>
      <c r="J291" s="13"/>
      <c r="K291" s="19"/>
      <c r="L291" s="13"/>
      <c r="M291" s="19"/>
      <c r="N291" s="13"/>
      <c r="O291" s="19"/>
      <c r="P291" s="13"/>
      <c r="Q291" s="19"/>
      <c r="R291" s="13"/>
      <c r="S291" s="19"/>
      <c r="T291" s="13"/>
    </row>
    <row r="292" spans="1:20">
      <c r="A292" s="14"/>
      <c r="B292" s="15"/>
      <c r="C292" s="16"/>
      <c r="D292" s="17"/>
      <c r="E292" s="12"/>
      <c r="F292" s="18"/>
      <c r="G292" s="19"/>
      <c r="H292" s="13"/>
      <c r="I292" s="19"/>
      <c r="J292" s="13"/>
      <c r="K292" s="19"/>
      <c r="L292" s="13"/>
      <c r="M292" s="19"/>
      <c r="N292" s="13"/>
      <c r="O292" s="19"/>
      <c r="P292" s="13"/>
      <c r="Q292" s="19"/>
      <c r="R292" s="13"/>
      <c r="S292" s="19"/>
      <c r="T292" s="13"/>
    </row>
    <row r="293" spans="1:20">
      <c r="A293" s="14"/>
      <c r="B293" s="15"/>
      <c r="C293" s="16"/>
      <c r="D293" s="17"/>
      <c r="E293" s="12"/>
      <c r="F293" s="18"/>
      <c r="G293" s="19"/>
      <c r="H293" s="13"/>
      <c r="I293" s="19"/>
      <c r="J293" s="13"/>
      <c r="K293" s="19"/>
      <c r="L293" s="13"/>
      <c r="M293" s="19"/>
      <c r="N293" s="13"/>
      <c r="O293" s="19"/>
      <c r="P293" s="13"/>
      <c r="Q293" s="19"/>
      <c r="R293" s="13"/>
      <c r="S293" s="19"/>
      <c r="T293" s="13"/>
    </row>
    <row r="294" spans="1:20">
      <c r="A294" s="14"/>
      <c r="B294" s="15"/>
      <c r="C294" s="16"/>
      <c r="D294" s="17"/>
      <c r="E294" s="12"/>
      <c r="F294" s="18"/>
      <c r="G294" s="19"/>
      <c r="H294" s="13"/>
      <c r="I294" s="19"/>
      <c r="J294" s="13"/>
      <c r="K294" s="19"/>
      <c r="L294" s="13"/>
      <c r="M294" s="19"/>
      <c r="N294" s="13"/>
      <c r="O294" s="19"/>
      <c r="P294" s="13"/>
      <c r="Q294" s="19"/>
      <c r="R294" s="13"/>
      <c r="S294" s="19"/>
      <c r="T294" s="13"/>
    </row>
    <row r="295" spans="1:20">
      <c r="A295" s="14"/>
      <c r="B295" s="15"/>
      <c r="C295" s="16"/>
      <c r="D295" s="17"/>
      <c r="E295" s="12"/>
      <c r="F295" s="18"/>
      <c r="G295" s="19"/>
      <c r="H295" s="13"/>
      <c r="I295" s="19"/>
      <c r="J295" s="13"/>
      <c r="K295" s="19"/>
      <c r="L295" s="13"/>
      <c r="M295" s="19"/>
      <c r="N295" s="13"/>
      <c r="O295" s="19"/>
      <c r="P295" s="13"/>
      <c r="Q295" s="19"/>
      <c r="R295" s="13"/>
      <c r="S295" s="19"/>
      <c r="T295" s="13"/>
    </row>
    <row r="296" spans="1:20">
      <c r="A296" s="14"/>
      <c r="B296" s="15"/>
      <c r="C296" s="16"/>
      <c r="D296" s="17"/>
      <c r="E296" s="12"/>
      <c r="F296" s="18"/>
      <c r="G296" s="19"/>
      <c r="H296" s="13"/>
      <c r="I296" s="19"/>
      <c r="J296" s="13"/>
      <c r="K296" s="19"/>
      <c r="L296" s="13"/>
      <c r="M296" s="19"/>
      <c r="N296" s="13"/>
      <c r="O296" s="19"/>
      <c r="P296" s="13"/>
      <c r="Q296" s="19"/>
      <c r="R296" s="13"/>
      <c r="S296" s="19"/>
      <c r="T296" s="13"/>
    </row>
    <row r="297" spans="1:20">
      <c r="A297" s="14"/>
      <c r="B297" s="15"/>
      <c r="C297" s="16"/>
      <c r="D297" s="17"/>
      <c r="E297" s="12"/>
      <c r="F297" s="18"/>
      <c r="G297" s="19"/>
      <c r="H297" s="13"/>
      <c r="I297" s="19"/>
      <c r="J297" s="13"/>
      <c r="K297" s="19"/>
      <c r="L297" s="13"/>
      <c r="M297" s="19"/>
      <c r="N297" s="13"/>
      <c r="O297" s="19"/>
      <c r="P297" s="13"/>
      <c r="Q297" s="19"/>
      <c r="R297" s="13"/>
      <c r="S297" s="19"/>
      <c r="T297" s="13"/>
    </row>
    <row r="298" spans="1:20">
      <c r="A298" s="14"/>
      <c r="B298" s="15"/>
      <c r="C298" s="16"/>
      <c r="D298" s="17"/>
      <c r="E298" s="12"/>
      <c r="F298" s="18"/>
      <c r="G298" s="19"/>
      <c r="H298" s="13"/>
      <c r="I298" s="19"/>
      <c r="J298" s="13"/>
      <c r="K298" s="19"/>
      <c r="L298" s="13"/>
      <c r="M298" s="19"/>
      <c r="N298" s="13"/>
      <c r="O298" s="19"/>
      <c r="P298" s="13"/>
      <c r="Q298" s="19"/>
      <c r="R298" s="13"/>
      <c r="S298" s="19"/>
      <c r="T298" s="13"/>
    </row>
    <row r="299" spans="1:20">
      <c r="A299" s="14"/>
      <c r="B299" s="15"/>
      <c r="C299" s="16"/>
      <c r="D299" s="17"/>
      <c r="E299" s="12"/>
      <c r="F299" s="18"/>
      <c r="G299" s="19"/>
      <c r="H299" s="13"/>
      <c r="I299" s="19"/>
      <c r="J299" s="13"/>
      <c r="K299" s="19"/>
      <c r="L299" s="13"/>
      <c r="M299" s="19"/>
      <c r="N299" s="13"/>
      <c r="O299" s="19"/>
      <c r="P299" s="13"/>
      <c r="Q299" s="19"/>
      <c r="R299" s="13"/>
      <c r="S299" s="19"/>
      <c r="T299" s="13"/>
    </row>
    <row r="300" spans="1:20">
      <c r="A300" s="14"/>
      <c r="B300" s="15"/>
      <c r="C300" s="16"/>
      <c r="D300" s="17"/>
      <c r="E300" s="12"/>
      <c r="F300" s="18"/>
      <c r="G300" s="19"/>
      <c r="H300" s="13"/>
      <c r="I300" s="19"/>
      <c r="J300" s="13"/>
      <c r="K300" s="19"/>
      <c r="L300" s="13"/>
      <c r="M300" s="19"/>
      <c r="N300" s="13"/>
      <c r="O300" s="19"/>
      <c r="P300" s="13"/>
      <c r="Q300" s="19"/>
      <c r="R300" s="13"/>
      <c r="S300" s="19"/>
      <c r="T300" s="13"/>
    </row>
    <row r="301" spans="1:20">
      <c r="A301" s="14"/>
      <c r="B301" s="15"/>
      <c r="C301" s="16"/>
      <c r="D301" s="17"/>
      <c r="E301" s="12"/>
      <c r="F301" s="18"/>
      <c r="G301" s="19"/>
      <c r="H301" s="13"/>
      <c r="I301" s="19"/>
      <c r="J301" s="13"/>
      <c r="K301" s="19"/>
      <c r="L301" s="13"/>
      <c r="M301" s="19"/>
      <c r="N301" s="13"/>
      <c r="O301" s="19"/>
      <c r="P301" s="13"/>
      <c r="Q301" s="19"/>
      <c r="R301" s="13"/>
      <c r="S301" s="19"/>
      <c r="T301" s="13"/>
    </row>
    <row r="302" spans="1:20">
      <c r="A302" s="14"/>
      <c r="B302" s="15"/>
      <c r="C302" s="16"/>
      <c r="D302" s="17"/>
      <c r="E302" s="12"/>
      <c r="F302" s="18"/>
      <c r="G302" s="19"/>
      <c r="H302" s="13"/>
      <c r="I302" s="19"/>
      <c r="J302" s="13"/>
      <c r="K302" s="19"/>
      <c r="L302" s="13"/>
      <c r="M302" s="19"/>
      <c r="N302" s="13"/>
      <c r="O302" s="19"/>
      <c r="P302" s="13"/>
      <c r="Q302" s="19"/>
      <c r="R302" s="13"/>
      <c r="S302" s="19"/>
      <c r="T302" s="13"/>
    </row>
    <row r="303" spans="1:20">
      <c r="A303" s="14"/>
      <c r="B303" s="15"/>
      <c r="C303" s="16"/>
      <c r="D303" s="17"/>
      <c r="E303" s="12"/>
      <c r="F303" s="18"/>
      <c r="G303" s="19"/>
      <c r="H303" s="13"/>
      <c r="I303" s="19"/>
      <c r="J303" s="13"/>
      <c r="K303" s="19"/>
      <c r="L303" s="13"/>
      <c r="M303" s="19"/>
      <c r="N303" s="13"/>
      <c r="O303" s="19"/>
      <c r="P303" s="13"/>
      <c r="Q303" s="19"/>
      <c r="R303" s="13"/>
      <c r="S303" s="19"/>
      <c r="T303" s="13"/>
    </row>
    <row r="304" spans="1:20">
      <c r="A304" s="14"/>
      <c r="B304" s="15"/>
      <c r="C304" s="16"/>
      <c r="D304" s="17"/>
      <c r="E304" s="12"/>
      <c r="F304" s="18"/>
      <c r="G304" s="19"/>
      <c r="H304" s="13"/>
      <c r="I304" s="19"/>
      <c r="J304" s="13"/>
      <c r="K304" s="19"/>
      <c r="L304" s="13"/>
      <c r="M304" s="19"/>
      <c r="N304" s="13"/>
      <c r="O304" s="19"/>
      <c r="P304" s="13"/>
      <c r="Q304" s="19"/>
      <c r="R304" s="13"/>
      <c r="S304" s="19"/>
      <c r="T304" s="13"/>
    </row>
    <row r="305" spans="1:20">
      <c r="A305" s="14"/>
      <c r="B305" s="15"/>
      <c r="C305" s="16"/>
      <c r="D305" s="17"/>
      <c r="E305" s="12"/>
      <c r="F305" s="18"/>
      <c r="G305" s="19"/>
      <c r="H305" s="13"/>
      <c r="I305" s="19"/>
      <c r="J305" s="13"/>
      <c r="K305" s="19"/>
      <c r="L305" s="13"/>
      <c r="M305" s="19"/>
      <c r="N305" s="13"/>
      <c r="O305" s="19"/>
      <c r="P305" s="13"/>
      <c r="Q305" s="19"/>
      <c r="R305" s="13"/>
      <c r="S305" s="19"/>
      <c r="T305" s="13"/>
    </row>
    <row r="306" spans="1:20">
      <c r="A306" s="14"/>
      <c r="B306" s="15"/>
      <c r="C306" s="16"/>
      <c r="D306" s="17"/>
      <c r="E306" s="12"/>
      <c r="F306" s="18"/>
      <c r="G306" s="19"/>
      <c r="H306" s="13"/>
      <c r="I306" s="19"/>
      <c r="J306" s="13"/>
      <c r="K306" s="19"/>
      <c r="L306" s="13"/>
      <c r="M306" s="19"/>
      <c r="N306" s="13"/>
      <c r="O306" s="19"/>
      <c r="P306" s="13"/>
      <c r="Q306" s="19"/>
      <c r="R306" s="13"/>
      <c r="S306" s="19"/>
      <c r="T306" s="13"/>
    </row>
    <row r="307" spans="1:20">
      <c r="A307" s="14"/>
      <c r="B307" s="15"/>
      <c r="C307" s="16"/>
      <c r="D307" s="17"/>
      <c r="E307" s="12"/>
      <c r="F307" s="18"/>
      <c r="G307" s="19"/>
      <c r="H307" s="13"/>
      <c r="I307" s="19"/>
      <c r="J307" s="13"/>
      <c r="K307" s="19"/>
      <c r="L307" s="13"/>
      <c r="M307" s="19"/>
      <c r="N307" s="13"/>
      <c r="O307" s="19"/>
      <c r="P307" s="13"/>
      <c r="Q307" s="19"/>
      <c r="R307" s="13"/>
      <c r="S307" s="19"/>
      <c r="T307" s="13"/>
    </row>
    <row r="308" spans="1:20">
      <c r="A308" s="14"/>
      <c r="B308" s="15"/>
      <c r="C308" s="16"/>
      <c r="D308" s="17"/>
      <c r="E308" s="12"/>
      <c r="F308" s="18"/>
      <c r="G308" s="19"/>
      <c r="H308" s="13"/>
      <c r="I308" s="19"/>
      <c r="J308" s="13"/>
      <c r="K308" s="19"/>
      <c r="L308" s="13"/>
      <c r="M308" s="19"/>
      <c r="N308" s="13"/>
      <c r="O308" s="19"/>
      <c r="P308" s="13"/>
      <c r="Q308" s="19"/>
      <c r="R308" s="13"/>
      <c r="S308" s="19"/>
      <c r="T308" s="13"/>
    </row>
    <row r="309" spans="1:20">
      <c r="A309" s="14"/>
      <c r="B309" s="15"/>
      <c r="C309" s="16"/>
      <c r="D309" s="17"/>
      <c r="E309" s="12"/>
      <c r="F309" s="18"/>
      <c r="G309" s="19"/>
      <c r="H309" s="13"/>
      <c r="I309" s="19"/>
      <c r="J309" s="13"/>
      <c r="K309" s="19"/>
      <c r="L309" s="13"/>
      <c r="M309" s="19"/>
      <c r="N309" s="13"/>
      <c r="O309" s="19"/>
      <c r="P309" s="13"/>
      <c r="Q309" s="19"/>
      <c r="R309" s="13"/>
      <c r="S309" s="19"/>
      <c r="T309" s="13"/>
    </row>
    <row r="310" spans="1:20">
      <c r="A310" s="14"/>
      <c r="B310" s="15"/>
      <c r="C310" s="16"/>
      <c r="D310" s="17"/>
      <c r="E310" s="12"/>
      <c r="F310" s="18"/>
      <c r="G310" s="19"/>
      <c r="H310" s="13"/>
      <c r="I310" s="19"/>
      <c r="J310" s="13"/>
      <c r="K310" s="19"/>
      <c r="L310" s="13"/>
      <c r="M310" s="19"/>
      <c r="N310" s="13"/>
      <c r="O310" s="19"/>
      <c r="P310" s="13"/>
      <c r="Q310" s="19"/>
      <c r="R310" s="13"/>
      <c r="S310" s="19"/>
      <c r="T310" s="13"/>
    </row>
    <row r="311" spans="1:20">
      <c r="A311" s="14"/>
      <c r="B311" s="15"/>
      <c r="C311" s="16"/>
      <c r="D311" s="17"/>
      <c r="E311" s="12"/>
      <c r="F311" s="18"/>
      <c r="G311" s="19"/>
      <c r="H311" s="13"/>
      <c r="I311" s="19"/>
      <c r="J311" s="13"/>
      <c r="K311" s="19"/>
      <c r="L311" s="13"/>
      <c r="M311" s="19"/>
      <c r="N311" s="13"/>
      <c r="O311" s="19"/>
      <c r="P311" s="13"/>
      <c r="Q311" s="19"/>
      <c r="R311" s="13"/>
      <c r="S311" s="19"/>
      <c r="T311" s="13"/>
    </row>
    <row r="312" spans="1:20">
      <c r="A312" s="14"/>
      <c r="B312" s="15"/>
      <c r="C312" s="16"/>
      <c r="D312" s="17"/>
      <c r="E312" s="12"/>
      <c r="F312" s="18"/>
      <c r="G312" s="19"/>
      <c r="H312" s="13"/>
      <c r="I312" s="19"/>
      <c r="J312" s="13"/>
      <c r="K312" s="19"/>
      <c r="L312" s="13"/>
      <c r="M312" s="19"/>
      <c r="N312" s="13"/>
      <c r="O312" s="19"/>
      <c r="P312" s="13"/>
      <c r="Q312" s="19"/>
      <c r="R312" s="13"/>
      <c r="S312" s="19"/>
      <c r="T312" s="13"/>
    </row>
    <row r="313" spans="1:20">
      <c r="A313" s="14"/>
      <c r="B313" s="15"/>
      <c r="C313" s="16"/>
      <c r="D313" s="17"/>
      <c r="E313" s="12"/>
      <c r="F313" s="18"/>
      <c r="G313" s="19"/>
      <c r="H313" s="13"/>
      <c r="I313" s="19"/>
      <c r="J313" s="13"/>
      <c r="K313" s="19"/>
      <c r="L313" s="13"/>
      <c r="M313" s="19"/>
      <c r="N313" s="13"/>
      <c r="O313" s="19"/>
      <c r="P313" s="13"/>
      <c r="Q313" s="19"/>
      <c r="R313" s="13"/>
      <c r="S313" s="19"/>
      <c r="T313" s="13"/>
    </row>
    <row r="314" spans="1:20">
      <c r="A314" s="14"/>
      <c r="B314" s="15"/>
      <c r="C314" s="16"/>
      <c r="D314" s="17"/>
      <c r="E314" s="12"/>
      <c r="F314" s="18"/>
      <c r="G314" s="19"/>
      <c r="H314" s="13"/>
      <c r="I314" s="19"/>
      <c r="J314" s="13"/>
      <c r="K314" s="19"/>
      <c r="L314" s="13"/>
      <c r="M314" s="19"/>
      <c r="N314" s="13"/>
      <c r="O314" s="19"/>
      <c r="P314" s="13"/>
      <c r="Q314" s="19"/>
      <c r="R314" s="13"/>
      <c r="S314" s="19"/>
      <c r="T314" s="13"/>
    </row>
    <row r="315" spans="1:20">
      <c r="A315" s="14"/>
      <c r="B315" s="15"/>
      <c r="C315" s="16"/>
      <c r="D315" s="17"/>
      <c r="E315" s="12"/>
      <c r="F315" s="18"/>
      <c r="G315" s="19"/>
      <c r="H315" s="13"/>
      <c r="I315" s="19"/>
      <c r="J315" s="13"/>
      <c r="K315" s="19"/>
      <c r="L315" s="13"/>
      <c r="M315" s="19"/>
      <c r="N315" s="13"/>
      <c r="O315" s="19"/>
      <c r="P315" s="13"/>
      <c r="Q315" s="19"/>
      <c r="R315" s="13"/>
      <c r="S315" s="19"/>
      <c r="T315" s="13"/>
    </row>
    <row r="316" spans="1:20">
      <c r="A316" s="14"/>
      <c r="B316" s="15"/>
      <c r="C316" s="16"/>
      <c r="D316" s="17"/>
      <c r="E316" s="12"/>
      <c r="F316" s="18"/>
      <c r="G316" s="19"/>
      <c r="H316" s="13"/>
      <c r="I316" s="19"/>
      <c r="J316" s="13"/>
      <c r="K316" s="19"/>
      <c r="L316" s="13"/>
      <c r="M316" s="19"/>
      <c r="N316" s="13"/>
      <c r="O316" s="19"/>
      <c r="P316" s="13"/>
      <c r="Q316" s="19"/>
      <c r="R316" s="13"/>
      <c r="S316" s="19"/>
      <c r="T316" s="13"/>
    </row>
    <row r="317" spans="1:20">
      <c r="A317" s="14"/>
      <c r="B317" s="15"/>
      <c r="C317" s="16"/>
      <c r="D317" s="17"/>
      <c r="E317" s="12"/>
      <c r="F317" s="18"/>
      <c r="G317" s="19"/>
      <c r="H317" s="13"/>
      <c r="I317" s="19"/>
      <c r="J317" s="13"/>
      <c r="K317" s="19"/>
      <c r="L317" s="13"/>
      <c r="M317" s="19"/>
      <c r="N317" s="13"/>
      <c r="O317" s="19"/>
      <c r="P317" s="13"/>
      <c r="Q317" s="19"/>
      <c r="R317" s="13"/>
      <c r="S317" s="19"/>
      <c r="T317" s="13"/>
    </row>
    <row r="318" spans="1:20">
      <c r="A318" s="14"/>
      <c r="B318" s="15"/>
      <c r="C318" s="16"/>
      <c r="D318" s="17"/>
      <c r="E318" s="12"/>
      <c r="F318" s="18"/>
      <c r="G318" s="19"/>
      <c r="H318" s="13"/>
      <c r="I318" s="19"/>
      <c r="J318" s="13"/>
      <c r="K318" s="19"/>
      <c r="L318" s="13"/>
      <c r="M318" s="19"/>
      <c r="N318" s="13"/>
      <c r="O318" s="19"/>
      <c r="P318" s="13"/>
      <c r="Q318" s="19"/>
      <c r="R318" s="13"/>
      <c r="S318" s="19"/>
      <c r="T318" s="13"/>
    </row>
    <row r="319" spans="1:20">
      <c r="A319" s="14"/>
      <c r="B319" s="15"/>
      <c r="C319" s="16"/>
      <c r="D319" s="17"/>
      <c r="E319" s="12"/>
      <c r="F319" s="18"/>
      <c r="G319" s="19"/>
      <c r="H319" s="13"/>
      <c r="I319" s="19"/>
      <c r="J319" s="13"/>
      <c r="K319" s="19"/>
      <c r="L319" s="13"/>
      <c r="M319" s="19"/>
      <c r="N319" s="13"/>
      <c r="O319" s="19"/>
      <c r="P319" s="13"/>
      <c r="Q319" s="19"/>
      <c r="R319" s="13"/>
      <c r="S319" s="19"/>
      <c r="T319" s="13"/>
    </row>
    <row r="320" spans="1:20">
      <c r="A320" s="14"/>
      <c r="B320" s="15"/>
      <c r="C320" s="16"/>
      <c r="D320" s="17"/>
      <c r="E320" s="12"/>
      <c r="F320" s="18"/>
      <c r="G320" s="19"/>
      <c r="H320" s="13"/>
      <c r="I320" s="19"/>
      <c r="J320" s="13"/>
      <c r="K320" s="19"/>
      <c r="L320" s="13"/>
      <c r="M320" s="19"/>
      <c r="N320" s="13"/>
      <c r="O320" s="19"/>
      <c r="P320" s="13"/>
      <c r="Q320" s="19"/>
      <c r="R320" s="13"/>
      <c r="S320" s="19"/>
      <c r="T320" s="13"/>
    </row>
    <row r="321" spans="1:20">
      <c r="A321" s="14"/>
      <c r="B321" s="15"/>
      <c r="C321" s="16"/>
      <c r="D321" s="17"/>
      <c r="E321" s="12"/>
      <c r="F321" s="18"/>
      <c r="G321" s="19"/>
      <c r="H321" s="13"/>
      <c r="I321" s="19"/>
      <c r="J321" s="13"/>
      <c r="K321" s="19"/>
      <c r="L321" s="13"/>
      <c r="M321" s="19"/>
      <c r="N321" s="13"/>
      <c r="O321" s="19"/>
      <c r="P321" s="13"/>
      <c r="Q321" s="19"/>
      <c r="R321" s="13"/>
      <c r="S321" s="19"/>
      <c r="T321" s="13"/>
    </row>
    <row r="322" spans="1:20">
      <c r="A322" s="14"/>
      <c r="B322" s="15"/>
      <c r="C322" s="16"/>
      <c r="D322" s="17"/>
      <c r="E322" s="12"/>
      <c r="F322" s="18"/>
      <c r="G322" s="19"/>
      <c r="H322" s="13"/>
      <c r="I322" s="19"/>
      <c r="J322" s="13"/>
      <c r="K322" s="19"/>
      <c r="L322" s="13"/>
      <c r="M322" s="19"/>
      <c r="N322" s="13"/>
      <c r="O322" s="19"/>
      <c r="P322" s="13"/>
      <c r="Q322" s="19"/>
      <c r="R322" s="13"/>
      <c r="S322" s="19"/>
      <c r="T322" s="13"/>
    </row>
    <row r="323" spans="1:20">
      <c r="A323" s="14"/>
      <c r="B323" s="15"/>
      <c r="C323" s="16"/>
      <c r="D323" s="17"/>
      <c r="E323" s="12"/>
      <c r="F323" s="18"/>
      <c r="G323" s="19"/>
      <c r="H323" s="13"/>
      <c r="I323" s="19"/>
      <c r="J323" s="13"/>
      <c r="K323" s="19"/>
      <c r="L323" s="13"/>
      <c r="M323" s="19"/>
      <c r="N323" s="13"/>
      <c r="O323" s="19"/>
      <c r="P323" s="13"/>
      <c r="Q323" s="19"/>
      <c r="R323" s="13"/>
      <c r="S323" s="19"/>
      <c r="T323" s="13"/>
    </row>
    <row r="324" spans="1:20">
      <c r="A324" s="14"/>
      <c r="B324" s="15"/>
      <c r="C324" s="16"/>
      <c r="D324" s="17"/>
      <c r="E324" s="12"/>
      <c r="F324" s="18"/>
      <c r="G324" s="19"/>
      <c r="H324" s="13"/>
      <c r="I324" s="19"/>
      <c r="J324" s="13"/>
      <c r="K324" s="19"/>
      <c r="L324" s="13"/>
      <c r="M324" s="19"/>
      <c r="N324" s="13"/>
      <c r="O324" s="19"/>
      <c r="P324" s="13"/>
      <c r="Q324" s="19"/>
      <c r="R324" s="13"/>
      <c r="S324" s="19"/>
      <c r="T324" s="13"/>
    </row>
    <row r="325" spans="1:20">
      <c r="A325" s="14"/>
      <c r="B325" s="15"/>
      <c r="C325" s="16"/>
      <c r="D325" s="17"/>
      <c r="E325" s="12"/>
      <c r="F325" s="18"/>
      <c r="G325" s="19"/>
      <c r="H325" s="13"/>
      <c r="I325" s="19"/>
      <c r="J325" s="13"/>
      <c r="K325" s="19"/>
      <c r="L325" s="13"/>
      <c r="M325" s="19"/>
      <c r="N325" s="13"/>
      <c r="O325" s="19"/>
      <c r="P325" s="13"/>
      <c r="Q325" s="19"/>
      <c r="R325" s="13"/>
      <c r="S325" s="19"/>
      <c r="T325" s="13"/>
    </row>
    <row r="326" spans="1:20">
      <c r="A326" s="14"/>
      <c r="B326" s="15"/>
      <c r="C326" s="16"/>
      <c r="D326" s="17"/>
      <c r="E326" s="12"/>
      <c r="F326" s="18"/>
      <c r="G326" s="19"/>
      <c r="H326" s="13"/>
      <c r="I326" s="19"/>
      <c r="J326" s="13"/>
      <c r="K326" s="19"/>
      <c r="L326" s="13"/>
      <c r="M326" s="19"/>
      <c r="N326" s="13"/>
      <c r="O326" s="19"/>
      <c r="P326" s="13"/>
      <c r="Q326" s="19"/>
      <c r="R326" s="13"/>
      <c r="S326" s="19"/>
      <c r="T326" s="13"/>
    </row>
    <row r="327" spans="1:20">
      <c r="A327" s="14"/>
      <c r="B327" s="15"/>
      <c r="C327" s="16"/>
      <c r="D327" s="17"/>
      <c r="E327" s="12"/>
      <c r="F327" s="18"/>
      <c r="G327" s="19"/>
      <c r="H327" s="13"/>
      <c r="I327" s="19"/>
      <c r="J327" s="13"/>
      <c r="K327" s="19"/>
      <c r="L327" s="13"/>
      <c r="M327" s="19"/>
      <c r="N327" s="13"/>
      <c r="O327" s="19"/>
      <c r="P327" s="13"/>
      <c r="Q327" s="19"/>
      <c r="R327" s="13"/>
      <c r="S327" s="19"/>
      <c r="T327" s="13"/>
    </row>
    <row r="328" spans="1:20">
      <c r="A328" s="14"/>
      <c r="B328" s="15"/>
      <c r="C328" s="16"/>
      <c r="D328" s="17"/>
      <c r="E328" s="12"/>
      <c r="F328" s="18"/>
      <c r="G328" s="19"/>
      <c r="H328" s="13"/>
      <c r="I328" s="19"/>
      <c r="J328" s="13"/>
      <c r="K328" s="19"/>
      <c r="L328" s="13"/>
      <c r="M328" s="19"/>
      <c r="N328" s="13"/>
      <c r="O328" s="19"/>
      <c r="P328" s="13"/>
      <c r="Q328" s="19"/>
      <c r="R328" s="13"/>
      <c r="S328" s="19"/>
      <c r="T328" s="13"/>
    </row>
    <row r="329" spans="1:20">
      <c r="A329" s="14"/>
      <c r="B329" s="15"/>
      <c r="C329" s="16"/>
      <c r="D329" s="17"/>
      <c r="E329" s="12"/>
      <c r="F329" s="18"/>
      <c r="G329" s="19"/>
      <c r="H329" s="13"/>
      <c r="I329" s="19"/>
      <c r="J329" s="13"/>
      <c r="K329" s="19"/>
      <c r="L329" s="13"/>
      <c r="M329" s="19"/>
      <c r="N329" s="13"/>
      <c r="O329" s="19"/>
      <c r="P329" s="13"/>
      <c r="Q329" s="19"/>
      <c r="R329" s="13"/>
      <c r="S329" s="19"/>
      <c r="T329" s="13"/>
    </row>
    <row r="330" spans="1:20">
      <c r="A330" s="14"/>
      <c r="B330" s="15"/>
      <c r="C330" s="16"/>
      <c r="D330" s="17"/>
      <c r="E330" s="12"/>
      <c r="F330" s="18"/>
      <c r="G330" s="19"/>
      <c r="H330" s="13"/>
      <c r="I330" s="19"/>
      <c r="J330" s="13"/>
      <c r="K330" s="19"/>
      <c r="L330" s="13"/>
      <c r="M330" s="19"/>
      <c r="N330" s="13"/>
      <c r="O330" s="19"/>
      <c r="P330" s="13"/>
      <c r="Q330" s="19"/>
      <c r="R330" s="13"/>
      <c r="S330" s="19"/>
      <c r="T330" s="13"/>
    </row>
    <row r="331" spans="1:20">
      <c r="A331" s="14"/>
      <c r="B331" s="15"/>
      <c r="C331" s="16"/>
      <c r="D331" s="17"/>
      <c r="E331" s="12"/>
      <c r="F331" s="18"/>
      <c r="G331" s="19"/>
      <c r="H331" s="13"/>
      <c r="I331" s="19"/>
      <c r="J331" s="13"/>
      <c r="K331" s="19"/>
      <c r="L331" s="13"/>
      <c r="M331" s="19"/>
      <c r="N331" s="13"/>
      <c r="O331" s="19"/>
      <c r="P331" s="13"/>
      <c r="Q331" s="19"/>
      <c r="R331" s="13"/>
      <c r="S331" s="19"/>
      <c r="T331" s="13"/>
    </row>
    <row r="332" spans="1:20">
      <c r="A332" s="14"/>
      <c r="B332" s="15"/>
      <c r="C332" s="16"/>
      <c r="D332" s="17"/>
      <c r="E332" s="12"/>
      <c r="F332" s="18"/>
      <c r="G332" s="19"/>
      <c r="H332" s="13"/>
      <c r="I332" s="19"/>
      <c r="J332" s="13"/>
      <c r="K332" s="19"/>
      <c r="L332" s="13"/>
      <c r="M332" s="19"/>
      <c r="N332" s="13"/>
      <c r="O332" s="19"/>
      <c r="P332" s="13"/>
      <c r="Q332" s="19"/>
      <c r="R332" s="13"/>
      <c r="S332" s="19"/>
      <c r="T332" s="13"/>
    </row>
    <row r="333" spans="1:20">
      <c r="A333" s="14"/>
      <c r="B333" s="15"/>
      <c r="C333" s="16"/>
      <c r="D333" s="17"/>
      <c r="E333" s="12"/>
      <c r="F333" s="18"/>
      <c r="G333" s="19"/>
      <c r="H333" s="13"/>
      <c r="I333" s="19"/>
      <c r="J333" s="13"/>
      <c r="K333" s="19"/>
      <c r="L333" s="13"/>
      <c r="M333" s="19"/>
      <c r="N333" s="13"/>
      <c r="O333" s="19"/>
      <c r="P333" s="13"/>
      <c r="Q333" s="19"/>
      <c r="R333" s="13"/>
      <c r="S333" s="19"/>
      <c r="T333" s="13"/>
    </row>
    <row r="334" spans="1:20">
      <c r="A334" s="14"/>
      <c r="B334" s="15"/>
      <c r="C334" s="16"/>
      <c r="D334" s="17"/>
      <c r="E334" s="12"/>
      <c r="F334" s="18"/>
      <c r="G334" s="19"/>
      <c r="H334" s="13"/>
      <c r="I334" s="19"/>
      <c r="J334" s="13"/>
      <c r="K334" s="19"/>
      <c r="L334" s="13"/>
      <c r="M334" s="19"/>
      <c r="N334" s="13"/>
      <c r="O334" s="19"/>
      <c r="P334" s="13"/>
      <c r="Q334" s="19"/>
      <c r="R334" s="13"/>
      <c r="S334" s="19"/>
      <c r="T334" s="13"/>
    </row>
    <row r="335" spans="1:20">
      <c r="A335" s="14"/>
      <c r="B335" s="15"/>
      <c r="C335" s="16"/>
      <c r="D335" s="17"/>
      <c r="E335" s="12"/>
      <c r="F335" s="18"/>
      <c r="G335" s="19"/>
      <c r="H335" s="13"/>
      <c r="I335" s="19"/>
      <c r="J335" s="13"/>
      <c r="K335" s="19"/>
      <c r="L335" s="13"/>
      <c r="M335" s="19"/>
      <c r="N335" s="13"/>
      <c r="O335" s="19"/>
      <c r="P335" s="13"/>
      <c r="Q335" s="19"/>
      <c r="R335" s="13"/>
      <c r="S335" s="19"/>
      <c r="T335" s="13"/>
    </row>
    <row r="336" spans="1:20">
      <c r="A336" s="14"/>
      <c r="B336" s="15"/>
      <c r="C336" s="16"/>
      <c r="D336" s="17"/>
      <c r="E336" s="12"/>
      <c r="F336" s="18"/>
      <c r="G336" s="19"/>
      <c r="H336" s="13"/>
      <c r="I336" s="19"/>
      <c r="J336" s="13"/>
      <c r="K336" s="19"/>
      <c r="L336" s="13"/>
      <c r="M336" s="19"/>
      <c r="N336" s="13"/>
      <c r="O336" s="19"/>
      <c r="P336" s="13"/>
      <c r="Q336" s="19"/>
      <c r="R336" s="13"/>
      <c r="S336" s="19"/>
      <c r="T336" s="13"/>
    </row>
    <row r="337" spans="1:20">
      <c r="A337" s="14"/>
      <c r="B337" s="15"/>
      <c r="C337" s="16"/>
      <c r="D337" s="17"/>
      <c r="E337" s="12"/>
      <c r="F337" s="18"/>
      <c r="G337" s="19"/>
      <c r="H337" s="13"/>
      <c r="I337" s="19"/>
      <c r="J337" s="13"/>
      <c r="K337" s="19"/>
      <c r="L337" s="13"/>
      <c r="M337" s="19"/>
      <c r="N337" s="13"/>
      <c r="O337" s="19"/>
      <c r="P337" s="13"/>
      <c r="Q337" s="19"/>
      <c r="R337" s="13"/>
      <c r="S337" s="19"/>
      <c r="T337" s="13"/>
    </row>
    <row r="338" spans="1:20">
      <c r="A338" s="14"/>
      <c r="B338" s="15"/>
      <c r="C338" s="16"/>
      <c r="D338" s="17"/>
      <c r="E338" s="12"/>
      <c r="F338" s="18"/>
      <c r="G338" s="19"/>
      <c r="H338" s="13"/>
      <c r="I338" s="19"/>
      <c r="J338" s="13"/>
      <c r="K338" s="19"/>
      <c r="L338" s="13"/>
      <c r="M338" s="19"/>
      <c r="N338" s="13"/>
      <c r="O338" s="19"/>
      <c r="P338" s="13"/>
      <c r="Q338" s="19"/>
      <c r="R338" s="13"/>
      <c r="S338" s="19"/>
      <c r="T338" s="13"/>
    </row>
    <row r="339" spans="1:20">
      <c r="A339" s="14"/>
      <c r="B339" s="15"/>
      <c r="C339" s="16"/>
      <c r="D339" s="17"/>
      <c r="E339" s="12"/>
      <c r="F339" s="18"/>
      <c r="G339" s="19"/>
      <c r="H339" s="13"/>
      <c r="I339" s="19"/>
      <c r="J339" s="13"/>
      <c r="K339" s="19"/>
      <c r="L339" s="13"/>
      <c r="M339" s="19"/>
      <c r="N339" s="13"/>
      <c r="O339" s="19"/>
      <c r="P339" s="13"/>
      <c r="Q339" s="19"/>
      <c r="R339" s="13"/>
      <c r="S339" s="19"/>
      <c r="T339" s="13"/>
    </row>
    <row r="340" spans="1:20">
      <c r="A340" s="14"/>
      <c r="B340" s="15"/>
      <c r="C340" s="16"/>
      <c r="D340" s="17"/>
      <c r="E340" s="12"/>
      <c r="F340" s="18"/>
      <c r="G340" s="19"/>
      <c r="H340" s="13"/>
      <c r="I340" s="19"/>
      <c r="J340" s="13"/>
      <c r="K340" s="19"/>
      <c r="L340" s="13"/>
      <c r="M340" s="19"/>
      <c r="N340" s="13"/>
      <c r="O340" s="19"/>
      <c r="P340" s="13"/>
      <c r="Q340" s="19"/>
      <c r="R340" s="13"/>
      <c r="S340" s="19"/>
      <c r="T340" s="13"/>
    </row>
    <row r="341" spans="1:20">
      <c r="A341" s="14"/>
      <c r="B341" s="15"/>
      <c r="C341" s="16"/>
      <c r="D341" s="17"/>
      <c r="E341" s="12"/>
      <c r="F341" s="18"/>
      <c r="G341" s="19"/>
      <c r="H341" s="13"/>
      <c r="I341" s="19"/>
      <c r="J341" s="13"/>
      <c r="K341" s="19"/>
      <c r="L341" s="13"/>
      <c r="M341" s="19"/>
      <c r="N341" s="13"/>
      <c r="O341" s="19"/>
      <c r="P341" s="13"/>
      <c r="Q341" s="19"/>
      <c r="R341" s="13"/>
      <c r="S341" s="19"/>
      <c r="T341" s="13"/>
    </row>
    <row r="342" spans="1:20">
      <c r="A342" s="14"/>
      <c r="B342" s="15"/>
      <c r="C342" s="16"/>
      <c r="D342" s="17"/>
      <c r="E342" s="12"/>
      <c r="F342" s="18"/>
      <c r="G342" s="19"/>
      <c r="H342" s="13"/>
      <c r="I342" s="19"/>
      <c r="J342" s="13"/>
      <c r="K342" s="19"/>
      <c r="L342" s="13"/>
      <c r="M342" s="19"/>
      <c r="N342" s="13"/>
      <c r="O342" s="19"/>
      <c r="P342" s="13"/>
      <c r="Q342" s="19"/>
      <c r="R342" s="13"/>
      <c r="S342" s="19"/>
      <c r="T342" s="13"/>
    </row>
    <row r="343" spans="1:20">
      <c r="A343" s="14"/>
      <c r="B343" s="15"/>
      <c r="C343" s="16"/>
      <c r="D343" s="17"/>
      <c r="E343" s="12"/>
      <c r="F343" s="18"/>
      <c r="G343" s="19"/>
      <c r="H343" s="13"/>
      <c r="I343" s="19"/>
      <c r="J343" s="13"/>
      <c r="K343" s="19"/>
      <c r="L343" s="13"/>
      <c r="M343" s="19"/>
      <c r="N343" s="13"/>
      <c r="O343" s="19"/>
      <c r="P343" s="13"/>
      <c r="Q343" s="19"/>
      <c r="R343" s="13"/>
      <c r="S343" s="19"/>
      <c r="T343" s="13"/>
    </row>
    <row r="344" spans="1:20">
      <c r="A344" s="14"/>
      <c r="B344" s="15"/>
      <c r="C344" s="16"/>
      <c r="D344" s="17"/>
      <c r="E344" s="12"/>
      <c r="F344" s="18"/>
      <c r="G344" s="19"/>
      <c r="H344" s="13"/>
      <c r="I344" s="19"/>
      <c r="J344" s="13"/>
      <c r="K344" s="19"/>
      <c r="L344" s="13"/>
      <c r="M344" s="19"/>
      <c r="N344" s="13"/>
      <c r="O344" s="19"/>
      <c r="P344" s="13"/>
      <c r="Q344" s="19"/>
      <c r="R344" s="13"/>
      <c r="S344" s="19"/>
      <c r="T344" s="13"/>
    </row>
    <row r="345" spans="1:20">
      <c r="A345" s="14"/>
      <c r="B345" s="15"/>
      <c r="C345" s="16"/>
      <c r="D345" s="17"/>
      <c r="E345" s="12"/>
      <c r="F345" s="18"/>
      <c r="G345" s="19"/>
      <c r="H345" s="13"/>
      <c r="I345" s="19"/>
      <c r="J345" s="13"/>
      <c r="K345" s="19"/>
      <c r="L345" s="13"/>
      <c r="M345" s="19"/>
      <c r="N345" s="13"/>
      <c r="O345" s="19"/>
      <c r="P345" s="13"/>
      <c r="Q345" s="19"/>
      <c r="R345" s="13"/>
      <c r="S345" s="19"/>
      <c r="T345" s="13"/>
    </row>
    <row r="346" spans="1:20">
      <c r="A346" s="14"/>
      <c r="B346" s="15"/>
      <c r="C346" s="16"/>
      <c r="D346" s="17"/>
      <c r="E346" s="12"/>
      <c r="F346" s="18"/>
      <c r="G346" s="19"/>
      <c r="H346" s="13"/>
      <c r="I346" s="19"/>
      <c r="J346" s="13"/>
      <c r="K346" s="19"/>
      <c r="L346" s="13"/>
      <c r="M346" s="19"/>
      <c r="N346" s="13"/>
      <c r="O346" s="19"/>
      <c r="P346" s="13"/>
      <c r="Q346" s="19"/>
      <c r="R346" s="13"/>
      <c r="S346" s="19"/>
      <c r="T346" s="13"/>
    </row>
    <row r="347" spans="1:20">
      <c r="A347" s="14"/>
      <c r="B347" s="15"/>
      <c r="C347" s="16"/>
      <c r="D347" s="17"/>
      <c r="E347" s="12"/>
      <c r="F347" s="18"/>
      <c r="G347" s="19"/>
      <c r="H347" s="13"/>
      <c r="I347" s="19"/>
      <c r="J347" s="13"/>
      <c r="K347" s="19"/>
      <c r="L347" s="13"/>
      <c r="M347" s="19"/>
      <c r="N347" s="13"/>
      <c r="O347" s="19"/>
      <c r="P347" s="13"/>
      <c r="Q347" s="19"/>
      <c r="R347" s="13"/>
      <c r="S347" s="19"/>
      <c r="T347" s="13"/>
    </row>
    <row r="348" spans="1:20">
      <c r="A348" s="14"/>
      <c r="B348" s="15"/>
      <c r="C348" s="16"/>
      <c r="D348" s="17"/>
      <c r="E348" s="12"/>
      <c r="F348" s="18"/>
      <c r="G348" s="19"/>
      <c r="H348" s="13"/>
      <c r="I348" s="19"/>
      <c r="J348" s="13"/>
      <c r="K348" s="19"/>
      <c r="L348" s="13"/>
      <c r="M348" s="19"/>
      <c r="N348" s="13"/>
      <c r="O348" s="19"/>
      <c r="P348" s="13"/>
      <c r="Q348" s="19"/>
      <c r="R348" s="13"/>
      <c r="S348" s="19"/>
      <c r="T348" s="13"/>
    </row>
    <row r="349" spans="1:20">
      <c r="A349" s="14"/>
      <c r="B349" s="15"/>
      <c r="C349" s="16"/>
      <c r="D349" s="17"/>
      <c r="E349" s="12"/>
      <c r="F349" s="18"/>
      <c r="G349" s="19"/>
      <c r="H349" s="13"/>
      <c r="I349" s="19"/>
      <c r="J349" s="13"/>
      <c r="K349" s="19"/>
      <c r="L349" s="13"/>
      <c r="M349" s="19"/>
      <c r="N349" s="13"/>
      <c r="O349" s="19"/>
      <c r="P349" s="13"/>
      <c r="Q349" s="19"/>
      <c r="R349" s="13"/>
      <c r="S349" s="19"/>
      <c r="T349" s="13"/>
    </row>
    <row r="350" spans="1:20">
      <c r="A350" s="14"/>
      <c r="B350" s="15"/>
      <c r="C350" s="16"/>
      <c r="D350" s="17"/>
      <c r="E350" s="12"/>
      <c r="F350" s="18"/>
      <c r="G350" s="19"/>
      <c r="H350" s="13"/>
      <c r="I350" s="19"/>
      <c r="J350" s="13"/>
      <c r="K350" s="19"/>
      <c r="L350" s="13"/>
      <c r="M350" s="19"/>
      <c r="N350" s="13"/>
      <c r="O350" s="19"/>
      <c r="P350" s="13"/>
      <c r="Q350" s="19"/>
      <c r="R350" s="13"/>
      <c r="S350" s="19"/>
      <c r="T350" s="13"/>
    </row>
    <row r="351" spans="1:20">
      <c r="A351" s="14"/>
      <c r="B351" s="15"/>
      <c r="C351" s="16"/>
      <c r="D351" s="17"/>
      <c r="E351" s="12"/>
      <c r="F351" s="18"/>
      <c r="G351" s="19"/>
      <c r="H351" s="13"/>
      <c r="I351" s="19"/>
      <c r="J351" s="13"/>
      <c r="K351" s="19"/>
      <c r="L351" s="13"/>
      <c r="M351" s="19"/>
      <c r="N351" s="13"/>
      <c r="O351" s="19"/>
      <c r="P351" s="13"/>
      <c r="Q351" s="19"/>
      <c r="R351" s="13"/>
      <c r="S351" s="19"/>
      <c r="T351" s="13"/>
    </row>
    <row r="352" spans="1:20">
      <c r="A352" s="14"/>
      <c r="B352" s="15"/>
      <c r="C352" s="16"/>
      <c r="D352" s="17"/>
      <c r="E352" s="12"/>
      <c r="F352" s="18"/>
      <c r="G352" s="19"/>
      <c r="H352" s="13"/>
      <c r="I352" s="19"/>
      <c r="J352" s="13"/>
      <c r="K352" s="19"/>
      <c r="L352" s="13"/>
      <c r="M352" s="19"/>
      <c r="N352" s="13"/>
      <c r="O352" s="19"/>
      <c r="P352" s="13"/>
      <c r="Q352" s="19"/>
      <c r="R352" s="13"/>
      <c r="S352" s="19"/>
      <c r="T352" s="13"/>
    </row>
    <row r="353" spans="1:20">
      <c r="A353" s="14"/>
      <c r="B353" s="15"/>
      <c r="C353" s="16"/>
      <c r="D353" s="17"/>
      <c r="E353" s="12"/>
      <c r="F353" s="18"/>
      <c r="G353" s="19"/>
      <c r="H353" s="13"/>
      <c r="I353" s="19"/>
      <c r="J353" s="13"/>
      <c r="K353" s="19"/>
      <c r="L353" s="13"/>
      <c r="M353" s="19"/>
      <c r="N353" s="13"/>
      <c r="O353" s="19"/>
      <c r="P353" s="13"/>
      <c r="Q353" s="19"/>
      <c r="R353" s="13"/>
      <c r="S353" s="19"/>
      <c r="T353" s="13"/>
    </row>
    <row r="354" spans="1:20">
      <c r="A354" s="14"/>
      <c r="B354" s="15"/>
      <c r="C354" s="16"/>
      <c r="D354" s="17"/>
      <c r="E354" s="12"/>
      <c r="F354" s="18"/>
      <c r="G354" s="19"/>
      <c r="H354" s="13"/>
      <c r="I354" s="19"/>
      <c r="J354" s="13"/>
      <c r="K354" s="19"/>
      <c r="L354" s="13"/>
      <c r="M354" s="19"/>
      <c r="N354" s="13"/>
      <c r="O354" s="19"/>
      <c r="P354" s="13"/>
      <c r="Q354" s="19"/>
      <c r="R354" s="13"/>
      <c r="S354" s="19"/>
      <c r="T354" s="13"/>
    </row>
    <row r="355" spans="1:20">
      <c r="A355" s="14"/>
      <c r="B355" s="15"/>
      <c r="C355" s="16"/>
      <c r="D355" s="17"/>
      <c r="E355" s="12"/>
      <c r="F355" s="18"/>
      <c r="G355" s="19"/>
      <c r="H355" s="13"/>
      <c r="I355" s="19"/>
      <c r="J355" s="13"/>
      <c r="K355" s="19"/>
      <c r="L355" s="13"/>
      <c r="M355" s="19"/>
      <c r="N355" s="13"/>
      <c r="O355" s="19"/>
      <c r="P355" s="13"/>
      <c r="Q355" s="19"/>
      <c r="R355" s="13"/>
      <c r="S355" s="19"/>
      <c r="T355" s="13"/>
    </row>
    <row r="356" spans="1:20">
      <c r="A356" s="14"/>
      <c r="B356" s="15"/>
      <c r="C356" s="16"/>
      <c r="D356" s="17"/>
      <c r="E356" s="12"/>
      <c r="F356" s="18"/>
      <c r="G356" s="19"/>
      <c r="H356" s="13"/>
      <c r="I356" s="19"/>
      <c r="J356" s="13"/>
      <c r="K356" s="19"/>
      <c r="L356" s="13"/>
      <c r="M356" s="19"/>
      <c r="N356" s="13"/>
      <c r="O356" s="19"/>
      <c r="P356" s="13"/>
      <c r="Q356" s="19"/>
      <c r="R356" s="13"/>
      <c r="S356" s="19"/>
      <c r="T356" s="13"/>
    </row>
    <row r="357" spans="1:20">
      <c r="A357" s="14"/>
      <c r="B357" s="15"/>
      <c r="C357" s="16"/>
      <c r="D357" s="17"/>
      <c r="E357" s="12"/>
      <c r="F357" s="18"/>
      <c r="G357" s="19"/>
      <c r="H357" s="13"/>
      <c r="I357" s="19"/>
      <c r="J357" s="13"/>
      <c r="K357" s="19"/>
      <c r="L357" s="13"/>
      <c r="M357" s="19"/>
      <c r="N357" s="13"/>
      <c r="O357" s="19"/>
      <c r="P357" s="13"/>
      <c r="Q357" s="19"/>
      <c r="R357" s="13"/>
      <c r="S357" s="19"/>
      <c r="T357" s="13"/>
    </row>
    <row r="358" spans="1:20">
      <c r="A358" s="14"/>
      <c r="B358" s="15"/>
      <c r="C358" s="16"/>
      <c r="D358" s="17"/>
      <c r="E358" s="12"/>
      <c r="F358" s="18"/>
      <c r="G358" s="19"/>
      <c r="H358" s="13"/>
      <c r="I358" s="19"/>
      <c r="J358" s="13"/>
      <c r="K358" s="19"/>
      <c r="L358" s="13"/>
      <c r="M358" s="19"/>
      <c r="N358" s="13"/>
      <c r="O358" s="19"/>
      <c r="P358" s="13"/>
      <c r="Q358" s="19"/>
      <c r="R358" s="13"/>
      <c r="S358" s="19"/>
      <c r="T358" s="13"/>
    </row>
    <row r="359" spans="1:20">
      <c r="A359" s="14"/>
      <c r="B359" s="15"/>
      <c r="C359" s="16"/>
      <c r="D359" s="17"/>
      <c r="E359" s="12"/>
      <c r="F359" s="18"/>
      <c r="G359" s="19"/>
      <c r="H359" s="13"/>
      <c r="I359" s="19"/>
      <c r="J359" s="13"/>
      <c r="K359" s="19"/>
      <c r="L359" s="13"/>
      <c r="M359" s="19"/>
      <c r="N359" s="13"/>
      <c r="O359" s="19"/>
      <c r="P359" s="13"/>
      <c r="Q359" s="19"/>
      <c r="R359" s="13"/>
      <c r="S359" s="19"/>
      <c r="T359" s="13"/>
    </row>
    <row r="360" spans="1:20">
      <c r="A360" s="14"/>
      <c r="B360" s="15"/>
      <c r="C360" s="16"/>
      <c r="D360" s="17"/>
      <c r="E360" s="12"/>
      <c r="F360" s="18"/>
      <c r="G360" s="19"/>
      <c r="H360" s="13"/>
      <c r="I360" s="19"/>
      <c r="J360" s="13"/>
      <c r="K360" s="19"/>
      <c r="L360" s="13"/>
      <c r="M360" s="19"/>
      <c r="N360" s="13"/>
      <c r="O360" s="19"/>
      <c r="P360" s="13"/>
      <c r="Q360" s="19"/>
      <c r="R360" s="13"/>
      <c r="S360" s="19"/>
      <c r="T360" s="13"/>
    </row>
    <row r="361" spans="1:20">
      <c r="A361" s="14"/>
      <c r="B361" s="15"/>
      <c r="C361" s="16"/>
      <c r="D361" s="17"/>
      <c r="E361" s="12"/>
      <c r="F361" s="18"/>
      <c r="G361" s="19"/>
      <c r="H361" s="13"/>
      <c r="I361" s="19"/>
      <c r="J361" s="13"/>
      <c r="K361" s="19"/>
      <c r="L361" s="13"/>
      <c r="M361" s="19"/>
      <c r="N361" s="13"/>
      <c r="O361" s="19"/>
      <c r="P361" s="13"/>
      <c r="Q361" s="19"/>
      <c r="R361" s="13"/>
      <c r="S361" s="19"/>
      <c r="T361" s="13"/>
    </row>
    <row r="362" spans="1:20">
      <c r="A362" s="14"/>
      <c r="B362" s="15"/>
      <c r="C362" s="16"/>
      <c r="D362" s="17"/>
      <c r="E362" s="12"/>
      <c r="F362" s="18"/>
      <c r="G362" s="19"/>
      <c r="H362" s="13"/>
      <c r="I362" s="19"/>
      <c r="J362" s="13"/>
      <c r="K362" s="19"/>
      <c r="L362" s="13"/>
      <c r="M362" s="19"/>
      <c r="N362" s="13"/>
      <c r="O362" s="19"/>
      <c r="P362" s="13"/>
      <c r="Q362" s="19"/>
      <c r="R362" s="13"/>
      <c r="S362" s="19"/>
      <c r="T362" s="13"/>
    </row>
    <row r="363" spans="1:20">
      <c r="A363" s="14"/>
      <c r="B363" s="15"/>
      <c r="C363" s="16"/>
      <c r="D363" s="17"/>
      <c r="E363" s="12"/>
      <c r="F363" s="18"/>
      <c r="G363" s="19"/>
      <c r="H363" s="13"/>
      <c r="I363" s="19"/>
      <c r="J363" s="13"/>
      <c r="K363" s="19"/>
      <c r="L363" s="13"/>
      <c r="M363" s="19"/>
      <c r="N363" s="13"/>
      <c r="O363" s="19"/>
      <c r="P363" s="13"/>
      <c r="Q363" s="19"/>
      <c r="R363" s="13"/>
      <c r="S363" s="19"/>
      <c r="T363" s="13"/>
    </row>
    <row r="364" spans="1:20">
      <c r="A364" s="14"/>
      <c r="B364" s="15"/>
      <c r="C364" s="16"/>
      <c r="D364" s="17"/>
      <c r="E364" s="12"/>
      <c r="F364" s="18"/>
      <c r="G364" s="19"/>
      <c r="H364" s="13"/>
      <c r="I364" s="19"/>
      <c r="J364" s="13"/>
      <c r="K364" s="19"/>
      <c r="L364" s="13"/>
      <c r="M364" s="19"/>
      <c r="N364" s="13"/>
      <c r="O364" s="19"/>
      <c r="P364" s="13"/>
      <c r="Q364" s="19"/>
      <c r="R364" s="13"/>
      <c r="S364" s="19"/>
      <c r="T364" s="13"/>
    </row>
    <row r="365" spans="1:20">
      <c r="A365" s="14"/>
      <c r="B365" s="15"/>
      <c r="C365" s="16"/>
      <c r="D365" s="17"/>
      <c r="E365" s="12"/>
      <c r="F365" s="18"/>
      <c r="G365" s="19"/>
      <c r="H365" s="13"/>
      <c r="I365" s="19"/>
      <c r="J365" s="13"/>
      <c r="K365" s="19"/>
      <c r="L365" s="13"/>
      <c r="M365" s="19"/>
      <c r="N365" s="13"/>
      <c r="O365" s="19"/>
      <c r="P365" s="13"/>
      <c r="Q365" s="19"/>
      <c r="R365" s="13"/>
      <c r="S365" s="19"/>
      <c r="T365" s="13"/>
    </row>
    <row r="366" spans="1:20">
      <c r="A366" s="14"/>
      <c r="B366" s="15"/>
      <c r="C366" s="16"/>
      <c r="D366" s="17"/>
      <c r="E366" s="12"/>
      <c r="F366" s="18"/>
      <c r="G366" s="19"/>
      <c r="H366" s="13"/>
      <c r="I366" s="19"/>
      <c r="J366" s="13"/>
      <c r="K366" s="19"/>
      <c r="L366" s="13"/>
      <c r="M366" s="19"/>
      <c r="N366" s="13"/>
      <c r="O366" s="19"/>
      <c r="P366" s="13"/>
      <c r="Q366" s="19"/>
      <c r="R366" s="13"/>
      <c r="S366" s="19"/>
      <c r="T366" s="13"/>
    </row>
    <row r="367" spans="1:20">
      <c r="A367" s="14"/>
      <c r="B367" s="15"/>
      <c r="C367" s="16"/>
      <c r="D367" s="17"/>
      <c r="E367" s="12"/>
      <c r="F367" s="18"/>
      <c r="G367" s="19"/>
      <c r="H367" s="13"/>
      <c r="I367" s="19"/>
      <c r="J367" s="13"/>
      <c r="K367" s="19"/>
      <c r="L367" s="13"/>
      <c r="M367" s="19"/>
      <c r="N367" s="13"/>
      <c r="O367" s="19"/>
      <c r="P367" s="13"/>
      <c r="Q367" s="19"/>
      <c r="R367" s="13"/>
      <c r="S367" s="19"/>
      <c r="T367" s="13"/>
    </row>
    <row r="368" spans="1:20">
      <c r="A368" s="14"/>
      <c r="B368" s="15"/>
      <c r="C368" s="16"/>
      <c r="D368" s="17"/>
      <c r="E368" s="12"/>
      <c r="F368" s="18"/>
      <c r="G368" s="19"/>
      <c r="H368" s="13"/>
      <c r="I368" s="19"/>
      <c r="J368" s="13"/>
      <c r="K368" s="19"/>
      <c r="L368" s="13"/>
      <c r="M368" s="19"/>
      <c r="N368" s="13"/>
      <c r="O368" s="19"/>
      <c r="P368" s="13"/>
      <c r="Q368" s="19"/>
      <c r="R368" s="13"/>
      <c r="S368" s="19"/>
      <c r="T368" s="13"/>
    </row>
    <row r="369" spans="1:20">
      <c r="A369" s="14"/>
      <c r="B369" s="15"/>
      <c r="C369" s="16"/>
      <c r="D369" s="17"/>
      <c r="E369" s="12"/>
      <c r="F369" s="18"/>
      <c r="G369" s="19"/>
      <c r="H369" s="13"/>
      <c r="I369" s="19"/>
      <c r="J369" s="13"/>
      <c r="K369" s="19"/>
      <c r="L369" s="13"/>
      <c r="M369" s="19"/>
      <c r="N369" s="13"/>
      <c r="O369" s="19"/>
      <c r="P369" s="13"/>
      <c r="Q369" s="19"/>
      <c r="R369" s="13"/>
      <c r="S369" s="19"/>
      <c r="T369" s="13"/>
    </row>
    <row r="370" spans="1:20">
      <c r="A370" s="14"/>
      <c r="B370" s="15"/>
      <c r="C370" s="16"/>
      <c r="D370" s="17"/>
      <c r="E370" s="12"/>
      <c r="F370" s="18"/>
      <c r="G370" s="19"/>
      <c r="H370" s="13"/>
      <c r="I370" s="19"/>
      <c r="J370" s="13"/>
      <c r="K370" s="19"/>
      <c r="L370" s="13"/>
      <c r="M370" s="19"/>
      <c r="N370" s="13"/>
      <c r="O370" s="19"/>
      <c r="P370" s="13"/>
      <c r="Q370" s="19"/>
      <c r="R370" s="13"/>
      <c r="S370" s="19"/>
      <c r="T370" s="13"/>
    </row>
    <row r="371" spans="1:20">
      <c r="A371" s="14"/>
      <c r="B371" s="15"/>
      <c r="C371" s="16"/>
      <c r="D371" s="17"/>
      <c r="E371" s="12"/>
      <c r="F371" s="18"/>
      <c r="G371" s="19"/>
      <c r="H371" s="13"/>
      <c r="I371" s="19"/>
      <c r="J371" s="13"/>
      <c r="K371" s="19"/>
      <c r="L371" s="13"/>
      <c r="M371" s="19"/>
      <c r="N371" s="13"/>
      <c r="O371" s="19"/>
      <c r="P371" s="13"/>
      <c r="Q371" s="19"/>
      <c r="R371" s="13"/>
      <c r="S371" s="19"/>
      <c r="T371" s="13"/>
    </row>
    <row r="372" spans="1:20">
      <c r="A372" s="14"/>
      <c r="B372" s="15"/>
      <c r="C372" s="16"/>
      <c r="D372" s="17"/>
      <c r="E372" s="12"/>
      <c r="F372" s="18"/>
      <c r="G372" s="19"/>
      <c r="H372" s="13"/>
      <c r="I372" s="19"/>
      <c r="J372" s="13"/>
      <c r="K372" s="19"/>
      <c r="L372" s="13"/>
      <c r="M372" s="19"/>
      <c r="N372" s="13"/>
      <c r="O372" s="19"/>
      <c r="P372" s="13"/>
      <c r="Q372" s="19"/>
      <c r="R372" s="13"/>
      <c r="S372" s="19"/>
      <c r="T372" s="13"/>
    </row>
    <row r="373" spans="1:20">
      <c r="A373" s="14"/>
      <c r="B373" s="15"/>
      <c r="C373" s="16"/>
      <c r="D373" s="17"/>
      <c r="E373" s="12"/>
      <c r="F373" s="18"/>
      <c r="G373" s="19"/>
      <c r="H373" s="13"/>
      <c r="I373" s="19"/>
      <c r="J373" s="13"/>
      <c r="K373" s="19"/>
      <c r="L373" s="13"/>
      <c r="M373" s="19"/>
      <c r="N373" s="13"/>
      <c r="O373" s="19"/>
      <c r="P373" s="13"/>
      <c r="Q373" s="19"/>
      <c r="R373" s="13"/>
      <c r="S373" s="19"/>
      <c r="T373" s="13"/>
    </row>
    <row r="374" spans="1:20">
      <c r="A374" s="14"/>
      <c r="B374" s="15"/>
      <c r="C374" s="16"/>
      <c r="D374" s="17"/>
      <c r="E374" s="12"/>
      <c r="F374" s="18"/>
      <c r="G374" s="19"/>
      <c r="H374" s="13"/>
      <c r="I374" s="19"/>
      <c r="J374" s="13"/>
      <c r="K374" s="19"/>
      <c r="L374" s="13"/>
      <c r="M374" s="19"/>
      <c r="N374" s="13"/>
      <c r="O374" s="19"/>
      <c r="P374" s="13"/>
      <c r="Q374" s="19"/>
      <c r="R374" s="13"/>
      <c r="S374" s="19"/>
      <c r="T374" s="13"/>
    </row>
    <row r="375" spans="1:20">
      <c r="A375" s="14"/>
      <c r="B375" s="15"/>
      <c r="C375" s="16"/>
      <c r="D375" s="17"/>
      <c r="E375" s="12"/>
      <c r="F375" s="18"/>
      <c r="G375" s="19"/>
      <c r="H375" s="13"/>
      <c r="I375" s="19"/>
      <c r="J375" s="13"/>
      <c r="K375" s="19"/>
      <c r="L375" s="13"/>
      <c r="M375" s="19"/>
      <c r="N375" s="13"/>
      <c r="O375" s="19"/>
      <c r="P375" s="13"/>
      <c r="Q375" s="19"/>
      <c r="R375" s="13"/>
      <c r="S375" s="19"/>
      <c r="T375" s="13"/>
    </row>
    <row r="376" spans="1:20">
      <c r="A376" s="14"/>
      <c r="B376" s="15"/>
      <c r="C376" s="16"/>
      <c r="D376" s="17"/>
      <c r="E376" s="12"/>
      <c r="F376" s="18"/>
      <c r="G376" s="19"/>
      <c r="H376" s="13"/>
      <c r="I376" s="19"/>
      <c r="J376" s="13"/>
      <c r="K376" s="19"/>
      <c r="L376" s="13"/>
      <c r="M376" s="19"/>
      <c r="N376" s="13"/>
      <c r="O376" s="19"/>
      <c r="P376" s="13"/>
      <c r="Q376" s="19"/>
      <c r="R376" s="13"/>
      <c r="S376" s="19"/>
      <c r="T376" s="13"/>
    </row>
    <row r="377" spans="1:20">
      <c r="A377" s="14"/>
      <c r="B377" s="15"/>
      <c r="C377" s="16"/>
      <c r="D377" s="17"/>
      <c r="E377" s="12"/>
      <c r="F377" s="18"/>
      <c r="G377" s="19"/>
      <c r="H377" s="13"/>
      <c r="I377" s="19"/>
      <c r="J377" s="13"/>
      <c r="K377" s="19"/>
      <c r="L377" s="13"/>
      <c r="M377" s="19"/>
      <c r="N377" s="13"/>
      <c r="O377" s="19"/>
      <c r="P377" s="13"/>
      <c r="Q377" s="19"/>
      <c r="R377" s="13"/>
      <c r="S377" s="19"/>
      <c r="T377" s="13"/>
    </row>
    <row r="378" spans="1:20">
      <c r="A378" s="14"/>
      <c r="B378" s="15"/>
      <c r="C378" s="16"/>
      <c r="D378" s="17"/>
      <c r="E378" s="12"/>
      <c r="F378" s="18"/>
      <c r="G378" s="19"/>
      <c r="H378" s="13"/>
      <c r="I378" s="19"/>
      <c r="J378" s="13"/>
      <c r="K378" s="19"/>
      <c r="L378" s="13"/>
      <c r="M378" s="19"/>
      <c r="N378" s="13"/>
      <c r="O378" s="19"/>
      <c r="P378" s="13"/>
      <c r="Q378" s="19"/>
      <c r="R378" s="13"/>
      <c r="S378" s="19"/>
      <c r="T378" s="13"/>
    </row>
    <row r="379" spans="1:20">
      <c r="A379" s="14"/>
      <c r="B379" s="15"/>
      <c r="C379" s="16"/>
      <c r="D379" s="17"/>
      <c r="E379" s="12"/>
      <c r="F379" s="18"/>
      <c r="G379" s="19"/>
      <c r="H379" s="13"/>
      <c r="I379" s="19"/>
      <c r="J379" s="13"/>
      <c r="K379" s="19"/>
      <c r="L379" s="13"/>
      <c r="M379" s="19"/>
      <c r="N379" s="13"/>
      <c r="O379" s="19"/>
      <c r="P379" s="13"/>
      <c r="Q379" s="19"/>
      <c r="R379" s="13"/>
      <c r="S379" s="19"/>
      <c r="T379" s="13"/>
    </row>
    <row r="380" spans="1:20">
      <c r="A380" s="14"/>
      <c r="B380" s="15"/>
      <c r="C380" s="16"/>
      <c r="D380" s="17"/>
      <c r="E380" s="12"/>
      <c r="F380" s="18"/>
      <c r="G380" s="19"/>
      <c r="H380" s="13"/>
      <c r="I380" s="19"/>
      <c r="J380" s="13"/>
      <c r="K380" s="19"/>
      <c r="L380" s="13"/>
      <c r="M380" s="19"/>
      <c r="N380" s="13"/>
      <c r="O380" s="19"/>
      <c r="P380" s="13"/>
      <c r="Q380" s="19"/>
      <c r="R380" s="13"/>
      <c r="S380" s="19"/>
      <c r="T380" s="13"/>
    </row>
    <row r="381" spans="1:20">
      <c r="A381" s="14"/>
      <c r="B381" s="15"/>
      <c r="C381" s="16"/>
      <c r="D381" s="17"/>
      <c r="E381" s="12"/>
      <c r="F381" s="18"/>
      <c r="G381" s="19"/>
      <c r="H381" s="13"/>
      <c r="I381" s="19"/>
      <c r="J381" s="13"/>
      <c r="K381" s="19"/>
      <c r="L381" s="13"/>
      <c r="M381" s="19"/>
      <c r="N381" s="13"/>
      <c r="O381" s="19"/>
      <c r="P381" s="13"/>
      <c r="Q381" s="19"/>
      <c r="R381" s="13"/>
      <c r="S381" s="19"/>
      <c r="T381" s="13"/>
    </row>
    <row r="382" spans="1:20">
      <c r="A382" s="14"/>
      <c r="B382" s="15"/>
      <c r="C382" s="16"/>
      <c r="D382" s="17"/>
      <c r="E382" s="12"/>
      <c r="F382" s="18"/>
      <c r="G382" s="19"/>
      <c r="H382" s="13"/>
      <c r="I382" s="19"/>
      <c r="J382" s="13"/>
      <c r="K382" s="19"/>
      <c r="L382" s="13"/>
      <c r="M382" s="19"/>
      <c r="N382" s="13"/>
      <c r="O382" s="19"/>
      <c r="P382" s="13"/>
      <c r="Q382" s="19"/>
      <c r="R382" s="13"/>
      <c r="S382" s="19"/>
      <c r="T382" s="13"/>
    </row>
    <row r="383" spans="1:20">
      <c r="A383" s="14"/>
      <c r="B383" s="15"/>
      <c r="C383" s="16"/>
      <c r="D383" s="17"/>
      <c r="E383" s="12"/>
      <c r="F383" s="18"/>
      <c r="G383" s="19"/>
      <c r="H383" s="13"/>
      <c r="I383" s="19"/>
      <c r="J383" s="13"/>
      <c r="K383" s="19"/>
      <c r="L383" s="13"/>
      <c r="M383" s="19"/>
      <c r="N383" s="13"/>
      <c r="O383" s="19"/>
      <c r="P383" s="13"/>
      <c r="Q383" s="19"/>
      <c r="R383" s="13"/>
      <c r="S383" s="19"/>
      <c r="T383" s="13"/>
    </row>
    <row r="384" spans="1:20">
      <c r="A384" s="14"/>
      <c r="B384" s="15"/>
      <c r="C384" s="16"/>
      <c r="D384" s="17"/>
      <c r="E384" s="12"/>
      <c r="F384" s="18"/>
      <c r="G384" s="19"/>
      <c r="H384" s="13"/>
      <c r="I384" s="19"/>
      <c r="J384" s="13"/>
      <c r="K384" s="19"/>
      <c r="L384" s="13"/>
      <c r="M384" s="19"/>
      <c r="N384" s="13"/>
      <c r="O384" s="19"/>
      <c r="P384" s="13"/>
      <c r="Q384" s="19"/>
      <c r="R384" s="13"/>
      <c r="S384" s="19"/>
      <c r="T384" s="13"/>
    </row>
    <row r="385" spans="1:20">
      <c r="A385" s="14"/>
      <c r="B385" s="15"/>
      <c r="C385" s="16"/>
      <c r="D385" s="17"/>
      <c r="E385" s="12"/>
      <c r="F385" s="18"/>
      <c r="G385" s="19"/>
      <c r="H385" s="13"/>
      <c r="I385" s="19"/>
      <c r="J385" s="13"/>
      <c r="K385" s="19"/>
      <c r="L385" s="13"/>
      <c r="M385" s="19"/>
      <c r="N385" s="13"/>
      <c r="O385" s="19"/>
      <c r="P385" s="13"/>
      <c r="Q385" s="19"/>
      <c r="R385" s="13"/>
      <c r="S385" s="19"/>
      <c r="T385" s="13"/>
    </row>
    <row r="386" spans="1:20">
      <c r="A386" s="14"/>
      <c r="B386" s="15"/>
      <c r="C386" s="16"/>
      <c r="D386" s="17"/>
      <c r="E386" s="12"/>
      <c r="F386" s="18"/>
      <c r="G386" s="19"/>
      <c r="H386" s="13"/>
      <c r="I386" s="19"/>
      <c r="J386" s="13"/>
      <c r="K386" s="19"/>
      <c r="L386" s="13"/>
      <c r="M386" s="19"/>
      <c r="N386" s="13"/>
      <c r="O386" s="19"/>
      <c r="P386" s="13"/>
      <c r="Q386" s="19"/>
      <c r="R386" s="13"/>
      <c r="S386" s="19"/>
      <c r="T386" s="13"/>
    </row>
    <row r="387" spans="1:20">
      <c r="A387" s="14"/>
      <c r="B387" s="15"/>
      <c r="C387" s="16"/>
      <c r="D387" s="17"/>
      <c r="E387" s="12"/>
      <c r="F387" s="18"/>
      <c r="G387" s="19"/>
      <c r="H387" s="13"/>
      <c r="I387" s="19"/>
      <c r="J387" s="13"/>
      <c r="K387" s="19"/>
      <c r="L387" s="13"/>
      <c r="M387" s="19"/>
      <c r="N387" s="13"/>
      <c r="O387" s="19"/>
      <c r="P387" s="13"/>
      <c r="Q387" s="19"/>
      <c r="R387" s="13"/>
      <c r="S387" s="19"/>
      <c r="T387" s="13"/>
    </row>
    <row r="388" spans="1:20">
      <c r="A388" s="14"/>
      <c r="B388" s="15"/>
      <c r="C388" s="16"/>
      <c r="D388" s="17"/>
      <c r="E388" s="12"/>
      <c r="F388" s="18"/>
      <c r="G388" s="19"/>
      <c r="H388" s="13"/>
      <c r="I388" s="19"/>
      <c r="J388" s="13"/>
      <c r="K388" s="19"/>
      <c r="L388" s="13"/>
      <c r="M388" s="19"/>
      <c r="N388" s="13"/>
      <c r="O388" s="19"/>
      <c r="P388" s="13"/>
      <c r="Q388" s="19"/>
      <c r="R388" s="13"/>
      <c r="S388" s="19"/>
      <c r="T388" s="13"/>
    </row>
    <row r="389" spans="1:20">
      <c r="A389" s="14"/>
      <c r="B389" s="15"/>
      <c r="C389" s="16"/>
      <c r="D389" s="17"/>
      <c r="E389" s="12"/>
      <c r="F389" s="18"/>
      <c r="G389" s="19"/>
      <c r="H389" s="13"/>
      <c r="I389" s="19"/>
      <c r="J389" s="13"/>
      <c r="K389" s="19"/>
      <c r="L389" s="13"/>
      <c r="M389" s="19"/>
      <c r="N389" s="13"/>
      <c r="O389" s="19"/>
      <c r="P389" s="13"/>
      <c r="Q389" s="19"/>
      <c r="R389" s="13"/>
      <c r="S389" s="19"/>
      <c r="T389" s="13"/>
    </row>
    <row r="390" spans="1:20">
      <c r="A390" s="14"/>
      <c r="B390" s="15"/>
      <c r="C390" s="16"/>
      <c r="D390" s="17"/>
      <c r="E390" s="12"/>
      <c r="F390" s="18"/>
      <c r="G390" s="19"/>
      <c r="H390" s="13"/>
      <c r="I390" s="19"/>
      <c r="J390" s="13"/>
      <c r="K390" s="19"/>
      <c r="L390" s="13"/>
      <c r="M390" s="19"/>
      <c r="N390" s="13"/>
      <c r="O390" s="19"/>
      <c r="P390" s="13"/>
      <c r="Q390" s="19"/>
      <c r="R390" s="13"/>
      <c r="S390" s="19"/>
      <c r="T390" s="13"/>
    </row>
    <row r="391" spans="1:20">
      <c r="A391" s="14"/>
      <c r="B391" s="15"/>
      <c r="C391" s="16"/>
      <c r="D391" s="17"/>
      <c r="E391" s="12"/>
      <c r="F391" s="18"/>
      <c r="G391" s="19"/>
      <c r="H391" s="13"/>
      <c r="I391" s="19"/>
      <c r="J391" s="13"/>
      <c r="K391" s="19"/>
      <c r="L391" s="13"/>
      <c r="M391" s="19"/>
      <c r="N391" s="13"/>
      <c r="O391" s="19"/>
      <c r="P391" s="13"/>
      <c r="Q391" s="19"/>
      <c r="R391" s="13"/>
      <c r="S391" s="19"/>
      <c r="T391" s="13"/>
    </row>
    <row r="392" spans="1:20">
      <c r="A392" s="14"/>
      <c r="B392" s="15"/>
      <c r="C392" s="16"/>
      <c r="D392" s="17"/>
      <c r="E392" s="12"/>
      <c r="F392" s="18"/>
      <c r="G392" s="19"/>
      <c r="H392" s="13"/>
      <c r="I392" s="19"/>
      <c r="J392" s="13"/>
      <c r="K392" s="19"/>
      <c r="L392" s="13"/>
      <c r="M392" s="19"/>
      <c r="N392" s="13"/>
      <c r="O392" s="19"/>
      <c r="P392" s="13"/>
      <c r="Q392" s="19"/>
      <c r="R392" s="13"/>
      <c r="S392" s="19"/>
      <c r="T392" s="13"/>
    </row>
    <row r="393" spans="1:20">
      <c r="A393" s="14"/>
      <c r="B393" s="15"/>
      <c r="C393" s="16"/>
      <c r="D393" s="17"/>
      <c r="E393" s="12"/>
      <c r="F393" s="18"/>
      <c r="G393" s="19"/>
      <c r="H393" s="13"/>
      <c r="I393" s="19"/>
      <c r="J393" s="13"/>
      <c r="K393" s="19"/>
      <c r="L393" s="13"/>
      <c r="M393" s="19"/>
      <c r="N393" s="13"/>
      <c r="O393" s="19"/>
      <c r="P393" s="13"/>
      <c r="Q393" s="19"/>
      <c r="R393" s="13"/>
      <c r="S393" s="19"/>
      <c r="T393" s="13"/>
    </row>
    <row r="394" spans="1:20">
      <c r="A394" s="14"/>
      <c r="B394" s="15"/>
      <c r="C394" s="16"/>
      <c r="D394" s="17"/>
      <c r="E394" s="12"/>
      <c r="F394" s="18"/>
      <c r="G394" s="19"/>
      <c r="H394" s="13"/>
      <c r="I394" s="19"/>
      <c r="J394" s="13"/>
      <c r="K394" s="19"/>
      <c r="L394" s="13"/>
      <c r="M394" s="19"/>
      <c r="N394" s="13"/>
      <c r="O394" s="19"/>
      <c r="P394" s="13"/>
      <c r="Q394" s="19"/>
      <c r="R394" s="13"/>
      <c r="S394" s="19"/>
      <c r="T394" s="13"/>
    </row>
    <row r="395" spans="1:20">
      <c r="A395" s="14"/>
      <c r="B395" s="15"/>
      <c r="C395" s="16"/>
      <c r="D395" s="17"/>
      <c r="E395" s="12"/>
      <c r="F395" s="18"/>
      <c r="G395" s="19"/>
      <c r="H395" s="13"/>
      <c r="I395" s="19"/>
      <c r="J395" s="13"/>
      <c r="K395" s="19"/>
      <c r="L395" s="13"/>
      <c r="M395" s="19"/>
      <c r="N395" s="13"/>
      <c r="O395" s="19"/>
      <c r="P395" s="13"/>
      <c r="Q395" s="19"/>
      <c r="R395" s="13"/>
      <c r="S395" s="19"/>
      <c r="T395" s="13"/>
    </row>
    <row r="396" spans="1:20">
      <c r="A396" s="14"/>
      <c r="B396" s="15"/>
      <c r="C396" s="16"/>
      <c r="D396" s="17"/>
      <c r="E396" s="12"/>
      <c r="F396" s="18"/>
      <c r="G396" s="19"/>
      <c r="H396" s="13"/>
      <c r="I396" s="19"/>
      <c r="J396" s="13"/>
      <c r="K396" s="19"/>
      <c r="L396" s="13"/>
      <c r="M396" s="19"/>
      <c r="N396" s="13"/>
      <c r="O396" s="19"/>
      <c r="P396" s="13"/>
      <c r="Q396" s="19"/>
      <c r="R396" s="13"/>
      <c r="S396" s="19"/>
      <c r="T396" s="13"/>
    </row>
    <row r="397" spans="1:20">
      <c r="A397" s="14"/>
      <c r="B397" s="15"/>
      <c r="C397" s="16"/>
      <c r="D397" s="17"/>
      <c r="E397" s="12"/>
      <c r="F397" s="18"/>
      <c r="G397" s="19"/>
      <c r="H397" s="13"/>
      <c r="I397" s="19"/>
      <c r="J397" s="13"/>
      <c r="K397" s="19"/>
      <c r="L397" s="13"/>
      <c r="M397" s="19"/>
      <c r="N397" s="13"/>
      <c r="O397" s="19"/>
      <c r="P397" s="13"/>
      <c r="Q397" s="19"/>
      <c r="R397" s="13"/>
      <c r="S397" s="19"/>
      <c r="T397" s="13"/>
    </row>
    <row r="398" spans="1:20">
      <c r="A398" s="14"/>
      <c r="B398" s="15"/>
      <c r="C398" s="16"/>
      <c r="D398" s="17"/>
      <c r="E398" s="12"/>
      <c r="F398" s="18"/>
      <c r="G398" s="19"/>
      <c r="H398" s="13"/>
      <c r="I398" s="19"/>
      <c r="J398" s="13"/>
      <c r="K398" s="19"/>
      <c r="L398" s="13"/>
      <c r="M398" s="19"/>
      <c r="N398" s="13"/>
      <c r="O398" s="19"/>
      <c r="P398" s="13"/>
      <c r="Q398" s="19"/>
      <c r="R398" s="13"/>
      <c r="S398" s="19"/>
      <c r="T398" s="13"/>
    </row>
    <row r="399" spans="1:20">
      <c r="A399" s="14"/>
      <c r="B399" s="15"/>
      <c r="C399" s="16"/>
      <c r="D399" s="17"/>
      <c r="E399" s="12"/>
      <c r="F399" s="18"/>
      <c r="G399" s="19"/>
      <c r="H399" s="13"/>
      <c r="I399" s="19"/>
      <c r="J399" s="13"/>
      <c r="K399" s="19"/>
      <c r="L399" s="13"/>
      <c r="M399" s="19"/>
      <c r="N399" s="13"/>
      <c r="O399" s="19"/>
      <c r="P399" s="13"/>
      <c r="Q399" s="19"/>
      <c r="R399" s="13"/>
      <c r="S399" s="19"/>
      <c r="T399" s="13"/>
    </row>
    <row r="400" spans="1:20">
      <c r="A400" s="14"/>
      <c r="B400" s="15"/>
      <c r="C400" s="16"/>
      <c r="D400" s="17"/>
      <c r="E400" s="12"/>
      <c r="F400" s="18"/>
      <c r="G400" s="19"/>
      <c r="H400" s="13"/>
      <c r="I400" s="19"/>
      <c r="J400" s="13"/>
      <c r="K400" s="19"/>
      <c r="L400" s="13"/>
      <c r="M400" s="19"/>
      <c r="N400" s="13"/>
      <c r="O400" s="19"/>
      <c r="P400" s="13"/>
      <c r="Q400" s="19"/>
      <c r="R400" s="13"/>
      <c r="S400" s="19"/>
      <c r="T400" s="13"/>
    </row>
    <row r="401" spans="1:20">
      <c r="A401" s="14"/>
      <c r="B401" s="15"/>
      <c r="C401" s="16"/>
      <c r="D401" s="17"/>
      <c r="E401" s="12"/>
      <c r="F401" s="18"/>
      <c r="G401" s="19"/>
      <c r="H401" s="13"/>
      <c r="I401" s="19"/>
      <c r="J401" s="13"/>
      <c r="K401" s="19"/>
      <c r="L401" s="13"/>
      <c r="M401" s="19"/>
      <c r="N401" s="13"/>
      <c r="O401" s="19"/>
      <c r="P401" s="13"/>
      <c r="Q401" s="19"/>
      <c r="R401" s="13"/>
      <c r="S401" s="19"/>
      <c r="T401" s="13"/>
    </row>
    <row r="402" spans="1:20">
      <c r="A402" s="14"/>
      <c r="B402" s="15"/>
      <c r="C402" s="16"/>
      <c r="D402" s="17"/>
      <c r="E402" s="12"/>
      <c r="F402" s="18"/>
      <c r="G402" s="19"/>
      <c r="H402" s="13"/>
      <c r="I402" s="19"/>
      <c r="J402" s="13"/>
      <c r="K402" s="19"/>
      <c r="L402" s="13"/>
      <c r="M402" s="19"/>
      <c r="N402" s="13"/>
      <c r="O402" s="19"/>
      <c r="P402" s="13"/>
      <c r="Q402" s="19"/>
      <c r="R402" s="13"/>
      <c r="S402" s="19"/>
      <c r="T402" s="13"/>
    </row>
    <row r="403" spans="1:20">
      <c r="A403" s="14"/>
      <c r="B403" s="15"/>
      <c r="C403" s="16"/>
      <c r="D403" s="17"/>
      <c r="E403" s="12"/>
      <c r="F403" s="18"/>
      <c r="G403" s="19"/>
      <c r="H403" s="13"/>
      <c r="I403" s="19"/>
      <c r="J403" s="13"/>
      <c r="K403" s="19"/>
      <c r="L403" s="13"/>
      <c r="M403" s="19"/>
      <c r="N403" s="13"/>
      <c r="O403" s="19"/>
      <c r="P403" s="13"/>
      <c r="Q403" s="19"/>
      <c r="R403" s="13"/>
      <c r="S403" s="19"/>
      <c r="T403" s="13"/>
    </row>
    <row r="404" spans="1:20">
      <c r="A404" s="14"/>
      <c r="B404" s="15"/>
      <c r="C404" s="16"/>
      <c r="D404" s="17"/>
      <c r="E404" s="12"/>
      <c r="F404" s="18"/>
      <c r="G404" s="19"/>
      <c r="H404" s="13"/>
      <c r="I404" s="19"/>
      <c r="J404" s="13"/>
      <c r="K404" s="19"/>
      <c r="L404" s="13"/>
      <c r="M404" s="19"/>
      <c r="N404" s="13"/>
      <c r="O404" s="19"/>
      <c r="P404" s="13"/>
      <c r="Q404" s="19"/>
      <c r="R404" s="13"/>
      <c r="S404" s="19"/>
      <c r="T404" s="13"/>
    </row>
    <row r="405" spans="1:20">
      <c r="A405" s="14"/>
      <c r="B405" s="15"/>
      <c r="C405" s="16"/>
      <c r="D405" s="17"/>
      <c r="E405" s="12"/>
      <c r="F405" s="18"/>
      <c r="G405" s="19"/>
      <c r="H405" s="13"/>
      <c r="I405" s="19"/>
      <c r="J405" s="13"/>
      <c r="K405" s="19"/>
      <c r="L405" s="13"/>
      <c r="M405" s="19"/>
      <c r="N405" s="13"/>
      <c r="O405" s="19"/>
      <c r="P405" s="13"/>
      <c r="Q405" s="19"/>
      <c r="R405" s="13"/>
      <c r="S405" s="19"/>
      <c r="T405" s="13"/>
    </row>
    <row r="406" spans="1:20">
      <c r="A406" s="14"/>
      <c r="B406" s="15"/>
      <c r="C406" s="16"/>
      <c r="D406" s="17"/>
      <c r="E406" s="12"/>
      <c r="F406" s="18"/>
      <c r="G406" s="19"/>
      <c r="H406" s="13"/>
      <c r="I406" s="19"/>
      <c r="J406" s="13"/>
      <c r="K406" s="19"/>
      <c r="L406" s="13"/>
      <c r="M406" s="19"/>
      <c r="N406" s="13"/>
      <c r="O406" s="19"/>
      <c r="P406" s="13"/>
      <c r="Q406" s="19"/>
      <c r="R406" s="13"/>
      <c r="S406" s="19"/>
      <c r="T406" s="13"/>
    </row>
    <row r="407" spans="1:20">
      <c r="A407" s="14"/>
      <c r="B407" s="15"/>
      <c r="C407" s="16"/>
      <c r="D407" s="17"/>
      <c r="E407" s="12"/>
      <c r="F407" s="18"/>
      <c r="G407" s="19"/>
      <c r="H407" s="13"/>
      <c r="I407" s="19"/>
      <c r="J407" s="13"/>
      <c r="K407" s="19"/>
      <c r="L407" s="13"/>
      <c r="M407" s="19"/>
      <c r="N407" s="13"/>
      <c r="O407" s="19"/>
      <c r="P407" s="13"/>
      <c r="Q407" s="19"/>
      <c r="R407" s="13"/>
      <c r="S407" s="19"/>
      <c r="T407" s="13"/>
    </row>
    <row r="408" spans="1:20">
      <c r="A408" s="14"/>
      <c r="B408" s="15"/>
      <c r="C408" s="16"/>
      <c r="D408" s="17"/>
      <c r="E408" s="12"/>
      <c r="F408" s="18"/>
      <c r="G408" s="19"/>
      <c r="H408" s="13"/>
      <c r="I408" s="19"/>
      <c r="J408" s="13"/>
      <c r="K408" s="19"/>
      <c r="L408" s="13"/>
      <c r="M408" s="19"/>
      <c r="N408" s="13"/>
      <c r="O408" s="19"/>
      <c r="P408" s="13"/>
      <c r="Q408" s="19"/>
      <c r="R408" s="13"/>
      <c r="S408" s="19"/>
      <c r="T408" s="13"/>
    </row>
    <row r="409" spans="1:20">
      <c r="A409" s="14"/>
      <c r="B409" s="15"/>
      <c r="C409" s="16"/>
      <c r="D409" s="17"/>
      <c r="E409" s="12"/>
      <c r="F409" s="18"/>
      <c r="G409" s="19"/>
      <c r="H409" s="13"/>
      <c r="I409" s="19"/>
      <c r="J409" s="13"/>
      <c r="K409" s="19"/>
      <c r="L409" s="13"/>
      <c r="M409" s="19"/>
      <c r="N409" s="13"/>
      <c r="O409" s="19"/>
      <c r="P409" s="13"/>
      <c r="Q409" s="19"/>
      <c r="R409" s="13"/>
      <c r="S409" s="19"/>
      <c r="T409" s="13"/>
    </row>
    <row r="410" spans="1:20">
      <c r="A410" s="14"/>
      <c r="B410" s="15"/>
      <c r="C410" s="16"/>
      <c r="D410" s="17"/>
      <c r="E410" s="12"/>
      <c r="F410" s="18"/>
      <c r="G410" s="19"/>
      <c r="H410" s="13"/>
      <c r="I410" s="19"/>
      <c r="J410" s="13"/>
      <c r="K410" s="19"/>
      <c r="L410" s="13"/>
      <c r="M410" s="19"/>
      <c r="N410" s="13"/>
      <c r="O410" s="19"/>
      <c r="P410" s="13"/>
      <c r="Q410" s="19"/>
      <c r="R410" s="13"/>
      <c r="S410" s="19"/>
      <c r="T410" s="13"/>
    </row>
    <row r="411" spans="1:20">
      <c r="A411" s="14"/>
      <c r="B411" s="15"/>
      <c r="C411" s="16"/>
      <c r="D411" s="17"/>
      <c r="E411" s="12"/>
      <c r="F411" s="18"/>
      <c r="G411" s="19"/>
      <c r="H411" s="13"/>
      <c r="I411" s="19"/>
      <c r="J411" s="13"/>
      <c r="K411" s="19"/>
      <c r="L411" s="13"/>
      <c r="M411" s="19"/>
      <c r="N411" s="13"/>
      <c r="O411" s="19"/>
      <c r="P411" s="13"/>
      <c r="Q411" s="19"/>
      <c r="R411" s="13"/>
      <c r="S411" s="19"/>
      <c r="T411" s="13"/>
    </row>
    <row r="412" spans="1:20">
      <c r="A412" s="14"/>
      <c r="B412" s="15"/>
      <c r="C412" s="16"/>
      <c r="D412" s="17"/>
      <c r="E412" s="12"/>
      <c r="F412" s="18"/>
      <c r="G412" s="19"/>
      <c r="H412" s="13"/>
      <c r="I412" s="19"/>
      <c r="J412" s="13"/>
      <c r="K412" s="19"/>
      <c r="L412" s="13"/>
      <c r="M412" s="19"/>
      <c r="N412" s="13"/>
      <c r="O412" s="19"/>
      <c r="P412" s="13"/>
      <c r="Q412" s="19"/>
      <c r="R412" s="13"/>
      <c r="S412" s="19"/>
      <c r="T412" s="13"/>
    </row>
    <row r="413" spans="1:20">
      <c r="A413" s="14"/>
      <c r="B413" s="15"/>
      <c r="C413" s="16"/>
      <c r="D413" s="17"/>
      <c r="E413" s="12"/>
      <c r="F413" s="18"/>
      <c r="G413" s="19"/>
      <c r="H413" s="13"/>
      <c r="I413" s="19"/>
      <c r="J413" s="13"/>
      <c r="K413" s="19"/>
      <c r="L413" s="13"/>
      <c r="M413" s="19"/>
      <c r="N413" s="13"/>
      <c r="O413" s="19"/>
      <c r="P413" s="13"/>
      <c r="Q413" s="19"/>
      <c r="R413" s="13"/>
      <c r="S413" s="19"/>
      <c r="T413" s="13"/>
    </row>
    <row r="414" spans="1:20">
      <c r="A414" s="14"/>
      <c r="B414" s="15"/>
      <c r="C414" s="16"/>
      <c r="D414" s="17"/>
      <c r="E414" s="12"/>
      <c r="F414" s="18"/>
      <c r="G414" s="19"/>
      <c r="H414" s="13"/>
      <c r="I414" s="19"/>
      <c r="J414" s="13"/>
      <c r="K414" s="19"/>
      <c r="L414" s="13"/>
      <c r="M414" s="19"/>
      <c r="N414" s="13"/>
      <c r="O414" s="19"/>
      <c r="P414" s="13"/>
      <c r="Q414" s="19"/>
      <c r="R414" s="13"/>
      <c r="S414" s="19"/>
      <c r="T414" s="13"/>
    </row>
    <row r="415" spans="1:20">
      <c r="A415" s="14"/>
      <c r="B415" s="15"/>
      <c r="C415" s="16"/>
      <c r="D415" s="17"/>
      <c r="E415" s="12"/>
      <c r="F415" s="18"/>
      <c r="G415" s="19"/>
      <c r="H415" s="13"/>
      <c r="I415" s="19"/>
      <c r="J415" s="13"/>
      <c r="K415" s="19"/>
      <c r="L415" s="13"/>
      <c r="M415" s="19"/>
      <c r="N415" s="13"/>
      <c r="O415" s="19"/>
      <c r="P415" s="13"/>
      <c r="Q415" s="19"/>
      <c r="R415" s="13"/>
      <c r="S415" s="19"/>
      <c r="T415" s="13"/>
    </row>
    <row r="416" spans="1:20">
      <c r="A416" s="14"/>
      <c r="B416" s="15"/>
      <c r="C416" s="16"/>
      <c r="D416" s="17"/>
      <c r="E416" s="12"/>
      <c r="F416" s="18"/>
      <c r="G416" s="19"/>
      <c r="H416" s="13"/>
      <c r="I416" s="19"/>
      <c r="J416" s="13"/>
      <c r="K416" s="19"/>
      <c r="L416" s="13"/>
      <c r="M416" s="19"/>
      <c r="N416" s="13"/>
      <c r="O416" s="19"/>
      <c r="P416" s="13"/>
      <c r="Q416" s="19"/>
      <c r="R416" s="13"/>
      <c r="S416" s="19"/>
      <c r="T416" s="13"/>
    </row>
    <row r="417" spans="1:20">
      <c r="A417" s="14"/>
      <c r="B417" s="15"/>
      <c r="C417" s="16"/>
      <c r="D417" s="17"/>
      <c r="E417" s="12"/>
      <c r="F417" s="18"/>
      <c r="G417" s="19"/>
      <c r="H417" s="13"/>
      <c r="I417" s="19"/>
      <c r="J417" s="13"/>
      <c r="K417" s="19"/>
      <c r="L417" s="13"/>
      <c r="M417" s="19"/>
      <c r="N417" s="13"/>
      <c r="O417" s="19"/>
      <c r="P417" s="13"/>
      <c r="Q417" s="19"/>
      <c r="R417" s="13"/>
      <c r="S417" s="19"/>
      <c r="T417" s="13"/>
    </row>
    <row r="418" spans="1:20">
      <c r="A418" s="14"/>
      <c r="B418" s="15"/>
      <c r="C418" s="16"/>
      <c r="D418" s="17"/>
      <c r="E418" s="12"/>
      <c r="F418" s="18"/>
      <c r="G418" s="19"/>
      <c r="H418" s="13"/>
      <c r="I418" s="19"/>
      <c r="J418" s="13"/>
      <c r="K418" s="19"/>
      <c r="L418" s="13"/>
      <c r="M418" s="19"/>
      <c r="N418" s="13"/>
      <c r="O418" s="19"/>
      <c r="P418" s="13"/>
      <c r="Q418" s="19"/>
      <c r="R418" s="13"/>
      <c r="S418" s="19"/>
      <c r="T418" s="13"/>
    </row>
    <row r="419" spans="1:20">
      <c r="A419" s="14"/>
      <c r="B419" s="15"/>
      <c r="C419" s="16"/>
      <c r="D419" s="17"/>
      <c r="E419" s="12"/>
      <c r="F419" s="18"/>
      <c r="G419" s="19"/>
      <c r="H419" s="13"/>
      <c r="I419" s="19"/>
      <c r="J419" s="13"/>
      <c r="K419" s="19"/>
      <c r="L419" s="13"/>
      <c r="M419" s="19"/>
      <c r="N419" s="13"/>
      <c r="O419" s="19"/>
      <c r="P419" s="13"/>
      <c r="Q419" s="19"/>
      <c r="R419" s="13"/>
      <c r="S419" s="19"/>
      <c r="T419" s="13"/>
    </row>
    <row r="420" spans="1:20">
      <c r="A420" s="14"/>
      <c r="B420" s="15"/>
      <c r="C420" s="16"/>
      <c r="D420" s="17"/>
      <c r="E420" s="12"/>
      <c r="F420" s="18"/>
      <c r="G420" s="19"/>
      <c r="H420" s="13"/>
      <c r="I420" s="19"/>
      <c r="J420" s="13"/>
      <c r="K420" s="19"/>
      <c r="L420" s="13"/>
      <c r="M420" s="19"/>
      <c r="N420" s="13"/>
      <c r="O420" s="19"/>
      <c r="P420" s="13"/>
      <c r="Q420" s="19"/>
      <c r="R420" s="13"/>
      <c r="S420" s="19"/>
      <c r="T420" s="13"/>
    </row>
    <row r="421" spans="1:20">
      <c r="A421" s="14"/>
      <c r="B421" s="15"/>
      <c r="C421" s="16"/>
      <c r="D421" s="17"/>
      <c r="E421" s="12"/>
      <c r="F421" s="18"/>
      <c r="G421" s="19"/>
      <c r="H421" s="13"/>
      <c r="I421" s="19"/>
      <c r="J421" s="13"/>
      <c r="K421" s="19"/>
      <c r="L421" s="13"/>
      <c r="M421" s="19"/>
      <c r="N421" s="13"/>
      <c r="O421" s="19"/>
      <c r="P421" s="13"/>
      <c r="Q421" s="19"/>
      <c r="R421" s="13"/>
      <c r="S421" s="19"/>
      <c r="T421" s="13"/>
    </row>
    <row r="422" spans="1:20">
      <c r="A422" s="14"/>
      <c r="B422" s="15"/>
      <c r="C422" s="16"/>
      <c r="D422" s="17"/>
      <c r="E422" s="12"/>
      <c r="F422" s="18"/>
      <c r="G422" s="19"/>
      <c r="H422" s="13"/>
      <c r="I422" s="19"/>
      <c r="J422" s="13"/>
      <c r="K422" s="19"/>
      <c r="L422" s="13"/>
      <c r="M422" s="19"/>
      <c r="N422" s="13"/>
      <c r="O422" s="19"/>
      <c r="P422" s="13"/>
      <c r="Q422" s="19"/>
      <c r="R422" s="13"/>
      <c r="S422" s="19"/>
      <c r="T422" s="13"/>
    </row>
    <row r="423" spans="1:20">
      <c r="A423" s="14"/>
      <c r="B423" s="15"/>
      <c r="C423" s="16"/>
      <c r="D423" s="17"/>
      <c r="E423" s="12"/>
      <c r="F423" s="18"/>
      <c r="G423" s="19"/>
      <c r="H423" s="13"/>
      <c r="I423" s="19"/>
      <c r="J423" s="13"/>
      <c r="K423" s="19"/>
      <c r="L423" s="13"/>
      <c r="M423" s="19"/>
      <c r="N423" s="13"/>
      <c r="O423" s="19"/>
      <c r="P423" s="13"/>
      <c r="Q423" s="19"/>
      <c r="R423" s="13"/>
      <c r="S423" s="19"/>
      <c r="T423" s="13"/>
    </row>
    <row r="424" spans="1:20">
      <c r="A424" s="14"/>
      <c r="B424" s="15"/>
      <c r="C424" s="16"/>
      <c r="D424" s="17"/>
      <c r="E424" s="12"/>
      <c r="F424" s="18"/>
      <c r="G424" s="19"/>
      <c r="H424" s="13"/>
      <c r="I424" s="19"/>
      <c r="J424" s="13"/>
      <c r="K424" s="19"/>
      <c r="L424" s="13"/>
      <c r="M424" s="19"/>
      <c r="N424" s="13"/>
      <c r="O424" s="19"/>
      <c r="P424" s="13"/>
      <c r="Q424" s="19"/>
      <c r="R424" s="13"/>
      <c r="S424" s="19"/>
      <c r="T424" s="13"/>
    </row>
    <row r="425" spans="1:20">
      <c r="A425" s="14"/>
      <c r="B425" s="15"/>
      <c r="C425" s="16"/>
      <c r="D425" s="17"/>
      <c r="E425" s="12"/>
      <c r="F425" s="18"/>
      <c r="G425" s="19"/>
      <c r="H425" s="13"/>
      <c r="I425" s="19"/>
      <c r="J425" s="13"/>
      <c r="K425" s="19"/>
      <c r="L425" s="13"/>
      <c r="M425" s="19"/>
      <c r="N425" s="13"/>
      <c r="O425" s="19"/>
      <c r="P425" s="13"/>
      <c r="Q425" s="19"/>
      <c r="R425" s="13"/>
      <c r="S425" s="19"/>
      <c r="T425" s="13"/>
    </row>
    <row r="426" spans="1:20">
      <c r="A426" s="14"/>
      <c r="B426" s="15"/>
      <c r="C426" s="16"/>
      <c r="D426" s="17"/>
      <c r="E426" s="12"/>
      <c r="F426" s="18"/>
      <c r="G426" s="19"/>
      <c r="H426" s="13"/>
      <c r="I426" s="19"/>
      <c r="J426" s="13"/>
      <c r="K426" s="19"/>
      <c r="L426" s="13"/>
      <c r="M426" s="19"/>
      <c r="N426" s="13"/>
      <c r="O426" s="19"/>
      <c r="P426" s="13"/>
      <c r="Q426" s="19"/>
      <c r="R426" s="13"/>
      <c r="S426" s="19"/>
      <c r="T426" s="13"/>
    </row>
    <row r="427" spans="1:20">
      <c r="A427" s="14"/>
      <c r="B427" s="15"/>
      <c r="C427" s="16"/>
      <c r="D427" s="17"/>
      <c r="E427" s="12"/>
      <c r="F427" s="18"/>
      <c r="G427" s="19"/>
      <c r="H427" s="13"/>
      <c r="I427" s="19"/>
      <c r="J427" s="13"/>
      <c r="K427" s="19"/>
      <c r="L427" s="13"/>
      <c r="M427" s="19"/>
      <c r="N427" s="13"/>
      <c r="O427" s="19"/>
      <c r="P427" s="13"/>
      <c r="Q427" s="19"/>
      <c r="R427" s="13"/>
      <c r="S427" s="19"/>
      <c r="T427" s="13"/>
    </row>
    <row r="428" spans="1:20">
      <c r="A428" s="14"/>
      <c r="B428" s="15"/>
      <c r="C428" s="16"/>
      <c r="D428" s="17"/>
      <c r="E428" s="12"/>
      <c r="F428" s="18"/>
      <c r="G428" s="19"/>
      <c r="H428" s="13"/>
      <c r="I428" s="19"/>
      <c r="J428" s="13"/>
      <c r="K428" s="19"/>
      <c r="L428" s="13"/>
      <c r="M428" s="19"/>
      <c r="N428" s="13"/>
      <c r="O428" s="19"/>
      <c r="P428" s="13"/>
      <c r="Q428" s="19"/>
      <c r="R428" s="13"/>
      <c r="S428" s="19"/>
      <c r="T428" s="13"/>
    </row>
    <row r="429" spans="1:20">
      <c r="A429" s="14"/>
      <c r="B429" s="15"/>
      <c r="C429" s="16"/>
      <c r="D429" s="17"/>
      <c r="E429" s="12"/>
      <c r="F429" s="18"/>
      <c r="G429" s="19"/>
      <c r="H429" s="13"/>
      <c r="I429" s="19"/>
      <c r="J429" s="13"/>
      <c r="K429" s="19"/>
      <c r="L429" s="13"/>
      <c r="M429" s="19"/>
      <c r="N429" s="13"/>
      <c r="O429" s="19"/>
      <c r="P429" s="13"/>
      <c r="Q429" s="19"/>
      <c r="R429" s="13"/>
      <c r="S429" s="19"/>
      <c r="T429" s="13"/>
    </row>
    <row r="430" spans="1:20">
      <c r="A430" s="14"/>
      <c r="B430" s="15"/>
      <c r="C430" s="16"/>
      <c r="D430" s="17"/>
      <c r="E430" s="12"/>
      <c r="F430" s="18"/>
      <c r="G430" s="19"/>
      <c r="H430" s="13"/>
      <c r="I430" s="19"/>
      <c r="J430" s="13"/>
      <c r="K430" s="19"/>
      <c r="L430" s="13"/>
      <c r="M430" s="19"/>
      <c r="N430" s="13"/>
      <c r="O430" s="19"/>
      <c r="P430" s="13"/>
      <c r="Q430" s="19"/>
      <c r="R430" s="13"/>
      <c r="S430" s="19"/>
      <c r="T430" s="13"/>
    </row>
    <row r="431" spans="1:20">
      <c r="A431" s="14"/>
      <c r="B431" s="15"/>
      <c r="C431" s="16"/>
      <c r="D431" s="17"/>
      <c r="E431" s="12"/>
      <c r="F431" s="18"/>
      <c r="G431" s="19"/>
      <c r="H431" s="13"/>
      <c r="I431" s="19"/>
      <c r="J431" s="13"/>
      <c r="K431" s="19"/>
      <c r="L431" s="13"/>
      <c r="M431" s="19"/>
      <c r="N431" s="13"/>
      <c r="O431" s="19"/>
      <c r="P431" s="13"/>
      <c r="Q431" s="19"/>
      <c r="R431" s="13"/>
      <c r="S431" s="19"/>
      <c r="T431" s="13"/>
    </row>
    <row r="432" spans="1:20">
      <c r="A432" s="14"/>
      <c r="B432" s="15"/>
      <c r="C432" s="16"/>
      <c r="D432" s="17"/>
      <c r="E432" s="12"/>
      <c r="F432" s="18"/>
      <c r="G432" s="19"/>
      <c r="H432" s="13"/>
      <c r="I432" s="19"/>
      <c r="J432" s="13"/>
      <c r="K432" s="19"/>
      <c r="L432" s="13"/>
      <c r="M432" s="19"/>
      <c r="N432" s="13"/>
      <c r="O432" s="19"/>
      <c r="P432" s="13"/>
      <c r="Q432" s="19"/>
      <c r="R432" s="13"/>
      <c r="S432" s="19"/>
      <c r="T432" s="13"/>
    </row>
    <row r="433" spans="1:20">
      <c r="A433" s="14"/>
      <c r="B433" s="15"/>
      <c r="C433" s="16"/>
      <c r="D433" s="17"/>
      <c r="E433" s="12"/>
      <c r="F433" s="18"/>
      <c r="G433" s="19"/>
      <c r="H433" s="13"/>
      <c r="I433" s="19"/>
      <c r="J433" s="13"/>
      <c r="K433" s="19"/>
      <c r="L433" s="13"/>
      <c r="M433" s="19"/>
      <c r="N433" s="13"/>
      <c r="O433" s="19"/>
      <c r="P433" s="13"/>
      <c r="Q433" s="19"/>
      <c r="R433" s="13"/>
      <c r="S433" s="19"/>
      <c r="T433" s="13"/>
    </row>
    <row r="434" spans="1:20">
      <c r="A434" s="14"/>
      <c r="B434" s="15"/>
      <c r="C434" s="16"/>
      <c r="D434" s="17"/>
      <c r="E434" s="12"/>
      <c r="F434" s="18"/>
      <c r="G434" s="19"/>
      <c r="H434" s="13"/>
      <c r="I434" s="19"/>
      <c r="J434" s="13"/>
      <c r="K434" s="19"/>
      <c r="L434" s="13"/>
      <c r="M434" s="19"/>
      <c r="N434" s="13"/>
      <c r="O434" s="19"/>
      <c r="P434" s="13"/>
      <c r="Q434" s="19"/>
      <c r="R434" s="13"/>
      <c r="S434" s="19"/>
      <c r="T434" s="13"/>
    </row>
    <row r="435" spans="1:20">
      <c r="A435" s="14"/>
      <c r="B435" s="15"/>
      <c r="C435" s="16"/>
      <c r="D435" s="17"/>
      <c r="E435" s="12"/>
      <c r="F435" s="18"/>
      <c r="G435" s="19"/>
      <c r="H435" s="13"/>
      <c r="I435" s="19"/>
      <c r="J435" s="13"/>
      <c r="K435" s="19"/>
      <c r="L435" s="13"/>
      <c r="M435" s="19"/>
      <c r="N435" s="13"/>
      <c r="O435" s="19"/>
      <c r="P435" s="13"/>
      <c r="Q435" s="19"/>
      <c r="R435" s="13"/>
      <c r="S435" s="19"/>
      <c r="T435" s="13"/>
    </row>
    <row r="436" spans="1:20">
      <c r="A436" s="14"/>
      <c r="B436" s="15"/>
      <c r="C436" s="16"/>
      <c r="D436" s="17"/>
      <c r="E436" s="12"/>
      <c r="F436" s="18"/>
      <c r="G436" s="19"/>
      <c r="H436" s="13"/>
      <c r="I436" s="19"/>
      <c r="J436" s="13"/>
      <c r="K436" s="19"/>
      <c r="L436" s="13"/>
      <c r="M436" s="19"/>
      <c r="N436" s="13"/>
      <c r="O436" s="19"/>
      <c r="P436" s="13"/>
      <c r="Q436" s="19"/>
      <c r="R436" s="13"/>
      <c r="S436" s="19"/>
      <c r="T436" s="13"/>
    </row>
    <row r="437" spans="1:20">
      <c r="A437" s="14"/>
      <c r="B437" s="15"/>
      <c r="C437" s="16"/>
      <c r="D437" s="17"/>
      <c r="E437" s="12"/>
      <c r="F437" s="18"/>
      <c r="G437" s="19"/>
      <c r="H437" s="13"/>
      <c r="I437" s="19"/>
      <c r="J437" s="13"/>
      <c r="K437" s="19"/>
      <c r="L437" s="13"/>
      <c r="M437" s="19"/>
      <c r="N437" s="13"/>
      <c r="O437" s="19"/>
      <c r="P437" s="13"/>
      <c r="Q437" s="19"/>
      <c r="R437" s="13"/>
      <c r="S437" s="19"/>
      <c r="T437" s="13"/>
    </row>
    <row r="438" spans="1:20">
      <c r="A438" s="14"/>
      <c r="B438" s="15"/>
      <c r="C438" s="16"/>
      <c r="D438" s="17"/>
      <c r="E438" s="12"/>
      <c r="F438" s="18"/>
      <c r="G438" s="19"/>
      <c r="H438" s="13"/>
      <c r="I438" s="19"/>
      <c r="J438" s="13"/>
      <c r="K438" s="19"/>
      <c r="L438" s="13"/>
      <c r="M438" s="19"/>
      <c r="N438" s="13"/>
      <c r="O438" s="19"/>
      <c r="P438" s="13"/>
      <c r="Q438" s="19"/>
      <c r="R438" s="13"/>
      <c r="S438" s="19"/>
      <c r="T438" s="13"/>
    </row>
    <row r="439" spans="1:20">
      <c r="A439" s="14"/>
      <c r="B439" s="15"/>
      <c r="C439" s="16"/>
      <c r="D439" s="17"/>
      <c r="E439" s="12"/>
      <c r="F439" s="18"/>
      <c r="G439" s="19"/>
      <c r="H439" s="13"/>
      <c r="I439" s="19"/>
      <c r="J439" s="13"/>
      <c r="K439" s="19"/>
      <c r="L439" s="13"/>
      <c r="M439" s="19"/>
      <c r="N439" s="13"/>
      <c r="O439" s="19"/>
      <c r="P439" s="13"/>
      <c r="Q439" s="19"/>
      <c r="R439" s="13"/>
      <c r="S439" s="19"/>
      <c r="T439" s="13"/>
    </row>
    <row r="440" spans="1:20">
      <c r="A440" s="14"/>
      <c r="B440" s="15"/>
      <c r="C440" s="16"/>
      <c r="D440" s="17"/>
      <c r="E440" s="12"/>
      <c r="F440" s="18"/>
      <c r="G440" s="19"/>
      <c r="H440" s="13"/>
      <c r="I440" s="19"/>
      <c r="J440" s="13"/>
      <c r="K440" s="19"/>
      <c r="L440" s="13"/>
      <c r="M440" s="19"/>
      <c r="N440" s="13"/>
      <c r="O440" s="19"/>
      <c r="P440" s="13"/>
      <c r="Q440" s="19"/>
      <c r="R440" s="13"/>
      <c r="S440" s="19"/>
      <c r="T440" s="13"/>
    </row>
    <row r="441" spans="1:20">
      <c r="A441" s="14"/>
      <c r="B441" s="15"/>
      <c r="C441" s="16"/>
      <c r="D441" s="17"/>
      <c r="E441" s="12"/>
      <c r="F441" s="18"/>
      <c r="G441" s="19"/>
      <c r="H441" s="13"/>
      <c r="I441" s="19"/>
      <c r="J441" s="13"/>
      <c r="K441" s="19"/>
      <c r="L441" s="13"/>
      <c r="M441" s="19"/>
      <c r="N441" s="13"/>
      <c r="O441" s="19"/>
      <c r="P441" s="13"/>
      <c r="Q441" s="19"/>
      <c r="R441" s="13"/>
      <c r="S441" s="19"/>
      <c r="T441" s="13"/>
    </row>
    <row r="442" spans="1:20">
      <c r="A442" s="14"/>
      <c r="B442" s="15"/>
      <c r="C442" s="16"/>
      <c r="D442" s="17"/>
      <c r="E442" s="12"/>
      <c r="F442" s="18"/>
      <c r="G442" s="19"/>
      <c r="H442" s="13"/>
      <c r="I442" s="19"/>
      <c r="J442" s="13"/>
      <c r="K442" s="19"/>
      <c r="L442" s="13"/>
      <c r="M442" s="19"/>
      <c r="N442" s="13"/>
      <c r="O442" s="19"/>
      <c r="P442" s="13"/>
      <c r="Q442" s="19"/>
      <c r="R442" s="13"/>
      <c r="S442" s="19"/>
      <c r="T442" s="13"/>
    </row>
    <row r="443" spans="1:20">
      <c r="A443" s="14"/>
      <c r="B443" s="15"/>
      <c r="C443" s="16"/>
      <c r="D443" s="17"/>
      <c r="E443" s="12"/>
      <c r="F443" s="18"/>
      <c r="G443" s="19"/>
      <c r="H443" s="13"/>
      <c r="I443" s="19"/>
      <c r="J443" s="13"/>
      <c r="K443" s="19"/>
      <c r="L443" s="13"/>
      <c r="M443" s="19"/>
      <c r="N443" s="13"/>
      <c r="O443" s="19"/>
      <c r="P443" s="13"/>
      <c r="Q443" s="19"/>
      <c r="R443" s="13"/>
      <c r="S443" s="19"/>
      <c r="T443" s="13"/>
    </row>
    <row r="444" spans="1:20">
      <c r="A444" s="14"/>
      <c r="B444" s="15"/>
      <c r="C444" s="16"/>
      <c r="D444" s="17"/>
      <c r="E444" s="12"/>
      <c r="F444" s="18"/>
      <c r="G444" s="19"/>
      <c r="H444" s="13"/>
      <c r="I444" s="19"/>
      <c r="J444" s="13"/>
      <c r="K444" s="19"/>
      <c r="L444" s="13"/>
      <c r="M444" s="19"/>
      <c r="N444" s="13"/>
      <c r="O444" s="19"/>
      <c r="P444" s="13"/>
      <c r="Q444" s="19"/>
      <c r="R444" s="13"/>
      <c r="S444" s="19"/>
      <c r="T444" s="13"/>
    </row>
    <row r="445" spans="1:20">
      <c r="A445" s="14"/>
      <c r="B445" s="15"/>
      <c r="C445" s="16"/>
      <c r="D445" s="17"/>
      <c r="E445" s="12"/>
      <c r="F445" s="18"/>
      <c r="G445" s="19"/>
      <c r="H445" s="13"/>
      <c r="I445" s="19"/>
      <c r="J445" s="13"/>
      <c r="K445" s="19"/>
      <c r="L445" s="13"/>
      <c r="M445" s="19"/>
      <c r="N445" s="13"/>
      <c r="O445" s="19"/>
      <c r="P445" s="13"/>
      <c r="Q445" s="19"/>
      <c r="R445" s="13"/>
      <c r="S445" s="19"/>
      <c r="T445" s="13"/>
    </row>
    <row r="446" spans="1:20">
      <c r="A446" s="14"/>
      <c r="B446" s="15"/>
      <c r="C446" s="16"/>
      <c r="D446" s="17"/>
      <c r="E446" s="12"/>
      <c r="F446" s="18"/>
      <c r="G446" s="19"/>
      <c r="H446" s="13"/>
      <c r="I446" s="19"/>
      <c r="J446" s="13"/>
      <c r="K446" s="19"/>
      <c r="L446" s="13"/>
      <c r="M446" s="19"/>
      <c r="N446" s="13"/>
      <c r="O446" s="19"/>
      <c r="P446" s="13"/>
      <c r="Q446" s="19"/>
      <c r="R446" s="13"/>
      <c r="S446" s="19"/>
      <c r="T446" s="13"/>
    </row>
    <row r="447" spans="1:20">
      <c r="A447" s="14"/>
      <c r="B447" s="15"/>
      <c r="C447" s="16"/>
      <c r="D447" s="17"/>
      <c r="E447" s="12"/>
      <c r="F447" s="18"/>
      <c r="G447" s="19"/>
      <c r="H447" s="13"/>
      <c r="I447" s="19"/>
      <c r="J447" s="13"/>
      <c r="K447" s="19"/>
      <c r="L447" s="13"/>
      <c r="M447" s="19"/>
      <c r="N447" s="13"/>
      <c r="O447" s="19"/>
      <c r="P447" s="13"/>
      <c r="Q447" s="19"/>
      <c r="R447" s="13"/>
      <c r="S447" s="19"/>
      <c r="T447" s="13"/>
    </row>
    <row r="448" spans="1:20">
      <c r="A448" s="14"/>
      <c r="B448" s="15"/>
      <c r="C448" s="16"/>
      <c r="D448" s="17"/>
      <c r="E448" s="12"/>
      <c r="F448" s="18"/>
      <c r="G448" s="19"/>
      <c r="H448" s="13"/>
      <c r="I448" s="19"/>
      <c r="J448" s="13"/>
      <c r="K448" s="19"/>
      <c r="L448" s="13"/>
      <c r="M448" s="19"/>
      <c r="N448" s="13"/>
      <c r="O448" s="19"/>
      <c r="P448" s="13"/>
      <c r="Q448" s="19"/>
      <c r="R448" s="13"/>
      <c r="S448" s="19"/>
      <c r="T448" s="13"/>
    </row>
    <row r="449" spans="1:20">
      <c r="A449" s="14"/>
      <c r="B449" s="15"/>
      <c r="C449" s="16"/>
      <c r="D449" s="17"/>
      <c r="E449" s="12"/>
      <c r="F449" s="18"/>
      <c r="G449" s="19"/>
      <c r="H449" s="13"/>
      <c r="I449" s="19"/>
      <c r="J449" s="13"/>
      <c r="K449" s="19"/>
      <c r="L449" s="13"/>
      <c r="M449" s="19"/>
      <c r="N449" s="13"/>
      <c r="O449" s="19"/>
      <c r="P449" s="13"/>
      <c r="Q449" s="19"/>
      <c r="R449" s="13"/>
      <c r="S449" s="19"/>
      <c r="T449" s="13"/>
    </row>
    <row r="450" spans="1:20">
      <c r="A450" s="14"/>
      <c r="B450" s="15"/>
      <c r="C450" s="16"/>
      <c r="D450" s="17"/>
      <c r="E450" s="12"/>
      <c r="F450" s="18"/>
      <c r="G450" s="19"/>
      <c r="H450" s="13"/>
      <c r="I450" s="19"/>
      <c r="J450" s="13"/>
      <c r="K450" s="19"/>
      <c r="L450" s="13"/>
      <c r="M450" s="19"/>
      <c r="N450" s="13"/>
      <c r="O450" s="19"/>
      <c r="P450" s="13"/>
      <c r="Q450" s="19"/>
      <c r="R450" s="13"/>
      <c r="S450" s="19"/>
      <c r="T450" s="13"/>
    </row>
    <row r="451" spans="1:20">
      <c r="A451" s="14"/>
      <c r="B451" s="15"/>
      <c r="C451" s="16"/>
      <c r="D451" s="17"/>
      <c r="E451" s="12"/>
      <c r="F451" s="18"/>
      <c r="G451" s="19"/>
      <c r="H451" s="13"/>
      <c r="I451" s="19"/>
      <c r="J451" s="13"/>
      <c r="K451" s="19"/>
      <c r="L451" s="13"/>
      <c r="M451" s="19"/>
      <c r="N451" s="13"/>
      <c r="O451" s="19"/>
      <c r="P451" s="13"/>
      <c r="Q451" s="19"/>
      <c r="R451" s="13"/>
      <c r="S451" s="19"/>
      <c r="T451" s="13"/>
    </row>
    <row r="452" spans="1:20">
      <c r="A452" s="14"/>
      <c r="B452" s="15"/>
      <c r="C452" s="16"/>
      <c r="D452" s="17"/>
      <c r="E452" s="12"/>
      <c r="F452" s="18"/>
      <c r="G452" s="19"/>
      <c r="H452" s="13"/>
      <c r="I452" s="19"/>
      <c r="J452" s="13"/>
      <c r="K452" s="19"/>
      <c r="L452" s="13"/>
      <c r="M452" s="19"/>
      <c r="N452" s="13"/>
      <c r="O452" s="19"/>
      <c r="P452" s="13"/>
      <c r="Q452" s="19"/>
      <c r="R452" s="13"/>
      <c r="S452" s="19"/>
      <c r="T452" s="13"/>
    </row>
    <row r="453" spans="1:20">
      <c r="A453" s="14"/>
      <c r="B453" s="15"/>
      <c r="C453" s="16"/>
      <c r="D453" s="17"/>
      <c r="E453" s="12"/>
      <c r="F453" s="18"/>
      <c r="G453" s="19"/>
      <c r="H453" s="13"/>
      <c r="I453" s="19"/>
      <c r="J453" s="13"/>
      <c r="K453" s="19"/>
      <c r="L453" s="13"/>
      <c r="M453" s="19"/>
      <c r="N453" s="13"/>
      <c r="O453" s="19"/>
      <c r="P453" s="13"/>
      <c r="Q453" s="19"/>
      <c r="R453" s="13"/>
      <c r="S453" s="19"/>
      <c r="T453" s="13"/>
    </row>
    <row r="454" spans="1:20">
      <c r="A454" s="14"/>
      <c r="B454" s="15"/>
      <c r="C454" s="16"/>
      <c r="D454" s="17"/>
      <c r="E454" s="12"/>
      <c r="F454" s="18"/>
      <c r="G454" s="19"/>
      <c r="H454" s="13"/>
      <c r="I454" s="19"/>
      <c r="J454" s="13"/>
      <c r="K454" s="19"/>
      <c r="L454" s="13"/>
      <c r="M454" s="19"/>
      <c r="N454" s="13"/>
      <c r="O454" s="19"/>
      <c r="P454" s="13"/>
      <c r="Q454" s="19"/>
      <c r="R454" s="13"/>
      <c r="S454" s="19"/>
      <c r="T454" s="13"/>
    </row>
    <row r="455" spans="1:20">
      <c r="A455" s="14"/>
      <c r="B455" s="15"/>
      <c r="C455" s="16"/>
      <c r="D455" s="17"/>
      <c r="E455" s="12"/>
      <c r="F455" s="18"/>
      <c r="G455" s="19"/>
      <c r="H455" s="13"/>
      <c r="I455" s="19"/>
      <c r="J455" s="13"/>
      <c r="K455" s="19"/>
      <c r="L455" s="13"/>
      <c r="M455" s="19"/>
      <c r="N455" s="13"/>
      <c r="O455" s="19"/>
      <c r="P455" s="13"/>
      <c r="Q455" s="19"/>
      <c r="R455" s="13"/>
      <c r="S455" s="19"/>
      <c r="T455" s="13"/>
    </row>
    <row r="456" spans="1:20">
      <c r="A456" s="14"/>
      <c r="B456" s="15"/>
      <c r="C456" s="16"/>
      <c r="D456" s="17"/>
      <c r="E456" s="12"/>
      <c r="F456" s="18"/>
      <c r="G456" s="19"/>
      <c r="H456" s="13"/>
      <c r="I456" s="19"/>
      <c r="J456" s="13"/>
      <c r="K456" s="19"/>
      <c r="L456" s="13"/>
      <c r="M456" s="19"/>
      <c r="N456" s="13"/>
      <c r="O456" s="19"/>
      <c r="P456" s="13"/>
      <c r="Q456" s="19"/>
      <c r="R456" s="13"/>
      <c r="S456" s="19"/>
      <c r="T456" s="13"/>
    </row>
    <row r="457" spans="1:20">
      <c r="A457" s="14"/>
      <c r="B457" s="15"/>
      <c r="C457" s="16"/>
      <c r="D457" s="17"/>
      <c r="E457" s="12"/>
      <c r="F457" s="18"/>
      <c r="G457" s="19"/>
      <c r="H457" s="13"/>
      <c r="I457" s="19"/>
      <c r="J457" s="13"/>
      <c r="K457" s="19"/>
      <c r="L457" s="13"/>
      <c r="M457" s="19"/>
      <c r="N457" s="13"/>
      <c r="O457" s="19"/>
      <c r="P457" s="13"/>
      <c r="Q457" s="19"/>
      <c r="R457" s="13"/>
      <c r="S457" s="19"/>
      <c r="T457" s="13"/>
    </row>
    <row r="458" spans="1:20">
      <c r="A458" s="14"/>
      <c r="B458" s="15"/>
      <c r="C458" s="16"/>
      <c r="D458" s="17"/>
      <c r="E458" s="12"/>
      <c r="F458" s="18"/>
      <c r="G458" s="19"/>
      <c r="H458" s="13"/>
      <c r="I458" s="19"/>
      <c r="J458" s="13"/>
      <c r="K458" s="19"/>
      <c r="L458" s="13"/>
      <c r="M458" s="19"/>
      <c r="N458" s="13"/>
      <c r="O458" s="19"/>
      <c r="P458" s="13"/>
      <c r="Q458" s="19"/>
      <c r="R458" s="13"/>
      <c r="S458" s="19"/>
      <c r="T458" s="13"/>
    </row>
    <row r="459" spans="1:20">
      <c r="A459" s="14"/>
      <c r="B459" s="15"/>
      <c r="C459" s="16"/>
      <c r="D459" s="17"/>
      <c r="E459" s="12"/>
      <c r="F459" s="18"/>
      <c r="G459" s="19"/>
      <c r="H459" s="13"/>
      <c r="I459" s="19"/>
      <c r="J459" s="13"/>
      <c r="K459" s="19"/>
      <c r="L459" s="13"/>
      <c r="M459" s="19"/>
      <c r="N459" s="13"/>
      <c r="O459" s="19"/>
      <c r="P459" s="13"/>
      <c r="Q459" s="19"/>
      <c r="R459" s="13"/>
      <c r="S459" s="19"/>
      <c r="T459" s="13"/>
    </row>
    <row r="460" spans="1:20">
      <c r="A460" s="14"/>
      <c r="B460" s="15"/>
      <c r="C460" s="16"/>
      <c r="D460" s="17"/>
      <c r="E460" s="12"/>
      <c r="F460" s="18"/>
      <c r="G460" s="19"/>
      <c r="H460" s="13"/>
      <c r="I460" s="19"/>
      <c r="J460" s="13"/>
      <c r="K460" s="19"/>
      <c r="L460" s="13"/>
      <c r="M460" s="19"/>
      <c r="N460" s="13"/>
      <c r="O460" s="19"/>
      <c r="P460" s="13"/>
      <c r="Q460" s="19"/>
      <c r="R460" s="13"/>
      <c r="S460" s="19"/>
      <c r="T460" s="13"/>
    </row>
    <row r="461" spans="1:20">
      <c r="A461" s="14"/>
      <c r="B461" s="15"/>
      <c r="C461" s="16"/>
      <c r="D461" s="17"/>
      <c r="E461" s="12"/>
      <c r="F461" s="18"/>
      <c r="G461" s="19"/>
      <c r="H461" s="13"/>
      <c r="I461" s="19"/>
      <c r="J461" s="13"/>
      <c r="K461" s="19"/>
      <c r="L461" s="13"/>
      <c r="M461" s="19"/>
      <c r="N461" s="13"/>
      <c r="O461" s="19"/>
      <c r="P461" s="13"/>
      <c r="Q461" s="19"/>
      <c r="R461" s="13"/>
      <c r="S461" s="19"/>
      <c r="T461" s="13"/>
    </row>
    <row r="462" spans="1:20">
      <c r="A462" s="14"/>
      <c r="B462" s="15"/>
      <c r="C462" s="16"/>
      <c r="D462" s="20"/>
      <c r="E462" s="12"/>
      <c r="F462" s="18"/>
      <c r="G462" s="19"/>
      <c r="H462" s="13"/>
      <c r="I462" s="19"/>
      <c r="J462" s="13"/>
      <c r="K462" s="19"/>
      <c r="L462" s="13"/>
      <c r="M462" s="19"/>
      <c r="N462" s="13"/>
      <c r="O462" s="19"/>
      <c r="P462" s="13"/>
      <c r="Q462" s="19"/>
      <c r="R462" s="13"/>
      <c r="S462" s="19"/>
      <c r="T462" s="13"/>
    </row>
    <row r="463" spans="1:20">
      <c r="A463" s="14"/>
      <c r="B463" s="15"/>
      <c r="C463" s="16"/>
      <c r="D463" s="20"/>
      <c r="E463" s="12"/>
      <c r="F463" s="18"/>
      <c r="G463" s="19"/>
      <c r="H463" s="13"/>
      <c r="I463" s="19"/>
      <c r="J463" s="13"/>
      <c r="K463" s="19"/>
      <c r="L463" s="13"/>
      <c r="M463" s="19"/>
      <c r="N463" s="13"/>
      <c r="O463" s="19"/>
      <c r="P463" s="13"/>
      <c r="Q463" s="19"/>
      <c r="R463" s="13"/>
      <c r="S463" s="19"/>
      <c r="T463" s="13"/>
    </row>
    <row r="464" spans="1:20" ht="13.5" thickBot="1">
      <c r="A464" s="21"/>
      <c r="B464" s="22"/>
      <c r="C464" s="23"/>
      <c r="D464" s="24"/>
      <c r="E464" s="37"/>
      <c r="F464" s="25"/>
      <c r="G464" s="26"/>
      <c r="H464" s="27"/>
      <c r="I464" s="26"/>
      <c r="J464" s="27"/>
      <c r="K464" s="26"/>
      <c r="L464" s="27"/>
      <c r="M464" s="26"/>
      <c r="N464" s="27"/>
      <c r="O464" s="26"/>
      <c r="P464" s="27"/>
      <c r="Q464" s="26"/>
      <c r="R464" s="27"/>
      <c r="S464" s="26"/>
      <c r="T464" s="27"/>
    </row>
  </sheetData>
  <sheetProtection sheet="1" objects="1" scenarios="1" formatCells="0" formatColumns="0" formatRows="0" insertColumns="0" insertRows="0" insertHyperlinks="0" deleteColumns="0" deleteRows="0" sort="0" autoFilter="0" pivotTables="0"/>
  <sortState ref="A19:V36">
    <sortCondition ref="E19:E36"/>
  </sortState>
  <dataConsolidate/>
  <mergeCells count="8">
    <mergeCell ref="Q1:R1"/>
    <mergeCell ref="S1:T1"/>
    <mergeCell ref="G1:H1"/>
    <mergeCell ref="E3:F3"/>
    <mergeCell ref="I1:J1"/>
    <mergeCell ref="K1:L1"/>
    <mergeCell ref="M1:N1"/>
    <mergeCell ref="O1:P1"/>
  </mergeCells>
  <phoneticPr fontId="14" type="noConversion"/>
  <conditionalFormatting sqref="A1">
    <cfRule type="cellIs" dxfId="10311" priority="12" stopIfTrue="1" operator="equal">
      <formula>"NOK"</formula>
    </cfRule>
  </conditionalFormatting>
  <conditionalFormatting sqref="S5:S464 O5:O41 G5:G464 I5:I464 K5:K464 M5:M464 Q5:Q464 O43:O464">
    <cfRule type="cellIs" dxfId="10310" priority="11" stopIfTrue="1" operator="notEqual">
      <formula>H5</formula>
    </cfRule>
  </conditionalFormatting>
  <conditionalFormatting sqref="G32:G47 I32:I47 K32:K47 M32:M47 O32:O47 Q32:Q47 S32:S47">
    <cfRule type="cellIs" dxfId="10309" priority="4" stopIfTrue="1" operator="notEqual">
      <formula>H32</formula>
    </cfRule>
  </conditionalFormatting>
  <conditionalFormatting sqref="G32:G47 I32:I47 K32:K47 M32:M47 O32:O47 Q32:Q47 S32:S47">
    <cfRule type="cellIs" dxfId="10308" priority="3" stopIfTrue="1" operator="notEqual">
      <formula>H32</formula>
    </cfRule>
  </conditionalFormatting>
  <conditionalFormatting sqref="G32:G47 I32:I47 K32:K47 M32:M47 O32:O47 Q32:Q47 S32:S47">
    <cfRule type="cellIs" dxfId="10307" priority="2" stopIfTrue="1" operator="notEqual">
      <formula>H32</formula>
    </cfRule>
  </conditionalFormatting>
  <conditionalFormatting sqref="G48:G54 I48:I54 K48:K54 M48:M54 O48:O54 Q48:Q54">
    <cfRule type="cellIs" dxfId="10306" priority="1" stopIfTrue="1" operator="notEqual">
      <formula>H48</formula>
    </cfRule>
  </conditionalFormatting>
  <dataValidations count="1">
    <dataValidation type="list" allowBlank="1" showInputMessage="1" showErrorMessage="1" sqref="G1 I1 K1 M1 O1 Q1 S1">
      <formula1>PressureSafetyValveVariablesList</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sheetPr codeName="Sheet63">
    <tabColor rgb="FF92D050"/>
  </sheetPr>
  <dimension ref="A1:N445"/>
  <sheetViews>
    <sheetView showGridLines="0" zoomScale="80" zoomScaleNormal="80" workbookViewId="0">
      <pane xSplit="6" ySplit="4" topLeftCell="G5" activePane="bottomRight" state="frozenSplit"/>
      <selection pane="topRight" activeCell="F1" sqref="F1"/>
      <selection pane="bottomLeft" activeCell="A5" sqref="A5"/>
      <selection pane="bottomRight" activeCell="F1" sqref="F1"/>
    </sheetView>
  </sheetViews>
  <sheetFormatPr defaultRowHeight="12.75"/>
  <cols>
    <col min="1" max="1" width="32.625" style="28" customWidth="1"/>
    <col min="2" max="2" width="12.625" style="28" customWidth="1"/>
    <col min="3" max="3" width="12.625" style="29" customWidth="1"/>
    <col min="4" max="4" width="12.625" style="28" customWidth="1"/>
    <col min="5" max="5" width="16.625" style="28" customWidth="1"/>
    <col min="6" max="6" width="16.625" style="30" customWidth="1"/>
    <col min="7" max="7" width="24.625" style="31" customWidth="1"/>
    <col min="8" max="8" width="24.625" style="32" customWidth="1"/>
    <col min="9" max="9" width="8.625" style="31" customWidth="1"/>
    <col min="10" max="10" width="11" style="32" customWidth="1"/>
    <col min="11" max="11" width="8.625" style="31" customWidth="1"/>
    <col min="12" max="12" width="8.625" style="32" customWidth="1"/>
    <col min="13" max="13" width="1.25" style="6" customWidth="1"/>
    <col min="14" max="14" width="21.375" style="6" customWidth="1"/>
    <col min="15" max="260" width="8.875" style="6"/>
    <col min="261" max="261" width="12" style="6" customWidth="1"/>
    <col min="262" max="262" width="7.125" style="6" customWidth="1"/>
    <col min="263" max="263" width="8.875" style="6"/>
    <col min="264" max="264" width="16" style="6" customWidth="1"/>
    <col min="265" max="265" width="13.75" style="6" customWidth="1"/>
    <col min="266" max="267" width="9.75" style="6" customWidth="1"/>
    <col min="268" max="516" width="8.875" style="6"/>
    <col min="517" max="517" width="12" style="6" customWidth="1"/>
    <col min="518" max="518" width="7.125" style="6" customWidth="1"/>
    <col min="519" max="519" width="8.875" style="6"/>
    <col min="520" max="520" width="16" style="6" customWidth="1"/>
    <col min="521" max="521" width="13.75" style="6" customWidth="1"/>
    <col min="522" max="523" width="9.75" style="6" customWidth="1"/>
    <col min="524" max="772" width="8.875" style="6"/>
    <col min="773" max="773" width="12" style="6" customWidth="1"/>
    <col min="774" max="774" width="7.125" style="6" customWidth="1"/>
    <col min="775" max="775" width="8.875" style="6"/>
    <col min="776" max="776" width="16" style="6" customWidth="1"/>
    <col min="777" max="777" width="13.75" style="6" customWidth="1"/>
    <col min="778" max="779" width="9.75" style="6" customWidth="1"/>
    <col min="780" max="1028" width="8.875" style="6"/>
    <col min="1029" max="1029" width="12" style="6" customWidth="1"/>
    <col min="1030" max="1030" width="7.125" style="6" customWidth="1"/>
    <col min="1031" max="1031" width="8.875" style="6"/>
    <col min="1032" max="1032" width="16" style="6" customWidth="1"/>
    <col min="1033" max="1033" width="13.75" style="6" customWidth="1"/>
    <col min="1034" max="1035" width="9.75" style="6" customWidth="1"/>
    <col min="1036" max="1284" width="8.875" style="6"/>
    <col min="1285" max="1285" width="12" style="6" customWidth="1"/>
    <col min="1286" max="1286" width="7.125" style="6" customWidth="1"/>
    <col min="1287" max="1287" width="8.875" style="6"/>
    <col min="1288" max="1288" width="16" style="6" customWidth="1"/>
    <col min="1289" max="1289" width="13.75" style="6" customWidth="1"/>
    <col min="1290" max="1291" width="9.75" style="6" customWidth="1"/>
    <col min="1292" max="1540" width="8.875" style="6"/>
    <col min="1541" max="1541" width="12" style="6" customWidth="1"/>
    <col min="1542" max="1542" width="7.125" style="6" customWidth="1"/>
    <col min="1543" max="1543" width="8.875" style="6"/>
    <col min="1544" max="1544" width="16" style="6" customWidth="1"/>
    <col min="1545" max="1545" width="13.75" style="6" customWidth="1"/>
    <col min="1546" max="1547" width="9.75" style="6" customWidth="1"/>
    <col min="1548" max="1796" width="8.875" style="6"/>
    <col min="1797" max="1797" width="12" style="6" customWidth="1"/>
    <col min="1798" max="1798" width="7.125" style="6" customWidth="1"/>
    <col min="1799" max="1799" width="8.875" style="6"/>
    <col min="1800" max="1800" width="16" style="6" customWidth="1"/>
    <col min="1801" max="1801" width="13.75" style="6" customWidth="1"/>
    <col min="1802" max="1803" width="9.75" style="6" customWidth="1"/>
    <col min="1804" max="2052" width="8.875" style="6"/>
    <col min="2053" max="2053" width="12" style="6" customWidth="1"/>
    <col min="2054" max="2054" width="7.125" style="6" customWidth="1"/>
    <col min="2055" max="2055" width="8.875" style="6"/>
    <col min="2056" max="2056" width="16" style="6" customWidth="1"/>
    <col min="2057" max="2057" width="13.75" style="6" customWidth="1"/>
    <col min="2058" max="2059" width="9.75" style="6" customWidth="1"/>
    <col min="2060" max="2308" width="8.875" style="6"/>
    <col min="2309" max="2309" width="12" style="6" customWidth="1"/>
    <col min="2310" max="2310" width="7.125" style="6" customWidth="1"/>
    <col min="2311" max="2311" width="8.875" style="6"/>
    <col min="2312" max="2312" width="16" style="6" customWidth="1"/>
    <col min="2313" max="2313" width="13.75" style="6" customWidth="1"/>
    <col min="2314" max="2315" width="9.75" style="6" customWidth="1"/>
    <col min="2316" max="2564" width="8.875" style="6"/>
    <col min="2565" max="2565" width="12" style="6" customWidth="1"/>
    <col min="2566" max="2566" width="7.125" style="6" customWidth="1"/>
    <col min="2567" max="2567" width="8.875" style="6"/>
    <col min="2568" max="2568" width="16" style="6" customWidth="1"/>
    <col min="2569" max="2569" width="13.75" style="6" customWidth="1"/>
    <col min="2570" max="2571" width="9.75" style="6" customWidth="1"/>
    <col min="2572" max="2820" width="8.875" style="6"/>
    <col min="2821" max="2821" width="12" style="6" customWidth="1"/>
    <col min="2822" max="2822" width="7.125" style="6" customWidth="1"/>
    <col min="2823" max="2823" width="8.875" style="6"/>
    <col min="2824" max="2824" width="16" style="6" customWidth="1"/>
    <col min="2825" max="2825" width="13.75" style="6" customWidth="1"/>
    <col min="2826" max="2827" width="9.75" style="6" customWidth="1"/>
    <col min="2828" max="3076" width="8.875" style="6"/>
    <col min="3077" max="3077" width="12" style="6" customWidth="1"/>
    <col min="3078" max="3078" width="7.125" style="6" customWidth="1"/>
    <col min="3079" max="3079" width="8.875" style="6"/>
    <col min="3080" max="3080" width="16" style="6" customWidth="1"/>
    <col min="3081" max="3081" width="13.75" style="6" customWidth="1"/>
    <col min="3082" max="3083" width="9.75" style="6" customWidth="1"/>
    <col min="3084" max="3332" width="8.875" style="6"/>
    <col min="3333" max="3333" width="12" style="6" customWidth="1"/>
    <col min="3334" max="3334" width="7.125" style="6" customWidth="1"/>
    <col min="3335" max="3335" width="8.875" style="6"/>
    <col min="3336" max="3336" width="16" style="6" customWidth="1"/>
    <col min="3337" max="3337" width="13.75" style="6" customWidth="1"/>
    <col min="3338" max="3339" width="9.75" style="6" customWidth="1"/>
    <col min="3340" max="3588" width="8.875" style="6"/>
    <col min="3589" max="3589" width="12" style="6" customWidth="1"/>
    <col min="3590" max="3590" width="7.125" style="6" customWidth="1"/>
    <col min="3591" max="3591" width="8.875" style="6"/>
    <col min="3592" max="3592" width="16" style="6" customWidth="1"/>
    <col min="3593" max="3593" width="13.75" style="6" customWidth="1"/>
    <col min="3594" max="3595" width="9.75" style="6" customWidth="1"/>
    <col min="3596" max="3844" width="8.875" style="6"/>
    <col min="3845" max="3845" width="12" style="6" customWidth="1"/>
    <col min="3846" max="3846" width="7.125" style="6" customWidth="1"/>
    <col min="3847" max="3847" width="8.875" style="6"/>
    <col min="3848" max="3848" width="16" style="6" customWidth="1"/>
    <col min="3849" max="3849" width="13.75" style="6" customWidth="1"/>
    <col min="3850" max="3851" width="9.75" style="6" customWidth="1"/>
    <col min="3852" max="4100" width="8.875" style="6"/>
    <col min="4101" max="4101" width="12" style="6" customWidth="1"/>
    <col min="4102" max="4102" width="7.125" style="6" customWidth="1"/>
    <col min="4103" max="4103" width="8.875" style="6"/>
    <col min="4104" max="4104" width="16" style="6" customWidth="1"/>
    <col min="4105" max="4105" width="13.75" style="6" customWidth="1"/>
    <col min="4106" max="4107" width="9.75" style="6" customWidth="1"/>
    <col min="4108" max="4356" width="8.875" style="6"/>
    <col min="4357" max="4357" width="12" style="6" customWidth="1"/>
    <col min="4358" max="4358" width="7.125" style="6" customWidth="1"/>
    <col min="4359" max="4359" width="8.875" style="6"/>
    <col min="4360" max="4360" width="16" style="6" customWidth="1"/>
    <col min="4361" max="4361" width="13.75" style="6" customWidth="1"/>
    <col min="4362" max="4363" width="9.75" style="6" customWidth="1"/>
    <col min="4364" max="4612" width="8.875" style="6"/>
    <col min="4613" max="4613" width="12" style="6" customWidth="1"/>
    <col min="4614" max="4614" width="7.125" style="6" customWidth="1"/>
    <col min="4615" max="4615" width="8.875" style="6"/>
    <col min="4616" max="4616" width="16" style="6" customWidth="1"/>
    <col min="4617" max="4617" width="13.75" style="6" customWidth="1"/>
    <col min="4618" max="4619" width="9.75" style="6" customWidth="1"/>
    <col min="4620" max="4868" width="8.875" style="6"/>
    <col min="4869" max="4869" width="12" style="6" customWidth="1"/>
    <col min="4870" max="4870" width="7.125" style="6" customWidth="1"/>
    <col min="4871" max="4871" width="8.875" style="6"/>
    <col min="4872" max="4872" width="16" style="6" customWidth="1"/>
    <col min="4873" max="4873" width="13.75" style="6" customWidth="1"/>
    <col min="4874" max="4875" width="9.75" style="6" customWidth="1"/>
    <col min="4876" max="5124" width="8.875" style="6"/>
    <col min="5125" max="5125" width="12" style="6" customWidth="1"/>
    <col min="5126" max="5126" width="7.125" style="6" customWidth="1"/>
    <col min="5127" max="5127" width="8.875" style="6"/>
    <col min="5128" max="5128" width="16" style="6" customWidth="1"/>
    <col min="5129" max="5129" width="13.75" style="6" customWidth="1"/>
    <col min="5130" max="5131" width="9.75" style="6" customWidth="1"/>
    <col min="5132" max="5380" width="8.875" style="6"/>
    <col min="5381" max="5381" width="12" style="6" customWidth="1"/>
    <col min="5382" max="5382" width="7.125" style="6" customWidth="1"/>
    <col min="5383" max="5383" width="8.875" style="6"/>
    <col min="5384" max="5384" width="16" style="6" customWidth="1"/>
    <col min="5385" max="5385" width="13.75" style="6" customWidth="1"/>
    <col min="5386" max="5387" width="9.75" style="6" customWidth="1"/>
    <col min="5388" max="5636" width="8.875" style="6"/>
    <col min="5637" max="5637" width="12" style="6" customWidth="1"/>
    <col min="5638" max="5638" width="7.125" style="6" customWidth="1"/>
    <col min="5639" max="5639" width="8.875" style="6"/>
    <col min="5640" max="5640" width="16" style="6" customWidth="1"/>
    <col min="5641" max="5641" width="13.75" style="6" customWidth="1"/>
    <col min="5642" max="5643" width="9.75" style="6" customWidth="1"/>
    <col min="5644" max="5892" width="8.875" style="6"/>
    <col min="5893" max="5893" width="12" style="6" customWidth="1"/>
    <col min="5894" max="5894" width="7.125" style="6" customWidth="1"/>
    <col min="5895" max="5895" width="8.875" style="6"/>
    <col min="5896" max="5896" width="16" style="6" customWidth="1"/>
    <col min="5897" max="5897" width="13.75" style="6" customWidth="1"/>
    <col min="5898" max="5899" width="9.75" style="6" customWidth="1"/>
    <col min="5900" max="6148" width="8.875" style="6"/>
    <col min="6149" max="6149" width="12" style="6" customWidth="1"/>
    <col min="6150" max="6150" width="7.125" style="6" customWidth="1"/>
    <col min="6151" max="6151" width="8.875" style="6"/>
    <col min="6152" max="6152" width="16" style="6" customWidth="1"/>
    <col min="6153" max="6153" width="13.75" style="6" customWidth="1"/>
    <col min="6154" max="6155" width="9.75" style="6" customWidth="1"/>
    <col min="6156" max="6404" width="8.875" style="6"/>
    <col min="6405" max="6405" width="12" style="6" customWidth="1"/>
    <col min="6406" max="6406" width="7.125" style="6" customWidth="1"/>
    <col min="6407" max="6407" width="8.875" style="6"/>
    <col min="6408" max="6408" width="16" style="6" customWidth="1"/>
    <col min="6409" max="6409" width="13.75" style="6" customWidth="1"/>
    <col min="6410" max="6411" width="9.75" style="6" customWidth="1"/>
    <col min="6412" max="6660" width="8.875" style="6"/>
    <col min="6661" max="6661" width="12" style="6" customWidth="1"/>
    <col min="6662" max="6662" width="7.125" style="6" customWidth="1"/>
    <col min="6663" max="6663" width="8.875" style="6"/>
    <col min="6664" max="6664" width="16" style="6" customWidth="1"/>
    <col min="6665" max="6665" width="13.75" style="6" customWidth="1"/>
    <col min="6666" max="6667" width="9.75" style="6" customWidth="1"/>
    <col min="6668" max="6916" width="8.875" style="6"/>
    <col min="6917" max="6917" width="12" style="6" customWidth="1"/>
    <col min="6918" max="6918" width="7.125" style="6" customWidth="1"/>
    <col min="6919" max="6919" width="8.875" style="6"/>
    <col min="6920" max="6920" width="16" style="6" customWidth="1"/>
    <col min="6921" max="6921" width="13.75" style="6" customWidth="1"/>
    <col min="6922" max="6923" width="9.75" style="6" customWidth="1"/>
    <col min="6924" max="7172" width="8.875" style="6"/>
    <col min="7173" max="7173" width="12" style="6" customWidth="1"/>
    <col min="7174" max="7174" width="7.125" style="6" customWidth="1"/>
    <col min="7175" max="7175" width="8.875" style="6"/>
    <col min="7176" max="7176" width="16" style="6" customWidth="1"/>
    <col min="7177" max="7177" width="13.75" style="6" customWidth="1"/>
    <col min="7178" max="7179" width="9.75" style="6" customWidth="1"/>
    <col min="7180" max="7428" width="8.875" style="6"/>
    <col min="7429" max="7429" width="12" style="6" customWidth="1"/>
    <col min="7430" max="7430" width="7.125" style="6" customWidth="1"/>
    <col min="7431" max="7431" width="8.875" style="6"/>
    <col min="7432" max="7432" width="16" style="6" customWidth="1"/>
    <col min="7433" max="7433" width="13.75" style="6" customWidth="1"/>
    <col min="7434" max="7435" width="9.75" style="6" customWidth="1"/>
    <col min="7436" max="7684" width="8.875" style="6"/>
    <col min="7685" max="7685" width="12" style="6" customWidth="1"/>
    <col min="7686" max="7686" width="7.125" style="6" customWidth="1"/>
    <col min="7687" max="7687" width="8.875" style="6"/>
    <col min="7688" max="7688" width="16" style="6" customWidth="1"/>
    <col min="7689" max="7689" width="13.75" style="6" customWidth="1"/>
    <col min="7690" max="7691" width="9.75" style="6" customWidth="1"/>
    <col min="7692" max="7940" width="8.875" style="6"/>
    <col min="7941" max="7941" width="12" style="6" customWidth="1"/>
    <col min="7942" max="7942" width="7.125" style="6" customWidth="1"/>
    <col min="7943" max="7943" width="8.875" style="6"/>
    <col min="7944" max="7944" width="16" style="6" customWidth="1"/>
    <col min="7945" max="7945" width="13.75" style="6" customWidth="1"/>
    <col min="7946" max="7947" width="9.75" style="6" customWidth="1"/>
    <col min="7948" max="8196" width="8.875" style="6"/>
    <col min="8197" max="8197" width="12" style="6" customWidth="1"/>
    <col min="8198" max="8198" width="7.125" style="6" customWidth="1"/>
    <col min="8199" max="8199" width="8.875" style="6"/>
    <col min="8200" max="8200" width="16" style="6" customWidth="1"/>
    <col min="8201" max="8201" width="13.75" style="6" customWidth="1"/>
    <col min="8202" max="8203" width="9.75" style="6" customWidth="1"/>
    <col min="8204" max="8452" width="8.875" style="6"/>
    <col min="8453" max="8453" width="12" style="6" customWidth="1"/>
    <col min="8454" max="8454" width="7.125" style="6" customWidth="1"/>
    <col min="8455" max="8455" width="8.875" style="6"/>
    <col min="8456" max="8456" width="16" style="6" customWidth="1"/>
    <col min="8457" max="8457" width="13.75" style="6" customWidth="1"/>
    <col min="8458" max="8459" width="9.75" style="6" customWidth="1"/>
    <col min="8460" max="8708" width="8.875" style="6"/>
    <col min="8709" max="8709" width="12" style="6" customWidth="1"/>
    <col min="8710" max="8710" width="7.125" style="6" customWidth="1"/>
    <col min="8711" max="8711" width="8.875" style="6"/>
    <col min="8712" max="8712" width="16" style="6" customWidth="1"/>
    <col min="8713" max="8713" width="13.75" style="6" customWidth="1"/>
    <col min="8714" max="8715" width="9.75" style="6" customWidth="1"/>
    <col min="8716" max="8964" width="8.875" style="6"/>
    <col min="8965" max="8965" width="12" style="6" customWidth="1"/>
    <col min="8966" max="8966" width="7.125" style="6" customWidth="1"/>
    <col min="8967" max="8967" width="8.875" style="6"/>
    <col min="8968" max="8968" width="16" style="6" customWidth="1"/>
    <col min="8969" max="8969" width="13.75" style="6" customWidth="1"/>
    <col min="8970" max="8971" width="9.75" style="6" customWidth="1"/>
    <col min="8972" max="9220" width="8.875" style="6"/>
    <col min="9221" max="9221" width="12" style="6" customWidth="1"/>
    <col min="9222" max="9222" width="7.125" style="6" customWidth="1"/>
    <col min="9223" max="9223" width="8.875" style="6"/>
    <col min="9224" max="9224" width="16" style="6" customWidth="1"/>
    <col min="9225" max="9225" width="13.75" style="6" customWidth="1"/>
    <col min="9226" max="9227" width="9.75" style="6" customWidth="1"/>
    <col min="9228" max="9476" width="8.875" style="6"/>
    <col min="9477" max="9477" width="12" style="6" customWidth="1"/>
    <col min="9478" max="9478" width="7.125" style="6" customWidth="1"/>
    <col min="9479" max="9479" width="8.875" style="6"/>
    <col min="9480" max="9480" width="16" style="6" customWidth="1"/>
    <col min="9481" max="9481" width="13.75" style="6" customWidth="1"/>
    <col min="9482" max="9483" width="9.75" style="6" customWidth="1"/>
    <col min="9484" max="9732" width="8.875" style="6"/>
    <col min="9733" max="9733" width="12" style="6" customWidth="1"/>
    <col min="9734" max="9734" width="7.125" style="6" customWidth="1"/>
    <col min="9735" max="9735" width="8.875" style="6"/>
    <col min="9736" max="9736" width="16" style="6" customWidth="1"/>
    <col min="9737" max="9737" width="13.75" style="6" customWidth="1"/>
    <col min="9738" max="9739" width="9.75" style="6" customWidth="1"/>
    <col min="9740" max="9988" width="8.875" style="6"/>
    <col min="9989" max="9989" width="12" style="6" customWidth="1"/>
    <col min="9990" max="9990" width="7.125" style="6" customWidth="1"/>
    <col min="9991" max="9991" width="8.875" style="6"/>
    <col min="9992" max="9992" width="16" style="6" customWidth="1"/>
    <col min="9993" max="9993" width="13.75" style="6" customWidth="1"/>
    <col min="9994" max="9995" width="9.75" style="6" customWidth="1"/>
    <col min="9996" max="10244" width="8.875" style="6"/>
    <col min="10245" max="10245" width="12" style="6" customWidth="1"/>
    <col min="10246" max="10246" width="7.125" style="6" customWidth="1"/>
    <col min="10247" max="10247" width="8.875" style="6"/>
    <col min="10248" max="10248" width="16" style="6" customWidth="1"/>
    <col min="10249" max="10249" width="13.75" style="6" customWidth="1"/>
    <col min="10250" max="10251" width="9.75" style="6" customWidth="1"/>
    <col min="10252" max="10500" width="8.875" style="6"/>
    <col min="10501" max="10501" width="12" style="6" customWidth="1"/>
    <col min="10502" max="10502" width="7.125" style="6" customWidth="1"/>
    <col min="10503" max="10503" width="8.875" style="6"/>
    <col min="10504" max="10504" width="16" style="6" customWidth="1"/>
    <col min="10505" max="10505" width="13.75" style="6" customWidth="1"/>
    <col min="10506" max="10507" width="9.75" style="6" customWidth="1"/>
    <col min="10508" max="10756" width="8.875" style="6"/>
    <col min="10757" max="10757" width="12" style="6" customWidth="1"/>
    <col min="10758" max="10758" width="7.125" style="6" customWidth="1"/>
    <col min="10759" max="10759" width="8.875" style="6"/>
    <col min="10760" max="10760" width="16" style="6" customWidth="1"/>
    <col min="10761" max="10761" width="13.75" style="6" customWidth="1"/>
    <col min="10762" max="10763" width="9.75" style="6" customWidth="1"/>
    <col min="10764" max="11012" width="8.875" style="6"/>
    <col min="11013" max="11013" width="12" style="6" customWidth="1"/>
    <col min="11014" max="11014" width="7.125" style="6" customWidth="1"/>
    <col min="11015" max="11015" width="8.875" style="6"/>
    <col min="11016" max="11016" width="16" style="6" customWidth="1"/>
    <col min="11017" max="11017" width="13.75" style="6" customWidth="1"/>
    <col min="11018" max="11019" width="9.75" style="6" customWidth="1"/>
    <col min="11020" max="11268" width="8.875" style="6"/>
    <col min="11269" max="11269" width="12" style="6" customWidth="1"/>
    <col min="11270" max="11270" width="7.125" style="6" customWidth="1"/>
    <col min="11271" max="11271" width="8.875" style="6"/>
    <col min="11272" max="11272" width="16" style="6" customWidth="1"/>
    <col min="11273" max="11273" width="13.75" style="6" customWidth="1"/>
    <col min="11274" max="11275" width="9.75" style="6" customWidth="1"/>
    <col min="11276" max="11524" width="8.875" style="6"/>
    <col min="11525" max="11525" width="12" style="6" customWidth="1"/>
    <col min="11526" max="11526" width="7.125" style="6" customWidth="1"/>
    <col min="11527" max="11527" width="8.875" style="6"/>
    <col min="11528" max="11528" width="16" style="6" customWidth="1"/>
    <col min="11529" max="11529" width="13.75" style="6" customWidth="1"/>
    <col min="11530" max="11531" width="9.75" style="6" customWidth="1"/>
    <col min="11532" max="11780" width="8.875" style="6"/>
    <col min="11781" max="11781" width="12" style="6" customWidth="1"/>
    <col min="11782" max="11782" width="7.125" style="6" customWidth="1"/>
    <col min="11783" max="11783" width="8.875" style="6"/>
    <col min="11784" max="11784" width="16" style="6" customWidth="1"/>
    <col min="11785" max="11785" width="13.75" style="6" customWidth="1"/>
    <col min="11786" max="11787" width="9.75" style="6" customWidth="1"/>
    <col min="11788" max="12036" width="8.875" style="6"/>
    <col min="12037" max="12037" width="12" style="6" customWidth="1"/>
    <col min="12038" max="12038" width="7.125" style="6" customWidth="1"/>
    <col min="12039" max="12039" width="8.875" style="6"/>
    <col min="12040" max="12040" width="16" style="6" customWidth="1"/>
    <col min="12041" max="12041" width="13.75" style="6" customWidth="1"/>
    <col min="12042" max="12043" width="9.75" style="6" customWidth="1"/>
    <col min="12044" max="12292" width="8.875" style="6"/>
    <col min="12293" max="12293" width="12" style="6" customWidth="1"/>
    <col min="12294" max="12294" width="7.125" style="6" customWidth="1"/>
    <col min="12295" max="12295" width="8.875" style="6"/>
    <col min="12296" max="12296" width="16" style="6" customWidth="1"/>
    <col min="12297" max="12297" width="13.75" style="6" customWidth="1"/>
    <col min="12298" max="12299" width="9.75" style="6" customWidth="1"/>
    <col min="12300" max="12548" width="8.875" style="6"/>
    <col min="12549" max="12549" width="12" style="6" customWidth="1"/>
    <col min="12550" max="12550" width="7.125" style="6" customWidth="1"/>
    <col min="12551" max="12551" width="8.875" style="6"/>
    <col min="12552" max="12552" width="16" style="6" customWidth="1"/>
    <col min="12553" max="12553" width="13.75" style="6" customWidth="1"/>
    <col min="12554" max="12555" width="9.75" style="6" customWidth="1"/>
    <col min="12556" max="12804" width="8.875" style="6"/>
    <col min="12805" max="12805" width="12" style="6" customWidth="1"/>
    <col min="12806" max="12806" width="7.125" style="6" customWidth="1"/>
    <col min="12807" max="12807" width="8.875" style="6"/>
    <col min="12808" max="12808" width="16" style="6" customWidth="1"/>
    <col min="12809" max="12809" width="13.75" style="6" customWidth="1"/>
    <col min="12810" max="12811" width="9.75" style="6" customWidth="1"/>
    <col min="12812" max="13060" width="8.875" style="6"/>
    <col min="13061" max="13061" width="12" style="6" customWidth="1"/>
    <col min="13062" max="13062" width="7.125" style="6" customWidth="1"/>
    <col min="13063" max="13063" width="8.875" style="6"/>
    <col min="13064" max="13064" width="16" style="6" customWidth="1"/>
    <col min="13065" max="13065" width="13.75" style="6" customWidth="1"/>
    <col min="13066" max="13067" width="9.75" style="6" customWidth="1"/>
    <col min="13068" max="13316" width="8.875" style="6"/>
    <col min="13317" max="13317" width="12" style="6" customWidth="1"/>
    <col min="13318" max="13318" width="7.125" style="6" customWidth="1"/>
    <col min="13319" max="13319" width="8.875" style="6"/>
    <col min="13320" max="13320" width="16" style="6" customWidth="1"/>
    <col min="13321" max="13321" width="13.75" style="6" customWidth="1"/>
    <col min="13322" max="13323" width="9.75" style="6" customWidth="1"/>
    <col min="13324" max="13572" width="8.875" style="6"/>
    <col min="13573" max="13573" width="12" style="6" customWidth="1"/>
    <col min="13574" max="13574" width="7.125" style="6" customWidth="1"/>
    <col min="13575" max="13575" width="8.875" style="6"/>
    <col min="13576" max="13576" width="16" style="6" customWidth="1"/>
    <col min="13577" max="13577" width="13.75" style="6" customWidth="1"/>
    <col min="13578" max="13579" width="9.75" style="6" customWidth="1"/>
    <col min="13580" max="13828" width="8.875" style="6"/>
    <col min="13829" max="13829" width="12" style="6" customWidth="1"/>
    <col min="13830" max="13830" width="7.125" style="6" customWidth="1"/>
    <col min="13831" max="13831" width="8.875" style="6"/>
    <col min="13832" max="13832" width="16" style="6" customWidth="1"/>
    <col min="13833" max="13833" width="13.75" style="6" customWidth="1"/>
    <col min="13834" max="13835" width="9.75" style="6" customWidth="1"/>
    <col min="13836" max="14084" width="8.875" style="6"/>
    <col min="14085" max="14085" width="12" style="6" customWidth="1"/>
    <col min="14086" max="14086" width="7.125" style="6" customWidth="1"/>
    <col min="14087" max="14087" width="8.875" style="6"/>
    <col min="14088" max="14088" width="16" style="6" customWidth="1"/>
    <col min="14089" max="14089" width="13.75" style="6" customWidth="1"/>
    <col min="14090" max="14091" width="9.75" style="6" customWidth="1"/>
    <col min="14092" max="14340" width="8.875" style="6"/>
    <col min="14341" max="14341" width="12" style="6" customWidth="1"/>
    <col min="14342" max="14342" width="7.125" style="6" customWidth="1"/>
    <col min="14343" max="14343" width="8.875" style="6"/>
    <col min="14344" max="14344" width="16" style="6" customWidth="1"/>
    <col min="14345" max="14345" width="13.75" style="6" customWidth="1"/>
    <col min="14346" max="14347" width="9.75" style="6" customWidth="1"/>
    <col min="14348" max="14596" width="8.875" style="6"/>
    <col min="14597" max="14597" width="12" style="6" customWidth="1"/>
    <col min="14598" max="14598" width="7.125" style="6" customWidth="1"/>
    <col min="14599" max="14599" width="8.875" style="6"/>
    <col min="14600" max="14600" width="16" style="6" customWidth="1"/>
    <col min="14601" max="14601" width="13.75" style="6" customWidth="1"/>
    <col min="14602" max="14603" width="9.75" style="6" customWidth="1"/>
    <col min="14604" max="14852" width="8.875" style="6"/>
    <col min="14853" max="14853" width="12" style="6" customWidth="1"/>
    <col min="14854" max="14854" width="7.125" style="6" customWidth="1"/>
    <col min="14855" max="14855" width="8.875" style="6"/>
    <col min="14856" max="14856" width="16" style="6" customWidth="1"/>
    <col min="14857" max="14857" width="13.75" style="6" customWidth="1"/>
    <col min="14858" max="14859" width="9.75" style="6" customWidth="1"/>
    <col min="14860" max="15108" width="8.875" style="6"/>
    <col min="15109" max="15109" width="12" style="6" customWidth="1"/>
    <col min="15110" max="15110" width="7.125" style="6" customWidth="1"/>
    <col min="15111" max="15111" width="8.875" style="6"/>
    <col min="15112" max="15112" width="16" style="6" customWidth="1"/>
    <col min="15113" max="15113" width="13.75" style="6" customWidth="1"/>
    <col min="15114" max="15115" width="9.75" style="6" customWidth="1"/>
    <col min="15116" max="15364" width="8.875" style="6"/>
    <col min="15365" max="15365" width="12" style="6" customWidth="1"/>
    <col min="15366" max="15366" width="7.125" style="6" customWidth="1"/>
    <col min="15367" max="15367" width="8.875" style="6"/>
    <col min="15368" max="15368" width="16" style="6" customWidth="1"/>
    <col min="15369" max="15369" width="13.75" style="6" customWidth="1"/>
    <col min="15370" max="15371" width="9.75" style="6" customWidth="1"/>
    <col min="15372" max="15620" width="8.875" style="6"/>
    <col min="15621" max="15621" width="12" style="6" customWidth="1"/>
    <col min="15622" max="15622" width="7.125" style="6" customWidth="1"/>
    <col min="15623" max="15623" width="8.875" style="6"/>
    <col min="15624" max="15624" width="16" style="6" customWidth="1"/>
    <col min="15625" max="15625" width="13.75" style="6" customWidth="1"/>
    <col min="15626" max="15627" width="9.75" style="6" customWidth="1"/>
    <col min="15628" max="15876" width="8.875" style="6"/>
    <col min="15877" max="15877" width="12" style="6" customWidth="1"/>
    <col min="15878" max="15878" width="7.125" style="6" customWidth="1"/>
    <col min="15879" max="15879" width="8.875" style="6"/>
    <col min="15880" max="15880" width="16" style="6" customWidth="1"/>
    <col min="15881" max="15881" width="13.75" style="6" customWidth="1"/>
    <col min="15882" max="15883" width="9.75" style="6" customWidth="1"/>
    <col min="15884" max="16132" width="8.875" style="6"/>
    <col min="16133" max="16133" width="12" style="6" customWidth="1"/>
    <col min="16134" max="16134" width="7.125" style="6" customWidth="1"/>
    <col min="16135" max="16135" width="8.875" style="6"/>
    <col min="16136" max="16136" width="16" style="6" customWidth="1"/>
    <col min="16137" max="16137" width="13.75" style="6" customWidth="1"/>
    <col min="16138" max="16139" width="9.75" style="6" customWidth="1"/>
    <col min="16140" max="16384" width="8.875" style="6"/>
  </cols>
  <sheetData>
    <row r="1" spans="1:14" s="2" customFormat="1" ht="23.25" customHeight="1" thickBot="1">
      <c r="A1" s="1" t="e">
        <f>IF(SUM(2:2)=0,"OK","NOK")</f>
        <v>#DIV/0!</v>
      </c>
      <c r="F1" s="43" t="s">
        <v>4592</v>
      </c>
      <c r="G1" s="1085" t="s">
        <v>201</v>
      </c>
      <c r="H1" s="1086"/>
      <c r="I1" s="1085" t="s">
        <v>4615</v>
      </c>
      <c r="J1" s="1086"/>
      <c r="K1" s="1085"/>
      <c r="L1" s="1086"/>
      <c r="M1" s="44"/>
      <c r="N1" s="48" t="s">
        <v>10</v>
      </c>
    </row>
    <row r="2" spans="1:14" ht="13.5" thickBot="1">
      <c r="A2" s="3"/>
      <c r="B2" s="3"/>
      <c r="C2" s="3"/>
      <c r="D2" s="3"/>
      <c r="E2" s="3"/>
      <c r="F2" s="2"/>
      <c r="G2" s="4" t="s">
        <v>0</v>
      </c>
      <c r="H2" s="5" t="e">
        <f>SUMX2MY2(G5:G4946,H5:H4946)</f>
        <v>#DIV/0!</v>
      </c>
      <c r="I2" s="4" t="s">
        <v>0</v>
      </c>
      <c r="J2" s="5">
        <f>SUMX2MY2(I5:I4946,J5:J4946)</f>
        <v>0</v>
      </c>
      <c r="K2" s="4" t="s">
        <v>0</v>
      </c>
      <c r="L2" s="5" t="e">
        <f>SUMX2MY2(K5:K4946,L5:L4946)</f>
        <v>#DIV/0!</v>
      </c>
    </row>
    <row r="3" spans="1:14" ht="27.75" customHeight="1">
      <c r="A3" s="35" t="s">
        <v>1</v>
      </c>
      <c r="B3" s="36" t="s">
        <v>2</v>
      </c>
      <c r="C3" s="36" t="s">
        <v>3</v>
      </c>
      <c r="D3" s="36" t="s">
        <v>4</v>
      </c>
      <c r="E3" s="1087" t="s">
        <v>7</v>
      </c>
      <c r="F3" s="1088"/>
      <c r="G3" s="7" t="s">
        <v>5</v>
      </c>
      <c r="H3" s="8" t="s">
        <v>6</v>
      </c>
      <c r="I3" s="7" t="s">
        <v>5</v>
      </c>
      <c r="J3" s="8" t="s">
        <v>6</v>
      </c>
      <c r="K3" s="7" t="s">
        <v>5</v>
      </c>
      <c r="L3" s="8" t="s">
        <v>6</v>
      </c>
    </row>
    <row r="4" spans="1:14" ht="15.75" customHeight="1" thickBot="1">
      <c r="A4" s="34"/>
      <c r="B4" s="33"/>
      <c r="C4" s="33"/>
      <c r="D4" s="33"/>
      <c r="E4" s="41" t="s">
        <v>9</v>
      </c>
      <c r="F4" s="42" t="s">
        <v>8</v>
      </c>
      <c r="G4" s="38">
        <v>0</v>
      </c>
      <c r="H4" s="39">
        <v>0</v>
      </c>
      <c r="I4" s="38">
        <v>0</v>
      </c>
      <c r="J4" s="39">
        <v>0</v>
      </c>
      <c r="K4" s="38">
        <v>0</v>
      </c>
      <c r="L4" s="39">
        <v>0</v>
      </c>
    </row>
    <row r="5" spans="1:14">
      <c r="A5" s="201" t="s">
        <v>6130</v>
      </c>
      <c r="B5" s="199"/>
      <c r="C5" s="11"/>
      <c r="D5" s="198" t="s">
        <v>5974</v>
      </c>
      <c r="E5" s="724"/>
      <c r="F5" s="465" t="s">
        <v>10590</v>
      </c>
      <c r="G5" s="981" t="s">
        <v>10758</v>
      </c>
      <c r="H5" s="193" t="s">
        <v>5978</v>
      </c>
      <c r="I5" s="853">
        <v>1485</v>
      </c>
      <c r="J5" s="13">
        <v>1485</v>
      </c>
      <c r="K5" s="19"/>
      <c r="L5" s="13"/>
    </row>
    <row r="6" spans="1:14">
      <c r="A6" s="201" t="s">
        <v>6130</v>
      </c>
      <c r="B6" s="199"/>
      <c r="C6" s="11"/>
      <c r="D6" s="198" t="s">
        <v>5975</v>
      </c>
      <c r="E6" s="724"/>
      <c r="F6" s="465" t="s">
        <v>10591</v>
      </c>
      <c r="G6" s="981" t="s">
        <v>10758</v>
      </c>
      <c r="H6" s="193" t="s">
        <v>5978</v>
      </c>
      <c r="I6" s="853">
        <v>1485</v>
      </c>
      <c r="J6" s="13">
        <v>1485</v>
      </c>
      <c r="K6" s="19"/>
      <c r="L6" s="13"/>
    </row>
    <row r="7" spans="1:14">
      <c r="A7" s="201" t="s">
        <v>6131</v>
      </c>
      <c r="B7" s="200"/>
      <c r="C7" s="16"/>
      <c r="D7" s="198" t="s">
        <v>5976</v>
      </c>
      <c r="E7" s="724"/>
      <c r="F7" s="465" t="s">
        <v>10592</v>
      </c>
      <c r="G7" s="981" t="s">
        <v>10759</v>
      </c>
      <c r="H7" s="193" t="s">
        <v>5979</v>
      </c>
      <c r="I7" s="853">
        <v>485</v>
      </c>
      <c r="J7" s="13">
        <v>485</v>
      </c>
      <c r="K7" s="19"/>
      <c r="L7" s="13"/>
    </row>
    <row r="8" spans="1:14">
      <c r="A8" s="201" t="s">
        <v>6131</v>
      </c>
      <c r="B8" s="200"/>
      <c r="C8" s="16"/>
      <c r="D8" s="198" t="s">
        <v>5977</v>
      </c>
      <c r="E8" s="724"/>
      <c r="F8" s="465" t="s">
        <v>10593</v>
      </c>
      <c r="G8" s="981" t="s">
        <v>10759</v>
      </c>
      <c r="H8" s="193" t="s">
        <v>5979</v>
      </c>
      <c r="I8" s="853">
        <v>485</v>
      </c>
      <c r="J8" s="13">
        <v>485</v>
      </c>
      <c r="K8" s="19"/>
      <c r="L8" s="13"/>
    </row>
    <row r="9" spans="1:14" ht="12.75" customHeight="1">
      <c r="A9" s="201" t="s">
        <v>9062</v>
      </c>
      <c r="B9" s="200"/>
      <c r="C9" s="430"/>
      <c r="D9" s="730" t="s">
        <v>9058</v>
      </c>
      <c r="E9" s="428"/>
      <c r="F9" s="465" t="s">
        <v>10594</v>
      </c>
      <c r="G9" s="981" t="s">
        <v>10760</v>
      </c>
      <c r="H9" s="460" t="s">
        <v>9063</v>
      </c>
      <c r="I9" s="853">
        <v>13000</v>
      </c>
      <c r="J9" s="435">
        <v>13000</v>
      </c>
      <c r="K9" s="433"/>
      <c r="L9" s="429"/>
      <c r="M9" s="427"/>
      <c r="N9" s="427"/>
    </row>
    <row r="10" spans="1:14">
      <c r="A10" s="201" t="str">
        <f>VLOOKUP($F10,Pump_from_BP!$B:$J,4,0)</f>
        <v>PZ2102A-ECliq Data.pdf</v>
      </c>
      <c r="B10" s="200"/>
      <c r="C10" s="430"/>
      <c r="D10" s="730" t="s">
        <v>1406</v>
      </c>
      <c r="E10" s="428"/>
      <c r="F10" s="432" t="s">
        <v>6285</v>
      </c>
      <c r="G10" s="981" t="s">
        <v>10761</v>
      </c>
      <c r="H10" s="434" t="str">
        <f>VLOOKUP($F10,Pump_from_BP!$B:$J,2,0)</f>
        <v>Warm Crude Charge Pump</v>
      </c>
      <c r="I10" s="783">
        <v>2980</v>
      </c>
      <c r="J10" s="435">
        <f>VLOOKUP($F10,Pump_from_BP!$B:$J,8,0)</f>
        <v>2980</v>
      </c>
      <c r="K10" s="433"/>
      <c r="L10" s="429"/>
      <c r="M10" s="425"/>
      <c r="N10" s="425"/>
    </row>
    <row r="11" spans="1:14">
      <c r="A11" s="201" t="str">
        <f>VLOOKUP($F11,Pump_from_BP!$B:$J,4,0)</f>
        <v>PZ2102B-Win.pdf</v>
      </c>
      <c r="B11" s="200"/>
      <c r="C11" s="430"/>
      <c r="D11" s="730" t="s">
        <v>1410</v>
      </c>
      <c r="E11" s="428"/>
      <c r="F11" s="432" t="s">
        <v>6286</v>
      </c>
      <c r="G11" s="981" t="s">
        <v>10761</v>
      </c>
      <c r="H11" s="460" t="str">
        <f>VLOOKUP($F11,Pump_from_BP!$B:$J,2,0)</f>
        <v>Warm Crude Charge Pump</v>
      </c>
      <c r="I11" s="783">
        <v>2980</v>
      </c>
      <c r="J11" s="460">
        <f>VLOOKUP($F11,Pump_from_BP!$B:$J,8,0)</f>
        <v>2980</v>
      </c>
      <c r="K11" s="433"/>
      <c r="L11" s="429"/>
      <c r="M11" s="425"/>
      <c r="N11" s="425"/>
    </row>
    <row r="12" spans="1:14">
      <c r="A12" s="201" t="str">
        <f>VLOOKUP($F12,Pump_from_BP!$B:$J,4,0)</f>
        <v>PZ2102C-Win.pdf</v>
      </c>
      <c r="B12" s="200"/>
      <c r="C12" s="430"/>
      <c r="D12" s="730" t="s">
        <v>1411</v>
      </c>
      <c r="E12" s="428"/>
      <c r="F12" s="432" t="s">
        <v>6287</v>
      </c>
      <c r="G12" s="981" t="s">
        <v>10761</v>
      </c>
      <c r="H12" s="460" t="str">
        <f>VLOOKUP($F12,Pump_from_BP!$B:$J,2,0)</f>
        <v>Warm Crude Charge Pump</v>
      </c>
      <c r="I12" s="783">
        <v>2980</v>
      </c>
      <c r="J12" s="460">
        <f>VLOOKUP($F12,Pump_from_BP!$B:$J,8,0)</f>
        <v>2980</v>
      </c>
      <c r="K12" s="433"/>
      <c r="L12" s="429"/>
      <c r="M12" s="425"/>
      <c r="N12" s="425"/>
    </row>
    <row r="13" spans="1:14" s="436" customFormat="1">
      <c r="A13" s="201" t="str">
        <f>VLOOKUP($F13,Pump_from_BP!$B:$J,4,0)</f>
        <v>PZ2103A-B-C-Win.pdf</v>
      </c>
      <c r="B13" s="200"/>
      <c r="C13" s="463"/>
      <c r="D13" s="730" t="s">
        <v>1412</v>
      </c>
      <c r="E13" s="459"/>
      <c r="F13" s="467" t="s">
        <v>7614</v>
      </c>
      <c r="G13" s="981" t="s">
        <v>10762</v>
      </c>
      <c r="H13" s="460" t="str">
        <f>VLOOKUP($F13,Pump_from_BP!$B:$J,2,0)</f>
        <v>Top Pump Around</v>
      </c>
      <c r="I13" s="783">
        <v>2950</v>
      </c>
      <c r="J13" s="460">
        <f>VLOOKUP($F13,Pump_from_BP!$B:$J,8,0)</f>
        <v>2950</v>
      </c>
      <c r="K13" s="466"/>
      <c r="L13" s="468"/>
    </row>
    <row r="14" spans="1:14" s="436" customFormat="1">
      <c r="A14" s="201" t="str">
        <f>VLOOKUP($F14,Pump_from_BP!$B:$J,4,0)</f>
        <v>PZ2103A-B-C-Win.pdf</v>
      </c>
      <c r="B14" s="200"/>
      <c r="C14" s="463"/>
      <c r="D14" s="730" t="s">
        <v>1416</v>
      </c>
      <c r="E14" s="459"/>
      <c r="F14" s="467" t="s">
        <v>7615</v>
      </c>
      <c r="G14" s="981" t="s">
        <v>10762</v>
      </c>
      <c r="H14" s="460" t="str">
        <f>VLOOKUP($F14,Pump_from_BP!$B:$J,2,0)</f>
        <v>Top Pump Around</v>
      </c>
      <c r="I14" s="783">
        <v>2950</v>
      </c>
      <c r="J14" s="460">
        <f>VLOOKUP($F14,Pump_from_BP!$B:$J,8,0)</f>
        <v>2950</v>
      </c>
      <c r="K14" s="466"/>
      <c r="L14" s="468"/>
    </row>
    <row r="15" spans="1:14" s="436" customFormat="1">
      <c r="A15" s="201" t="str">
        <f>VLOOKUP($F15,Pump_from_BP!$B:$J,4,0)</f>
        <v>PZ2104A-B-C-Win.pdf</v>
      </c>
      <c r="B15" s="200"/>
      <c r="C15" s="463"/>
      <c r="D15" s="730" t="s">
        <v>1418</v>
      </c>
      <c r="E15" s="459"/>
      <c r="F15" s="467" t="s">
        <v>7616</v>
      </c>
      <c r="G15" s="981" t="s">
        <v>10763</v>
      </c>
      <c r="H15" s="460" t="str">
        <f>VLOOKUP($F15,Pump_from_BP!$B:$J,2,0)</f>
        <v>Middle Pump Product</v>
      </c>
      <c r="I15" s="783">
        <v>2950</v>
      </c>
      <c r="J15" s="460">
        <f>VLOOKUP($F15,Pump_from_BP!$B:$J,8,0)</f>
        <v>2950</v>
      </c>
      <c r="K15" s="466"/>
      <c r="L15" s="468"/>
    </row>
    <row r="16" spans="1:14" s="436" customFormat="1">
      <c r="A16" s="201" t="str">
        <f>VLOOKUP($F16,Pump_from_BP!$B:$J,4,0)</f>
        <v>PZ2104A-B-C-Win.pdf</v>
      </c>
      <c r="B16" s="200"/>
      <c r="C16" s="463"/>
      <c r="D16" s="730" t="s">
        <v>1422</v>
      </c>
      <c r="E16" s="459"/>
      <c r="F16" s="467" t="s">
        <v>7619</v>
      </c>
      <c r="G16" s="981" t="s">
        <v>10764</v>
      </c>
      <c r="H16" s="460" t="str">
        <f>VLOOKUP($F16,Pump_from_BP!$B:$J,2,0)</f>
        <v>Middle Pump Product</v>
      </c>
      <c r="I16" s="783">
        <v>2950</v>
      </c>
      <c r="J16" s="460">
        <f>VLOOKUP($F16,Pump_from_BP!$B:$J,8,0)</f>
        <v>2950</v>
      </c>
      <c r="K16" s="466"/>
      <c r="L16" s="468"/>
    </row>
    <row r="17" spans="1:12" s="436" customFormat="1">
      <c r="A17" s="201" t="str">
        <f>VLOOKUP($F17,Pump_from_BP!$B:$J,4,0)</f>
        <v>PZ2104A-B-C-Win.pdf</v>
      </c>
      <c r="B17" s="200"/>
      <c r="C17" s="463"/>
      <c r="D17" s="730" t="s">
        <v>1423</v>
      </c>
      <c r="E17" s="459"/>
      <c r="F17" s="467" t="s">
        <v>7620</v>
      </c>
      <c r="G17" s="981" t="s">
        <v>10764</v>
      </c>
      <c r="H17" s="460" t="str">
        <f>VLOOKUP($F17,Pump_from_BP!$B:$J,2,0)</f>
        <v>Middle Pump Product</v>
      </c>
      <c r="I17" s="783">
        <v>2950</v>
      </c>
      <c r="J17" s="460">
        <f>VLOOKUP($F17,Pump_from_BP!$B:$J,8,0)</f>
        <v>2950</v>
      </c>
      <c r="K17" s="614"/>
      <c r="L17" s="610"/>
    </row>
    <row r="18" spans="1:12" s="436" customFormat="1">
      <c r="A18" s="201" t="str">
        <f>VLOOKUP($F18,Pump_from_BP!$B:$J,4,0)</f>
        <v>PZ2105A-B-Win.pdf</v>
      </c>
      <c r="B18" s="200"/>
      <c r="C18" s="463"/>
      <c r="D18" s="730" t="s">
        <v>1424</v>
      </c>
      <c r="E18" s="459"/>
      <c r="F18" s="467" t="s">
        <v>7618</v>
      </c>
      <c r="G18" s="981" t="s">
        <v>10765</v>
      </c>
      <c r="H18" s="460" t="str">
        <f>VLOOKUP($F18,Pump_from_BP!$B:$J,2,0)</f>
        <v>Bottom Pump Around</v>
      </c>
      <c r="I18" s="783">
        <v>1450</v>
      </c>
      <c r="J18" s="460">
        <f>VLOOKUP($F18,Pump_from_BP!$B:$J,8,0)</f>
        <v>1450</v>
      </c>
      <c r="K18" s="466"/>
      <c r="L18" s="468"/>
    </row>
    <row r="19" spans="1:12" s="436" customFormat="1">
      <c r="A19" s="201" t="str">
        <f>VLOOKUP($F19,Pump_from_BP!$B:$J,4,0)</f>
        <v>PZ2105A-B-Win.pdf</v>
      </c>
      <c r="B19" s="200"/>
      <c r="C19" s="463"/>
      <c r="D19" s="730" t="s">
        <v>1427</v>
      </c>
      <c r="E19" s="459"/>
      <c r="F19" s="467" t="s">
        <v>7617</v>
      </c>
      <c r="G19" s="981" t="s">
        <v>10765</v>
      </c>
      <c r="H19" s="460" t="str">
        <f>VLOOKUP($F19,Pump_from_BP!$B:$J,2,0)</f>
        <v>Bottom Pump Around</v>
      </c>
      <c r="I19" s="783">
        <v>1450</v>
      </c>
      <c r="J19" s="460">
        <f>VLOOKUP($F19,Pump_from_BP!$B:$J,8,0)</f>
        <v>1450</v>
      </c>
      <c r="K19" s="466"/>
      <c r="L19" s="468"/>
    </row>
    <row r="20" spans="1:12" s="436" customFormat="1">
      <c r="A20" s="201" t="str">
        <f>VLOOKUP($F20,Pump_from_BP!$B:$J,4,0)</f>
        <v>PZ2106A-B-C-Win.pdf</v>
      </c>
      <c r="B20" s="200"/>
      <c r="C20" s="463"/>
      <c r="D20" s="730" t="s">
        <v>1428</v>
      </c>
      <c r="E20" s="724"/>
      <c r="F20" s="731" t="s">
        <v>7612</v>
      </c>
      <c r="G20" s="981" t="s">
        <v>10766</v>
      </c>
      <c r="H20" s="460" t="str">
        <f>VLOOKUP($F20,Pump_from_BP!$B:$J,2,0)</f>
        <v>Atmospheric Residue</v>
      </c>
      <c r="I20" s="783">
        <v>2950</v>
      </c>
      <c r="J20" s="460">
        <f>VLOOKUP($F20,Pump_from_BP!$B:$J,8,0)</f>
        <v>2950</v>
      </c>
      <c r="K20" s="466"/>
      <c r="L20" s="468"/>
    </row>
    <row r="21" spans="1:12" s="436" customFormat="1">
      <c r="A21" s="201" t="str">
        <f>VLOOKUP($F21,Pump_from_BP!$B:$J,4,0)</f>
        <v>PZ2106A-B-C-Win.pdf</v>
      </c>
      <c r="B21" s="200"/>
      <c r="C21" s="463"/>
      <c r="D21" s="730" t="s">
        <v>1431</v>
      </c>
      <c r="E21" s="459"/>
      <c r="F21" s="467" t="s">
        <v>7613</v>
      </c>
      <c r="G21" s="981" t="s">
        <v>10766</v>
      </c>
      <c r="H21" s="460" t="str">
        <f>VLOOKUP($F21,Pump_from_BP!$B:$J,2,0)</f>
        <v>Atmospheric Residue</v>
      </c>
      <c r="I21" s="783">
        <v>2950</v>
      </c>
      <c r="J21" s="460">
        <f>VLOOKUP($F21,Pump_from_BP!$B:$J,8,0)</f>
        <v>2950</v>
      </c>
      <c r="K21" s="466"/>
      <c r="L21" s="468"/>
    </row>
    <row r="22" spans="1:12">
      <c r="A22" s="201" t="str">
        <f>VLOOKUP($F22,Pump_from_BP!$B:$J,4,0)</f>
        <v>PZ2107A-Win.pdf</v>
      </c>
      <c r="B22" s="200"/>
      <c r="C22" s="16"/>
      <c r="D22" s="730" t="s">
        <v>1433</v>
      </c>
      <c r="E22" s="724"/>
      <c r="F22" s="465" t="s">
        <v>8818</v>
      </c>
      <c r="G22" s="981" t="s">
        <v>10767</v>
      </c>
      <c r="H22" s="460" t="str">
        <f>VLOOKUP($F22,Pump_from_BP!$B:$J,2,0)</f>
        <v>Light Gas Oil</v>
      </c>
      <c r="I22" s="783">
        <v>2950</v>
      </c>
      <c r="J22" s="460">
        <f>VLOOKUP($F22,Pump_from_BP!$B:$J,8,0)</f>
        <v>2950</v>
      </c>
      <c r="K22" s="614"/>
      <c r="L22" s="610"/>
    </row>
    <row r="23" spans="1:12">
      <c r="A23" s="201" t="str">
        <f>VLOOKUP($F23,Pump_from_BP!$B:$J,4,0)</f>
        <v>PZ2107B-Win.pdf</v>
      </c>
      <c r="B23" s="200"/>
      <c r="C23" s="16"/>
      <c r="D23" s="730" t="s">
        <v>1437</v>
      </c>
      <c r="E23" s="724"/>
      <c r="F23" s="465" t="s">
        <v>8820</v>
      </c>
      <c r="G23" s="981" t="s">
        <v>10767</v>
      </c>
      <c r="H23" s="460" t="str">
        <f>VLOOKUP($F23,Pump_from_BP!$B:$J,2,0)</f>
        <v>Light Gas Oil</v>
      </c>
      <c r="I23" s="783">
        <v>2950</v>
      </c>
      <c r="J23" s="460">
        <f>VLOOKUP($F23,Pump_from_BP!$B:$J,8,0)</f>
        <v>2950</v>
      </c>
      <c r="K23" s="614"/>
      <c r="L23" s="610"/>
    </row>
    <row r="24" spans="1:12">
      <c r="A24" s="201" t="str">
        <f>VLOOKUP($F24,Pump_from_BP!$B:$J,4,0)</f>
        <v>PZ2108-Win.pdf</v>
      </c>
      <c r="B24" s="200"/>
      <c r="C24" s="16"/>
      <c r="D24" s="730" t="s">
        <v>1439</v>
      </c>
      <c r="E24" s="724"/>
      <c r="F24" s="465" t="s">
        <v>8810</v>
      </c>
      <c r="G24" s="981" t="s">
        <v>10768</v>
      </c>
      <c r="H24" s="460" t="str">
        <f>VLOOKUP($F24,Pump_from_BP!$B:$J,2,0)</f>
        <v>Heavy Gas Oil</v>
      </c>
      <c r="I24" s="783">
        <v>2950</v>
      </c>
      <c r="J24" s="460">
        <f>VLOOKUP($F24,Pump_from_BP!$B:$J,8,0)</f>
        <v>2950</v>
      </c>
      <c r="K24" s="614"/>
      <c r="L24" s="610"/>
    </row>
    <row r="25" spans="1:12">
      <c r="A25" s="201" t="str">
        <f>VLOOKUP($F25,Pump_from_BP!$B:$J,4,0)</f>
        <v>PZ2109A-B-Win.pdf</v>
      </c>
      <c r="B25" s="200"/>
      <c r="C25" s="16"/>
      <c r="D25" s="730" t="s">
        <v>1442</v>
      </c>
      <c r="E25" s="724"/>
      <c r="F25" s="465" t="s">
        <v>8814</v>
      </c>
      <c r="G25" s="981" t="s">
        <v>10769</v>
      </c>
      <c r="H25" s="460" t="str">
        <f>VLOOKUP($F25,Pump_from_BP!$B:$J,2,0)</f>
        <v>LGO/HGO To Crude</v>
      </c>
      <c r="I25" s="783">
        <v>2950</v>
      </c>
      <c r="J25" s="460">
        <f>VLOOKUP($F25,Pump_from_BP!$B:$J,8,0)</f>
        <v>2950</v>
      </c>
      <c r="K25" s="614"/>
      <c r="L25" s="610"/>
    </row>
    <row r="26" spans="1:12">
      <c r="A26" s="201" t="str">
        <f>VLOOKUP($F26,Pump_from_BP!$B:$J,4,0)</f>
        <v>PZ2109A-B-Win.pdf</v>
      </c>
      <c r="B26" s="200"/>
      <c r="C26" s="16"/>
      <c r="D26" s="730" t="s">
        <v>1445</v>
      </c>
      <c r="E26" s="724"/>
      <c r="F26" s="465" t="s">
        <v>8811</v>
      </c>
      <c r="G26" s="981" t="s">
        <v>10769</v>
      </c>
      <c r="H26" s="460" t="str">
        <f>VLOOKUP($F26,Pump_from_BP!$B:$J,2,0)</f>
        <v>LGO/HGO To Crude</v>
      </c>
      <c r="I26" s="783">
        <v>2950</v>
      </c>
      <c r="J26" s="460">
        <f>VLOOKUP($F26,Pump_from_BP!$B:$J,8,0)</f>
        <v>2950</v>
      </c>
      <c r="K26" s="614"/>
      <c r="L26" s="610"/>
    </row>
    <row r="27" spans="1:12">
      <c r="A27" s="201" t="str">
        <f>VLOOKUP($F27,Pump_from_BP!$B:$J,4,0)</f>
        <v>PZ2110A-B-Win.pdf</v>
      </c>
      <c r="B27" s="200"/>
      <c r="C27" s="16"/>
      <c r="D27" s="730" t="s">
        <v>1446</v>
      </c>
      <c r="E27" s="724"/>
      <c r="F27" s="465" t="s">
        <v>8827</v>
      </c>
      <c r="G27" s="981" t="s">
        <v>10770</v>
      </c>
      <c r="H27" s="460" t="str">
        <f>VLOOKUP($F27,Pump_from_BP!$B:$J,2,0)</f>
        <v xml:space="preserve">Vacuum Condensate </v>
      </c>
      <c r="I27" s="783">
        <v>2900</v>
      </c>
      <c r="J27" s="460">
        <f>VLOOKUP($F27,Pump_from_BP!$B:$J,8,0)</f>
        <v>2900</v>
      </c>
      <c r="K27" s="614"/>
      <c r="L27" s="610"/>
    </row>
    <row r="28" spans="1:12">
      <c r="A28" s="201" t="str">
        <f>VLOOKUP($F28,Pump_from_BP!$B:$J,4,0)</f>
        <v>PZ2110A-B-Win.pdf</v>
      </c>
      <c r="B28" s="200"/>
      <c r="C28" s="16"/>
      <c r="D28" s="730" t="s">
        <v>1449</v>
      </c>
      <c r="E28" s="724"/>
      <c r="F28" s="465" t="s">
        <v>8819</v>
      </c>
      <c r="G28" s="981" t="s">
        <v>10770</v>
      </c>
      <c r="H28" s="460" t="str">
        <f>VLOOKUP($F28,Pump_from_BP!$B:$J,2,0)</f>
        <v xml:space="preserve">Vacuum Condensate </v>
      </c>
      <c r="I28" s="783">
        <v>2900</v>
      </c>
      <c r="J28" s="460">
        <f>VLOOKUP($F28,Pump_from_BP!$B:$J,8,0)</f>
        <v>2900</v>
      </c>
      <c r="K28" s="614"/>
      <c r="L28" s="610"/>
    </row>
    <row r="29" spans="1:12">
      <c r="A29" s="201" t="str">
        <f>VLOOKUP($F29,Pump_from_BP!$B:$J,4,0)</f>
        <v>PZ2111-Win.pdf</v>
      </c>
      <c r="B29" s="200"/>
      <c r="C29" s="489"/>
      <c r="D29" s="730" t="s">
        <v>1450</v>
      </c>
      <c r="E29" s="475"/>
      <c r="F29" s="481" t="s">
        <v>7790</v>
      </c>
      <c r="G29" s="981" t="s">
        <v>10771</v>
      </c>
      <c r="H29" s="460" t="str">
        <f>VLOOKUP($F29,Pump_from_BP!$B:$J,2,0)</f>
        <v>Pump Watwe To Crude</v>
      </c>
      <c r="I29" s="783">
        <v>2950</v>
      </c>
      <c r="J29" s="460">
        <f>VLOOKUP($F29,Pump_from_BP!$B:$J,8,0)</f>
        <v>2950</v>
      </c>
      <c r="K29" s="614"/>
      <c r="L29" s="610"/>
    </row>
    <row r="30" spans="1:12">
      <c r="A30" s="201" t="str">
        <f>VLOOKUP($F30,Pump_from_BP!$B:$J,4,0)</f>
        <v>PZ2112A-B-Win.pdf</v>
      </c>
      <c r="B30" s="200"/>
      <c r="C30" s="489"/>
      <c r="D30" s="730" t="s">
        <v>1454</v>
      </c>
      <c r="E30" s="490"/>
      <c r="F30" s="481" t="s">
        <v>7789</v>
      </c>
      <c r="G30" s="981" t="s">
        <v>10772</v>
      </c>
      <c r="H30" s="460" t="str">
        <f>VLOOKUP($F30,Pump_from_BP!$B:$J,2,0)</f>
        <v>Tempered Water Circ.</v>
      </c>
      <c r="I30" s="783">
        <v>2950</v>
      </c>
      <c r="J30" s="460">
        <f>VLOOKUP($F30,Pump_from_BP!$B:$J,8,0)</f>
        <v>2950</v>
      </c>
      <c r="K30" s="614"/>
      <c r="L30" s="610"/>
    </row>
    <row r="31" spans="1:12">
      <c r="A31" s="201" t="str">
        <f>VLOOKUP($F31,Pump_from_BP!$B:$J,4,0)</f>
        <v>PZ2112A-B-Win.pdf</v>
      </c>
      <c r="B31" s="200"/>
      <c r="C31" s="489"/>
      <c r="D31" s="730" t="s">
        <v>1458</v>
      </c>
      <c r="E31" s="490"/>
      <c r="F31" s="496" t="s">
        <v>7899</v>
      </c>
      <c r="G31" s="981" t="s">
        <v>10773</v>
      </c>
      <c r="H31" s="460" t="str">
        <f>VLOOKUP($F31,Pump_from_BP!$B:$J,2,0)</f>
        <v>Tempered Water Circ.</v>
      </c>
      <c r="I31" s="783">
        <v>2950</v>
      </c>
      <c r="J31" s="460">
        <f>VLOOKUP($F31,Pump_from_BP!$B:$J,8,0)</f>
        <v>2950</v>
      </c>
      <c r="K31" s="614"/>
      <c r="L31" s="610"/>
    </row>
    <row r="32" spans="1:12">
      <c r="A32" s="201" t="str">
        <f>VLOOKUP($F32,Pump_from_BP!$B:$J,4,0)</f>
        <v>PZ2122-Win.pdf</v>
      </c>
      <c r="B32" s="200"/>
      <c r="C32" s="489"/>
      <c r="D32" s="730" t="s">
        <v>1468</v>
      </c>
      <c r="E32" s="475"/>
      <c r="F32" s="481" t="s">
        <v>7792</v>
      </c>
      <c r="G32" s="981" t="s">
        <v>10774</v>
      </c>
      <c r="H32" s="460" t="str">
        <f>VLOOKUP($F32,Pump_from_BP!$B:$J,2,0)</f>
        <v>Process Water To Crude</v>
      </c>
      <c r="I32" s="783">
        <v>2950</v>
      </c>
      <c r="J32" s="460">
        <f>VLOOKUP($F32,Pump_from_BP!$B:$J,8,0)</f>
        <v>2950</v>
      </c>
      <c r="K32" s="614"/>
      <c r="L32" s="610"/>
    </row>
    <row r="33" spans="1:14">
      <c r="A33" s="201" t="str">
        <f>VLOOKUP($F33,Pump_from_BP!$B:$J,4,0)</f>
        <v>PZ2117A-B-Win.pdf</v>
      </c>
      <c r="B33" s="200"/>
      <c r="C33" s="489"/>
      <c r="D33" s="730" t="s">
        <v>1460</v>
      </c>
      <c r="E33" s="724"/>
      <c r="F33" s="731" t="s">
        <v>9050</v>
      </c>
      <c r="G33" s="981" t="s">
        <v>10775</v>
      </c>
      <c r="H33" s="460" t="str">
        <f>VLOOKUP($F33,Pump_from_BP!$B:$J,2,0)</f>
        <v>5% Cause INJ.</v>
      </c>
      <c r="I33" s="783">
        <v>170</v>
      </c>
      <c r="J33" s="460">
        <f>VLOOKUP($F33,Pump_from_BP!$B:$J,8,0)</f>
        <v>170</v>
      </c>
      <c r="K33" s="614"/>
      <c r="L33" s="610"/>
    </row>
    <row r="34" spans="1:14">
      <c r="A34" s="201" t="str">
        <f>VLOOKUP($F34,Pump_from_BP!$B:$J,4,0)</f>
        <v>PZ2151A-B-Win.pdf,sheet 2</v>
      </c>
      <c r="B34" s="200"/>
      <c r="C34" s="16"/>
      <c r="D34" s="730" t="s">
        <v>1472</v>
      </c>
      <c r="E34" s="724"/>
      <c r="F34" s="465" t="s">
        <v>6273</v>
      </c>
      <c r="G34" s="981" t="s">
        <v>10776</v>
      </c>
      <c r="H34" s="460" t="str">
        <f>VLOOKUP($F34,Pump_from_BP!$B:$J,2,0)</f>
        <v>DHT Charge</v>
      </c>
      <c r="I34" s="783">
        <v>2980</v>
      </c>
      <c r="J34" s="460">
        <f>VLOOKUP($F34,Pump_from_BP!$B:$J,8,0)</f>
        <v>2980</v>
      </c>
      <c r="K34" s="614"/>
      <c r="L34" s="610"/>
    </row>
    <row r="35" spans="1:14">
      <c r="A35" s="201" t="str">
        <f>VLOOKUP($F35,Pump_from_BP!$B:$J,4,0)</f>
        <v>PZ2151A-B-Win.pdf,sheet 2</v>
      </c>
      <c r="B35" s="200"/>
      <c r="C35" s="16"/>
      <c r="D35" s="730" t="s">
        <v>1476</v>
      </c>
      <c r="E35" s="724"/>
      <c r="F35" s="465" t="s">
        <v>6274</v>
      </c>
      <c r="G35" s="981" t="s">
        <v>10776</v>
      </c>
      <c r="H35" s="460" t="str">
        <f>VLOOKUP($F35,Pump_from_BP!$B:$J,2,0)</f>
        <v>DHT Charge</v>
      </c>
      <c r="I35" s="783">
        <v>2980</v>
      </c>
      <c r="J35" s="460">
        <f>VLOOKUP($F35,Pump_from_BP!$B:$J,8,0)</f>
        <v>2980</v>
      </c>
      <c r="K35" s="614"/>
      <c r="L35" s="610"/>
    </row>
    <row r="36" spans="1:14" ht="14.25">
      <c r="A36" s="201" t="str">
        <f>VLOOKUP($F36,Pump_from_BP!$B:$J,4,0)</f>
        <v>PZ2153A-B(2)-Win.pdf</v>
      </c>
      <c r="B36" s="200"/>
      <c r="C36" s="430"/>
      <c r="D36" s="730" t="s">
        <v>1477</v>
      </c>
      <c r="E36" s="428"/>
      <c r="F36" s="432" t="s">
        <v>6282</v>
      </c>
      <c r="G36" s="981" t="s">
        <v>10777</v>
      </c>
      <c r="H36" s="460" t="str">
        <f>VLOOKUP($F36,Pump_from_BP!$B:$J,2,0)</f>
        <v>Stabalizer Charge</v>
      </c>
      <c r="I36" s="783">
        <v>1500</v>
      </c>
      <c r="J36" s="460">
        <f>VLOOKUP($F36,Pump_from_BP!$B:$J,8,0)</f>
        <v>1500</v>
      </c>
      <c r="K36" s="433"/>
      <c r="L36" s="429"/>
      <c r="M36" s="427"/>
      <c r="N36" s="427"/>
    </row>
    <row r="37" spans="1:14" ht="14.25">
      <c r="A37" s="201" t="str">
        <f>VLOOKUP($F37,Pump_from_BP!$B:$J,4,0)</f>
        <v>PZ2153A-B(2)-Win.pdf</v>
      </c>
      <c r="B37" s="200"/>
      <c r="C37" s="430"/>
      <c r="D37" s="730" t="s">
        <v>1480</v>
      </c>
      <c r="E37" s="428"/>
      <c r="F37" s="432" t="s">
        <v>6283</v>
      </c>
      <c r="G37" s="981" t="s">
        <v>10777</v>
      </c>
      <c r="H37" s="460" t="str">
        <f>VLOOKUP($F37,Pump_from_BP!$B:$J,2,0)</f>
        <v>Stabalizer Charge</v>
      </c>
      <c r="I37" s="783">
        <v>1500</v>
      </c>
      <c r="J37" s="460">
        <f>VLOOKUP($F37,Pump_from_BP!$B:$J,8,0)</f>
        <v>1500</v>
      </c>
      <c r="K37" s="433"/>
      <c r="L37" s="429"/>
      <c r="M37" s="427"/>
      <c r="N37" s="427"/>
    </row>
    <row r="38" spans="1:14" ht="14.25">
      <c r="A38" s="799" t="s">
        <v>10459</v>
      </c>
      <c r="B38" s="200"/>
      <c r="C38" s="430"/>
      <c r="D38" s="730" t="s">
        <v>6319</v>
      </c>
      <c r="E38" s="428"/>
      <c r="F38" s="432" t="s">
        <v>6284</v>
      </c>
      <c r="G38" s="981" t="s">
        <v>10778</v>
      </c>
      <c r="H38" s="460" t="s">
        <v>9064</v>
      </c>
      <c r="I38" s="783">
        <v>1500</v>
      </c>
      <c r="J38" s="460"/>
      <c r="K38" s="433"/>
      <c r="L38" s="429"/>
      <c r="M38" s="427"/>
      <c r="N38" s="427"/>
    </row>
    <row r="39" spans="1:14">
      <c r="A39" s="201" t="str">
        <f>VLOOKUP($F39,Pump_from_BP!$B:$J,4,0)</f>
        <v>PZ2158(2).pdf,sheet 4/PZ2158.pdf, sheet 2</v>
      </c>
      <c r="B39" s="200"/>
      <c r="C39" s="489"/>
      <c r="D39" s="730" t="s">
        <v>1481</v>
      </c>
      <c r="E39" s="475"/>
      <c r="F39" s="481" t="s">
        <v>7791</v>
      </c>
      <c r="G39" s="981" t="s">
        <v>10779</v>
      </c>
      <c r="H39" s="610" t="str">
        <f>VLOOKUP($F39,Pump_from_BP!$B:$J,2,0)</f>
        <v>Wash Water</v>
      </c>
      <c r="I39" s="783">
        <v>2900</v>
      </c>
      <c r="J39" s="460">
        <f>VLOOKUP($F39,Pump_from_BP!$B:$J,8,0)</f>
        <v>2900</v>
      </c>
      <c r="K39" s="614"/>
      <c r="L39" s="610"/>
    </row>
    <row r="40" spans="1:14">
      <c r="A40" s="201" t="str">
        <f>VLOOKUP($F40,Pump_from_BP!$B:$J,4,0)</f>
        <v>Pz2161A MM-10534.pdf</v>
      </c>
      <c r="B40" s="200"/>
      <c r="C40" s="430"/>
      <c r="D40" s="730" t="s">
        <v>1483</v>
      </c>
      <c r="E40" s="428"/>
      <c r="F40" s="432" t="s">
        <v>6288</v>
      </c>
      <c r="G40" s="981" t="s">
        <v>10780</v>
      </c>
      <c r="H40" s="728" t="str">
        <f>VLOOKUP($F40,Pump_from_BP!$B:$J,2,0)</f>
        <v>Brine</v>
      </c>
      <c r="I40" s="783">
        <v>3000</v>
      </c>
      <c r="J40" s="460">
        <f>VLOOKUP($F40,Pump_from_BP!$B:$J,8,0)</f>
        <v>3000</v>
      </c>
      <c r="K40" s="433"/>
      <c r="L40" s="429"/>
      <c r="M40" s="425"/>
      <c r="N40" s="425"/>
    </row>
    <row r="41" spans="1:14">
      <c r="A41" s="201" t="str">
        <f>VLOOKUP($F41,Pump_from_BP!$B:$J,4,0)</f>
        <v>Pz2161A MM-10534.pdf</v>
      </c>
      <c r="B41" s="200"/>
      <c r="C41" s="430"/>
      <c r="D41" s="730" t="s">
        <v>1487</v>
      </c>
      <c r="E41" s="428"/>
      <c r="F41" s="432" t="s">
        <v>6289</v>
      </c>
      <c r="G41" s="981" t="s">
        <v>10780</v>
      </c>
      <c r="H41" s="728" t="str">
        <f>VLOOKUP($F41,Pump_from_BP!$B:$J,2,0)</f>
        <v>Brine</v>
      </c>
      <c r="I41" s="783">
        <v>3000</v>
      </c>
      <c r="J41" s="460">
        <f>VLOOKUP($F41,Pump_from_BP!$B:$J,8,0)</f>
        <v>3000</v>
      </c>
      <c r="K41" s="433"/>
      <c r="L41" s="429"/>
      <c r="M41" s="425"/>
      <c r="N41" s="425"/>
    </row>
    <row r="42" spans="1:14">
      <c r="A42" s="201" t="str">
        <f>VLOOKUP($F42,Pump_from_BP!$B:$J,4,0)</f>
        <v>PZ2201A-B-Win.pdf</v>
      </c>
      <c r="B42" s="200"/>
      <c r="C42" s="430"/>
      <c r="D42" s="730" t="s">
        <v>1488</v>
      </c>
      <c r="E42" s="428"/>
      <c r="F42" s="432" t="s">
        <v>6314</v>
      </c>
      <c r="G42" s="981" t="s">
        <v>10781</v>
      </c>
      <c r="H42" s="728" t="str">
        <f>VLOOKUP($F42,Pump_from_BP!$B:$J,2,0)</f>
        <v>Stabalizer OVHD Reflux</v>
      </c>
      <c r="I42" s="783">
        <v>2950</v>
      </c>
      <c r="J42" s="460">
        <f>VLOOKUP($F42,Pump_from_BP!$B:$J,8,0)</f>
        <v>2950</v>
      </c>
      <c r="K42" s="433"/>
      <c r="L42" s="429"/>
      <c r="M42" s="425"/>
      <c r="N42" s="425"/>
    </row>
    <row r="43" spans="1:14">
      <c r="A43" s="201" t="str">
        <f>VLOOKUP($F43,Pump_from_BP!$B:$J,4,0)</f>
        <v>PZ2201A-B-Win.pdf</v>
      </c>
      <c r="B43" s="200"/>
      <c r="C43" s="430"/>
      <c r="D43" s="730" t="s">
        <v>1492</v>
      </c>
      <c r="E43" s="428"/>
      <c r="F43" s="432" t="s">
        <v>6315</v>
      </c>
      <c r="G43" s="981" t="s">
        <v>10781</v>
      </c>
      <c r="H43" s="728" t="str">
        <f>VLOOKUP($F43,Pump_from_BP!$B:$J,2,0)</f>
        <v>Stabalizer OVHD Reflux</v>
      </c>
      <c r="I43" s="783">
        <v>2950</v>
      </c>
      <c r="J43" s="460">
        <f>VLOOKUP($F43,Pump_from_BP!$B:$J,8,0)</f>
        <v>2950</v>
      </c>
      <c r="K43" s="433"/>
      <c r="L43" s="429"/>
      <c r="M43" s="425"/>
      <c r="N43" s="425"/>
    </row>
    <row r="44" spans="1:14">
      <c r="A44" s="201" t="str">
        <f>VLOOKUP($F44,Pump_from_BP!$B:$J,4,0)</f>
        <v>PZ2202 modification TAR2011.pdf,sheet 26</v>
      </c>
      <c r="B44" s="200"/>
      <c r="C44" s="430"/>
      <c r="D44" s="730" t="s">
        <v>6320</v>
      </c>
      <c r="E44" s="428"/>
      <c r="F44" s="432" t="s">
        <v>6316</v>
      </c>
      <c r="G44" s="981" t="s">
        <v>10782</v>
      </c>
      <c r="H44" s="728" t="str">
        <f>VLOOKUP($F44,Pump_from_BP!$B:$J,2,0)</f>
        <v>Stabilizer Overhead Pump Modification</v>
      </c>
      <c r="I44" s="783">
        <v>2950</v>
      </c>
      <c r="J44" s="460">
        <f>VLOOKUP($F44,Pump_from_BP!$B:$J,8,0)</f>
        <v>2950</v>
      </c>
      <c r="K44" s="433"/>
      <c r="L44" s="429"/>
      <c r="M44" s="425"/>
      <c r="N44" s="425"/>
    </row>
    <row r="45" spans="1:14">
      <c r="A45" s="201" t="str">
        <f>VLOOKUP($F45,Pump_from_BP!$B:$J,4,0)</f>
        <v>PZ2202 modification TAR2011.pdf,sheet 26</v>
      </c>
      <c r="B45" s="200"/>
      <c r="C45" s="430"/>
      <c r="D45" s="730" t="s">
        <v>1495</v>
      </c>
      <c r="E45" s="428"/>
      <c r="F45" s="432" t="s">
        <v>6317</v>
      </c>
      <c r="G45" s="981" t="s">
        <v>10782</v>
      </c>
      <c r="H45" s="728" t="str">
        <f>VLOOKUP($F45,Pump_from_BP!$B:$J,2,0)</f>
        <v>Stabilizer Overhead Pump Modification</v>
      </c>
      <c r="I45" s="783">
        <v>2950</v>
      </c>
      <c r="J45" s="460">
        <f>VLOOKUP($F45,Pump_from_BP!$B:$J,8,0)</f>
        <v>2950</v>
      </c>
      <c r="K45" s="433"/>
      <c r="L45" s="429"/>
      <c r="M45" s="425"/>
      <c r="N45" s="425"/>
    </row>
    <row r="46" spans="1:14">
      <c r="A46" s="201" t="str">
        <f>VLOOKUP($F46,Pump_from_BP!$B:$J,4,0)</f>
        <v>PZ2203A-B-Win.pdf,sheet 8</v>
      </c>
      <c r="B46" s="200"/>
      <c r="C46" s="16"/>
      <c r="D46" s="198" t="s">
        <v>1496</v>
      </c>
      <c r="E46" s="724"/>
      <c r="F46" s="465" t="s">
        <v>6104</v>
      </c>
      <c r="G46" s="981" t="s">
        <v>10783</v>
      </c>
      <c r="H46" s="728" t="str">
        <f>VLOOKUP($F46,Pump_from_BP!$B:$J,2,0)</f>
        <v>Splitter OVHD Reflux</v>
      </c>
      <c r="I46" s="783">
        <v>1460</v>
      </c>
      <c r="J46" s="460">
        <f>VLOOKUP($F46,Pump_from_BP!$B:$J,8,0)</f>
        <v>1460</v>
      </c>
      <c r="K46" s="194"/>
      <c r="L46" s="193"/>
    </row>
    <row r="47" spans="1:14">
      <c r="A47" s="201" t="str">
        <f>VLOOKUP($F47,Pump_from_BP!$B:$J,4,0)</f>
        <v>PZ2203A-B-Win.pdf,sheet 9</v>
      </c>
      <c r="B47" s="200"/>
      <c r="C47" s="16"/>
      <c r="D47" s="198" t="s">
        <v>1500</v>
      </c>
      <c r="E47" s="724"/>
      <c r="F47" s="465" t="s">
        <v>6105</v>
      </c>
      <c r="G47" s="981" t="s">
        <v>10783</v>
      </c>
      <c r="H47" s="728" t="str">
        <f>VLOOKUP($F47,Pump_from_BP!$B:$J,2,0)</f>
        <v>Splitter OVHD Reflux</v>
      </c>
      <c r="I47" s="783">
        <v>1460</v>
      </c>
      <c r="J47" s="460">
        <f>VLOOKUP($F47,Pump_from_BP!$B:$J,8,0)</f>
        <v>1460</v>
      </c>
      <c r="K47" s="194"/>
      <c r="L47" s="193"/>
    </row>
    <row r="48" spans="1:14" s="184" customFormat="1">
      <c r="A48" s="201" t="str">
        <f>VLOOKUP($F48,Pump_from_BP!$B:$J,4,0)</f>
        <v>PZ2204A-B-C-Win.pdf,sheet 3</v>
      </c>
      <c r="B48" s="200"/>
      <c r="C48" s="197"/>
      <c r="D48" s="198" t="s">
        <v>6098</v>
      </c>
      <c r="E48" s="724"/>
      <c r="F48" s="465" t="s">
        <v>6129</v>
      </c>
      <c r="G48" s="981" t="s">
        <v>10784</v>
      </c>
      <c r="H48" s="728" t="str">
        <f>VLOOKUP($F48,Pump_from_BP!$B:$J,2,0)</f>
        <v>Splitter Reboiler Circulation</v>
      </c>
      <c r="I48" s="783">
        <v>1460</v>
      </c>
      <c r="J48" s="460">
        <f>VLOOKUP($F48,Pump_from_BP!$B:$J,8,0)</f>
        <v>1460</v>
      </c>
      <c r="K48" s="194"/>
      <c r="L48" s="193"/>
    </row>
    <row r="49" spans="1:14">
      <c r="A49" s="201" t="str">
        <f>VLOOKUP($F49,Pump_from_BP!$B:$J,4,0)</f>
        <v>PZ2204A-B-C-Win.pdf,sheet 3</v>
      </c>
      <c r="B49" s="200"/>
      <c r="C49" s="16"/>
      <c r="D49" s="198" t="s">
        <v>1506</v>
      </c>
      <c r="E49" s="724"/>
      <c r="F49" s="465" t="s">
        <v>6099</v>
      </c>
      <c r="G49" s="981" t="s">
        <v>10785</v>
      </c>
      <c r="H49" s="728" t="str">
        <f>VLOOKUP($F49,Pump_from_BP!$B:$J,2,0)</f>
        <v>Splitter Reboiler Circulation</v>
      </c>
      <c r="I49" s="783">
        <v>1460</v>
      </c>
      <c r="J49" s="460">
        <f>VLOOKUP($F49,Pump_from_BP!$B:$J,8,0)</f>
        <v>1460</v>
      </c>
      <c r="K49" s="194"/>
      <c r="L49" s="193"/>
    </row>
    <row r="50" spans="1:14">
      <c r="A50" s="201" t="str">
        <f>VLOOKUP($F50,Pump_from_BP!$B:$J,4,0)</f>
        <v>PZ2205A-B-Win.pdf</v>
      </c>
      <c r="B50" s="200"/>
      <c r="C50" s="16"/>
      <c r="D50" s="198" t="s">
        <v>1508</v>
      </c>
      <c r="E50" s="724"/>
      <c r="F50" s="465" t="s">
        <v>6100</v>
      </c>
      <c r="G50" s="981" t="s">
        <v>10786</v>
      </c>
      <c r="H50" s="728" t="str">
        <f>VLOOKUP($F50,Pump_from_BP!$B:$J,2,0)</f>
        <v>Splitter OVHD Product</v>
      </c>
      <c r="I50" s="783">
        <v>2950</v>
      </c>
      <c r="J50" s="460">
        <f>VLOOKUP($F50,Pump_from_BP!$B:$J,8,0)</f>
        <v>2950</v>
      </c>
      <c r="K50" s="194"/>
      <c r="L50" s="193"/>
    </row>
    <row r="51" spans="1:14">
      <c r="A51" s="201" t="str">
        <f>VLOOKUP($F51,Pump_from_BP!$B:$J,4,0)</f>
        <v>PZ2205A-B-Win.pdf</v>
      </c>
      <c r="B51" s="200"/>
      <c r="C51" s="16"/>
      <c r="D51" s="198" t="s">
        <v>1511</v>
      </c>
      <c r="E51" s="724"/>
      <c r="F51" s="465" t="s">
        <v>6106</v>
      </c>
      <c r="G51" s="981" t="s">
        <v>10787</v>
      </c>
      <c r="H51" s="728" t="str">
        <f>VLOOKUP($F51,Pump_from_BP!$B:$J,2,0)</f>
        <v>Splitter OVHD Product</v>
      </c>
      <c r="I51" s="783">
        <v>2950</v>
      </c>
      <c r="J51" s="460">
        <f>VLOOKUP($F51,Pump_from_BP!$B:$J,8,0)</f>
        <v>2950</v>
      </c>
      <c r="K51" s="194"/>
      <c r="L51" s="193"/>
    </row>
    <row r="52" spans="1:14">
      <c r="A52" s="201" t="str">
        <f>VLOOKUP($F52,Pump_from_BP!$B:$J,4,0)</f>
        <v>PZ2206A-B-Win.pdf,sheet 8</v>
      </c>
      <c r="B52" s="200"/>
      <c r="C52" s="16"/>
      <c r="D52" s="198" t="s">
        <v>1512</v>
      </c>
      <c r="E52" s="724"/>
      <c r="F52" s="465" t="s">
        <v>6101</v>
      </c>
      <c r="G52" s="981" t="s">
        <v>10788</v>
      </c>
      <c r="H52" s="728" t="str">
        <f>VLOOKUP($F52,Pump_from_BP!$B:$J,2,0)</f>
        <v>ARB/Naphtha Prod.</v>
      </c>
      <c r="I52" s="783">
        <v>2950</v>
      </c>
      <c r="J52" s="460">
        <f>VLOOKUP($F52,Pump_from_BP!$B:$J,8,0)</f>
        <v>2950</v>
      </c>
      <c r="K52" s="194"/>
      <c r="L52" s="193"/>
    </row>
    <row r="53" spans="1:14">
      <c r="A53" s="201" t="str">
        <f>VLOOKUP($F53,Pump_from_BP!$B:$J,4,0)</f>
        <v>PZ2206A-B-Win.pdf,sheet 8</v>
      </c>
      <c r="B53" s="200"/>
      <c r="C53" s="16"/>
      <c r="D53" s="198" t="s">
        <v>1515</v>
      </c>
      <c r="E53" s="724"/>
      <c r="F53" s="465" t="s">
        <v>6102</v>
      </c>
      <c r="G53" s="981" t="s">
        <v>10788</v>
      </c>
      <c r="H53" s="728" t="str">
        <f>VLOOKUP($F53,Pump_from_BP!$B:$J,2,0)</f>
        <v>ARB/Naphtha Prod.</v>
      </c>
      <c r="I53" s="783">
        <v>2950</v>
      </c>
      <c r="J53" s="460">
        <f>VLOOKUP($F53,Pump_from_BP!$B:$J,8,0)</f>
        <v>2950</v>
      </c>
      <c r="K53" s="194"/>
      <c r="L53" s="193"/>
    </row>
    <row r="54" spans="1:14">
      <c r="A54" s="201" t="str">
        <f>VLOOKUP($F54,Pump_from_BP!$B:$J,4,0)</f>
        <v>PZ2207-Win.pdf,sheet7</v>
      </c>
      <c r="B54" s="200"/>
      <c r="C54" s="16"/>
      <c r="D54" s="198" t="s">
        <v>1516</v>
      </c>
      <c r="E54" s="724"/>
      <c r="F54" s="465" t="s">
        <v>6103</v>
      </c>
      <c r="G54" s="981" t="s">
        <v>10789</v>
      </c>
      <c r="H54" s="728" t="str">
        <f>VLOOKUP($F54,Pump_from_BP!$B:$J,2,0)</f>
        <v>Kerosine Product</v>
      </c>
      <c r="I54" s="783">
        <v>2950</v>
      </c>
      <c r="J54" s="460">
        <f>VLOOKUP($F54,Pump_from_BP!$B:$J,8,0)</f>
        <v>2950</v>
      </c>
      <c r="K54" s="194"/>
      <c r="L54" s="193"/>
    </row>
    <row r="55" spans="1:14">
      <c r="A55" s="201" t="str">
        <f>VLOOKUP($F55,Pump_from_BP!$B:$J,4,0)</f>
        <v>PZ2855A-B-Win.pdf,sheet 6/PZ2855A-B(2)-Win.pdf,sheet 5</v>
      </c>
      <c r="B55" s="200"/>
      <c r="C55" s="16"/>
      <c r="D55" s="730" t="s">
        <v>9056</v>
      </c>
      <c r="E55" s="724"/>
      <c r="F55" s="465" t="s">
        <v>8816</v>
      </c>
      <c r="G55" s="981" t="s">
        <v>10790</v>
      </c>
      <c r="H55" s="728" t="str">
        <f>VLOOKUP($F55,Pump_from_BP!$B:$J,2,0)</f>
        <v>Rich Amine Pump</v>
      </c>
      <c r="I55" s="783">
        <v>1450</v>
      </c>
      <c r="J55" s="460">
        <f>VLOOKUP($F55,Pump_from_BP!$B:$J,8,0)</f>
        <v>1450</v>
      </c>
      <c r="K55" s="614"/>
      <c r="L55" s="610"/>
    </row>
    <row r="56" spans="1:14">
      <c r="A56" s="201" t="str">
        <f>VLOOKUP($F56,Pump_from_BP!$B:$J,4,0)</f>
        <v>PZ2855A-B-Win.pdf,sheet 6/PZ2855A-B(2)-Win.pdf,sheet 5</v>
      </c>
      <c r="B56" s="200"/>
      <c r="C56" s="16"/>
      <c r="D56" s="730" t="s">
        <v>9057</v>
      </c>
      <c r="E56" s="724"/>
      <c r="F56" s="465" t="s">
        <v>8822</v>
      </c>
      <c r="G56" s="981" t="s">
        <v>10790</v>
      </c>
      <c r="H56" s="728" t="str">
        <f>VLOOKUP($F56,Pump_from_BP!$B:$J,2,0)</f>
        <v>Rich Amine Pump</v>
      </c>
      <c r="I56" s="783">
        <v>1450</v>
      </c>
      <c r="J56" s="460">
        <f>VLOOKUP($F56,Pump_from_BP!$B:$J,8,0)</f>
        <v>1450</v>
      </c>
      <c r="K56" s="614"/>
      <c r="L56" s="610"/>
    </row>
    <row r="57" spans="1:14">
      <c r="A57" s="201" t="str">
        <f>VLOOKUP($D57,HeatExch_from_BP!$P:$AE,3,0)</f>
        <v>EZ2112A-N-Win.pdf</v>
      </c>
      <c r="B57" s="200"/>
      <c r="C57" s="430"/>
      <c r="D57" s="730" t="s">
        <v>6256</v>
      </c>
      <c r="E57" s="428"/>
      <c r="F57" s="432" t="s">
        <v>6298</v>
      </c>
      <c r="G57" s="981" t="s">
        <v>10791</v>
      </c>
      <c r="H57" s="460" t="str">
        <f>VLOOKUP($D57,HeatExch_from_BP!$P:$AE,2,0)</f>
        <v>Crude Tower Overhead Condenser</v>
      </c>
      <c r="I57" s="783">
        <v>265</v>
      </c>
      <c r="J57" s="460">
        <f>VLOOKUP($D57,HeatExch_from_BP!$P:$AE,16,0)</f>
        <v>265</v>
      </c>
      <c r="K57" s="433"/>
      <c r="L57" s="429"/>
      <c r="M57" s="425"/>
      <c r="N57" s="425"/>
    </row>
    <row r="58" spans="1:14">
      <c r="A58" s="201" t="str">
        <f>VLOOKUP($D58,HeatExch_from_BP!$P:$AE,3,0)</f>
        <v>EZ2112A-N-Win.pdf</v>
      </c>
      <c r="B58" s="200"/>
      <c r="C58" s="430"/>
      <c r="D58" s="730" t="s">
        <v>6256</v>
      </c>
      <c r="E58" s="428"/>
      <c r="F58" s="432" t="s">
        <v>6302</v>
      </c>
      <c r="G58" s="981" t="s">
        <v>10791</v>
      </c>
      <c r="H58" s="460" t="str">
        <f>VLOOKUP($D58,HeatExch_from_BP!$P:$AE,2,0)</f>
        <v>Crude Tower Overhead Condenser</v>
      </c>
      <c r="I58" s="783">
        <v>265</v>
      </c>
      <c r="J58" s="460">
        <f>VLOOKUP($D58,HeatExch_from_BP!$P:$AE,16,0)</f>
        <v>265</v>
      </c>
      <c r="K58" s="433"/>
      <c r="L58" s="429"/>
      <c r="M58" s="425"/>
      <c r="N58" s="425"/>
    </row>
    <row r="59" spans="1:14">
      <c r="A59" s="201" t="str">
        <f>VLOOKUP($D59,HeatExch_from_BP!$P:$AE,3,0)</f>
        <v>EZ2112A-N-Win.pdf</v>
      </c>
      <c r="B59" s="200"/>
      <c r="C59" s="430"/>
      <c r="D59" s="730" t="s">
        <v>6256</v>
      </c>
      <c r="E59" s="428"/>
      <c r="F59" s="432" t="s">
        <v>6293</v>
      </c>
      <c r="G59" s="981" t="s">
        <v>10791</v>
      </c>
      <c r="H59" s="460" t="str">
        <f>VLOOKUP($D59,HeatExch_from_BP!$P:$AE,2,0)</f>
        <v>Crude Tower Overhead Condenser</v>
      </c>
      <c r="I59" s="783">
        <v>265</v>
      </c>
      <c r="J59" s="460">
        <f>VLOOKUP($D59,HeatExch_from_BP!$P:$AE,16,0)</f>
        <v>265</v>
      </c>
      <c r="K59" s="433"/>
      <c r="L59" s="429"/>
      <c r="M59" s="425"/>
      <c r="N59" s="425"/>
    </row>
    <row r="60" spans="1:14">
      <c r="A60" s="201" t="str">
        <f>VLOOKUP($D60,HeatExch_from_BP!$P:$AE,3,0)</f>
        <v>EZ2112A-N-Win.pdf</v>
      </c>
      <c r="B60" s="200"/>
      <c r="C60" s="430"/>
      <c r="D60" s="730" t="s">
        <v>6256</v>
      </c>
      <c r="E60" s="428"/>
      <c r="F60" s="432" t="s">
        <v>6294</v>
      </c>
      <c r="G60" s="981" t="s">
        <v>10791</v>
      </c>
      <c r="H60" s="460" t="str">
        <f>VLOOKUP($D60,HeatExch_from_BP!$P:$AE,2,0)</f>
        <v>Crude Tower Overhead Condenser</v>
      </c>
      <c r="I60" s="783">
        <v>265</v>
      </c>
      <c r="J60" s="460">
        <f>VLOOKUP($D60,HeatExch_from_BP!$P:$AE,16,0)</f>
        <v>265</v>
      </c>
      <c r="K60" s="433"/>
      <c r="L60" s="429"/>
      <c r="M60" s="425"/>
      <c r="N60" s="425"/>
    </row>
    <row r="61" spans="1:14">
      <c r="A61" s="201" t="str">
        <f>VLOOKUP($D61,HeatExch_from_BP!$P:$AE,3,0)</f>
        <v>EZ2112A-N-Win.pdf</v>
      </c>
      <c r="B61" s="200"/>
      <c r="C61" s="430"/>
      <c r="D61" s="730" t="s">
        <v>6256</v>
      </c>
      <c r="E61" s="428"/>
      <c r="F61" s="432" t="s">
        <v>6292</v>
      </c>
      <c r="G61" s="981" t="s">
        <v>10791</v>
      </c>
      <c r="H61" s="460" t="str">
        <f>VLOOKUP($D61,HeatExch_from_BP!$P:$AE,2,0)</f>
        <v>Crude Tower Overhead Condenser</v>
      </c>
      <c r="I61" s="783">
        <v>265</v>
      </c>
      <c r="J61" s="460">
        <f>VLOOKUP($D61,HeatExch_from_BP!$P:$AE,16,0)</f>
        <v>265</v>
      </c>
      <c r="K61" s="433"/>
      <c r="L61" s="429"/>
      <c r="M61" s="425"/>
      <c r="N61" s="425"/>
    </row>
    <row r="62" spans="1:14">
      <c r="A62" s="201" t="str">
        <f>VLOOKUP($D62,HeatExch_from_BP!$P:$AE,3,0)</f>
        <v>EZ2112A-N-Win.pdf</v>
      </c>
      <c r="B62" s="200"/>
      <c r="C62" s="430"/>
      <c r="D62" s="730" t="s">
        <v>6256</v>
      </c>
      <c r="E62" s="428"/>
      <c r="F62" s="432" t="s">
        <v>6303</v>
      </c>
      <c r="G62" s="981" t="s">
        <v>10791</v>
      </c>
      <c r="H62" s="460" t="str">
        <f>VLOOKUP($D62,HeatExch_from_BP!$P:$AE,2,0)</f>
        <v>Crude Tower Overhead Condenser</v>
      </c>
      <c r="I62" s="783">
        <v>265</v>
      </c>
      <c r="J62" s="460">
        <f>VLOOKUP($D62,HeatExch_from_BP!$P:$AE,16,0)</f>
        <v>265</v>
      </c>
      <c r="K62" s="433"/>
      <c r="L62" s="429"/>
      <c r="M62" s="425"/>
      <c r="N62" s="425"/>
    </row>
    <row r="63" spans="1:14">
      <c r="A63" s="201" t="str">
        <f>VLOOKUP($D63,HeatExch_from_BP!$P:$AE,3,0)</f>
        <v>EZ2112A-N-Win.pdf</v>
      </c>
      <c r="B63" s="200"/>
      <c r="C63" s="430"/>
      <c r="D63" s="730" t="s">
        <v>6256</v>
      </c>
      <c r="E63" s="428"/>
      <c r="F63" s="432" t="s">
        <v>6300</v>
      </c>
      <c r="G63" s="981" t="s">
        <v>10791</v>
      </c>
      <c r="H63" s="460" t="str">
        <f>VLOOKUP($D63,HeatExch_from_BP!$P:$AE,2,0)</f>
        <v>Crude Tower Overhead Condenser</v>
      </c>
      <c r="I63" s="783">
        <v>265</v>
      </c>
      <c r="J63" s="460">
        <f>VLOOKUP($D63,HeatExch_from_BP!$P:$AE,16,0)</f>
        <v>265</v>
      </c>
      <c r="K63" s="433"/>
      <c r="L63" s="429"/>
      <c r="M63" s="425"/>
      <c r="N63" s="425"/>
    </row>
    <row r="64" spans="1:14">
      <c r="A64" s="201" t="str">
        <f>VLOOKUP($D64,HeatExch_from_BP!$P:$AE,3,0)</f>
        <v>EZ2112A-N-Win.pdf</v>
      </c>
      <c r="B64" s="200"/>
      <c r="C64" s="430"/>
      <c r="D64" s="730" t="s">
        <v>6256</v>
      </c>
      <c r="E64" s="428"/>
      <c r="F64" s="432" t="s">
        <v>6297</v>
      </c>
      <c r="G64" s="981" t="s">
        <v>10791</v>
      </c>
      <c r="H64" s="460" t="str">
        <f>VLOOKUP($D64,HeatExch_from_BP!$P:$AE,2,0)</f>
        <v>Crude Tower Overhead Condenser</v>
      </c>
      <c r="I64" s="783">
        <v>265</v>
      </c>
      <c r="J64" s="460">
        <f>VLOOKUP($D64,HeatExch_from_BP!$P:$AE,16,0)</f>
        <v>265</v>
      </c>
      <c r="K64" s="433"/>
      <c r="L64" s="429"/>
      <c r="M64" s="425"/>
      <c r="N64" s="425"/>
    </row>
    <row r="65" spans="1:14">
      <c r="A65" s="201" t="str">
        <f>VLOOKUP($D65,HeatExch_from_BP!$P:$AE,3,0)</f>
        <v>EZ2112A-N-Win.pdf</v>
      </c>
      <c r="B65" s="200"/>
      <c r="C65" s="430"/>
      <c r="D65" s="730" t="s">
        <v>6256</v>
      </c>
      <c r="E65" s="428"/>
      <c r="F65" s="432" t="s">
        <v>6301</v>
      </c>
      <c r="G65" s="981" t="s">
        <v>10791</v>
      </c>
      <c r="H65" s="460" t="str">
        <f>VLOOKUP($D65,HeatExch_from_BP!$P:$AE,2,0)</f>
        <v>Crude Tower Overhead Condenser</v>
      </c>
      <c r="I65" s="783">
        <v>265</v>
      </c>
      <c r="J65" s="460">
        <f>VLOOKUP($D65,HeatExch_from_BP!$P:$AE,16,0)</f>
        <v>265</v>
      </c>
      <c r="K65" s="433"/>
      <c r="L65" s="429"/>
      <c r="M65" s="425"/>
      <c r="N65" s="425"/>
    </row>
    <row r="66" spans="1:14">
      <c r="A66" s="201" t="str">
        <f>VLOOKUP($D66,HeatExch_from_BP!$P:$AE,3,0)</f>
        <v>EZ2112A-N-Win.pdf</v>
      </c>
      <c r="B66" s="200"/>
      <c r="C66" s="430"/>
      <c r="D66" s="730" t="s">
        <v>6256</v>
      </c>
      <c r="E66" s="428"/>
      <c r="F66" s="432" t="s">
        <v>6290</v>
      </c>
      <c r="G66" s="981" t="s">
        <v>10791</v>
      </c>
      <c r="H66" s="460" t="str">
        <f>VLOOKUP($D66,HeatExch_from_BP!$P:$AE,2,0)</f>
        <v>Crude Tower Overhead Condenser</v>
      </c>
      <c r="I66" s="783">
        <v>265</v>
      </c>
      <c r="J66" s="460">
        <f>VLOOKUP($D66,HeatExch_from_BP!$P:$AE,16,0)</f>
        <v>265</v>
      </c>
      <c r="K66" s="433"/>
      <c r="L66" s="429"/>
      <c r="M66" s="425"/>
      <c r="N66" s="425"/>
    </row>
    <row r="67" spans="1:14">
      <c r="A67" s="201" t="str">
        <f>VLOOKUP($D67,HeatExch_from_BP!$P:$AE,3,0)</f>
        <v>EZ2112A-N-Win.pdf</v>
      </c>
      <c r="B67" s="200"/>
      <c r="C67" s="430"/>
      <c r="D67" s="730" t="s">
        <v>6256</v>
      </c>
      <c r="E67" s="428"/>
      <c r="F67" s="432" t="s">
        <v>6295</v>
      </c>
      <c r="G67" s="981" t="s">
        <v>10791</v>
      </c>
      <c r="H67" s="460" t="str">
        <f>VLOOKUP($D67,HeatExch_from_BP!$P:$AE,2,0)</f>
        <v>Crude Tower Overhead Condenser</v>
      </c>
      <c r="I67" s="783">
        <v>265</v>
      </c>
      <c r="J67" s="460">
        <f>VLOOKUP($D67,HeatExch_from_BP!$P:$AE,16,0)</f>
        <v>265</v>
      </c>
      <c r="K67" s="433"/>
      <c r="L67" s="429"/>
      <c r="M67" s="425"/>
      <c r="N67" s="425"/>
    </row>
    <row r="68" spans="1:14">
      <c r="A68" s="201" t="str">
        <f>VLOOKUP($D68,HeatExch_from_BP!$P:$AE,3,0)</f>
        <v>EZ2112A-N-Win.pdf</v>
      </c>
      <c r="B68" s="200"/>
      <c r="C68" s="430"/>
      <c r="D68" s="730" t="s">
        <v>6256</v>
      </c>
      <c r="E68" s="428"/>
      <c r="F68" s="432" t="s">
        <v>6299</v>
      </c>
      <c r="G68" s="981" t="s">
        <v>10791</v>
      </c>
      <c r="H68" s="460" t="str">
        <f>VLOOKUP($D68,HeatExch_from_BP!$P:$AE,2,0)</f>
        <v>Crude Tower Overhead Condenser</v>
      </c>
      <c r="I68" s="783">
        <v>265</v>
      </c>
      <c r="J68" s="460">
        <f>VLOOKUP($D68,HeatExch_from_BP!$P:$AE,16,0)</f>
        <v>265</v>
      </c>
      <c r="K68" s="433"/>
      <c r="L68" s="429"/>
      <c r="M68" s="425"/>
      <c r="N68" s="425"/>
    </row>
    <row r="69" spans="1:14">
      <c r="A69" s="201" t="str">
        <f>VLOOKUP($D69,HeatExch_from_BP!$P:$AE,3,0)</f>
        <v>EZ2112A-N-Win.pdf</v>
      </c>
      <c r="B69" s="200"/>
      <c r="C69" s="430"/>
      <c r="D69" s="730" t="s">
        <v>6256</v>
      </c>
      <c r="E69" s="428"/>
      <c r="F69" s="432" t="s">
        <v>6296</v>
      </c>
      <c r="G69" s="981" t="s">
        <v>10791</v>
      </c>
      <c r="H69" s="460" t="str">
        <f>VLOOKUP($D69,HeatExch_from_BP!$P:$AE,2,0)</f>
        <v>Crude Tower Overhead Condenser</v>
      </c>
      <c r="I69" s="783">
        <v>265</v>
      </c>
      <c r="J69" s="460">
        <f>VLOOKUP($D69,HeatExch_from_BP!$P:$AE,16,0)</f>
        <v>265</v>
      </c>
      <c r="K69" s="433"/>
      <c r="L69" s="429"/>
      <c r="M69" s="425"/>
      <c r="N69" s="425"/>
    </row>
    <row r="70" spans="1:14">
      <c r="A70" s="201" t="str">
        <f>VLOOKUP($D70,HeatExch_from_BP!$P:$AE,3,0)</f>
        <v>EZ2112A-N-Win.pdf</v>
      </c>
      <c r="B70" s="200"/>
      <c r="C70" s="430"/>
      <c r="D70" s="730" t="s">
        <v>6256</v>
      </c>
      <c r="E70" s="428"/>
      <c r="F70" s="432" t="s">
        <v>6291</v>
      </c>
      <c r="G70" s="981" t="s">
        <v>10791</v>
      </c>
      <c r="H70" s="460" t="str">
        <f>VLOOKUP($D70,HeatExch_from_BP!$P:$AE,2,0)</f>
        <v>Crude Tower Overhead Condenser</v>
      </c>
      <c r="I70" s="783">
        <v>265</v>
      </c>
      <c r="J70" s="460">
        <f>VLOOKUP($D70,HeatExch_from_BP!$P:$AE,16,0)</f>
        <v>265</v>
      </c>
      <c r="K70" s="433"/>
      <c r="L70" s="429"/>
      <c r="M70" s="425"/>
      <c r="N70" s="425"/>
    </row>
    <row r="71" spans="1:14">
      <c r="A71" s="201" t="str">
        <f>VLOOKUP($D71,HeatExch_from_BP!$P:$AE,3,0)</f>
        <v>EZ2113A-B-Win.pdf, 2/5</v>
      </c>
      <c r="B71" s="200"/>
      <c r="C71" s="16"/>
      <c r="D71" s="730" t="s">
        <v>9051</v>
      </c>
      <c r="E71" s="724"/>
      <c r="F71" s="465" t="s">
        <v>8868</v>
      </c>
      <c r="G71" s="981" t="s">
        <v>10792</v>
      </c>
      <c r="H71" s="460" t="str">
        <f>VLOOKUP($D71,HeatExch_from_BP!$P:$AE,2,0)</f>
        <v>Top Pump Around Cooler</v>
      </c>
      <c r="I71" s="783">
        <v>265</v>
      </c>
      <c r="J71" s="460">
        <f>VLOOKUP($D71,HeatExch_from_BP!$P:$AE,16,0)</f>
        <v>265</v>
      </c>
      <c r="K71" s="614"/>
      <c r="L71" s="610"/>
    </row>
    <row r="72" spans="1:14">
      <c r="A72" s="201" t="str">
        <f>VLOOKUP($D72,HeatExch_from_BP!$P:$AE,3,0)</f>
        <v>EZ2113A-B-Win.pdf, 2/5</v>
      </c>
      <c r="B72" s="200"/>
      <c r="C72" s="16"/>
      <c r="D72" s="730" t="s">
        <v>9051</v>
      </c>
      <c r="E72" s="724"/>
      <c r="F72" s="465" t="s">
        <v>8806</v>
      </c>
      <c r="G72" s="981" t="s">
        <v>10792</v>
      </c>
      <c r="H72" s="460" t="str">
        <f>VLOOKUP($D72,HeatExch_from_BP!$P:$AE,2,0)</f>
        <v>Top Pump Around Cooler</v>
      </c>
      <c r="I72" s="783">
        <v>265</v>
      </c>
      <c r="J72" s="460">
        <f>VLOOKUP($D72,HeatExch_from_BP!$P:$AE,16,0)</f>
        <v>265</v>
      </c>
      <c r="K72" s="614"/>
      <c r="L72" s="610"/>
    </row>
    <row r="73" spans="1:14">
      <c r="A73" s="201" t="str">
        <f>VLOOKUP($D73,HeatExch_from_BP!$P:$AE,3,0)</f>
        <v>EZ2116A-C-Win.pdf</v>
      </c>
      <c r="B73" s="200"/>
      <c r="C73" s="16"/>
      <c r="D73" s="730" t="s">
        <v>9052</v>
      </c>
      <c r="E73" s="724"/>
      <c r="F73" s="465" t="s">
        <v>8826</v>
      </c>
      <c r="G73" s="981" t="s">
        <v>10793</v>
      </c>
      <c r="H73" s="460" t="str">
        <f>VLOOKUP($D73,HeatExch_from_BP!$P:$AE,2,0)</f>
        <v>Dry LGO Air Cooler</v>
      </c>
      <c r="I73" s="783">
        <v>265</v>
      </c>
      <c r="J73" s="460">
        <f>VLOOKUP($D73,HeatExch_from_BP!$P:$AE,16,0)</f>
        <v>265</v>
      </c>
      <c r="K73" s="614"/>
      <c r="L73" s="610"/>
    </row>
    <row r="74" spans="1:14">
      <c r="A74" s="201" t="str">
        <f>VLOOKUP($D74,HeatExch_from_BP!$P:$AE,3,0)</f>
        <v>EZ2116A-C-Win.pdf</v>
      </c>
      <c r="B74" s="200"/>
      <c r="C74" s="16"/>
      <c r="D74" s="730" t="s">
        <v>9052</v>
      </c>
      <c r="E74" s="724"/>
      <c r="F74" s="465" t="s">
        <v>8817</v>
      </c>
      <c r="G74" s="981" t="s">
        <v>10793</v>
      </c>
      <c r="H74" s="460" t="str">
        <f>VLOOKUP($D74,HeatExch_from_BP!$P:$AE,2,0)</f>
        <v>Dry LGO Air Cooler</v>
      </c>
      <c r="I74" s="783">
        <v>265</v>
      </c>
      <c r="J74" s="460">
        <f>VLOOKUP($D74,HeatExch_from_BP!$P:$AE,16,0)</f>
        <v>265</v>
      </c>
      <c r="K74" s="614"/>
      <c r="L74" s="610"/>
    </row>
    <row r="75" spans="1:14">
      <c r="A75" s="201" t="str">
        <f>VLOOKUP($D75,HeatExch_from_BP!$P:$AE,3,0)</f>
        <v>EZ2116A-C-Win.pdf</v>
      </c>
      <c r="B75" s="200"/>
      <c r="C75" s="16"/>
      <c r="D75" s="730" t="s">
        <v>9052</v>
      </c>
      <c r="E75" s="724"/>
      <c r="F75" s="465" t="s">
        <v>8813</v>
      </c>
      <c r="G75" s="981" t="s">
        <v>10793</v>
      </c>
      <c r="H75" s="460" t="str">
        <f>VLOOKUP($D75,HeatExch_from_BP!$P:$AE,2,0)</f>
        <v>Dry LGO Air Cooler</v>
      </c>
      <c r="I75" s="783">
        <v>265</v>
      </c>
      <c r="J75" s="460">
        <f>VLOOKUP($D75,HeatExch_from_BP!$P:$AE,16,0)</f>
        <v>265</v>
      </c>
      <c r="K75" s="614"/>
      <c r="L75" s="610"/>
    </row>
    <row r="76" spans="1:14">
      <c r="A76" s="201" t="str">
        <f>VLOOKUP($D76,HeatExch_from_BP!$P:$AE,3,0)</f>
        <v>EZ2117A-C-Win.pdf</v>
      </c>
      <c r="B76" s="200"/>
      <c r="C76" s="16"/>
      <c r="D76" s="730" t="s">
        <v>9053</v>
      </c>
      <c r="E76" s="724"/>
      <c r="F76" s="465" t="s">
        <v>8812</v>
      </c>
      <c r="G76" s="981" t="s">
        <v>10794</v>
      </c>
      <c r="H76" s="460" t="str">
        <f>VLOOKUP($D76,HeatExch_from_BP!$P:$AE,2,0)</f>
        <v>Dry Heavy Gas Oil Air Cooler</v>
      </c>
      <c r="I76" s="783">
        <v>265</v>
      </c>
      <c r="J76" s="460">
        <f>VLOOKUP($D76,HeatExch_from_BP!$P:$AE,16,0)</f>
        <v>265</v>
      </c>
      <c r="K76" s="614"/>
      <c r="L76" s="610"/>
    </row>
    <row r="77" spans="1:14">
      <c r="A77" s="201" t="str">
        <f>VLOOKUP($D77,HeatExch_from_BP!$P:$AE,3,0)</f>
        <v>EZ2117A-C-Win.pdf</v>
      </c>
      <c r="B77" s="200"/>
      <c r="C77" s="16"/>
      <c r="D77" s="730" t="s">
        <v>9053</v>
      </c>
      <c r="E77" s="724"/>
      <c r="F77" s="465" t="s">
        <v>8821</v>
      </c>
      <c r="G77" s="981" t="s">
        <v>10794</v>
      </c>
      <c r="H77" s="460" t="str">
        <f>VLOOKUP($D77,HeatExch_from_BP!$P:$AE,2,0)</f>
        <v>Dry Heavy Gas Oil Air Cooler</v>
      </c>
      <c r="I77" s="783">
        <v>265</v>
      </c>
      <c r="J77" s="460">
        <f>VLOOKUP($D77,HeatExch_from_BP!$P:$AE,16,0)</f>
        <v>265</v>
      </c>
      <c r="K77" s="614"/>
      <c r="L77" s="610"/>
    </row>
    <row r="78" spans="1:14">
      <c r="A78" s="201" t="str">
        <f>VLOOKUP($D78,HeatExch_from_BP!$P:$AE,3,0)</f>
        <v>EZ2117A-C-Win.pdf</v>
      </c>
      <c r="B78" s="200"/>
      <c r="C78" s="16"/>
      <c r="D78" s="730" t="s">
        <v>9053</v>
      </c>
      <c r="E78" s="724"/>
      <c r="F78" s="465" t="s">
        <v>8824</v>
      </c>
      <c r="G78" s="981" t="s">
        <v>10794</v>
      </c>
      <c r="H78" s="460" t="str">
        <f>VLOOKUP($D78,HeatExch_from_BP!$P:$AE,2,0)</f>
        <v>Dry Heavy Gas Oil Air Cooler</v>
      </c>
      <c r="I78" s="783">
        <v>265</v>
      </c>
      <c r="J78" s="460">
        <f>VLOOKUP($D78,HeatExch_from_BP!$P:$AE,16,0)</f>
        <v>265</v>
      </c>
      <c r="K78" s="614"/>
      <c r="L78" s="610"/>
    </row>
    <row r="79" spans="1:14">
      <c r="A79" s="201" t="str">
        <f>VLOOKUP($D79,HeatExch_from_BP!$P:$AE,3,0)</f>
        <v>EZ2120A-F-Win.pdf, 2/14</v>
      </c>
      <c r="B79" s="200"/>
      <c r="C79" s="16"/>
      <c r="D79" s="730" t="s">
        <v>9055</v>
      </c>
      <c r="E79" s="724"/>
      <c r="F79" s="465" t="s">
        <v>8808</v>
      </c>
      <c r="G79" s="981" t="s">
        <v>10795</v>
      </c>
      <c r="H79" s="460" t="str">
        <f>VLOOKUP($D79,HeatExch_from_BP!$P:$AE,2,0)</f>
        <v>Residue Tempered Water Cooler</v>
      </c>
      <c r="I79" s="783">
        <v>265</v>
      </c>
      <c r="J79" s="460">
        <f>VLOOKUP($D79,HeatExch_from_BP!$P:$AE,16,0)</f>
        <v>265</v>
      </c>
      <c r="K79" s="614"/>
      <c r="L79" s="610"/>
    </row>
    <row r="80" spans="1:14">
      <c r="A80" s="201" t="str">
        <f>VLOOKUP($D80,HeatExch_from_BP!$P:$AE,3,0)</f>
        <v>EZ2120A-F-Win.pdf, 2/14</v>
      </c>
      <c r="B80" s="200"/>
      <c r="C80" s="16"/>
      <c r="D80" s="730" t="s">
        <v>9055</v>
      </c>
      <c r="E80" s="724"/>
      <c r="F80" s="465" t="s">
        <v>8807</v>
      </c>
      <c r="G80" s="981" t="s">
        <v>10795</v>
      </c>
      <c r="H80" s="460" t="str">
        <f>VLOOKUP($D80,HeatExch_from_BP!$P:$AE,2,0)</f>
        <v>Residue Tempered Water Cooler</v>
      </c>
      <c r="I80" s="783">
        <v>265</v>
      </c>
      <c r="J80" s="460">
        <f>VLOOKUP($D80,HeatExch_from_BP!$P:$AE,16,0)</f>
        <v>265</v>
      </c>
      <c r="K80" s="614"/>
      <c r="L80" s="610"/>
    </row>
    <row r="81" spans="1:14">
      <c r="A81" s="201" t="str">
        <f>VLOOKUP($D81,HeatExch_from_BP!$P:$AE,3,0)</f>
        <v>EZ2120A-F-Win.pdf, 2/14</v>
      </c>
      <c r="B81" s="200"/>
      <c r="C81" s="16"/>
      <c r="D81" s="730" t="s">
        <v>9054</v>
      </c>
      <c r="E81" s="724"/>
      <c r="F81" s="465" t="s">
        <v>8809</v>
      </c>
      <c r="G81" s="981" t="s">
        <v>10795</v>
      </c>
      <c r="H81" s="460" t="str">
        <f>VLOOKUP($D81,HeatExch_from_BP!$P:$AE,2,0)</f>
        <v>Residue Tempered Water Cooler</v>
      </c>
      <c r="I81" s="783">
        <v>265</v>
      </c>
      <c r="J81" s="460">
        <f>VLOOKUP($D81,HeatExch_from_BP!$P:$AE,16,0)</f>
        <v>265</v>
      </c>
      <c r="K81" s="614"/>
      <c r="L81" s="610"/>
    </row>
    <row r="82" spans="1:14">
      <c r="A82" s="201" t="str">
        <f>VLOOKUP($D82,HeatExch_from_BP!$P:$AE,3,0)</f>
        <v>EZ2120A-F-Win.pdf, 2/14</v>
      </c>
      <c r="B82" s="200"/>
      <c r="C82" s="16"/>
      <c r="D82" s="730" t="s">
        <v>9054</v>
      </c>
      <c r="E82" s="724"/>
      <c r="F82" s="465" t="s">
        <v>8825</v>
      </c>
      <c r="G82" s="981" t="s">
        <v>10795</v>
      </c>
      <c r="H82" s="460" t="str">
        <f>VLOOKUP($D82,HeatExch_from_BP!$P:$AE,2,0)</f>
        <v>Residue Tempered Water Cooler</v>
      </c>
      <c r="I82" s="783">
        <v>265</v>
      </c>
      <c r="J82" s="460">
        <f>VLOOKUP($D82,HeatExch_from_BP!$P:$AE,16,0)</f>
        <v>265</v>
      </c>
      <c r="K82" s="614"/>
      <c r="L82" s="610"/>
    </row>
    <row r="83" spans="1:14">
      <c r="A83" s="201" t="str">
        <f>VLOOKUP($D83,HeatExch_from_BP!$P:$AE,3,0)</f>
        <v>EZ2120A-F-Win.pdf, 2/14</v>
      </c>
      <c r="B83" s="200"/>
      <c r="C83" s="16"/>
      <c r="D83" s="730" t="s">
        <v>9054</v>
      </c>
      <c r="E83" s="724"/>
      <c r="F83" s="465" t="s">
        <v>8815</v>
      </c>
      <c r="G83" s="981" t="s">
        <v>10795</v>
      </c>
      <c r="H83" s="460" t="str">
        <f>VLOOKUP($D83,HeatExch_from_BP!$P:$AE,2,0)</f>
        <v>Residue Tempered Water Cooler</v>
      </c>
      <c r="I83" s="783">
        <v>265</v>
      </c>
      <c r="J83" s="460">
        <f>VLOOKUP($D83,HeatExch_from_BP!$P:$AE,16,0)</f>
        <v>265</v>
      </c>
      <c r="K83" s="614"/>
      <c r="L83" s="610"/>
    </row>
    <row r="84" spans="1:14" ht="12.75" customHeight="1">
      <c r="A84" s="201" t="str">
        <f>VLOOKUP($D84,HeatExch_from_BP!$P:$AE,3,0)</f>
        <v>EZ2120A-F-Win.pdf, 2/14</v>
      </c>
      <c r="B84" s="200"/>
      <c r="C84" s="16"/>
      <c r="D84" s="730" t="s">
        <v>9054</v>
      </c>
      <c r="E84" s="724"/>
      <c r="F84" s="465" t="s">
        <v>8823</v>
      </c>
      <c r="G84" s="981" t="s">
        <v>10795</v>
      </c>
      <c r="H84" s="460" t="str">
        <f>VLOOKUP($D84,HeatExch_from_BP!$P:$AE,2,0)</f>
        <v>Residue Tempered Water Cooler</v>
      </c>
      <c r="I84" s="783">
        <v>265</v>
      </c>
      <c r="J84" s="460">
        <f>VLOOKUP($D84,HeatExch_from_BP!$P:$AE,16,0)</f>
        <v>265</v>
      </c>
      <c r="K84" s="614"/>
      <c r="L84" s="610"/>
    </row>
    <row r="85" spans="1:14" ht="12.75" customHeight="1">
      <c r="A85" s="201" t="str">
        <f>VLOOKUP($D85,HeatExch_from_BP!$P:$AE,3,0)</f>
        <v>EZ2152A-F-Win.pdf, 2/14</v>
      </c>
      <c r="B85" s="200"/>
      <c r="C85" s="430"/>
      <c r="D85" s="431" t="s">
        <v>6276</v>
      </c>
      <c r="E85" s="428"/>
      <c r="F85" s="432" t="s">
        <v>6277</v>
      </c>
      <c r="G85" s="981" t="s">
        <v>10796</v>
      </c>
      <c r="H85" s="460" t="str">
        <f>VLOOKUP($D85,HeatExch_from_BP!$P:$AE,2,0)</f>
        <v>Reactor Effluent Cooler</v>
      </c>
      <c r="I85" s="783">
        <v>274</v>
      </c>
      <c r="J85" s="460">
        <f>VLOOKUP($D85,HeatExch_from_BP!$P:$AE,16,0)</f>
        <v>274</v>
      </c>
      <c r="K85" s="433"/>
      <c r="L85" s="429"/>
      <c r="M85" s="427"/>
      <c r="N85" s="427"/>
    </row>
    <row r="86" spans="1:14" ht="12.75" customHeight="1">
      <c r="A86" s="201" t="str">
        <f>VLOOKUP($D86,HeatExch_from_BP!$P:$AE,3,0)</f>
        <v>EZ2152A-F-Win.pdf, 2/14</v>
      </c>
      <c r="B86" s="200"/>
      <c r="C86" s="430"/>
      <c r="D86" s="730" t="s">
        <v>6276</v>
      </c>
      <c r="E86" s="428"/>
      <c r="F86" s="432" t="s">
        <v>6278</v>
      </c>
      <c r="G86" s="981" t="s">
        <v>10796</v>
      </c>
      <c r="H86" s="460" t="str">
        <f>VLOOKUP($D86,HeatExch_from_BP!$P:$AE,2,0)</f>
        <v>Reactor Effluent Cooler</v>
      </c>
      <c r="I86" s="783">
        <v>274</v>
      </c>
      <c r="J86" s="460">
        <f>VLOOKUP($D86,HeatExch_from_BP!$P:$AE,16,0)</f>
        <v>274</v>
      </c>
      <c r="K86" s="433"/>
      <c r="L86" s="429"/>
      <c r="M86" s="427"/>
      <c r="N86" s="427"/>
    </row>
    <row r="87" spans="1:14" ht="12.75" customHeight="1">
      <c r="A87" s="201" t="str">
        <f>VLOOKUP($D87,HeatExch_from_BP!$P:$AE,3,0)</f>
        <v>EZ2152A-F-Win.pdf, 2/14</v>
      </c>
      <c r="B87" s="200"/>
      <c r="C87" s="430"/>
      <c r="D87" s="730" t="s">
        <v>6276</v>
      </c>
      <c r="E87" s="428"/>
      <c r="F87" s="432" t="s">
        <v>6281</v>
      </c>
      <c r="G87" s="981" t="s">
        <v>10796</v>
      </c>
      <c r="H87" s="460" t="str">
        <f>VLOOKUP($D87,HeatExch_from_BP!$P:$AE,2,0)</f>
        <v>Reactor Effluent Cooler</v>
      </c>
      <c r="I87" s="783">
        <v>274</v>
      </c>
      <c r="J87" s="460">
        <f>VLOOKUP($D87,HeatExch_from_BP!$P:$AE,16,0)</f>
        <v>274</v>
      </c>
      <c r="K87" s="433"/>
      <c r="L87" s="429"/>
      <c r="M87" s="427"/>
      <c r="N87" s="427"/>
    </row>
    <row r="88" spans="1:14" ht="12.75" customHeight="1">
      <c r="A88" s="201" t="str">
        <f>VLOOKUP($D88,HeatExch_from_BP!$P:$AE,3,0)</f>
        <v>EZ2152A-F-Win.pdf, 2/14</v>
      </c>
      <c r="B88" s="200"/>
      <c r="C88" s="430"/>
      <c r="D88" s="730" t="s">
        <v>6276</v>
      </c>
      <c r="E88" s="428"/>
      <c r="F88" s="432" t="s">
        <v>6275</v>
      </c>
      <c r="G88" s="981" t="s">
        <v>10796</v>
      </c>
      <c r="H88" s="460" t="str">
        <f>VLOOKUP($D88,HeatExch_from_BP!$P:$AE,2,0)</f>
        <v>Reactor Effluent Cooler</v>
      </c>
      <c r="I88" s="783">
        <v>274</v>
      </c>
      <c r="J88" s="460">
        <f>VLOOKUP($D88,HeatExch_from_BP!$P:$AE,16,0)</f>
        <v>274</v>
      </c>
      <c r="K88" s="433"/>
      <c r="L88" s="429"/>
      <c r="M88" s="427"/>
      <c r="N88" s="427"/>
    </row>
    <row r="89" spans="1:14" ht="12.75" customHeight="1">
      <c r="A89" s="201" t="str">
        <f>VLOOKUP($D89,HeatExch_from_BP!$P:$AE,3,0)</f>
        <v>EZ2152A-F-Win.pdf, 2/14</v>
      </c>
      <c r="B89" s="200"/>
      <c r="C89" s="430"/>
      <c r="D89" s="730" t="s">
        <v>6276</v>
      </c>
      <c r="E89" s="428"/>
      <c r="F89" s="432" t="s">
        <v>6279</v>
      </c>
      <c r="G89" s="981" t="s">
        <v>10796</v>
      </c>
      <c r="H89" s="460" t="str">
        <f>VLOOKUP($D89,HeatExch_from_BP!$P:$AE,2,0)</f>
        <v>Reactor Effluent Cooler</v>
      </c>
      <c r="I89" s="783">
        <v>274</v>
      </c>
      <c r="J89" s="460">
        <f>VLOOKUP($D89,HeatExch_from_BP!$P:$AE,16,0)</f>
        <v>274</v>
      </c>
      <c r="K89" s="433"/>
      <c r="L89" s="429"/>
      <c r="M89" s="427"/>
      <c r="N89" s="427"/>
    </row>
    <row r="90" spans="1:14" ht="12.75" customHeight="1">
      <c r="A90" s="201" t="str">
        <f>VLOOKUP($D90,HeatExch_from_BP!$P:$AE,3,0)</f>
        <v>EZ2152A-F-Win.pdf, 2/14</v>
      </c>
      <c r="B90" s="200"/>
      <c r="C90" s="430"/>
      <c r="D90" s="730" t="s">
        <v>6276</v>
      </c>
      <c r="E90" s="428"/>
      <c r="F90" s="432" t="s">
        <v>6280</v>
      </c>
      <c r="G90" s="981" t="s">
        <v>10796</v>
      </c>
      <c r="H90" s="460" t="str">
        <f>VLOOKUP($D90,HeatExch_from_BP!$P:$AE,2,0)</f>
        <v>Reactor Effluent Cooler</v>
      </c>
      <c r="I90" s="783">
        <v>274</v>
      </c>
      <c r="J90" s="460">
        <f>VLOOKUP($D90,HeatExch_from_BP!$P:$AE,16,0)</f>
        <v>274</v>
      </c>
      <c r="K90" s="433"/>
      <c r="L90" s="429"/>
      <c r="M90" s="427"/>
      <c r="N90" s="427"/>
    </row>
    <row r="91" spans="1:14" ht="12.75" customHeight="1">
      <c r="A91" s="201" t="str">
        <f>VLOOKUP($D91,HeatExch_from_BP!$P:$AE,3,0)</f>
        <v>EZ2204A-F-Win.pdf, 2/14</v>
      </c>
      <c r="B91" s="200"/>
      <c r="C91" s="430"/>
      <c r="D91" s="431" t="s">
        <v>6258</v>
      </c>
      <c r="E91" s="428"/>
      <c r="F91" s="432" t="s">
        <v>6308</v>
      </c>
      <c r="G91" s="981" t="s">
        <v>10797</v>
      </c>
      <c r="H91" s="460" t="str">
        <f>VLOOKUP($D91,HeatExch_from_BP!$P:$AE,2,0)</f>
        <v>Stabilizer Overhead Condenser</v>
      </c>
      <c r="I91" s="783">
        <v>265</v>
      </c>
      <c r="J91" s="460">
        <f>VLOOKUP($D91,HeatExch_from_BP!$P:$AE,16,0)</f>
        <v>265</v>
      </c>
      <c r="K91" s="433"/>
      <c r="L91" s="429"/>
      <c r="M91" s="425"/>
      <c r="N91" s="425"/>
    </row>
    <row r="92" spans="1:14">
      <c r="A92" s="201" t="str">
        <f>VLOOKUP($D92,HeatExch_from_BP!$P:$AE,3,0)</f>
        <v>EZ2204A-F-Win.pdf, 2/14</v>
      </c>
      <c r="B92" s="200"/>
      <c r="C92" s="430"/>
      <c r="D92" s="431" t="s">
        <v>6258</v>
      </c>
      <c r="E92" s="428"/>
      <c r="F92" s="432" t="s">
        <v>6309</v>
      </c>
      <c r="G92" s="981" t="s">
        <v>10797</v>
      </c>
      <c r="H92" s="460" t="str">
        <f>VLOOKUP($D92,HeatExch_from_BP!$P:$AE,2,0)</f>
        <v>Stabilizer Overhead Condenser</v>
      </c>
      <c r="I92" s="783">
        <v>265</v>
      </c>
      <c r="J92" s="460">
        <f>VLOOKUP($D92,HeatExch_from_BP!$P:$AE,16,0)</f>
        <v>265</v>
      </c>
      <c r="K92" s="433"/>
      <c r="L92" s="429"/>
      <c r="M92" s="425"/>
      <c r="N92" s="425"/>
    </row>
    <row r="93" spans="1:14">
      <c r="A93" s="201" t="str">
        <f>VLOOKUP($D93,HeatExch_from_BP!$P:$AE,3,0)</f>
        <v>EZ2204A-F-Win.pdf, 2/14</v>
      </c>
      <c r="B93" s="200"/>
      <c r="C93" s="430"/>
      <c r="D93" s="431" t="s">
        <v>6258</v>
      </c>
      <c r="E93" s="428"/>
      <c r="F93" s="432" t="s">
        <v>6310</v>
      </c>
      <c r="G93" s="981" t="s">
        <v>10797</v>
      </c>
      <c r="H93" s="460" t="str">
        <f>VLOOKUP($D93,HeatExch_from_BP!$P:$AE,2,0)</f>
        <v>Stabilizer Overhead Condenser</v>
      </c>
      <c r="I93" s="783">
        <v>265</v>
      </c>
      <c r="J93" s="460">
        <f>VLOOKUP($D93,HeatExch_from_BP!$P:$AE,16,0)</f>
        <v>265</v>
      </c>
      <c r="K93" s="433"/>
      <c r="L93" s="429"/>
      <c r="M93" s="425"/>
      <c r="N93" s="425"/>
    </row>
    <row r="94" spans="1:14">
      <c r="A94" s="201" t="str">
        <f>VLOOKUP($D94,HeatExch_from_BP!$P:$AE,3,0)</f>
        <v>EZ2204A-F-Win.pdf, 2/14</v>
      </c>
      <c r="B94" s="200"/>
      <c r="C94" s="430"/>
      <c r="D94" s="431" t="s">
        <v>6258</v>
      </c>
      <c r="E94" s="428"/>
      <c r="F94" s="432" t="s">
        <v>6311</v>
      </c>
      <c r="G94" s="981" t="s">
        <v>10797</v>
      </c>
      <c r="H94" s="460" t="str">
        <f>VLOOKUP($D94,HeatExch_from_BP!$P:$AE,2,0)</f>
        <v>Stabilizer Overhead Condenser</v>
      </c>
      <c r="I94" s="783">
        <v>265</v>
      </c>
      <c r="J94" s="460">
        <f>VLOOKUP($D94,HeatExch_from_BP!$P:$AE,16,0)</f>
        <v>265</v>
      </c>
      <c r="K94" s="433"/>
      <c r="L94" s="429"/>
      <c r="M94" s="425"/>
      <c r="N94" s="425"/>
    </row>
    <row r="95" spans="1:14">
      <c r="A95" s="201" t="str">
        <f>VLOOKUP($D95,HeatExch_from_BP!$P:$AE,3,0)</f>
        <v>EZ2204A-F-Win.pdf, 2/14</v>
      </c>
      <c r="B95" s="200"/>
      <c r="C95" s="430"/>
      <c r="D95" s="431" t="s">
        <v>6258</v>
      </c>
      <c r="E95" s="428"/>
      <c r="F95" s="432" t="s">
        <v>6312</v>
      </c>
      <c r="G95" s="981" t="s">
        <v>10797</v>
      </c>
      <c r="H95" s="460" t="str">
        <f>VLOOKUP($D95,HeatExch_from_BP!$P:$AE,2,0)</f>
        <v>Stabilizer Overhead Condenser</v>
      </c>
      <c r="I95" s="783">
        <v>265</v>
      </c>
      <c r="J95" s="460">
        <f>VLOOKUP($D95,HeatExch_from_BP!$P:$AE,16,0)</f>
        <v>265</v>
      </c>
      <c r="K95" s="433"/>
      <c r="L95" s="429"/>
      <c r="M95" s="425"/>
      <c r="N95" s="425"/>
    </row>
    <row r="96" spans="1:14">
      <c r="A96" s="201" t="str">
        <f>VLOOKUP($D96,HeatExch_from_BP!$P:$AE,3,0)</f>
        <v>EZ2204A-F-Win.pdf, 2/14</v>
      </c>
      <c r="B96" s="200"/>
      <c r="C96" s="430"/>
      <c r="D96" s="431" t="s">
        <v>6258</v>
      </c>
      <c r="E96" s="428"/>
      <c r="F96" s="432" t="s">
        <v>6313</v>
      </c>
      <c r="G96" s="981" t="s">
        <v>10797</v>
      </c>
      <c r="H96" s="460" t="str">
        <f>VLOOKUP($D96,HeatExch_from_BP!$P:$AE,2,0)</f>
        <v>Stabilizer Overhead Condenser</v>
      </c>
      <c r="I96" s="783">
        <v>265</v>
      </c>
      <c r="J96" s="460">
        <f>VLOOKUP($D96,HeatExch_from_BP!$P:$AE,16,0)</f>
        <v>265</v>
      </c>
      <c r="K96" s="433"/>
      <c r="L96" s="429"/>
      <c r="M96" s="425"/>
      <c r="N96" s="425"/>
    </row>
    <row r="97" spans="1:12" s="184" customFormat="1">
      <c r="A97" s="201" t="str">
        <f>VLOOKUP($D97,HeatExch_from_BP!$P:$AE,3,0)</f>
        <v>EZ2206A-T-Win, p1</v>
      </c>
      <c r="B97" s="200"/>
      <c r="C97" s="197"/>
      <c r="D97" s="198" t="s">
        <v>6127</v>
      </c>
      <c r="E97" s="724"/>
      <c r="F97" s="465" t="s">
        <v>6128</v>
      </c>
      <c r="G97" s="981" t="s">
        <v>10798</v>
      </c>
      <c r="H97" s="460" t="str">
        <f>VLOOKUP($D97,HeatExch_from_BP!$P:$AE,2,0)</f>
        <v>Splitter Overhead Condenser</v>
      </c>
      <c r="I97" s="783">
        <v>245</v>
      </c>
      <c r="J97" s="460">
        <f>VLOOKUP($D97,HeatExch_from_BP!$P:$AE,16,0)</f>
        <v>245</v>
      </c>
      <c r="K97" s="194"/>
      <c r="L97" s="193"/>
    </row>
    <row r="98" spans="1:12">
      <c r="A98" s="201" t="str">
        <f>VLOOKUP($D98,HeatExch_from_BP!$P:$AE,3,0)</f>
        <v>EZ2206A-T-Win, p1</v>
      </c>
      <c r="B98" s="200"/>
      <c r="C98" s="16"/>
      <c r="D98" s="198" t="s">
        <v>6127</v>
      </c>
      <c r="E98" s="724"/>
      <c r="F98" s="465" t="s">
        <v>6107</v>
      </c>
      <c r="G98" s="981" t="s">
        <v>10798</v>
      </c>
      <c r="H98" s="460" t="str">
        <f>VLOOKUP($D98,HeatExch_from_BP!$P:$AE,2,0)</f>
        <v>Splitter Overhead Condenser</v>
      </c>
      <c r="I98" s="783">
        <v>245</v>
      </c>
      <c r="J98" s="460">
        <f>VLOOKUP($D98,HeatExch_from_BP!$P:$AE,16,0)</f>
        <v>245</v>
      </c>
      <c r="K98" s="194"/>
      <c r="L98" s="193"/>
    </row>
    <row r="99" spans="1:12">
      <c r="A99" s="201" t="str">
        <f>VLOOKUP($D99,HeatExch_from_BP!$P:$AE,3,0)</f>
        <v>EZ2206A-T-Win, p1</v>
      </c>
      <c r="B99" s="200"/>
      <c r="C99" s="16"/>
      <c r="D99" s="198" t="s">
        <v>6126</v>
      </c>
      <c r="E99" s="724"/>
      <c r="F99" s="465" t="s">
        <v>6108</v>
      </c>
      <c r="G99" s="981" t="s">
        <v>10798</v>
      </c>
      <c r="H99" s="460" t="str">
        <f>VLOOKUP($D99,HeatExch_from_BP!$P:$AE,2,0)</f>
        <v>Splitter Overhead Condenser</v>
      </c>
      <c r="I99" s="783">
        <v>245</v>
      </c>
      <c r="J99" s="460">
        <f>VLOOKUP($D99,HeatExch_from_BP!$P:$AE,16,0)</f>
        <v>245</v>
      </c>
      <c r="K99" s="194"/>
      <c r="L99" s="193"/>
    </row>
    <row r="100" spans="1:12">
      <c r="A100" s="201" t="str">
        <f>VLOOKUP($D100,HeatExch_from_BP!$P:$AE,3,0)</f>
        <v>EZ2206A-T-Win, p1</v>
      </c>
      <c r="B100" s="200"/>
      <c r="C100" s="16"/>
      <c r="D100" s="198" t="s">
        <v>6126</v>
      </c>
      <c r="E100" s="724"/>
      <c r="F100" s="465" t="s">
        <v>6109</v>
      </c>
      <c r="G100" s="981" t="s">
        <v>10798</v>
      </c>
      <c r="H100" s="460" t="str">
        <f>VLOOKUP($D100,HeatExch_from_BP!$P:$AE,2,0)</f>
        <v>Splitter Overhead Condenser</v>
      </c>
      <c r="I100" s="783">
        <v>245</v>
      </c>
      <c r="J100" s="460">
        <f>VLOOKUP($D100,HeatExch_from_BP!$P:$AE,16,0)</f>
        <v>245</v>
      </c>
      <c r="K100" s="194"/>
      <c r="L100" s="193"/>
    </row>
    <row r="101" spans="1:12">
      <c r="A101" s="201" t="str">
        <f>VLOOKUP($D101,HeatExch_from_BP!$P:$AE,3,0)</f>
        <v>EZ2206A-T-Win, p1</v>
      </c>
      <c r="B101" s="200"/>
      <c r="C101" s="16"/>
      <c r="D101" s="198" t="s">
        <v>6126</v>
      </c>
      <c r="E101" s="724"/>
      <c r="F101" s="465" t="s">
        <v>6110</v>
      </c>
      <c r="G101" s="981" t="s">
        <v>10798</v>
      </c>
      <c r="H101" s="460" t="str">
        <f>VLOOKUP($D101,HeatExch_from_BP!$P:$AE,2,0)</f>
        <v>Splitter Overhead Condenser</v>
      </c>
      <c r="I101" s="783">
        <v>245</v>
      </c>
      <c r="J101" s="460">
        <f>VLOOKUP($D101,HeatExch_from_BP!$P:$AE,16,0)</f>
        <v>245</v>
      </c>
      <c r="K101" s="194"/>
      <c r="L101" s="193"/>
    </row>
    <row r="102" spans="1:12">
      <c r="A102" s="201" t="str">
        <f>VLOOKUP($D102,HeatExch_from_BP!$P:$AE,3,0)</f>
        <v>EZ2206A-T-Win, p1</v>
      </c>
      <c r="B102" s="200"/>
      <c r="C102" s="16"/>
      <c r="D102" s="198" t="s">
        <v>6126</v>
      </c>
      <c r="E102" s="724"/>
      <c r="F102" s="465" t="s">
        <v>6111</v>
      </c>
      <c r="G102" s="981" t="s">
        <v>10798</v>
      </c>
      <c r="H102" s="460" t="str">
        <f>VLOOKUP($D102,HeatExch_from_BP!$P:$AE,2,0)</f>
        <v>Splitter Overhead Condenser</v>
      </c>
      <c r="I102" s="783">
        <v>245</v>
      </c>
      <c r="J102" s="460">
        <f>VLOOKUP($D102,HeatExch_from_BP!$P:$AE,16,0)</f>
        <v>245</v>
      </c>
      <c r="K102" s="194"/>
      <c r="L102" s="193"/>
    </row>
    <row r="103" spans="1:12">
      <c r="A103" s="201" t="str">
        <f>VLOOKUP($D103,HeatExch_from_BP!$P:$AE,3,0)</f>
        <v>EZ2206A-T-Win, p1</v>
      </c>
      <c r="B103" s="200"/>
      <c r="C103" s="16"/>
      <c r="D103" s="198" t="s">
        <v>6126</v>
      </c>
      <c r="E103" s="724"/>
      <c r="F103" s="465" t="s">
        <v>6112</v>
      </c>
      <c r="G103" s="981" t="s">
        <v>10798</v>
      </c>
      <c r="H103" s="460" t="str">
        <f>VLOOKUP($D103,HeatExch_from_BP!$P:$AE,2,0)</f>
        <v>Splitter Overhead Condenser</v>
      </c>
      <c r="I103" s="783">
        <v>245</v>
      </c>
      <c r="J103" s="460">
        <f>VLOOKUP($D103,HeatExch_from_BP!$P:$AE,16,0)</f>
        <v>245</v>
      </c>
      <c r="K103" s="194"/>
      <c r="L103" s="193"/>
    </row>
    <row r="104" spans="1:12">
      <c r="A104" s="201" t="str">
        <f>VLOOKUP($D104,HeatExch_from_BP!$P:$AE,3,0)</f>
        <v>EZ2206A-T-Win, p1</v>
      </c>
      <c r="B104" s="200"/>
      <c r="C104" s="16"/>
      <c r="D104" s="198" t="s">
        <v>6126</v>
      </c>
      <c r="E104" s="724"/>
      <c r="F104" s="465" t="s">
        <v>6113</v>
      </c>
      <c r="G104" s="981" t="s">
        <v>10798</v>
      </c>
      <c r="H104" s="460" t="str">
        <f>VLOOKUP($D104,HeatExch_from_BP!$P:$AE,2,0)</f>
        <v>Splitter Overhead Condenser</v>
      </c>
      <c r="I104" s="783">
        <v>245</v>
      </c>
      <c r="J104" s="460">
        <f>VLOOKUP($D104,HeatExch_from_BP!$P:$AE,16,0)</f>
        <v>245</v>
      </c>
      <c r="K104" s="194"/>
      <c r="L104" s="193"/>
    </row>
    <row r="105" spans="1:12">
      <c r="A105" s="201" t="str">
        <f>VLOOKUP($D105,HeatExch_from_BP!$P:$AE,3,0)</f>
        <v>EZ2206A-T-Win, p1</v>
      </c>
      <c r="B105" s="200"/>
      <c r="C105" s="16"/>
      <c r="D105" s="198" t="s">
        <v>6126</v>
      </c>
      <c r="E105" s="724"/>
      <c r="F105" s="465" t="s">
        <v>6114</v>
      </c>
      <c r="G105" s="981" t="s">
        <v>10798</v>
      </c>
      <c r="H105" s="460" t="str">
        <f>VLOOKUP($D105,HeatExch_from_BP!$P:$AE,2,0)</f>
        <v>Splitter Overhead Condenser</v>
      </c>
      <c r="I105" s="783">
        <v>245</v>
      </c>
      <c r="J105" s="460">
        <f>VLOOKUP($D105,HeatExch_from_BP!$P:$AE,16,0)</f>
        <v>245</v>
      </c>
      <c r="K105" s="194"/>
      <c r="L105" s="193"/>
    </row>
    <row r="106" spans="1:12">
      <c r="A106" s="201" t="str">
        <f>VLOOKUP($D106,HeatExch_from_BP!$P:$AE,3,0)</f>
        <v>EZ2206A-T-Win, p1</v>
      </c>
      <c r="B106" s="200"/>
      <c r="C106" s="16"/>
      <c r="D106" s="198" t="s">
        <v>6126</v>
      </c>
      <c r="E106" s="724"/>
      <c r="F106" s="465" t="s">
        <v>6115</v>
      </c>
      <c r="G106" s="981" t="s">
        <v>10798</v>
      </c>
      <c r="H106" s="460" t="str">
        <f>VLOOKUP($D106,HeatExch_from_BP!$P:$AE,2,0)</f>
        <v>Splitter Overhead Condenser</v>
      </c>
      <c r="I106" s="783">
        <v>245</v>
      </c>
      <c r="J106" s="460">
        <f>VLOOKUP($D106,HeatExch_from_BP!$P:$AE,16,0)</f>
        <v>245</v>
      </c>
      <c r="K106" s="194"/>
      <c r="L106" s="193"/>
    </row>
    <row r="107" spans="1:12">
      <c r="A107" s="201" t="str">
        <f>VLOOKUP($D107,HeatExch_from_BP!$P:$AE,3,0)</f>
        <v>EZ2206A-T-Win, p1</v>
      </c>
      <c r="B107" s="200"/>
      <c r="C107" s="16"/>
      <c r="D107" s="198" t="s">
        <v>6126</v>
      </c>
      <c r="E107" s="724"/>
      <c r="F107" s="465" t="s">
        <v>6116</v>
      </c>
      <c r="G107" s="981" t="s">
        <v>10798</v>
      </c>
      <c r="H107" s="460" t="str">
        <f>VLOOKUP($D107,HeatExch_from_BP!$P:$AE,2,0)</f>
        <v>Splitter Overhead Condenser</v>
      </c>
      <c r="I107" s="783">
        <v>245</v>
      </c>
      <c r="J107" s="460">
        <f>VLOOKUP($D107,HeatExch_from_BP!$P:$AE,16,0)</f>
        <v>245</v>
      </c>
      <c r="K107" s="194"/>
      <c r="L107" s="193"/>
    </row>
    <row r="108" spans="1:12">
      <c r="A108" s="201" t="str">
        <f>VLOOKUP($D108,HeatExch_from_BP!$P:$AE,3,0)</f>
        <v>EZ2206A-T-Win, p1</v>
      </c>
      <c r="B108" s="200"/>
      <c r="C108" s="16"/>
      <c r="D108" s="198" t="s">
        <v>6126</v>
      </c>
      <c r="E108" s="724"/>
      <c r="F108" s="465" t="s">
        <v>6125</v>
      </c>
      <c r="G108" s="981" t="s">
        <v>10798</v>
      </c>
      <c r="H108" s="460" t="str">
        <f>VLOOKUP($D108,HeatExch_from_BP!$P:$AE,2,0)</f>
        <v>Splitter Overhead Condenser</v>
      </c>
      <c r="I108" s="783">
        <v>245</v>
      </c>
      <c r="J108" s="460">
        <f>VLOOKUP($D108,HeatExch_from_BP!$P:$AE,16,0)</f>
        <v>245</v>
      </c>
      <c r="K108" s="194"/>
      <c r="L108" s="193"/>
    </row>
    <row r="109" spans="1:12">
      <c r="A109" s="201" t="str">
        <f>VLOOKUP($D109,HeatExch_from_BP!$P:$AE,3,0)</f>
        <v>EZ2206A-T-Win, p1</v>
      </c>
      <c r="B109" s="200"/>
      <c r="C109" s="16"/>
      <c r="D109" s="198" t="s">
        <v>6126</v>
      </c>
      <c r="E109" s="724"/>
      <c r="F109" s="465" t="s">
        <v>6117</v>
      </c>
      <c r="G109" s="981" t="s">
        <v>10798</v>
      </c>
      <c r="H109" s="460" t="str">
        <f>VLOOKUP($D109,HeatExch_from_BP!$P:$AE,2,0)</f>
        <v>Splitter Overhead Condenser</v>
      </c>
      <c r="I109" s="783">
        <v>245</v>
      </c>
      <c r="J109" s="460">
        <f>VLOOKUP($D109,HeatExch_from_BP!$P:$AE,16,0)</f>
        <v>245</v>
      </c>
      <c r="K109" s="194"/>
      <c r="L109" s="193"/>
    </row>
    <row r="110" spans="1:12">
      <c r="A110" s="201" t="str">
        <f>VLOOKUP($D110,HeatExch_from_BP!$P:$AE,3,0)</f>
        <v>EZ2206A-T-Win, p1</v>
      </c>
      <c r="B110" s="200"/>
      <c r="C110" s="16"/>
      <c r="D110" s="198" t="s">
        <v>6126</v>
      </c>
      <c r="E110" s="724"/>
      <c r="F110" s="465" t="s">
        <v>6118</v>
      </c>
      <c r="G110" s="981" t="s">
        <v>10798</v>
      </c>
      <c r="H110" s="460" t="str">
        <f>VLOOKUP($D110,HeatExch_from_BP!$P:$AE,2,0)</f>
        <v>Splitter Overhead Condenser</v>
      </c>
      <c r="I110" s="783">
        <v>245</v>
      </c>
      <c r="J110" s="460">
        <f>VLOOKUP($D110,HeatExch_from_BP!$P:$AE,16,0)</f>
        <v>245</v>
      </c>
      <c r="K110" s="194"/>
      <c r="L110" s="193"/>
    </row>
    <row r="111" spans="1:12">
      <c r="A111" s="201" t="str">
        <f>VLOOKUP($D111,HeatExch_from_BP!$P:$AE,3,0)</f>
        <v>EZ2206A-T-Win, p1</v>
      </c>
      <c r="B111" s="200"/>
      <c r="C111" s="16"/>
      <c r="D111" s="198" t="s">
        <v>6126</v>
      </c>
      <c r="E111" s="724"/>
      <c r="F111" s="465" t="s">
        <v>6119</v>
      </c>
      <c r="G111" s="981" t="s">
        <v>10798</v>
      </c>
      <c r="H111" s="460" t="str">
        <f>VLOOKUP($D111,HeatExch_from_BP!$P:$AE,2,0)</f>
        <v>Splitter Overhead Condenser</v>
      </c>
      <c r="I111" s="783">
        <v>245</v>
      </c>
      <c r="J111" s="460">
        <f>VLOOKUP($D111,HeatExch_from_BP!$P:$AE,16,0)</f>
        <v>245</v>
      </c>
      <c r="K111" s="194"/>
      <c r="L111" s="193"/>
    </row>
    <row r="112" spans="1:12">
      <c r="A112" s="201" t="str">
        <f>VLOOKUP($D112,HeatExch_from_BP!$P:$AE,3,0)</f>
        <v>EZ2206A-T-Win, p1</v>
      </c>
      <c r="B112" s="200"/>
      <c r="C112" s="16"/>
      <c r="D112" s="198" t="s">
        <v>6126</v>
      </c>
      <c r="E112" s="724"/>
      <c r="F112" s="465" t="s">
        <v>6120</v>
      </c>
      <c r="G112" s="981" t="s">
        <v>10798</v>
      </c>
      <c r="H112" s="460" t="str">
        <f>VLOOKUP($D112,HeatExch_from_BP!$P:$AE,2,0)</f>
        <v>Splitter Overhead Condenser</v>
      </c>
      <c r="I112" s="783">
        <v>245</v>
      </c>
      <c r="J112" s="460">
        <f>VLOOKUP($D112,HeatExch_from_BP!$P:$AE,16,0)</f>
        <v>245</v>
      </c>
      <c r="K112" s="194"/>
      <c r="L112" s="193"/>
    </row>
    <row r="113" spans="1:14">
      <c r="A113" s="201" t="str">
        <f>VLOOKUP($D113,HeatExch_from_BP!$P:$AE,3,0)</f>
        <v>EZ2206A-T-Win, p1</v>
      </c>
      <c r="B113" s="200"/>
      <c r="C113" s="16"/>
      <c r="D113" s="198" t="s">
        <v>6126</v>
      </c>
      <c r="E113" s="724"/>
      <c r="F113" s="465" t="s">
        <v>6121</v>
      </c>
      <c r="G113" s="981" t="s">
        <v>10798</v>
      </c>
      <c r="H113" s="460" t="str">
        <f>VLOOKUP($D113,HeatExch_from_BP!$P:$AE,2,0)</f>
        <v>Splitter Overhead Condenser</v>
      </c>
      <c r="I113" s="783">
        <v>245</v>
      </c>
      <c r="J113" s="460">
        <f>VLOOKUP($D113,HeatExch_from_BP!$P:$AE,16,0)</f>
        <v>245</v>
      </c>
      <c r="K113" s="194"/>
      <c r="L113" s="193"/>
    </row>
    <row r="114" spans="1:14">
      <c r="A114" s="201" t="str">
        <f>VLOOKUP($D114,HeatExch_from_BP!$P:$AE,3,0)</f>
        <v>EZ2206A-T-Win, p1</v>
      </c>
      <c r="B114" s="200"/>
      <c r="C114" s="16"/>
      <c r="D114" s="198" t="s">
        <v>6126</v>
      </c>
      <c r="E114" s="724"/>
      <c r="F114" s="465" t="s">
        <v>6122</v>
      </c>
      <c r="G114" s="981" t="s">
        <v>10798</v>
      </c>
      <c r="H114" s="460" t="str">
        <f>VLOOKUP($D114,HeatExch_from_BP!$P:$AE,2,0)</f>
        <v>Splitter Overhead Condenser</v>
      </c>
      <c r="I114" s="783">
        <v>245</v>
      </c>
      <c r="J114" s="460">
        <f>VLOOKUP($D114,HeatExch_from_BP!$P:$AE,16,0)</f>
        <v>245</v>
      </c>
      <c r="K114" s="194"/>
      <c r="L114" s="193"/>
    </row>
    <row r="115" spans="1:14">
      <c r="A115" s="201" t="str">
        <f>VLOOKUP($D115,HeatExch_from_BP!$P:$AE,3,0)</f>
        <v>EZ2206A-T-Win, p1</v>
      </c>
      <c r="B115" s="200"/>
      <c r="C115" s="16"/>
      <c r="D115" s="198" t="s">
        <v>6126</v>
      </c>
      <c r="E115" s="724"/>
      <c r="F115" s="465" t="s">
        <v>6123</v>
      </c>
      <c r="G115" s="981" t="s">
        <v>10798</v>
      </c>
      <c r="H115" s="460" t="str">
        <f>VLOOKUP($D115,HeatExch_from_BP!$P:$AE,2,0)</f>
        <v>Splitter Overhead Condenser</v>
      </c>
      <c r="I115" s="783">
        <v>245</v>
      </c>
      <c r="J115" s="460">
        <f>VLOOKUP($D115,HeatExch_from_BP!$P:$AE,16,0)</f>
        <v>245</v>
      </c>
      <c r="K115" s="194"/>
      <c r="L115" s="193"/>
    </row>
    <row r="116" spans="1:14">
      <c r="A116" s="201" t="str">
        <f>VLOOKUP($D116,HeatExch_from_BP!$P:$AE,3,0)</f>
        <v>EZ2206A-T-Win, p1</v>
      </c>
      <c r="B116" s="200"/>
      <c r="C116" s="16"/>
      <c r="D116" s="198" t="s">
        <v>6126</v>
      </c>
      <c r="E116" s="724"/>
      <c r="F116" s="465" t="s">
        <v>6124</v>
      </c>
      <c r="G116" s="981" t="s">
        <v>10798</v>
      </c>
      <c r="H116" s="460" t="str">
        <f>VLOOKUP($D116,HeatExch_from_BP!$P:$AE,2,0)</f>
        <v>Splitter Overhead Condenser</v>
      </c>
      <c r="I116" s="783">
        <v>245</v>
      </c>
      <c r="J116" s="460">
        <f>VLOOKUP($D116,HeatExch_from_BP!$P:$AE,16,0)</f>
        <v>245</v>
      </c>
      <c r="K116" s="194"/>
      <c r="L116" s="193"/>
    </row>
    <row r="117" spans="1:14" s="184" customFormat="1">
      <c r="A117" s="201" t="str">
        <f>VLOOKUP($D117,HeatExch_from_BP!$P:$AE,3,0)</f>
        <v>EZ2207 Technical Requisition TAR2011.pdf, 22/105</v>
      </c>
      <c r="B117" s="200"/>
      <c r="C117" s="197"/>
      <c r="D117" s="198" t="s">
        <v>6252</v>
      </c>
      <c r="E117" s="724"/>
      <c r="F117" s="465" t="s">
        <v>6251</v>
      </c>
      <c r="G117" s="981" t="s">
        <v>10799</v>
      </c>
      <c r="H117" s="460" t="str">
        <f>VLOOKUP($D117,HeatExch_from_BP!$P:$AE,2,0)</f>
        <v>Gasoline Cooler</v>
      </c>
      <c r="I117" s="783">
        <v>265</v>
      </c>
      <c r="J117" s="460">
        <f>VLOOKUP($D117,HeatExch_from_BP!$P:$AE,16,0)</f>
        <v>265</v>
      </c>
      <c r="K117" s="194"/>
      <c r="L117" s="193"/>
    </row>
    <row r="118" spans="1:14" s="184" customFormat="1">
      <c r="A118" s="201" t="str">
        <f>VLOOKUP($D118,HeatExch_from_BP!$P:$AE,3,0)</f>
        <v>EZ2207 Technical Requisition TAR2011.pdf, 22/105</v>
      </c>
      <c r="B118" s="200"/>
      <c r="C118" s="197"/>
      <c r="D118" s="198" t="s">
        <v>6252</v>
      </c>
      <c r="E118" s="724"/>
      <c r="F118" s="465" t="s">
        <v>6253</v>
      </c>
      <c r="G118" s="981" t="s">
        <v>10799</v>
      </c>
      <c r="H118" s="460" t="str">
        <f>VLOOKUP($D118,HeatExch_from_BP!$P:$AE,2,0)</f>
        <v>Gasoline Cooler</v>
      </c>
      <c r="I118" s="783">
        <v>265</v>
      </c>
      <c r="J118" s="460">
        <f>VLOOKUP($D118,HeatExch_from_BP!$P:$AE,16,0)</f>
        <v>265</v>
      </c>
      <c r="K118" s="194"/>
      <c r="L118" s="193"/>
    </row>
    <row r="119" spans="1:14" s="184" customFormat="1">
      <c r="A119" s="201" t="str">
        <f>VLOOKUP($D119,HeatExch_from_BP!$P:$AE,3,0)</f>
        <v>EZ2208A-D-Win, p2</v>
      </c>
      <c r="B119" s="200"/>
      <c r="C119" s="197"/>
      <c r="D119" s="198" t="s">
        <v>6154</v>
      </c>
      <c r="E119" s="724"/>
      <c r="F119" s="465" t="s">
        <v>6150</v>
      </c>
      <c r="G119" s="981" t="s">
        <v>10800</v>
      </c>
      <c r="H119" s="460" t="str">
        <f>VLOOKUP($D119,HeatExch_from_BP!$P:$AE,2,0)</f>
        <v>Benzine Cooler</v>
      </c>
      <c r="I119" s="783">
        <v>265</v>
      </c>
      <c r="J119" s="460">
        <f>VLOOKUP($D119,HeatExch_from_BP!$P:$AE,16,0)</f>
        <v>265</v>
      </c>
      <c r="K119" s="194"/>
      <c r="L119" s="193"/>
    </row>
    <row r="120" spans="1:14" s="184" customFormat="1">
      <c r="A120" s="201" t="str">
        <f>VLOOKUP($D120,HeatExch_from_BP!$P:$AE,3,0)</f>
        <v>EZ2208A-D-Win, p2</v>
      </c>
      <c r="B120" s="200"/>
      <c r="C120" s="197"/>
      <c r="D120" s="198" t="s">
        <v>6154</v>
      </c>
      <c r="E120" s="724"/>
      <c r="F120" s="465" t="s">
        <v>6153</v>
      </c>
      <c r="G120" s="981" t="s">
        <v>10800</v>
      </c>
      <c r="H120" s="460" t="str">
        <f>VLOOKUP($D120,HeatExch_from_BP!$P:$AE,2,0)</f>
        <v>Benzine Cooler</v>
      </c>
      <c r="I120" s="783">
        <v>265</v>
      </c>
      <c r="J120" s="460">
        <f>VLOOKUP($D120,HeatExch_from_BP!$P:$AE,16,0)</f>
        <v>265</v>
      </c>
      <c r="K120" s="194"/>
      <c r="L120" s="193"/>
    </row>
    <row r="121" spans="1:14" s="184" customFormat="1">
      <c r="A121" s="201" t="str">
        <f>VLOOKUP($D121,HeatExch_from_BP!$P:$AE,3,0)</f>
        <v>EZ2208A-D-Win, p2</v>
      </c>
      <c r="B121" s="200"/>
      <c r="C121" s="197"/>
      <c r="D121" s="198" t="s">
        <v>6154</v>
      </c>
      <c r="E121" s="724"/>
      <c r="F121" s="465" t="s">
        <v>6151</v>
      </c>
      <c r="G121" s="981" t="s">
        <v>10800</v>
      </c>
      <c r="H121" s="460" t="str">
        <f>VLOOKUP($D121,HeatExch_from_BP!$P:$AE,2,0)</f>
        <v>Benzine Cooler</v>
      </c>
      <c r="I121" s="783">
        <v>265</v>
      </c>
      <c r="J121" s="460">
        <f>VLOOKUP($D121,HeatExch_from_BP!$P:$AE,16,0)</f>
        <v>265</v>
      </c>
      <c r="K121" s="194"/>
      <c r="L121" s="193"/>
    </row>
    <row r="122" spans="1:14" s="184" customFormat="1">
      <c r="A122" s="201" t="str">
        <f>VLOOKUP($D122,HeatExch_from_BP!$P:$AE,3,0)</f>
        <v>EZ2208A-D-Win, p2</v>
      </c>
      <c r="B122" s="200"/>
      <c r="C122" s="197"/>
      <c r="D122" s="198" t="s">
        <v>6154</v>
      </c>
      <c r="E122" s="724"/>
      <c r="F122" s="465" t="s">
        <v>6152</v>
      </c>
      <c r="G122" s="981" t="s">
        <v>10800</v>
      </c>
      <c r="H122" s="460" t="str">
        <f>VLOOKUP($D122,HeatExch_from_BP!$P:$AE,2,0)</f>
        <v>Benzine Cooler</v>
      </c>
      <c r="I122" s="783">
        <v>265</v>
      </c>
      <c r="J122" s="460">
        <f>VLOOKUP($D122,HeatExch_from_BP!$P:$AE,16,0)</f>
        <v>265</v>
      </c>
      <c r="K122" s="194"/>
      <c r="L122" s="193"/>
    </row>
    <row r="123" spans="1:14">
      <c r="A123" s="201" t="str">
        <f>VLOOKUP($D123,HeatExch_from_BP!$P:$AE,3,0)</f>
        <v>EZ2209A-D-Win, p2</v>
      </c>
      <c r="B123" s="200"/>
      <c r="C123" s="430"/>
      <c r="D123" s="431" t="s">
        <v>6257</v>
      </c>
      <c r="E123" s="428"/>
      <c r="F123" s="432" t="s">
        <v>6307</v>
      </c>
      <c r="G123" s="981" t="s">
        <v>10801</v>
      </c>
      <c r="H123" s="460" t="str">
        <f>VLOOKUP($D123,HeatExch_from_BP!$P:$AE,2,0)</f>
        <v>Kerosene Cooler</v>
      </c>
      <c r="I123" s="783">
        <v>265</v>
      </c>
      <c r="J123" s="460">
        <f>VLOOKUP($D123,HeatExch_from_BP!$P:$AE,16,0)</f>
        <v>265</v>
      </c>
      <c r="K123" s="433"/>
      <c r="L123" s="429"/>
      <c r="M123" s="425"/>
      <c r="N123" s="425"/>
    </row>
    <row r="124" spans="1:14">
      <c r="A124" s="201" t="str">
        <f>VLOOKUP($D124,HeatExch_from_BP!$P:$AE,3,0)</f>
        <v>EZ2209A-D-Win, p2</v>
      </c>
      <c r="B124" s="200"/>
      <c r="C124" s="430"/>
      <c r="D124" s="431" t="s">
        <v>6257</v>
      </c>
      <c r="E124" s="428"/>
      <c r="F124" s="432" t="s">
        <v>6305</v>
      </c>
      <c r="G124" s="981" t="s">
        <v>10801</v>
      </c>
      <c r="H124" s="460" t="str">
        <f>VLOOKUP($D124,HeatExch_from_BP!$P:$AE,2,0)</f>
        <v>Kerosene Cooler</v>
      </c>
      <c r="I124" s="783">
        <v>265</v>
      </c>
      <c r="J124" s="460">
        <f>VLOOKUP($D124,HeatExch_from_BP!$P:$AE,16,0)</f>
        <v>265</v>
      </c>
      <c r="K124" s="433"/>
      <c r="L124" s="429"/>
      <c r="M124" s="425"/>
      <c r="N124" s="425"/>
    </row>
    <row r="125" spans="1:14">
      <c r="A125" s="201" t="str">
        <f>VLOOKUP($D125,HeatExch_from_BP!$P:$AE,3,0)</f>
        <v>EZ2209A-D-Win, p2</v>
      </c>
      <c r="B125" s="200"/>
      <c r="C125" s="430"/>
      <c r="D125" s="431" t="s">
        <v>6257</v>
      </c>
      <c r="E125" s="428"/>
      <c r="F125" s="432" t="s">
        <v>6306</v>
      </c>
      <c r="G125" s="981" t="s">
        <v>10801</v>
      </c>
      <c r="H125" s="460" t="str">
        <f>VLOOKUP($D125,HeatExch_from_BP!$P:$AE,2,0)</f>
        <v>Kerosene Cooler</v>
      </c>
      <c r="I125" s="783">
        <v>265</v>
      </c>
      <c r="J125" s="460">
        <f>VLOOKUP($D125,HeatExch_from_BP!$P:$AE,16,0)</f>
        <v>265</v>
      </c>
      <c r="K125" s="433"/>
      <c r="L125" s="429"/>
      <c r="M125" s="425"/>
      <c r="N125" s="425"/>
    </row>
    <row r="126" spans="1:14">
      <c r="A126" s="201" t="str">
        <f>VLOOKUP($D126,HeatExch_from_BP!$P:$AE,3,0)</f>
        <v>EZ2209A-D-Win, p2</v>
      </c>
      <c r="B126" s="200"/>
      <c r="C126" s="430"/>
      <c r="D126" s="431" t="s">
        <v>6257</v>
      </c>
      <c r="E126" s="428"/>
      <c r="F126" s="432" t="s">
        <v>6304</v>
      </c>
      <c r="G126" s="981" t="s">
        <v>10801</v>
      </c>
      <c r="H126" s="460" t="str">
        <f>VLOOKUP($D126,HeatExch_from_BP!$P:$AE,2,0)</f>
        <v>Kerosene Cooler</v>
      </c>
      <c r="I126" s="783">
        <v>265</v>
      </c>
      <c r="J126" s="460">
        <f>VLOOKUP($D126,HeatExch_from_BP!$P:$AE,16,0)</f>
        <v>265</v>
      </c>
      <c r="K126" s="433"/>
      <c r="L126" s="429"/>
      <c r="M126" s="425"/>
      <c r="N126" s="425"/>
    </row>
    <row r="127" spans="1:14" s="514" customFormat="1">
      <c r="A127" s="745" t="s">
        <v>9119</v>
      </c>
      <c r="B127" s="200"/>
      <c r="C127" s="613"/>
      <c r="D127" s="742" t="s">
        <v>9122</v>
      </c>
      <c r="E127" s="740"/>
      <c r="F127" s="465" t="s">
        <v>9127</v>
      </c>
      <c r="G127" s="981" t="s">
        <v>10802</v>
      </c>
      <c r="H127" s="460" t="s">
        <v>9122</v>
      </c>
      <c r="I127" s="744">
        <v>1480</v>
      </c>
      <c r="J127" s="460">
        <v>1480</v>
      </c>
      <c r="K127" s="744"/>
      <c r="L127" s="460"/>
    </row>
    <row r="128" spans="1:14" s="514" customFormat="1">
      <c r="A128" s="745" t="s">
        <v>9120</v>
      </c>
      <c r="B128" s="200"/>
      <c r="C128" s="613"/>
      <c r="D128" s="742" t="s">
        <v>9126</v>
      </c>
      <c r="E128" s="740"/>
      <c r="F128" s="465" t="s">
        <v>9128</v>
      </c>
      <c r="G128" s="981" t="s">
        <v>10803</v>
      </c>
      <c r="H128" s="460" t="s">
        <v>9126</v>
      </c>
      <c r="I128" s="744">
        <v>1480</v>
      </c>
      <c r="J128" s="460">
        <v>1480</v>
      </c>
      <c r="K128" s="744"/>
      <c r="L128" s="460"/>
    </row>
    <row r="129" spans="1:12" s="514" customFormat="1">
      <c r="A129" s="745" t="s">
        <v>9121</v>
      </c>
      <c r="B129" s="200"/>
      <c r="C129" s="613"/>
      <c r="D129" s="742" t="s">
        <v>9124</v>
      </c>
      <c r="E129" s="740"/>
      <c r="F129" s="465" t="s">
        <v>9129</v>
      </c>
      <c r="G129" s="981" t="s">
        <v>10804</v>
      </c>
      <c r="H129" s="460" t="s">
        <v>9124</v>
      </c>
      <c r="I129" s="744">
        <v>2950</v>
      </c>
      <c r="J129" s="460">
        <v>2950</v>
      </c>
      <c r="K129" s="744"/>
      <c r="L129" s="460"/>
    </row>
    <row r="130" spans="1:12" s="753" customFormat="1">
      <c r="A130" s="843" t="str">
        <f>VLOOKUP($D130,Pump_from_BP!$A:$J,5,0)</f>
        <v>PZ2101A-Win.pdf</v>
      </c>
      <c r="B130" s="823"/>
      <c r="C130" s="758"/>
      <c r="D130" s="773" t="s">
        <v>10587</v>
      </c>
      <c r="E130" s="782"/>
      <c r="F130" s="465" t="s">
        <v>10604</v>
      </c>
      <c r="G130" s="981" t="s">
        <v>10805</v>
      </c>
      <c r="H130" s="460" t="str">
        <f>VLOOKUP($D130,Pump_from_BP!$A:$J,3,0)</f>
        <v>Crude Charge Pump</v>
      </c>
      <c r="I130" s="853">
        <v>2910</v>
      </c>
      <c r="J130" s="460">
        <f>VLOOKUP($D130,Pump_from_BP!$A:$J,9,0)</f>
        <v>2910</v>
      </c>
      <c r="K130" s="853"/>
      <c r="L130" s="460"/>
    </row>
    <row r="131" spans="1:12" s="753" customFormat="1">
      <c r="A131" s="843" t="str">
        <f>VLOOKUP($D131,Pump_from_BP!$A:$J,5,0)</f>
        <v>PZ2101B-Win.pdf</v>
      </c>
      <c r="B131" s="823"/>
      <c r="C131" s="758"/>
      <c r="D131" s="773" t="s">
        <v>10588</v>
      </c>
      <c r="E131" s="782"/>
      <c r="F131" s="465" t="s">
        <v>10605</v>
      </c>
      <c r="G131" s="981" t="s">
        <v>10805</v>
      </c>
      <c r="H131" s="460" t="str">
        <f>VLOOKUP($D131,Pump_from_BP!$A:$J,3,0)</f>
        <v>Crude Charge Pump</v>
      </c>
      <c r="I131" s="853">
        <v>2910</v>
      </c>
      <c r="J131" s="460">
        <f>VLOOKUP($D131,Pump_from_BP!$A:$J,9,0)</f>
        <v>2910</v>
      </c>
      <c r="K131" s="853"/>
      <c r="L131" s="460"/>
    </row>
    <row r="132" spans="1:12" s="753" customFormat="1">
      <c r="A132" s="843" t="str">
        <f>VLOOKUP($D132,Pump_from_BP!$A:$J,5,0)</f>
        <v>PZ2101C-Win.pdf</v>
      </c>
      <c r="B132" s="823"/>
      <c r="C132" s="758"/>
      <c r="D132" s="773" t="s">
        <v>10589</v>
      </c>
      <c r="E132" s="782"/>
      <c r="F132" s="465" t="s">
        <v>10606</v>
      </c>
      <c r="G132" s="981" t="s">
        <v>10805</v>
      </c>
      <c r="H132" s="460" t="str">
        <f>VLOOKUP($D132,Pump_from_BP!$A:$J,3,0)</f>
        <v>Crude Charge Pump</v>
      </c>
      <c r="I132" s="853">
        <v>2910</v>
      </c>
      <c r="J132" s="460">
        <f>VLOOKUP($D132,Pump_from_BP!$A:$J,9,0)</f>
        <v>2910</v>
      </c>
      <c r="K132" s="853"/>
      <c r="L132" s="460"/>
    </row>
    <row r="133" spans="1:12">
      <c r="A133" s="745" t="str">
        <f>VLOOKUP($D133,HeatExch_from_BP!$P:$AE,3,0)</f>
        <v>EZ2114-Win.pdf</v>
      </c>
      <c r="B133" s="15"/>
      <c r="C133" s="16"/>
      <c r="D133" s="759" t="s">
        <v>9433</v>
      </c>
      <c r="E133" s="754"/>
      <c r="F133" s="465" t="s">
        <v>10757</v>
      </c>
      <c r="G133" s="981" t="s">
        <v>10806</v>
      </c>
      <c r="H133" s="460" t="str">
        <f>VLOOKUP($D133,HeatExch_from_BP!$P:$AE,2,0)</f>
        <v>Middle Pump Around Cooler</v>
      </c>
      <c r="I133" s="853">
        <v>265</v>
      </c>
      <c r="J133" s="460">
        <f>VLOOKUP($D133,HeatExch_from_BP!$P:$AE,16,0)</f>
        <v>265</v>
      </c>
      <c r="K133" s="19"/>
      <c r="L133" s="13"/>
    </row>
    <row r="134" spans="1:12">
      <c r="A134" s="745"/>
      <c r="B134" s="15"/>
      <c r="C134" s="16"/>
      <c r="D134" s="759"/>
      <c r="E134" s="754"/>
      <c r="F134" s="465"/>
      <c r="G134" s="853"/>
      <c r="H134" s="460"/>
      <c r="I134" s="853"/>
      <c r="J134" s="460"/>
      <c r="K134" s="19"/>
      <c r="L134" s="13"/>
    </row>
    <row r="135" spans="1:12">
      <c r="A135" s="14"/>
      <c r="B135" s="15"/>
      <c r="C135" s="16"/>
      <c r="D135" s="17"/>
      <c r="E135" s="12"/>
      <c r="F135" s="18"/>
      <c r="G135" s="19"/>
      <c r="H135" s="13"/>
      <c r="I135" s="19"/>
      <c r="J135" s="13"/>
      <c r="K135" s="19"/>
      <c r="L135" s="13"/>
    </row>
    <row r="136" spans="1:12">
      <c r="A136" s="14"/>
      <c r="B136" s="15"/>
      <c r="C136" s="16"/>
      <c r="D136" s="17"/>
      <c r="E136" s="12"/>
      <c r="F136" s="18"/>
      <c r="G136" s="19"/>
      <c r="H136" s="13"/>
      <c r="I136" s="19"/>
      <c r="J136" s="13"/>
      <c r="K136" s="19"/>
      <c r="L136" s="13"/>
    </row>
    <row r="137" spans="1:12">
      <c r="A137" s="14"/>
      <c r="B137" s="15"/>
      <c r="C137" s="16"/>
      <c r="D137" s="17"/>
      <c r="E137" s="12"/>
      <c r="F137" s="18"/>
      <c r="G137" s="19"/>
      <c r="H137" s="13"/>
      <c r="I137" s="19"/>
      <c r="J137" s="13"/>
      <c r="K137" s="19"/>
      <c r="L137" s="13"/>
    </row>
    <row r="138" spans="1:12">
      <c r="A138" s="14"/>
      <c r="B138" s="15"/>
      <c r="C138" s="16"/>
      <c r="D138" s="17"/>
      <c r="E138" s="12"/>
      <c r="F138" s="18"/>
      <c r="G138" s="19"/>
      <c r="H138" s="13"/>
      <c r="I138" s="19"/>
      <c r="J138" s="13"/>
      <c r="K138" s="19"/>
      <c r="L138" s="13"/>
    </row>
    <row r="139" spans="1:12">
      <c r="A139" s="14"/>
      <c r="B139" s="15"/>
      <c r="C139" s="16"/>
      <c r="D139" s="17"/>
      <c r="E139" s="12"/>
      <c r="F139" s="18"/>
      <c r="G139" s="19"/>
      <c r="H139" s="13"/>
      <c r="I139" s="19"/>
      <c r="J139" s="13"/>
      <c r="K139" s="19"/>
      <c r="L139" s="13"/>
    </row>
    <row r="140" spans="1:12">
      <c r="A140" s="14"/>
      <c r="B140" s="15"/>
      <c r="C140" s="16"/>
      <c r="D140" s="17"/>
      <c r="E140" s="12"/>
      <c r="F140" s="18"/>
      <c r="G140" s="19"/>
      <c r="H140" s="13"/>
      <c r="I140" s="19"/>
      <c r="J140" s="13"/>
      <c r="K140" s="19"/>
      <c r="L140" s="13"/>
    </row>
    <row r="141" spans="1:12">
      <c r="A141" s="14"/>
      <c r="B141" s="15"/>
      <c r="C141" s="16"/>
      <c r="D141" s="17"/>
      <c r="E141" s="12"/>
      <c r="F141" s="18"/>
      <c r="G141" s="19"/>
      <c r="H141" s="13"/>
      <c r="I141" s="19"/>
      <c r="J141" s="13"/>
      <c r="K141" s="19"/>
      <c r="L141" s="13"/>
    </row>
    <row r="142" spans="1:12">
      <c r="A142" s="14"/>
      <c r="B142" s="15"/>
      <c r="C142" s="16"/>
      <c r="D142" s="17"/>
      <c r="E142" s="12"/>
      <c r="F142" s="18"/>
      <c r="G142" s="19"/>
      <c r="H142" s="13"/>
      <c r="I142" s="19"/>
      <c r="J142" s="13"/>
      <c r="K142" s="19"/>
      <c r="L142" s="13"/>
    </row>
    <row r="143" spans="1:12">
      <c r="A143" s="14"/>
      <c r="B143" s="15"/>
      <c r="C143" s="16"/>
      <c r="D143" s="17"/>
      <c r="E143" s="12"/>
      <c r="F143" s="18"/>
      <c r="G143" s="19"/>
      <c r="H143" s="13"/>
      <c r="I143" s="19"/>
      <c r="J143" s="13"/>
      <c r="K143" s="19"/>
      <c r="L143" s="13"/>
    </row>
    <row r="144" spans="1:12">
      <c r="A144" s="14"/>
      <c r="B144" s="15"/>
      <c r="C144" s="16"/>
      <c r="D144" s="17"/>
      <c r="E144" s="12"/>
      <c r="F144" s="18"/>
      <c r="G144" s="19"/>
      <c r="H144" s="13"/>
      <c r="I144" s="19"/>
      <c r="J144" s="13"/>
      <c r="K144" s="19"/>
      <c r="L144" s="13"/>
    </row>
    <row r="145" spans="1:12">
      <c r="A145" s="14"/>
      <c r="B145" s="15"/>
      <c r="C145" s="16"/>
      <c r="D145" s="17"/>
      <c r="E145" s="12"/>
      <c r="F145" s="18"/>
      <c r="G145" s="19"/>
      <c r="H145" s="13"/>
      <c r="I145" s="19"/>
      <c r="J145" s="13"/>
      <c r="K145" s="19"/>
      <c r="L145" s="13"/>
    </row>
    <row r="146" spans="1:12">
      <c r="A146" s="14"/>
      <c r="B146" s="15"/>
      <c r="C146" s="16"/>
      <c r="D146" s="17"/>
      <c r="E146" s="12"/>
      <c r="F146" s="18"/>
      <c r="G146" s="19"/>
      <c r="H146" s="13"/>
      <c r="I146" s="19"/>
      <c r="J146" s="13"/>
      <c r="K146" s="19"/>
      <c r="L146" s="13"/>
    </row>
    <row r="147" spans="1:12">
      <c r="A147" s="14"/>
      <c r="B147" s="15"/>
      <c r="C147" s="16"/>
      <c r="D147" s="17"/>
      <c r="E147" s="12"/>
      <c r="F147" s="18"/>
      <c r="G147" s="19"/>
      <c r="H147" s="13"/>
      <c r="I147" s="19"/>
      <c r="J147" s="13"/>
      <c r="K147" s="19"/>
      <c r="L147" s="13"/>
    </row>
    <row r="148" spans="1:12">
      <c r="A148" s="14"/>
      <c r="B148" s="15"/>
      <c r="C148" s="16"/>
      <c r="D148" s="17"/>
      <c r="E148" s="12"/>
      <c r="F148" s="18"/>
      <c r="G148" s="19"/>
      <c r="H148" s="13"/>
      <c r="I148" s="19"/>
      <c r="J148" s="13"/>
      <c r="K148" s="19"/>
      <c r="L148" s="13"/>
    </row>
    <row r="149" spans="1:12">
      <c r="A149" s="14"/>
      <c r="B149" s="15"/>
      <c r="C149" s="16"/>
      <c r="D149" s="17"/>
      <c r="E149" s="12"/>
      <c r="F149" s="18"/>
      <c r="G149" s="19"/>
      <c r="H149" s="13"/>
      <c r="I149" s="19"/>
      <c r="J149" s="13"/>
      <c r="K149" s="19"/>
      <c r="L149" s="13"/>
    </row>
    <row r="150" spans="1:12">
      <c r="A150" s="14"/>
      <c r="B150" s="15"/>
      <c r="C150" s="16"/>
      <c r="D150" s="17"/>
      <c r="E150" s="12"/>
      <c r="F150" s="18"/>
      <c r="G150" s="19"/>
      <c r="H150" s="13"/>
      <c r="I150" s="19"/>
      <c r="J150" s="13"/>
      <c r="K150" s="19"/>
      <c r="L150" s="13"/>
    </row>
    <row r="151" spans="1:12">
      <c r="A151" s="14"/>
      <c r="B151" s="15"/>
      <c r="C151" s="16"/>
      <c r="D151" s="17"/>
      <c r="E151" s="12"/>
      <c r="F151" s="18"/>
      <c r="G151" s="19"/>
      <c r="H151" s="13"/>
      <c r="I151" s="19"/>
      <c r="J151" s="13"/>
      <c r="K151" s="19"/>
      <c r="L151" s="13"/>
    </row>
    <row r="152" spans="1:12">
      <c r="A152" s="14"/>
      <c r="B152" s="15"/>
      <c r="C152" s="16"/>
      <c r="D152" s="17"/>
      <c r="E152" s="12"/>
      <c r="F152" s="18"/>
      <c r="G152" s="19"/>
      <c r="H152" s="13"/>
      <c r="I152" s="19"/>
      <c r="J152" s="13"/>
      <c r="K152" s="19"/>
      <c r="L152" s="13"/>
    </row>
    <row r="153" spans="1:12">
      <c r="A153" s="14"/>
      <c r="B153" s="15"/>
      <c r="C153" s="16"/>
      <c r="D153" s="17"/>
      <c r="E153" s="12"/>
      <c r="F153" s="18"/>
      <c r="G153" s="19"/>
      <c r="H153" s="13"/>
      <c r="I153" s="19"/>
      <c r="J153" s="13"/>
      <c r="K153" s="19"/>
      <c r="L153" s="13"/>
    </row>
    <row r="154" spans="1:12">
      <c r="A154" s="14"/>
      <c r="B154" s="15"/>
      <c r="C154" s="16"/>
      <c r="D154" s="17"/>
      <c r="E154" s="12"/>
      <c r="F154" s="18"/>
      <c r="G154" s="19"/>
      <c r="H154" s="13"/>
      <c r="I154" s="19"/>
      <c r="J154" s="13"/>
      <c r="K154" s="19"/>
      <c r="L154" s="13"/>
    </row>
    <row r="155" spans="1:12">
      <c r="A155" s="14"/>
      <c r="B155" s="15"/>
      <c r="C155" s="16"/>
      <c r="D155" s="17"/>
      <c r="E155" s="12"/>
      <c r="F155" s="18"/>
      <c r="G155" s="19"/>
      <c r="H155" s="13"/>
      <c r="I155" s="19"/>
      <c r="J155" s="13"/>
      <c r="K155" s="19"/>
      <c r="L155" s="13"/>
    </row>
    <row r="156" spans="1:12">
      <c r="A156" s="14"/>
      <c r="B156" s="15"/>
      <c r="C156" s="16"/>
      <c r="D156" s="17"/>
      <c r="E156" s="12"/>
      <c r="F156" s="18"/>
      <c r="G156" s="19"/>
      <c r="H156" s="13"/>
      <c r="I156" s="19"/>
      <c r="J156" s="13"/>
      <c r="K156" s="19"/>
      <c r="L156" s="13"/>
    </row>
    <row r="157" spans="1:12">
      <c r="A157" s="14"/>
      <c r="B157" s="15"/>
      <c r="C157" s="16"/>
      <c r="D157" s="17"/>
      <c r="E157" s="12"/>
      <c r="F157" s="18"/>
      <c r="G157" s="19"/>
      <c r="H157" s="13"/>
      <c r="I157" s="19"/>
      <c r="J157" s="13"/>
      <c r="K157" s="19"/>
      <c r="L157" s="13"/>
    </row>
    <row r="158" spans="1:12">
      <c r="A158" s="14"/>
      <c r="B158" s="15"/>
      <c r="C158" s="16"/>
      <c r="D158" s="17"/>
      <c r="E158" s="12"/>
      <c r="F158" s="18"/>
      <c r="G158" s="19"/>
      <c r="H158" s="13"/>
      <c r="I158" s="19"/>
      <c r="J158" s="13"/>
      <c r="K158" s="19"/>
      <c r="L158" s="13"/>
    </row>
    <row r="159" spans="1:12">
      <c r="A159" s="14"/>
      <c r="B159" s="15"/>
      <c r="C159" s="16"/>
      <c r="D159" s="17"/>
      <c r="E159" s="12"/>
      <c r="F159" s="18"/>
      <c r="G159" s="19"/>
      <c r="H159" s="13"/>
      <c r="I159" s="19"/>
      <c r="J159" s="13"/>
      <c r="K159" s="19"/>
      <c r="L159" s="13"/>
    </row>
    <row r="160" spans="1:12">
      <c r="A160" s="14"/>
      <c r="B160" s="15"/>
      <c r="C160" s="16"/>
      <c r="D160" s="17"/>
      <c r="E160" s="12"/>
      <c r="F160" s="18"/>
      <c r="G160" s="19"/>
      <c r="H160" s="13"/>
      <c r="I160" s="19"/>
      <c r="J160" s="13"/>
      <c r="K160" s="19"/>
      <c r="L160" s="13"/>
    </row>
    <row r="161" spans="1:12">
      <c r="A161" s="14"/>
      <c r="B161" s="15"/>
      <c r="C161" s="16"/>
      <c r="D161" s="17"/>
      <c r="E161" s="12"/>
      <c r="F161" s="18"/>
      <c r="G161" s="19"/>
      <c r="H161" s="13"/>
      <c r="I161" s="19"/>
      <c r="J161" s="13"/>
      <c r="K161" s="19"/>
      <c r="L161" s="13"/>
    </row>
    <row r="162" spans="1:12">
      <c r="A162" s="14"/>
      <c r="B162" s="15"/>
      <c r="C162" s="16"/>
      <c r="D162" s="17"/>
      <c r="E162" s="12"/>
      <c r="F162" s="18"/>
      <c r="G162" s="19"/>
      <c r="H162" s="13"/>
      <c r="I162" s="19"/>
      <c r="J162" s="13"/>
      <c r="K162" s="19"/>
      <c r="L162" s="13"/>
    </row>
    <row r="163" spans="1:12">
      <c r="A163" s="14"/>
      <c r="B163" s="15"/>
      <c r="C163" s="16"/>
      <c r="D163" s="17"/>
      <c r="E163" s="12"/>
      <c r="F163" s="18"/>
      <c r="G163" s="19"/>
      <c r="H163" s="13"/>
      <c r="I163" s="19"/>
      <c r="J163" s="13"/>
      <c r="K163" s="19"/>
      <c r="L163" s="13"/>
    </row>
    <row r="164" spans="1:12">
      <c r="A164" s="14"/>
      <c r="B164" s="15"/>
      <c r="C164" s="16"/>
      <c r="D164" s="17"/>
      <c r="E164" s="12"/>
      <c r="F164" s="18"/>
      <c r="G164" s="19"/>
      <c r="H164" s="13"/>
      <c r="I164" s="19"/>
      <c r="J164" s="13"/>
      <c r="K164" s="19"/>
      <c r="L164" s="13"/>
    </row>
    <row r="165" spans="1:12">
      <c r="A165" s="14"/>
      <c r="B165" s="15"/>
      <c r="C165" s="16"/>
      <c r="D165" s="17"/>
      <c r="E165" s="12"/>
      <c r="F165" s="18"/>
      <c r="G165" s="19"/>
      <c r="H165" s="13"/>
      <c r="I165" s="19"/>
      <c r="J165" s="13"/>
      <c r="K165" s="19"/>
      <c r="L165" s="13"/>
    </row>
    <row r="166" spans="1:12">
      <c r="A166" s="14"/>
      <c r="B166" s="15"/>
      <c r="C166" s="16"/>
      <c r="D166" s="17"/>
      <c r="E166" s="12"/>
      <c r="F166" s="18"/>
      <c r="G166" s="19"/>
      <c r="H166" s="13"/>
      <c r="I166" s="19"/>
      <c r="J166" s="13"/>
      <c r="K166" s="19"/>
      <c r="L166" s="13"/>
    </row>
    <row r="167" spans="1:12">
      <c r="A167" s="14"/>
      <c r="B167" s="15"/>
      <c r="C167" s="16"/>
      <c r="D167" s="17"/>
      <c r="E167" s="12"/>
      <c r="F167" s="18"/>
      <c r="G167" s="19"/>
      <c r="H167" s="13"/>
      <c r="I167" s="19"/>
      <c r="J167" s="13"/>
      <c r="K167" s="19"/>
      <c r="L167" s="13"/>
    </row>
    <row r="168" spans="1:12">
      <c r="A168" s="14"/>
      <c r="B168" s="15"/>
      <c r="C168" s="16"/>
      <c r="D168" s="17"/>
      <c r="E168" s="12"/>
      <c r="F168" s="18"/>
      <c r="G168" s="19"/>
      <c r="H168" s="13"/>
      <c r="I168" s="19"/>
      <c r="J168" s="13"/>
      <c r="K168" s="19"/>
      <c r="L168" s="13"/>
    </row>
    <row r="169" spans="1:12">
      <c r="A169" s="14"/>
      <c r="B169" s="15"/>
      <c r="C169" s="16"/>
      <c r="D169" s="17"/>
      <c r="E169" s="12"/>
      <c r="F169" s="18"/>
      <c r="G169" s="19"/>
      <c r="H169" s="13"/>
      <c r="I169" s="19"/>
      <c r="J169" s="13"/>
      <c r="K169" s="19"/>
      <c r="L169" s="13"/>
    </row>
    <row r="170" spans="1:12">
      <c r="A170" s="14"/>
      <c r="B170" s="15"/>
      <c r="C170" s="16"/>
      <c r="D170" s="17"/>
      <c r="E170" s="12"/>
      <c r="F170" s="18"/>
      <c r="G170" s="19"/>
      <c r="H170" s="13"/>
      <c r="I170" s="19"/>
      <c r="J170" s="13"/>
      <c r="K170" s="19"/>
      <c r="L170" s="13"/>
    </row>
    <row r="171" spans="1:12">
      <c r="A171" s="14"/>
      <c r="B171" s="15"/>
      <c r="C171" s="16"/>
      <c r="D171" s="17"/>
      <c r="E171" s="12"/>
      <c r="F171" s="18"/>
      <c r="G171" s="19"/>
      <c r="H171" s="13"/>
      <c r="I171" s="19"/>
      <c r="J171" s="13"/>
      <c r="K171" s="19"/>
      <c r="L171" s="13"/>
    </row>
    <row r="172" spans="1:12">
      <c r="A172" s="14"/>
      <c r="B172" s="15"/>
      <c r="C172" s="16"/>
      <c r="D172" s="17"/>
      <c r="E172" s="12"/>
      <c r="F172" s="18"/>
      <c r="G172" s="19"/>
      <c r="H172" s="13"/>
      <c r="I172" s="19"/>
      <c r="J172" s="13"/>
      <c r="K172" s="19"/>
      <c r="L172" s="13"/>
    </row>
    <row r="173" spans="1:12">
      <c r="A173" s="14"/>
      <c r="B173" s="15"/>
      <c r="C173" s="16"/>
      <c r="D173" s="17"/>
      <c r="E173" s="12"/>
      <c r="F173" s="18"/>
      <c r="G173" s="19"/>
      <c r="H173" s="13"/>
      <c r="I173" s="19"/>
      <c r="J173" s="13"/>
      <c r="K173" s="19"/>
      <c r="L173" s="13"/>
    </row>
    <row r="174" spans="1:12">
      <c r="A174" s="14"/>
      <c r="B174" s="15"/>
      <c r="C174" s="16"/>
      <c r="D174" s="17"/>
      <c r="E174" s="12"/>
      <c r="F174" s="18"/>
      <c r="G174" s="19"/>
      <c r="H174" s="13"/>
      <c r="I174" s="19"/>
      <c r="J174" s="13"/>
      <c r="K174" s="19"/>
      <c r="L174" s="13"/>
    </row>
    <row r="175" spans="1:12">
      <c r="A175" s="14"/>
      <c r="B175" s="15"/>
      <c r="C175" s="16"/>
      <c r="D175" s="17"/>
      <c r="E175" s="12"/>
      <c r="F175" s="18"/>
      <c r="G175" s="19"/>
      <c r="H175" s="13"/>
      <c r="I175" s="19"/>
      <c r="J175" s="13"/>
      <c r="K175" s="19"/>
      <c r="L175" s="13"/>
    </row>
    <row r="176" spans="1:12">
      <c r="A176" s="14"/>
      <c r="B176" s="15"/>
      <c r="C176" s="16"/>
      <c r="D176" s="17"/>
      <c r="E176" s="12"/>
      <c r="F176" s="18"/>
      <c r="G176" s="19"/>
      <c r="H176" s="13"/>
      <c r="I176" s="19"/>
      <c r="J176" s="13"/>
      <c r="K176" s="19"/>
      <c r="L176" s="13"/>
    </row>
    <row r="177" spans="1:12">
      <c r="A177" s="14"/>
      <c r="B177" s="15"/>
      <c r="C177" s="16"/>
      <c r="D177" s="17"/>
      <c r="E177" s="12"/>
      <c r="F177" s="18"/>
      <c r="G177" s="19"/>
      <c r="H177" s="13"/>
      <c r="I177" s="19"/>
      <c r="J177" s="13"/>
      <c r="K177" s="19"/>
      <c r="L177" s="13"/>
    </row>
    <row r="178" spans="1:12">
      <c r="A178" s="14"/>
      <c r="B178" s="15"/>
      <c r="C178" s="16"/>
      <c r="D178" s="17"/>
      <c r="E178" s="12"/>
      <c r="F178" s="18"/>
      <c r="G178" s="19"/>
      <c r="H178" s="13"/>
      <c r="I178" s="19"/>
      <c r="J178" s="13"/>
      <c r="K178" s="19"/>
      <c r="L178" s="13"/>
    </row>
    <row r="179" spans="1:12">
      <c r="A179" s="14"/>
      <c r="B179" s="15"/>
      <c r="C179" s="16"/>
      <c r="D179" s="17"/>
      <c r="E179" s="12"/>
      <c r="F179" s="18"/>
      <c r="G179" s="19"/>
      <c r="H179" s="13"/>
      <c r="I179" s="19"/>
      <c r="J179" s="13"/>
      <c r="K179" s="19"/>
      <c r="L179" s="13"/>
    </row>
    <row r="180" spans="1:12">
      <c r="A180" s="14"/>
      <c r="B180" s="15"/>
      <c r="C180" s="16"/>
      <c r="D180" s="17"/>
      <c r="E180" s="12"/>
      <c r="F180" s="18"/>
      <c r="G180" s="19"/>
      <c r="H180" s="13"/>
      <c r="I180" s="19"/>
      <c r="J180" s="13"/>
      <c r="K180" s="19"/>
      <c r="L180" s="13"/>
    </row>
    <row r="181" spans="1:12">
      <c r="A181" s="14"/>
      <c r="B181" s="15"/>
      <c r="C181" s="16"/>
      <c r="D181" s="17"/>
      <c r="E181" s="12"/>
      <c r="F181" s="18"/>
      <c r="G181" s="19"/>
      <c r="H181" s="13"/>
      <c r="I181" s="19"/>
      <c r="J181" s="13"/>
      <c r="K181" s="19"/>
      <c r="L181" s="13"/>
    </row>
    <row r="182" spans="1:12">
      <c r="A182" s="14"/>
      <c r="B182" s="15"/>
      <c r="C182" s="16"/>
      <c r="D182" s="17"/>
      <c r="E182" s="12"/>
      <c r="F182" s="18"/>
      <c r="G182" s="19"/>
      <c r="H182" s="13"/>
      <c r="I182" s="19"/>
      <c r="J182" s="13"/>
      <c r="K182" s="19"/>
      <c r="L182" s="13"/>
    </row>
    <row r="183" spans="1:12">
      <c r="A183" s="14"/>
      <c r="B183" s="15"/>
      <c r="C183" s="16"/>
      <c r="D183" s="17"/>
      <c r="E183" s="12"/>
      <c r="F183" s="18"/>
      <c r="G183" s="19"/>
      <c r="H183" s="13"/>
      <c r="I183" s="19"/>
      <c r="J183" s="13"/>
      <c r="K183" s="19"/>
      <c r="L183" s="13"/>
    </row>
    <row r="184" spans="1:12">
      <c r="A184" s="14"/>
      <c r="B184" s="15"/>
      <c r="C184" s="16"/>
      <c r="D184" s="17"/>
      <c r="E184" s="12"/>
      <c r="F184" s="18"/>
      <c r="G184" s="19"/>
      <c r="H184" s="13"/>
      <c r="I184" s="19"/>
      <c r="J184" s="13"/>
      <c r="K184" s="19"/>
      <c r="L184" s="13"/>
    </row>
    <row r="185" spans="1:12">
      <c r="A185" s="14"/>
      <c r="B185" s="15"/>
      <c r="C185" s="16"/>
      <c r="D185" s="17"/>
      <c r="E185" s="12"/>
      <c r="F185" s="18"/>
      <c r="G185" s="19"/>
      <c r="H185" s="13"/>
      <c r="I185" s="19"/>
      <c r="J185" s="13"/>
      <c r="K185" s="19"/>
      <c r="L185" s="13"/>
    </row>
    <row r="186" spans="1:12">
      <c r="A186" s="14"/>
      <c r="B186" s="15"/>
      <c r="C186" s="16"/>
      <c r="D186" s="17"/>
      <c r="E186" s="12"/>
      <c r="F186" s="18"/>
      <c r="G186" s="19"/>
      <c r="H186" s="13"/>
      <c r="I186" s="19"/>
      <c r="J186" s="13"/>
      <c r="K186" s="19"/>
      <c r="L186" s="13"/>
    </row>
    <row r="187" spans="1:12">
      <c r="A187" s="14"/>
      <c r="B187" s="15"/>
      <c r="C187" s="16"/>
      <c r="D187" s="17"/>
      <c r="E187" s="12"/>
      <c r="F187" s="18"/>
      <c r="G187" s="19"/>
      <c r="H187" s="13"/>
      <c r="I187" s="19"/>
      <c r="J187" s="13"/>
      <c r="K187" s="19"/>
      <c r="L187" s="13"/>
    </row>
    <row r="188" spans="1:12">
      <c r="A188" s="14"/>
      <c r="B188" s="15"/>
      <c r="C188" s="16"/>
      <c r="D188" s="17"/>
      <c r="E188" s="12"/>
      <c r="F188" s="18"/>
      <c r="G188" s="19"/>
      <c r="H188" s="13"/>
      <c r="I188" s="19"/>
      <c r="J188" s="13"/>
      <c r="K188" s="19"/>
      <c r="L188" s="13"/>
    </row>
    <row r="189" spans="1:12">
      <c r="A189" s="14"/>
      <c r="B189" s="15"/>
      <c r="C189" s="16"/>
      <c r="D189" s="17"/>
      <c r="E189" s="12"/>
      <c r="F189" s="18"/>
      <c r="G189" s="19"/>
      <c r="H189" s="13"/>
      <c r="I189" s="19"/>
      <c r="J189" s="13"/>
      <c r="K189" s="19"/>
      <c r="L189" s="13"/>
    </row>
    <row r="190" spans="1:12">
      <c r="A190" s="14"/>
      <c r="B190" s="15"/>
      <c r="C190" s="16"/>
      <c r="D190" s="17"/>
      <c r="E190" s="12"/>
      <c r="F190" s="18"/>
      <c r="G190" s="19"/>
      <c r="H190" s="13"/>
      <c r="I190" s="19"/>
      <c r="J190" s="13"/>
      <c r="K190" s="19"/>
      <c r="L190" s="13"/>
    </row>
    <row r="191" spans="1:12">
      <c r="A191" s="14"/>
      <c r="B191" s="15"/>
      <c r="C191" s="16"/>
      <c r="D191" s="17"/>
      <c r="E191" s="12"/>
      <c r="F191" s="18"/>
      <c r="G191" s="19"/>
      <c r="H191" s="13"/>
      <c r="I191" s="19"/>
      <c r="J191" s="13"/>
      <c r="K191" s="19"/>
      <c r="L191" s="13"/>
    </row>
    <row r="192" spans="1:12">
      <c r="A192" s="14"/>
      <c r="B192" s="15"/>
      <c r="C192" s="16"/>
      <c r="D192" s="17"/>
      <c r="E192" s="12"/>
      <c r="F192" s="18"/>
      <c r="G192" s="19"/>
      <c r="H192" s="13"/>
      <c r="I192" s="19"/>
      <c r="J192" s="13"/>
      <c r="K192" s="19"/>
      <c r="L192" s="13"/>
    </row>
    <row r="193" spans="1:12">
      <c r="A193" s="14"/>
      <c r="B193" s="15"/>
      <c r="C193" s="16"/>
      <c r="D193" s="17"/>
      <c r="E193" s="12"/>
      <c r="F193" s="18"/>
      <c r="G193" s="19"/>
      <c r="H193" s="13"/>
      <c r="I193" s="19"/>
      <c r="J193" s="13"/>
      <c r="K193" s="19"/>
      <c r="L193" s="13"/>
    </row>
    <row r="194" spans="1:12">
      <c r="A194" s="14"/>
      <c r="B194" s="15"/>
      <c r="C194" s="16"/>
      <c r="D194" s="17"/>
      <c r="E194" s="12"/>
      <c r="F194" s="18"/>
      <c r="G194" s="19"/>
      <c r="H194" s="13"/>
      <c r="I194" s="19"/>
      <c r="J194" s="13"/>
      <c r="K194" s="19"/>
      <c r="L194" s="13"/>
    </row>
    <row r="195" spans="1:12">
      <c r="A195" s="14"/>
      <c r="B195" s="15"/>
      <c r="C195" s="16"/>
      <c r="D195" s="17"/>
      <c r="E195" s="12"/>
      <c r="F195" s="18"/>
      <c r="G195" s="19"/>
      <c r="H195" s="13"/>
      <c r="I195" s="19"/>
      <c r="J195" s="13"/>
      <c r="K195" s="19"/>
      <c r="L195" s="13"/>
    </row>
    <row r="196" spans="1:12">
      <c r="A196" s="14"/>
      <c r="B196" s="15"/>
      <c r="C196" s="16"/>
      <c r="D196" s="17"/>
      <c r="E196" s="12"/>
      <c r="F196" s="18"/>
      <c r="G196" s="19"/>
      <c r="H196" s="13"/>
      <c r="I196" s="19"/>
      <c r="J196" s="13"/>
      <c r="K196" s="19"/>
      <c r="L196" s="13"/>
    </row>
    <row r="197" spans="1:12">
      <c r="A197" s="14"/>
      <c r="B197" s="15"/>
      <c r="C197" s="16"/>
      <c r="D197" s="17"/>
      <c r="E197" s="12"/>
      <c r="F197" s="18"/>
      <c r="G197" s="19"/>
      <c r="H197" s="13"/>
      <c r="I197" s="19"/>
      <c r="J197" s="13"/>
      <c r="K197" s="19"/>
      <c r="L197" s="13"/>
    </row>
    <row r="198" spans="1:12">
      <c r="A198" s="14"/>
      <c r="B198" s="15"/>
      <c r="C198" s="16"/>
      <c r="D198" s="17"/>
      <c r="E198" s="12"/>
      <c r="F198" s="18"/>
      <c r="G198" s="19"/>
      <c r="H198" s="13"/>
      <c r="I198" s="19"/>
      <c r="J198" s="13"/>
      <c r="K198" s="19"/>
      <c r="L198" s="13"/>
    </row>
    <row r="199" spans="1:12">
      <c r="A199" s="14"/>
      <c r="B199" s="15"/>
      <c r="C199" s="16"/>
      <c r="D199" s="17"/>
      <c r="E199" s="12"/>
      <c r="F199" s="18"/>
      <c r="G199" s="19"/>
      <c r="H199" s="13"/>
      <c r="I199" s="19"/>
      <c r="J199" s="13"/>
      <c r="K199" s="19"/>
      <c r="L199" s="13"/>
    </row>
    <row r="200" spans="1:12">
      <c r="A200" s="14"/>
      <c r="B200" s="15"/>
      <c r="C200" s="16"/>
      <c r="D200" s="17"/>
      <c r="E200" s="12"/>
      <c r="F200" s="18"/>
      <c r="G200" s="19"/>
      <c r="H200" s="13"/>
      <c r="I200" s="19"/>
      <c r="J200" s="13"/>
      <c r="K200" s="19"/>
      <c r="L200" s="13"/>
    </row>
    <row r="201" spans="1:12">
      <c r="A201" s="14"/>
      <c r="B201" s="15"/>
      <c r="C201" s="16"/>
      <c r="D201" s="17"/>
      <c r="E201" s="12"/>
      <c r="F201" s="18"/>
      <c r="G201" s="19"/>
      <c r="H201" s="13"/>
      <c r="I201" s="19"/>
      <c r="J201" s="13"/>
      <c r="K201" s="19"/>
      <c r="L201" s="13"/>
    </row>
    <row r="202" spans="1:12">
      <c r="A202" s="14"/>
      <c r="B202" s="15"/>
      <c r="C202" s="16"/>
      <c r="D202" s="17"/>
      <c r="E202" s="12"/>
      <c r="F202" s="18"/>
      <c r="G202" s="19"/>
      <c r="H202" s="13"/>
      <c r="I202" s="19"/>
      <c r="J202" s="13"/>
      <c r="K202" s="19"/>
      <c r="L202" s="13"/>
    </row>
    <row r="203" spans="1:12">
      <c r="A203" s="14"/>
      <c r="B203" s="15"/>
      <c r="C203" s="16"/>
      <c r="D203" s="17"/>
      <c r="E203" s="12"/>
      <c r="F203" s="18"/>
      <c r="G203" s="19"/>
      <c r="H203" s="13"/>
      <c r="I203" s="19"/>
      <c r="J203" s="13"/>
      <c r="K203" s="19"/>
      <c r="L203" s="13"/>
    </row>
    <row r="204" spans="1:12">
      <c r="A204" s="14"/>
      <c r="B204" s="15"/>
      <c r="C204" s="16"/>
      <c r="D204" s="17"/>
      <c r="E204" s="12"/>
      <c r="F204" s="18"/>
      <c r="G204" s="19"/>
      <c r="H204" s="13"/>
      <c r="I204" s="19"/>
      <c r="J204" s="13"/>
      <c r="K204" s="19"/>
      <c r="L204" s="13"/>
    </row>
    <row r="205" spans="1:12">
      <c r="A205" s="14"/>
      <c r="B205" s="15"/>
      <c r="C205" s="16"/>
      <c r="D205" s="17"/>
      <c r="E205" s="12"/>
      <c r="F205" s="18"/>
      <c r="G205" s="19"/>
      <c r="H205" s="13"/>
      <c r="I205" s="19"/>
      <c r="J205" s="13"/>
      <c r="K205" s="19"/>
      <c r="L205" s="13"/>
    </row>
    <row r="206" spans="1:12">
      <c r="A206" s="14"/>
      <c r="B206" s="15"/>
      <c r="C206" s="16"/>
      <c r="D206" s="17"/>
      <c r="E206" s="12"/>
      <c r="F206" s="18"/>
      <c r="G206" s="19"/>
      <c r="H206" s="13"/>
      <c r="I206" s="19"/>
      <c r="J206" s="13"/>
      <c r="K206" s="19"/>
      <c r="L206" s="13"/>
    </row>
    <row r="207" spans="1:12">
      <c r="A207" s="14"/>
      <c r="B207" s="15"/>
      <c r="C207" s="16"/>
      <c r="D207" s="17"/>
      <c r="E207" s="12"/>
      <c r="F207" s="18"/>
      <c r="G207" s="19"/>
      <c r="H207" s="13"/>
      <c r="I207" s="19"/>
      <c r="J207" s="13"/>
      <c r="K207" s="19"/>
      <c r="L207" s="13"/>
    </row>
    <row r="208" spans="1:12">
      <c r="A208" s="14"/>
      <c r="B208" s="15"/>
      <c r="C208" s="16"/>
      <c r="D208" s="17"/>
      <c r="E208" s="12"/>
      <c r="F208" s="18"/>
      <c r="G208" s="19"/>
      <c r="H208" s="13"/>
      <c r="I208" s="19"/>
      <c r="J208" s="13"/>
      <c r="K208" s="19"/>
      <c r="L208" s="13"/>
    </row>
    <row r="209" spans="1:12">
      <c r="A209" s="14"/>
      <c r="B209" s="15"/>
      <c r="C209" s="16"/>
      <c r="D209" s="17"/>
      <c r="E209" s="12"/>
      <c r="F209" s="18"/>
      <c r="G209" s="19"/>
      <c r="H209" s="13"/>
      <c r="I209" s="19"/>
      <c r="J209" s="13"/>
      <c r="K209" s="19"/>
      <c r="L209" s="13"/>
    </row>
    <row r="210" spans="1:12">
      <c r="A210" s="14"/>
      <c r="B210" s="15"/>
      <c r="C210" s="16"/>
      <c r="D210" s="17"/>
      <c r="E210" s="12"/>
      <c r="F210" s="18"/>
      <c r="G210" s="19"/>
      <c r="H210" s="13"/>
      <c r="I210" s="19"/>
      <c r="J210" s="13"/>
      <c r="K210" s="19"/>
      <c r="L210" s="13"/>
    </row>
    <row r="211" spans="1:12">
      <c r="A211" s="14"/>
      <c r="B211" s="15"/>
      <c r="C211" s="16"/>
      <c r="D211" s="17"/>
      <c r="E211" s="12"/>
      <c r="F211" s="18"/>
      <c r="G211" s="19"/>
      <c r="H211" s="13"/>
      <c r="I211" s="19"/>
      <c r="J211" s="13"/>
      <c r="K211" s="19"/>
      <c r="L211" s="13"/>
    </row>
    <row r="212" spans="1:12">
      <c r="A212" s="14"/>
      <c r="B212" s="15"/>
      <c r="C212" s="16"/>
      <c r="D212" s="17"/>
      <c r="E212" s="12"/>
      <c r="F212" s="18"/>
      <c r="G212" s="19"/>
      <c r="H212" s="13"/>
      <c r="I212" s="19"/>
      <c r="J212" s="13"/>
      <c r="K212" s="19"/>
      <c r="L212" s="13"/>
    </row>
    <row r="213" spans="1:12">
      <c r="A213" s="14"/>
      <c r="B213" s="15"/>
      <c r="C213" s="16"/>
      <c r="D213" s="17"/>
      <c r="E213" s="12"/>
      <c r="F213" s="18"/>
      <c r="G213" s="19"/>
      <c r="H213" s="13"/>
      <c r="I213" s="19"/>
      <c r="J213" s="13"/>
      <c r="K213" s="19"/>
      <c r="L213" s="13"/>
    </row>
    <row r="214" spans="1:12">
      <c r="A214" s="14"/>
      <c r="B214" s="15"/>
      <c r="C214" s="16"/>
      <c r="D214" s="17"/>
      <c r="E214" s="12"/>
      <c r="F214" s="18"/>
      <c r="G214" s="19"/>
      <c r="H214" s="13"/>
      <c r="I214" s="19"/>
      <c r="J214" s="13"/>
      <c r="K214" s="19"/>
      <c r="L214" s="13"/>
    </row>
    <row r="215" spans="1:12">
      <c r="A215" s="14"/>
      <c r="B215" s="15"/>
      <c r="C215" s="16"/>
      <c r="D215" s="17"/>
      <c r="E215" s="12"/>
      <c r="F215" s="18"/>
      <c r="G215" s="19"/>
      <c r="H215" s="13"/>
      <c r="I215" s="19"/>
      <c r="J215" s="13"/>
      <c r="K215" s="19"/>
      <c r="L215" s="13"/>
    </row>
    <row r="216" spans="1:12">
      <c r="A216" s="14"/>
      <c r="B216" s="15"/>
      <c r="C216" s="16"/>
      <c r="D216" s="17"/>
      <c r="E216" s="12"/>
      <c r="F216" s="18"/>
      <c r="G216" s="19"/>
      <c r="H216" s="13"/>
      <c r="I216" s="19"/>
      <c r="J216" s="13"/>
      <c r="K216" s="19"/>
      <c r="L216" s="13"/>
    </row>
    <row r="217" spans="1:12">
      <c r="A217" s="14"/>
      <c r="B217" s="15"/>
      <c r="C217" s="16"/>
      <c r="D217" s="17"/>
      <c r="E217" s="12"/>
      <c r="F217" s="18"/>
      <c r="G217" s="19"/>
      <c r="H217" s="13"/>
      <c r="I217" s="19"/>
      <c r="J217" s="13"/>
      <c r="K217" s="19"/>
      <c r="L217" s="13"/>
    </row>
    <row r="218" spans="1:12">
      <c r="A218" s="14"/>
      <c r="B218" s="15"/>
      <c r="C218" s="16"/>
      <c r="D218" s="17"/>
      <c r="E218" s="12"/>
      <c r="F218" s="18"/>
      <c r="G218" s="19"/>
      <c r="H218" s="13"/>
      <c r="I218" s="19"/>
      <c r="J218" s="13"/>
      <c r="K218" s="19"/>
      <c r="L218" s="13"/>
    </row>
    <row r="219" spans="1:12">
      <c r="A219" s="14"/>
      <c r="B219" s="15"/>
      <c r="C219" s="16"/>
      <c r="D219" s="17"/>
      <c r="E219" s="12"/>
      <c r="F219" s="18"/>
      <c r="G219" s="19"/>
      <c r="H219" s="13"/>
      <c r="I219" s="19"/>
      <c r="J219" s="13"/>
      <c r="K219" s="19"/>
      <c r="L219" s="13"/>
    </row>
    <row r="220" spans="1:12">
      <c r="A220" s="14"/>
      <c r="B220" s="15"/>
      <c r="C220" s="16"/>
      <c r="D220" s="17"/>
      <c r="E220" s="12"/>
      <c r="F220" s="18"/>
      <c r="G220" s="19"/>
      <c r="H220" s="13"/>
      <c r="I220" s="19"/>
      <c r="J220" s="13"/>
      <c r="K220" s="19"/>
      <c r="L220" s="13"/>
    </row>
    <row r="221" spans="1:12">
      <c r="A221" s="14"/>
      <c r="B221" s="15"/>
      <c r="C221" s="16"/>
      <c r="D221" s="17"/>
      <c r="E221" s="12"/>
      <c r="F221" s="18"/>
      <c r="G221" s="19"/>
      <c r="H221" s="13"/>
      <c r="I221" s="19"/>
      <c r="J221" s="13"/>
      <c r="K221" s="19"/>
      <c r="L221" s="13"/>
    </row>
    <row r="222" spans="1:12">
      <c r="A222" s="14"/>
      <c r="B222" s="15"/>
      <c r="C222" s="16"/>
      <c r="D222" s="17"/>
      <c r="E222" s="12"/>
      <c r="F222" s="18"/>
      <c r="G222" s="19"/>
      <c r="H222" s="13"/>
      <c r="I222" s="19"/>
      <c r="J222" s="13"/>
      <c r="K222" s="19"/>
      <c r="L222" s="13"/>
    </row>
    <row r="223" spans="1:12">
      <c r="A223" s="14"/>
      <c r="B223" s="15"/>
      <c r="C223" s="16"/>
      <c r="D223" s="17"/>
      <c r="E223" s="12"/>
      <c r="F223" s="18"/>
      <c r="G223" s="19"/>
      <c r="H223" s="13"/>
      <c r="I223" s="19"/>
      <c r="J223" s="13"/>
      <c r="K223" s="19"/>
      <c r="L223" s="13"/>
    </row>
    <row r="224" spans="1:12">
      <c r="A224" s="14"/>
      <c r="B224" s="15"/>
      <c r="C224" s="16"/>
      <c r="D224" s="17"/>
      <c r="E224" s="12"/>
      <c r="F224" s="18"/>
      <c r="G224" s="19"/>
      <c r="H224" s="13"/>
      <c r="I224" s="19"/>
      <c r="J224" s="13"/>
      <c r="K224" s="19"/>
      <c r="L224" s="13"/>
    </row>
    <row r="225" spans="1:12">
      <c r="A225" s="14"/>
      <c r="B225" s="15"/>
      <c r="C225" s="16"/>
      <c r="D225" s="17"/>
      <c r="E225" s="12"/>
      <c r="F225" s="18"/>
      <c r="G225" s="19"/>
      <c r="H225" s="13"/>
      <c r="I225" s="19"/>
      <c r="J225" s="13"/>
      <c r="K225" s="19"/>
      <c r="L225" s="13"/>
    </row>
    <row r="226" spans="1:12">
      <c r="A226" s="14"/>
      <c r="B226" s="15"/>
      <c r="C226" s="16"/>
      <c r="D226" s="17"/>
      <c r="E226" s="12"/>
      <c r="F226" s="18"/>
      <c r="G226" s="19"/>
      <c r="H226" s="13"/>
      <c r="I226" s="19"/>
      <c r="J226" s="13"/>
      <c r="K226" s="19"/>
      <c r="L226" s="13"/>
    </row>
    <row r="227" spans="1:12">
      <c r="A227" s="14"/>
      <c r="B227" s="15"/>
      <c r="C227" s="16"/>
      <c r="D227" s="17"/>
      <c r="E227" s="12"/>
      <c r="F227" s="18"/>
      <c r="G227" s="19"/>
      <c r="H227" s="13"/>
      <c r="I227" s="19"/>
      <c r="J227" s="13"/>
      <c r="K227" s="19"/>
      <c r="L227" s="13"/>
    </row>
    <row r="228" spans="1:12">
      <c r="A228" s="14"/>
      <c r="B228" s="15"/>
      <c r="C228" s="16"/>
      <c r="D228" s="17"/>
      <c r="E228" s="12"/>
      <c r="F228" s="18"/>
      <c r="G228" s="19"/>
      <c r="H228" s="13"/>
      <c r="I228" s="19"/>
      <c r="J228" s="13"/>
      <c r="K228" s="19"/>
      <c r="L228" s="13"/>
    </row>
    <row r="229" spans="1:12">
      <c r="A229" s="14"/>
      <c r="B229" s="15"/>
      <c r="C229" s="16"/>
      <c r="D229" s="17"/>
      <c r="E229" s="12"/>
      <c r="F229" s="18"/>
      <c r="G229" s="19"/>
      <c r="H229" s="13"/>
      <c r="I229" s="19"/>
      <c r="J229" s="13"/>
      <c r="K229" s="19"/>
      <c r="L229" s="13"/>
    </row>
    <row r="230" spans="1:12">
      <c r="A230" s="14"/>
      <c r="B230" s="15"/>
      <c r="C230" s="16"/>
      <c r="D230" s="17"/>
      <c r="E230" s="12"/>
      <c r="F230" s="18"/>
      <c r="G230" s="19"/>
      <c r="H230" s="13"/>
      <c r="I230" s="19"/>
      <c r="J230" s="13"/>
      <c r="K230" s="19"/>
      <c r="L230" s="13"/>
    </row>
    <row r="231" spans="1:12">
      <c r="A231" s="14"/>
      <c r="B231" s="15"/>
      <c r="C231" s="16"/>
      <c r="D231" s="17"/>
      <c r="E231" s="12"/>
      <c r="F231" s="18"/>
      <c r="G231" s="19"/>
      <c r="H231" s="13"/>
      <c r="I231" s="19"/>
      <c r="J231" s="13"/>
      <c r="K231" s="19"/>
      <c r="L231" s="13"/>
    </row>
    <row r="232" spans="1:12">
      <c r="A232" s="14"/>
      <c r="B232" s="15"/>
      <c r="C232" s="16"/>
      <c r="D232" s="17"/>
      <c r="E232" s="12"/>
      <c r="F232" s="18"/>
      <c r="G232" s="19"/>
      <c r="H232" s="13"/>
      <c r="I232" s="19"/>
      <c r="J232" s="13"/>
      <c r="K232" s="19"/>
      <c r="L232" s="13"/>
    </row>
    <row r="233" spans="1:12">
      <c r="A233" s="14"/>
      <c r="B233" s="15"/>
      <c r="C233" s="16"/>
      <c r="D233" s="17"/>
      <c r="E233" s="12"/>
      <c r="F233" s="18"/>
      <c r="G233" s="19"/>
      <c r="H233" s="13"/>
      <c r="I233" s="19"/>
      <c r="J233" s="13"/>
      <c r="K233" s="19"/>
      <c r="L233" s="13"/>
    </row>
    <row r="234" spans="1:12">
      <c r="A234" s="14"/>
      <c r="B234" s="15"/>
      <c r="C234" s="16"/>
      <c r="D234" s="17"/>
      <c r="E234" s="12"/>
      <c r="F234" s="18"/>
      <c r="G234" s="19"/>
      <c r="H234" s="13"/>
      <c r="I234" s="19"/>
      <c r="J234" s="13"/>
      <c r="K234" s="19"/>
      <c r="L234" s="13"/>
    </row>
    <row r="235" spans="1:12">
      <c r="A235" s="14"/>
      <c r="B235" s="15"/>
      <c r="C235" s="16"/>
      <c r="D235" s="17"/>
      <c r="E235" s="12"/>
      <c r="F235" s="18"/>
      <c r="G235" s="19"/>
      <c r="H235" s="13"/>
      <c r="I235" s="19"/>
      <c r="J235" s="13"/>
      <c r="K235" s="19"/>
      <c r="L235" s="13"/>
    </row>
    <row r="236" spans="1:12">
      <c r="A236" s="14"/>
      <c r="B236" s="15"/>
      <c r="C236" s="16"/>
      <c r="D236" s="17"/>
      <c r="E236" s="12"/>
      <c r="F236" s="18"/>
      <c r="G236" s="19"/>
      <c r="H236" s="13"/>
      <c r="I236" s="19"/>
      <c r="J236" s="13"/>
      <c r="K236" s="19"/>
      <c r="L236" s="13"/>
    </row>
    <row r="237" spans="1:12">
      <c r="A237" s="14"/>
      <c r="B237" s="15"/>
      <c r="C237" s="16"/>
      <c r="D237" s="17"/>
      <c r="E237" s="12"/>
      <c r="F237" s="18"/>
      <c r="G237" s="19"/>
      <c r="H237" s="13"/>
      <c r="I237" s="19"/>
      <c r="J237" s="13"/>
      <c r="K237" s="19"/>
      <c r="L237" s="13"/>
    </row>
    <row r="238" spans="1:12">
      <c r="A238" s="14"/>
      <c r="B238" s="15"/>
      <c r="C238" s="16"/>
      <c r="D238" s="17"/>
      <c r="E238" s="12"/>
      <c r="F238" s="18"/>
      <c r="G238" s="19"/>
      <c r="H238" s="13"/>
      <c r="I238" s="19"/>
      <c r="J238" s="13"/>
      <c r="K238" s="19"/>
      <c r="L238" s="13"/>
    </row>
    <row r="239" spans="1:12">
      <c r="A239" s="14"/>
      <c r="B239" s="15"/>
      <c r="C239" s="16"/>
      <c r="D239" s="17"/>
      <c r="E239" s="12"/>
      <c r="F239" s="18"/>
      <c r="G239" s="19"/>
      <c r="H239" s="13"/>
      <c r="I239" s="19"/>
      <c r="J239" s="13"/>
      <c r="K239" s="19"/>
      <c r="L239" s="13"/>
    </row>
    <row r="240" spans="1:12">
      <c r="A240" s="14"/>
      <c r="B240" s="15"/>
      <c r="C240" s="16"/>
      <c r="D240" s="17"/>
      <c r="E240" s="12"/>
      <c r="F240" s="18"/>
      <c r="G240" s="19"/>
      <c r="H240" s="13"/>
      <c r="I240" s="19"/>
      <c r="J240" s="13"/>
      <c r="K240" s="19"/>
      <c r="L240" s="13"/>
    </row>
    <row r="241" spans="1:12">
      <c r="A241" s="14"/>
      <c r="B241" s="15"/>
      <c r="C241" s="16"/>
      <c r="D241" s="17"/>
      <c r="E241" s="12"/>
      <c r="F241" s="18"/>
      <c r="G241" s="19"/>
      <c r="H241" s="13"/>
      <c r="I241" s="19"/>
      <c r="J241" s="13"/>
      <c r="K241" s="19"/>
      <c r="L241" s="13"/>
    </row>
    <row r="242" spans="1:12">
      <c r="A242" s="14"/>
      <c r="B242" s="15"/>
      <c r="C242" s="16"/>
      <c r="D242" s="17"/>
      <c r="E242" s="12"/>
      <c r="F242" s="18"/>
      <c r="G242" s="19"/>
      <c r="H242" s="13"/>
      <c r="I242" s="19"/>
      <c r="J242" s="13"/>
      <c r="K242" s="19"/>
      <c r="L242" s="13"/>
    </row>
    <row r="243" spans="1:12">
      <c r="A243" s="14"/>
      <c r="B243" s="15"/>
      <c r="C243" s="16"/>
      <c r="D243" s="17"/>
      <c r="E243" s="12"/>
      <c r="F243" s="18"/>
      <c r="G243" s="19"/>
      <c r="H243" s="13"/>
      <c r="I243" s="19"/>
      <c r="J243" s="13"/>
      <c r="K243" s="19"/>
      <c r="L243" s="13"/>
    </row>
    <row r="244" spans="1:12">
      <c r="A244" s="14"/>
      <c r="B244" s="15"/>
      <c r="C244" s="16"/>
      <c r="D244" s="17"/>
      <c r="E244" s="12"/>
      <c r="F244" s="18"/>
      <c r="G244" s="19"/>
      <c r="H244" s="13"/>
      <c r="I244" s="19"/>
      <c r="J244" s="13"/>
      <c r="K244" s="19"/>
      <c r="L244" s="13"/>
    </row>
    <row r="245" spans="1:12">
      <c r="A245" s="14"/>
      <c r="B245" s="15"/>
      <c r="C245" s="16"/>
      <c r="D245" s="17"/>
      <c r="E245" s="12"/>
      <c r="F245" s="18"/>
      <c r="G245" s="19"/>
      <c r="H245" s="13"/>
      <c r="I245" s="19"/>
      <c r="J245" s="13"/>
      <c r="K245" s="19"/>
      <c r="L245" s="13"/>
    </row>
    <row r="246" spans="1:12">
      <c r="A246" s="14"/>
      <c r="B246" s="15"/>
      <c r="C246" s="16"/>
      <c r="D246" s="17"/>
      <c r="E246" s="12"/>
      <c r="F246" s="18"/>
      <c r="G246" s="19"/>
      <c r="H246" s="13"/>
      <c r="I246" s="19"/>
      <c r="J246" s="13"/>
      <c r="K246" s="19"/>
      <c r="L246" s="13"/>
    </row>
    <row r="247" spans="1:12">
      <c r="A247" s="14"/>
      <c r="B247" s="15"/>
      <c r="C247" s="16"/>
      <c r="D247" s="17"/>
      <c r="E247" s="12"/>
      <c r="F247" s="18"/>
      <c r="G247" s="19"/>
      <c r="H247" s="13"/>
      <c r="I247" s="19"/>
      <c r="J247" s="13"/>
      <c r="K247" s="19"/>
      <c r="L247" s="13"/>
    </row>
    <row r="248" spans="1:12">
      <c r="A248" s="14"/>
      <c r="B248" s="15"/>
      <c r="C248" s="16"/>
      <c r="D248" s="17"/>
      <c r="E248" s="12"/>
      <c r="F248" s="18"/>
      <c r="G248" s="19"/>
      <c r="H248" s="13"/>
      <c r="I248" s="19"/>
      <c r="J248" s="13"/>
      <c r="K248" s="19"/>
      <c r="L248" s="13"/>
    </row>
    <row r="249" spans="1:12">
      <c r="A249" s="14"/>
      <c r="B249" s="15"/>
      <c r="C249" s="16"/>
      <c r="D249" s="17"/>
      <c r="E249" s="12"/>
      <c r="F249" s="18"/>
      <c r="G249" s="19"/>
      <c r="H249" s="13"/>
      <c r="I249" s="19"/>
      <c r="J249" s="13"/>
      <c r="K249" s="19"/>
      <c r="L249" s="13"/>
    </row>
    <row r="250" spans="1:12">
      <c r="A250" s="14"/>
      <c r="B250" s="15"/>
      <c r="C250" s="16"/>
      <c r="D250" s="17"/>
      <c r="E250" s="12"/>
      <c r="F250" s="18"/>
      <c r="G250" s="19"/>
      <c r="H250" s="13"/>
      <c r="I250" s="19"/>
      <c r="J250" s="13"/>
      <c r="K250" s="19"/>
      <c r="L250" s="13"/>
    </row>
    <row r="251" spans="1:12">
      <c r="A251" s="14"/>
      <c r="B251" s="15"/>
      <c r="C251" s="16"/>
      <c r="D251" s="17"/>
      <c r="E251" s="12"/>
      <c r="F251" s="18"/>
      <c r="G251" s="19"/>
      <c r="H251" s="13"/>
      <c r="I251" s="19"/>
      <c r="J251" s="13"/>
      <c r="K251" s="19"/>
      <c r="L251" s="13"/>
    </row>
    <row r="252" spans="1:12">
      <c r="A252" s="14"/>
      <c r="B252" s="15"/>
      <c r="C252" s="16"/>
      <c r="D252" s="17"/>
      <c r="E252" s="12"/>
      <c r="F252" s="18"/>
      <c r="G252" s="19"/>
      <c r="H252" s="13"/>
      <c r="I252" s="19"/>
      <c r="J252" s="13"/>
      <c r="K252" s="19"/>
      <c r="L252" s="13"/>
    </row>
    <row r="253" spans="1:12">
      <c r="A253" s="14"/>
      <c r="B253" s="15"/>
      <c r="C253" s="16"/>
      <c r="D253" s="17"/>
      <c r="E253" s="12"/>
      <c r="F253" s="18"/>
      <c r="G253" s="19"/>
      <c r="H253" s="13"/>
      <c r="I253" s="19"/>
      <c r="J253" s="13"/>
      <c r="K253" s="19"/>
      <c r="L253" s="13"/>
    </row>
    <row r="254" spans="1:12">
      <c r="A254" s="14"/>
      <c r="B254" s="15"/>
      <c r="C254" s="16"/>
      <c r="D254" s="17"/>
      <c r="E254" s="12"/>
      <c r="F254" s="18"/>
      <c r="G254" s="19"/>
      <c r="H254" s="13"/>
      <c r="I254" s="19"/>
      <c r="J254" s="13"/>
      <c r="K254" s="19"/>
      <c r="L254" s="13"/>
    </row>
    <row r="255" spans="1:12">
      <c r="A255" s="14"/>
      <c r="B255" s="15"/>
      <c r="C255" s="16"/>
      <c r="D255" s="17"/>
      <c r="E255" s="12"/>
      <c r="F255" s="18"/>
      <c r="G255" s="19"/>
      <c r="H255" s="13"/>
      <c r="I255" s="19"/>
      <c r="J255" s="13"/>
      <c r="K255" s="19"/>
      <c r="L255" s="13"/>
    </row>
    <row r="256" spans="1:12">
      <c r="A256" s="14"/>
      <c r="B256" s="15"/>
      <c r="C256" s="16"/>
      <c r="D256" s="17"/>
      <c r="E256" s="12"/>
      <c r="F256" s="18"/>
      <c r="G256" s="19"/>
      <c r="H256" s="13"/>
      <c r="I256" s="19"/>
      <c r="J256" s="13"/>
      <c r="K256" s="19"/>
      <c r="L256" s="13"/>
    </row>
    <row r="257" spans="1:12">
      <c r="A257" s="14"/>
      <c r="B257" s="15"/>
      <c r="C257" s="16"/>
      <c r="D257" s="17"/>
      <c r="E257" s="12"/>
      <c r="F257" s="18"/>
      <c r="G257" s="19"/>
      <c r="H257" s="13"/>
      <c r="I257" s="19"/>
      <c r="J257" s="13"/>
      <c r="K257" s="19"/>
      <c r="L257" s="13"/>
    </row>
    <row r="258" spans="1:12">
      <c r="A258" s="14"/>
      <c r="B258" s="15"/>
      <c r="C258" s="16"/>
      <c r="D258" s="17"/>
      <c r="E258" s="12"/>
      <c r="F258" s="18"/>
      <c r="G258" s="19"/>
      <c r="H258" s="13"/>
      <c r="I258" s="19"/>
      <c r="J258" s="13"/>
      <c r="K258" s="19"/>
      <c r="L258" s="13"/>
    </row>
    <row r="259" spans="1:12">
      <c r="A259" s="14"/>
      <c r="B259" s="15"/>
      <c r="C259" s="16"/>
      <c r="D259" s="17"/>
      <c r="E259" s="12"/>
      <c r="F259" s="18"/>
      <c r="G259" s="19"/>
      <c r="H259" s="13"/>
      <c r="I259" s="19"/>
      <c r="J259" s="13"/>
      <c r="K259" s="19"/>
      <c r="L259" s="13"/>
    </row>
    <row r="260" spans="1:12">
      <c r="A260" s="14"/>
      <c r="B260" s="15"/>
      <c r="C260" s="16"/>
      <c r="D260" s="17"/>
      <c r="E260" s="12"/>
      <c r="F260" s="18"/>
      <c r="G260" s="19"/>
      <c r="H260" s="13"/>
      <c r="I260" s="19"/>
      <c r="J260" s="13"/>
      <c r="K260" s="19"/>
      <c r="L260" s="13"/>
    </row>
    <row r="261" spans="1:12">
      <c r="A261" s="14"/>
      <c r="B261" s="15"/>
      <c r="C261" s="16"/>
      <c r="D261" s="17"/>
      <c r="E261" s="12"/>
      <c r="F261" s="18"/>
      <c r="G261" s="19"/>
      <c r="H261" s="13"/>
      <c r="I261" s="19"/>
      <c r="J261" s="13"/>
      <c r="K261" s="19"/>
      <c r="L261" s="13"/>
    </row>
    <row r="262" spans="1:12">
      <c r="A262" s="14"/>
      <c r="B262" s="15"/>
      <c r="C262" s="16"/>
      <c r="D262" s="17"/>
      <c r="E262" s="12"/>
      <c r="F262" s="18"/>
      <c r="G262" s="19"/>
      <c r="H262" s="13"/>
      <c r="I262" s="19"/>
      <c r="J262" s="13"/>
      <c r="K262" s="19"/>
      <c r="L262" s="13"/>
    </row>
    <row r="263" spans="1:12">
      <c r="A263" s="14"/>
      <c r="B263" s="15"/>
      <c r="C263" s="16"/>
      <c r="D263" s="17"/>
      <c r="E263" s="12"/>
      <c r="F263" s="18"/>
      <c r="G263" s="19"/>
      <c r="H263" s="13"/>
      <c r="I263" s="19"/>
      <c r="J263" s="13"/>
      <c r="K263" s="19"/>
      <c r="L263" s="13"/>
    </row>
    <row r="264" spans="1:12">
      <c r="A264" s="14"/>
      <c r="B264" s="15"/>
      <c r="C264" s="16"/>
      <c r="D264" s="17"/>
      <c r="E264" s="12"/>
      <c r="F264" s="18"/>
      <c r="G264" s="19"/>
      <c r="H264" s="13"/>
      <c r="I264" s="19"/>
      <c r="J264" s="13"/>
      <c r="K264" s="19"/>
      <c r="L264" s="13"/>
    </row>
    <row r="265" spans="1:12">
      <c r="A265" s="14"/>
      <c r="B265" s="15"/>
      <c r="C265" s="16"/>
      <c r="D265" s="17"/>
      <c r="E265" s="12"/>
      <c r="F265" s="18"/>
      <c r="G265" s="19"/>
      <c r="H265" s="13"/>
      <c r="I265" s="19"/>
      <c r="J265" s="13"/>
      <c r="K265" s="19"/>
      <c r="L265" s="13"/>
    </row>
    <row r="266" spans="1:12">
      <c r="A266" s="14"/>
      <c r="B266" s="15"/>
      <c r="C266" s="16"/>
      <c r="D266" s="17"/>
      <c r="E266" s="12"/>
      <c r="F266" s="18"/>
      <c r="G266" s="19"/>
      <c r="H266" s="13"/>
      <c r="I266" s="19"/>
      <c r="J266" s="13"/>
      <c r="K266" s="19"/>
      <c r="L266" s="13"/>
    </row>
    <row r="267" spans="1:12">
      <c r="A267" s="14"/>
      <c r="B267" s="15"/>
      <c r="C267" s="16"/>
      <c r="D267" s="17"/>
      <c r="E267" s="12"/>
      <c r="F267" s="18"/>
      <c r="G267" s="19"/>
      <c r="H267" s="13"/>
      <c r="I267" s="19"/>
      <c r="J267" s="13"/>
      <c r="K267" s="19"/>
      <c r="L267" s="13"/>
    </row>
    <row r="268" spans="1:12">
      <c r="A268" s="14"/>
      <c r="B268" s="15"/>
      <c r="C268" s="16"/>
      <c r="D268" s="17"/>
      <c r="E268" s="12"/>
      <c r="F268" s="18"/>
      <c r="G268" s="19"/>
      <c r="H268" s="13"/>
      <c r="I268" s="19"/>
      <c r="J268" s="13"/>
      <c r="K268" s="19"/>
      <c r="L268" s="13"/>
    </row>
    <row r="269" spans="1:12">
      <c r="A269" s="14"/>
      <c r="B269" s="15"/>
      <c r="C269" s="16"/>
      <c r="D269" s="17"/>
      <c r="E269" s="12"/>
      <c r="F269" s="18"/>
      <c r="G269" s="19"/>
      <c r="H269" s="13"/>
      <c r="I269" s="19"/>
      <c r="J269" s="13"/>
      <c r="K269" s="19"/>
      <c r="L269" s="13"/>
    </row>
    <row r="270" spans="1:12">
      <c r="A270" s="14"/>
      <c r="B270" s="15"/>
      <c r="C270" s="16"/>
      <c r="D270" s="17"/>
      <c r="E270" s="12"/>
      <c r="F270" s="18"/>
      <c r="G270" s="19"/>
      <c r="H270" s="13"/>
      <c r="I270" s="19"/>
      <c r="J270" s="13"/>
      <c r="K270" s="19"/>
      <c r="L270" s="13"/>
    </row>
    <row r="271" spans="1:12">
      <c r="A271" s="14"/>
      <c r="B271" s="15"/>
      <c r="C271" s="16"/>
      <c r="D271" s="17"/>
      <c r="E271" s="12"/>
      <c r="F271" s="18"/>
      <c r="G271" s="19"/>
      <c r="H271" s="13"/>
      <c r="I271" s="19"/>
      <c r="J271" s="13"/>
      <c r="K271" s="19"/>
      <c r="L271" s="13"/>
    </row>
    <row r="272" spans="1:12">
      <c r="A272" s="14"/>
      <c r="B272" s="15"/>
      <c r="C272" s="16"/>
      <c r="D272" s="17"/>
      <c r="E272" s="12"/>
      <c r="F272" s="18"/>
      <c r="G272" s="19"/>
      <c r="H272" s="13"/>
      <c r="I272" s="19"/>
      <c r="J272" s="13"/>
      <c r="K272" s="19"/>
      <c r="L272" s="13"/>
    </row>
    <row r="273" spans="1:12">
      <c r="A273" s="14"/>
      <c r="B273" s="15"/>
      <c r="C273" s="16"/>
      <c r="D273" s="17"/>
      <c r="E273" s="12"/>
      <c r="F273" s="18"/>
      <c r="G273" s="19"/>
      <c r="H273" s="13"/>
      <c r="I273" s="19"/>
      <c r="J273" s="13"/>
      <c r="K273" s="19"/>
      <c r="L273" s="13"/>
    </row>
    <row r="274" spans="1:12">
      <c r="A274" s="14"/>
      <c r="B274" s="15"/>
      <c r="C274" s="16"/>
      <c r="D274" s="17"/>
      <c r="E274" s="12"/>
      <c r="F274" s="18"/>
      <c r="G274" s="19"/>
      <c r="H274" s="13"/>
      <c r="I274" s="19"/>
      <c r="J274" s="13"/>
      <c r="K274" s="19"/>
      <c r="L274" s="13"/>
    </row>
    <row r="275" spans="1:12">
      <c r="A275" s="14"/>
      <c r="B275" s="15"/>
      <c r="C275" s="16"/>
      <c r="D275" s="17"/>
      <c r="E275" s="12"/>
      <c r="F275" s="18"/>
      <c r="G275" s="19"/>
      <c r="H275" s="13"/>
      <c r="I275" s="19"/>
      <c r="J275" s="13"/>
      <c r="K275" s="19"/>
      <c r="L275" s="13"/>
    </row>
    <row r="276" spans="1:12">
      <c r="A276" s="14"/>
      <c r="B276" s="15"/>
      <c r="C276" s="16"/>
      <c r="D276" s="17"/>
      <c r="E276" s="12"/>
      <c r="F276" s="18"/>
      <c r="G276" s="19"/>
      <c r="H276" s="13"/>
      <c r="I276" s="19"/>
      <c r="J276" s="13"/>
      <c r="K276" s="19"/>
      <c r="L276" s="13"/>
    </row>
    <row r="277" spans="1:12">
      <c r="A277" s="14"/>
      <c r="B277" s="15"/>
      <c r="C277" s="16"/>
      <c r="D277" s="17"/>
      <c r="E277" s="12"/>
      <c r="F277" s="18"/>
      <c r="G277" s="19"/>
      <c r="H277" s="13"/>
      <c r="I277" s="19"/>
      <c r="J277" s="13"/>
      <c r="K277" s="19"/>
      <c r="L277" s="13"/>
    </row>
    <row r="278" spans="1:12">
      <c r="A278" s="14"/>
      <c r="B278" s="15"/>
      <c r="C278" s="16"/>
      <c r="D278" s="17"/>
      <c r="E278" s="12"/>
      <c r="F278" s="18"/>
      <c r="G278" s="19"/>
      <c r="H278" s="13"/>
      <c r="I278" s="19"/>
      <c r="J278" s="13"/>
      <c r="K278" s="19"/>
      <c r="L278" s="13"/>
    </row>
    <row r="279" spans="1:12">
      <c r="A279" s="14"/>
      <c r="B279" s="15"/>
      <c r="C279" s="16"/>
      <c r="D279" s="17"/>
      <c r="E279" s="12"/>
      <c r="F279" s="18"/>
      <c r="G279" s="19"/>
      <c r="H279" s="13"/>
      <c r="I279" s="19"/>
      <c r="J279" s="13"/>
      <c r="K279" s="19"/>
      <c r="L279" s="13"/>
    </row>
    <row r="280" spans="1:12">
      <c r="A280" s="14"/>
      <c r="B280" s="15"/>
      <c r="C280" s="16"/>
      <c r="D280" s="17"/>
      <c r="E280" s="12"/>
      <c r="F280" s="18"/>
      <c r="G280" s="19"/>
      <c r="H280" s="13"/>
      <c r="I280" s="19"/>
      <c r="J280" s="13"/>
      <c r="K280" s="19"/>
      <c r="L280" s="13"/>
    </row>
    <row r="281" spans="1:12">
      <c r="A281" s="14"/>
      <c r="B281" s="15"/>
      <c r="C281" s="16"/>
      <c r="D281" s="17"/>
      <c r="E281" s="12"/>
      <c r="F281" s="18"/>
      <c r="G281" s="19"/>
      <c r="H281" s="13"/>
      <c r="I281" s="19"/>
      <c r="J281" s="13"/>
      <c r="K281" s="19"/>
      <c r="L281" s="13"/>
    </row>
    <row r="282" spans="1:12">
      <c r="A282" s="14"/>
      <c r="B282" s="15"/>
      <c r="C282" s="16"/>
      <c r="D282" s="17"/>
      <c r="E282" s="12"/>
      <c r="F282" s="18"/>
      <c r="G282" s="19"/>
      <c r="H282" s="13"/>
      <c r="I282" s="19"/>
      <c r="J282" s="13"/>
      <c r="K282" s="19"/>
      <c r="L282" s="13"/>
    </row>
    <row r="283" spans="1:12">
      <c r="A283" s="14"/>
      <c r="B283" s="15"/>
      <c r="C283" s="16"/>
      <c r="D283" s="17"/>
      <c r="E283" s="12"/>
      <c r="F283" s="18"/>
      <c r="G283" s="19"/>
      <c r="H283" s="13"/>
      <c r="I283" s="19"/>
      <c r="J283" s="13"/>
      <c r="K283" s="19"/>
      <c r="L283" s="13"/>
    </row>
    <row r="284" spans="1:12">
      <c r="A284" s="14"/>
      <c r="B284" s="15"/>
      <c r="C284" s="16"/>
      <c r="D284" s="17"/>
      <c r="E284" s="12"/>
      <c r="F284" s="18"/>
      <c r="G284" s="19"/>
      <c r="H284" s="13"/>
      <c r="I284" s="19"/>
      <c r="J284" s="13"/>
      <c r="K284" s="19"/>
      <c r="L284" s="13"/>
    </row>
    <row r="285" spans="1:12">
      <c r="A285" s="14"/>
      <c r="B285" s="15"/>
      <c r="C285" s="16"/>
      <c r="D285" s="17"/>
      <c r="E285" s="12"/>
      <c r="F285" s="18"/>
      <c r="G285" s="19"/>
      <c r="H285" s="13"/>
      <c r="I285" s="19"/>
      <c r="J285" s="13"/>
      <c r="K285" s="19"/>
      <c r="L285" s="13"/>
    </row>
    <row r="286" spans="1:12">
      <c r="A286" s="14"/>
      <c r="B286" s="15"/>
      <c r="C286" s="16"/>
      <c r="D286" s="17"/>
      <c r="E286" s="12"/>
      <c r="F286" s="18"/>
      <c r="G286" s="19"/>
      <c r="H286" s="13"/>
      <c r="I286" s="19"/>
      <c r="J286" s="13"/>
      <c r="K286" s="19"/>
      <c r="L286" s="13"/>
    </row>
    <row r="287" spans="1:12">
      <c r="A287" s="14"/>
      <c r="B287" s="15"/>
      <c r="C287" s="16"/>
      <c r="D287" s="17"/>
      <c r="E287" s="12"/>
      <c r="F287" s="18"/>
      <c r="G287" s="19"/>
      <c r="H287" s="13"/>
      <c r="I287" s="19"/>
      <c r="J287" s="13"/>
      <c r="K287" s="19"/>
      <c r="L287" s="13"/>
    </row>
    <row r="288" spans="1:12">
      <c r="A288" s="14"/>
      <c r="B288" s="15"/>
      <c r="C288" s="16"/>
      <c r="D288" s="17"/>
      <c r="E288" s="12"/>
      <c r="F288" s="18"/>
      <c r="G288" s="19"/>
      <c r="H288" s="13"/>
      <c r="I288" s="19"/>
      <c r="J288" s="13"/>
      <c r="K288" s="19"/>
      <c r="L288" s="13"/>
    </row>
    <row r="289" spans="1:12">
      <c r="A289" s="14"/>
      <c r="B289" s="15"/>
      <c r="C289" s="16"/>
      <c r="D289" s="17"/>
      <c r="E289" s="12"/>
      <c r="F289" s="18"/>
      <c r="G289" s="19"/>
      <c r="H289" s="13"/>
      <c r="I289" s="19"/>
      <c r="J289" s="13"/>
      <c r="K289" s="19"/>
      <c r="L289" s="13"/>
    </row>
    <row r="290" spans="1:12">
      <c r="A290" s="14"/>
      <c r="B290" s="15"/>
      <c r="C290" s="16"/>
      <c r="D290" s="17"/>
      <c r="E290" s="12"/>
      <c r="F290" s="18"/>
      <c r="G290" s="19"/>
      <c r="H290" s="13"/>
      <c r="I290" s="19"/>
      <c r="J290" s="13"/>
      <c r="K290" s="19"/>
      <c r="L290" s="13"/>
    </row>
    <row r="291" spans="1:12">
      <c r="A291" s="14"/>
      <c r="B291" s="15"/>
      <c r="C291" s="16"/>
      <c r="D291" s="17"/>
      <c r="E291" s="12"/>
      <c r="F291" s="18"/>
      <c r="G291" s="19"/>
      <c r="H291" s="13"/>
      <c r="I291" s="19"/>
      <c r="J291" s="13"/>
      <c r="K291" s="19"/>
      <c r="L291" s="13"/>
    </row>
    <row r="292" spans="1:12">
      <c r="A292" s="14"/>
      <c r="B292" s="15"/>
      <c r="C292" s="16"/>
      <c r="D292" s="17"/>
      <c r="E292" s="12"/>
      <c r="F292" s="18"/>
      <c r="G292" s="19"/>
      <c r="H292" s="13"/>
      <c r="I292" s="19"/>
      <c r="J292" s="13"/>
      <c r="K292" s="19"/>
      <c r="L292" s="13"/>
    </row>
    <row r="293" spans="1:12">
      <c r="A293" s="14"/>
      <c r="B293" s="15"/>
      <c r="C293" s="16"/>
      <c r="D293" s="17"/>
      <c r="E293" s="12"/>
      <c r="F293" s="18"/>
      <c r="G293" s="19"/>
      <c r="H293" s="13"/>
      <c r="I293" s="19"/>
      <c r="J293" s="13"/>
      <c r="K293" s="19"/>
      <c r="L293" s="13"/>
    </row>
    <row r="294" spans="1:12">
      <c r="A294" s="14"/>
      <c r="B294" s="15"/>
      <c r="C294" s="16"/>
      <c r="D294" s="17"/>
      <c r="E294" s="12"/>
      <c r="F294" s="18"/>
      <c r="G294" s="19"/>
      <c r="H294" s="13"/>
      <c r="I294" s="19"/>
      <c r="J294" s="13"/>
      <c r="K294" s="19"/>
      <c r="L294" s="13"/>
    </row>
    <row r="295" spans="1:12">
      <c r="A295" s="14"/>
      <c r="B295" s="15"/>
      <c r="C295" s="16"/>
      <c r="D295" s="17"/>
      <c r="E295" s="12"/>
      <c r="F295" s="18"/>
      <c r="G295" s="19"/>
      <c r="H295" s="13"/>
      <c r="I295" s="19"/>
      <c r="J295" s="13"/>
      <c r="K295" s="19"/>
      <c r="L295" s="13"/>
    </row>
    <row r="296" spans="1:12">
      <c r="A296" s="14"/>
      <c r="B296" s="15"/>
      <c r="C296" s="16"/>
      <c r="D296" s="17"/>
      <c r="E296" s="12"/>
      <c r="F296" s="18"/>
      <c r="G296" s="19"/>
      <c r="H296" s="13"/>
      <c r="I296" s="19"/>
      <c r="J296" s="13"/>
      <c r="K296" s="19"/>
      <c r="L296" s="13"/>
    </row>
    <row r="297" spans="1:12">
      <c r="A297" s="14"/>
      <c r="B297" s="15"/>
      <c r="C297" s="16"/>
      <c r="D297" s="17"/>
      <c r="E297" s="12"/>
      <c r="F297" s="18"/>
      <c r="G297" s="19"/>
      <c r="H297" s="13"/>
      <c r="I297" s="19"/>
      <c r="J297" s="13"/>
      <c r="K297" s="19"/>
      <c r="L297" s="13"/>
    </row>
    <row r="298" spans="1:12">
      <c r="A298" s="14"/>
      <c r="B298" s="15"/>
      <c r="C298" s="16"/>
      <c r="D298" s="17"/>
      <c r="E298" s="12"/>
      <c r="F298" s="18"/>
      <c r="G298" s="19"/>
      <c r="H298" s="13"/>
      <c r="I298" s="19"/>
      <c r="J298" s="13"/>
      <c r="K298" s="19"/>
      <c r="L298" s="13"/>
    </row>
    <row r="299" spans="1:12">
      <c r="A299" s="14"/>
      <c r="B299" s="15"/>
      <c r="C299" s="16"/>
      <c r="D299" s="17"/>
      <c r="E299" s="12"/>
      <c r="F299" s="18"/>
      <c r="G299" s="19"/>
      <c r="H299" s="13"/>
      <c r="I299" s="19"/>
      <c r="J299" s="13"/>
      <c r="K299" s="19"/>
      <c r="L299" s="13"/>
    </row>
    <row r="300" spans="1:12">
      <c r="A300" s="14"/>
      <c r="B300" s="15"/>
      <c r="C300" s="16"/>
      <c r="D300" s="17"/>
      <c r="E300" s="12"/>
      <c r="F300" s="18"/>
      <c r="G300" s="19"/>
      <c r="H300" s="13"/>
      <c r="I300" s="19"/>
      <c r="J300" s="13"/>
      <c r="K300" s="19"/>
      <c r="L300" s="13"/>
    </row>
    <row r="301" spans="1:12">
      <c r="A301" s="14"/>
      <c r="B301" s="15"/>
      <c r="C301" s="16"/>
      <c r="D301" s="17"/>
      <c r="E301" s="12"/>
      <c r="F301" s="18"/>
      <c r="G301" s="19"/>
      <c r="H301" s="13"/>
      <c r="I301" s="19"/>
      <c r="J301" s="13"/>
      <c r="K301" s="19"/>
      <c r="L301" s="13"/>
    </row>
    <row r="302" spans="1:12">
      <c r="A302" s="14"/>
      <c r="B302" s="15"/>
      <c r="C302" s="16"/>
      <c r="D302" s="17"/>
      <c r="E302" s="12"/>
      <c r="F302" s="18"/>
      <c r="G302" s="19"/>
      <c r="H302" s="13"/>
      <c r="I302" s="19"/>
      <c r="J302" s="13"/>
      <c r="K302" s="19"/>
      <c r="L302" s="13"/>
    </row>
    <row r="303" spans="1:12">
      <c r="A303" s="14"/>
      <c r="B303" s="15"/>
      <c r="C303" s="16"/>
      <c r="D303" s="17"/>
      <c r="E303" s="12"/>
      <c r="F303" s="18"/>
      <c r="G303" s="19"/>
      <c r="H303" s="13"/>
      <c r="I303" s="19"/>
      <c r="J303" s="13"/>
      <c r="K303" s="19"/>
      <c r="L303" s="13"/>
    </row>
    <row r="304" spans="1:12">
      <c r="A304" s="14"/>
      <c r="B304" s="15"/>
      <c r="C304" s="16"/>
      <c r="D304" s="17"/>
      <c r="E304" s="12"/>
      <c r="F304" s="18"/>
      <c r="G304" s="19"/>
      <c r="H304" s="13"/>
      <c r="I304" s="19"/>
      <c r="J304" s="13"/>
      <c r="K304" s="19"/>
      <c r="L304" s="13"/>
    </row>
    <row r="305" spans="1:12">
      <c r="A305" s="14"/>
      <c r="B305" s="15"/>
      <c r="C305" s="16"/>
      <c r="D305" s="17"/>
      <c r="E305" s="12"/>
      <c r="F305" s="18"/>
      <c r="G305" s="19"/>
      <c r="H305" s="13"/>
      <c r="I305" s="19"/>
      <c r="J305" s="13"/>
      <c r="K305" s="19"/>
      <c r="L305" s="13"/>
    </row>
    <row r="306" spans="1:12">
      <c r="A306" s="14"/>
      <c r="B306" s="15"/>
      <c r="C306" s="16"/>
      <c r="D306" s="17"/>
      <c r="E306" s="12"/>
      <c r="F306" s="18"/>
      <c r="G306" s="19"/>
      <c r="H306" s="13"/>
      <c r="I306" s="19"/>
      <c r="J306" s="13"/>
      <c r="K306" s="19"/>
      <c r="L306" s="13"/>
    </row>
    <row r="307" spans="1:12">
      <c r="A307" s="14"/>
      <c r="B307" s="15"/>
      <c r="C307" s="16"/>
      <c r="D307" s="17"/>
      <c r="E307" s="12"/>
      <c r="F307" s="18"/>
      <c r="G307" s="19"/>
      <c r="H307" s="13"/>
      <c r="I307" s="19"/>
      <c r="J307" s="13"/>
      <c r="K307" s="19"/>
      <c r="L307" s="13"/>
    </row>
    <row r="308" spans="1:12">
      <c r="A308" s="14"/>
      <c r="B308" s="15"/>
      <c r="C308" s="16"/>
      <c r="D308" s="17"/>
      <c r="E308" s="12"/>
      <c r="F308" s="18"/>
      <c r="G308" s="19"/>
      <c r="H308" s="13"/>
      <c r="I308" s="19"/>
      <c r="J308" s="13"/>
      <c r="K308" s="19"/>
      <c r="L308" s="13"/>
    </row>
    <row r="309" spans="1:12">
      <c r="A309" s="14"/>
      <c r="B309" s="15"/>
      <c r="C309" s="16"/>
      <c r="D309" s="17"/>
      <c r="E309" s="12"/>
      <c r="F309" s="18"/>
      <c r="G309" s="19"/>
      <c r="H309" s="13"/>
      <c r="I309" s="19"/>
      <c r="J309" s="13"/>
      <c r="K309" s="19"/>
      <c r="L309" s="13"/>
    </row>
    <row r="310" spans="1:12">
      <c r="A310" s="14"/>
      <c r="B310" s="15"/>
      <c r="C310" s="16"/>
      <c r="D310" s="17"/>
      <c r="E310" s="12"/>
      <c r="F310" s="18"/>
      <c r="G310" s="19"/>
      <c r="H310" s="13"/>
      <c r="I310" s="19"/>
      <c r="J310" s="13"/>
      <c r="K310" s="19"/>
      <c r="L310" s="13"/>
    </row>
    <row r="311" spans="1:12">
      <c r="A311" s="14"/>
      <c r="B311" s="15"/>
      <c r="C311" s="16"/>
      <c r="D311" s="17"/>
      <c r="E311" s="12"/>
      <c r="F311" s="18"/>
      <c r="G311" s="19"/>
      <c r="H311" s="13"/>
      <c r="I311" s="19"/>
      <c r="J311" s="13"/>
      <c r="K311" s="19"/>
      <c r="L311" s="13"/>
    </row>
    <row r="312" spans="1:12">
      <c r="A312" s="14"/>
      <c r="B312" s="15"/>
      <c r="C312" s="16"/>
      <c r="D312" s="17"/>
      <c r="E312" s="12"/>
      <c r="F312" s="18"/>
      <c r="G312" s="19"/>
      <c r="H312" s="13"/>
      <c r="I312" s="19"/>
      <c r="J312" s="13"/>
      <c r="K312" s="19"/>
      <c r="L312" s="13"/>
    </row>
    <row r="313" spans="1:12">
      <c r="A313" s="14"/>
      <c r="B313" s="15"/>
      <c r="C313" s="16"/>
      <c r="D313" s="17"/>
      <c r="E313" s="12"/>
      <c r="F313" s="18"/>
      <c r="G313" s="19"/>
      <c r="H313" s="13"/>
      <c r="I313" s="19"/>
      <c r="J313" s="13"/>
      <c r="K313" s="19"/>
      <c r="L313" s="13"/>
    </row>
    <row r="314" spans="1:12">
      <c r="A314" s="14"/>
      <c r="B314" s="15"/>
      <c r="C314" s="16"/>
      <c r="D314" s="17"/>
      <c r="E314" s="12"/>
      <c r="F314" s="18"/>
      <c r="G314" s="19"/>
      <c r="H314" s="13"/>
      <c r="I314" s="19"/>
      <c r="J314" s="13"/>
      <c r="K314" s="19"/>
      <c r="L314" s="13"/>
    </row>
    <row r="315" spans="1:12">
      <c r="A315" s="14"/>
      <c r="B315" s="15"/>
      <c r="C315" s="16"/>
      <c r="D315" s="17"/>
      <c r="E315" s="12"/>
      <c r="F315" s="18"/>
      <c r="G315" s="19"/>
      <c r="H315" s="13"/>
      <c r="I315" s="19"/>
      <c r="J315" s="13"/>
      <c r="K315" s="19"/>
      <c r="L315" s="13"/>
    </row>
    <row r="316" spans="1:12">
      <c r="A316" s="14"/>
      <c r="B316" s="15"/>
      <c r="C316" s="16"/>
      <c r="D316" s="17"/>
      <c r="E316" s="12"/>
      <c r="F316" s="18"/>
      <c r="G316" s="19"/>
      <c r="H316" s="13"/>
      <c r="I316" s="19"/>
      <c r="J316" s="13"/>
      <c r="K316" s="19"/>
      <c r="L316" s="13"/>
    </row>
    <row r="317" spans="1:12">
      <c r="A317" s="14"/>
      <c r="B317" s="15"/>
      <c r="C317" s="16"/>
      <c r="D317" s="17"/>
      <c r="E317" s="12"/>
      <c r="F317" s="18"/>
      <c r="G317" s="19"/>
      <c r="H317" s="13"/>
      <c r="I317" s="19"/>
      <c r="J317" s="13"/>
      <c r="K317" s="19"/>
      <c r="L317" s="13"/>
    </row>
    <row r="318" spans="1:12">
      <c r="A318" s="14"/>
      <c r="B318" s="15"/>
      <c r="C318" s="16"/>
      <c r="D318" s="17"/>
      <c r="E318" s="12"/>
      <c r="F318" s="18"/>
      <c r="G318" s="19"/>
      <c r="H318" s="13"/>
      <c r="I318" s="19"/>
      <c r="J318" s="13"/>
      <c r="K318" s="19"/>
      <c r="L318" s="13"/>
    </row>
    <row r="319" spans="1:12">
      <c r="A319" s="14"/>
      <c r="B319" s="15"/>
      <c r="C319" s="16"/>
      <c r="D319" s="17"/>
      <c r="E319" s="12"/>
      <c r="F319" s="18"/>
      <c r="G319" s="19"/>
      <c r="H319" s="13"/>
      <c r="I319" s="19"/>
      <c r="J319" s="13"/>
      <c r="K319" s="19"/>
      <c r="L319" s="13"/>
    </row>
    <row r="320" spans="1:12">
      <c r="A320" s="14"/>
      <c r="B320" s="15"/>
      <c r="C320" s="16"/>
      <c r="D320" s="17"/>
      <c r="E320" s="12"/>
      <c r="F320" s="18"/>
      <c r="G320" s="19"/>
      <c r="H320" s="13"/>
      <c r="I320" s="19"/>
      <c r="J320" s="13"/>
      <c r="K320" s="19"/>
      <c r="L320" s="13"/>
    </row>
    <row r="321" spans="1:12">
      <c r="A321" s="14"/>
      <c r="B321" s="15"/>
      <c r="C321" s="16"/>
      <c r="D321" s="17"/>
      <c r="E321" s="12"/>
      <c r="F321" s="18"/>
      <c r="G321" s="19"/>
      <c r="H321" s="13"/>
      <c r="I321" s="19"/>
      <c r="J321" s="13"/>
      <c r="K321" s="19"/>
      <c r="L321" s="13"/>
    </row>
    <row r="322" spans="1:12">
      <c r="A322" s="14"/>
      <c r="B322" s="15"/>
      <c r="C322" s="16"/>
      <c r="D322" s="17"/>
      <c r="E322" s="12"/>
      <c r="F322" s="18"/>
      <c r="G322" s="19"/>
      <c r="H322" s="13"/>
      <c r="I322" s="19"/>
      <c r="J322" s="13"/>
      <c r="K322" s="19"/>
      <c r="L322" s="13"/>
    </row>
    <row r="323" spans="1:12">
      <c r="A323" s="14"/>
      <c r="B323" s="15"/>
      <c r="C323" s="16"/>
      <c r="D323" s="17"/>
      <c r="E323" s="12"/>
      <c r="F323" s="18"/>
      <c r="G323" s="19"/>
      <c r="H323" s="13"/>
      <c r="I323" s="19"/>
      <c r="J323" s="13"/>
      <c r="K323" s="19"/>
      <c r="L323" s="13"/>
    </row>
    <row r="324" spans="1:12">
      <c r="A324" s="14"/>
      <c r="B324" s="15"/>
      <c r="C324" s="16"/>
      <c r="D324" s="17"/>
      <c r="E324" s="12"/>
      <c r="F324" s="18"/>
      <c r="G324" s="19"/>
      <c r="H324" s="13"/>
      <c r="I324" s="19"/>
      <c r="J324" s="13"/>
      <c r="K324" s="19"/>
      <c r="L324" s="13"/>
    </row>
    <row r="325" spans="1:12">
      <c r="A325" s="14"/>
      <c r="B325" s="15"/>
      <c r="C325" s="16"/>
      <c r="D325" s="17"/>
      <c r="E325" s="12"/>
      <c r="F325" s="18"/>
      <c r="G325" s="19"/>
      <c r="H325" s="13"/>
      <c r="I325" s="19"/>
      <c r="J325" s="13"/>
      <c r="K325" s="19"/>
      <c r="L325" s="13"/>
    </row>
    <row r="326" spans="1:12">
      <c r="A326" s="14"/>
      <c r="B326" s="15"/>
      <c r="C326" s="16"/>
      <c r="D326" s="17"/>
      <c r="E326" s="12"/>
      <c r="F326" s="18"/>
      <c r="G326" s="19"/>
      <c r="H326" s="13"/>
      <c r="I326" s="19"/>
      <c r="J326" s="13"/>
      <c r="K326" s="19"/>
      <c r="L326" s="13"/>
    </row>
    <row r="327" spans="1:12">
      <c r="A327" s="14"/>
      <c r="B327" s="15"/>
      <c r="C327" s="16"/>
      <c r="D327" s="17"/>
      <c r="E327" s="12"/>
      <c r="F327" s="18"/>
      <c r="G327" s="19"/>
      <c r="H327" s="13"/>
      <c r="I327" s="19"/>
      <c r="J327" s="13"/>
      <c r="K327" s="19"/>
      <c r="L327" s="13"/>
    </row>
    <row r="328" spans="1:12">
      <c r="A328" s="14"/>
      <c r="B328" s="15"/>
      <c r="C328" s="16"/>
      <c r="D328" s="17"/>
      <c r="E328" s="12"/>
      <c r="F328" s="18"/>
      <c r="G328" s="19"/>
      <c r="H328" s="13"/>
      <c r="I328" s="19"/>
      <c r="J328" s="13"/>
      <c r="K328" s="19"/>
      <c r="L328" s="13"/>
    </row>
    <row r="329" spans="1:12">
      <c r="A329" s="14"/>
      <c r="B329" s="15"/>
      <c r="C329" s="16"/>
      <c r="D329" s="17"/>
      <c r="E329" s="12"/>
      <c r="F329" s="18"/>
      <c r="G329" s="19"/>
      <c r="H329" s="13"/>
      <c r="I329" s="19"/>
      <c r="J329" s="13"/>
      <c r="K329" s="19"/>
      <c r="L329" s="13"/>
    </row>
    <row r="330" spans="1:12">
      <c r="A330" s="14"/>
      <c r="B330" s="15"/>
      <c r="C330" s="16"/>
      <c r="D330" s="17"/>
      <c r="E330" s="12"/>
      <c r="F330" s="18"/>
      <c r="G330" s="19"/>
      <c r="H330" s="13"/>
      <c r="I330" s="19"/>
      <c r="J330" s="13"/>
      <c r="K330" s="19"/>
      <c r="L330" s="13"/>
    </row>
    <row r="331" spans="1:12">
      <c r="A331" s="14"/>
      <c r="B331" s="15"/>
      <c r="C331" s="16"/>
      <c r="D331" s="17"/>
      <c r="E331" s="12"/>
      <c r="F331" s="18"/>
      <c r="G331" s="19"/>
      <c r="H331" s="13"/>
      <c r="I331" s="19"/>
      <c r="J331" s="13"/>
      <c r="K331" s="19"/>
      <c r="L331" s="13"/>
    </row>
    <row r="332" spans="1:12">
      <c r="A332" s="14"/>
      <c r="B332" s="15"/>
      <c r="C332" s="16"/>
      <c r="D332" s="17"/>
      <c r="E332" s="12"/>
      <c r="F332" s="18"/>
      <c r="G332" s="19"/>
      <c r="H332" s="13"/>
      <c r="I332" s="19"/>
      <c r="J332" s="13"/>
      <c r="K332" s="19"/>
      <c r="L332" s="13"/>
    </row>
    <row r="333" spans="1:12">
      <c r="A333" s="14"/>
      <c r="B333" s="15"/>
      <c r="C333" s="16"/>
      <c r="D333" s="17"/>
      <c r="E333" s="12"/>
      <c r="F333" s="18"/>
      <c r="G333" s="19"/>
      <c r="H333" s="13"/>
      <c r="I333" s="19"/>
      <c r="J333" s="13"/>
      <c r="K333" s="19"/>
      <c r="L333" s="13"/>
    </row>
    <row r="334" spans="1:12">
      <c r="A334" s="14"/>
      <c r="B334" s="15"/>
      <c r="C334" s="16"/>
      <c r="D334" s="17"/>
      <c r="E334" s="12"/>
      <c r="F334" s="18"/>
      <c r="G334" s="19"/>
      <c r="H334" s="13"/>
      <c r="I334" s="19"/>
      <c r="J334" s="13"/>
      <c r="K334" s="19"/>
      <c r="L334" s="13"/>
    </row>
    <row r="335" spans="1:12">
      <c r="A335" s="14"/>
      <c r="B335" s="15"/>
      <c r="C335" s="16"/>
      <c r="D335" s="17"/>
      <c r="E335" s="12"/>
      <c r="F335" s="18"/>
      <c r="G335" s="19"/>
      <c r="H335" s="13"/>
      <c r="I335" s="19"/>
      <c r="J335" s="13"/>
      <c r="K335" s="19"/>
      <c r="L335" s="13"/>
    </row>
    <row r="336" spans="1:12">
      <c r="A336" s="14"/>
      <c r="B336" s="15"/>
      <c r="C336" s="16"/>
      <c r="D336" s="17"/>
      <c r="E336" s="12"/>
      <c r="F336" s="18"/>
      <c r="G336" s="19"/>
      <c r="H336" s="13"/>
      <c r="I336" s="19"/>
      <c r="J336" s="13"/>
      <c r="K336" s="19"/>
      <c r="L336" s="13"/>
    </row>
    <row r="337" spans="1:12">
      <c r="A337" s="14"/>
      <c r="B337" s="15"/>
      <c r="C337" s="16"/>
      <c r="D337" s="17"/>
      <c r="E337" s="12"/>
      <c r="F337" s="18"/>
      <c r="G337" s="19"/>
      <c r="H337" s="13"/>
      <c r="I337" s="19"/>
      <c r="J337" s="13"/>
      <c r="K337" s="19"/>
      <c r="L337" s="13"/>
    </row>
    <row r="338" spans="1:12">
      <c r="A338" s="14"/>
      <c r="B338" s="15"/>
      <c r="C338" s="16"/>
      <c r="D338" s="17"/>
      <c r="E338" s="12"/>
      <c r="F338" s="18"/>
      <c r="G338" s="19"/>
      <c r="H338" s="13"/>
      <c r="I338" s="19"/>
      <c r="J338" s="13"/>
      <c r="K338" s="19"/>
      <c r="L338" s="13"/>
    </row>
    <row r="339" spans="1:12">
      <c r="A339" s="14"/>
      <c r="B339" s="15"/>
      <c r="C339" s="16"/>
      <c r="D339" s="17"/>
      <c r="E339" s="12"/>
      <c r="F339" s="18"/>
      <c r="G339" s="19"/>
      <c r="H339" s="13"/>
      <c r="I339" s="19"/>
      <c r="J339" s="13"/>
      <c r="K339" s="19"/>
      <c r="L339" s="13"/>
    </row>
    <row r="340" spans="1:12">
      <c r="A340" s="14"/>
      <c r="B340" s="15"/>
      <c r="C340" s="16"/>
      <c r="D340" s="17"/>
      <c r="E340" s="12"/>
      <c r="F340" s="18"/>
      <c r="G340" s="19"/>
      <c r="H340" s="13"/>
      <c r="I340" s="19"/>
      <c r="J340" s="13"/>
      <c r="K340" s="19"/>
      <c r="L340" s="13"/>
    </row>
    <row r="341" spans="1:12">
      <c r="A341" s="14"/>
      <c r="B341" s="15"/>
      <c r="C341" s="16"/>
      <c r="D341" s="17"/>
      <c r="E341" s="12"/>
      <c r="F341" s="18"/>
      <c r="G341" s="19"/>
      <c r="H341" s="13"/>
      <c r="I341" s="19"/>
      <c r="J341" s="13"/>
      <c r="K341" s="19"/>
      <c r="L341" s="13"/>
    </row>
    <row r="342" spans="1:12">
      <c r="A342" s="14"/>
      <c r="B342" s="15"/>
      <c r="C342" s="16"/>
      <c r="D342" s="17"/>
      <c r="E342" s="12"/>
      <c r="F342" s="18"/>
      <c r="G342" s="19"/>
      <c r="H342" s="13"/>
      <c r="I342" s="19"/>
      <c r="J342" s="13"/>
      <c r="K342" s="19"/>
      <c r="L342" s="13"/>
    </row>
    <row r="343" spans="1:12">
      <c r="A343" s="14"/>
      <c r="B343" s="15"/>
      <c r="C343" s="16"/>
      <c r="D343" s="17"/>
      <c r="E343" s="12"/>
      <c r="F343" s="18"/>
      <c r="G343" s="19"/>
      <c r="H343" s="13"/>
      <c r="I343" s="19"/>
      <c r="J343" s="13"/>
      <c r="K343" s="19"/>
      <c r="L343" s="13"/>
    </row>
    <row r="344" spans="1:12">
      <c r="A344" s="14"/>
      <c r="B344" s="15"/>
      <c r="C344" s="16"/>
      <c r="D344" s="17"/>
      <c r="E344" s="12"/>
      <c r="F344" s="18"/>
      <c r="G344" s="19"/>
      <c r="H344" s="13"/>
      <c r="I344" s="19"/>
      <c r="J344" s="13"/>
      <c r="K344" s="19"/>
      <c r="L344" s="13"/>
    </row>
    <row r="345" spans="1:12">
      <c r="A345" s="14"/>
      <c r="B345" s="15"/>
      <c r="C345" s="16"/>
      <c r="D345" s="17"/>
      <c r="E345" s="12"/>
      <c r="F345" s="18"/>
      <c r="G345" s="19"/>
      <c r="H345" s="13"/>
      <c r="I345" s="19"/>
      <c r="J345" s="13"/>
      <c r="K345" s="19"/>
      <c r="L345" s="13"/>
    </row>
    <row r="346" spans="1:12">
      <c r="A346" s="14"/>
      <c r="B346" s="15"/>
      <c r="C346" s="16"/>
      <c r="D346" s="17"/>
      <c r="E346" s="12"/>
      <c r="F346" s="18"/>
      <c r="G346" s="19"/>
      <c r="H346" s="13"/>
      <c r="I346" s="19"/>
      <c r="J346" s="13"/>
      <c r="K346" s="19"/>
      <c r="L346" s="13"/>
    </row>
    <row r="347" spans="1:12">
      <c r="A347" s="14"/>
      <c r="B347" s="15"/>
      <c r="C347" s="16"/>
      <c r="D347" s="17"/>
      <c r="E347" s="12"/>
      <c r="F347" s="18"/>
      <c r="G347" s="19"/>
      <c r="H347" s="13"/>
      <c r="I347" s="19"/>
      <c r="J347" s="13"/>
      <c r="K347" s="19"/>
      <c r="L347" s="13"/>
    </row>
    <row r="348" spans="1:12">
      <c r="A348" s="14"/>
      <c r="B348" s="15"/>
      <c r="C348" s="16"/>
      <c r="D348" s="17"/>
      <c r="E348" s="12"/>
      <c r="F348" s="18"/>
      <c r="G348" s="19"/>
      <c r="H348" s="13"/>
      <c r="I348" s="19"/>
      <c r="J348" s="13"/>
      <c r="K348" s="19"/>
      <c r="L348" s="13"/>
    </row>
    <row r="349" spans="1:12">
      <c r="A349" s="14"/>
      <c r="B349" s="15"/>
      <c r="C349" s="16"/>
      <c r="D349" s="17"/>
      <c r="E349" s="12"/>
      <c r="F349" s="18"/>
      <c r="G349" s="19"/>
      <c r="H349" s="13"/>
      <c r="I349" s="19"/>
      <c r="J349" s="13"/>
      <c r="K349" s="19"/>
      <c r="L349" s="13"/>
    </row>
    <row r="350" spans="1:12">
      <c r="A350" s="14"/>
      <c r="B350" s="15"/>
      <c r="C350" s="16"/>
      <c r="D350" s="17"/>
      <c r="E350" s="12"/>
      <c r="F350" s="18"/>
      <c r="G350" s="19"/>
      <c r="H350" s="13"/>
      <c r="I350" s="19"/>
      <c r="J350" s="13"/>
      <c r="K350" s="19"/>
      <c r="L350" s="13"/>
    </row>
    <row r="351" spans="1:12">
      <c r="A351" s="14"/>
      <c r="B351" s="15"/>
      <c r="C351" s="16"/>
      <c r="D351" s="17"/>
      <c r="E351" s="12"/>
      <c r="F351" s="18"/>
      <c r="G351" s="19"/>
      <c r="H351" s="13"/>
      <c r="I351" s="19"/>
      <c r="J351" s="13"/>
      <c r="K351" s="19"/>
      <c r="L351" s="13"/>
    </row>
    <row r="352" spans="1:12">
      <c r="A352" s="14"/>
      <c r="B352" s="15"/>
      <c r="C352" s="16"/>
      <c r="D352" s="17"/>
      <c r="E352" s="12"/>
      <c r="F352" s="18"/>
      <c r="G352" s="19"/>
      <c r="H352" s="13"/>
      <c r="I352" s="19"/>
      <c r="J352" s="13"/>
      <c r="K352" s="19"/>
      <c r="L352" s="13"/>
    </row>
    <row r="353" spans="1:12">
      <c r="A353" s="14"/>
      <c r="B353" s="15"/>
      <c r="C353" s="16"/>
      <c r="D353" s="17"/>
      <c r="E353" s="12"/>
      <c r="F353" s="18"/>
      <c r="G353" s="19"/>
      <c r="H353" s="13"/>
      <c r="I353" s="19"/>
      <c r="J353" s="13"/>
      <c r="K353" s="19"/>
      <c r="L353" s="13"/>
    </row>
    <row r="354" spans="1:12">
      <c r="A354" s="14"/>
      <c r="B354" s="15"/>
      <c r="C354" s="16"/>
      <c r="D354" s="17"/>
      <c r="E354" s="12"/>
      <c r="F354" s="18"/>
      <c r="G354" s="19"/>
      <c r="H354" s="13"/>
      <c r="I354" s="19"/>
      <c r="J354" s="13"/>
      <c r="K354" s="19"/>
      <c r="L354" s="13"/>
    </row>
    <row r="355" spans="1:12">
      <c r="A355" s="14"/>
      <c r="B355" s="15"/>
      <c r="C355" s="16"/>
      <c r="D355" s="17"/>
      <c r="E355" s="12"/>
      <c r="F355" s="18"/>
      <c r="G355" s="19"/>
      <c r="H355" s="13"/>
      <c r="I355" s="19"/>
      <c r="J355" s="13"/>
      <c r="K355" s="19"/>
      <c r="L355" s="13"/>
    </row>
    <row r="356" spans="1:12">
      <c r="A356" s="14"/>
      <c r="B356" s="15"/>
      <c r="C356" s="16"/>
      <c r="D356" s="17"/>
      <c r="E356" s="12"/>
      <c r="F356" s="18"/>
      <c r="G356" s="19"/>
      <c r="H356" s="13"/>
      <c r="I356" s="19"/>
      <c r="J356" s="13"/>
      <c r="K356" s="19"/>
      <c r="L356" s="13"/>
    </row>
    <row r="357" spans="1:12">
      <c r="A357" s="14"/>
      <c r="B357" s="15"/>
      <c r="C357" s="16"/>
      <c r="D357" s="17"/>
      <c r="E357" s="12"/>
      <c r="F357" s="18"/>
      <c r="G357" s="19"/>
      <c r="H357" s="13"/>
      <c r="I357" s="19"/>
      <c r="J357" s="13"/>
      <c r="K357" s="19"/>
      <c r="L357" s="13"/>
    </row>
    <row r="358" spans="1:12">
      <c r="A358" s="14"/>
      <c r="B358" s="15"/>
      <c r="C358" s="16"/>
      <c r="D358" s="17"/>
      <c r="E358" s="12"/>
      <c r="F358" s="18"/>
      <c r="G358" s="19"/>
      <c r="H358" s="13"/>
      <c r="I358" s="19"/>
      <c r="J358" s="13"/>
      <c r="K358" s="19"/>
      <c r="L358" s="13"/>
    </row>
    <row r="359" spans="1:12">
      <c r="A359" s="14"/>
      <c r="B359" s="15"/>
      <c r="C359" s="16"/>
      <c r="D359" s="17"/>
      <c r="E359" s="12"/>
      <c r="F359" s="18"/>
      <c r="G359" s="19"/>
      <c r="H359" s="13"/>
      <c r="I359" s="19"/>
      <c r="J359" s="13"/>
      <c r="K359" s="19"/>
      <c r="L359" s="13"/>
    </row>
    <row r="360" spans="1:12">
      <c r="A360" s="14"/>
      <c r="B360" s="15"/>
      <c r="C360" s="16"/>
      <c r="D360" s="17"/>
      <c r="E360" s="12"/>
      <c r="F360" s="18"/>
      <c r="G360" s="19"/>
      <c r="H360" s="13"/>
      <c r="I360" s="19"/>
      <c r="J360" s="13"/>
      <c r="K360" s="19"/>
      <c r="L360" s="13"/>
    </row>
    <row r="361" spans="1:12">
      <c r="A361" s="14"/>
      <c r="B361" s="15"/>
      <c r="C361" s="16"/>
      <c r="D361" s="17"/>
      <c r="E361" s="12"/>
      <c r="F361" s="18"/>
      <c r="G361" s="19"/>
      <c r="H361" s="13"/>
      <c r="I361" s="19"/>
      <c r="J361" s="13"/>
      <c r="K361" s="19"/>
      <c r="L361" s="13"/>
    </row>
    <row r="362" spans="1:12">
      <c r="A362" s="14"/>
      <c r="B362" s="15"/>
      <c r="C362" s="16"/>
      <c r="D362" s="17"/>
      <c r="E362" s="12"/>
      <c r="F362" s="18"/>
      <c r="G362" s="19"/>
      <c r="H362" s="13"/>
      <c r="I362" s="19"/>
      <c r="J362" s="13"/>
      <c r="K362" s="19"/>
      <c r="L362" s="13"/>
    </row>
    <row r="363" spans="1:12">
      <c r="A363" s="14"/>
      <c r="B363" s="15"/>
      <c r="C363" s="16"/>
      <c r="D363" s="17"/>
      <c r="E363" s="12"/>
      <c r="F363" s="18"/>
      <c r="G363" s="19"/>
      <c r="H363" s="13"/>
      <c r="I363" s="19"/>
      <c r="J363" s="13"/>
      <c r="K363" s="19"/>
      <c r="L363" s="13"/>
    </row>
    <row r="364" spans="1:12">
      <c r="A364" s="14"/>
      <c r="B364" s="15"/>
      <c r="C364" s="16"/>
      <c r="D364" s="17"/>
      <c r="E364" s="12"/>
      <c r="F364" s="18"/>
      <c r="G364" s="19"/>
      <c r="H364" s="13"/>
      <c r="I364" s="19"/>
      <c r="J364" s="13"/>
      <c r="K364" s="19"/>
      <c r="L364" s="13"/>
    </row>
    <row r="365" spans="1:12">
      <c r="A365" s="14"/>
      <c r="B365" s="15"/>
      <c r="C365" s="16"/>
      <c r="D365" s="17"/>
      <c r="E365" s="12"/>
      <c r="F365" s="18"/>
      <c r="G365" s="19"/>
      <c r="H365" s="13"/>
      <c r="I365" s="19"/>
      <c r="J365" s="13"/>
      <c r="K365" s="19"/>
      <c r="L365" s="13"/>
    </row>
    <row r="366" spans="1:12">
      <c r="A366" s="14"/>
      <c r="B366" s="15"/>
      <c r="C366" s="16"/>
      <c r="D366" s="17"/>
      <c r="E366" s="12"/>
      <c r="F366" s="18"/>
      <c r="G366" s="19"/>
      <c r="H366" s="13"/>
      <c r="I366" s="19"/>
      <c r="J366" s="13"/>
      <c r="K366" s="19"/>
      <c r="L366" s="13"/>
    </row>
    <row r="367" spans="1:12">
      <c r="A367" s="14"/>
      <c r="B367" s="15"/>
      <c r="C367" s="16"/>
      <c r="D367" s="17"/>
      <c r="E367" s="12"/>
      <c r="F367" s="18"/>
      <c r="G367" s="19"/>
      <c r="H367" s="13"/>
      <c r="I367" s="19"/>
      <c r="J367" s="13"/>
      <c r="K367" s="19"/>
      <c r="L367" s="13"/>
    </row>
    <row r="368" spans="1:12">
      <c r="A368" s="14"/>
      <c r="B368" s="15"/>
      <c r="C368" s="16"/>
      <c r="D368" s="17"/>
      <c r="E368" s="12"/>
      <c r="F368" s="18"/>
      <c r="G368" s="19"/>
      <c r="H368" s="13"/>
      <c r="I368" s="19"/>
      <c r="J368" s="13"/>
      <c r="K368" s="19"/>
      <c r="L368" s="13"/>
    </row>
    <row r="369" spans="1:12">
      <c r="A369" s="14"/>
      <c r="B369" s="15"/>
      <c r="C369" s="16"/>
      <c r="D369" s="17"/>
      <c r="E369" s="12"/>
      <c r="F369" s="18"/>
      <c r="G369" s="19"/>
      <c r="H369" s="13"/>
      <c r="I369" s="19"/>
      <c r="J369" s="13"/>
      <c r="K369" s="19"/>
      <c r="L369" s="13"/>
    </row>
    <row r="370" spans="1:12">
      <c r="A370" s="14"/>
      <c r="B370" s="15"/>
      <c r="C370" s="16"/>
      <c r="D370" s="17"/>
      <c r="E370" s="12"/>
      <c r="F370" s="18"/>
      <c r="G370" s="19"/>
      <c r="H370" s="13"/>
      <c r="I370" s="19"/>
      <c r="J370" s="13"/>
      <c r="K370" s="19"/>
      <c r="L370" s="13"/>
    </row>
    <row r="371" spans="1:12">
      <c r="A371" s="14"/>
      <c r="B371" s="15"/>
      <c r="C371" s="16"/>
      <c r="D371" s="17"/>
      <c r="E371" s="12"/>
      <c r="F371" s="18"/>
      <c r="G371" s="19"/>
      <c r="H371" s="13"/>
      <c r="I371" s="19"/>
      <c r="J371" s="13"/>
      <c r="K371" s="19"/>
      <c r="L371" s="13"/>
    </row>
    <row r="372" spans="1:12">
      <c r="A372" s="14"/>
      <c r="B372" s="15"/>
      <c r="C372" s="16"/>
      <c r="D372" s="17"/>
      <c r="E372" s="12"/>
      <c r="F372" s="18"/>
      <c r="G372" s="19"/>
      <c r="H372" s="13"/>
      <c r="I372" s="19"/>
      <c r="J372" s="13"/>
      <c r="K372" s="19"/>
      <c r="L372" s="13"/>
    </row>
    <row r="373" spans="1:12">
      <c r="A373" s="14"/>
      <c r="B373" s="15"/>
      <c r="C373" s="16"/>
      <c r="D373" s="17"/>
      <c r="E373" s="12"/>
      <c r="F373" s="18"/>
      <c r="G373" s="19"/>
      <c r="H373" s="13"/>
      <c r="I373" s="19"/>
      <c r="J373" s="13"/>
      <c r="K373" s="19"/>
      <c r="L373" s="13"/>
    </row>
    <row r="374" spans="1:12">
      <c r="A374" s="14"/>
      <c r="B374" s="15"/>
      <c r="C374" s="16"/>
      <c r="D374" s="17"/>
      <c r="E374" s="12"/>
      <c r="F374" s="18"/>
      <c r="G374" s="19"/>
      <c r="H374" s="13"/>
      <c r="I374" s="19"/>
      <c r="J374" s="13"/>
      <c r="K374" s="19"/>
      <c r="L374" s="13"/>
    </row>
    <row r="375" spans="1:12">
      <c r="A375" s="14"/>
      <c r="B375" s="15"/>
      <c r="C375" s="16"/>
      <c r="D375" s="17"/>
      <c r="E375" s="12"/>
      <c r="F375" s="18"/>
      <c r="G375" s="19"/>
      <c r="H375" s="13"/>
      <c r="I375" s="19"/>
      <c r="J375" s="13"/>
      <c r="K375" s="19"/>
      <c r="L375" s="13"/>
    </row>
    <row r="376" spans="1:12">
      <c r="A376" s="14"/>
      <c r="B376" s="15"/>
      <c r="C376" s="16"/>
      <c r="D376" s="17"/>
      <c r="E376" s="12"/>
      <c r="F376" s="18"/>
      <c r="G376" s="19"/>
      <c r="H376" s="13"/>
      <c r="I376" s="19"/>
      <c r="J376" s="13"/>
      <c r="K376" s="19"/>
      <c r="L376" s="13"/>
    </row>
    <row r="377" spans="1:12">
      <c r="A377" s="14"/>
      <c r="B377" s="15"/>
      <c r="C377" s="16"/>
      <c r="D377" s="17"/>
      <c r="E377" s="12"/>
      <c r="F377" s="18"/>
      <c r="G377" s="19"/>
      <c r="H377" s="13"/>
      <c r="I377" s="19"/>
      <c r="J377" s="13"/>
      <c r="K377" s="19"/>
      <c r="L377" s="13"/>
    </row>
    <row r="378" spans="1:12">
      <c r="A378" s="14"/>
      <c r="B378" s="15"/>
      <c r="C378" s="16"/>
      <c r="D378" s="17"/>
      <c r="E378" s="12"/>
      <c r="F378" s="18"/>
      <c r="G378" s="19"/>
      <c r="H378" s="13"/>
      <c r="I378" s="19"/>
      <c r="J378" s="13"/>
      <c r="K378" s="19"/>
      <c r="L378" s="13"/>
    </row>
    <row r="379" spans="1:12">
      <c r="A379" s="14"/>
      <c r="B379" s="15"/>
      <c r="C379" s="16"/>
      <c r="D379" s="17"/>
      <c r="E379" s="12"/>
      <c r="F379" s="18"/>
      <c r="G379" s="19"/>
      <c r="H379" s="13"/>
      <c r="I379" s="19"/>
      <c r="J379" s="13"/>
      <c r="K379" s="19"/>
      <c r="L379" s="13"/>
    </row>
    <row r="380" spans="1:12">
      <c r="A380" s="14"/>
      <c r="B380" s="15"/>
      <c r="C380" s="16"/>
      <c r="D380" s="17"/>
      <c r="E380" s="12"/>
      <c r="F380" s="18"/>
      <c r="G380" s="19"/>
      <c r="H380" s="13"/>
      <c r="I380" s="19"/>
      <c r="J380" s="13"/>
      <c r="K380" s="19"/>
      <c r="L380" s="13"/>
    </row>
    <row r="381" spans="1:12">
      <c r="A381" s="14"/>
      <c r="B381" s="15"/>
      <c r="C381" s="16"/>
      <c r="D381" s="17"/>
      <c r="E381" s="12"/>
      <c r="F381" s="18"/>
      <c r="G381" s="19"/>
      <c r="H381" s="13"/>
      <c r="I381" s="19"/>
      <c r="J381" s="13"/>
      <c r="K381" s="19"/>
      <c r="L381" s="13"/>
    </row>
    <row r="382" spans="1:12">
      <c r="A382" s="14"/>
      <c r="B382" s="15"/>
      <c r="C382" s="16"/>
      <c r="D382" s="17"/>
      <c r="E382" s="12"/>
      <c r="F382" s="18"/>
      <c r="G382" s="19"/>
      <c r="H382" s="13"/>
      <c r="I382" s="19"/>
      <c r="J382" s="13"/>
      <c r="K382" s="19"/>
      <c r="L382" s="13"/>
    </row>
    <row r="383" spans="1:12">
      <c r="A383" s="14"/>
      <c r="B383" s="15"/>
      <c r="C383" s="16"/>
      <c r="D383" s="17"/>
      <c r="E383" s="12"/>
      <c r="F383" s="18"/>
      <c r="G383" s="19"/>
      <c r="H383" s="13"/>
      <c r="I383" s="19"/>
      <c r="J383" s="13"/>
      <c r="K383" s="19"/>
      <c r="L383" s="13"/>
    </row>
    <row r="384" spans="1:12">
      <c r="A384" s="14"/>
      <c r="B384" s="15"/>
      <c r="C384" s="16"/>
      <c r="D384" s="17"/>
      <c r="E384" s="12"/>
      <c r="F384" s="18"/>
      <c r="G384" s="19"/>
      <c r="H384" s="13"/>
      <c r="I384" s="19"/>
      <c r="J384" s="13"/>
      <c r="K384" s="19"/>
      <c r="L384" s="13"/>
    </row>
    <row r="385" spans="1:12">
      <c r="A385" s="14"/>
      <c r="B385" s="15"/>
      <c r="C385" s="16"/>
      <c r="D385" s="17"/>
      <c r="E385" s="12"/>
      <c r="F385" s="18"/>
      <c r="G385" s="19"/>
      <c r="H385" s="13"/>
      <c r="I385" s="19"/>
      <c r="J385" s="13"/>
      <c r="K385" s="19"/>
      <c r="L385" s="13"/>
    </row>
    <row r="386" spans="1:12">
      <c r="A386" s="14"/>
      <c r="B386" s="15"/>
      <c r="C386" s="16"/>
      <c r="D386" s="17"/>
      <c r="E386" s="12"/>
      <c r="F386" s="18"/>
      <c r="G386" s="19"/>
      <c r="H386" s="13"/>
      <c r="I386" s="19"/>
      <c r="J386" s="13"/>
      <c r="K386" s="19"/>
      <c r="L386" s="13"/>
    </row>
    <row r="387" spans="1:12">
      <c r="A387" s="14"/>
      <c r="B387" s="15"/>
      <c r="C387" s="16"/>
      <c r="D387" s="17"/>
      <c r="E387" s="12"/>
      <c r="F387" s="18"/>
      <c r="G387" s="19"/>
      <c r="H387" s="13"/>
      <c r="I387" s="19"/>
      <c r="J387" s="13"/>
      <c r="K387" s="19"/>
      <c r="L387" s="13"/>
    </row>
    <row r="388" spans="1:12">
      <c r="A388" s="14"/>
      <c r="B388" s="15"/>
      <c r="C388" s="16"/>
      <c r="D388" s="17"/>
      <c r="E388" s="12"/>
      <c r="F388" s="18"/>
      <c r="G388" s="19"/>
      <c r="H388" s="13"/>
      <c r="I388" s="19"/>
      <c r="J388" s="13"/>
      <c r="K388" s="19"/>
      <c r="L388" s="13"/>
    </row>
    <row r="389" spans="1:12">
      <c r="A389" s="14"/>
      <c r="B389" s="15"/>
      <c r="C389" s="16"/>
      <c r="D389" s="17"/>
      <c r="E389" s="12"/>
      <c r="F389" s="18"/>
      <c r="G389" s="19"/>
      <c r="H389" s="13"/>
      <c r="I389" s="19"/>
      <c r="J389" s="13"/>
      <c r="K389" s="19"/>
      <c r="L389" s="13"/>
    </row>
    <row r="390" spans="1:12">
      <c r="A390" s="14"/>
      <c r="B390" s="15"/>
      <c r="C390" s="16"/>
      <c r="D390" s="17"/>
      <c r="E390" s="12"/>
      <c r="F390" s="18"/>
      <c r="G390" s="19"/>
      <c r="H390" s="13"/>
      <c r="I390" s="19"/>
      <c r="J390" s="13"/>
      <c r="K390" s="19"/>
      <c r="L390" s="13"/>
    </row>
    <row r="391" spans="1:12">
      <c r="A391" s="14"/>
      <c r="B391" s="15"/>
      <c r="C391" s="16"/>
      <c r="D391" s="17"/>
      <c r="E391" s="12"/>
      <c r="F391" s="18"/>
      <c r="G391" s="19"/>
      <c r="H391" s="13"/>
      <c r="I391" s="19"/>
      <c r="J391" s="13"/>
      <c r="K391" s="19"/>
      <c r="L391" s="13"/>
    </row>
    <row r="392" spans="1:12">
      <c r="A392" s="14"/>
      <c r="B392" s="15"/>
      <c r="C392" s="16"/>
      <c r="D392" s="17"/>
      <c r="E392" s="12"/>
      <c r="F392" s="18"/>
      <c r="G392" s="19"/>
      <c r="H392" s="13"/>
      <c r="I392" s="19"/>
      <c r="J392" s="13"/>
      <c r="K392" s="19"/>
      <c r="L392" s="13"/>
    </row>
    <row r="393" spans="1:12">
      <c r="A393" s="14"/>
      <c r="B393" s="15"/>
      <c r="C393" s="16"/>
      <c r="D393" s="17"/>
      <c r="E393" s="12"/>
      <c r="F393" s="18"/>
      <c r="G393" s="19"/>
      <c r="H393" s="13"/>
      <c r="I393" s="19"/>
      <c r="J393" s="13"/>
      <c r="K393" s="19"/>
      <c r="L393" s="13"/>
    </row>
    <row r="394" spans="1:12">
      <c r="A394" s="14"/>
      <c r="B394" s="15"/>
      <c r="C394" s="16"/>
      <c r="D394" s="17"/>
      <c r="E394" s="12"/>
      <c r="F394" s="18"/>
      <c r="G394" s="19"/>
      <c r="H394" s="13"/>
      <c r="I394" s="19"/>
      <c r="J394" s="13"/>
      <c r="K394" s="19"/>
      <c r="L394" s="13"/>
    </row>
    <row r="395" spans="1:12">
      <c r="A395" s="14"/>
      <c r="B395" s="15"/>
      <c r="C395" s="16"/>
      <c r="D395" s="17"/>
      <c r="E395" s="12"/>
      <c r="F395" s="18"/>
      <c r="G395" s="19"/>
      <c r="H395" s="13"/>
      <c r="I395" s="19"/>
      <c r="J395" s="13"/>
      <c r="K395" s="19"/>
      <c r="L395" s="13"/>
    </row>
    <row r="396" spans="1:12">
      <c r="A396" s="14"/>
      <c r="B396" s="15"/>
      <c r="C396" s="16"/>
      <c r="D396" s="17"/>
      <c r="E396" s="12"/>
      <c r="F396" s="18"/>
      <c r="G396" s="19"/>
      <c r="H396" s="13"/>
      <c r="I396" s="19"/>
      <c r="J396" s="13"/>
      <c r="K396" s="19"/>
      <c r="L396" s="13"/>
    </row>
    <row r="397" spans="1:12">
      <c r="A397" s="14"/>
      <c r="B397" s="15"/>
      <c r="C397" s="16"/>
      <c r="D397" s="17"/>
      <c r="E397" s="12"/>
      <c r="F397" s="18"/>
      <c r="G397" s="19"/>
      <c r="H397" s="13"/>
      <c r="I397" s="19"/>
      <c r="J397" s="13"/>
      <c r="K397" s="19"/>
      <c r="L397" s="13"/>
    </row>
    <row r="398" spans="1:12">
      <c r="A398" s="14"/>
      <c r="B398" s="15"/>
      <c r="C398" s="16"/>
      <c r="D398" s="17"/>
      <c r="E398" s="12"/>
      <c r="F398" s="18"/>
      <c r="G398" s="19"/>
      <c r="H398" s="13"/>
      <c r="I398" s="19"/>
      <c r="J398" s="13"/>
      <c r="K398" s="19"/>
      <c r="L398" s="13"/>
    </row>
    <row r="399" spans="1:12">
      <c r="A399" s="14"/>
      <c r="B399" s="15"/>
      <c r="C399" s="16"/>
      <c r="D399" s="17"/>
      <c r="E399" s="12"/>
      <c r="F399" s="18"/>
      <c r="G399" s="19"/>
      <c r="H399" s="13"/>
      <c r="I399" s="19"/>
      <c r="J399" s="13"/>
      <c r="K399" s="19"/>
      <c r="L399" s="13"/>
    </row>
    <row r="400" spans="1:12">
      <c r="A400" s="14"/>
      <c r="B400" s="15"/>
      <c r="C400" s="16"/>
      <c r="D400" s="17"/>
      <c r="E400" s="12"/>
      <c r="F400" s="18"/>
      <c r="G400" s="19"/>
      <c r="H400" s="13"/>
      <c r="I400" s="19"/>
      <c r="J400" s="13"/>
      <c r="K400" s="19"/>
      <c r="L400" s="13"/>
    </row>
    <row r="401" spans="1:12">
      <c r="A401" s="14"/>
      <c r="B401" s="15"/>
      <c r="C401" s="16"/>
      <c r="D401" s="17"/>
      <c r="E401" s="12"/>
      <c r="F401" s="18"/>
      <c r="G401" s="19"/>
      <c r="H401" s="13"/>
      <c r="I401" s="19"/>
      <c r="J401" s="13"/>
      <c r="K401" s="19"/>
      <c r="L401" s="13"/>
    </row>
    <row r="402" spans="1:12">
      <c r="A402" s="14"/>
      <c r="B402" s="15"/>
      <c r="C402" s="16"/>
      <c r="D402" s="17"/>
      <c r="E402" s="12"/>
      <c r="F402" s="18"/>
      <c r="G402" s="19"/>
      <c r="H402" s="13"/>
      <c r="I402" s="19"/>
      <c r="J402" s="13"/>
      <c r="K402" s="19"/>
      <c r="L402" s="13"/>
    </row>
    <row r="403" spans="1:12">
      <c r="A403" s="14"/>
      <c r="B403" s="15"/>
      <c r="C403" s="16"/>
      <c r="D403" s="17"/>
      <c r="E403" s="12"/>
      <c r="F403" s="18"/>
      <c r="G403" s="19"/>
      <c r="H403" s="13"/>
      <c r="I403" s="19"/>
      <c r="J403" s="13"/>
      <c r="K403" s="19"/>
      <c r="L403" s="13"/>
    </row>
    <row r="404" spans="1:12">
      <c r="A404" s="14"/>
      <c r="B404" s="15"/>
      <c r="C404" s="16"/>
      <c r="D404" s="17"/>
      <c r="E404" s="12"/>
      <c r="F404" s="18"/>
      <c r="G404" s="19"/>
      <c r="H404" s="13"/>
      <c r="I404" s="19"/>
      <c r="J404" s="13"/>
      <c r="K404" s="19"/>
      <c r="L404" s="13"/>
    </row>
    <row r="405" spans="1:12">
      <c r="A405" s="14"/>
      <c r="B405" s="15"/>
      <c r="C405" s="16"/>
      <c r="D405" s="17"/>
      <c r="E405" s="12"/>
      <c r="F405" s="18"/>
      <c r="G405" s="19"/>
      <c r="H405" s="13"/>
      <c r="I405" s="19"/>
      <c r="J405" s="13"/>
      <c r="K405" s="19"/>
      <c r="L405" s="13"/>
    </row>
    <row r="406" spans="1:12">
      <c r="A406" s="14"/>
      <c r="B406" s="15"/>
      <c r="C406" s="16"/>
      <c r="D406" s="17"/>
      <c r="E406" s="12"/>
      <c r="F406" s="18"/>
      <c r="G406" s="19"/>
      <c r="H406" s="13"/>
      <c r="I406" s="19"/>
      <c r="J406" s="13"/>
      <c r="K406" s="19"/>
      <c r="L406" s="13"/>
    </row>
    <row r="407" spans="1:12">
      <c r="A407" s="14"/>
      <c r="B407" s="15"/>
      <c r="C407" s="16"/>
      <c r="D407" s="17"/>
      <c r="E407" s="12"/>
      <c r="F407" s="18"/>
      <c r="G407" s="19"/>
      <c r="H407" s="13"/>
      <c r="I407" s="19"/>
      <c r="J407" s="13"/>
      <c r="K407" s="19"/>
      <c r="L407" s="13"/>
    </row>
    <row r="408" spans="1:12">
      <c r="A408" s="14"/>
      <c r="B408" s="15"/>
      <c r="C408" s="16"/>
      <c r="D408" s="17"/>
      <c r="E408" s="12"/>
      <c r="F408" s="18"/>
      <c r="G408" s="19"/>
      <c r="H408" s="13"/>
      <c r="I408" s="19"/>
      <c r="J408" s="13"/>
      <c r="K408" s="19"/>
      <c r="L408" s="13"/>
    </row>
    <row r="409" spans="1:12">
      <c r="A409" s="14"/>
      <c r="B409" s="15"/>
      <c r="C409" s="16"/>
      <c r="D409" s="17"/>
      <c r="E409" s="12"/>
      <c r="F409" s="18"/>
      <c r="G409" s="19"/>
      <c r="H409" s="13"/>
      <c r="I409" s="19"/>
      <c r="J409" s="13"/>
      <c r="K409" s="19"/>
      <c r="L409" s="13"/>
    </row>
    <row r="410" spans="1:12">
      <c r="A410" s="14"/>
      <c r="B410" s="15"/>
      <c r="C410" s="16"/>
      <c r="D410" s="17"/>
      <c r="E410" s="12"/>
      <c r="F410" s="18"/>
      <c r="G410" s="19"/>
      <c r="H410" s="13"/>
      <c r="I410" s="19"/>
      <c r="J410" s="13"/>
      <c r="K410" s="19"/>
      <c r="L410" s="13"/>
    </row>
    <row r="411" spans="1:12">
      <c r="A411" s="14"/>
      <c r="B411" s="15"/>
      <c r="C411" s="16"/>
      <c r="D411" s="17"/>
      <c r="E411" s="12"/>
      <c r="F411" s="18"/>
      <c r="G411" s="19"/>
      <c r="H411" s="13"/>
      <c r="I411" s="19"/>
      <c r="J411" s="13"/>
      <c r="K411" s="19"/>
      <c r="L411" s="13"/>
    </row>
    <row r="412" spans="1:12">
      <c r="A412" s="14"/>
      <c r="B412" s="15"/>
      <c r="C412" s="16"/>
      <c r="D412" s="17"/>
      <c r="E412" s="12"/>
      <c r="F412" s="18"/>
      <c r="G412" s="19"/>
      <c r="H412" s="13"/>
      <c r="I412" s="19"/>
      <c r="J412" s="13"/>
      <c r="K412" s="19"/>
      <c r="L412" s="13"/>
    </row>
    <row r="413" spans="1:12">
      <c r="A413" s="14"/>
      <c r="B413" s="15"/>
      <c r="C413" s="16"/>
      <c r="D413" s="17"/>
      <c r="E413" s="12"/>
      <c r="F413" s="18"/>
      <c r="G413" s="19"/>
      <c r="H413" s="13"/>
      <c r="I413" s="19"/>
      <c r="J413" s="13"/>
      <c r="K413" s="19"/>
      <c r="L413" s="13"/>
    </row>
    <row r="414" spans="1:12">
      <c r="A414" s="14"/>
      <c r="B414" s="15"/>
      <c r="C414" s="16"/>
      <c r="D414" s="17"/>
      <c r="E414" s="12"/>
      <c r="F414" s="18"/>
      <c r="G414" s="19"/>
      <c r="H414" s="13"/>
      <c r="I414" s="19"/>
      <c r="J414" s="13"/>
      <c r="K414" s="19"/>
      <c r="L414" s="13"/>
    </row>
    <row r="415" spans="1:12">
      <c r="A415" s="14"/>
      <c r="B415" s="15"/>
      <c r="C415" s="16"/>
      <c r="D415" s="17"/>
      <c r="E415" s="12"/>
      <c r="F415" s="18"/>
      <c r="G415" s="19"/>
      <c r="H415" s="13"/>
      <c r="I415" s="19"/>
      <c r="J415" s="13"/>
      <c r="K415" s="19"/>
      <c r="L415" s="13"/>
    </row>
    <row r="416" spans="1:12">
      <c r="A416" s="14"/>
      <c r="B416" s="15"/>
      <c r="C416" s="16"/>
      <c r="D416" s="17"/>
      <c r="E416" s="12"/>
      <c r="F416" s="18"/>
      <c r="G416" s="19"/>
      <c r="H416" s="13"/>
      <c r="I416" s="19"/>
      <c r="J416" s="13"/>
      <c r="K416" s="19"/>
      <c r="L416" s="13"/>
    </row>
    <row r="417" spans="1:12">
      <c r="A417" s="14"/>
      <c r="B417" s="15"/>
      <c r="C417" s="16"/>
      <c r="D417" s="17"/>
      <c r="E417" s="12"/>
      <c r="F417" s="18"/>
      <c r="G417" s="19"/>
      <c r="H417" s="13"/>
      <c r="I417" s="19"/>
      <c r="J417" s="13"/>
      <c r="K417" s="19"/>
      <c r="L417" s="13"/>
    </row>
    <row r="418" spans="1:12">
      <c r="A418" s="14"/>
      <c r="B418" s="15"/>
      <c r="C418" s="16"/>
      <c r="D418" s="17"/>
      <c r="E418" s="12"/>
      <c r="F418" s="18"/>
      <c r="G418" s="19"/>
      <c r="H418" s="13"/>
      <c r="I418" s="19"/>
      <c r="J418" s="13"/>
      <c r="K418" s="19"/>
      <c r="L418" s="13"/>
    </row>
    <row r="419" spans="1:12">
      <c r="A419" s="14"/>
      <c r="B419" s="15"/>
      <c r="C419" s="16"/>
      <c r="D419" s="17"/>
      <c r="E419" s="12"/>
      <c r="F419" s="18"/>
      <c r="G419" s="19"/>
      <c r="H419" s="13"/>
      <c r="I419" s="19"/>
      <c r="J419" s="13"/>
      <c r="K419" s="19"/>
      <c r="L419" s="13"/>
    </row>
    <row r="420" spans="1:12">
      <c r="A420" s="14"/>
      <c r="B420" s="15"/>
      <c r="C420" s="16"/>
      <c r="D420" s="17"/>
      <c r="E420" s="12"/>
      <c r="F420" s="18"/>
      <c r="G420" s="19"/>
      <c r="H420" s="13"/>
      <c r="I420" s="19"/>
      <c r="J420" s="13"/>
      <c r="K420" s="19"/>
      <c r="L420" s="13"/>
    </row>
    <row r="421" spans="1:12">
      <c r="A421" s="14"/>
      <c r="B421" s="15"/>
      <c r="C421" s="16"/>
      <c r="D421" s="17"/>
      <c r="E421" s="12"/>
      <c r="F421" s="18"/>
      <c r="G421" s="19"/>
      <c r="H421" s="13"/>
      <c r="I421" s="19"/>
      <c r="J421" s="13"/>
      <c r="K421" s="19"/>
      <c r="L421" s="13"/>
    </row>
    <row r="422" spans="1:12">
      <c r="A422" s="14"/>
      <c r="B422" s="15"/>
      <c r="C422" s="16"/>
      <c r="D422" s="17"/>
      <c r="E422" s="12"/>
      <c r="F422" s="18"/>
      <c r="G422" s="19"/>
      <c r="H422" s="13"/>
      <c r="I422" s="19"/>
      <c r="J422" s="13"/>
      <c r="K422" s="19"/>
      <c r="L422" s="13"/>
    </row>
    <row r="423" spans="1:12">
      <c r="A423" s="14"/>
      <c r="B423" s="15"/>
      <c r="C423" s="16"/>
      <c r="D423" s="17"/>
      <c r="E423" s="12"/>
      <c r="F423" s="18"/>
      <c r="G423" s="19"/>
      <c r="H423" s="13"/>
      <c r="I423" s="19"/>
      <c r="J423" s="13"/>
      <c r="K423" s="19"/>
      <c r="L423" s="13"/>
    </row>
    <row r="424" spans="1:12">
      <c r="A424" s="14"/>
      <c r="B424" s="15"/>
      <c r="C424" s="16"/>
      <c r="D424" s="17"/>
      <c r="E424" s="12"/>
      <c r="F424" s="18"/>
      <c r="G424" s="19"/>
      <c r="H424" s="13"/>
      <c r="I424" s="19"/>
      <c r="J424" s="13"/>
      <c r="K424" s="19"/>
      <c r="L424" s="13"/>
    </row>
    <row r="425" spans="1:12">
      <c r="A425" s="14"/>
      <c r="B425" s="15"/>
      <c r="C425" s="16"/>
      <c r="D425" s="17"/>
      <c r="E425" s="12"/>
      <c r="F425" s="18"/>
      <c r="G425" s="19"/>
      <c r="H425" s="13"/>
      <c r="I425" s="19"/>
      <c r="J425" s="13"/>
      <c r="K425" s="19"/>
      <c r="L425" s="13"/>
    </row>
    <row r="426" spans="1:12">
      <c r="A426" s="14"/>
      <c r="B426" s="15"/>
      <c r="C426" s="16"/>
      <c r="D426" s="17"/>
      <c r="E426" s="12"/>
      <c r="F426" s="18"/>
      <c r="G426" s="19"/>
      <c r="H426" s="13"/>
      <c r="I426" s="19"/>
      <c r="J426" s="13"/>
      <c r="K426" s="19"/>
      <c r="L426" s="13"/>
    </row>
    <row r="427" spans="1:12">
      <c r="A427" s="14"/>
      <c r="B427" s="15"/>
      <c r="C427" s="16"/>
      <c r="D427" s="17"/>
      <c r="E427" s="12"/>
      <c r="F427" s="18"/>
      <c r="G427" s="19"/>
      <c r="H427" s="13"/>
      <c r="I427" s="19"/>
      <c r="J427" s="13"/>
      <c r="K427" s="19"/>
      <c r="L427" s="13"/>
    </row>
    <row r="428" spans="1:12">
      <c r="A428" s="14"/>
      <c r="B428" s="15"/>
      <c r="C428" s="16"/>
      <c r="D428" s="17"/>
      <c r="E428" s="12"/>
      <c r="F428" s="18"/>
      <c r="G428" s="19"/>
      <c r="H428" s="13"/>
      <c r="I428" s="19"/>
      <c r="J428" s="13"/>
      <c r="K428" s="19"/>
      <c r="L428" s="13"/>
    </row>
    <row r="429" spans="1:12">
      <c r="A429" s="14"/>
      <c r="B429" s="15"/>
      <c r="C429" s="16"/>
      <c r="D429" s="17"/>
      <c r="E429" s="12"/>
      <c r="F429" s="18"/>
      <c r="G429" s="19"/>
      <c r="H429" s="13"/>
      <c r="I429" s="19"/>
      <c r="J429" s="13"/>
      <c r="K429" s="19"/>
      <c r="L429" s="13"/>
    </row>
    <row r="430" spans="1:12">
      <c r="A430" s="14"/>
      <c r="B430" s="15"/>
      <c r="C430" s="16"/>
      <c r="D430" s="17"/>
      <c r="E430" s="12"/>
      <c r="F430" s="18"/>
      <c r="G430" s="19"/>
      <c r="H430" s="13"/>
      <c r="I430" s="19"/>
      <c r="J430" s="13"/>
      <c r="K430" s="19"/>
      <c r="L430" s="13"/>
    </row>
    <row r="431" spans="1:12">
      <c r="A431" s="14"/>
      <c r="B431" s="15"/>
      <c r="C431" s="16"/>
      <c r="D431" s="17"/>
      <c r="E431" s="12"/>
      <c r="F431" s="18"/>
      <c r="G431" s="19"/>
      <c r="H431" s="13"/>
      <c r="I431" s="19"/>
      <c r="J431" s="13"/>
      <c r="K431" s="19"/>
      <c r="L431" s="13"/>
    </row>
    <row r="432" spans="1:12">
      <c r="A432" s="14"/>
      <c r="B432" s="15"/>
      <c r="C432" s="16"/>
      <c r="D432" s="17"/>
      <c r="E432" s="12"/>
      <c r="F432" s="18"/>
      <c r="G432" s="19"/>
      <c r="H432" s="13"/>
      <c r="I432" s="19"/>
      <c r="J432" s="13"/>
      <c r="K432" s="19"/>
      <c r="L432" s="13"/>
    </row>
    <row r="433" spans="1:12">
      <c r="A433" s="14"/>
      <c r="B433" s="15"/>
      <c r="C433" s="16"/>
      <c r="D433" s="17"/>
      <c r="E433" s="12"/>
      <c r="F433" s="18"/>
      <c r="G433" s="19"/>
      <c r="H433" s="13"/>
      <c r="I433" s="19"/>
      <c r="J433" s="13"/>
      <c r="K433" s="19"/>
      <c r="L433" s="13"/>
    </row>
    <row r="434" spans="1:12">
      <c r="A434" s="14"/>
      <c r="B434" s="15"/>
      <c r="C434" s="16"/>
      <c r="D434" s="17"/>
      <c r="E434" s="12"/>
      <c r="F434" s="18"/>
      <c r="G434" s="19"/>
      <c r="H434" s="13"/>
      <c r="I434" s="19"/>
      <c r="J434" s="13"/>
      <c r="K434" s="19"/>
      <c r="L434" s="13"/>
    </row>
    <row r="435" spans="1:12">
      <c r="A435" s="14"/>
      <c r="B435" s="15"/>
      <c r="C435" s="16"/>
      <c r="D435" s="17"/>
      <c r="E435" s="12"/>
      <c r="F435" s="18"/>
      <c r="G435" s="19"/>
      <c r="H435" s="13"/>
      <c r="I435" s="19"/>
      <c r="J435" s="13"/>
      <c r="K435" s="19"/>
      <c r="L435" s="13"/>
    </row>
    <row r="436" spans="1:12">
      <c r="A436" s="14"/>
      <c r="B436" s="15"/>
      <c r="C436" s="16"/>
      <c r="D436" s="17"/>
      <c r="E436" s="12"/>
      <c r="F436" s="18"/>
      <c r="G436" s="19"/>
      <c r="H436" s="13"/>
      <c r="I436" s="19"/>
      <c r="J436" s="13"/>
      <c r="K436" s="19"/>
      <c r="L436" s="13"/>
    </row>
    <row r="437" spans="1:12">
      <c r="A437" s="14"/>
      <c r="B437" s="15"/>
      <c r="C437" s="16"/>
      <c r="D437" s="17"/>
      <c r="E437" s="12"/>
      <c r="F437" s="18"/>
      <c r="G437" s="19"/>
      <c r="H437" s="13"/>
      <c r="I437" s="19"/>
      <c r="J437" s="13"/>
      <c r="K437" s="19"/>
      <c r="L437" s="13"/>
    </row>
    <row r="438" spans="1:12">
      <c r="A438" s="14"/>
      <c r="B438" s="15"/>
      <c r="C438" s="16"/>
      <c r="D438" s="17"/>
      <c r="E438" s="12"/>
      <c r="F438" s="18"/>
      <c r="G438" s="19"/>
      <c r="H438" s="13"/>
      <c r="I438" s="19"/>
      <c r="J438" s="13"/>
      <c r="K438" s="19"/>
      <c r="L438" s="13"/>
    </row>
    <row r="439" spans="1:12">
      <c r="A439" s="14"/>
      <c r="B439" s="15"/>
      <c r="C439" s="16"/>
      <c r="D439" s="17"/>
      <c r="E439" s="12"/>
      <c r="F439" s="18"/>
      <c r="G439" s="19"/>
      <c r="H439" s="13"/>
      <c r="I439" s="19"/>
      <c r="J439" s="13"/>
      <c r="K439" s="19"/>
      <c r="L439" s="13"/>
    </row>
    <row r="440" spans="1:12">
      <c r="A440" s="14"/>
      <c r="B440" s="15"/>
      <c r="C440" s="16"/>
      <c r="D440" s="17"/>
      <c r="E440" s="12"/>
      <c r="F440" s="18"/>
      <c r="G440" s="19"/>
      <c r="H440" s="13"/>
      <c r="I440" s="19"/>
      <c r="J440" s="13"/>
      <c r="K440" s="19"/>
      <c r="L440" s="13"/>
    </row>
    <row r="441" spans="1:12">
      <c r="A441" s="14"/>
      <c r="B441" s="15"/>
      <c r="C441" s="16"/>
      <c r="D441" s="17"/>
      <c r="E441" s="12"/>
      <c r="F441" s="18"/>
      <c r="G441" s="19"/>
      <c r="H441" s="13"/>
      <c r="I441" s="19"/>
      <c r="J441" s="13"/>
      <c r="K441" s="19"/>
      <c r="L441" s="13"/>
    </row>
    <row r="442" spans="1:12">
      <c r="A442" s="14"/>
      <c r="B442" s="15"/>
      <c r="C442" s="16"/>
      <c r="D442" s="17"/>
      <c r="E442" s="12"/>
      <c r="F442" s="18"/>
      <c r="G442" s="19"/>
      <c r="H442" s="13"/>
      <c r="I442" s="19"/>
      <c r="J442" s="13"/>
      <c r="K442" s="19"/>
      <c r="L442" s="13"/>
    </row>
    <row r="443" spans="1:12">
      <c r="A443" s="14"/>
      <c r="B443" s="15"/>
      <c r="C443" s="16"/>
      <c r="D443" s="20"/>
      <c r="E443" s="12"/>
      <c r="F443" s="18"/>
      <c r="G443" s="19"/>
      <c r="H443" s="13"/>
      <c r="I443" s="19"/>
      <c r="J443" s="13"/>
      <c r="K443" s="19"/>
      <c r="L443" s="13"/>
    </row>
    <row r="444" spans="1:12">
      <c r="A444" s="14"/>
      <c r="B444" s="15"/>
      <c r="C444" s="16"/>
      <c r="D444" s="20"/>
      <c r="E444" s="12"/>
      <c r="F444" s="18"/>
      <c r="G444" s="19"/>
      <c r="H444" s="13"/>
      <c r="I444" s="19"/>
      <c r="J444" s="13"/>
      <c r="K444" s="19"/>
      <c r="L444" s="13"/>
    </row>
    <row r="445" spans="1:12" ht="13.5" thickBot="1">
      <c r="A445" s="21"/>
      <c r="B445" s="22"/>
      <c r="C445" s="23"/>
      <c r="D445" s="24"/>
      <c r="E445" s="37"/>
      <c r="F445" s="25"/>
      <c r="G445" s="26"/>
      <c r="H445" s="27"/>
      <c r="I445" s="26"/>
      <c r="J445" s="27"/>
      <c r="K445" s="26"/>
      <c r="L445" s="27"/>
    </row>
  </sheetData>
  <sheetProtection sheet="1" objects="1" scenarios="1" formatCells="0" formatColumns="0" formatRows="0" insertColumns="0" insertRows="0" insertHyperlinks="0" deleteColumns="0" deleteRows="0" sort="0" autoFilter="0" pivotTables="0"/>
  <sortState ref="A43:N52">
    <sortCondition ref="F43:F52"/>
  </sortState>
  <dataConsolidate/>
  <mergeCells count="4">
    <mergeCell ref="G1:H1"/>
    <mergeCell ref="E3:F3"/>
    <mergeCell ref="I1:J1"/>
    <mergeCell ref="K1:L1"/>
  </mergeCells>
  <phoneticPr fontId="14" type="noConversion"/>
  <conditionalFormatting sqref="A1">
    <cfRule type="cellIs" dxfId="10305" priority="14" stopIfTrue="1" operator="equal">
      <formula>"NOK"</formula>
    </cfRule>
  </conditionalFormatting>
  <conditionalFormatting sqref="K5:K445 G5:G445 I5:I445">
    <cfRule type="cellIs" dxfId="10304" priority="13" stopIfTrue="1" operator="notEqual">
      <formula>H5</formula>
    </cfRule>
  </conditionalFormatting>
  <conditionalFormatting sqref="G97:G116 I97:I116 K97:K116">
    <cfRule type="cellIs" dxfId="10303" priority="9" stopIfTrue="1" operator="notEqual">
      <formula>H97</formula>
    </cfRule>
  </conditionalFormatting>
  <conditionalFormatting sqref="I119:I122 K119:K122 G119:G122">
    <cfRule type="cellIs" dxfId="10302" priority="8" stopIfTrue="1" operator="notEqual">
      <formula>H119</formula>
    </cfRule>
  </conditionalFormatting>
  <conditionalFormatting sqref="G117 I117 K117">
    <cfRule type="cellIs" dxfId="10301" priority="7" stopIfTrue="1" operator="notEqual">
      <formula>H117</formula>
    </cfRule>
  </conditionalFormatting>
  <conditionalFormatting sqref="I118 K118 G118">
    <cfRule type="cellIs" dxfId="10300" priority="6" stopIfTrue="1" operator="notEqual">
      <formula>H118</formula>
    </cfRule>
  </conditionalFormatting>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sheetPr codeName="Sheet62">
    <tabColor rgb="FF92D050"/>
  </sheetPr>
  <dimension ref="A1:AB501"/>
  <sheetViews>
    <sheetView showGridLines="0" zoomScale="80" zoomScaleNormal="80" workbookViewId="0">
      <pane xSplit="6" ySplit="4" topLeftCell="G5" activePane="bottomRight" state="frozenSplit"/>
      <selection activeCell="I6" sqref="I6"/>
      <selection pane="topRight" activeCell="I6" sqref="I6"/>
      <selection pane="bottomLeft" activeCell="I6" sqref="I6"/>
      <selection pane="bottomRight" activeCell="F1" sqref="F1"/>
    </sheetView>
  </sheetViews>
  <sheetFormatPr defaultRowHeight="12.75"/>
  <cols>
    <col min="1" max="1" width="44.625" style="28" customWidth="1"/>
    <col min="2" max="2" width="7.125" style="28" customWidth="1"/>
    <col min="3" max="3" width="9.5" style="29" customWidth="1"/>
    <col min="4" max="4" width="9.125" style="28" customWidth="1"/>
    <col min="5" max="5" width="16.625" style="28" customWidth="1"/>
    <col min="6" max="6" width="12.625" style="30" customWidth="1"/>
    <col min="7" max="7" width="12.625" style="31" customWidth="1"/>
    <col min="8" max="8" width="12.625" style="32" customWidth="1"/>
    <col min="9" max="9" width="12.625" style="31" customWidth="1"/>
    <col min="10" max="10" width="12.625" style="32" customWidth="1"/>
    <col min="11" max="11" width="12.625" style="31" customWidth="1"/>
    <col min="12" max="12" width="12.625" style="32" customWidth="1"/>
    <col min="13" max="13" width="12.625" style="31" customWidth="1"/>
    <col min="14" max="14" width="12.625" style="32" customWidth="1"/>
    <col min="15" max="15" width="12.625" style="31" customWidth="1"/>
    <col min="16" max="16" width="12.625" style="32" customWidth="1"/>
    <col min="17" max="17" width="12.625" style="31" customWidth="1"/>
    <col min="18" max="18" width="12.625" style="32" customWidth="1"/>
    <col min="19" max="19" width="12.625" style="31" customWidth="1"/>
    <col min="20" max="20" width="12.625" style="32" customWidth="1"/>
    <col min="21" max="21" width="9.75" style="529" customWidth="1"/>
    <col min="22" max="22" width="9.75" style="530" customWidth="1"/>
    <col min="23" max="23" width="12.5" style="529" customWidth="1"/>
    <col min="24" max="24" width="9.75" style="530" customWidth="1"/>
    <col min="25" max="25" width="9.75" style="529" customWidth="1"/>
    <col min="26" max="26" width="9.75" style="530" customWidth="1"/>
    <col min="27" max="27" width="1.25" style="6" customWidth="1"/>
    <col min="28" max="28" width="21.375" style="6" customWidth="1"/>
    <col min="29" max="274" width="8.875" style="6"/>
    <col min="275" max="275" width="12" style="6" customWidth="1"/>
    <col min="276" max="276" width="7.125" style="6" customWidth="1"/>
    <col min="277" max="277" width="8.875" style="6"/>
    <col min="278" max="278" width="16" style="6" customWidth="1"/>
    <col min="279" max="279" width="13.75" style="6" customWidth="1"/>
    <col min="280" max="281" width="9.75" style="6" customWidth="1"/>
    <col min="282" max="530" width="8.875" style="6"/>
    <col min="531" max="531" width="12" style="6" customWidth="1"/>
    <col min="532" max="532" width="7.125" style="6" customWidth="1"/>
    <col min="533" max="533" width="8.875" style="6"/>
    <col min="534" max="534" width="16" style="6" customWidth="1"/>
    <col min="535" max="535" width="13.75" style="6" customWidth="1"/>
    <col min="536" max="537" width="9.75" style="6" customWidth="1"/>
    <col min="538" max="786" width="8.875" style="6"/>
    <col min="787" max="787" width="12" style="6" customWidth="1"/>
    <col min="788" max="788" width="7.125" style="6" customWidth="1"/>
    <col min="789" max="789" width="8.875" style="6"/>
    <col min="790" max="790" width="16" style="6" customWidth="1"/>
    <col min="791" max="791" width="13.75" style="6" customWidth="1"/>
    <col min="792" max="793" width="9.75" style="6" customWidth="1"/>
    <col min="794" max="1042" width="8.875" style="6"/>
    <col min="1043" max="1043" width="12" style="6" customWidth="1"/>
    <col min="1044" max="1044" width="7.125" style="6" customWidth="1"/>
    <col min="1045" max="1045" width="8.875" style="6"/>
    <col min="1046" max="1046" width="16" style="6" customWidth="1"/>
    <col min="1047" max="1047" width="13.75" style="6" customWidth="1"/>
    <col min="1048" max="1049" width="9.75" style="6" customWidth="1"/>
    <col min="1050" max="1298" width="8.875" style="6"/>
    <col min="1299" max="1299" width="12" style="6" customWidth="1"/>
    <col min="1300" max="1300" width="7.125" style="6" customWidth="1"/>
    <col min="1301" max="1301" width="8.875" style="6"/>
    <col min="1302" max="1302" width="16" style="6" customWidth="1"/>
    <col min="1303" max="1303" width="13.75" style="6" customWidth="1"/>
    <col min="1304" max="1305" width="9.75" style="6" customWidth="1"/>
    <col min="1306" max="1554" width="8.875" style="6"/>
    <col min="1555" max="1555" width="12" style="6" customWidth="1"/>
    <col min="1556" max="1556" width="7.125" style="6" customWidth="1"/>
    <col min="1557" max="1557" width="8.875" style="6"/>
    <col min="1558" max="1558" width="16" style="6" customWidth="1"/>
    <col min="1559" max="1559" width="13.75" style="6" customWidth="1"/>
    <col min="1560" max="1561" width="9.75" style="6" customWidth="1"/>
    <col min="1562" max="1810" width="8.875" style="6"/>
    <col min="1811" max="1811" width="12" style="6" customWidth="1"/>
    <col min="1812" max="1812" width="7.125" style="6" customWidth="1"/>
    <col min="1813" max="1813" width="8.875" style="6"/>
    <col min="1814" max="1814" width="16" style="6" customWidth="1"/>
    <col min="1815" max="1815" width="13.75" style="6" customWidth="1"/>
    <col min="1816" max="1817" width="9.75" style="6" customWidth="1"/>
    <col min="1818" max="2066" width="8.875" style="6"/>
    <col min="2067" max="2067" width="12" style="6" customWidth="1"/>
    <col min="2068" max="2068" width="7.125" style="6" customWidth="1"/>
    <col min="2069" max="2069" width="8.875" style="6"/>
    <col min="2070" max="2070" width="16" style="6" customWidth="1"/>
    <col min="2071" max="2071" width="13.75" style="6" customWidth="1"/>
    <col min="2072" max="2073" width="9.75" style="6" customWidth="1"/>
    <col min="2074" max="2322" width="8.875" style="6"/>
    <col min="2323" max="2323" width="12" style="6" customWidth="1"/>
    <col min="2324" max="2324" width="7.125" style="6" customWidth="1"/>
    <col min="2325" max="2325" width="8.875" style="6"/>
    <col min="2326" max="2326" width="16" style="6" customWidth="1"/>
    <col min="2327" max="2327" width="13.75" style="6" customWidth="1"/>
    <col min="2328" max="2329" width="9.75" style="6" customWidth="1"/>
    <col min="2330" max="2578" width="8.875" style="6"/>
    <col min="2579" max="2579" width="12" style="6" customWidth="1"/>
    <col min="2580" max="2580" width="7.125" style="6" customWidth="1"/>
    <col min="2581" max="2581" width="8.875" style="6"/>
    <col min="2582" max="2582" width="16" style="6" customWidth="1"/>
    <col min="2583" max="2583" width="13.75" style="6" customWidth="1"/>
    <col min="2584" max="2585" width="9.75" style="6" customWidth="1"/>
    <col min="2586" max="2834" width="8.875" style="6"/>
    <col min="2835" max="2835" width="12" style="6" customWidth="1"/>
    <col min="2836" max="2836" width="7.125" style="6" customWidth="1"/>
    <col min="2837" max="2837" width="8.875" style="6"/>
    <col min="2838" max="2838" width="16" style="6" customWidth="1"/>
    <col min="2839" max="2839" width="13.75" style="6" customWidth="1"/>
    <col min="2840" max="2841" width="9.75" style="6" customWidth="1"/>
    <col min="2842" max="3090" width="8.875" style="6"/>
    <col min="3091" max="3091" width="12" style="6" customWidth="1"/>
    <col min="3092" max="3092" width="7.125" style="6" customWidth="1"/>
    <col min="3093" max="3093" width="8.875" style="6"/>
    <col min="3094" max="3094" width="16" style="6" customWidth="1"/>
    <col min="3095" max="3095" width="13.75" style="6" customWidth="1"/>
    <col min="3096" max="3097" width="9.75" style="6" customWidth="1"/>
    <col min="3098" max="3346" width="8.875" style="6"/>
    <col min="3347" max="3347" width="12" style="6" customWidth="1"/>
    <col min="3348" max="3348" width="7.125" style="6" customWidth="1"/>
    <col min="3349" max="3349" width="8.875" style="6"/>
    <col min="3350" max="3350" width="16" style="6" customWidth="1"/>
    <col min="3351" max="3351" width="13.75" style="6" customWidth="1"/>
    <col min="3352" max="3353" width="9.75" style="6" customWidth="1"/>
    <col min="3354" max="3602" width="8.875" style="6"/>
    <col min="3603" max="3603" width="12" style="6" customWidth="1"/>
    <col min="3604" max="3604" width="7.125" style="6" customWidth="1"/>
    <col min="3605" max="3605" width="8.875" style="6"/>
    <col min="3606" max="3606" width="16" style="6" customWidth="1"/>
    <col min="3607" max="3607" width="13.75" style="6" customWidth="1"/>
    <col min="3608" max="3609" width="9.75" style="6" customWidth="1"/>
    <col min="3610" max="3858" width="8.875" style="6"/>
    <col min="3859" max="3859" width="12" style="6" customWidth="1"/>
    <col min="3860" max="3860" width="7.125" style="6" customWidth="1"/>
    <col min="3861" max="3861" width="8.875" style="6"/>
    <col min="3862" max="3862" width="16" style="6" customWidth="1"/>
    <col min="3863" max="3863" width="13.75" style="6" customWidth="1"/>
    <col min="3864" max="3865" width="9.75" style="6" customWidth="1"/>
    <col min="3866" max="4114" width="8.875" style="6"/>
    <col min="4115" max="4115" width="12" style="6" customWidth="1"/>
    <col min="4116" max="4116" width="7.125" style="6" customWidth="1"/>
    <col min="4117" max="4117" width="8.875" style="6"/>
    <col min="4118" max="4118" width="16" style="6" customWidth="1"/>
    <col min="4119" max="4119" width="13.75" style="6" customWidth="1"/>
    <col min="4120" max="4121" width="9.75" style="6" customWidth="1"/>
    <col min="4122" max="4370" width="8.875" style="6"/>
    <col min="4371" max="4371" width="12" style="6" customWidth="1"/>
    <col min="4372" max="4372" width="7.125" style="6" customWidth="1"/>
    <col min="4373" max="4373" width="8.875" style="6"/>
    <col min="4374" max="4374" width="16" style="6" customWidth="1"/>
    <col min="4375" max="4375" width="13.75" style="6" customWidth="1"/>
    <col min="4376" max="4377" width="9.75" style="6" customWidth="1"/>
    <col min="4378" max="4626" width="8.875" style="6"/>
    <col min="4627" max="4627" width="12" style="6" customWidth="1"/>
    <col min="4628" max="4628" width="7.125" style="6" customWidth="1"/>
    <col min="4629" max="4629" width="8.875" style="6"/>
    <col min="4630" max="4630" width="16" style="6" customWidth="1"/>
    <col min="4631" max="4631" width="13.75" style="6" customWidth="1"/>
    <col min="4632" max="4633" width="9.75" style="6" customWidth="1"/>
    <col min="4634" max="4882" width="8.875" style="6"/>
    <col min="4883" max="4883" width="12" style="6" customWidth="1"/>
    <col min="4884" max="4884" width="7.125" style="6" customWidth="1"/>
    <col min="4885" max="4885" width="8.875" style="6"/>
    <col min="4886" max="4886" width="16" style="6" customWidth="1"/>
    <col min="4887" max="4887" width="13.75" style="6" customWidth="1"/>
    <col min="4888" max="4889" width="9.75" style="6" customWidth="1"/>
    <col min="4890" max="5138" width="8.875" style="6"/>
    <col min="5139" max="5139" width="12" style="6" customWidth="1"/>
    <col min="5140" max="5140" width="7.125" style="6" customWidth="1"/>
    <col min="5141" max="5141" width="8.875" style="6"/>
    <col min="5142" max="5142" width="16" style="6" customWidth="1"/>
    <col min="5143" max="5143" width="13.75" style="6" customWidth="1"/>
    <col min="5144" max="5145" width="9.75" style="6" customWidth="1"/>
    <col min="5146" max="5394" width="8.875" style="6"/>
    <col min="5395" max="5395" width="12" style="6" customWidth="1"/>
    <col min="5396" max="5396" width="7.125" style="6" customWidth="1"/>
    <col min="5397" max="5397" width="8.875" style="6"/>
    <col min="5398" max="5398" width="16" style="6" customWidth="1"/>
    <col min="5399" max="5399" width="13.75" style="6" customWidth="1"/>
    <col min="5400" max="5401" width="9.75" style="6" customWidth="1"/>
    <col min="5402" max="5650" width="8.875" style="6"/>
    <col min="5651" max="5651" width="12" style="6" customWidth="1"/>
    <col min="5652" max="5652" width="7.125" style="6" customWidth="1"/>
    <col min="5653" max="5653" width="8.875" style="6"/>
    <col min="5654" max="5654" width="16" style="6" customWidth="1"/>
    <col min="5655" max="5655" width="13.75" style="6" customWidth="1"/>
    <col min="5656" max="5657" width="9.75" style="6" customWidth="1"/>
    <col min="5658" max="5906" width="8.875" style="6"/>
    <col min="5907" max="5907" width="12" style="6" customWidth="1"/>
    <col min="5908" max="5908" width="7.125" style="6" customWidth="1"/>
    <col min="5909" max="5909" width="8.875" style="6"/>
    <col min="5910" max="5910" width="16" style="6" customWidth="1"/>
    <col min="5911" max="5911" width="13.75" style="6" customWidth="1"/>
    <col min="5912" max="5913" width="9.75" style="6" customWidth="1"/>
    <col min="5914" max="6162" width="8.875" style="6"/>
    <col min="6163" max="6163" width="12" style="6" customWidth="1"/>
    <col min="6164" max="6164" width="7.125" style="6" customWidth="1"/>
    <col min="6165" max="6165" width="8.875" style="6"/>
    <col min="6166" max="6166" width="16" style="6" customWidth="1"/>
    <col min="6167" max="6167" width="13.75" style="6" customWidth="1"/>
    <col min="6168" max="6169" width="9.75" style="6" customWidth="1"/>
    <col min="6170" max="6418" width="8.875" style="6"/>
    <col min="6419" max="6419" width="12" style="6" customWidth="1"/>
    <col min="6420" max="6420" width="7.125" style="6" customWidth="1"/>
    <col min="6421" max="6421" width="8.875" style="6"/>
    <col min="6422" max="6422" width="16" style="6" customWidth="1"/>
    <col min="6423" max="6423" width="13.75" style="6" customWidth="1"/>
    <col min="6424" max="6425" width="9.75" style="6" customWidth="1"/>
    <col min="6426" max="6674" width="8.875" style="6"/>
    <col min="6675" max="6675" width="12" style="6" customWidth="1"/>
    <col min="6676" max="6676" width="7.125" style="6" customWidth="1"/>
    <col min="6677" max="6677" width="8.875" style="6"/>
    <col min="6678" max="6678" width="16" style="6" customWidth="1"/>
    <col min="6679" max="6679" width="13.75" style="6" customWidth="1"/>
    <col min="6680" max="6681" width="9.75" style="6" customWidth="1"/>
    <col min="6682" max="6930" width="8.875" style="6"/>
    <col min="6931" max="6931" width="12" style="6" customWidth="1"/>
    <col min="6932" max="6932" width="7.125" style="6" customWidth="1"/>
    <col min="6933" max="6933" width="8.875" style="6"/>
    <col min="6934" max="6934" width="16" style="6" customWidth="1"/>
    <col min="6935" max="6935" width="13.75" style="6" customWidth="1"/>
    <col min="6936" max="6937" width="9.75" style="6" customWidth="1"/>
    <col min="6938" max="7186" width="8.875" style="6"/>
    <col min="7187" max="7187" width="12" style="6" customWidth="1"/>
    <col min="7188" max="7188" width="7.125" style="6" customWidth="1"/>
    <col min="7189" max="7189" width="8.875" style="6"/>
    <col min="7190" max="7190" width="16" style="6" customWidth="1"/>
    <col min="7191" max="7191" width="13.75" style="6" customWidth="1"/>
    <col min="7192" max="7193" width="9.75" style="6" customWidth="1"/>
    <col min="7194" max="7442" width="8.875" style="6"/>
    <col min="7443" max="7443" width="12" style="6" customWidth="1"/>
    <col min="7444" max="7444" width="7.125" style="6" customWidth="1"/>
    <col min="7445" max="7445" width="8.875" style="6"/>
    <col min="7446" max="7446" width="16" style="6" customWidth="1"/>
    <col min="7447" max="7447" width="13.75" style="6" customWidth="1"/>
    <col min="7448" max="7449" width="9.75" style="6" customWidth="1"/>
    <col min="7450" max="7698" width="8.875" style="6"/>
    <col min="7699" max="7699" width="12" style="6" customWidth="1"/>
    <col min="7700" max="7700" width="7.125" style="6" customWidth="1"/>
    <col min="7701" max="7701" width="8.875" style="6"/>
    <col min="7702" max="7702" width="16" style="6" customWidth="1"/>
    <col min="7703" max="7703" width="13.75" style="6" customWidth="1"/>
    <col min="7704" max="7705" width="9.75" style="6" customWidth="1"/>
    <col min="7706" max="7954" width="8.875" style="6"/>
    <col min="7955" max="7955" width="12" style="6" customWidth="1"/>
    <col min="7956" max="7956" width="7.125" style="6" customWidth="1"/>
    <col min="7957" max="7957" width="8.875" style="6"/>
    <col min="7958" max="7958" width="16" style="6" customWidth="1"/>
    <col min="7959" max="7959" width="13.75" style="6" customWidth="1"/>
    <col min="7960" max="7961" width="9.75" style="6" customWidth="1"/>
    <col min="7962" max="8210" width="8.875" style="6"/>
    <col min="8211" max="8211" width="12" style="6" customWidth="1"/>
    <col min="8212" max="8212" width="7.125" style="6" customWidth="1"/>
    <col min="8213" max="8213" width="8.875" style="6"/>
    <col min="8214" max="8214" width="16" style="6" customWidth="1"/>
    <col min="8215" max="8215" width="13.75" style="6" customWidth="1"/>
    <col min="8216" max="8217" width="9.75" style="6" customWidth="1"/>
    <col min="8218" max="8466" width="8.875" style="6"/>
    <col min="8467" max="8467" width="12" style="6" customWidth="1"/>
    <col min="8468" max="8468" width="7.125" style="6" customWidth="1"/>
    <col min="8469" max="8469" width="8.875" style="6"/>
    <col min="8470" max="8470" width="16" style="6" customWidth="1"/>
    <col min="8471" max="8471" width="13.75" style="6" customWidth="1"/>
    <col min="8472" max="8473" width="9.75" style="6" customWidth="1"/>
    <col min="8474" max="8722" width="8.875" style="6"/>
    <col min="8723" max="8723" width="12" style="6" customWidth="1"/>
    <col min="8724" max="8724" width="7.125" style="6" customWidth="1"/>
    <col min="8725" max="8725" width="8.875" style="6"/>
    <col min="8726" max="8726" width="16" style="6" customWidth="1"/>
    <col min="8727" max="8727" width="13.75" style="6" customWidth="1"/>
    <col min="8728" max="8729" width="9.75" style="6" customWidth="1"/>
    <col min="8730" max="8978" width="8.875" style="6"/>
    <col min="8979" max="8979" width="12" style="6" customWidth="1"/>
    <col min="8980" max="8980" width="7.125" style="6" customWidth="1"/>
    <col min="8981" max="8981" width="8.875" style="6"/>
    <col min="8982" max="8982" width="16" style="6" customWidth="1"/>
    <col min="8983" max="8983" width="13.75" style="6" customWidth="1"/>
    <col min="8984" max="8985" width="9.75" style="6" customWidth="1"/>
    <col min="8986" max="9234" width="8.875" style="6"/>
    <col min="9235" max="9235" width="12" style="6" customWidth="1"/>
    <col min="9236" max="9236" width="7.125" style="6" customWidth="1"/>
    <col min="9237" max="9237" width="8.875" style="6"/>
    <col min="9238" max="9238" width="16" style="6" customWidth="1"/>
    <col min="9239" max="9239" width="13.75" style="6" customWidth="1"/>
    <col min="9240" max="9241" width="9.75" style="6" customWidth="1"/>
    <col min="9242" max="9490" width="8.875" style="6"/>
    <col min="9491" max="9491" width="12" style="6" customWidth="1"/>
    <col min="9492" max="9492" width="7.125" style="6" customWidth="1"/>
    <col min="9493" max="9493" width="8.875" style="6"/>
    <col min="9494" max="9494" width="16" style="6" customWidth="1"/>
    <col min="9495" max="9495" width="13.75" style="6" customWidth="1"/>
    <col min="9496" max="9497" width="9.75" style="6" customWidth="1"/>
    <col min="9498" max="9746" width="8.875" style="6"/>
    <col min="9747" max="9747" width="12" style="6" customWidth="1"/>
    <col min="9748" max="9748" width="7.125" style="6" customWidth="1"/>
    <col min="9749" max="9749" width="8.875" style="6"/>
    <col min="9750" max="9750" width="16" style="6" customWidth="1"/>
    <col min="9751" max="9751" width="13.75" style="6" customWidth="1"/>
    <col min="9752" max="9753" width="9.75" style="6" customWidth="1"/>
    <col min="9754" max="10002" width="8.875" style="6"/>
    <col min="10003" max="10003" width="12" style="6" customWidth="1"/>
    <col min="10004" max="10004" width="7.125" style="6" customWidth="1"/>
    <col min="10005" max="10005" width="8.875" style="6"/>
    <col min="10006" max="10006" width="16" style="6" customWidth="1"/>
    <col min="10007" max="10007" width="13.75" style="6" customWidth="1"/>
    <col min="10008" max="10009" width="9.75" style="6" customWidth="1"/>
    <col min="10010" max="10258" width="8.875" style="6"/>
    <col min="10259" max="10259" width="12" style="6" customWidth="1"/>
    <col min="10260" max="10260" width="7.125" style="6" customWidth="1"/>
    <col min="10261" max="10261" width="8.875" style="6"/>
    <col min="10262" max="10262" width="16" style="6" customWidth="1"/>
    <col min="10263" max="10263" width="13.75" style="6" customWidth="1"/>
    <col min="10264" max="10265" width="9.75" style="6" customWidth="1"/>
    <col min="10266" max="10514" width="8.875" style="6"/>
    <col min="10515" max="10515" width="12" style="6" customWidth="1"/>
    <col min="10516" max="10516" width="7.125" style="6" customWidth="1"/>
    <col min="10517" max="10517" width="8.875" style="6"/>
    <col min="10518" max="10518" width="16" style="6" customWidth="1"/>
    <col min="10519" max="10519" width="13.75" style="6" customWidth="1"/>
    <col min="10520" max="10521" width="9.75" style="6" customWidth="1"/>
    <col min="10522" max="10770" width="8.875" style="6"/>
    <col min="10771" max="10771" width="12" style="6" customWidth="1"/>
    <col min="10772" max="10772" width="7.125" style="6" customWidth="1"/>
    <col min="10773" max="10773" width="8.875" style="6"/>
    <col min="10774" max="10774" width="16" style="6" customWidth="1"/>
    <col min="10775" max="10775" width="13.75" style="6" customWidth="1"/>
    <col min="10776" max="10777" width="9.75" style="6" customWidth="1"/>
    <col min="10778" max="11026" width="8.875" style="6"/>
    <col min="11027" max="11027" width="12" style="6" customWidth="1"/>
    <col min="11028" max="11028" width="7.125" style="6" customWidth="1"/>
    <col min="11029" max="11029" width="8.875" style="6"/>
    <col min="11030" max="11030" width="16" style="6" customWidth="1"/>
    <col min="11031" max="11031" width="13.75" style="6" customWidth="1"/>
    <col min="11032" max="11033" width="9.75" style="6" customWidth="1"/>
    <col min="11034" max="11282" width="8.875" style="6"/>
    <col min="11283" max="11283" width="12" style="6" customWidth="1"/>
    <col min="11284" max="11284" width="7.125" style="6" customWidth="1"/>
    <col min="11285" max="11285" width="8.875" style="6"/>
    <col min="11286" max="11286" width="16" style="6" customWidth="1"/>
    <col min="11287" max="11287" width="13.75" style="6" customWidth="1"/>
    <col min="11288" max="11289" width="9.75" style="6" customWidth="1"/>
    <col min="11290" max="11538" width="8.875" style="6"/>
    <col min="11539" max="11539" width="12" style="6" customWidth="1"/>
    <col min="11540" max="11540" width="7.125" style="6" customWidth="1"/>
    <col min="11541" max="11541" width="8.875" style="6"/>
    <col min="11542" max="11542" width="16" style="6" customWidth="1"/>
    <col min="11543" max="11543" width="13.75" style="6" customWidth="1"/>
    <col min="11544" max="11545" width="9.75" style="6" customWidth="1"/>
    <col min="11546" max="11794" width="8.875" style="6"/>
    <col min="11795" max="11795" width="12" style="6" customWidth="1"/>
    <col min="11796" max="11796" width="7.125" style="6" customWidth="1"/>
    <col min="11797" max="11797" width="8.875" style="6"/>
    <col min="11798" max="11798" width="16" style="6" customWidth="1"/>
    <col min="11799" max="11799" width="13.75" style="6" customWidth="1"/>
    <col min="11800" max="11801" width="9.75" style="6" customWidth="1"/>
    <col min="11802" max="12050" width="8.875" style="6"/>
    <col min="12051" max="12051" width="12" style="6" customWidth="1"/>
    <col min="12052" max="12052" width="7.125" style="6" customWidth="1"/>
    <col min="12053" max="12053" width="8.875" style="6"/>
    <col min="12054" max="12054" width="16" style="6" customWidth="1"/>
    <col min="12055" max="12055" width="13.75" style="6" customWidth="1"/>
    <col min="12056" max="12057" width="9.75" style="6" customWidth="1"/>
    <col min="12058" max="12306" width="8.875" style="6"/>
    <col min="12307" max="12307" width="12" style="6" customWidth="1"/>
    <col min="12308" max="12308" width="7.125" style="6" customWidth="1"/>
    <col min="12309" max="12309" width="8.875" style="6"/>
    <col min="12310" max="12310" width="16" style="6" customWidth="1"/>
    <col min="12311" max="12311" width="13.75" style="6" customWidth="1"/>
    <col min="12312" max="12313" width="9.75" style="6" customWidth="1"/>
    <col min="12314" max="12562" width="8.875" style="6"/>
    <col min="12563" max="12563" width="12" style="6" customWidth="1"/>
    <col min="12564" max="12564" width="7.125" style="6" customWidth="1"/>
    <col min="12565" max="12565" width="8.875" style="6"/>
    <col min="12566" max="12566" width="16" style="6" customWidth="1"/>
    <col min="12567" max="12567" width="13.75" style="6" customWidth="1"/>
    <col min="12568" max="12569" width="9.75" style="6" customWidth="1"/>
    <col min="12570" max="12818" width="8.875" style="6"/>
    <col min="12819" max="12819" width="12" style="6" customWidth="1"/>
    <col min="12820" max="12820" width="7.125" style="6" customWidth="1"/>
    <col min="12821" max="12821" width="8.875" style="6"/>
    <col min="12822" max="12822" width="16" style="6" customWidth="1"/>
    <col min="12823" max="12823" width="13.75" style="6" customWidth="1"/>
    <col min="12824" max="12825" width="9.75" style="6" customWidth="1"/>
    <col min="12826" max="13074" width="8.875" style="6"/>
    <col min="13075" max="13075" width="12" style="6" customWidth="1"/>
    <col min="13076" max="13076" width="7.125" style="6" customWidth="1"/>
    <col min="13077" max="13077" width="8.875" style="6"/>
    <col min="13078" max="13078" width="16" style="6" customWidth="1"/>
    <col min="13079" max="13079" width="13.75" style="6" customWidth="1"/>
    <col min="13080" max="13081" width="9.75" style="6" customWidth="1"/>
    <col min="13082" max="13330" width="8.875" style="6"/>
    <col min="13331" max="13331" width="12" style="6" customWidth="1"/>
    <col min="13332" max="13332" width="7.125" style="6" customWidth="1"/>
    <col min="13333" max="13333" width="8.875" style="6"/>
    <col min="13334" max="13334" width="16" style="6" customWidth="1"/>
    <col min="13335" max="13335" width="13.75" style="6" customWidth="1"/>
    <col min="13336" max="13337" width="9.75" style="6" customWidth="1"/>
    <col min="13338" max="13586" width="8.875" style="6"/>
    <col min="13587" max="13587" width="12" style="6" customWidth="1"/>
    <col min="13588" max="13588" width="7.125" style="6" customWidth="1"/>
    <col min="13589" max="13589" width="8.875" style="6"/>
    <col min="13590" max="13590" width="16" style="6" customWidth="1"/>
    <col min="13591" max="13591" width="13.75" style="6" customWidth="1"/>
    <col min="13592" max="13593" width="9.75" style="6" customWidth="1"/>
    <col min="13594" max="13842" width="8.875" style="6"/>
    <col min="13843" max="13843" width="12" style="6" customWidth="1"/>
    <col min="13844" max="13844" width="7.125" style="6" customWidth="1"/>
    <col min="13845" max="13845" width="8.875" style="6"/>
    <col min="13846" max="13846" width="16" style="6" customWidth="1"/>
    <col min="13847" max="13847" width="13.75" style="6" customWidth="1"/>
    <col min="13848" max="13849" width="9.75" style="6" customWidth="1"/>
    <col min="13850" max="14098" width="8.875" style="6"/>
    <col min="14099" max="14099" width="12" style="6" customWidth="1"/>
    <col min="14100" max="14100" width="7.125" style="6" customWidth="1"/>
    <col min="14101" max="14101" width="8.875" style="6"/>
    <col min="14102" max="14102" width="16" style="6" customWidth="1"/>
    <col min="14103" max="14103" width="13.75" style="6" customWidth="1"/>
    <col min="14104" max="14105" width="9.75" style="6" customWidth="1"/>
    <col min="14106" max="14354" width="8.875" style="6"/>
    <col min="14355" max="14355" width="12" style="6" customWidth="1"/>
    <col min="14356" max="14356" width="7.125" style="6" customWidth="1"/>
    <col min="14357" max="14357" width="8.875" style="6"/>
    <col min="14358" max="14358" width="16" style="6" customWidth="1"/>
    <col min="14359" max="14359" width="13.75" style="6" customWidth="1"/>
    <col min="14360" max="14361" width="9.75" style="6" customWidth="1"/>
    <col min="14362" max="14610" width="8.875" style="6"/>
    <col min="14611" max="14611" width="12" style="6" customWidth="1"/>
    <col min="14612" max="14612" width="7.125" style="6" customWidth="1"/>
    <col min="14613" max="14613" width="8.875" style="6"/>
    <col min="14614" max="14614" width="16" style="6" customWidth="1"/>
    <col min="14615" max="14615" width="13.75" style="6" customWidth="1"/>
    <col min="14616" max="14617" width="9.75" style="6" customWidth="1"/>
    <col min="14618" max="14866" width="8.875" style="6"/>
    <col min="14867" max="14867" width="12" style="6" customWidth="1"/>
    <col min="14868" max="14868" width="7.125" style="6" customWidth="1"/>
    <col min="14869" max="14869" width="8.875" style="6"/>
    <col min="14870" max="14870" width="16" style="6" customWidth="1"/>
    <col min="14871" max="14871" width="13.75" style="6" customWidth="1"/>
    <col min="14872" max="14873" width="9.75" style="6" customWidth="1"/>
    <col min="14874" max="15122" width="8.875" style="6"/>
    <col min="15123" max="15123" width="12" style="6" customWidth="1"/>
    <col min="15124" max="15124" width="7.125" style="6" customWidth="1"/>
    <col min="15125" max="15125" width="8.875" style="6"/>
    <col min="15126" max="15126" width="16" style="6" customWidth="1"/>
    <col min="15127" max="15127" width="13.75" style="6" customWidth="1"/>
    <col min="15128" max="15129" width="9.75" style="6" customWidth="1"/>
    <col min="15130" max="15378" width="8.875" style="6"/>
    <col min="15379" max="15379" width="12" style="6" customWidth="1"/>
    <col min="15380" max="15380" width="7.125" style="6" customWidth="1"/>
    <col min="15381" max="15381" width="8.875" style="6"/>
    <col min="15382" max="15382" width="16" style="6" customWidth="1"/>
    <col min="15383" max="15383" width="13.75" style="6" customWidth="1"/>
    <col min="15384" max="15385" width="9.75" style="6" customWidth="1"/>
    <col min="15386" max="15634" width="8.875" style="6"/>
    <col min="15635" max="15635" width="12" style="6" customWidth="1"/>
    <col min="15636" max="15636" width="7.125" style="6" customWidth="1"/>
    <col min="15637" max="15637" width="8.875" style="6"/>
    <col min="15638" max="15638" width="16" style="6" customWidth="1"/>
    <col min="15639" max="15639" width="13.75" style="6" customWidth="1"/>
    <col min="15640" max="15641" width="9.75" style="6" customWidth="1"/>
    <col min="15642" max="15890" width="8.875" style="6"/>
    <col min="15891" max="15891" width="12" style="6" customWidth="1"/>
    <col min="15892" max="15892" width="7.125" style="6" customWidth="1"/>
    <col min="15893" max="15893" width="8.875" style="6"/>
    <col min="15894" max="15894" width="16" style="6" customWidth="1"/>
    <col min="15895" max="15895" width="13.75" style="6" customWidth="1"/>
    <col min="15896" max="15897" width="9.75" style="6" customWidth="1"/>
    <col min="15898" max="16146" width="8.875" style="6"/>
    <col min="16147" max="16147" width="12" style="6" customWidth="1"/>
    <col min="16148" max="16148" width="7.125" style="6" customWidth="1"/>
    <col min="16149" max="16149" width="8.875" style="6"/>
    <col min="16150" max="16150" width="16" style="6" customWidth="1"/>
    <col min="16151" max="16151" width="13.75" style="6" customWidth="1"/>
    <col min="16152" max="16153" width="9.75" style="6" customWidth="1"/>
    <col min="16154" max="16384" width="8.875" style="6"/>
  </cols>
  <sheetData>
    <row r="1" spans="1:28" s="2" customFormat="1" ht="23.25" customHeight="1" thickBot="1">
      <c r="A1" s="1" t="e">
        <f>IF(SUM(2:2)=0,"OK","NOK")</f>
        <v>#DIV/0!</v>
      </c>
      <c r="F1" s="43" t="s">
        <v>4591</v>
      </c>
      <c r="G1" s="1085" t="s">
        <v>6141</v>
      </c>
      <c r="H1" s="1086"/>
      <c r="I1" s="1085" t="s">
        <v>4624</v>
      </c>
      <c r="J1" s="1086"/>
      <c r="K1" s="1085" t="s">
        <v>4662</v>
      </c>
      <c r="L1" s="1086"/>
      <c r="M1" s="1085" t="s">
        <v>4733</v>
      </c>
      <c r="N1" s="1086"/>
      <c r="O1" s="1085" t="s">
        <v>4628</v>
      </c>
      <c r="P1" s="1086"/>
      <c r="Q1" s="1085" t="s">
        <v>4703</v>
      </c>
      <c r="R1" s="1086"/>
      <c r="S1" s="1085" t="s">
        <v>4712</v>
      </c>
      <c r="T1" s="1086"/>
      <c r="U1" s="1085" t="s">
        <v>8092</v>
      </c>
      <c r="V1" s="1086"/>
      <c r="W1" s="1085" t="s">
        <v>8093</v>
      </c>
      <c r="X1" s="1086"/>
      <c r="Y1" s="1085" t="s">
        <v>8096</v>
      </c>
      <c r="Z1" s="1086"/>
      <c r="AA1" s="44"/>
      <c r="AB1" s="48" t="s">
        <v>10</v>
      </c>
    </row>
    <row r="2" spans="1:28" ht="13.5" thickBot="1">
      <c r="A2" s="3"/>
      <c r="B2" s="3"/>
      <c r="C2" s="3"/>
      <c r="D2" s="3"/>
      <c r="E2" s="3"/>
      <c r="F2" s="2"/>
      <c r="G2" s="4" t="s">
        <v>0</v>
      </c>
      <c r="H2" s="5">
        <f>SUMX2MY2(G8:G4992,H8:H4992)</f>
        <v>0</v>
      </c>
      <c r="I2" s="4" t="s">
        <v>0</v>
      </c>
      <c r="J2" s="5">
        <f>SUMX2MY2(I8:I4992,J8:J4992)</f>
        <v>0</v>
      </c>
      <c r="K2" s="4" t="s">
        <v>0</v>
      </c>
      <c r="L2" s="5">
        <f>SUMX2MY2(K8:K4992,L8:L4992)</f>
        <v>0</v>
      </c>
      <c r="M2" s="4" t="s">
        <v>0</v>
      </c>
      <c r="N2" s="5">
        <f>SUMX2MY2(M8:M4992,N8:N4992)</f>
        <v>9.2459406016848211E-16</v>
      </c>
      <c r="O2" s="4" t="s">
        <v>0</v>
      </c>
      <c r="P2" s="5" t="e">
        <f>SUMX2MY2(O8:O4992,P8:P4992)</f>
        <v>#DIV/0!</v>
      </c>
      <c r="Q2" s="4" t="s">
        <v>0</v>
      </c>
      <c r="R2" s="5">
        <f>SUMX2MY2(Q8:Q4992,R8:R4992)</f>
        <v>0</v>
      </c>
      <c r="S2" s="4" t="s">
        <v>0</v>
      </c>
      <c r="T2" s="5" t="e">
        <f>SUMX2MY2(S8:S4992,T8:T4992)</f>
        <v>#DIV/0!</v>
      </c>
      <c r="U2" s="513" t="s">
        <v>0</v>
      </c>
      <c r="V2" s="183" t="e">
        <f>SUMX2MY2(U8:U5002,V8:V5002)</f>
        <v>#DIV/0!</v>
      </c>
      <c r="W2" s="513" t="s">
        <v>0</v>
      </c>
      <c r="X2" s="183" t="e">
        <f>SUMX2MY2(W8:W5002,X8:X5002)</f>
        <v>#DIV/0!</v>
      </c>
      <c r="Y2" s="513" t="s">
        <v>0</v>
      </c>
      <c r="Z2" s="183" t="e">
        <f>SUMX2MY2(Y8:Y5002,Z8:Z5002)</f>
        <v>#DIV/0!</v>
      </c>
    </row>
    <row r="3" spans="1:28" ht="27.75" customHeight="1">
      <c r="A3" s="35" t="s">
        <v>1</v>
      </c>
      <c r="B3" s="36" t="s">
        <v>2</v>
      </c>
      <c r="C3" s="36" t="s">
        <v>3</v>
      </c>
      <c r="D3" s="36" t="s">
        <v>4</v>
      </c>
      <c r="E3" s="1087" t="s">
        <v>7</v>
      </c>
      <c r="F3" s="1088"/>
      <c r="G3" s="7" t="s">
        <v>5</v>
      </c>
      <c r="H3" s="8" t="s">
        <v>6</v>
      </c>
      <c r="I3" s="7" t="s">
        <v>5</v>
      </c>
      <c r="J3" s="8" t="s">
        <v>6</v>
      </c>
      <c r="K3" s="7" t="s">
        <v>5</v>
      </c>
      <c r="L3" s="8" t="s">
        <v>6</v>
      </c>
      <c r="M3" s="7" t="s">
        <v>5</v>
      </c>
      <c r="N3" s="8" t="s">
        <v>6</v>
      </c>
      <c r="O3" s="7" t="s">
        <v>5</v>
      </c>
      <c r="P3" s="8" t="s">
        <v>6</v>
      </c>
      <c r="Q3" s="7" t="s">
        <v>5</v>
      </c>
      <c r="R3" s="8" t="s">
        <v>6</v>
      </c>
      <c r="S3" s="7" t="s">
        <v>5</v>
      </c>
      <c r="T3" s="8" t="s">
        <v>6</v>
      </c>
      <c r="U3" s="515" t="s">
        <v>5</v>
      </c>
      <c r="V3" s="516" t="s">
        <v>6</v>
      </c>
      <c r="W3" s="515" t="s">
        <v>5</v>
      </c>
      <c r="X3" s="516" t="s">
        <v>6</v>
      </c>
      <c r="Y3" s="515" t="s">
        <v>5</v>
      </c>
      <c r="Z3" s="516" t="s">
        <v>6</v>
      </c>
    </row>
    <row r="4" spans="1:28" ht="15.75" customHeight="1" thickBot="1">
      <c r="A4" s="34"/>
      <c r="B4" s="33"/>
      <c r="C4" s="33"/>
      <c r="D4" s="33"/>
      <c r="E4" s="41" t="s">
        <v>9</v>
      </c>
      <c r="F4" s="42" t="s">
        <v>8</v>
      </c>
      <c r="G4" s="38">
        <v>0</v>
      </c>
      <c r="H4" s="39">
        <v>0</v>
      </c>
      <c r="I4" s="38">
        <v>0</v>
      </c>
      <c r="J4" s="39">
        <v>0</v>
      </c>
      <c r="K4" s="38">
        <v>0</v>
      </c>
      <c r="L4" s="39">
        <v>0</v>
      </c>
      <c r="M4" s="38">
        <v>0</v>
      </c>
      <c r="N4" s="39">
        <v>0</v>
      </c>
      <c r="O4" s="38">
        <v>0</v>
      </c>
      <c r="P4" s="39">
        <v>0</v>
      </c>
      <c r="Q4" s="38">
        <v>0</v>
      </c>
      <c r="R4" s="39">
        <v>0</v>
      </c>
      <c r="S4" s="38">
        <v>0</v>
      </c>
      <c r="T4" s="39">
        <v>0</v>
      </c>
      <c r="U4" s="531">
        <v>0</v>
      </c>
      <c r="V4" s="532">
        <v>0</v>
      </c>
      <c r="W4" s="531">
        <v>0</v>
      </c>
      <c r="X4" s="532">
        <v>0</v>
      </c>
      <c r="Y4" s="531">
        <v>0</v>
      </c>
      <c r="Z4" s="532">
        <v>0</v>
      </c>
    </row>
    <row r="5" spans="1:28" s="753" customFormat="1">
      <c r="A5" s="843" t="str">
        <f>VLOOKUP($D5,Pump_from_BP!$A:$J,5,0)</f>
        <v>PZ2101A-Win.pdf</v>
      </c>
      <c r="B5" s="823"/>
      <c r="C5" s="758"/>
      <c r="D5" s="773" t="s">
        <v>10610</v>
      </c>
      <c r="E5" s="782"/>
      <c r="F5" s="465" t="s">
        <v>10607</v>
      </c>
      <c r="G5" s="853">
        <v>371.3</v>
      </c>
      <c r="H5" s="460">
        <f>VLOOKUP($D5,Pump_from_BP!$A:$J,7,0)</f>
        <v>371.3</v>
      </c>
      <c r="I5" s="853">
        <v>289.77</v>
      </c>
      <c r="J5" s="460">
        <f>VLOOKUP($D5,Pump_from_BP!$A:$J,8,0)</f>
        <v>289.77</v>
      </c>
      <c r="K5" s="853">
        <v>2910</v>
      </c>
      <c r="L5" s="460">
        <f>VLOOKUP($D5,Pump_from_BP!$A:$J,9,0)</f>
        <v>2910</v>
      </c>
      <c r="M5" s="853">
        <v>0.10988888888888899</v>
      </c>
      <c r="N5" s="460">
        <f>VLOOKUP($D5,Pump_from_BP!$A:$J,6,0)/3600</f>
        <v>0.1098888888888889</v>
      </c>
      <c r="O5" s="853" t="b">
        <v>1</v>
      </c>
      <c r="P5" s="460" t="b">
        <v>1</v>
      </c>
      <c r="Q5" s="853">
        <v>1</v>
      </c>
      <c r="R5" s="460">
        <v>1</v>
      </c>
      <c r="S5" s="853" t="b">
        <v>1</v>
      </c>
      <c r="T5" s="460" t="b">
        <v>1</v>
      </c>
      <c r="U5" s="853">
        <v>335556.28867877898</v>
      </c>
      <c r="V5" s="460"/>
      <c r="W5" s="853">
        <v>1113912.72859681</v>
      </c>
      <c r="X5" s="460"/>
      <c r="Y5" s="853">
        <v>0.108993406860332</v>
      </c>
      <c r="Z5" s="460"/>
    </row>
    <row r="6" spans="1:28" s="753" customFormat="1">
      <c r="A6" s="843" t="str">
        <f>VLOOKUP($D6,Pump_from_BP!$A:$J,5,0)</f>
        <v>PZ2101B-Win.pdf</v>
      </c>
      <c r="B6" s="823"/>
      <c r="C6" s="758"/>
      <c r="D6" s="773" t="s">
        <v>10611</v>
      </c>
      <c r="E6" s="782"/>
      <c r="F6" s="465" t="s">
        <v>10608</v>
      </c>
      <c r="G6" s="853">
        <v>371.3</v>
      </c>
      <c r="H6" s="460">
        <f>VLOOKUP($D6,Pump_from_BP!$A:$J,7,0)</f>
        <v>371.3</v>
      </c>
      <c r="I6" s="853">
        <v>289.77</v>
      </c>
      <c r="J6" s="460">
        <f>VLOOKUP($D6,Pump_from_BP!$A:$J,8,0)</f>
        <v>289.77</v>
      </c>
      <c r="K6" s="853">
        <v>2910</v>
      </c>
      <c r="L6" s="460">
        <f>VLOOKUP($D6,Pump_from_BP!$A:$J,9,0)</f>
        <v>2910</v>
      </c>
      <c r="M6" s="853">
        <v>0.10988888888888899</v>
      </c>
      <c r="N6" s="460">
        <f>VLOOKUP($D6,Pump_from_BP!$A:$J,6,0)/3600</f>
        <v>0.1098888888888889</v>
      </c>
      <c r="O6" s="853" t="b">
        <v>1</v>
      </c>
      <c r="P6" s="460" t="b">
        <v>1</v>
      </c>
      <c r="Q6" s="853">
        <v>1</v>
      </c>
      <c r="R6" s="460">
        <v>1</v>
      </c>
      <c r="S6" s="853" t="b">
        <v>1</v>
      </c>
      <c r="T6" s="460" t="b">
        <v>1</v>
      </c>
      <c r="U6" s="853">
        <v>335556.28867877898</v>
      </c>
      <c r="V6" s="460"/>
      <c r="W6" s="853">
        <v>1113916.4161155999</v>
      </c>
      <c r="X6" s="460"/>
      <c r="Y6" s="853">
        <v>0.108993354709305</v>
      </c>
      <c r="Z6" s="460"/>
    </row>
    <row r="7" spans="1:28" s="753" customFormat="1">
      <c r="A7" s="843" t="str">
        <f>VLOOKUP($D7,Pump_from_BP!$A:$J,5,0)</f>
        <v>PZ2101C-Win.pdf</v>
      </c>
      <c r="B7" s="823"/>
      <c r="C7" s="758"/>
      <c r="D7" s="773" t="s">
        <v>10612</v>
      </c>
      <c r="E7" s="782"/>
      <c r="F7" s="465" t="s">
        <v>10609</v>
      </c>
      <c r="G7" s="853">
        <v>371.3</v>
      </c>
      <c r="H7" s="460">
        <f>VLOOKUP($D7,Pump_from_BP!$A:$J,7,0)</f>
        <v>371.3</v>
      </c>
      <c r="I7" s="853">
        <v>289.77</v>
      </c>
      <c r="J7" s="460">
        <f>VLOOKUP($D7,Pump_from_BP!$A:$J,8,0)</f>
        <v>289.77</v>
      </c>
      <c r="K7" s="853">
        <v>2910</v>
      </c>
      <c r="L7" s="460">
        <f>VLOOKUP($D7,Pump_from_BP!$A:$J,9,0)</f>
        <v>2910</v>
      </c>
      <c r="M7" s="853">
        <v>0.10988888888888899</v>
      </c>
      <c r="N7" s="460">
        <f>VLOOKUP($D7,Pump_from_BP!$A:$J,6,0)/3600</f>
        <v>0.1098888888888889</v>
      </c>
      <c r="O7" s="853" t="b">
        <v>1</v>
      </c>
      <c r="P7" s="460" t="b">
        <v>1</v>
      </c>
      <c r="Q7" s="853">
        <v>1</v>
      </c>
      <c r="R7" s="460">
        <v>1</v>
      </c>
      <c r="S7" s="853" t="b">
        <v>1</v>
      </c>
      <c r="T7" s="460" t="b">
        <v>1</v>
      </c>
      <c r="U7" s="853">
        <v>335556.28867877898</v>
      </c>
      <c r="V7" s="460"/>
      <c r="W7" s="853">
        <v>1113916.4161155999</v>
      </c>
      <c r="X7" s="460"/>
      <c r="Y7" s="853">
        <v>0.108993354709305</v>
      </c>
      <c r="Z7" s="460"/>
    </row>
    <row r="8" spans="1:28">
      <c r="A8" s="201" t="str">
        <f>VLOOKUP($F8,Pump_from_BP!$A:$J,5,0)</f>
        <v>PZ2102A-ECliq Data.pdf</v>
      </c>
      <c r="B8" s="200"/>
      <c r="C8" s="440"/>
      <c r="D8" s="441"/>
      <c r="E8" s="438"/>
      <c r="F8" s="442" t="s">
        <v>1406</v>
      </c>
      <c r="G8" s="443">
        <v>370</v>
      </c>
      <c r="H8" s="439">
        <f>VLOOKUP($F8,Pump_from_BP!$A:$J,7,0)</f>
        <v>370</v>
      </c>
      <c r="I8" s="443">
        <v>325</v>
      </c>
      <c r="J8" s="439">
        <f>VLOOKUP($F8,Pump_from_BP!$A:$J,8,0)</f>
        <v>325</v>
      </c>
      <c r="K8" s="443">
        <v>2980</v>
      </c>
      <c r="L8" s="439">
        <f>VLOOKUP($F8,Pump_from_BP!$A:$J,9,0)</f>
        <v>2980</v>
      </c>
      <c r="M8" s="443">
        <v>0.141666666666667</v>
      </c>
      <c r="N8" s="439">
        <f>VLOOKUP($F8,Pump_from_BP!$A:$J,6,0)/3600</f>
        <v>0.14166666666666666</v>
      </c>
      <c r="O8" s="443" t="b">
        <v>1</v>
      </c>
      <c r="P8" s="439" t="b">
        <v>1</v>
      </c>
      <c r="Q8" s="443">
        <v>1</v>
      </c>
      <c r="R8" s="439">
        <v>1</v>
      </c>
      <c r="S8" s="443" t="b">
        <v>1</v>
      </c>
      <c r="T8" s="439" t="b">
        <v>1</v>
      </c>
      <c r="U8" s="524">
        <v>869444.01069202495</v>
      </c>
      <c r="V8" s="460"/>
      <c r="W8" s="524">
        <v>3468613.8255965798</v>
      </c>
      <c r="X8" s="460"/>
      <c r="Y8" s="524">
        <v>0.116748943012078</v>
      </c>
      <c r="Z8" s="460"/>
    </row>
    <row r="9" spans="1:28">
      <c r="A9" s="201" t="str">
        <f>VLOOKUP($F9,Pump_from_BP!$A:$J,5,0)</f>
        <v>PZ2102B-Win.pdf</v>
      </c>
      <c r="B9" s="200"/>
      <c r="C9" s="440"/>
      <c r="D9" s="441"/>
      <c r="E9" s="438"/>
      <c r="F9" s="442" t="s">
        <v>1410</v>
      </c>
      <c r="G9" s="443">
        <v>370</v>
      </c>
      <c r="H9" s="439">
        <f>VLOOKUP($F9,Pump_from_BP!$A:$J,7,0)</f>
        <v>370</v>
      </c>
      <c r="I9" s="443">
        <v>325</v>
      </c>
      <c r="J9" s="439">
        <f>VLOOKUP($F9,Pump_from_BP!$A:$J,8,0)</f>
        <v>325</v>
      </c>
      <c r="K9" s="443">
        <v>2980</v>
      </c>
      <c r="L9" s="439">
        <f>VLOOKUP($F9,Pump_from_BP!$A:$J,9,0)</f>
        <v>2980</v>
      </c>
      <c r="M9" s="443">
        <v>0.141666666666667</v>
      </c>
      <c r="N9" s="439">
        <f>VLOOKUP($F9,Pump_from_BP!$A:$J,6,0)/3600</f>
        <v>0.14166666666666666</v>
      </c>
      <c r="O9" s="443" t="b">
        <v>1</v>
      </c>
      <c r="P9" s="439" t="b">
        <v>1</v>
      </c>
      <c r="Q9" s="443">
        <v>1</v>
      </c>
      <c r="R9" s="460">
        <v>1</v>
      </c>
      <c r="S9" s="443" t="b">
        <v>1</v>
      </c>
      <c r="T9" s="439" t="b">
        <v>1</v>
      </c>
      <c r="U9" s="524">
        <v>869444.01069202495</v>
      </c>
      <c r="V9" s="460"/>
      <c r="W9" s="524">
        <v>3468613.8255965798</v>
      </c>
      <c r="X9" s="460"/>
      <c r="Y9" s="524">
        <v>0.116748943012078</v>
      </c>
      <c r="Z9" s="460"/>
    </row>
    <row r="10" spans="1:28">
      <c r="A10" s="201" t="str">
        <f>VLOOKUP($F10,Pump_from_BP!$A:$J,5,0)</f>
        <v>PZ2102C-Win.pdf</v>
      </c>
      <c r="B10" s="200"/>
      <c r="C10" s="440"/>
      <c r="D10" s="441"/>
      <c r="E10" s="438"/>
      <c r="F10" s="442" t="s">
        <v>1411</v>
      </c>
      <c r="G10" s="443">
        <v>370</v>
      </c>
      <c r="H10" s="439">
        <f>VLOOKUP($F10,Pump_from_BP!$A:$J,7,0)</f>
        <v>370</v>
      </c>
      <c r="I10" s="443">
        <v>325</v>
      </c>
      <c r="J10" s="439">
        <f>VLOOKUP($F10,Pump_from_BP!$A:$J,8,0)</f>
        <v>325</v>
      </c>
      <c r="K10" s="443">
        <v>2980</v>
      </c>
      <c r="L10" s="439">
        <f>VLOOKUP($F10,Pump_from_BP!$A:$J,9,0)</f>
        <v>2980</v>
      </c>
      <c r="M10" s="443">
        <v>0.141666666666667</v>
      </c>
      <c r="N10" s="439">
        <f>VLOOKUP($F10,Pump_from_BP!$A:$J,6,0)/3600</f>
        <v>0.14166666666666666</v>
      </c>
      <c r="O10" s="443" t="b">
        <v>1</v>
      </c>
      <c r="P10" s="439" t="b">
        <v>1</v>
      </c>
      <c r="Q10" s="443">
        <v>1</v>
      </c>
      <c r="R10" s="460">
        <v>1</v>
      </c>
      <c r="S10" s="443" t="b">
        <v>1</v>
      </c>
      <c r="T10" s="439" t="b">
        <v>1</v>
      </c>
      <c r="U10" s="524">
        <v>869444.01069202495</v>
      </c>
      <c r="V10" s="460"/>
      <c r="W10" s="524">
        <v>3468613.8255965798</v>
      </c>
      <c r="X10" s="460"/>
      <c r="Y10" s="524">
        <v>0.116748943012078</v>
      </c>
      <c r="Z10" s="460"/>
    </row>
    <row r="11" spans="1:28" s="436" customFormat="1">
      <c r="A11" s="201" t="str">
        <f>VLOOKUP($F11,Pump_from_BP!$A:$J,5,0)</f>
        <v>PZ2103A-B-C-Win.pdf</v>
      </c>
      <c r="B11" s="200"/>
      <c r="C11" s="463"/>
      <c r="D11" s="464"/>
      <c r="E11" s="459"/>
      <c r="F11" s="467" t="s">
        <v>1412</v>
      </c>
      <c r="G11" s="466">
        <v>120</v>
      </c>
      <c r="H11" s="468">
        <f>VLOOKUP($F11,Pump_from_BP!$A:$J,7,0)</f>
        <v>120</v>
      </c>
      <c r="I11" s="466">
        <v>89.5</v>
      </c>
      <c r="J11" s="468">
        <f>VLOOKUP($F11,Pump_from_BP!$A:$J,8,0)</f>
        <v>89.5</v>
      </c>
      <c r="K11" s="466">
        <v>2950</v>
      </c>
      <c r="L11" s="468">
        <f>VLOOKUP($F11,Pump_from_BP!$A:$J,9,0)</f>
        <v>2950</v>
      </c>
      <c r="M11" s="466">
        <v>0.17888888888888901</v>
      </c>
      <c r="N11" s="468">
        <f>VLOOKUP($F11,Pump_from_BP!$A:$J,6,0)/3600</f>
        <v>0.17888888888888888</v>
      </c>
      <c r="O11" s="466" t="b">
        <v>1</v>
      </c>
      <c r="P11" s="468" t="b">
        <v>1</v>
      </c>
      <c r="Q11" s="466">
        <v>1</v>
      </c>
      <c r="R11" s="460">
        <v>1</v>
      </c>
      <c r="S11" s="466" t="b">
        <v>1</v>
      </c>
      <c r="T11" s="460" t="b">
        <v>1</v>
      </c>
      <c r="U11" s="524">
        <v>347777.31561972399</v>
      </c>
      <c r="V11" s="460"/>
      <c r="W11" s="524">
        <v>1055637.67804486</v>
      </c>
      <c r="X11" s="460"/>
      <c r="Y11" s="524">
        <v>0.12825055423092299</v>
      </c>
      <c r="Z11" s="460"/>
    </row>
    <row r="12" spans="1:28" s="436" customFormat="1">
      <c r="A12" s="201" t="str">
        <f>VLOOKUP($F12,Pump_from_BP!$A:$J,5,0)</f>
        <v>PZ2103A-B-C-Win.pdf</v>
      </c>
      <c r="B12" s="200"/>
      <c r="C12" s="463"/>
      <c r="D12" s="464"/>
      <c r="E12" s="459"/>
      <c r="F12" s="467" t="s">
        <v>1416</v>
      </c>
      <c r="G12" s="466">
        <v>120</v>
      </c>
      <c r="H12" s="468">
        <f>VLOOKUP($F12,Pump_from_BP!$A:$J,7,0)</f>
        <v>120</v>
      </c>
      <c r="I12" s="466">
        <v>89.5</v>
      </c>
      <c r="J12" s="468">
        <f>VLOOKUP($F12,Pump_from_BP!$A:$J,8,0)</f>
        <v>89.5</v>
      </c>
      <c r="K12" s="466">
        <v>2950</v>
      </c>
      <c r="L12" s="468">
        <f>VLOOKUP($F12,Pump_from_BP!$A:$J,9,0)</f>
        <v>2950</v>
      </c>
      <c r="M12" s="466">
        <v>0.17888888888888901</v>
      </c>
      <c r="N12" s="468">
        <f>VLOOKUP($F12,Pump_from_BP!$A:$J,6,0)/3600</f>
        <v>0.17888888888888888</v>
      </c>
      <c r="O12" s="466" t="b">
        <v>1</v>
      </c>
      <c r="P12" s="468" t="b">
        <v>1</v>
      </c>
      <c r="Q12" s="466">
        <v>1</v>
      </c>
      <c r="R12" s="460">
        <v>1</v>
      </c>
      <c r="S12" s="466" t="b">
        <v>1</v>
      </c>
      <c r="T12" s="460" t="b">
        <v>1</v>
      </c>
      <c r="U12" s="524">
        <v>434196.51732238801</v>
      </c>
      <c r="V12" s="460"/>
      <c r="W12" s="524">
        <v>565113.04125234298</v>
      </c>
      <c r="X12" s="460"/>
      <c r="Y12" s="524">
        <v>0</v>
      </c>
      <c r="Z12" s="460"/>
    </row>
    <row r="13" spans="1:28" s="436" customFormat="1">
      <c r="A13" s="201" t="str">
        <f>VLOOKUP($F13,Pump_from_BP!$A:$J,5,0)</f>
        <v>PZ2103A-B-C-Win.pdf</v>
      </c>
      <c r="B13" s="200"/>
      <c r="C13" s="463"/>
      <c r="D13" s="464"/>
      <c r="E13" s="459"/>
      <c r="F13" s="467" t="s">
        <v>1417</v>
      </c>
      <c r="G13" s="466">
        <v>120</v>
      </c>
      <c r="H13" s="468">
        <f>VLOOKUP($F13,Pump_from_BP!$A:$J,7,0)</f>
        <v>120</v>
      </c>
      <c r="I13" s="466">
        <v>89.5</v>
      </c>
      <c r="J13" s="468">
        <f>VLOOKUP($F13,Pump_from_BP!$A:$J,8,0)</f>
        <v>89.5</v>
      </c>
      <c r="K13" s="466">
        <v>2950</v>
      </c>
      <c r="L13" s="468">
        <f>VLOOKUP($F13,Pump_from_BP!$A:$J,9,0)</f>
        <v>2950</v>
      </c>
      <c r="M13" s="466">
        <v>0.17888888888888901</v>
      </c>
      <c r="N13" s="468">
        <f>VLOOKUP($F13,Pump_from_BP!$A:$J,6,0)/3600</f>
        <v>0.17888888888888888</v>
      </c>
      <c r="O13" s="466" t="b">
        <v>1</v>
      </c>
      <c r="P13" s="468" t="b">
        <v>1</v>
      </c>
      <c r="Q13" s="466">
        <v>1</v>
      </c>
      <c r="R13" s="460">
        <v>1</v>
      </c>
      <c r="S13" s="466" t="b">
        <v>1</v>
      </c>
      <c r="T13" s="460" t="b">
        <v>1</v>
      </c>
      <c r="U13" s="524">
        <v>348526.633897472</v>
      </c>
      <c r="V13" s="460"/>
      <c r="W13" s="524">
        <v>1056486.5480873</v>
      </c>
      <c r="X13" s="460"/>
      <c r="Y13" s="524">
        <v>0.13252519213307801</v>
      </c>
      <c r="Z13" s="460"/>
    </row>
    <row r="14" spans="1:28" s="436" customFormat="1">
      <c r="A14" s="201" t="str">
        <f>VLOOKUP($F14,Pump_from_BP!$A:$J,5,0)</f>
        <v>PZ2104A-B-C-Win.pdf</v>
      </c>
      <c r="B14" s="200"/>
      <c r="C14" s="463"/>
      <c r="D14" s="464"/>
      <c r="E14" s="459"/>
      <c r="F14" s="467" t="s">
        <v>1418</v>
      </c>
      <c r="G14" s="466">
        <v>142</v>
      </c>
      <c r="H14" s="468">
        <f>VLOOKUP($F14,Pump_from_BP!$A:$J,7,0)</f>
        <v>142</v>
      </c>
      <c r="I14" s="466">
        <v>108.2</v>
      </c>
      <c r="J14" s="468">
        <f>VLOOKUP($F14,Pump_from_BP!$A:$J,8,0)</f>
        <v>108.2</v>
      </c>
      <c r="K14" s="466">
        <v>2950</v>
      </c>
      <c r="L14" s="468">
        <f>VLOOKUP($F14,Pump_from_BP!$A:$J,9,0)</f>
        <v>2950</v>
      </c>
      <c r="M14" s="466">
        <v>0.17044444444444401</v>
      </c>
      <c r="N14" s="468">
        <f>VLOOKUP($F14,Pump_from_BP!$A:$J,6,0)/3600</f>
        <v>0.17044444444444445</v>
      </c>
      <c r="O14" s="466" t="b">
        <v>1</v>
      </c>
      <c r="P14" s="610" t="b">
        <v>1</v>
      </c>
      <c r="Q14" s="466">
        <v>1</v>
      </c>
      <c r="R14" s="460">
        <v>1</v>
      </c>
      <c r="S14" s="466" t="b">
        <v>1</v>
      </c>
      <c r="T14" s="460" t="b">
        <v>1</v>
      </c>
      <c r="U14" s="524">
        <v>393363.85557884799</v>
      </c>
      <c r="V14" s="460"/>
      <c r="W14" s="524">
        <v>1219056.35234342</v>
      </c>
      <c r="X14" s="460"/>
      <c r="Y14" s="524">
        <v>0.14240659025125399</v>
      </c>
      <c r="Z14" s="460"/>
    </row>
    <row r="15" spans="1:28" s="436" customFormat="1">
      <c r="A15" s="201" t="str">
        <f>VLOOKUP($F15,Pump_from_BP!$A:$J,5,0)</f>
        <v>PZ2104A-B-C-Win.pdf</v>
      </c>
      <c r="B15" s="200"/>
      <c r="C15" s="463"/>
      <c r="D15" s="464"/>
      <c r="E15" s="459"/>
      <c r="F15" s="467" t="s">
        <v>1422</v>
      </c>
      <c r="G15" s="466">
        <v>142</v>
      </c>
      <c r="H15" s="468">
        <f>VLOOKUP($F15,Pump_from_BP!$A:$J,7,0)</f>
        <v>142</v>
      </c>
      <c r="I15" s="466">
        <v>108.2</v>
      </c>
      <c r="J15" s="468">
        <f>VLOOKUP($F15,Pump_from_BP!$A:$J,8,0)</f>
        <v>108.2</v>
      </c>
      <c r="K15" s="466">
        <v>2950</v>
      </c>
      <c r="L15" s="468">
        <f>VLOOKUP($F15,Pump_from_BP!$A:$J,9,0)</f>
        <v>2950</v>
      </c>
      <c r="M15" s="466">
        <v>0.17044444444444401</v>
      </c>
      <c r="N15" s="468">
        <f>VLOOKUP($F15,Pump_from_BP!$A:$J,6,0)/3600</f>
        <v>0.17044444444444445</v>
      </c>
      <c r="O15" s="466" t="b">
        <v>1</v>
      </c>
      <c r="P15" s="610" t="b">
        <v>1</v>
      </c>
      <c r="Q15" s="466">
        <v>1</v>
      </c>
      <c r="R15" s="460">
        <v>1</v>
      </c>
      <c r="S15" s="466" t="b">
        <v>1</v>
      </c>
      <c r="T15" s="460" t="b">
        <v>1</v>
      </c>
      <c r="U15" s="524">
        <v>393363.85557884799</v>
      </c>
      <c r="V15" s="460"/>
      <c r="W15" s="524">
        <v>1219056.35234342</v>
      </c>
      <c r="X15" s="460"/>
      <c r="Y15" s="524">
        <v>0.14240659025125299</v>
      </c>
      <c r="Z15" s="460"/>
    </row>
    <row r="16" spans="1:28" s="436" customFormat="1">
      <c r="A16" s="201" t="str">
        <f>VLOOKUP($F16,Pump_from_BP!$A:$J,5,0)</f>
        <v>PZ2104A-B-C-Win.pdf</v>
      </c>
      <c r="B16" s="200"/>
      <c r="C16" s="463"/>
      <c r="D16" s="464"/>
      <c r="E16" s="459"/>
      <c r="F16" s="467" t="s">
        <v>1423</v>
      </c>
      <c r="G16" s="466">
        <v>142</v>
      </c>
      <c r="H16" s="468">
        <f>VLOOKUP($F16,Pump_from_BP!$A:$J,7,0)</f>
        <v>142</v>
      </c>
      <c r="I16" s="466">
        <v>108.2</v>
      </c>
      <c r="J16" s="468">
        <f>VLOOKUP($F16,Pump_from_BP!$A:$J,8,0)</f>
        <v>108.2</v>
      </c>
      <c r="K16" s="466">
        <v>2950</v>
      </c>
      <c r="L16" s="468">
        <f>VLOOKUP($F16,Pump_from_BP!$A:$J,9,0)</f>
        <v>2950</v>
      </c>
      <c r="M16" s="466">
        <v>0.17044444444444401</v>
      </c>
      <c r="N16" s="468">
        <f>VLOOKUP($F16,Pump_from_BP!$A:$J,6,0)/3600</f>
        <v>0.17044444444444445</v>
      </c>
      <c r="O16" s="466" t="b">
        <v>1</v>
      </c>
      <c r="P16" s="610" t="b">
        <v>1</v>
      </c>
      <c r="Q16" s="466">
        <v>1</v>
      </c>
      <c r="R16" s="460">
        <v>1</v>
      </c>
      <c r="S16" s="466" t="b">
        <v>1</v>
      </c>
      <c r="T16" s="460" t="b">
        <v>1</v>
      </c>
      <c r="U16" s="524">
        <v>393363.85557884799</v>
      </c>
      <c r="V16" s="460"/>
      <c r="W16" s="524">
        <v>1145493.7420705101</v>
      </c>
      <c r="X16" s="460"/>
      <c r="Y16" s="524">
        <v>0</v>
      </c>
      <c r="Z16" s="460"/>
    </row>
    <row r="17" spans="1:26" s="436" customFormat="1">
      <c r="A17" s="201" t="str">
        <f>VLOOKUP($F17,Pump_from_BP!$A:$J,5,0)</f>
        <v>PZ2105A-B-Win.pdf</v>
      </c>
      <c r="B17" s="200"/>
      <c r="C17" s="463"/>
      <c r="D17" s="464"/>
      <c r="E17" s="459"/>
      <c r="F17" s="467" t="s">
        <v>1424</v>
      </c>
      <c r="G17" s="466">
        <v>57</v>
      </c>
      <c r="H17" s="468">
        <f>VLOOKUP($F17,Pump_from_BP!$A:$J,7,0)</f>
        <v>57</v>
      </c>
      <c r="I17" s="466">
        <v>55.2</v>
      </c>
      <c r="J17" s="468">
        <f>VLOOKUP($F17,Pump_from_BP!$A:$J,8,0)</f>
        <v>55.2</v>
      </c>
      <c r="K17" s="466">
        <v>1450</v>
      </c>
      <c r="L17" s="468">
        <f>VLOOKUP($F17,Pump_from_BP!$A:$J,9,0)</f>
        <v>1450</v>
      </c>
      <c r="M17" s="466">
        <v>0.26</v>
      </c>
      <c r="N17" s="468">
        <f>VLOOKUP($F17,Pump_from_BP!$A:$J,6,0)/3600</f>
        <v>0.26</v>
      </c>
      <c r="O17" s="466" t="b">
        <v>1</v>
      </c>
      <c r="P17" s="610" t="b">
        <v>1</v>
      </c>
      <c r="Q17" s="466">
        <v>1</v>
      </c>
      <c r="R17" s="460">
        <v>1</v>
      </c>
      <c r="S17" s="466" t="b">
        <v>1</v>
      </c>
      <c r="T17" s="460" t="b">
        <v>1</v>
      </c>
      <c r="U17" s="524">
        <v>365002.460867755</v>
      </c>
      <c r="V17" s="460"/>
      <c r="W17" s="524">
        <v>745473.54244131804</v>
      </c>
      <c r="X17" s="460"/>
      <c r="Y17" s="524">
        <v>0.24687780421662001</v>
      </c>
      <c r="Z17" s="460"/>
    </row>
    <row r="18" spans="1:26" s="436" customFormat="1">
      <c r="A18" s="201" t="str">
        <f>VLOOKUP($F18,Pump_from_BP!$A:$J,5,0)</f>
        <v>PZ2105A-B-Win.pdf</v>
      </c>
      <c r="B18" s="200"/>
      <c r="C18" s="474"/>
      <c r="D18" s="464"/>
      <c r="E18" s="459"/>
      <c r="F18" s="467" t="s">
        <v>1427</v>
      </c>
      <c r="G18" s="466">
        <v>57</v>
      </c>
      <c r="H18" s="468">
        <f>VLOOKUP($F18,Pump_from_BP!$A:$J,7,0)</f>
        <v>57</v>
      </c>
      <c r="I18" s="466">
        <v>55.2</v>
      </c>
      <c r="J18" s="468">
        <f>VLOOKUP($F18,Pump_from_BP!$A:$J,8,0)</f>
        <v>55.2</v>
      </c>
      <c r="K18" s="466">
        <v>1450</v>
      </c>
      <c r="L18" s="468">
        <f>VLOOKUP($F18,Pump_from_BP!$A:$J,9,0)</f>
        <v>1450</v>
      </c>
      <c r="M18" s="466">
        <v>0.26</v>
      </c>
      <c r="N18" s="468">
        <f>VLOOKUP($F18,Pump_from_BP!$A:$J,6,0)/3600</f>
        <v>0.26</v>
      </c>
      <c r="O18" s="466" t="b">
        <v>1</v>
      </c>
      <c r="P18" s="610" t="b">
        <v>1</v>
      </c>
      <c r="Q18" s="466">
        <v>1</v>
      </c>
      <c r="R18" s="460">
        <v>1</v>
      </c>
      <c r="S18" s="466" t="b">
        <v>1</v>
      </c>
      <c r="T18" s="460" t="b">
        <v>1</v>
      </c>
      <c r="U18" s="524">
        <v>365002.460867755</v>
      </c>
      <c r="V18" s="460"/>
      <c r="W18" s="524">
        <v>679256.82123807899</v>
      </c>
      <c r="X18" s="460"/>
      <c r="Y18" s="524">
        <v>0</v>
      </c>
      <c r="Z18" s="460"/>
    </row>
    <row r="19" spans="1:26" s="436" customFormat="1">
      <c r="A19" s="201" t="str">
        <f>VLOOKUP($F19,Pump_from_BP!$A:$J,5,0)</f>
        <v>PZ2106A-B-C-Win.pdf</v>
      </c>
      <c r="B19" s="200"/>
      <c r="C19" s="463"/>
      <c r="D19" s="464"/>
      <c r="E19" s="609"/>
      <c r="F19" s="556" t="s">
        <v>1428</v>
      </c>
      <c r="G19" s="466">
        <v>289.56</v>
      </c>
      <c r="H19" s="468">
        <f>VLOOKUP($F19,Pump_from_BP!$A:$J,7,0)</f>
        <v>289.56</v>
      </c>
      <c r="I19" s="466">
        <v>246.88800000000001</v>
      </c>
      <c r="J19" s="468">
        <f>VLOOKUP($F19,Pump_from_BP!$A:$J,8,0)</f>
        <v>246.88800000000001</v>
      </c>
      <c r="K19" s="466">
        <v>2950</v>
      </c>
      <c r="L19" s="468">
        <f>VLOOKUP($F19,Pump_from_BP!$A:$J,9,0)</f>
        <v>2950</v>
      </c>
      <c r="M19" s="466">
        <v>0.116111111111111</v>
      </c>
      <c r="N19" s="468">
        <f>VLOOKUP($F19,Pump_from_BP!$A:$J,6,0)/3600</f>
        <v>0.11611111111111111</v>
      </c>
      <c r="O19" s="466" t="b">
        <v>1</v>
      </c>
      <c r="P19" s="468" t="b">
        <v>1</v>
      </c>
      <c r="Q19" s="466">
        <v>1</v>
      </c>
      <c r="R19" s="460">
        <v>1</v>
      </c>
      <c r="S19" s="466" t="b">
        <v>1</v>
      </c>
      <c r="T19" s="460" t="b">
        <v>1</v>
      </c>
      <c r="U19" s="524">
        <v>368802.23860553198</v>
      </c>
      <c r="V19" s="460"/>
      <c r="W19" s="524">
        <v>2621938.1696123802</v>
      </c>
      <c r="X19" s="460"/>
      <c r="Y19" s="524">
        <v>8.4719291038536607E-2</v>
      </c>
      <c r="Z19" s="460"/>
    </row>
    <row r="20" spans="1:26" s="436" customFormat="1">
      <c r="A20" s="201" t="str">
        <f>VLOOKUP($F20,Pump_from_BP!$A:$J,5,0)</f>
        <v>PZ2106A-B-C-Win.pdf</v>
      </c>
      <c r="B20" s="200"/>
      <c r="C20" s="463"/>
      <c r="D20" s="464"/>
      <c r="E20" s="459"/>
      <c r="F20" s="467" t="s">
        <v>1431</v>
      </c>
      <c r="G20" s="466">
        <v>289.56</v>
      </c>
      <c r="H20" s="468">
        <f>VLOOKUP($F20,Pump_from_BP!$A:$J,7,0)</f>
        <v>289.56</v>
      </c>
      <c r="I20" s="466">
        <v>246.88800000000001</v>
      </c>
      <c r="J20" s="468">
        <f>VLOOKUP($F20,Pump_from_BP!$A:$J,8,0)</f>
        <v>246.88800000000001</v>
      </c>
      <c r="K20" s="466">
        <v>2950</v>
      </c>
      <c r="L20" s="468">
        <f>VLOOKUP($F20,Pump_from_BP!$A:$J,9,0)</f>
        <v>2950</v>
      </c>
      <c r="M20" s="466">
        <v>0.116111111111111</v>
      </c>
      <c r="N20" s="468">
        <f>VLOOKUP($F20,Pump_from_BP!$A:$J,6,0)/3600</f>
        <v>0.11611111111111111</v>
      </c>
      <c r="O20" s="466" t="b">
        <v>1</v>
      </c>
      <c r="P20" s="468" t="b">
        <v>1</v>
      </c>
      <c r="Q20" s="466">
        <v>1</v>
      </c>
      <c r="R20" s="460">
        <v>1</v>
      </c>
      <c r="S20" s="466" t="b">
        <v>1</v>
      </c>
      <c r="T20" s="460" t="b">
        <v>1</v>
      </c>
      <c r="U20" s="524">
        <v>368801.89104505698</v>
      </c>
      <c r="V20" s="460"/>
      <c r="W20" s="524">
        <v>2621938.1696123802</v>
      </c>
      <c r="X20" s="460"/>
      <c r="Y20" s="524">
        <v>8.4719291038536607E-2</v>
      </c>
      <c r="Z20" s="460"/>
    </row>
    <row r="21" spans="1:26" s="436" customFormat="1">
      <c r="A21" s="201" t="str">
        <f>VLOOKUP($F21,Pump_from_BP!$A:$J,5,0)</f>
        <v>PZ2106A-B-C-Win.pdf</v>
      </c>
      <c r="B21" s="200"/>
      <c r="C21" s="463"/>
      <c r="D21" s="464"/>
      <c r="E21" s="459"/>
      <c r="F21" s="467" t="s">
        <v>1432</v>
      </c>
      <c r="G21" s="466">
        <v>289.56</v>
      </c>
      <c r="H21" s="468">
        <f>VLOOKUP($F21,Pump_from_BP!$A:$J,7,0)</f>
        <v>289.56</v>
      </c>
      <c r="I21" s="466">
        <v>246.88800000000001</v>
      </c>
      <c r="J21" s="468">
        <f>VLOOKUP($F21,Pump_from_BP!$A:$J,8,0)</f>
        <v>246.88800000000001</v>
      </c>
      <c r="K21" s="466">
        <v>2950</v>
      </c>
      <c r="L21" s="468">
        <f>VLOOKUP($F21,Pump_from_BP!$A:$J,9,0)</f>
        <v>2950</v>
      </c>
      <c r="M21" s="466">
        <v>0.116111111111111</v>
      </c>
      <c r="N21" s="468">
        <f>VLOOKUP($F21,Pump_from_BP!$A:$J,6,0)/3600</f>
        <v>0.11611111111111111</v>
      </c>
      <c r="O21" s="466" t="b">
        <v>1</v>
      </c>
      <c r="P21" s="468" t="b">
        <v>1</v>
      </c>
      <c r="Q21" s="466">
        <v>1</v>
      </c>
      <c r="R21" s="460">
        <v>1</v>
      </c>
      <c r="S21" s="466" t="b">
        <v>1</v>
      </c>
      <c r="T21" s="460" t="b">
        <v>1</v>
      </c>
      <c r="U21" s="524">
        <v>368801.89104505698</v>
      </c>
      <c r="V21" s="460"/>
      <c r="W21" s="524">
        <v>2423153.22326684</v>
      </c>
      <c r="X21" s="460"/>
      <c r="Y21" s="524">
        <v>0</v>
      </c>
      <c r="Z21" s="460"/>
    </row>
    <row r="22" spans="1:26">
      <c r="A22" s="201" t="str">
        <f>VLOOKUP($F22,Pump_from_BP!$A:$J,5,0)</f>
        <v>PZ2107A-Win.pdf</v>
      </c>
      <c r="B22" s="200"/>
      <c r="C22" s="16"/>
      <c r="D22" s="17"/>
      <c r="E22" s="609"/>
      <c r="F22" s="465" t="s">
        <v>1433</v>
      </c>
      <c r="G22" s="524">
        <v>161</v>
      </c>
      <c r="H22" s="518">
        <f>VLOOKUP($F22,Pump_from_BP!$A:$J,7,0)</f>
        <v>161</v>
      </c>
      <c r="I22" s="524">
        <v>142</v>
      </c>
      <c r="J22" s="518">
        <f>VLOOKUP($F22,Pump_from_BP!$A:$J,8,0)</f>
        <v>142</v>
      </c>
      <c r="K22" s="524">
        <v>2950</v>
      </c>
      <c r="L22" s="518">
        <f>VLOOKUP($F22,Pump_from_BP!$A:$J,9,0)</f>
        <v>2950</v>
      </c>
      <c r="M22" s="524">
        <v>7.4444444444444396E-2</v>
      </c>
      <c r="N22" s="518">
        <f>VLOOKUP($F22,Pump_from_BP!$A:$J,6,0)/3600</f>
        <v>7.4444444444444438E-2</v>
      </c>
      <c r="O22" s="524" t="b">
        <v>1</v>
      </c>
      <c r="P22" s="518" t="b">
        <v>1</v>
      </c>
      <c r="Q22" s="524">
        <v>1</v>
      </c>
      <c r="R22" s="460">
        <v>1</v>
      </c>
      <c r="S22" s="524" t="b">
        <v>1</v>
      </c>
      <c r="T22" s="460" t="b">
        <v>1</v>
      </c>
      <c r="U22" s="524">
        <v>34830.910169897099</v>
      </c>
      <c r="V22" s="460"/>
      <c r="W22" s="524">
        <v>1201090.39170673</v>
      </c>
      <c r="X22" s="460"/>
      <c r="Y22" s="524">
        <v>5.2513561032171099E-2</v>
      </c>
      <c r="Z22" s="460"/>
    </row>
    <row r="23" spans="1:26">
      <c r="A23" s="201" t="str">
        <f>VLOOKUP($F23,Pump_from_BP!$A:$J,5,0)</f>
        <v>PZ2107B-Win.pdf</v>
      </c>
      <c r="B23" s="200"/>
      <c r="C23" s="16"/>
      <c r="D23" s="17"/>
      <c r="E23" s="609"/>
      <c r="F23" s="465" t="s">
        <v>1437</v>
      </c>
      <c r="G23" s="524">
        <v>161</v>
      </c>
      <c r="H23" s="518">
        <f>VLOOKUP($F23,Pump_from_BP!$A:$J,7,0)</f>
        <v>161</v>
      </c>
      <c r="I23" s="524">
        <v>142</v>
      </c>
      <c r="J23" s="518">
        <f>VLOOKUP($F23,Pump_from_BP!$A:$J,8,0)</f>
        <v>142</v>
      </c>
      <c r="K23" s="524">
        <v>2950</v>
      </c>
      <c r="L23" s="518">
        <f>VLOOKUP($F23,Pump_from_BP!$A:$J,9,0)</f>
        <v>2950</v>
      </c>
      <c r="M23" s="524">
        <v>7.4444444444444396E-2</v>
      </c>
      <c r="N23" s="518">
        <f>VLOOKUP($F23,Pump_from_BP!$A:$J,6,0)/3600</f>
        <v>7.4444444444444438E-2</v>
      </c>
      <c r="O23" s="524" t="b">
        <v>1</v>
      </c>
      <c r="P23" s="518" t="b">
        <v>1</v>
      </c>
      <c r="Q23" s="524">
        <v>1</v>
      </c>
      <c r="R23" s="460">
        <v>1</v>
      </c>
      <c r="S23" s="524" t="b">
        <v>1</v>
      </c>
      <c r="T23" s="460" t="b">
        <v>1</v>
      </c>
      <c r="U23" s="524">
        <v>33099.839695575101</v>
      </c>
      <c r="V23" s="460"/>
      <c r="W23" s="524">
        <v>1199620.10623991</v>
      </c>
      <c r="X23" s="460"/>
      <c r="Y23" s="524">
        <v>3.5527205853514897E-2</v>
      </c>
      <c r="Z23" s="460"/>
    </row>
    <row r="24" spans="1:26">
      <c r="A24" s="201" t="str">
        <f>VLOOKUP($F24,Pump_from_BP!$A:$J,5,0)</f>
        <v>PZ2108-Win.pdf</v>
      </c>
      <c r="B24" s="200"/>
      <c r="C24" s="16"/>
      <c r="D24" s="17"/>
      <c r="E24" s="609"/>
      <c r="F24" s="465" t="s">
        <v>1439</v>
      </c>
      <c r="G24" s="524">
        <v>155</v>
      </c>
      <c r="H24" s="518">
        <f>VLOOKUP($F24,Pump_from_BP!$A:$J,7,0)</f>
        <v>155</v>
      </c>
      <c r="I24" s="524">
        <v>140</v>
      </c>
      <c r="J24" s="518">
        <f>VLOOKUP($F24,Pump_from_BP!$A:$J,8,0)</f>
        <v>140</v>
      </c>
      <c r="K24" s="524">
        <v>2950</v>
      </c>
      <c r="L24" s="518">
        <f>VLOOKUP($F24,Pump_from_BP!$A:$J,9,0)</f>
        <v>2950</v>
      </c>
      <c r="M24" s="524">
        <v>4.2500000000000003E-2</v>
      </c>
      <c r="N24" s="518">
        <f>VLOOKUP($F24,Pump_from_BP!$A:$J,6,0)/3600</f>
        <v>4.2500000000000003E-2</v>
      </c>
      <c r="O24" s="524" t="b">
        <v>1</v>
      </c>
      <c r="P24" s="518" t="b">
        <v>1</v>
      </c>
      <c r="Q24" s="524">
        <v>1</v>
      </c>
      <c r="R24" s="460">
        <v>1</v>
      </c>
      <c r="S24" s="524" t="b">
        <v>1</v>
      </c>
      <c r="T24" s="460" t="b">
        <v>1</v>
      </c>
      <c r="U24" s="524">
        <v>26619.0804493225</v>
      </c>
      <c r="V24" s="460"/>
      <c r="W24" s="524">
        <v>1281805.0700358199</v>
      </c>
      <c r="X24" s="460"/>
      <c r="Y24" s="524">
        <v>1.25615182961823E-2</v>
      </c>
      <c r="Z24" s="460"/>
    </row>
    <row r="25" spans="1:26">
      <c r="A25" s="201" t="str">
        <f>VLOOKUP($F25,Pump_from_BP!$A:$J,5,0)</f>
        <v>PZ2109A-B-Win.pdf</v>
      </c>
      <c r="B25" s="200"/>
      <c r="C25" s="16"/>
      <c r="D25" s="17"/>
      <c r="E25" s="609"/>
      <c r="F25" s="465" t="s">
        <v>1442</v>
      </c>
      <c r="G25" s="524">
        <v>258</v>
      </c>
      <c r="H25" s="518">
        <f>VLOOKUP($F25,Pump_from_BP!$A:$J,7,0)</f>
        <v>258</v>
      </c>
      <c r="I25" s="524">
        <v>252</v>
      </c>
      <c r="J25" s="518">
        <f>VLOOKUP($F25,Pump_from_BP!$A:$J,8,0)</f>
        <v>252</v>
      </c>
      <c r="K25" s="524">
        <v>2950</v>
      </c>
      <c r="L25" s="518">
        <f>VLOOKUP($F25,Pump_from_BP!$A:$J,9,0)</f>
        <v>2950</v>
      </c>
      <c r="M25" s="524">
        <v>4.1666666666666701E-3</v>
      </c>
      <c r="N25" s="518">
        <f>VLOOKUP($F25,Pump_from_BP!$A:$J,6,0)/3600</f>
        <v>4.1666666666666666E-3</v>
      </c>
      <c r="O25" s="524" t="b">
        <v>1</v>
      </c>
      <c r="P25" s="518" t="b">
        <v>1</v>
      </c>
      <c r="Q25" s="524">
        <v>1</v>
      </c>
      <c r="R25" s="460">
        <v>1</v>
      </c>
      <c r="S25" s="524" t="b">
        <v>1</v>
      </c>
      <c r="T25" s="460" t="b">
        <v>1</v>
      </c>
      <c r="U25" s="524">
        <v>18621.587366741802</v>
      </c>
      <c r="V25" s="460"/>
      <c r="W25" s="524">
        <v>1959206.0511823699</v>
      </c>
      <c r="X25" s="460"/>
      <c r="Y25" s="524">
        <v>1.3036331533501199E-3</v>
      </c>
      <c r="Z25" s="460"/>
    </row>
    <row r="26" spans="1:26">
      <c r="A26" s="201" t="str">
        <f>VLOOKUP($F26,Pump_from_BP!$A:$J,5,0)</f>
        <v>PZ2109A-B-Win.pdf</v>
      </c>
      <c r="B26" s="200"/>
      <c r="C26" s="16"/>
      <c r="D26" s="17"/>
      <c r="E26" s="609"/>
      <c r="F26" s="465" t="s">
        <v>1445</v>
      </c>
      <c r="G26" s="524">
        <v>258</v>
      </c>
      <c r="H26" s="518">
        <f>VLOOKUP($F26,Pump_from_BP!$A:$J,7,0)</f>
        <v>258</v>
      </c>
      <c r="I26" s="524">
        <v>252</v>
      </c>
      <c r="J26" s="518">
        <f>VLOOKUP($F26,Pump_from_BP!$A:$J,8,0)</f>
        <v>252</v>
      </c>
      <c r="K26" s="524">
        <v>2950</v>
      </c>
      <c r="L26" s="518">
        <f>VLOOKUP($F26,Pump_from_BP!$A:$J,9,0)</f>
        <v>2950</v>
      </c>
      <c r="M26" s="524">
        <v>4.1666666666666701E-3</v>
      </c>
      <c r="N26" s="518">
        <f>VLOOKUP($F26,Pump_from_BP!$A:$J,6,0)/3600</f>
        <v>4.1666666666666666E-3</v>
      </c>
      <c r="O26" s="524" t="b">
        <v>1</v>
      </c>
      <c r="P26" s="518" t="b">
        <v>1</v>
      </c>
      <c r="Q26" s="524">
        <v>1</v>
      </c>
      <c r="R26" s="460">
        <v>1</v>
      </c>
      <c r="S26" s="524" t="b">
        <v>1</v>
      </c>
      <c r="T26" s="460" t="b">
        <v>1</v>
      </c>
      <c r="U26" s="524">
        <v>18621.587366741802</v>
      </c>
      <c r="V26" s="460"/>
      <c r="W26" s="524">
        <v>175286.643802757</v>
      </c>
      <c r="X26" s="460"/>
      <c r="Y26" s="524">
        <v>0</v>
      </c>
      <c r="Z26" s="460"/>
    </row>
    <row r="27" spans="1:26">
      <c r="A27" s="201" t="str">
        <f>VLOOKUP($F27,Pump_from_BP!$A:$J,5,0)</f>
        <v>PZ2110A-B-Win.pdf</v>
      </c>
      <c r="B27" s="200"/>
      <c r="C27" s="16"/>
      <c r="D27" s="17"/>
      <c r="E27" s="609"/>
      <c r="F27" s="465" t="s">
        <v>1446</v>
      </c>
      <c r="G27" s="524">
        <v>25.47</v>
      </c>
      <c r="H27" s="518">
        <f>VLOOKUP($F27,Pump_from_BP!$A:$J,7,0)</f>
        <v>25.47</v>
      </c>
      <c r="I27" s="524">
        <v>24.16</v>
      </c>
      <c r="J27" s="518">
        <f>VLOOKUP($F27,Pump_from_BP!$A:$J,8,0)</f>
        <v>24.16</v>
      </c>
      <c r="K27" s="524">
        <v>2900</v>
      </c>
      <c r="L27" s="518">
        <f>VLOOKUP($F27,Pump_from_BP!$A:$J,9,0)</f>
        <v>2900</v>
      </c>
      <c r="M27" s="524">
        <v>1.55555555555556E-3</v>
      </c>
      <c r="N27" s="518">
        <f>VLOOKUP($F27,Pump_from_BP!$A:$J,6,0)/3600</f>
        <v>1.5555555555555555E-3</v>
      </c>
      <c r="O27" s="524" t="b">
        <v>1</v>
      </c>
      <c r="P27" s="518" t="b">
        <v>1</v>
      </c>
      <c r="Q27" s="524">
        <v>1</v>
      </c>
      <c r="R27" s="460">
        <v>1</v>
      </c>
      <c r="S27" s="524" t="b">
        <v>1</v>
      </c>
      <c r="T27" s="460" t="b">
        <v>1</v>
      </c>
      <c r="U27" s="524">
        <v>13992.317721027401</v>
      </c>
      <c r="V27" s="460"/>
      <c r="W27" s="524">
        <v>260831.87162386399</v>
      </c>
      <c r="X27" s="460"/>
      <c r="Y27" s="524">
        <v>1.42565947760526E-4</v>
      </c>
      <c r="Z27" s="460"/>
    </row>
    <row r="28" spans="1:26">
      <c r="A28" s="201" t="str">
        <f>VLOOKUP($F28,Pump_from_BP!$A:$J,5,0)</f>
        <v>PZ2110A-B-Win.pdf</v>
      </c>
      <c r="B28" s="200"/>
      <c r="C28" s="16"/>
      <c r="D28" s="17"/>
      <c r="E28" s="609"/>
      <c r="F28" s="465" t="s">
        <v>1449</v>
      </c>
      <c r="G28" s="524">
        <v>25.47</v>
      </c>
      <c r="H28" s="518">
        <f>VLOOKUP($F28,Pump_from_BP!$A:$J,7,0)</f>
        <v>25.47</v>
      </c>
      <c r="I28" s="524">
        <v>24.16</v>
      </c>
      <c r="J28" s="518">
        <f>VLOOKUP($F28,Pump_from_BP!$A:$J,8,0)</f>
        <v>24.16</v>
      </c>
      <c r="K28" s="524">
        <v>2900</v>
      </c>
      <c r="L28" s="518">
        <f>VLOOKUP($F28,Pump_from_BP!$A:$J,9,0)</f>
        <v>2900</v>
      </c>
      <c r="M28" s="524">
        <v>1.55555555555556E-3</v>
      </c>
      <c r="N28" s="518">
        <f>VLOOKUP($F28,Pump_from_BP!$A:$J,6,0)/3600</f>
        <v>1.5555555555555555E-3</v>
      </c>
      <c r="O28" s="524" t="b">
        <v>1</v>
      </c>
      <c r="P28" s="518" t="b">
        <v>1</v>
      </c>
      <c r="Q28" s="524">
        <v>1</v>
      </c>
      <c r="R28" s="460">
        <v>1</v>
      </c>
      <c r="S28" s="524" t="b">
        <v>1</v>
      </c>
      <c r="T28" s="460" t="b">
        <v>1</v>
      </c>
      <c r="U28" s="524">
        <v>13992.317721027401</v>
      </c>
      <c r="V28" s="460"/>
      <c r="W28" s="524">
        <v>126320.52682211201</v>
      </c>
      <c r="X28" s="460"/>
      <c r="Y28" s="524">
        <v>0</v>
      </c>
      <c r="Z28" s="460"/>
    </row>
    <row r="29" spans="1:26">
      <c r="A29" s="201" t="str">
        <f>VLOOKUP($F29,Pump_from_BP!$A:$J,5,0)</f>
        <v>PZ2111-Win.pdf</v>
      </c>
      <c r="B29" s="200"/>
      <c r="C29" s="479"/>
      <c r="D29" s="480"/>
      <c r="E29" s="475"/>
      <c r="F29" s="481" t="s">
        <v>1450</v>
      </c>
      <c r="G29" s="482">
        <v>214</v>
      </c>
      <c r="H29" s="476">
        <f>VLOOKUP($F29,Pump_from_BP!$A:$J,7,0)</f>
        <v>214</v>
      </c>
      <c r="I29" s="482">
        <v>206</v>
      </c>
      <c r="J29" s="476">
        <f>VLOOKUP($F29,Pump_from_BP!$A:$J,8,0)</f>
        <v>206</v>
      </c>
      <c r="K29" s="482">
        <v>2950</v>
      </c>
      <c r="L29" s="476">
        <f>VLOOKUP($F29,Pump_from_BP!$A:$J,9,0)</f>
        <v>2950</v>
      </c>
      <c r="M29" s="482">
        <v>1.90277777777778E-2</v>
      </c>
      <c r="N29" s="476">
        <f>VLOOKUP($F29,Pump_from_BP!$A:$J,6,0)/3600</f>
        <v>1.9027777777777779E-2</v>
      </c>
      <c r="O29" s="482" t="b">
        <v>1</v>
      </c>
      <c r="P29" s="476" t="b">
        <v>1</v>
      </c>
      <c r="Q29" s="482">
        <v>1</v>
      </c>
      <c r="R29" s="460">
        <v>1</v>
      </c>
      <c r="S29" s="482" t="b">
        <v>1</v>
      </c>
      <c r="T29" s="460" t="b">
        <v>1</v>
      </c>
      <c r="U29" s="524">
        <v>124885.724481602</v>
      </c>
      <c r="V29" s="460"/>
      <c r="W29" s="524">
        <v>171879.94479103101</v>
      </c>
      <c r="X29" s="460"/>
      <c r="Y29" s="524">
        <v>0</v>
      </c>
      <c r="Z29" s="460"/>
    </row>
    <row r="30" spans="1:26">
      <c r="A30" s="201" t="str">
        <f>VLOOKUP($F30,Pump_from_BP!$A:$J,5,0)</f>
        <v>PZ2112A-B-Win.pdf</v>
      </c>
      <c r="B30" s="200"/>
      <c r="C30" s="479"/>
      <c r="D30" s="480"/>
      <c r="E30" s="490"/>
      <c r="F30" s="481" t="s">
        <v>1454</v>
      </c>
      <c r="G30" s="482">
        <v>67</v>
      </c>
      <c r="H30" s="476">
        <f>VLOOKUP($F30,Pump_from_BP!$A:$J,7,0)</f>
        <v>67</v>
      </c>
      <c r="I30" s="482">
        <v>46</v>
      </c>
      <c r="J30" s="476">
        <f>VLOOKUP($F30,Pump_from_BP!$A:$J,8,0)</f>
        <v>46</v>
      </c>
      <c r="K30" s="482">
        <v>2950</v>
      </c>
      <c r="L30" s="476">
        <f>VLOOKUP($F30,Pump_from_BP!$A:$J,9,0)</f>
        <v>2950</v>
      </c>
      <c r="M30" s="482">
        <v>0.11527777777777801</v>
      </c>
      <c r="N30" s="476">
        <f>VLOOKUP($F30,Pump_from_BP!$A:$J,6,0)/3600</f>
        <v>0.11527777777777778</v>
      </c>
      <c r="O30" s="744" t="b">
        <v>1</v>
      </c>
      <c r="P30" s="610" t="b">
        <v>1</v>
      </c>
      <c r="Q30" s="482">
        <v>1</v>
      </c>
      <c r="R30" s="460">
        <v>1</v>
      </c>
      <c r="S30" s="482" t="b">
        <v>1</v>
      </c>
      <c r="T30" s="460" t="b">
        <v>1</v>
      </c>
      <c r="U30" s="524">
        <v>121274.88475179199</v>
      </c>
      <c r="V30" s="460"/>
      <c r="W30" s="524">
        <v>272198.620362824</v>
      </c>
      <c r="X30" s="460"/>
      <c r="Y30" s="524">
        <v>2.35254626380214E-2</v>
      </c>
      <c r="Z30" s="460"/>
    </row>
    <row r="31" spans="1:26">
      <c r="A31" s="201" t="str">
        <f>VLOOKUP($F31,Pump_from_BP!$A:$J,5,0)</f>
        <v>PZ2112A-B-Win.pdf</v>
      </c>
      <c r="B31" s="200"/>
      <c r="C31" s="479"/>
      <c r="D31" s="480"/>
      <c r="E31" s="490"/>
      <c r="F31" s="481" t="s">
        <v>1458</v>
      </c>
      <c r="G31" s="482">
        <v>67</v>
      </c>
      <c r="H31" s="476">
        <f>VLOOKUP($F31,Pump_from_BP!$A:$J,7,0)</f>
        <v>67</v>
      </c>
      <c r="I31" s="482">
        <v>46</v>
      </c>
      <c r="J31" s="476">
        <f>VLOOKUP($F31,Pump_from_BP!$A:$J,8,0)</f>
        <v>46</v>
      </c>
      <c r="K31" s="482">
        <v>2950</v>
      </c>
      <c r="L31" s="476">
        <f>VLOOKUP($F31,Pump_from_BP!$A:$J,9,0)</f>
        <v>2950</v>
      </c>
      <c r="M31" s="482">
        <v>0.11527777777777801</v>
      </c>
      <c r="N31" s="476">
        <f>VLOOKUP($F31,Pump_from_BP!$A:$J,6,0)/3600</f>
        <v>0.11527777777777778</v>
      </c>
      <c r="O31" s="744" t="b">
        <v>1</v>
      </c>
      <c r="P31" s="610" t="b">
        <v>1</v>
      </c>
      <c r="Q31" s="482">
        <v>1</v>
      </c>
      <c r="R31" s="460">
        <v>1</v>
      </c>
      <c r="S31" s="482" t="b">
        <v>1</v>
      </c>
      <c r="T31" s="476" t="b">
        <v>1</v>
      </c>
      <c r="U31" s="524">
        <v>121274.88475179199</v>
      </c>
      <c r="V31" s="460"/>
      <c r="W31" s="524">
        <v>272198.62036310998</v>
      </c>
      <c r="X31" s="460"/>
      <c r="Y31" s="524">
        <v>2.3525462637959502E-2</v>
      </c>
      <c r="Z31" s="460"/>
    </row>
    <row r="32" spans="1:26">
      <c r="A32" s="201" t="str">
        <f>VLOOKUP($F32,Pump_from_BP!$A:$J,5,0)</f>
        <v>PZ2118(A)-Win.pdf</v>
      </c>
      <c r="B32" s="200"/>
      <c r="C32" s="16"/>
      <c r="D32" s="17"/>
      <c r="E32" s="609"/>
      <c r="F32" s="465" t="s">
        <v>8099</v>
      </c>
      <c r="G32" s="524">
        <v>85</v>
      </c>
      <c r="H32" s="518">
        <f>VLOOKUP($F32,Pump_from_BP!$A:$J,7,0)</f>
        <v>85</v>
      </c>
      <c r="I32" s="524">
        <v>73</v>
      </c>
      <c r="J32" s="518">
        <f>VLOOKUP($F32,Pump_from_BP!$A:$J,8,0)</f>
        <v>73</v>
      </c>
      <c r="K32" s="524">
        <v>2950</v>
      </c>
      <c r="L32" s="518">
        <f>VLOOKUP($F32,Pump_from_BP!$A:$J,9,0)</f>
        <v>2950</v>
      </c>
      <c r="M32" s="524">
        <v>0.02</v>
      </c>
      <c r="N32" s="518">
        <f>VLOOKUP($F32,Pump_from_BP!$A:$J,6,0)/3600</f>
        <v>0.02</v>
      </c>
      <c r="O32" s="744" t="b">
        <v>1</v>
      </c>
      <c r="P32" s="610" t="b">
        <v>1</v>
      </c>
      <c r="Q32" s="524">
        <v>1</v>
      </c>
      <c r="R32" s="460">
        <v>1</v>
      </c>
      <c r="S32" s="524" t="b">
        <v>1</v>
      </c>
      <c r="T32" s="518" t="b">
        <v>1</v>
      </c>
      <c r="U32" s="524">
        <v>429883.02580385702</v>
      </c>
      <c r="V32" s="460"/>
      <c r="W32" s="524">
        <v>52271.211157096703</v>
      </c>
      <c r="X32" s="460"/>
      <c r="Y32" s="524">
        <v>0</v>
      </c>
      <c r="Z32" s="460"/>
    </row>
    <row r="33" spans="1:26">
      <c r="A33" s="201" t="str">
        <f>VLOOKUP($F33,Pump_from_BP!$A:$J,5,0)</f>
        <v>PZ2118(A)-Win.pdf</v>
      </c>
      <c r="B33" s="200"/>
      <c r="C33" s="16"/>
      <c r="D33" s="17"/>
      <c r="E33" s="609"/>
      <c r="F33" s="465" t="s">
        <v>8098</v>
      </c>
      <c r="G33" s="524">
        <v>85</v>
      </c>
      <c r="H33" s="518">
        <f>VLOOKUP($F33,Pump_from_BP!$A:$J,7,0)</f>
        <v>85</v>
      </c>
      <c r="I33" s="524">
        <v>73</v>
      </c>
      <c r="J33" s="518">
        <f>VLOOKUP($F33,Pump_from_BP!$A:$J,8,0)</f>
        <v>73</v>
      </c>
      <c r="K33" s="524">
        <v>2950</v>
      </c>
      <c r="L33" s="518">
        <f>VLOOKUP($F33,Pump_from_BP!$A:$J,9,0)</f>
        <v>2950</v>
      </c>
      <c r="M33" s="524">
        <v>0.02</v>
      </c>
      <c r="N33" s="518">
        <f>VLOOKUP($F33,Pump_from_BP!$A:$J,6,0)/3600</f>
        <v>0.02</v>
      </c>
      <c r="O33" s="744" t="b">
        <v>1</v>
      </c>
      <c r="P33" s="610" t="b">
        <v>1</v>
      </c>
      <c r="Q33" s="524">
        <v>1</v>
      </c>
      <c r="R33" s="460">
        <v>1</v>
      </c>
      <c r="S33" s="524" t="b">
        <v>1</v>
      </c>
      <c r="T33" s="518" t="b">
        <v>1</v>
      </c>
      <c r="U33" s="524">
        <v>429883.02580385702</v>
      </c>
      <c r="V33" s="460"/>
      <c r="W33" s="524">
        <v>105353.566354415</v>
      </c>
      <c r="X33" s="460"/>
      <c r="Y33" s="524">
        <v>0</v>
      </c>
      <c r="Z33" s="460"/>
    </row>
    <row r="34" spans="1:26">
      <c r="A34" s="201" t="str">
        <f>VLOOKUP($F34,Pump_from_BP!$A:$J,5,0)</f>
        <v>PZ2122-Win.pdf</v>
      </c>
      <c r="B34" s="200"/>
      <c r="C34" s="479"/>
      <c r="D34" s="480"/>
      <c r="E34" s="475"/>
      <c r="F34" s="481" t="s">
        <v>1468</v>
      </c>
      <c r="G34" s="482">
        <v>211</v>
      </c>
      <c r="H34" s="476">
        <f>VLOOKUP($F34,Pump_from_BP!$A:$J,7,0)</f>
        <v>211</v>
      </c>
      <c r="I34" s="482">
        <v>206</v>
      </c>
      <c r="J34" s="476">
        <f>VLOOKUP($F34,Pump_from_BP!$A:$J,8,0)</f>
        <v>206</v>
      </c>
      <c r="K34" s="482">
        <v>2950</v>
      </c>
      <c r="L34" s="476">
        <f>VLOOKUP($F34,Pump_from_BP!$A:$J,9,0)</f>
        <v>2950</v>
      </c>
      <c r="M34" s="482">
        <v>1.90277777777778E-2</v>
      </c>
      <c r="N34" s="476">
        <f>VLOOKUP($F34,Pump_from_BP!$A:$J,6,0)/3600</f>
        <v>1.9027777777777779E-2</v>
      </c>
      <c r="O34" s="482" t="b">
        <v>1</v>
      </c>
      <c r="P34" s="476" t="b">
        <v>1</v>
      </c>
      <c r="Q34" s="482">
        <v>1</v>
      </c>
      <c r="R34" s="460">
        <v>1</v>
      </c>
      <c r="S34" s="482" t="b">
        <v>1</v>
      </c>
      <c r="T34" s="476" t="b">
        <v>1</v>
      </c>
      <c r="U34" s="524">
        <v>124885.724481602</v>
      </c>
      <c r="V34" s="460"/>
      <c r="W34" s="524">
        <v>2148150.6005531098</v>
      </c>
      <c r="X34" s="460"/>
      <c r="Y34" s="524">
        <v>6.0401095351611499E-3</v>
      </c>
      <c r="Z34" s="460"/>
    </row>
    <row r="35" spans="1:26">
      <c r="A35" s="201" t="str">
        <f>VLOOKUP($F35,Pump_from_BP!$A:$J,5,0)</f>
        <v>PZ2151A-B-Win.pdf,sheet 2</v>
      </c>
      <c r="B35" s="199"/>
      <c r="C35" s="437"/>
      <c r="D35" s="438"/>
      <c r="E35" s="609"/>
      <c r="F35" s="465" t="s">
        <v>7900</v>
      </c>
      <c r="G35" s="614">
        <v>710</v>
      </c>
      <c r="H35" s="439">
        <f>VLOOKUP($F35,Pump_from_BP!$A:$J,7,0)</f>
        <v>710</v>
      </c>
      <c r="I35" s="614">
        <v>656</v>
      </c>
      <c r="J35" s="439">
        <f>VLOOKUP($F35,Pump_from_BP!$A:$J,8,0)</f>
        <v>656</v>
      </c>
      <c r="K35" s="614">
        <v>2980</v>
      </c>
      <c r="L35" s="439">
        <f>VLOOKUP($F35,Pump_from_BP!$A:$J,9,0)</f>
        <v>2980</v>
      </c>
      <c r="M35" s="614">
        <v>0.13250000000000001</v>
      </c>
      <c r="N35" s="439">
        <f>VLOOKUP($F35,Pump_from_BP!$A:$J,6,0)/3600</f>
        <v>0.13250000000000001</v>
      </c>
      <c r="O35" s="614" t="b">
        <v>1</v>
      </c>
      <c r="P35" s="439" t="b">
        <v>1</v>
      </c>
      <c r="Q35" s="614">
        <v>1</v>
      </c>
      <c r="R35" s="460">
        <v>1</v>
      </c>
      <c r="S35" s="614" t="b">
        <v>1</v>
      </c>
      <c r="T35" s="439" t="b">
        <v>1</v>
      </c>
      <c r="U35" s="614">
        <v>170760.68350163399</v>
      </c>
      <c r="V35" s="460"/>
      <c r="W35" s="614">
        <v>4459123.9910794199</v>
      </c>
      <c r="X35" s="460"/>
      <c r="Y35" s="614">
        <v>0.16101656003782999</v>
      </c>
      <c r="Z35" s="460"/>
    </row>
    <row r="36" spans="1:26">
      <c r="A36" s="201" t="str">
        <f>VLOOKUP($F36,Pump_from_BP!$A:$J,5,0)</f>
        <v>PZ2151A-B-Win.pdf,sheet 2</v>
      </c>
      <c r="B36" s="199"/>
      <c r="C36" s="437"/>
      <c r="D36" s="438"/>
      <c r="E36" s="609"/>
      <c r="F36" s="442" t="s">
        <v>1476</v>
      </c>
      <c r="G36" s="614">
        <v>710</v>
      </c>
      <c r="H36" s="439">
        <f>VLOOKUP($F36,Pump_from_BP!$A:$J,7,0)</f>
        <v>710</v>
      </c>
      <c r="I36" s="614">
        <v>656</v>
      </c>
      <c r="J36" s="439">
        <f>VLOOKUP($F36,Pump_from_BP!$A:$J,8,0)</f>
        <v>656</v>
      </c>
      <c r="K36" s="614">
        <v>2980</v>
      </c>
      <c r="L36" s="439">
        <f>VLOOKUP($F36,Pump_from_BP!$A:$J,9,0)</f>
        <v>2980</v>
      </c>
      <c r="M36" s="614">
        <v>0.13250000000000001</v>
      </c>
      <c r="N36" s="439">
        <f>VLOOKUP($F36,Pump_from_BP!$A:$J,6,0)/3600</f>
        <v>0.13250000000000001</v>
      </c>
      <c r="O36" s="614" t="b">
        <v>1</v>
      </c>
      <c r="P36" s="439" t="b">
        <v>1</v>
      </c>
      <c r="Q36" s="614">
        <v>1</v>
      </c>
      <c r="R36" s="460">
        <v>1</v>
      </c>
      <c r="S36" s="614" t="b">
        <v>1</v>
      </c>
      <c r="T36" s="439" t="b">
        <v>1</v>
      </c>
      <c r="U36" s="614">
        <v>170760.68350163399</v>
      </c>
      <c r="V36" s="460"/>
      <c r="W36" s="614">
        <v>3604154.7646044302</v>
      </c>
      <c r="X36" s="460"/>
      <c r="Y36" s="614">
        <v>0</v>
      </c>
      <c r="Z36" s="460"/>
    </row>
    <row r="37" spans="1:26">
      <c r="A37" s="201" t="str">
        <f>VLOOKUP($F37,Pump_from_BP!$A:$J,5,0)</f>
        <v>PZ2153A-B(2)-Win.pdf</v>
      </c>
      <c r="B37" s="200"/>
      <c r="C37" s="440"/>
      <c r="D37" s="441"/>
      <c r="E37" s="438"/>
      <c r="F37" s="442" t="s">
        <v>1477</v>
      </c>
      <c r="G37" s="443">
        <v>168</v>
      </c>
      <c r="H37" s="439">
        <f>VLOOKUP($F37,Pump_from_BP!$A:$J,7,0)</f>
        <v>168</v>
      </c>
      <c r="I37" s="443">
        <v>155</v>
      </c>
      <c r="J37" s="439">
        <f>VLOOKUP($F37,Pump_from_BP!$A:$J,8,0)</f>
        <v>155</v>
      </c>
      <c r="K37" s="443">
        <v>1500</v>
      </c>
      <c r="L37" s="439">
        <f>VLOOKUP($F37,Pump_from_BP!$A:$J,9,0)</f>
        <v>1500</v>
      </c>
      <c r="M37" s="443">
        <v>0.17138888888888901</v>
      </c>
      <c r="N37" s="439">
        <f>VLOOKUP($F37,Pump_from_BP!$A:$J,6,0)/3600</f>
        <v>0.1713888888888889</v>
      </c>
      <c r="O37" s="443" t="b">
        <v>1</v>
      </c>
      <c r="P37" s="439" t="b">
        <v>1</v>
      </c>
      <c r="Q37" s="443">
        <v>1</v>
      </c>
      <c r="R37" s="460">
        <v>1</v>
      </c>
      <c r="S37" s="443" t="b">
        <v>1</v>
      </c>
      <c r="T37" s="439" t="b">
        <v>1</v>
      </c>
      <c r="U37" s="524">
        <v>773085.92033388105</v>
      </c>
      <c r="V37" s="460"/>
      <c r="W37" s="524">
        <v>1906325.5556697501</v>
      </c>
      <c r="X37" s="460"/>
      <c r="Y37" s="524">
        <v>0.16173201094557499</v>
      </c>
      <c r="Z37" s="460"/>
    </row>
    <row r="38" spans="1:26">
      <c r="A38" s="201" t="str">
        <f>VLOOKUP($F38,Pump_from_BP!$A:$J,5,0)</f>
        <v>PZ2153A-B(2)-Win.pdf</v>
      </c>
      <c r="B38" s="200"/>
      <c r="C38" s="440"/>
      <c r="D38" s="441"/>
      <c r="E38" s="438"/>
      <c r="F38" s="442" t="s">
        <v>1480</v>
      </c>
      <c r="G38" s="443">
        <v>168</v>
      </c>
      <c r="H38" s="439">
        <f>VLOOKUP($F38,Pump_from_BP!$A:$J,7,0)</f>
        <v>168</v>
      </c>
      <c r="I38" s="443">
        <v>155</v>
      </c>
      <c r="J38" s="439">
        <f>VLOOKUP($F38,Pump_from_BP!$A:$J,8,0)</f>
        <v>155</v>
      </c>
      <c r="K38" s="443">
        <v>1500</v>
      </c>
      <c r="L38" s="439">
        <f>VLOOKUP($F38,Pump_from_BP!$A:$J,9,0)</f>
        <v>1500</v>
      </c>
      <c r="M38" s="443">
        <v>0.17138888888888901</v>
      </c>
      <c r="N38" s="439">
        <f>VLOOKUP($F38,Pump_from_BP!$A:$J,6,0)/3600</f>
        <v>0.1713888888888889</v>
      </c>
      <c r="O38" s="443" t="b">
        <v>1</v>
      </c>
      <c r="P38" s="439" t="b">
        <v>1</v>
      </c>
      <c r="Q38" s="443">
        <v>1</v>
      </c>
      <c r="R38" s="460">
        <v>1</v>
      </c>
      <c r="S38" s="443" t="b">
        <v>1</v>
      </c>
      <c r="T38" s="439" t="b">
        <v>1</v>
      </c>
      <c r="U38" s="524">
        <v>773085.92033388105</v>
      </c>
      <c r="V38" s="460"/>
      <c r="W38" s="524">
        <v>54187.861655234999</v>
      </c>
      <c r="X38" s="460"/>
      <c r="Y38" s="524">
        <v>0</v>
      </c>
      <c r="Z38" s="460"/>
    </row>
    <row r="39" spans="1:26">
      <c r="A39" s="799" t="s">
        <v>10459</v>
      </c>
      <c r="B39" s="200"/>
      <c r="C39" s="440"/>
      <c r="D39" s="441"/>
      <c r="E39" s="438"/>
      <c r="F39" s="442" t="s">
        <v>6319</v>
      </c>
      <c r="G39" s="443">
        <v>7</v>
      </c>
      <c r="H39" s="439"/>
      <c r="I39" s="443">
        <v>5</v>
      </c>
      <c r="J39" s="439"/>
      <c r="K39" s="443">
        <v>1500</v>
      </c>
      <c r="L39" s="439"/>
      <c r="M39" s="443">
        <v>5.7500000000000002E-2</v>
      </c>
      <c r="N39" s="411">
        <f>207/3600</f>
        <v>5.7500000000000002E-2</v>
      </c>
      <c r="O39" s="443" t="b">
        <v>0</v>
      </c>
      <c r="P39" s="439" t="b">
        <v>0</v>
      </c>
      <c r="Q39" s="443">
        <v>1</v>
      </c>
      <c r="R39" s="460">
        <v>1</v>
      </c>
      <c r="S39" s="443" t="b">
        <v>1</v>
      </c>
      <c r="T39" s="439" t="b">
        <v>1</v>
      </c>
      <c r="U39" s="524">
        <v>110388.104310494</v>
      </c>
      <c r="V39" s="460"/>
      <c r="W39" s="524">
        <v>210176.51311395</v>
      </c>
      <c r="X39" s="460"/>
      <c r="Y39" s="524">
        <v>6.9379439665311201E-3</v>
      </c>
      <c r="Z39" s="460"/>
    </row>
    <row r="40" spans="1:26">
      <c r="A40" s="201" t="str">
        <f>VLOOKUP($F40,Pump_from_BP!$A:$J,5,0)</f>
        <v>PZ2158(2).pdf,sheet 4/PZ2158.pdf, sheet 2</v>
      </c>
      <c r="B40" s="200"/>
      <c r="C40" s="479"/>
      <c r="D40" s="480"/>
      <c r="E40" s="475"/>
      <c r="F40" s="481" t="s">
        <v>1481</v>
      </c>
      <c r="G40" s="482">
        <v>120</v>
      </c>
      <c r="H40" s="476">
        <f>VLOOKUP($F40,Pump_from_BP!$A:$J,7,0)</f>
        <v>120</v>
      </c>
      <c r="I40" s="482">
        <v>109</v>
      </c>
      <c r="J40" s="476">
        <f>VLOOKUP($F40,Pump_from_BP!$A:$J,8,0)</f>
        <v>109</v>
      </c>
      <c r="K40" s="482">
        <v>2900</v>
      </c>
      <c r="L40" s="476">
        <f>VLOOKUP($F40,Pump_from_BP!$A:$J,9,0)</f>
        <v>2900</v>
      </c>
      <c r="M40" s="482">
        <v>2.7777777777777801E-3</v>
      </c>
      <c r="N40" s="476">
        <f>VLOOKUP($F40,Pump_from_BP!$A:$J,6,0)/3600</f>
        <v>2.7777777777777779E-3</v>
      </c>
      <c r="O40" s="482" t="b">
        <v>1</v>
      </c>
      <c r="P40" s="476" t="b">
        <v>1</v>
      </c>
      <c r="Q40" s="482">
        <v>1</v>
      </c>
      <c r="R40" s="460">
        <v>1</v>
      </c>
      <c r="S40" s="482" t="b">
        <v>1</v>
      </c>
      <c r="T40" s="476" t="b">
        <v>1</v>
      </c>
      <c r="U40" s="524">
        <v>175074.145804178</v>
      </c>
      <c r="V40" s="460"/>
      <c r="W40" s="524">
        <v>670917.93255312298</v>
      </c>
      <c r="X40" s="460"/>
      <c r="Y40" s="524">
        <v>0</v>
      </c>
      <c r="Z40" s="460"/>
    </row>
    <row r="41" spans="1:26">
      <c r="A41" s="201" t="str">
        <f>VLOOKUP($F41,Pump_from_BP!$A:$J,5,0)</f>
        <v>Pz2161A MM-10534.pdf</v>
      </c>
      <c r="B41" s="200"/>
      <c r="C41" s="440"/>
      <c r="D41" s="441"/>
      <c r="E41" s="438"/>
      <c r="F41" s="442" t="s">
        <v>1483</v>
      </c>
      <c r="G41" s="443">
        <v>138</v>
      </c>
      <c r="H41" s="439">
        <f>VLOOKUP($F41,Pump_from_BP!$A:$J,7,0)</f>
        <v>138</v>
      </c>
      <c r="I41" s="443">
        <v>128</v>
      </c>
      <c r="J41" s="439">
        <f>VLOOKUP($F41,Pump_from_BP!$A:$J,8,0)</f>
        <v>128</v>
      </c>
      <c r="K41" s="443">
        <v>3000</v>
      </c>
      <c r="L41" s="439">
        <f>VLOOKUP($F41,Pump_from_BP!$A:$J,9,0)</f>
        <v>3000</v>
      </c>
      <c r="M41" s="443">
        <v>2.0833333333333301E-2</v>
      </c>
      <c r="N41" s="439">
        <f>VLOOKUP($F41,Pump_from_BP!$A:$J,6,0)/3600</f>
        <v>2.0833333333333332E-2</v>
      </c>
      <c r="O41" s="443" t="b">
        <v>1</v>
      </c>
      <c r="P41" s="439" t="b">
        <v>1</v>
      </c>
      <c r="Q41" s="443">
        <v>1</v>
      </c>
      <c r="R41" s="460">
        <v>1</v>
      </c>
      <c r="S41" s="443" t="b">
        <v>1</v>
      </c>
      <c r="T41" s="439" t="b">
        <v>1</v>
      </c>
      <c r="U41" s="524">
        <v>890322.91565900401</v>
      </c>
      <c r="V41" s="460"/>
      <c r="W41" s="524">
        <v>2103213.2728684102</v>
      </c>
      <c r="X41" s="460"/>
      <c r="Y41" s="524">
        <v>1.7378947266304401E-2</v>
      </c>
      <c r="Z41" s="460"/>
    </row>
    <row r="42" spans="1:26">
      <c r="A42" s="201" t="str">
        <f>VLOOKUP($F42,Pump_from_BP!$A:$J,5,0)</f>
        <v>Pz2161A MM-10534.pdf</v>
      </c>
      <c r="B42" s="200"/>
      <c r="C42" s="440"/>
      <c r="D42" s="441"/>
      <c r="E42" s="438"/>
      <c r="F42" s="442" t="s">
        <v>1487</v>
      </c>
      <c r="G42" s="443">
        <v>138</v>
      </c>
      <c r="H42" s="439">
        <f>VLOOKUP($F42,Pump_from_BP!$A:$J,7,0)</f>
        <v>138</v>
      </c>
      <c r="I42" s="443">
        <v>128</v>
      </c>
      <c r="J42" s="439">
        <f>VLOOKUP($F42,Pump_from_BP!$A:$J,8,0)</f>
        <v>128</v>
      </c>
      <c r="K42" s="443">
        <v>3000</v>
      </c>
      <c r="L42" s="439">
        <f>VLOOKUP($F42,Pump_from_BP!$A:$J,9,0)</f>
        <v>3000</v>
      </c>
      <c r="M42" s="443">
        <v>2.0833333333333301E-2</v>
      </c>
      <c r="N42" s="439">
        <f>VLOOKUP($F42,Pump_from_BP!$A:$J,6,0)/3600</f>
        <v>2.0833333333333332E-2</v>
      </c>
      <c r="O42" s="443" t="b">
        <v>1</v>
      </c>
      <c r="P42" s="439" t="b">
        <v>1</v>
      </c>
      <c r="Q42" s="443">
        <v>1</v>
      </c>
      <c r="R42" s="460">
        <v>1</v>
      </c>
      <c r="S42" s="443" t="b">
        <v>1</v>
      </c>
      <c r="T42" s="439" t="b">
        <v>1</v>
      </c>
      <c r="U42" s="524">
        <v>890322.91565900401</v>
      </c>
      <c r="V42" s="460"/>
      <c r="W42" s="524">
        <v>951234.94375261501</v>
      </c>
      <c r="X42" s="460"/>
      <c r="Y42" s="524">
        <v>0</v>
      </c>
      <c r="Z42" s="460"/>
    </row>
    <row r="43" spans="1:26">
      <c r="A43" s="201" t="str">
        <f>VLOOKUP($F43,Pump_from_BP!$A:$J,5,0)</f>
        <v>PZ2201A-B-Win.pdf</v>
      </c>
      <c r="B43" s="200"/>
      <c r="C43" s="440"/>
      <c r="D43" s="441"/>
      <c r="E43" s="438"/>
      <c r="F43" s="442" t="s">
        <v>1488</v>
      </c>
      <c r="G43" s="443">
        <v>90.2</v>
      </c>
      <c r="H43" s="439">
        <f>VLOOKUP($F43,Pump_from_BP!$A:$J,7,0)</f>
        <v>90.2</v>
      </c>
      <c r="I43" s="443">
        <v>67.5</v>
      </c>
      <c r="J43" s="439">
        <f>VLOOKUP($F43,Pump_from_BP!$A:$J,8,0)</f>
        <v>67.5</v>
      </c>
      <c r="K43" s="443">
        <v>2950</v>
      </c>
      <c r="L43" s="439">
        <f>VLOOKUP($F43,Pump_from_BP!$A:$J,9,0)</f>
        <v>2950</v>
      </c>
      <c r="M43" s="443">
        <v>5.6111111111111098E-2</v>
      </c>
      <c r="N43" s="439">
        <f>VLOOKUP($F43,Pump_from_BP!$A:$J,6,0)/3600</f>
        <v>5.6111111111111112E-2</v>
      </c>
      <c r="O43" s="443" t="b">
        <v>1</v>
      </c>
      <c r="P43" s="439" t="b">
        <v>1</v>
      </c>
      <c r="Q43" s="443">
        <v>1</v>
      </c>
      <c r="R43" s="460">
        <v>1</v>
      </c>
      <c r="S43" s="443" t="b">
        <v>1</v>
      </c>
      <c r="T43" s="439" t="b">
        <v>1</v>
      </c>
      <c r="U43" s="524">
        <v>921050.274771853</v>
      </c>
      <c r="V43" s="460"/>
      <c r="W43" s="524">
        <v>1403815.16943718</v>
      </c>
      <c r="X43" s="460"/>
      <c r="Y43" s="524">
        <v>3.4013403171790697E-2</v>
      </c>
      <c r="Z43" s="460"/>
    </row>
    <row r="44" spans="1:26">
      <c r="A44" s="201" t="str">
        <f>VLOOKUP($F44,Pump_from_BP!$A:$J,5,0)</f>
        <v>PZ2201A-B-Win.pdf</v>
      </c>
      <c r="B44" s="200"/>
      <c r="C44" s="440"/>
      <c r="D44" s="441"/>
      <c r="E44" s="438"/>
      <c r="F44" s="442" t="s">
        <v>1492</v>
      </c>
      <c r="G44" s="443">
        <v>90.2</v>
      </c>
      <c r="H44" s="439">
        <f>VLOOKUP($F44,Pump_from_BP!$A:$J,7,0)</f>
        <v>90.2</v>
      </c>
      <c r="I44" s="443">
        <v>67.5</v>
      </c>
      <c r="J44" s="439">
        <f>VLOOKUP($F44,Pump_from_BP!$A:$J,8,0)</f>
        <v>67.5</v>
      </c>
      <c r="K44" s="443">
        <v>2950</v>
      </c>
      <c r="L44" s="439">
        <f>VLOOKUP($F44,Pump_from_BP!$A:$J,9,0)</f>
        <v>2950</v>
      </c>
      <c r="M44" s="443">
        <v>5.6111111111111098E-2</v>
      </c>
      <c r="N44" s="439">
        <f>VLOOKUP($F44,Pump_from_BP!$A:$J,6,0)/3600</f>
        <v>5.6111111111111112E-2</v>
      </c>
      <c r="O44" s="443" t="b">
        <v>1</v>
      </c>
      <c r="P44" s="439" t="b">
        <v>1</v>
      </c>
      <c r="Q44" s="443">
        <v>1</v>
      </c>
      <c r="R44" s="460">
        <v>1</v>
      </c>
      <c r="S44" s="443" t="b">
        <v>1</v>
      </c>
      <c r="T44" s="439" t="b">
        <v>1</v>
      </c>
      <c r="U44" s="524">
        <v>921050.274771853</v>
      </c>
      <c r="V44" s="460"/>
      <c r="W44" s="524">
        <v>267034.81708313199</v>
      </c>
      <c r="X44" s="460"/>
      <c r="Y44" s="524">
        <v>0</v>
      </c>
      <c r="Z44" s="460"/>
    </row>
    <row r="45" spans="1:26">
      <c r="A45" s="201" t="str">
        <f>VLOOKUP($F45,Pump_from_BP!$A:$J,5,0)</f>
        <v>PZ2202 modification TAR2011.pdf,sheet 26</v>
      </c>
      <c r="B45" s="200"/>
      <c r="C45" s="440"/>
      <c r="D45" s="441"/>
      <c r="E45" s="438"/>
      <c r="F45" s="442" t="s">
        <v>6320</v>
      </c>
      <c r="G45" s="443">
        <v>320</v>
      </c>
      <c r="H45" s="439">
        <f>VLOOKUP($F45,Pump_from_BP!$A:$J,7,0)</f>
        <v>320</v>
      </c>
      <c r="I45" s="443">
        <v>316</v>
      </c>
      <c r="J45" s="439">
        <f>VLOOKUP($F45,Pump_from_BP!$A:$J,8,0)</f>
        <v>316</v>
      </c>
      <c r="K45" s="443">
        <v>2950</v>
      </c>
      <c r="L45" s="439">
        <f>VLOOKUP($F45,Pump_from_BP!$A:$J,9,0)</f>
        <v>2950</v>
      </c>
      <c r="M45" s="443">
        <v>1.0555555555555599E-2</v>
      </c>
      <c r="N45" s="439">
        <f>VLOOKUP($F45,Pump_from_BP!$A:$J,6,0)/3600</f>
        <v>1.0555555555555556E-2</v>
      </c>
      <c r="O45" s="443" t="b">
        <v>1</v>
      </c>
      <c r="P45" s="439" t="b">
        <v>1</v>
      </c>
      <c r="Q45" s="443">
        <v>1</v>
      </c>
      <c r="R45" s="460">
        <v>1</v>
      </c>
      <c r="S45" s="443" t="b">
        <v>1</v>
      </c>
      <c r="T45" s="439" t="b">
        <v>1</v>
      </c>
      <c r="U45" s="524">
        <v>921050.274771853</v>
      </c>
      <c r="V45" s="460"/>
      <c r="W45" s="524">
        <v>2837433.44273235</v>
      </c>
      <c r="X45" s="460"/>
      <c r="Y45" s="524">
        <v>6.8893779452013203E-3</v>
      </c>
      <c r="Z45" s="460"/>
    </row>
    <row r="46" spans="1:26">
      <c r="A46" s="201" t="str">
        <f>VLOOKUP($F46,Pump_from_BP!$A:$J,5,0)</f>
        <v>PZ2202 modification TAR2011.pdf,sheet 26</v>
      </c>
      <c r="B46" s="200"/>
      <c r="C46" s="440"/>
      <c r="D46" s="441"/>
      <c r="E46" s="438"/>
      <c r="F46" s="442" t="s">
        <v>1495</v>
      </c>
      <c r="G46" s="443">
        <v>320</v>
      </c>
      <c r="H46" s="439">
        <f>VLOOKUP($F46,Pump_from_BP!$A:$J,7,0)</f>
        <v>320</v>
      </c>
      <c r="I46" s="443">
        <v>316</v>
      </c>
      <c r="J46" s="439">
        <f>VLOOKUP($F46,Pump_from_BP!$A:$J,8,0)</f>
        <v>316</v>
      </c>
      <c r="K46" s="443">
        <v>2950</v>
      </c>
      <c r="L46" s="439">
        <f>VLOOKUP($F46,Pump_from_BP!$A:$J,9,0)</f>
        <v>2950</v>
      </c>
      <c r="M46" s="443">
        <v>1.0555555555555599E-2</v>
      </c>
      <c r="N46" s="439">
        <f>VLOOKUP($F46,Pump_from_BP!$A:$J,6,0)/3600</f>
        <v>1.0555555555555556E-2</v>
      </c>
      <c r="O46" s="443" t="b">
        <v>1</v>
      </c>
      <c r="P46" s="439" t="b">
        <v>1</v>
      </c>
      <c r="Q46" s="443">
        <v>1</v>
      </c>
      <c r="R46" s="460">
        <v>1</v>
      </c>
      <c r="S46" s="443" t="b">
        <v>1</v>
      </c>
      <c r="T46" s="439" t="b">
        <v>1</v>
      </c>
      <c r="U46" s="524">
        <v>921050.274771853</v>
      </c>
      <c r="V46" s="460"/>
      <c r="W46" s="524">
        <v>1601451.0953503</v>
      </c>
      <c r="X46" s="460"/>
      <c r="Y46" s="524">
        <v>0</v>
      </c>
      <c r="Z46" s="460"/>
    </row>
    <row r="47" spans="1:26">
      <c r="A47" s="201" t="str">
        <f>VLOOKUP($F47,Pump_from_BP!$A:$J,5,0)</f>
        <v>PZ2203A-B-Win.pdf,sheet 8</v>
      </c>
      <c r="B47" s="200"/>
      <c r="C47" s="16"/>
      <c r="D47" s="17"/>
      <c r="E47" s="609"/>
      <c r="F47" s="465" t="s">
        <v>6137</v>
      </c>
      <c r="G47" s="19">
        <v>76</v>
      </c>
      <c r="H47" s="193">
        <f>VLOOKUP($F47,Pump_from_BP!$A:$J,7,0)</f>
        <v>76</v>
      </c>
      <c r="I47" s="19">
        <v>61.2</v>
      </c>
      <c r="J47" s="193">
        <f>VLOOKUP($F47,Pump_from_BP!$A:$J,8,0)</f>
        <v>61.2</v>
      </c>
      <c r="K47" s="19">
        <v>1460</v>
      </c>
      <c r="L47" s="193">
        <f>VLOOKUP($F47,Pump_from_BP!$A:$J,9,0)</f>
        <v>1460</v>
      </c>
      <c r="M47" s="19">
        <v>0.25055555555555598</v>
      </c>
      <c r="N47" s="193">
        <f>VLOOKUP($F47,Pump_from_BP!$A:$J,6,0)/3600</f>
        <v>0.25055555555555553</v>
      </c>
      <c r="O47" s="19" t="b">
        <v>1</v>
      </c>
      <c r="P47" s="193" t="b">
        <v>1</v>
      </c>
      <c r="Q47" s="19">
        <v>1</v>
      </c>
      <c r="R47" s="460">
        <v>1</v>
      </c>
      <c r="S47" s="19" t="b">
        <v>1</v>
      </c>
      <c r="T47" s="460" t="b">
        <v>1</v>
      </c>
      <c r="U47" s="524">
        <v>164977.082155151</v>
      </c>
      <c r="V47" s="460"/>
      <c r="W47" s="524">
        <v>656970.84495244699</v>
      </c>
      <c r="X47" s="460"/>
      <c r="Y47" s="524">
        <v>0.125766216341995</v>
      </c>
      <c r="Z47" s="460"/>
    </row>
    <row r="48" spans="1:26">
      <c r="A48" s="201" t="str">
        <f>VLOOKUP($F48,Pump_from_BP!$A:$J,5,0)</f>
        <v>PZ2203A-B-Win.pdf,sheet 9</v>
      </c>
      <c r="B48" s="200"/>
      <c r="C48" s="16"/>
      <c r="D48" s="17"/>
      <c r="E48" s="609"/>
      <c r="F48" s="465" t="s">
        <v>6138</v>
      </c>
      <c r="G48" s="19">
        <v>76</v>
      </c>
      <c r="H48" s="193">
        <f>VLOOKUP($F48,Pump_from_BP!$A:$J,7,0)</f>
        <v>76</v>
      </c>
      <c r="I48" s="19">
        <v>61.2</v>
      </c>
      <c r="J48" s="439">
        <f>VLOOKUP($F48,Pump_from_BP!$A:$J,8,0)</f>
        <v>61.2</v>
      </c>
      <c r="K48" s="19">
        <v>1460</v>
      </c>
      <c r="L48" s="193">
        <f>VLOOKUP($F48,Pump_from_BP!$A:$J,9,0)</f>
        <v>1460</v>
      </c>
      <c r="M48" s="19">
        <v>0.25055555555555598</v>
      </c>
      <c r="N48" s="193">
        <f>VLOOKUP($F48,Pump_from_BP!$A:$J,6,0)/3600</f>
        <v>0.25055555555555553</v>
      </c>
      <c r="O48" s="19" t="b">
        <v>1</v>
      </c>
      <c r="P48" s="193" t="b">
        <v>1</v>
      </c>
      <c r="Q48" s="19">
        <v>1</v>
      </c>
      <c r="R48" s="460">
        <v>1</v>
      </c>
      <c r="S48" s="19" t="b">
        <v>1</v>
      </c>
      <c r="T48" s="460" t="b">
        <v>1</v>
      </c>
      <c r="U48" s="524">
        <v>101324.999073735</v>
      </c>
      <c r="V48" s="460"/>
      <c r="W48" s="524">
        <v>101324.99999931701</v>
      </c>
      <c r="X48" s="460"/>
      <c r="Y48" s="524">
        <v>0</v>
      </c>
      <c r="Z48" s="460"/>
    </row>
    <row r="49" spans="1:26">
      <c r="A49" s="201" t="str">
        <f>VLOOKUP($F49,Pump_from_BP!$A:$J,5,0)</f>
        <v>PZ2204A-B-C-Win.pdf,sheet 3</v>
      </c>
      <c r="B49" s="199"/>
      <c r="C49" s="11"/>
      <c r="D49" s="12"/>
      <c r="E49" s="609"/>
      <c r="F49" s="465" t="s">
        <v>6098</v>
      </c>
      <c r="G49" s="19">
        <v>231</v>
      </c>
      <c r="H49" s="13">
        <f>VLOOKUP($F49,Pump_from_BP!$A:$J,7,0)</f>
        <v>231</v>
      </c>
      <c r="I49" s="19">
        <v>208</v>
      </c>
      <c r="J49" s="13">
        <f>VLOOKUP($F49,Pump_from_BP!$A:$J,8,0)</f>
        <v>208</v>
      </c>
      <c r="K49" s="19">
        <v>1460</v>
      </c>
      <c r="L49" s="13">
        <f>VLOOKUP($F49,Pump_from_BP!$A:$J,9,0)</f>
        <v>1460</v>
      </c>
      <c r="M49" s="19">
        <v>0.155555555555556</v>
      </c>
      <c r="N49" s="13">
        <f>VLOOKUP($F49,Pump_from_BP!$A:$J,6,0)/3600</f>
        <v>0.15555555555555556</v>
      </c>
      <c r="O49" s="19" t="b">
        <v>1</v>
      </c>
      <c r="P49" s="13" t="b">
        <v>1</v>
      </c>
      <c r="Q49" s="19">
        <v>1</v>
      </c>
      <c r="R49" s="460">
        <v>1</v>
      </c>
      <c r="S49" s="19" t="b">
        <v>1</v>
      </c>
      <c r="T49" s="460" t="b">
        <v>1</v>
      </c>
      <c r="U49" s="524">
        <v>231988.91921289699</v>
      </c>
      <c r="V49" s="460"/>
      <c r="W49" s="524">
        <v>1635599.51725716</v>
      </c>
      <c r="X49" s="460"/>
      <c r="Y49" s="524">
        <v>0.12454065059875501</v>
      </c>
      <c r="Z49" s="460"/>
    </row>
    <row r="50" spans="1:26">
      <c r="A50" s="201" t="str">
        <f>VLOOKUP($F50,Pump_from_BP!$A:$J,5,0)</f>
        <v>PZ2204A-B-C-Win.pdf,sheet 3</v>
      </c>
      <c r="B50" s="199"/>
      <c r="C50" s="11"/>
      <c r="D50" s="12"/>
      <c r="E50" s="609"/>
      <c r="F50" s="465" t="s">
        <v>6132</v>
      </c>
      <c r="G50" s="19">
        <v>231</v>
      </c>
      <c r="H50" s="193">
        <f>VLOOKUP($F50,Pump_from_BP!$A:$J,7,0)</f>
        <v>231</v>
      </c>
      <c r="I50" s="19">
        <v>208</v>
      </c>
      <c r="J50" s="193">
        <f>VLOOKUP($F50,Pump_from_BP!$A:$J,8,0)</f>
        <v>208</v>
      </c>
      <c r="K50" s="19">
        <v>1460</v>
      </c>
      <c r="L50" s="193">
        <f>VLOOKUP($F50,Pump_from_BP!$A:$J,9,0)</f>
        <v>1460</v>
      </c>
      <c r="M50" s="19">
        <v>0.155555555555556</v>
      </c>
      <c r="N50" s="193">
        <f>VLOOKUP($F50,Pump_from_BP!$A:$J,6,0)/3600</f>
        <v>0.15555555555555556</v>
      </c>
      <c r="O50" s="19" t="b">
        <v>1</v>
      </c>
      <c r="P50" s="193" t="b">
        <v>1</v>
      </c>
      <c r="Q50" s="19">
        <v>1</v>
      </c>
      <c r="R50" s="460">
        <v>1</v>
      </c>
      <c r="S50" s="19" t="b">
        <v>1</v>
      </c>
      <c r="T50" s="460" t="b">
        <v>1</v>
      </c>
      <c r="U50" s="524">
        <v>231988.91921289699</v>
      </c>
      <c r="V50" s="460"/>
      <c r="W50" s="524">
        <v>1637562.46854133</v>
      </c>
      <c r="X50" s="460"/>
      <c r="Y50" s="524">
        <v>0.123058230554853</v>
      </c>
      <c r="Z50" s="460"/>
    </row>
    <row r="51" spans="1:26">
      <c r="A51" s="201" t="str">
        <f>VLOOKUP($F51,Pump_from_BP!$A:$J,5,0)</f>
        <v>PZ2204A-B-C-Win.pdf,sheet 3</v>
      </c>
      <c r="B51" s="200"/>
      <c r="C51" s="16"/>
      <c r="D51" s="17"/>
      <c r="E51" s="609"/>
      <c r="F51" s="465" t="s">
        <v>6133</v>
      </c>
      <c r="G51" s="19">
        <v>231</v>
      </c>
      <c r="H51" s="193">
        <f>VLOOKUP($F51,Pump_from_BP!$A:$J,7,0)</f>
        <v>231</v>
      </c>
      <c r="I51" s="19">
        <v>208</v>
      </c>
      <c r="J51" s="193">
        <f>VLOOKUP($F51,Pump_from_BP!$A:$J,8,0)</f>
        <v>208</v>
      </c>
      <c r="K51" s="19">
        <v>1460</v>
      </c>
      <c r="L51" s="193">
        <f>VLOOKUP($F51,Pump_from_BP!$A:$J,9,0)</f>
        <v>1460</v>
      </c>
      <c r="M51" s="19">
        <v>0.155555555555556</v>
      </c>
      <c r="N51" s="193">
        <f>VLOOKUP($F51,Pump_from_BP!$A:$J,6,0)/3600</f>
        <v>0.15555555555555556</v>
      </c>
      <c r="O51" s="19" t="b">
        <v>1</v>
      </c>
      <c r="P51" s="193" t="b">
        <v>1</v>
      </c>
      <c r="Q51" s="19">
        <v>1</v>
      </c>
      <c r="R51" s="460">
        <v>1</v>
      </c>
      <c r="S51" s="19" t="b">
        <v>1</v>
      </c>
      <c r="T51" s="460" t="b">
        <v>1</v>
      </c>
      <c r="U51" s="524">
        <v>231988.91921289699</v>
      </c>
      <c r="V51" s="460"/>
      <c r="W51" s="524">
        <v>1639871.28206947</v>
      </c>
      <c r="X51" s="460"/>
      <c r="Y51" s="524">
        <v>0.121274384438548</v>
      </c>
      <c r="Z51" s="460"/>
    </row>
    <row r="52" spans="1:26">
      <c r="A52" s="201" t="str">
        <f>VLOOKUP($F52,Pump_from_BP!$A:$J,5,0)</f>
        <v>PZ2205A-B-Win.pdf</v>
      </c>
      <c r="B52" s="200"/>
      <c r="C52" s="16"/>
      <c r="D52" s="17"/>
      <c r="E52" s="609"/>
      <c r="F52" s="465" t="s">
        <v>6139</v>
      </c>
      <c r="G52" s="19">
        <v>138</v>
      </c>
      <c r="H52" s="193">
        <f>VLOOKUP($F52,Pump_from_BP!$A:$J,7,0)</f>
        <v>138</v>
      </c>
      <c r="I52" s="19">
        <v>120</v>
      </c>
      <c r="J52" s="439">
        <f>VLOOKUP($F52,Pump_from_BP!$A:$J,8,0)</f>
        <v>120</v>
      </c>
      <c r="K52" s="19">
        <v>2950</v>
      </c>
      <c r="L52" s="193">
        <f>VLOOKUP($F52,Pump_from_BP!$A:$J,9,0)</f>
        <v>2950</v>
      </c>
      <c r="M52" s="19">
        <v>4.4999999999999998E-2</v>
      </c>
      <c r="N52" s="193">
        <f>VLOOKUP($F52,Pump_from_BP!$A:$J,6,0)/3600</f>
        <v>4.4999999999999998E-2</v>
      </c>
      <c r="O52" s="19" t="b">
        <v>1</v>
      </c>
      <c r="P52" s="193" t="b">
        <v>1</v>
      </c>
      <c r="Q52" s="19">
        <v>1</v>
      </c>
      <c r="R52" s="460">
        <v>1</v>
      </c>
      <c r="S52" s="19" t="b">
        <v>1</v>
      </c>
      <c r="T52" s="460" t="b">
        <v>1</v>
      </c>
      <c r="U52" s="524">
        <v>169283.45931964001</v>
      </c>
      <c r="V52" s="460"/>
      <c r="W52" s="524">
        <v>1002234.02756637</v>
      </c>
      <c r="X52" s="460"/>
      <c r="Y52" s="524">
        <v>4.3134078637255102E-2</v>
      </c>
      <c r="Z52" s="460"/>
    </row>
    <row r="53" spans="1:26">
      <c r="A53" s="201" t="str">
        <f>VLOOKUP($F53,Pump_from_BP!$A:$J,5,0)</f>
        <v>PZ2205A-B-Win.pdf</v>
      </c>
      <c r="B53" s="200"/>
      <c r="C53" s="16"/>
      <c r="D53" s="17"/>
      <c r="E53" s="609"/>
      <c r="F53" s="465" t="s">
        <v>6140</v>
      </c>
      <c r="G53" s="19">
        <v>138</v>
      </c>
      <c r="H53" s="193">
        <f>VLOOKUP($F53,Pump_from_BP!$A:$J,7,0)</f>
        <v>138</v>
      </c>
      <c r="I53" s="19">
        <v>120</v>
      </c>
      <c r="J53" s="439">
        <f>VLOOKUP($F53,Pump_from_BP!$A:$J,8,0)</f>
        <v>120</v>
      </c>
      <c r="K53" s="19">
        <v>2950</v>
      </c>
      <c r="L53" s="193">
        <f>VLOOKUP($F53,Pump_from_BP!$A:$J,9,0)</f>
        <v>2950</v>
      </c>
      <c r="M53" s="19">
        <v>4.4999999999999998E-2</v>
      </c>
      <c r="N53" s="193">
        <f>VLOOKUP($F53,Pump_from_BP!$A:$J,6,0)/3600</f>
        <v>4.4999999999999998E-2</v>
      </c>
      <c r="O53" s="19" t="b">
        <v>1</v>
      </c>
      <c r="P53" s="193" t="b">
        <v>1</v>
      </c>
      <c r="Q53" s="19">
        <v>1</v>
      </c>
      <c r="R53" s="460">
        <v>1</v>
      </c>
      <c r="S53" s="19" t="b">
        <v>1</v>
      </c>
      <c r="T53" s="460" t="b">
        <v>1</v>
      </c>
      <c r="U53" s="524">
        <v>169283.45931964001</v>
      </c>
      <c r="V53" s="460"/>
      <c r="W53" s="524">
        <v>454365.66754283197</v>
      </c>
      <c r="X53" s="460"/>
      <c r="Y53" s="524">
        <v>0</v>
      </c>
      <c r="Z53" s="460"/>
    </row>
    <row r="54" spans="1:26">
      <c r="A54" s="201" t="str">
        <f>VLOOKUP($F54,Pump_from_BP!$A:$J,5,0)</f>
        <v>PZ2206A-B-Win.pdf,sheet 8</v>
      </c>
      <c r="B54" s="200"/>
      <c r="C54" s="16"/>
      <c r="D54" s="17"/>
      <c r="E54" s="609"/>
      <c r="F54" s="465" t="s">
        <v>6134</v>
      </c>
      <c r="G54" s="19">
        <v>124</v>
      </c>
      <c r="H54" s="193">
        <f>VLOOKUP($F54,Pump_from_BP!$A:$J,7,0)</f>
        <v>124</v>
      </c>
      <c r="I54" s="19">
        <v>100.6</v>
      </c>
      <c r="J54" s="193">
        <f>VLOOKUP($F54,Pump_from_BP!$A:$J,8,0)</f>
        <v>100.6</v>
      </c>
      <c r="K54" s="19">
        <v>2950</v>
      </c>
      <c r="L54" s="193">
        <f>VLOOKUP($F54,Pump_from_BP!$A:$J,9,0)</f>
        <v>2950</v>
      </c>
      <c r="M54" s="19">
        <v>6.8333333333333302E-2</v>
      </c>
      <c r="N54" s="193">
        <f>VLOOKUP($F54,Pump_from_BP!$A:$J,6,0)/3600</f>
        <v>6.8333333333333329E-2</v>
      </c>
      <c r="O54" s="19" t="b">
        <v>1</v>
      </c>
      <c r="P54" s="193" t="b">
        <v>1</v>
      </c>
      <c r="Q54" s="19">
        <v>1</v>
      </c>
      <c r="R54" s="460">
        <v>1</v>
      </c>
      <c r="S54" s="19" t="b">
        <v>1</v>
      </c>
      <c r="T54" s="460" t="b">
        <v>1</v>
      </c>
      <c r="U54" s="524">
        <v>215512.98108540301</v>
      </c>
      <c r="V54" s="460"/>
      <c r="W54" s="524">
        <v>911486.0932605</v>
      </c>
      <c r="X54" s="460"/>
      <c r="Y54" s="524">
        <v>5.4366811737750702E-2</v>
      </c>
      <c r="Z54" s="460"/>
    </row>
    <row r="55" spans="1:26">
      <c r="A55" s="201" t="str">
        <f>VLOOKUP($F55,Pump_from_BP!$A:$J,5,0)</f>
        <v>PZ2206A-B-Win.pdf,sheet 8</v>
      </c>
      <c r="B55" s="200"/>
      <c r="C55" s="16"/>
      <c r="D55" s="17"/>
      <c r="E55" s="609"/>
      <c r="F55" s="465" t="s">
        <v>6135</v>
      </c>
      <c r="G55" s="19">
        <v>124</v>
      </c>
      <c r="H55" s="193">
        <f>VLOOKUP($F55,Pump_from_BP!$A:$J,7,0)</f>
        <v>124</v>
      </c>
      <c r="I55" s="19">
        <v>100.6</v>
      </c>
      <c r="J55" s="193">
        <f>VLOOKUP($F55,Pump_from_BP!$A:$J,8,0)</f>
        <v>100.6</v>
      </c>
      <c r="K55" s="19">
        <v>2950</v>
      </c>
      <c r="L55" s="193">
        <f>VLOOKUP($F55,Pump_from_BP!$A:$J,9,0)</f>
        <v>2950</v>
      </c>
      <c r="M55" s="19">
        <v>6.8333333333333302E-2</v>
      </c>
      <c r="N55" s="193">
        <f>VLOOKUP($F55,Pump_from_BP!$A:$J,6,0)/3600</f>
        <v>6.8333333333333329E-2</v>
      </c>
      <c r="O55" s="19" t="b">
        <v>1</v>
      </c>
      <c r="P55" s="193" t="b">
        <v>1</v>
      </c>
      <c r="Q55" s="19">
        <v>1</v>
      </c>
      <c r="R55" s="460">
        <v>1</v>
      </c>
      <c r="S55" s="19" t="b">
        <v>1</v>
      </c>
      <c r="T55" s="460" t="b">
        <v>1</v>
      </c>
      <c r="U55" s="524">
        <v>62093.310196978899</v>
      </c>
      <c r="V55" s="460"/>
      <c r="W55" s="524">
        <v>175870.89767826299</v>
      </c>
      <c r="X55" s="460"/>
      <c r="Y55" s="524">
        <v>0</v>
      </c>
      <c r="Z55" s="460"/>
    </row>
    <row r="56" spans="1:26">
      <c r="A56" s="201" t="str">
        <f>VLOOKUP($F56,Pump_from_BP!$A:$J,5,0)</f>
        <v>PZ2207-Win.pdf,sheet7</v>
      </c>
      <c r="B56" s="200"/>
      <c r="C56" s="16"/>
      <c r="D56" s="17"/>
      <c r="E56" s="609"/>
      <c r="F56" s="465" t="s">
        <v>6136</v>
      </c>
      <c r="G56" s="19">
        <v>134.9</v>
      </c>
      <c r="H56" s="193">
        <f>VLOOKUP($F56,Pump_from_BP!$A:$J,7,0)</f>
        <v>134.9</v>
      </c>
      <c r="I56" s="19">
        <v>115.7</v>
      </c>
      <c r="J56" s="193">
        <f>VLOOKUP($F56,Pump_from_BP!$A:$J,8,0)</f>
        <v>115.7</v>
      </c>
      <c r="K56" s="19">
        <v>2950</v>
      </c>
      <c r="L56" s="193">
        <f>VLOOKUP($F56,Pump_from_BP!$A:$J,9,0)</f>
        <v>2950</v>
      </c>
      <c r="M56" s="19">
        <v>6.9722222222222199E-2</v>
      </c>
      <c r="N56" s="193">
        <f>VLOOKUP($F56,Pump_from_BP!$A:$J,6,0)/3600</f>
        <v>6.9722222222222227E-2</v>
      </c>
      <c r="O56" s="19" t="b">
        <v>1</v>
      </c>
      <c r="P56" s="193" t="b">
        <v>1</v>
      </c>
      <c r="Q56" s="19">
        <v>1</v>
      </c>
      <c r="R56" s="460">
        <v>1</v>
      </c>
      <c r="S56" s="19" t="b">
        <v>1</v>
      </c>
      <c r="T56" s="460" t="b">
        <v>1</v>
      </c>
      <c r="U56" s="524">
        <v>231988.91921289699</v>
      </c>
      <c r="V56" s="460"/>
      <c r="W56" s="524">
        <v>408886.19996765</v>
      </c>
      <c r="X56" s="460"/>
      <c r="Y56" s="524">
        <v>0</v>
      </c>
      <c r="Z56" s="460"/>
    </row>
    <row r="57" spans="1:26">
      <c r="A57" s="201" t="str">
        <f>VLOOKUP($F57,Pump_from_BP!$A:$J,5,0)</f>
        <v>PZ2855A-B-Win.pdf,sheet 6/PZ2855A-B(2)-Win.pdf,sheet 5</v>
      </c>
      <c r="B57" s="200"/>
      <c r="C57" s="16"/>
      <c r="D57" s="17"/>
      <c r="E57" s="609"/>
      <c r="F57" s="465" t="s">
        <v>1519</v>
      </c>
      <c r="G57" s="524">
        <v>24.2</v>
      </c>
      <c r="H57" s="518">
        <f>VLOOKUP($F57,Pump_from_BP!$A:$J,7,0)</f>
        <v>24.2</v>
      </c>
      <c r="I57" s="524">
        <v>21.2</v>
      </c>
      <c r="J57" s="518">
        <f>VLOOKUP($F57,Pump_from_BP!$A:$J,8,0)</f>
        <v>21.2</v>
      </c>
      <c r="K57" s="524">
        <v>1450</v>
      </c>
      <c r="L57" s="518">
        <f>VLOOKUP($F57,Pump_from_BP!$A:$J,9,0)</f>
        <v>1450</v>
      </c>
      <c r="M57" s="524">
        <v>5.8888888888888897E-3</v>
      </c>
      <c r="N57" s="518">
        <f>VLOOKUP($F57,Pump_from_BP!$A:$J,6,0)/3600</f>
        <v>5.8888888888888888E-3</v>
      </c>
      <c r="O57" s="524" t="b">
        <v>1</v>
      </c>
      <c r="P57" s="518" t="b">
        <v>1</v>
      </c>
      <c r="Q57" s="524">
        <v>1</v>
      </c>
      <c r="R57" s="460">
        <v>1</v>
      </c>
      <c r="S57" s="524" t="b">
        <v>1</v>
      </c>
      <c r="T57" s="460" t="b">
        <v>1</v>
      </c>
      <c r="U57" s="524">
        <v>669783.67939244001</v>
      </c>
      <c r="V57" s="460"/>
      <c r="W57" s="524">
        <v>949619.53296087706</v>
      </c>
      <c r="X57" s="460"/>
      <c r="Y57" s="524">
        <v>4.1771837244939797E-3</v>
      </c>
      <c r="Z57" s="460"/>
    </row>
    <row r="58" spans="1:26">
      <c r="A58" s="201" t="str">
        <f>VLOOKUP($F58,Pump_from_BP!$A:$J,5,0)</f>
        <v>PZ2855A-B-Win.pdf,sheet 6/PZ2855A-B(2)-Win.pdf,sheet 5</v>
      </c>
      <c r="B58" s="200"/>
      <c r="C58" s="16"/>
      <c r="D58" s="17"/>
      <c r="E58" s="609"/>
      <c r="F58" s="465" t="s">
        <v>1522</v>
      </c>
      <c r="G58" s="524">
        <v>24.2</v>
      </c>
      <c r="H58" s="518">
        <f>VLOOKUP($F58,Pump_from_BP!$A:$J,7,0)</f>
        <v>24.2</v>
      </c>
      <c r="I58" s="524">
        <v>21.2</v>
      </c>
      <c r="J58" s="518">
        <f>VLOOKUP($F58,Pump_from_BP!$A:$J,8,0)</f>
        <v>21.2</v>
      </c>
      <c r="K58" s="524">
        <v>1450</v>
      </c>
      <c r="L58" s="518">
        <f>VLOOKUP($F58,Pump_from_BP!$A:$J,9,0)</f>
        <v>1450</v>
      </c>
      <c r="M58" s="524">
        <v>5.8888888888888897E-3</v>
      </c>
      <c r="N58" s="518">
        <f>VLOOKUP($F58,Pump_from_BP!$A:$J,6,0)/3600</f>
        <v>5.8888888888888888E-3</v>
      </c>
      <c r="O58" s="524" t="b">
        <v>1</v>
      </c>
      <c r="P58" s="518" t="b">
        <v>1</v>
      </c>
      <c r="Q58" s="524">
        <v>1</v>
      </c>
      <c r="R58" s="460">
        <v>1</v>
      </c>
      <c r="S58" s="524" t="b">
        <v>1</v>
      </c>
      <c r="T58" s="460" t="b">
        <v>1</v>
      </c>
      <c r="U58" s="524">
        <v>669783.67939244001</v>
      </c>
      <c r="V58" s="460"/>
      <c r="W58" s="524">
        <v>604864.04741771496</v>
      </c>
      <c r="X58" s="460"/>
      <c r="Y58" s="524">
        <v>0</v>
      </c>
      <c r="Z58" s="460"/>
    </row>
    <row r="59" spans="1:26" s="514" customFormat="1">
      <c r="A59" s="745" t="s">
        <v>9119</v>
      </c>
      <c r="B59" s="200"/>
      <c r="C59" s="613"/>
      <c r="D59" s="742"/>
      <c r="E59" s="740"/>
      <c r="F59" s="465" t="s">
        <v>9123</v>
      </c>
      <c r="G59" s="744">
        <v>48</v>
      </c>
      <c r="H59" s="460">
        <v>48</v>
      </c>
      <c r="I59" s="744">
        <v>38</v>
      </c>
      <c r="J59" s="460">
        <v>38</v>
      </c>
      <c r="K59" s="744">
        <v>1480</v>
      </c>
      <c r="L59" s="460">
        <v>1480</v>
      </c>
      <c r="M59" s="744">
        <v>0.111</v>
      </c>
      <c r="N59" s="460">
        <v>0.111</v>
      </c>
      <c r="O59" s="744" t="b">
        <v>1</v>
      </c>
      <c r="P59" s="460" t="b">
        <v>1</v>
      </c>
      <c r="Q59" s="744">
        <v>1</v>
      </c>
      <c r="R59" s="460">
        <v>1</v>
      </c>
      <c r="S59" s="744" t="b">
        <v>1</v>
      </c>
      <c r="T59" s="460" t="b">
        <v>1</v>
      </c>
      <c r="U59" s="744">
        <v>101325</v>
      </c>
      <c r="V59" s="460"/>
      <c r="W59" s="744">
        <v>498118.60571414302</v>
      </c>
      <c r="X59" s="460"/>
      <c r="Y59" s="744">
        <v>1.6214119539251799E-2</v>
      </c>
      <c r="Z59" s="460"/>
    </row>
    <row r="60" spans="1:26" s="514" customFormat="1">
      <c r="A60" s="745" t="s">
        <v>9120</v>
      </c>
      <c r="B60" s="200"/>
      <c r="C60" s="613"/>
      <c r="D60" s="742"/>
      <c r="E60" s="740"/>
      <c r="F60" s="465" t="s">
        <v>9126</v>
      </c>
      <c r="G60" s="744">
        <v>48</v>
      </c>
      <c r="H60" s="741">
        <v>48</v>
      </c>
      <c r="I60" s="744">
        <v>38</v>
      </c>
      <c r="J60" s="741">
        <v>38</v>
      </c>
      <c r="K60" s="744">
        <v>1480</v>
      </c>
      <c r="L60" s="741">
        <v>1480</v>
      </c>
      <c r="M60" s="744">
        <v>0.111</v>
      </c>
      <c r="N60" s="741">
        <v>0.111</v>
      </c>
      <c r="O60" s="744" t="b">
        <v>1</v>
      </c>
      <c r="P60" s="741" t="b">
        <v>1</v>
      </c>
      <c r="Q60" s="744">
        <v>1</v>
      </c>
      <c r="R60" s="460">
        <v>1</v>
      </c>
      <c r="S60" s="744" t="b">
        <v>1</v>
      </c>
      <c r="T60" s="460" t="b">
        <v>1</v>
      </c>
      <c r="U60" s="744">
        <v>101325</v>
      </c>
      <c r="V60" s="460"/>
      <c r="W60" s="744">
        <v>496071.18737773399</v>
      </c>
      <c r="X60" s="460"/>
      <c r="Y60" s="744">
        <v>4.2814117547983699E-2</v>
      </c>
      <c r="Z60" s="460"/>
    </row>
    <row r="61" spans="1:26" s="514" customFormat="1">
      <c r="A61" s="745" t="s">
        <v>9121</v>
      </c>
      <c r="B61" s="200"/>
      <c r="C61" s="613"/>
      <c r="D61" s="742"/>
      <c r="E61" s="740"/>
      <c r="F61" s="465" t="s">
        <v>9125</v>
      </c>
      <c r="G61" s="744">
        <v>75</v>
      </c>
      <c r="H61" s="741">
        <v>75</v>
      </c>
      <c r="I61" s="744">
        <v>60</v>
      </c>
      <c r="J61" s="741">
        <v>60</v>
      </c>
      <c r="K61" s="744">
        <v>2950</v>
      </c>
      <c r="L61" s="741">
        <v>2950</v>
      </c>
      <c r="M61" s="744">
        <v>4.2000000000000003E-2</v>
      </c>
      <c r="N61" s="741">
        <v>4.2000000000000003E-2</v>
      </c>
      <c r="O61" s="744" t="b">
        <v>1</v>
      </c>
      <c r="P61" s="741" t="b">
        <v>1</v>
      </c>
      <c r="Q61" s="744">
        <v>1</v>
      </c>
      <c r="R61" s="460">
        <v>1</v>
      </c>
      <c r="S61" s="744" t="b">
        <v>1</v>
      </c>
      <c r="T61" s="460" t="b">
        <v>1</v>
      </c>
      <c r="U61" s="744">
        <v>101325</v>
      </c>
      <c r="V61" s="460"/>
      <c r="W61" s="744">
        <v>81250.481447989703</v>
      </c>
      <c r="X61" s="460"/>
      <c r="Y61" s="744">
        <v>0</v>
      </c>
      <c r="Z61" s="460"/>
    </row>
    <row r="62" spans="1:26">
      <c r="A62" s="14"/>
      <c r="B62" s="15"/>
      <c r="C62" s="16"/>
      <c r="D62" s="17"/>
      <c r="E62" s="12"/>
      <c r="F62" s="18"/>
      <c r="G62" s="19"/>
      <c r="H62" s="13"/>
      <c r="I62" s="19"/>
      <c r="J62" s="13"/>
      <c r="K62" s="19"/>
      <c r="L62" s="13"/>
      <c r="M62" s="19"/>
      <c r="N62" s="13"/>
      <c r="O62" s="19"/>
      <c r="P62" s="13"/>
      <c r="Q62" s="19"/>
      <c r="R62" s="13"/>
      <c r="S62" s="19"/>
      <c r="T62" s="13"/>
      <c r="U62" s="524"/>
      <c r="V62" s="460"/>
      <c r="W62" s="524"/>
      <c r="X62" s="460"/>
      <c r="Y62" s="524"/>
      <c r="Z62" s="460"/>
    </row>
    <row r="63" spans="1:26">
      <c r="A63" s="14"/>
      <c r="B63" s="15"/>
      <c r="C63" s="16"/>
      <c r="D63" s="17"/>
      <c r="E63" s="12"/>
      <c r="F63" s="18"/>
      <c r="G63" s="19"/>
      <c r="H63" s="13"/>
      <c r="I63" s="19"/>
      <c r="J63" s="13"/>
      <c r="K63" s="19"/>
      <c r="L63" s="13"/>
      <c r="M63" s="19"/>
      <c r="N63" s="13"/>
      <c r="O63" s="19"/>
      <c r="P63" s="13"/>
      <c r="Q63" s="19"/>
      <c r="R63" s="13"/>
      <c r="S63" s="19"/>
      <c r="T63" s="13"/>
      <c r="U63" s="524"/>
      <c r="V63" s="460"/>
      <c r="W63" s="524"/>
      <c r="X63" s="460"/>
      <c r="Y63" s="524"/>
      <c r="Z63" s="460"/>
    </row>
    <row r="64" spans="1:26">
      <c r="A64" s="14"/>
      <c r="B64" s="15"/>
      <c r="C64" s="16"/>
      <c r="D64" s="17"/>
      <c r="E64" s="12"/>
      <c r="F64" s="18"/>
      <c r="G64" s="19"/>
      <c r="H64" s="13"/>
      <c r="I64" s="19"/>
      <c r="J64" s="13"/>
      <c r="K64" s="19"/>
      <c r="L64" s="13"/>
      <c r="M64" s="19"/>
      <c r="N64" s="13"/>
      <c r="O64" s="19"/>
      <c r="P64" s="13"/>
      <c r="Q64" s="19"/>
      <c r="R64" s="13"/>
      <c r="S64" s="19"/>
      <c r="T64" s="13"/>
      <c r="U64" s="524"/>
      <c r="V64" s="460"/>
      <c r="W64" s="524"/>
      <c r="X64" s="460"/>
      <c r="Y64" s="524"/>
      <c r="Z64" s="460"/>
    </row>
    <row r="65" spans="1:26">
      <c r="A65" s="14"/>
      <c r="B65" s="15"/>
      <c r="C65" s="16"/>
      <c r="D65" s="17"/>
      <c r="E65" s="12"/>
      <c r="F65" s="18"/>
      <c r="G65" s="19"/>
      <c r="H65" s="13"/>
      <c r="I65" s="19"/>
      <c r="J65" s="13"/>
      <c r="K65" s="19"/>
      <c r="L65" s="13"/>
      <c r="M65" s="19"/>
      <c r="N65" s="13"/>
      <c r="O65" s="19"/>
      <c r="P65" s="13"/>
      <c r="Q65" s="19"/>
      <c r="R65" s="13"/>
      <c r="S65" s="19"/>
      <c r="T65" s="13"/>
      <c r="U65" s="524"/>
      <c r="V65" s="460"/>
      <c r="W65" s="524"/>
      <c r="X65" s="460"/>
      <c r="Y65" s="524"/>
      <c r="Z65" s="460"/>
    </row>
    <row r="66" spans="1:26">
      <c r="A66" s="14"/>
      <c r="B66" s="15"/>
      <c r="C66" s="16"/>
      <c r="D66" s="17"/>
      <c r="E66" s="12"/>
      <c r="F66" s="18"/>
      <c r="G66" s="19"/>
      <c r="H66" s="13"/>
      <c r="I66" s="19"/>
      <c r="J66" s="13"/>
      <c r="K66" s="19"/>
      <c r="L66" s="13"/>
      <c r="M66" s="19"/>
      <c r="N66" s="13"/>
      <c r="O66" s="19"/>
      <c r="P66" s="13"/>
      <c r="Q66" s="19"/>
      <c r="R66" s="13"/>
      <c r="S66" s="19"/>
      <c r="T66" s="13"/>
      <c r="U66" s="524"/>
      <c r="V66" s="460"/>
      <c r="W66" s="524"/>
      <c r="X66" s="460"/>
      <c r="Y66" s="524"/>
      <c r="Z66" s="460"/>
    </row>
    <row r="67" spans="1:26">
      <c r="A67" s="14"/>
      <c r="B67" s="15"/>
      <c r="C67" s="16"/>
      <c r="D67" s="17"/>
      <c r="E67" s="12"/>
      <c r="F67" s="18"/>
      <c r="G67" s="19"/>
      <c r="H67" s="13"/>
      <c r="I67" s="19"/>
      <c r="J67" s="13"/>
      <c r="K67" s="19"/>
      <c r="L67" s="13"/>
      <c r="M67" s="19"/>
      <c r="N67" s="13"/>
      <c r="O67" s="19"/>
      <c r="P67" s="13"/>
      <c r="Q67" s="19"/>
      <c r="R67" s="13"/>
      <c r="S67" s="19"/>
      <c r="T67" s="13"/>
      <c r="U67" s="524"/>
      <c r="V67" s="460"/>
      <c r="W67" s="524"/>
      <c r="X67" s="460"/>
      <c r="Y67" s="524"/>
      <c r="Z67" s="460"/>
    </row>
    <row r="68" spans="1:26">
      <c r="A68" s="14"/>
      <c r="B68" s="15"/>
      <c r="C68" s="16"/>
      <c r="D68" s="17"/>
      <c r="E68" s="12"/>
      <c r="F68" s="18"/>
      <c r="G68" s="19"/>
      <c r="H68" s="13"/>
      <c r="I68" s="19"/>
      <c r="J68" s="13"/>
      <c r="K68" s="19"/>
      <c r="L68" s="13"/>
      <c r="M68" s="19"/>
      <c r="N68" s="13"/>
      <c r="O68" s="19"/>
      <c r="P68" s="13"/>
      <c r="Q68" s="19"/>
      <c r="R68" s="13"/>
      <c r="S68" s="19"/>
      <c r="T68" s="13"/>
      <c r="U68" s="524"/>
      <c r="V68" s="460"/>
      <c r="W68" s="524"/>
      <c r="X68" s="460"/>
      <c r="Y68" s="524"/>
      <c r="Z68" s="460"/>
    </row>
    <row r="69" spans="1:26">
      <c r="A69" s="14"/>
      <c r="B69" s="15"/>
      <c r="C69" s="16"/>
      <c r="D69" s="17"/>
      <c r="E69" s="12"/>
      <c r="F69" s="18"/>
      <c r="G69" s="19"/>
      <c r="H69" s="13"/>
      <c r="I69" s="19"/>
      <c r="J69" s="13"/>
      <c r="K69" s="19"/>
      <c r="L69" s="13"/>
      <c r="M69" s="19"/>
      <c r="N69" s="13"/>
      <c r="O69" s="19"/>
      <c r="P69" s="13"/>
      <c r="Q69" s="19"/>
      <c r="R69" s="13"/>
      <c r="S69" s="19"/>
      <c r="T69" s="13"/>
      <c r="U69" s="524"/>
      <c r="V69" s="460"/>
      <c r="W69" s="524"/>
      <c r="X69" s="460"/>
      <c r="Y69" s="524"/>
      <c r="Z69" s="460"/>
    </row>
    <row r="70" spans="1:26">
      <c r="A70" s="14"/>
      <c r="B70" s="15"/>
      <c r="C70" s="16"/>
      <c r="D70" s="17"/>
      <c r="E70" s="12"/>
      <c r="F70" s="18"/>
      <c r="G70" s="19"/>
      <c r="H70" s="13"/>
      <c r="I70" s="19"/>
      <c r="J70" s="13"/>
      <c r="K70" s="19"/>
      <c r="L70" s="13"/>
      <c r="M70" s="19"/>
      <c r="N70" s="13"/>
      <c r="O70" s="19"/>
      <c r="P70" s="13"/>
      <c r="Q70" s="19"/>
      <c r="R70" s="13"/>
      <c r="S70" s="19"/>
      <c r="T70" s="13"/>
      <c r="U70" s="524"/>
      <c r="V70" s="460"/>
      <c r="W70" s="524"/>
      <c r="X70" s="460"/>
      <c r="Y70" s="524"/>
      <c r="Z70" s="460"/>
    </row>
    <row r="71" spans="1:26">
      <c r="A71" s="14"/>
      <c r="B71" s="15"/>
      <c r="C71" s="16"/>
      <c r="D71" s="17"/>
      <c r="E71" s="12"/>
      <c r="F71" s="18"/>
      <c r="G71" s="19"/>
      <c r="H71" s="13"/>
      <c r="I71" s="19"/>
      <c r="J71" s="13"/>
      <c r="K71" s="19"/>
      <c r="L71" s="13"/>
      <c r="M71" s="19"/>
      <c r="N71" s="13"/>
      <c r="O71" s="19"/>
      <c r="P71" s="13"/>
      <c r="Q71" s="19"/>
      <c r="R71" s="13"/>
      <c r="S71" s="19"/>
      <c r="T71" s="13"/>
      <c r="U71" s="524"/>
      <c r="V71" s="460"/>
      <c r="W71" s="524"/>
      <c r="X71" s="460"/>
      <c r="Y71" s="524"/>
      <c r="Z71" s="460"/>
    </row>
    <row r="72" spans="1:26">
      <c r="A72" s="14"/>
      <c r="B72" s="15"/>
      <c r="C72" s="16"/>
      <c r="D72" s="17"/>
      <c r="E72" s="12"/>
      <c r="F72" s="18"/>
      <c r="G72" s="19"/>
      <c r="H72" s="13"/>
      <c r="I72" s="19"/>
      <c r="J72" s="13"/>
      <c r="K72" s="19"/>
      <c r="L72" s="13"/>
      <c r="M72" s="19"/>
      <c r="N72" s="13"/>
      <c r="O72" s="19"/>
      <c r="P72" s="13"/>
      <c r="Q72" s="19"/>
      <c r="R72" s="13"/>
      <c r="S72" s="19"/>
      <c r="T72" s="13"/>
      <c r="U72" s="524"/>
      <c r="V72" s="460"/>
      <c r="W72" s="524"/>
      <c r="X72" s="460"/>
      <c r="Y72" s="524"/>
      <c r="Z72" s="460"/>
    </row>
    <row r="73" spans="1:26">
      <c r="A73" s="14"/>
      <c r="B73" s="15"/>
      <c r="C73" s="16"/>
      <c r="D73" s="17"/>
      <c r="E73" s="12"/>
      <c r="F73" s="18"/>
      <c r="G73" s="19"/>
      <c r="H73" s="13"/>
      <c r="I73" s="19"/>
      <c r="J73" s="13"/>
      <c r="K73" s="19"/>
      <c r="L73" s="13"/>
      <c r="M73" s="19"/>
      <c r="N73" s="13"/>
      <c r="O73" s="19"/>
      <c r="P73" s="13"/>
      <c r="Q73" s="19"/>
      <c r="R73" s="13"/>
      <c r="S73" s="19"/>
      <c r="T73" s="13"/>
      <c r="U73" s="524"/>
      <c r="V73" s="460"/>
      <c r="W73" s="524"/>
      <c r="X73" s="460"/>
      <c r="Y73" s="524"/>
      <c r="Z73" s="460"/>
    </row>
    <row r="74" spans="1:26">
      <c r="A74" s="14"/>
      <c r="B74" s="15"/>
      <c r="C74" s="16"/>
      <c r="D74" s="17"/>
      <c r="E74" s="12"/>
      <c r="F74" s="18"/>
      <c r="G74" s="19"/>
      <c r="H74" s="13"/>
      <c r="I74" s="19"/>
      <c r="J74" s="13"/>
      <c r="K74" s="19"/>
      <c r="L74" s="13"/>
      <c r="M74" s="19"/>
      <c r="N74" s="13"/>
      <c r="O74" s="19"/>
      <c r="P74" s="13"/>
      <c r="Q74" s="19"/>
      <c r="R74" s="13"/>
      <c r="S74" s="19"/>
      <c r="T74" s="13"/>
      <c r="U74" s="524"/>
      <c r="V74" s="460"/>
      <c r="W74" s="524"/>
      <c r="X74" s="460"/>
      <c r="Y74" s="524"/>
      <c r="Z74" s="460"/>
    </row>
    <row r="75" spans="1:26">
      <c r="A75" s="14"/>
      <c r="B75" s="15"/>
      <c r="C75" s="16"/>
      <c r="D75" s="17"/>
      <c r="E75" s="12"/>
      <c r="F75" s="18"/>
      <c r="G75" s="19"/>
      <c r="H75" s="13"/>
      <c r="I75" s="19"/>
      <c r="J75" s="13"/>
      <c r="K75" s="19"/>
      <c r="L75" s="13"/>
      <c r="M75" s="19"/>
      <c r="N75" s="13"/>
      <c r="O75" s="19"/>
      <c r="P75" s="13"/>
      <c r="Q75" s="19"/>
      <c r="R75" s="13"/>
      <c r="S75" s="19"/>
      <c r="T75" s="13"/>
      <c r="U75" s="524"/>
      <c r="V75" s="460"/>
      <c r="W75" s="524"/>
      <c r="X75" s="460"/>
      <c r="Y75" s="524"/>
      <c r="Z75" s="460"/>
    </row>
    <row r="76" spans="1:26">
      <c r="A76" s="14"/>
      <c r="B76" s="15"/>
      <c r="C76" s="16"/>
      <c r="D76" s="17"/>
      <c r="E76" s="12"/>
      <c r="F76" s="18"/>
      <c r="G76" s="19"/>
      <c r="H76" s="13"/>
      <c r="I76" s="19"/>
      <c r="J76" s="13"/>
      <c r="K76" s="19"/>
      <c r="L76" s="13"/>
      <c r="M76" s="19"/>
      <c r="N76" s="13"/>
      <c r="O76" s="19"/>
      <c r="P76" s="13"/>
      <c r="Q76" s="19"/>
      <c r="R76" s="13"/>
      <c r="S76" s="19"/>
      <c r="T76" s="13"/>
      <c r="U76" s="524"/>
      <c r="V76" s="460"/>
      <c r="W76" s="524"/>
      <c r="X76" s="460"/>
      <c r="Y76" s="524"/>
      <c r="Z76" s="460"/>
    </row>
    <row r="77" spans="1:26">
      <c r="A77" s="14"/>
      <c r="B77" s="15"/>
      <c r="C77" s="16"/>
      <c r="D77" s="17"/>
      <c r="E77" s="12"/>
      <c r="F77" s="18"/>
      <c r="G77" s="19"/>
      <c r="H77" s="13"/>
      <c r="I77" s="19"/>
      <c r="J77" s="13"/>
      <c r="K77" s="19"/>
      <c r="L77" s="13"/>
      <c r="M77" s="19"/>
      <c r="N77" s="13"/>
      <c r="O77" s="19"/>
      <c r="P77" s="13"/>
      <c r="Q77" s="19"/>
      <c r="R77" s="13"/>
      <c r="S77" s="19"/>
      <c r="T77" s="13"/>
      <c r="U77" s="524"/>
      <c r="V77" s="460"/>
      <c r="W77" s="524"/>
      <c r="X77" s="460"/>
      <c r="Y77" s="524"/>
      <c r="Z77" s="460"/>
    </row>
    <row r="78" spans="1:26">
      <c r="A78" s="14"/>
      <c r="B78" s="15"/>
      <c r="C78" s="16"/>
      <c r="D78" s="17"/>
      <c r="E78" s="12"/>
      <c r="F78" s="18"/>
      <c r="G78" s="19"/>
      <c r="H78" s="13"/>
      <c r="I78" s="19"/>
      <c r="J78" s="13"/>
      <c r="K78" s="19"/>
      <c r="L78" s="13"/>
      <c r="M78" s="19"/>
      <c r="N78" s="13"/>
      <c r="O78" s="19"/>
      <c r="P78" s="13"/>
      <c r="Q78" s="19"/>
      <c r="R78" s="13"/>
      <c r="S78" s="19"/>
      <c r="T78" s="13"/>
      <c r="U78" s="524"/>
      <c r="V78" s="460"/>
      <c r="W78" s="524"/>
      <c r="X78" s="460"/>
      <c r="Y78" s="524"/>
      <c r="Z78" s="460"/>
    </row>
    <row r="79" spans="1:26">
      <c r="A79" s="14"/>
      <c r="B79" s="15"/>
      <c r="C79" s="16"/>
      <c r="D79" s="17"/>
      <c r="E79" s="12"/>
      <c r="F79" s="18"/>
      <c r="G79" s="19"/>
      <c r="H79" s="13"/>
      <c r="I79" s="19"/>
      <c r="J79" s="13"/>
      <c r="K79" s="19"/>
      <c r="L79" s="13"/>
      <c r="M79" s="19"/>
      <c r="N79" s="13"/>
      <c r="O79" s="19"/>
      <c r="P79" s="13"/>
      <c r="Q79" s="19"/>
      <c r="R79" s="13"/>
      <c r="S79" s="19"/>
      <c r="T79" s="13"/>
      <c r="U79" s="524"/>
      <c r="V79" s="460"/>
      <c r="W79" s="524"/>
      <c r="X79" s="460"/>
      <c r="Y79" s="524"/>
      <c r="Z79" s="460"/>
    </row>
    <row r="80" spans="1:26">
      <c r="A80" s="14"/>
      <c r="B80" s="15"/>
      <c r="C80" s="16"/>
      <c r="D80" s="17"/>
      <c r="E80" s="12"/>
      <c r="F80" s="18"/>
      <c r="G80" s="19"/>
      <c r="H80" s="13"/>
      <c r="I80" s="19"/>
      <c r="J80" s="13"/>
      <c r="K80" s="19"/>
      <c r="L80" s="13"/>
      <c r="M80" s="19"/>
      <c r="N80" s="13"/>
      <c r="O80" s="19"/>
      <c r="P80" s="13"/>
      <c r="Q80" s="19"/>
      <c r="R80" s="13"/>
      <c r="S80" s="19"/>
      <c r="T80" s="13"/>
      <c r="U80" s="524"/>
      <c r="V80" s="460"/>
      <c r="W80" s="524"/>
      <c r="X80" s="460"/>
      <c r="Y80" s="524"/>
      <c r="Z80" s="460"/>
    </row>
    <row r="81" spans="1:26">
      <c r="A81" s="14"/>
      <c r="B81" s="15"/>
      <c r="C81" s="16"/>
      <c r="D81" s="17"/>
      <c r="E81" s="12"/>
      <c r="F81" s="18"/>
      <c r="G81" s="19"/>
      <c r="H81" s="13"/>
      <c r="I81" s="19"/>
      <c r="J81" s="13"/>
      <c r="K81" s="19"/>
      <c r="L81" s="13"/>
      <c r="M81" s="19"/>
      <c r="N81" s="13"/>
      <c r="O81" s="19"/>
      <c r="P81" s="13"/>
      <c r="Q81" s="19"/>
      <c r="R81" s="13"/>
      <c r="S81" s="19"/>
      <c r="T81" s="13"/>
      <c r="U81" s="524"/>
      <c r="V81" s="460"/>
      <c r="W81" s="524"/>
      <c r="X81" s="460"/>
      <c r="Y81" s="524"/>
      <c r="Z81" s="460"/>
    </row>
    <row r="82" spans="1:26">
      <c r="A82" s="14"/>
      <c r="B82" s="15"/>
      <c r="C82" s="16"/>
      <c r="D82" s="17"/>
      <c r="E82" s="12"/>
      <c r="F82" s="18"/>
      <c r="G82" s="19"/>
      <c r="H82" s="13"/>
      <c r="I82" s="19"/>
      <c r="J82" s="13"/>
      <c r="K82" s="19"/>
      <c r="L82" s="13"/>
      <c r="M82" s="19"/>
      <c r="N82" s="13"/>
      <c r="O82" s="19"/>
      <c r="P82" s="13"/>
      <c r="Q82" s="19"/>
      <c r="R82" s="13"/>
      <c r="S82" s="19"/>
      <c r="T82" s="13"/>
      <c r="U82" s="524"/>
      <c r="V82" s="460"/>
      <c r="W82" s="524"/>
      <c r="X82" s="460"/>
      <c r="Y82" s="524"/>
      <c r="Z82" s="460"/>
    </row>
    <row r="83" spans="1:26">
      <c r="A83" s="14"/>
      <c r="B83" s="15"/>
      <c r="C83" s="16"/>
      <c r="D83" s="17"/>
      <c r="E83" s="12"/>
      <c r="F83" s="18"/>
      <c r="G83" s="19"/>
      <c r="H83" s="13"/>
      <c r="I83" s="19"/>
      <c r="J83" s="13"/>
      <c r="K83" s="19"/>
      <c r="L83" s="13"/>
      <c r="M83" s="19"/>
      <c r="N83" s="13"/>
      <c r="O83" s="19"/>
      <c r="P83" s="13"/>
      <c r="Q83" s="19"/>
      <c r="R83" s="13"/>
      <c r="S83" s="19"/>
      <c r="T83" s="13"/>
      <c r="U83" s="524"/>
      <c r="V83" s="460"/>
      <c r="W83" s="524"/>
      <c r="X83" s="460"/>
      <c r="Y83" s="524"/>
      <c r="Z83" s="460"/>
    </row>
    <row r="84" spans="1:26">
      <c r="A84" s="14"/>
      <c r="B84" s="15"/>
      <c r="C84" s="16"/>
      <c r="D84" s="17"/>
      <c r="E84" s="12"/>
      <c r="F84" s="18"/>
      <c r="G84" s="19"/>
      <c r="H84" s="13"/>
      <c r="I84" s="19"/>
      <c r="J84" s="13"/>
      <c r="K84" s="19"/>
      <c r="L84" s="13"/>
      <c r="M84" s="19"/>
      <c r="N84" s="13"/>
      <c r="O84" s="19"/>
      <c r="P84" s="13"/>
      <c r="Q84" s="19"/>
      <c r="R84" s="13"/>
      <c r="S84" s="19"/>
      <c r="T84" s="13"/>
      <c r="U84" s="524"/>
      <c r="V84" s="460"/>
      <c r="W84" s="524"/>
      <c r="X84" s="460"/>
      <c r="Y84" s="524"/>
      <c r="Z84" s="460"/>
    </row>
    <row r="85" spans="1:26">
      <c r="A85" s="14"/>
      <c r="B85" s="15"/>
      <c r="C85" s="16"/>
      <c r="D85" s="17"/>
      <c r="E85" s="12"/>
      <c r="F85" s="18"/>
      <c r="G85" s="19"/>
      <c r="H85" s="13"/>
      <c r="I85" s="19"/>
      <c r="J85" s="13"/>
      <c r="K85" s="19"/>
      <c r="L85" s="13"/>
      <c r="M85" s="19"/>
      <c r="N85" s="13"/>
      <c r="O85" s="19"/>
      <c r="P85" s="13"/>
      <c r="Q85" s="19"/>
      <c r="R85" s="13"/>
      <c r="S85" s="19"/>
      <c r="T85" s="13"/>
      <c r="U85" s="524"/>
      <c r="V85" s="460"/>
      <c r="W85" s="524"/>
      <c r="X85" s="460"/>
      <c r="Y85" s="524"/>
      <c r="Z85" s="460"/>
    </row>
    <row r="86" spans="1:26">
      <c r="A86" s="14"/>
      <c r="B86" s="15"/>
      <c r="C86" s="16"/>
      <c r="D86" s="17"/>
      <c r="E86" s="12"/>
      <c r="F86" s="18"/>
      <c r="G86" s="19"/>
      <c r="H86" s="13"/>
      <c r="I86" s="19"/>
      <c r="J86" s="13"/>
      <c r="K86" s="19"/>
      <c r="L86" s="13"/>
      <c r="M86" s="19"/>
      <c r="N86" s="13"/>
      <c r="O86" s="19"/>
      <c r="P86" s="13"/>
      <c r="Q86" s="19"/>
      <c r="R86" s="13"/>
      <c r="S86" s="19"/>
      <c r="T86" s="13"/>
      <c r="U86" s="524"/>
      <c r="V86" s="460"/>
      <c r="W86" s="524"/>
      <c r="X86" s="460"/>
      <c r="Y86" s="524"/>
      <c r="Z86" s="460"/>
    </row>
    <row r="87" spans="1:26">
      <c r="A87" s="14"/>
      <c r="B87" s="15"/>
      <c r="C87" s="16"/>
      <c r="D87" s="17"/>
      <c r="E87" s="12"/>
      <c r="F87" s="18"/>
      <c r="G87" s="19"/>
      <c r="H87" s="13"/>
      <c r="I87" s="19"/>
      <c r="J87" s="13"/>
      <c r="K87" s="19"/>
      <c r="L87" s="13"/>
      <c r="M87" s="19"/>
      <c r="N87" s="13"/>
      <c r="O87" s="19"/>
      <c r="P87" s="13"/>
      <c r="Q87" s="19"/>
      <c r="R87" s="13"/>
      <c r="S87" s="19"/>
      <c r="T87" s="13"/>
      <c r="U87" s="524"/>
      <c r="V87" s="460"/>
      <c r="W87" s="524"/>
      <c r="X87" s="460"/>
      <c r="Y87" s="524"/>
      <c r="Z87" s="460"/>
    </row>
    <row r="88" spans="1:26">
      <c r="A88" s="14"/>
      <c r="B88" s="15"/>
      <c r="C88" s="16"/>
      <c r="D88" s="17"/>
      <c r="E88" s="12"/>
      <c r="F88" s="18"/>
      <c r="G88" s="19"/>
      <c r="H88" s="13"/>
      <c r="I88" s="19"/>
      <c r="J88" s="13"/>
      <c r="K88" s="19"/>
      <c r="L88" s="13"/>
      <c r="M88" s="19"/>
      <c r="N88" s="13"/>
      <c r="O88" s="19"/>
      <c r="P88" s="13"/>
      <c r="Q88" s="19"/>
      <c r="R88" s="13"/>
      <c r="S88" s="19"/>
      <c r="T88" s="13"/>
      <c r="U88" s="524"/>
      <c r="V88" s="460"/>
      <c r="W88" s="524"/>
      <c r="X88" s="460"/>
      <c r="Y88" s="524"/>
      <c r="Z88" s="460"/>
    </row>
    <row r="89" spans="1:26">
      <c r="A89" s="14"/>
      <c r="B89" s="15"/>
      <c r="C89" s="16"/>
      <c r="D89" s="17"/>
      <c r="E89" s="12"/>
      <c r="F89" s="18"/>
      <c r="G89" s="19"/>
      <c r="H89" s="13"/>
      <c r="I89" s="19"/>
      <c r="J89" s="13"/>
      <c r="K89" s="19"/>
      <c r="L89" s="13"/>
      <c r="M89" s="19"/>
      <c r="N89" s="13"/>
      <c r="O89" s="19"/>
      <c r="P89" s="13"/>
      <c r="Q89" s="19"/>
      <c r="R89" s="13"/>
      <c r="S89" s="19"/>
      <c r="T89" s="13"/>
      <c r="U89" s="524"/>
      <c r="V89" s="460"/>
      <c r="W89" s="524"/>
      <c r="X89" s="460"/>
      <c r="Y89" s="524"/>
      <c r="Z89" s="460"/>
    </row>
    <row r="90" spans="1:26">
      <c r="A90" s="14"/>
      <c r="B90" s="15"/>
      <c r="C90" s="16"/>
      <c r="D90" s="17"/>
      <c r="E90" s="12"/>
      <c r="F90" s="18"/>
      <c r="G90" s="19"/>
      <c r="H90" s="13"/>
      <c r="I90" s="19"/>
      <c r="J90" s="13"/>
      <c r="K90" s="19"/>
      <c r="L90" s="13"/>
      <c r="M90" s="19"/>
      <c r="N90" s="13"/>
      <c r="O90" s="19"/>
      <c r="P90" s="13"/>
      <c r="Q90" s="19"/>
      <c r="R90" s="13"/>
      <c r="S90" s="19"/>
      <c r="T90" s="13"/>
      <c r="U90" s="524"/>
      <c r="V90" s="460"/>
      <c r="W90" s="524"/>
      <c r="X90" s="460"/>
      <c r="Y90" s="524"/>
      <c r="Z90" s="460"/>
    </row>
    <row r="91" spans="1:26">
      <c r="A91" s="14"/>
      <c r="B91" s="15"/>
      <c r="C91" s="16"/>
      <c r="D91" s="17"/>
      <c r="E91" s="12"/>
      <c r="F91" s="18"/>
      <c r="G91" s="19"/>
      <c r="H91" s="13"/>
      <c r="I91" s="19"/>
      <c r="J91" s="13"/>
      <c r="K91" s="19"/>
      <c r="L91" s="13"/>
      <c r="M91" s="19"/>
      <c r="N91" s="13"/>
      <c r="O91" s="19"/>
      <c r="P91" s="13"/>
      <c r="Q91" s="19"/>
      <c r="R91" s="13"/>
      <c r="S91" s="19"/>
      <c r="T91" s="13"/>
      <c r="U91" s="524"/>
      <c r="V91" s="460"/>
      <c r="W91" s="524"/>
      <c r="X91" s="460"/>
      <c r="Y91" s="524"/>
      <c r="Z91" s="460"/>
    </row>
    <row r="92" spans="1:26">
      <c r="A92" s="14"/>
      <c r="B92" s="15"/>
      <c r="C92" s="16"/>
      <c r="D92" s="17"/>
      <c r="E92" s="12"/>
      <c r="F92" s="18"/>
      <c r="G92" s="19"/>
      <c r="H92" s="13"/>
      <c r="I92" s="19"/>
      <c r="J92" s="13"/>
      <c r="K92" s="19"/>
      <c r="L92" s="13"/>
      <c r="M92" s="19"/>
      <c r="N92" s="13"/>
      <c r="O92" s="19"/>
      <c r="P92" s="13"/>
      <c r="Q92" s="19"/>
      <c r="R92" s="13"/>
      <c r="S92" s="19"/>
      <c r="T92" s="13"/>
      <c r="U92" s="524"/>
      <c r="V92" s="460"/>
      <c r="W92" s="524"/>
      <c r="X92" s="460"/>
      <c r="Y92" s="524"/>
      <c r="Z92" s="460"/>
    </row>
    <row r="93" spans="1:26">
      <c r="A93" s="14"/>
      <c r="B93" s="15"/>
      <c r="C93" s="16"/>
      <c r="D93" s="17"/>
      <c r="E93" s="12"/>
      <c r="F93" s="18"/>
      <c r="G93" s="19"/>
      <c r="H93" s="13"/>
      <c r="I93" s="19"/>
      <c r="J93" s="13"/>
      <c r="K93" s="19"/>
      <c r="L93" s="13"/>
      <c r="M93" s="19"/>
      <c r="N93" s="13"/>
      <c r="O93" s="19"/>
      <c r="P93" s="13"/>
      <c r="Q93" s="19"/>
      <c r="R93" s="13"/>
      <c r="S93" s="19"/>
      <c r="T93" s="13"/>
      <c r="U93" s="524"/>
      <c r="V93" s="460"/>
      <c r="W93" s="524"/>
      <c r="X93" s="460"/>
      <c r="Y93" s="524"/>
      <c r="Z93" s="460"/>
    </row>
    <row r="94" spans="1:26">
      <c r="A94" s="14"/>
      <c r="B94" s="15"/>
      <c r="C94" s="16"/>
      <c r="D94" s="17"/>
      <c r="E94" s="12"/>
      <c r="F94" s="18"/>
      <c r="G94" s="19"/>
      <c r="H94" s="13"/>
      <c r="I94" s="19"/>
      <c r="J94" s="13"/>
      <c r="K94" s="19"/>
      <c r="L94" s="13"/>
      <c r="M94" s="19"/>
      <c r="N94" s="13"/>
      <c r="O94" s="19"/>
      <c r="P94" s="13"/>
      <c r="Q94" s="19"/>
      <c r="R94" s="13"/>
      <c r="S94" s="19"/>
      <c r="T94" s="13"/>
      <c r="U94" s="524"/>
      <c r="V94" s="460"/>
      <c r="W94" s="524"/>
      <c r="X94" s="460"/>
      <c r="Y94" s="524"/>
      <c r="Z94" s="460"/>
    </row>
    <row r="95" spans="1:26">
      <c r="A95" s="14"/>
      <c r="B95" s="15"/>
      <c r="C95" s="16"/>
      <c r="D95" s="17"/>
      <c r="E95" s="12"/>
      <c r="F95" s="18"/>
      <c r="G95" s="19"/>
      <c r="H95" s="13"/>
      <c r="I95" s="19"/>
      <c r="J95" s="13"/>
      <c r="K95" s="19"/>
      <c r="L95" s="13"/>
      <c r="M95" s="19"/>
      <c r="N95" s="13"/>
      <c r="O95" s="19"/>
      <c r="P95" s="13"/>
      <c r="Q95" s="19"/>
      <c r="R95" s="13"/>
      <c r="S95" s="19"/>
      <c r="T95" s="13"/>
      <c r="U95" s="524"/>
      <c r="V95" s="460"/>
      <c r="W95" s="524"/>
      <c r="X95" s="460"/>
      <c r="Y95" s="524"/>
      <c r="Z95" s="460"/>
    </row>
    <row r="96" spans="1:26">
      <c r="A96" s="14"/>
      <c r="B96" s="15"/>
      <c r="C96" s="16"/>
      <c r="D96" s="17"/>
      <c r="E96" s="12"/>
      <c r="F96" s="18"/>
      <c r="G96" s="19"/>
      <c r="H96" s="13"/>
      <c r="I96" s="19"/>
      <c r="J96" s="13"/>
      <c r="K96" s="19"/>
      <c r="L96" s="13"/>
      <c r="M96" s="19"/>
      <c r="N96" s="13"/>
      <c r="O96" s="19"/>
      <c r="P96" s="13"/>
      <c r="Q96" s="19"/>
      <c r="R96" s="13"/>
      <c r="S96" s="19"/>
      <c r="T96" s="13"/>
      <c r="U96" s="524"/>
      <c r="V96" s="460"/>
      <c r="W96" s="524"/>
      <c r="X96" s="460"/>
      <c r="Y96" s="524"/>
      <c r="Z96" s="460"/>
    </row>
    <row r="97" spans="1:26">
      <c r="A97" s="14"/>
      <c r="B97" s="15"/>
      <c r="C97" s="16"/>
      <c r="D97" s="17"/>
      <c r="E97" s="12"/>
      <c r="F97" s="18"/>
      <c r="G97" s="19"/>
      <c r="H97" s="13"/>
      <c r="I97" s="19"/>
      <c r="J97" s="13"/>
      <c r="K97" s="19"/>
      <c r="L97" s="13"/>
      <c r="M97" s="19"/>
      <c r="N97" s="13"/>
      <c r="O97" s="19"/>
      <c r="P97" s="13"/>
      <c r="Q97" s="19"/>
      <c r="R97" s="13"/>
      <c r="S97" s="19"/>
      <c r="T97" s="13"/>
      <c r="U97" s="524"/>
      <c r="V97" s="460"/>
      <c r="W97" s="524"/>
      <c r="X97" s="460"/>
      <c r="Y97" s="524"/>
      <c r="Z97" s="460"/>
    </row>
    <row r="98" spans="1:26">
      <c r="A98" s="14"/>
      <c r="B98" s="15"/>
      <c r="C98" s="16"/>
      <c r="D98" s="17"/>
      <c r="E98" s="12"/>
      <c r="F98" s="18"/>
      <c r="G98" s="19"/>
      <c r="H98" s="13"/>
      <c r="I98" s="19"/>
      <c r="J98" s="13"/>
      <c r="K98" s="19"/>
      <c r="L98" s="13"/>
      <c r="M98" s="19"/>
      <c r="N98" s="13"/>
      <c r="O98" s="19"/>
      <c r="P98" s="13"/>
      <c r="Q98" s="19"/>
      <c r="R98" s="13"/>
      <c r="S98" s="19"/>
      <c r="T98" s="13"/>
      <c r="U98" s="524"/>
      <c r="V98" s="460"/>
      <c r="W98" s="524"/>
      <c r="X98" s="460"/>
      <c r="Y98" s="524"/>
      <c r="Z98" s="460"/>
    </row>
    <row r="99" spans="1:26">
      <c r="A99" s="14"/>
      <c r="B99" s="15"/>
      <c r="C99" s="16"/>
      <c r="D99" s="17"/>
      <c r="E99" s="12"/>
      <c r="F99" s="18"/>
      <c r="G99" s="19"/>
      <c r="H99" s="13"/>
      <c r="I99" s="19"/>
      <c r="J99" s="13"/>
      <c r="K99" s="19"/>
      <c r="L99" s="13"/>
      <c r="M99" s="19"/>
      <c r="N99" s="13"/>
      <c r="O99" s="19"/>
      <c r="P99" s="13"/>
      <c r="Q99" s="19"/>
      <c r="R99" s="13"/>
      <c r="S99" s="19"/>
      <c r="T99" s="13"/>
      <c r="U99" s="524"/>
      <c r="V99" s="460"/>
      <c r="W99" s="524"/>
      <c r="X99" s="460"/>
      <c r="Y99" s="524"/>
      <c r="Z99" s="460"/>
    </row>
    <row r="100" spans="1:26">
      <c r="A100" s="14"/>
      <c r="B100" s="15"/>
      <c r="C100" s="16"/>
      <c r="D100" s="17"/>
      <c r="E100" s="12"/>
      <c r="F100" s="18"/>
      <c r="G100" s="19"/>
      <c r="H100" s="13"/>
      <c r="I100" s="19"/>
      <c r="J100" s="13"/>
      <c r="K100" s="19"/>
      <c r="L100" s="13"/>
      <c r="M100" s="19"/>
      <c r="N100" s="13"/>
      <c r="O100" s="19"/>
      <c r="P100" s="13"/>
      <c r="Q100" s="19"/>
      <c r="R100" s="13"/>
      <c r="S100" s="19"/>
      <c r="T100" s="13"/>
      <c r="U100" s="524"/>
      <c r="V100" s="460"/>
      <c r="W100" s="524"/>
      <c r="X100" s="460"/>
      <c r="Y100" s="524"/>
      <c r="Z100" s="460"/>
    </row>
    <row r="101" spans="1:26">
      <c r="A101" s="14"/>
      <c r="B101" s="15"/>
      <c r="C101" s="16"/>
      <c r="D101" s="17"/>
      <c r="E101" s="12"/>
      <c r="F101" s="18"/>
      <c r="G101" s="19"/>
      <c r="H101" s="13"/>
      <c r="I101" s="19"/>
      <c r="J101" s="13"/>
      <c r="K101" s="19"/>
      <c r="L101" s="13"/>
      <c r="M101" s="19"/>
      <c r="N101" s="13"/>
      <c r="O101" s="19"/>
      <c r="P101" s="13"/>
      <c r="Q101" s="19"/>
      <c r="R101" s="13"/>
      <c r="S101" s="19"/>
      <c r="T101" s="13"/>
      <c r="U101" s="524"/>
      <c r="V101" s="460"/>
      <c r="W101" s="524"/>
      <c r="X101" s="460"/>
      <c r="Y101" s="524"/>
      <c r="Z101" s="460"/>
    </row>
    <row r="102" spans="1:26">
      <c r="A102" s="14"/>
      <c r="B102" s="15"/>
      <c r="C102" s="16"/>
      <c r="D102" s="17"/>
      <c r="E102" s="12"/>
      <c r="F102" s="18"/>
      <c r="G102" s="19"/>
      <c r="H102" s="13"/>
      <c r="I102" s="19"/>
      <c r="J102" s="13"/>
      <c r="K102" s="19"/>
      <c r="L102" s="13"/>
      <c r="M102" s="19"/>
      <c r="N102" s="13"/>
      <c r="O102" s="19"/>
      <c r="P102" s="13"/>
      <c r="Q102" s="19"/>
      <c r="R102" s="13"/>
      <c r="S102" s="19"/>
      <c r="T102" s="13"/>
      <c r="U102" s="524"/>
      <c r="V102" s="460"/>
      <c r="W102" s="524"/>
      <c r="X102" s="460"/>
      <c r="Y102" s="524"/>
      <c r="Z102" s="460"/>
    </row>
    <row r="103" spans="1:26">
      <c r="A103" s="14"/>
      <c r="B103" s="15"/>
      <c r="C103" s="16"/>
      <c r="D103" s="17"/>
      <c r="E103" s="12"/>
      <c r="F103" s="18"/>
      <c r="G103" s="19"/>
      <c r="H103" s="13"/>
      <c r="I103" s="19"/>
      <c r="J103" s="13"/>
      <c r="K103" s="19"/>
      <c r="L103" s="13"/>
      <c r="M103" s="19"/>
      <c r="N103" s="13"/>
      <c r="O103" s="19"/>
      <c r="P103" s="13"/>
      <c r="Q103" s="19"/>
      <c r="R103" s="13"/>
      <c r="S103" s="19"/>
      <c r="T103" s="13"/>
      <c r="U103" s="524"/>
      <c r="V103" s="460"/>
      <c r="W103" s="524"/>
      <c r="X103" s="460"/>
      <c r="Y103" s="524"/>
      <c r="Z103" s="460"/>
    </row>
    <row r="104" spans="1:26">
      <c r="A104" s="14"/>
      <c r="B104" s="15"/>
      <c r="C104" s="16"/>
      <c r="D104" s="17"/>
      <c r="E104" s="12"/>
      <c r="F104" s="18"/>
      <c r="G104" s="19"/>
      <c r="H104" s="13"/>
      <c r="I104" s="19"/>
      <c r="J104" s="13"/>
      <c r="K104" s="19"/>
      <c r="L104" s="13"/>
      <c r="M104" s="19"/>
      <c r="N104" s="13"/>
      <c r="O104" s="19"/>
      <c r="P104" s="13"/>
      <c r="Q104" s="19"/>
      <c r="R104" s="13"/>
      <c r="S104" s="19"/>
      <c r="T104" s="13"/>
      <c r="U104" s="524"/>
      <c r="V104" s="460"/>
      <c r="W104" s="524"/>
      <c r="X104" s="460"/>
      <c r="Y104" s="524"/>
      <c r="Z104" s="460"/>
    </row>
    <row r="105" spans="1:26">
      <c r="A105" s="14"/>
      <c r="B105" s="15"/>
      <c r="C105" s="16"/>
      <c r="D105" s="17"/>
      <c r="E105" s="12"/>
      <c r="F105" s="18"/>
      <c r="G105" s="19"/>
      <c r="H105" s="13"/>
      <c r="I105" s="19"/>
      <c r="J105" s="13"/>
      <c r="K105" s="19"/>
      <c r="L105" s="13"/>
      <c r="M105" s="19"/>
      <c r="N105" s="13"/>
      <c r="O105" s="19"/>
      <c r="P105" s="13"/>
      <c r="Q105" s="19"/>
      <c r="R105" s="13"/>
      <c r="S105" s="19"/>
      <c r="T105" s="13"/>
      <c r="U105" s="524"/>
      <c r="V105" s="460"/>
      <c r="W105" s="524"/>
      <c r="X105" s="460"/>
      <c r="Y105" s="524"/>
      <c r="Z105" s="460"/>
    </row>
    <row r="106" spans="1:26">
      <c r="A106" s="14"/>
      <c r="B106" s="15"/>
      <c r="C106" s="16"/>
      <c r="D106" s="17"/>
      <c r="E106" s="12"/>
      <c r="F106" s="18"/>
      <c r="G106" s="19"/>
      <c r="H106" s="13"/>
      <c r="I106" s="19"/>
      <c r="J106" s="13"/>
      <c r="K106" s="19"/>
      <c r="L106" s="13"/>
      <c r="M106" s="19"/>
      <c r="N106" s="13"/>
      <c r="O106" s="19"/>
      <c r="P106" s="13"/>
      <c r="Q106" s="19"/>
      <c r="R106" s="13"/>
      <c r="S106" s="19"/>
      <c r="T106" s="13"/>
      <c r="U106" s="524"/>
      <c r="V106" s="460"/>
      <c r="W106" s="524"/>
      <c r="X106" s="460"/>
      <c r="Y106" s="524"/>
      <c r="Z106" s="460"/>
    </row>
    <row r="107" spans="1:26">
      <c r="A107" s="14"/>
      <c r="B107" s="15"/>
      <c r="C107" s="16"/>
      <c r="D107" s="17"/>
      <c r="E107" s="12"/>
      <c r="F107" s="18"/>
      <c r="G107" s="19"/>
      <c r="H107" s="13"/>
      <c r="I107" s="19"/>
      <c r="J107" s="13"/>
      <c r="K107" s="19"/>
      <c r="L107" s="13"/>
      <c r="M107" s="19"/>
      <c r="N107" s="13"/>
      <c r="O107" s="19"/>
      <c r="P107" s="13"/>
      <c r="Q107" s="19"/>
      <c r="R107" s="13"/>
      <c r="S107" s="19"/>
      <c r="T107" s="13"/>
      <c r="U107" s="524"/>
      <c r="V107" s="460"/>
      <c r="W107" s="524"/>
      <c r="X107" s="460"/>
      <c r="Y107" s="524"/>
      <c r="Z107" s="460"/>
    </row>
    <row r="108" spans="1:26">
      <c r="A108" s="14"/>
      <c r="B108" s="15"/>
      <c r="C108" s="16"/>
      <c r="D108" s="17"/>
      <c r="E108" s="12"/>
      <c r="F108" s="18"/>
      <c r="G108" s="19"/>
      <c r="H108" s="13"/>
      <c r="I108" s="19"/>
      <c r="J108" s="13"/>
      <c r="K108" s="19"/>
      <c r="L108" s="13"/>
      <c r="M108" s="19"/>
      <c r="N108" s="13"/>
      <c r="O108" s="19"/>
      <c r="P108" s="13"/>
      <c r="Q108" s="19"/>
      <c r="R108" s="13"/>
      <c r="S108" s="19"/>
      <c r="T108" s="13"/>
      <c r="U108" s="524"/>
      <c r="V108" s="460"/>
      <c r="W108" s="524"/>
      <c r="X108" s="460"/>
      <c r="Y108" s="524"/>
      <c r="Z108" s="460"/>
    </row>
    <row r="109" spans="1:26">
      <c r="A109" s="14"/>
      <c r="B109" s="15"/>
      <c r="C109" s="16"/>
      <c r="D109" s="17"/>
      <c r="E109" s="12"/>
      <c r="F109" s="18"/>
      <c r="G109" s="19"/>
      <c r="H109" s="13"/>
      <c r="I109" s="19"/>
      <c r="J109" s="13"/>
      <c r="K109" s="19"/>
      <c r="L109" s="13"/>
      <c r="M109" s="19"/>
      <c r="N109" s="13"/>
      <c r="O109" s="19"/>
      <c r="P109" s="13"/>
      <c r="Q109" s="19"/>
      <c r="R109" s="13"/>
      <c r="S109" s="19"/>
      <c r="T109" s="13"/>
      <c r="U109" s="524"/>
      <c r="V109" s="460"/>
      <c r="W109" s="524"/>
      <c r="X109" s="460"/>
      <c r="Y109" s="524"/>
      <c r="Z109" s="460"/>
    </row>
    <row r="110" spans="1:26">
      <c r="A110" s="14"/>
      <c r="B110" s="15"/>
      <c r="C110" s="16"/>
      <c r="D110" s="17"/>
      <c r="E110" s="12"/>
      <c r="F110" s="18"/>
      <c r="G110" s="19"/>
      <c r="H110" s="13"/>
      <c r="I110" s="19"/>
      <c r="J110" s="13"/>
      <c r="K110" s="19"/>
      <c r="L110" s="13"/>
      <c r="M110" s="19"/>
      <c r="N110" s="13"/>
      <c r="O110" s="19"/>
      <c r="P110" s="13"/>
      <c r="Q110" s="19"/>
      <c r="R110" s="13"/>
      <c r="S110" s="19"/>
      <c r="T110" s="13"/>
      <c r="U110" s="524"/>
      <c r="V110" s="460"/>
      <c r="W110" s="524"/>
      <c r="X110" s="460"/>
      <c r="Y110" s="524"/>
      <c r="Z110" s="460"/>
    </row>
    <row r="111" spans="1:26">
      <c r="A111" s="14"/>
      <c r="B111" s="15"/>
      <c r="C111" s="16"/>
      <c r="D111" s="17"/>
      <c r="E111" s="12"/>
      <c r="F111" s="18"/>
      <c r="G111" s="19"/>
      <c r="H111" s="13"/>
      <c r="I111" s="19"/>
      <c r="J111" s="13"/>
      <c r="K111" s="19"/>
      <c r="L111" s="13"/>
      <c r="M111" s="19"/>
      <c r="N111" s="13"/>
      <c r="O111" s="19"/>
      <c r="P111" s="13"/>
      <c r="Q111" s="19"/>
      <c r="R111" s="13"/>
      <c r="S111" s="19"/>
      <c r="T111" s="13"/>
      <c r="U111" s="524"/>
      <c r="V111" s="460"/>
      <c r="W111" s="524"/>
      <c r="X111" s="460"/>
      <c r="Y111" s="524"/>
      <c r="Z111" s="460"/>
    </row>
    <row r="112" spans="1:26">
      <c r="A112" s="14"/>
      <c r="B112" s="15"/>
      <c r="C112" s="16"/>
      <c r="D112" s="17"/>
      <c r="E112" s="12"/>
      <c r="F112" s="18"/>
      <c r="G112" s="19"/>
      <c r="H112" s="13"/>
      <c r="I112" s="19"/>
      <c r="J112" s="13"/>
      <c r="K112" s="19"/>
      <c r="L112" s="13"/>
      <c r="M112" s="19"/>
      <c r="N112" s="13"/>
      <c r="O112" s="19"/>
      <c r="P112" s="13"/>
      <c r="Q112" s="19"/>
      <c r="R112" s="13"/>
      <c r="S112" s="19"/>
      <c r="T112" s="13"/>
      <c r="U112" s="524"/>
      <c r="V112" s="460"/>
      <c r="W112" s="524"/>
      <c r="X112" s="460"/>
      <c r="Y112" s="524"/>
      <c r="Z112" s="460"/>
    </row>
    <row r="113" spans="1:26">
      <c r="A113" s="14"/>
      <c r="B113" s="15"/>
      <c r="C113" s="16"/>
      <c r="D113" s="17"/>
      <c r="E113" s="12"/>
      <c r="F113" s="18"/>
      <c r="G113" s="19"/>
      <c r="H113" s="13"/>
      <c r="I113" s="19"/>
      <c r="J113" s="13"/>
      <c r="K113" s="19"/>
      <c r="L113" s="13"/>
      <c r="M113" s="19"/>
      <c r="N113" s="13"/>
      <c r="O113" s="19"/>
      <c r="P113" s="13"/>
      <c r="Q113" s="19"/>
      <c r="R113" s="13"/>
      <c r="S113" s="19"/>
      <c r="T113" s="13"/>
      <c r="U113" s="524"/>
      <c r="V113" s="460"/>
      <c r="W113" s="524"/>
      <c r="X113" s="460"/>
      <c r="Y113" s="524"/>
      <c r="Z113" s="460"/>
    </row>
    <row r="114" spans="1:26">
      <c r="A114" s="14"/>
      <c r="B114" s="15"/>
      <c r="C114" s="16"/>
      <c r="D114" s="17"/>
      <c r="E114" s="12"/>
      <c r="F114" s="18"/>
      <c r="G114" s="19"/>
      <c r="H114" s="13"/>
      <c r="I114" s="19"/>
      <c r="J114" s="13"/>
      <c r="K114" s="19"/>
      <c r="L114" s="13"/>
      <c r="M114" s="19"/>
      <c r="N114" s="13"/>
      <c r="O114" s="19"/>
      <c r="P114" s="13"/>
      <c r="Q114" s="19"/>
      <c r="R114" s="13"/>
      <c r="S114" s="19"/>
      <c r="T114" s="13"/>
      <c r="U114" s="524"/>
      <c r="V114" s="460"/>
      <c r="W114" s="524"/>
      <c r="X114" s="460"/>
      <c r="Y114" s="524"/>
      <c r="Z114" s="460"/>
    </row>
    <row r="115" spans="1:26">
      <c r="A115" s="14"/>
      <c r="B115" s="15"/>
      <c r="C115" s="16"/>
      <c r="D115" s="17"/>
      <c r="E115" s="12"/>
      <c r="F115" s="18"/>
      <c r="G115" s="19"/>
      <c r="H115" s="13"/>
      <c r="I115" s="19"/>
      <c r="J115" s="13"/>
      <c r="K115" s="19"/>
      <c r="L115" s="13"/>
      <c r="M115" s="19"/>
      <c r="N115" s="13"/>
      <c r="O115" s="19"/>
      <c r="P115" s="13"/>
      <c r="Q115" s="19"/>
      <c r="R115" s="13"/>
      <c r="S115" s="19"/>
      <c r="T115" s="13"/>
      <c r="U115" s="524"/>
      <c r="V115" s="460"/>
      <c r="W115" s="524"/>
      <c r="X115" s="460"/>
      <c r="Y115" s="524"/>
      <c r="Z115" s="460"/>
    </row>
    <row r="116" spans="1:26">
      <c r="A116" s="14"/>
      <c r="B116" s="15"/>
      <c r="C116" s="16"/>
      <c r="D116" s="17"/>
      <c r="E116" s="12"/>
      <c r="F116" s="18"/>
      <c r="G116" s="19"/>
      <c r="H116" s="13"/>
      <c r="I116" s="19"/>
      <c r="J116" s="13"/>
      <c r="K116" s="19"/>
      <c r="L116" s="13"/>
      <c r="M116" s="19"/>
      <c r="N116" s="13"/>
      <c r="O116" s="19"/>
      <c r="P116" s="13"/>
      <c r="Q116" s="19"/>
      <c r="R116" s="13"/>
      <c r="S116" s="19"/>
      <c r="T116" s="13"/>
      <c r="U116" s="524"/>
      <c r="V116" s="460"/>
      <c r="W116" s="524"/>
      <c r="X116" s="460"/>
      <c r="Y116" s="524"/>
      <c r="Z116" s="460"/>
    </row>
    <row r="117" spans="1:26">
      <c r="A117" s="14"/>
      <c r="B117" s="15"/>
      <c r="C117" s="16"/>
      <c r="D117" s="17"/>
      <c r="E117" s="12"/>
      <c r="F117" s="18"/>
      <c r="G117" s="19"/>
      <c r="H117" s="13"/>
      <c r="I117" s="19"/>
      <c r="J117" s="13"/>
      <c r="K117" s="19"/>
      <c r="L117" s="13"/>
      <c r="M117" s="19"/>
      <c r="N117" s="13"/>
      <c r="O117" s="19"/>
      <c r="P117" s="13"/>
      <c r="Q117" s="19"/>
      <c r="R117" s="13"/>
      <c r="S117" s="19"/>
      <c r="T117" s="13"/>
      <c r="U117" s="524"/>
      <c r="V117" s="460"/>
      <c r="W117" s="524"/>
      <c r="X117" s="460"/>
      <c r="Y117" s="524"/>
      <c r="Z117" s="460"/>
    </row>
    <row r="118" spans="1:26">
      <c r="A118" s="14"/>
      <c r="B118" s="15"/>
      <c r="C118" s="16"/>
      <c r="D118" s="17"/>
      <c r="E118" s="12"/>
      <c r="F118" s="18"/>
      <c r="G118" s="19"/>
      <c r="H118" s="13"/>
      <c r="I118" s="19"/>
      <c r="J118" s="13"/>
      <c r="K118" s="19"/>
      <c r="L118" s="13"/>
      <c r="M118" s="19"/>
      <c r="N118" s="13"/>
      <c r="O118" s="19"/>
      <c r="P118" s="13"/>
      <c r="Q118" s="19"/>
      <c r="R118" s="13"/>
      <c r="S118" s="19"/>
      <c r="T118" s="13"/>
      <c r="U118" s="524"/>
      <c r="V118" s="460"/>
      <c r="W118" s="524"/>
      <c r="X118" s="460"/>
      <c r="Y118" s="524"/>
      <c r="Z118" s="460"/>
    </row>
    <row r="119" spans="1:26">
      <c r="A119" s="14"/>
      <c r="B119" s="15"/>
      <c r="C119" s="16"/>
      <c r="D119" s="17"/>
      <c r="E119" s="12"/>
      <c r="F119" s="18"/>
      <c r="G119" s="19"/>
      <c r="H119" s="13"/>
      <c r="I119" s="19"/>
      <c r="J119" s="13"/>
      <c r="K119" s="19"/>
      <c r="L119" s="13"/>
      <c r="M119" s="19"/>
      <c r="N119" s="13"/>
      <c r="O119" s="19"/>
      <c r="P119" s="13"/>
      <c r="Q119" s="19"/>
      <c r="R119" s="13"/>
      <c r="S119" s="19"/>
      <c r="T119" s="13"/>
      <c r="U119" s="524"/>
      <c r="V119" s="460"/>
      <c r="W119" s="524"/>
      <c r="X119" s="460"/>
      <c r="Y119" s="524"/>
      <c r="Z119" s="460"/>
    </row>
    <row r="120" spans="1:26">
      <c r="A120" s="14"/>
      <c r="B120" s="15"/>
      <c r="C120" s="16"/>
      <c r="D120" s="17"/>
      <c r="E120" s="12"/>
      <c r="F120" s="18"/>
      <c r="G120" s="19"/>
      <c r="H120" s="13"/>
      <c r="I120" s="19"/>
      <c r="J120" s="13"/>
      <c r="K120" s="19"/>
      <c r="L120" s="13"/>
      <c r="M120" s="19"/>
      <c r="N120" s="13"/>
      <c r="O120" s="19"/>
      <c r="P120" s="13"/>
      <c r="Q120" s="19"/>
      <c r="R120" s="13"/>
      <c r="S120" s="19"/>
      <c r="T120" s="13"/>
      <c r="U120" s="524"/>
      <c r="V120" s="460"/>
      <c r="W120" s="524"/>
      <c r="X120" s="460"/>
      <c r="Y120" s="524"/>
      <c r="Z120" s="460"/>
    </row>
    <row r="121" spans="1:26">
      <c r="A121" s="14"/>
      <c r="B121" s="15"/>
      <c r="C121" s="16"/>
      <c r="D121" s="17"/>
      <c r="E121" s="12"/>
      <c r="F121" s="18"/>
      <c r="G121" s="19"/>
      <c r="H121" s="13"/>
      <c r="I121" s="19"/>
      <c r="J121" s="13"/>
      <c r="K121" s="19"/>
      <c r="L121" s="13"/>
      <c r="M121" s="19"/>
      <c r="N121" s="13"/>
      <c r="O121" s="19"/>
      <c r="P121" s="13"/>
      <c r="Q121" s="19"/>
      <c r="R121" s="13"/>
      <c r="S121" s="19"/>
      <c r="T121" s="13"/>
      <c r="U121" s="524"/>
      <c r="V121" s="460"/>
      <c r="W121" s="524"/>
      <c r="X121" s="460"/>
      <c r="Y121" s="524"/>
      <c r="Z121" s="460"/>
    </row>
    <row r="122" spans="1:26">
      <c r="A122" s="14"/>
      <c r="B122" s="15"/>
      <c r="C122" s="16"/>
      <c r="D122" s="17"/>
      <c r="E122" s="12"/>
      <c r="F122" s="18"/>
      <c r="G122" s="19"/>
      <c r="H122" s="13"/>
      <c r="I122" s="19"/>
      <c r="J122" s="13"/>
      <c r="K122" s="19"/>
      <c r="L122" s="13"/>
      <c r="M122" s="19"/>
      <c r="N122" s="13"/>
      <c r="O122" s="19"/>
      <c r="P122" s="13"/>
      <c r="Q122" s="19"/>
      <c r="R122" s="13"/>
      <c r="S122" s="19"/>
      <c r="T122" s="13"/>
      <c r="U122" s="524"/>
      <c r="V122" s="460"/>
      <c r="W122" s="524"/>
      <c r="X122" s="460"/>
      <c r="Y122" s="524"/>
      <c r="Z122" s="460"/>
    </row>
    <row r="123" spans="1:26">
      <c r="A123" s="14"/>
      <c r="B123" s="15"/>
      <c r="C123" s="16"/>
      <c r="D123" s="17"/>
      <c r="E123" s="12"/>
      <c r="F123" s="18"/>
      <c r="G123" s="19"/>
      <c r="H123" s="13"/>
      <c r="I123" s="19"/>
      <c r="J123" s="13"/>
      <c r="K123" s="19"/>
      <c r="L123" s="13"/>
      <c r="M123" s="19"/>
      <c r="N123" s="13"/>
      <c r="O123" s="19"/>
      <c r="P123" s="13"/>
      <c r="Q123" s="19"/>
      <c r="R123" s="13"/>
      <c r="S123" s="19"/>
      <c r="T123" s="13"/>
      <c r="U123" s="524"/>
      <c r="V123" s="460"/>
      <c r="W123" s="524"/>
      <c r="X123" s="460"/>
      <c r="Y123" s="524"/>
      <c r="Z123" s="460"/>
    </row>
    <row r="124" spans="1:26">
      <c r="A124" s="14"/>
      <c r="B124" s="15"/>
      <c r="C124" s="16"/>
      <c r="D124" s="17"/>
      <c r="E124" s="12"/>
      <c r="F124" s="18"/>
      <c r="G124" s="19"/>
      <c r="H124" s="13"/>
      <c r="I124" s="19"/>
      <c r="J124" s="13"/>
      <c r="K124" s="19"/>
      <c r="L124" s="13"/>
      <c r="M124" s="19"/>
      <c r="N124" s="13"/>
      <c r="O124" s="19"/>
      <c r="P124" s="13"/>
      <c r="Q124" s="19"/>
      <c r="R124" s="13"/>
      <c r="S124" s="19"/>
      <c r="T124" s="13"/>
      <c r="U124" s="524"/>
      <c r="V124" s="460"/>
      <c r="W124" s="524"/>
      <c r="X124" s="460"/>
      <c r="Y124" s="524"/>
      <c r="Z124" s="460"/>
    </row>
    <row r="125" spans="1:26">
      <c r="A125" s="14"/>
      <c r="B125" s="15"/>
      <c r="C125" s="16"/>
      <c r="D125" s="17"/>
      <c r="E125" s="12"/>
      <c r="F125" s="18"/>
      <c r="G125" s="19"/>
      <c r="H125" s="13"/>
      <c r="I125" s="19"/>
      <c r="J125" s="13"/>
      <c r="K125" s="19"/>
      <c r="L125" s="13"/>
      <c r="M125" s="19"/>
      <c r="N125" s="13"/>
      <c r="O125" s="19"/>
      <c r="P125" s="13"/>
      <c r="Q125" s="19"/>
      <c r="R125" s="13"/>
      <c r="S125" s="19"/>
      <c r="T125" s="13"/>
      <c r="U125" s="524"/>
      <c r="V125" s="460"/>
      <c r="W125" s="524"/>
      <c r="X125" s="460"/>
      <c r="Y125" s="524"/>
      <c r="Z125" s="460"/>
    </row>
    <row r="126" spans="1:26">
      <c r="A126" s="14"/>
      <c r="B126" s="15"/>
      <c r="C126" s="16"/>
      <c r="D126" s="17"/>
      <c r="E126" s="12"/>
      <c r="F126" s="18"/>
      <c r="G126" s="19"/>
      <c r="H126" s="13"/>
      <c r="I126" s="19"/>
      <c r="J126" s="13"/>
      <c r="K126" s="19"/>
      <c r="L126" s="13"/>
      <c r="M126" s="19"/>
      <c r="N126" s="13"/>
      <c r="O126" s="19"/>
      <c r="P126" s="13"/>
      <c r="Q126" s="19"/>
      <c r="R126" s="13"/>
      <c r="S126" s="19"/>
      <c r="T126" s="13"/>
      <c r="U126" s="524"/>
      <c r="V126" s="460"/>
      <c r="W126" s="524"/>
      <c r="X126" s="460"/>
      <c r="Y126" s="524"/>
      <c r="Z126" s="460"/>
    </row>
    <row r="127" spans="1:26">
      <c r="A127" s="14"/>
      <c r="B127" s="15"/>
      <c r="C127" s="16"/>
      <c r="D127" s="17"/>
      <c r="E127" s="12"/>
      <c r="F127" s="18"/>
      <c r="G127" s="19"/>
      <c r="H127" s="13"/>
      <c r="I127" s="19"/>
      <c r="J127" s="13"/>
      <c r="K127" s="19"/>
      <c r="L127" s="13"/>
      <c r="M127" s="19"/>
      <c r="N127" s="13"/>
      <c r="O127" s="19"/>
      <c r="P127" s="13"/>
      <c r="Q127" s="19"/>
      <c r="R127" s="13"/>
      <c r="S127" s="19"/>
      <c r="T127" s="13"/>
      <c r="U127" s="524"/>
      <c r="V127" s="460"/>
      <c r="W127" s="524"/>
      <c r="X127" s="460"/>
      <c r="Y127" s="524"/>
      <c r="Z127" s="460"/>
    </row>
    <row r="128" spans="1:26">
      <c r="A128" s="14"/>
      <c r="B128" s="15"/>
      <c r="C128" s="16"/>
      <c r="D128" s="17"/>
      <c r="E128" s="12"/>
      <c r="F128" s="18"/>
      <c r="G128" s="19"/>
      <c r="H128" s="13"/>
      <c r="I128" s="19"/>
      <c r="J128" s="13"/>
      <c r="K128" s="19"/>
      <c r="L128" s="13"/>
      <c r="M128" s="19"/>
      <c r="N128" s="13"/>
      <c r="O128" s="19"/>
      <c r="P128" s="13"/>
      <c r="Q128" s="19"/>
      <c r="R128" s="13"/>
      <c r="S128" s="19"/>
      <c r="T128" s="13"/>
      <c r="U128" s="524"/>
      <c r="V128" s="460"/>
      <c r="W128" s="524"/>
      <c r="X128" s="460"/>
      <c r="Y128" s="524"/>
      <c r="Z128" s="460"/>
    </row>
    <row r="129" spans="1:26">
      <c r="A129" s="14"/>
      <c r="B129" s="15"/>
      <c r="C129" s="16"/>
      <c r="D129" s="17"/>
      <c r="E129" s="12"/>
      <c r="F129" s="18"/>
      <c r="G129" s="19"/>
      <c r="H129" s="13"/>
      <c r="I129" s="19"/>
      <c r="J129" s="13"/>
      <c r="K129" s="19"/>
      <c r="L129" s="13"/>
      <c r="M129" s="19"/>
      <c r="N129" s="13"/>
      <c r="O129" s="19"/>
      <c r="P129" s="13"/>
      <c r="Q129" s="19"/>
      <c r="R129" s="13"/>
      <c r="S129" s="19"/>
      <c r="T129" s="13"/>
      <c r="U129" s="524"/>
      <c r="V129" s="460"/>
      <c r="W129" s="524"/>
      <c r="X129" s="460"/>
      <c r="Y129" s="524"/>
      <c r="Z129" s="460"/>
    </row>
    <row r="130" spans="1:26">
      <c r="A130" s="14"/>
      <c r="B130" s="15"/>
      <c r="C130" s="16"/>
      <c r="D130" s="17"/>
      <c r="E130" s="12"/>
      <c r="F130" s="18"/>
      <c r="G130" s="19"/>
      <c r="H130" s="13"/>
      <c r="I130" s="19"/>
      <c r="J130" s="13"/>
      <c r="K130" s="19"/>
      <c r="L130" s="13"/>
      <c r="M130" s="19"/>
      <c r="N130" s="13"/>
      <c r="O130" s="19"/>
      <c r="P130" s="13"/>
      <c r="Q130" s="19"/>
      <c r="R130" s="13"/>
      <c r="S130" s="19"/>
      <c r="T130" s="13"/>
      <c r="U130" s="524"/>
      <c r="V130" s="460"/>
      <c r="W130" s="524"/>
      <c r="X130" s="460"/>
      <c r="Y130" s="524"/>
      <c r="Z130" s="460"/>
    </row>
    <row r="131" spans="1:26">
      <c r="A131" s="14"/>
      <c r="B131" s="15"/>
      <c r="C131" s="16"/>
      <c r="D131" s="17"/>
      <c r="E131" s="12"/>
      <c r="F131" s="18"/>
      <c r="G131" s="19"/>
      <c r="H131" s="13"/>
      <c r="I131" s="19"/>
      <c r="J131" s="13"/>
      <c r="K131" s="19"/>
      <c r="L131" s="13"/>
      <c r="M131" s="19"/>
      <c r="N131" s="13"/>
      <c r="O131" s="19"/>
      <c r="P131" s="13"/>
      <c r="Q131" s="19"/>
      <c r="R131" s="13"/>
      <c r="S131" s="19"/>
      <c r="T131" s="13"/>
      <c r="U131" s="524"/>
      <c r="V131" s="460"/>
      <c r="W131" s="524"/>
      <c r="X131" s="460"/>
      <c r="Y131" s="524"/>
      <c r="Z131" s="460"/>
    </row>
    <row r="132" spans="1:26">
      <c r="A132" s="14"/>
      <c r="B132" s="15"/>
      <c r="C132" s="16"/>
      <c r="D132" s="17"/>
      <c r="E132" s="12"/>
      <c r="F132" s="18"/>
      <c r="G132" s="19"/>
      <c r="H132" s="13"/>
      <c r="I132" s="19"/>
      <c r="J132" s="13"/>
      <c r="K132" s="19"/>
      <c r="L132" s="13"/>
      <c r="M132" s="19"/>
      <c r="N132" s="13"/>
      <c r="O132" s="19"/>
      <c r="P132" s="13"/>
      <c r="Q132" s="19"/>
      <c r="R132" s="13"/>
      <c r="S132" s="19"/>
      <c r="T132" s="13"/>
      <c r="U132" s="524"/>
      <c r="V132" s="460"/>
      <c r="W132" s="524"/>
      <c r="X132" s="460"/>
      <c r="Y132" s="524"/>
      <c r="Z132" s="460"/>
    </row>
    <row r="133" spans="1:26">
      <c r="A133" s="14"/>
      <c r="B133" s="15"/>
      <c r="C133" s="16"/>
      <c r="D133" s="17"/>
      <c r="E133" s="12"/>
      <c r="F133" s="18"/>
      <c r="G133" s="19"/>
      <c r="H133" s="13"/>
      <c r="I133" s="19"/>
      <c r="J133" s="13"/>
      <c r="K133" s="19"/>
      <c r="L133" s="13"/>
      <c r="M133" s="19"/>
      <c r="N133" s="13"/>
      <c r="O133" s="19"/>
      <c r="P133" s="13"/>
      <c r="Q133" s="19"/>
      <c r="R133" s="13"/>
      <c r="S133" s="19"/>
      <c r="T133" s="13"/>
      <c r="U133" s="524"/>
      <c r="V133" s="460"/>
      <c r="W133" s="524"/>
      <c r="X133" s="460"/>
      <c r="Y133" s="524"/>
      <c r="Z133" s="460"/>
    </row>
    <row r="134" spans="1:26">
      <c r="A134" s="14"/>
      <c r="B134" s="15"/>
      <c r="C134" s="16"/>
      <c r="D134" s="17"/>
      <c r="E134" s="12"/>
      <c r="F134" s="18"/>
      <c r="G134" s="19"/>
      <c r="H134" s="13"/>
      <c r="I134" s="19"/>
      <c r="J134" s="13"/>
      <c r="K134" s="19"/>
      <c r="L134" s="13"/>
      <c r="M134" s="19"/>
      <c r="N134" s="13"/>
      <c r="O134" s="19"/>
      <c r="P134" s="13"/>
      <c r="Q134" s="19"/>
      <c r="R134" s="13"/>
      <c r="S134" s="19"/>
      <c r="T134" s="13"/>
      <c r="U134" s="524"/>
      <c r="V134" s="460"/>
      <c r="W134" s="524"/>
      <c r="X134" s="460"/>
      <c r="Y134" s="524"/>
      <c r="Z134" s="460"/>
    </row>
    <row r="135" spans="1:26">
      <c r="A135" s="14"/>
      <c r="B135" s="15"/>
      <c r="C135" s="16"/>
      <c r="D135" s="17"/>
      <c r="E135" s="12"/>
      <c r="F135" s="18"/>
      <c r="G135" s="19"/>
      <c r="H135" s="13"/>
      <c r="I135" s="19"/>
      <c r="J135" s="13"/>
      <c r="K135" s="19"/>
      <c r="L135" s="13"/>
      <c r="M135" s="19"/>
      <c r="N135" s="13"/>
      <c r="O135" s="19"/>
      <c r="P135" s="13"/>
      <c r="Q135" s="19"/>
      <c r="R135" s="13"/>
      <c r="S135" s="19"/>
      <c r="T135" s="13"/>
      <c r="U135" s="524"/>
      <c r="V135" s="460"/>
      <c r="W135" s="524"/>
      <c r="X135" s="460"/>
      <c r="Y135" s="524"/>
      <c r="Z135" s="460"/>
    </row>
    <row r="136" spans="1:26">
      <c r="A136" s="14"/>
      <c r="B136" s="15"/>
      <c r="C136" s="16"/>
      <c r="D136" s="17"/>
      <c r="E136" s="12"/>
      <c r="F136" s="18"/>
      <c r="G136" s="19"/>
      <c r="H136" s="13"/>
      <c r="I136" s="19"/>
      <c r="J136" s="13"/>
      <c r="K136" s="19"/>
      <c r="L136" s="13"/>
      <c r="M136" s="19"/>
      <c r="N136" s="13"/>
      <c r="O136" s="19"/>
      <c r="P136" s="13"/>
      <c r="Q136" s="19"/>
      <c r="R136" s="13"/>
      <c r="S136" s="19"/>
      <c r="T136" s="13"/>
      <c r="U136" s="524"/>
      <c r="V136" s="460"/>
      <c r="W136" s="524"/>
      <c r="X136" s="460"/>
      <c r="Y136" s="524"/>
      <c r="Z136" s="460"/>
    </row>
    <row r="137" spans="1:26">
      <c r="A137" s="14"/>
      <c r="B137" s="15"/>
      <c r="C137" s="16"/>
      <c r="D137" s="17"/>
      <c r="E137" s="12"/>
      <c r="F137" s="18"/>
      <c r="G137" s="19"/>
      <c r="H137" s="13"/>
      <c r="I137" s="19"/>
      <c r="J137" s="13"/>
      <c r="K137" s="19"/>
      <c r="L137" s="13"/>
      <c r="M137" s="19"/>
      <c r="N137" s="13"/>
      <c r="O137" s="19"/>
      <c r="P137" s="13"/>
      <c r="Q137" s="19"/>
      <c r="R137" s="13"/>
      <c r="S137" s="19"/>
      <c r="T137" s="13"/>
      <c r="U137" s="524"/>
      <c r="V137" s="460"/>
      <c r="W137" s="524"/>
      <c r="X137" s="460"/>
      <c r="Y137" s="524"/>
      <c r="Z137" s="460"/>
    </row>
    <row r="138" spans="1:26">
      <c r="A138" s="14"/>
      <c r="B138" s="15"/>
      <c r="C138" s="16"/>
      <c r="D138" s="17"/>
      <c r="E138" s="12"/>
      <c r="F138" s="18"/>
      <c r="G138" s="19"/>
      <c r="H138" s="13"/>
      <c r="I138" s="19"/>
      <c r="J138" s="13"/>
      <c r="K138" s="19"/>
      <c r="L138" s="13"/>
      <c r="M138" s="19"/>
      <c r="N138" s="13"/>
      <c r="O138" s="19"/>
      <c r="P138" s="13"/>
      <c r="Q138" s="19"/>
      <c r="R138" s="13"/>
      <c r="S138" s="19"/>
      <c r="T138" s="13"/>
      <c r="U138" s="524"/>
      <c r="V138" s="460"/>
      <c r="W138" s="524"/>
      <c r="X138" s="460"/>
      <c r="Y138" s="524"/>
      <c r="Z138" s="460"/>
    </row>
    <row r="139" spans="1:26">
      <c r="A139" s="14"/>
      <c r="B139" s="15"/>
      <c r="C139" s="16"/>
      <c r="D139" s="17"/>
      <c r="E139" s="12"/>
      <c r="F139" s="18"/>
      <c r="G139" s="19"/>
      <c r="H139" s="13"/>
      <c r="I139" s="19"/>
      <c r="J139" s="13"/>
      <c r="K139" s="19"/>
      <c r="L139" s="13"/>
      <c r="M139" s="19"/>
      <c r="N139" s="13"/>
      <c r="O139" s="19"/>
      <c r="P139" s="13"/>
      <c r="Q139" s="19"/>
      <c r="R139" s="13"/>
      <c r="S139" s="19"/>
      <c r="T139" s="13"/>
      <c r="U139" s="524"/>
      <c r="V139" s="460"/>
      <c r="W139" s="524"/>
      <c r="X139" s="460"/>
      <c r="Y139" s="524"/>
      <c r="Z139" s="460"/>
    </row>
    <row r="140" spans="1:26">
      <c r="A140" s="14"/>
      <c r="B140" s="15"/>
      <c r="C140" s="16"/>
      <c r="D140" s="17"/>
      <c r="E140" s="12"/>
      <c r="F140" s="18"/>
      <c r="G140" s="19"/>
      <c r="H140" s="13"/>
      <c r="I140" s="19"/>
      <c r="J140" s="13"/>
      <c r="K140" s="19"/>
      <c r="L140" s="13"/>
      <c r="M140" s="19"/>
      <c r="N140" s="13"/>
      <c r="O140" s="19"/>
      <c r="P140" s="13"/>
      <c r="Q140" s="19"/>
      <c r="R140" s="13"/>
      <c r="S140" s="19"/>
      <c r="T140" s="13"/>
      <c r="U140" s="524"/>
      <c r="V140" s="460"/>
      <c r="W140" s="524"/>
      <c r="X140" s="460"/>
      <c r="Y140" s="524"/>
      <c r="Z140" s="460"/>
    </row>
    <row r="141" spans="1:26">
      <c r="A141" s="14"/>
      <c r="B141" s="15"/>
      <c r="C141" s="16"/>
      <c r="D141" s="17"/>
      <c r="E141" s="12"/>
      <c r="F141" s="18"/>
      <c r="G141" s="19"/>
      <c r="H141" s="13"/>
      <c r="I141" s="19"/>
      <c r="J141" s="13"/>
      <c r="K141" s="19"/>
      <c r="L141" s="13"/>
      <c r="M141" s="19"/>
      <c r="N141" s="13"/>
      <c r="O141" s="19"/>
      <c r="P141" s="13"/>
      <c r="Q141" s="19"/>
      <c r="R141" s="13"/>
      <c r="S141" s="19"/>
      <c r="T141" s="13"/>
      <c r="U141" s="524"/>
      <c r="V141" s="460"/>
      <c r="W141" s="524"/>
      <c r="X141" s="460"/>
      <c r="Y141" s="524"/>
      <c r="Z141" s="460"/>
    </row>
    <row r="142" spans="1:26">
      <c r="A142" s="14"/>
      <c r="B142" s="15"/>
      <c r="C142" s="16"/>
      <c r="D142" s="17"/>
      <c r="E142" s="12"/>
      <c r="F142" s="18"/>
      <c r="G142" s="19"/>
      <c r="H142" s="13"/>
      <c r="I142" s="19"/>
      <c r="J142" s="13"/>
      <c r="K142" s="19"/>
      <c r="L142" s="13"/>
      <c r="M142" s="19"/>
      <c r="N142" s="13"/>
      <c r="O142" s="19"/>
      <c r="P142" s="13"/>
      <c r="Q142" s="19"/>
      <c r="R142" s="13"/>
      <c r="S142" s="19"/>
      <c r="T142" s="13"/>
      <c r="U142" s="524"/>
      <c r="V142" s="460"/>
      <c r="W142" s="524"/>
      <c r="X142" s="460"/>
      <c r="Y142" s="524"/>
      <c r="Z142" s="460"/>
    </row>
    <row r="143" spans="1:26">
      <c r="A143" s="14"/>
      <c r="B143" s="15"/>
      <c r="C143" s="16"/>
      <c r="D143" s="17"/>
      <c r="E143" s="12"/>
      <c r="F143" s="18"/>
      <c r="G143" s="19"/>
      <c r="H143" s="13"/>
      <c r="I143" s="19"/>
      <c r="J143" s="13"/>
      <c r="K143" s="19"/>
      <c r="L143" s="13"/>
      <c r="M143" s="19"/>
      <c r="N143" s="13"/>
      <c r="O143" s="19"/>
      <c r="P143" s="13"/>
      <c r="Q143" s="19"/>
      <c r="R143" s="13"/>
      <c r="S143" s="19"/>
      <c r="T143" s="13"/>
      <c r="U143" s="524"/>
      <c r="V143" s="460"/>
      <c r="W143" s="524"/>
      <c r="X143" s="460"/>
      <c r="Y143" s="524"/>
      <c r="Z143" s="460"/>
    </row>
    <row r="144" spans="1:26">
      <c r="A144" s="14"/>
      <c r="B144" s="15"/>
      <c r="C144" s="16"/>
      <c r="D144" s="17"/>
      <c r="E144" s="12"/>
      <c r="F144" s="18"/>
      <c r="G144" s="19"/>
      <c r="H144" s="13"/>
      <c r="I144" s="19"/>
      <c r="J144" s="13"/>
      <c r="K144" s="19"/>
      <c r="L144" s="13"/>
      <c r="M144" s="19"/>
      <c r="N144" s="13"/>
      <c r="O144" s="19"/>
      <c r="P144" s="13"/>
      <c r="Q144" s="19"/>
      <c r="R144" s="13"/>
      <c r="S144" s="19"/>
      <c r="T144" s="13"/>
      <c r="U144" s="524"/>
      <c r="V144" s="460"/>
      <c r="W144" s="524"/>
      <c r="X144" s="460"/>
      <c r="Y144" s="524"/>
      <c r="Z144" s="460"/>
    </row>
    <row r="145" spans="1:26">
      <c r="A145" s="14"/>
      <c r="B145" s="15"/>
      <c r="C145" s="16"/>
      <c r="D145" s="17"/>
      <c r="E145" s="12"/>
      <c r="F145" s="18"/>
      <c r="G145" s="19"/>
      <c r="H145" s="13"/>
      <c r="I145" s="19"/>
      <c r="J145" s="13"/>
      <c r="K145" s="19"/>
      <c r="L145" s="13"/>
      <c r="M145" s="19"/>
      <c r="N145" s="13"/>
      <c r="O145" s="19"/>
      <c r="P145" s="13"/>
      <c r="Q145" s="19"/>
      <c r="R145" s="13"/>
      <c r="S145" s="19"/>
      <c r="T145" s="13"/>
      <c r="U145" s="524"/>
      <c r="V145" s="460"/>
      <c r="W145" s="524"/>
      <c r="X145" s="460"/>
      <c r="Y145" s="524"/>
      <c r="Z145" s="460"/>
    </row>
    <row r="146" spans="1:26">
      <c r="A146" s="14"/>
      <c r="B146" s="15"/>
      <c r="C146" s="16"/>
      <c r="D146" s="17"/>
      <c r="E146" s="12"/>
      <c r="F146" s="18"/>
      <c r="G146" s="19"/>
      <c r="H146" s="13"/>
      <c r="I146" s="19"/>
      <c r="J146" s="13"/>
      <c r="K146" s="19"/>
      <c r="L146" s="13"/>
      <c r="M146" s="19"/>
      <c r="N146" s="13"/>
      <c r="O146" s="19"/>
      <c r="P146" s="13"/>
      <c r="Q146" s="19"/>
      <c r="R146" s="13"/>
      <c r="S146" s="19"/>
      <c r="T146" s="13"/>
      <c r="U146" s="524"/>
      <c r="V146" s="460"/>
      <c r="W146" s="524"/>
      <c r="X146" s="460"/>
      <c r="Y146" s="524"/>
      <c r="Z146" s="460"/>
    </row>
    <row r="147" spans="1:26">
      <c r="A147" s="14"/>
      <c r="B147" s="15"/>
      <c r="C147" s="16"/>
      <c r="D147" s="17"/>
      <c r="E147" s="12"/>
      <c r="F147" s="18"/>
      <c r="G147" s="19"/>
      <c r="H147" s="13"/>
      <c r="I147" s="19"/>
      <c r="J147" s="13"/>
      <c r="K147" s="19"/>
      <c r="L147" s="13"/>
      <c r="M147" s="19"/>
      <c r="N147" s="13"/>
      <c r="O147" s="19"/>
      <c r="P147" s="13"/>
      <c r="Q147" s="19"/>
      <c r="R147" s="13"/>
      <c r="S147" s="19"/>
      <c r="T147" s="13"/>
      <c r="U147" s="524"/>
      <c r="V147" s="460"/>
      <c r="W147" s="524"/>
      <c r="X147" s="460"/>
      <c r="Y147" s="524"/>
      <c r="Z147" s="460"/>
    </row>
    <row r="148" spans="1:26">
      <c r="A148" s="14"/>
      <c r="B148" s="15"/>
      <c r="C148" s="16"/>
      <c r="D148" s="17"/>
      <c r="E148" s="12"/>
      <c r="F148" s="18"/>
      <c r="G148" s="19"/>
      <c r="H148" s="13"/>
      <c r="I148" s="19"/>
      <c r="J148" s="13"/>
      <c r="K148" s="19"/>
      <c r="L148" s="13"/>
      <c r="M148" s="19"/>
      <c r="N148" s="13"/>
      <c r="O148" s="19"/>
      <c r="P148" s="13"/>
      <c r="Q148" s="19"/>
      <c r="R148" s="13"/>
      <c r="S148" s="19"/>
      <c r="T148" s="13"/>
      <c r="U148" s="524"/>
      <c r="V148" s="460"/>
      <c r="W148" s="524"/>
      <c r="X148" s="460"/>
      <c r="Y148" s="524"/>
      <c r="Z148" s="460"/>
    </row>
    <row r="149" spans="1:26">
      <c r="A149" s="14"/>
      <c r="B149" s="15"/>
      <c r="C149" s="16"/>
      <c r="D149" s="17"/>
      <c r="E149" s="12"/>
      <c r="F149" s="18"/>
      <c r="G149" s="19"/>
      <c r="H149" s="13"/>
      <c r="I149" s="19"/>
      <c r="J149" s="13"/>
      <c r="K149" s="19"/>
      <c r="L149" s="13"/>
      <c r="M149" s="19"/>
      <c r="N149" s="13"/>
      <c r="O149" s="19"/>
      <c r="P149" s="13"/>
      <c r="Q149" s="19"/>
      <c r="R149" s="13"/>
      <c r="S149" s="19"/>
      <c r="T149" s="13"/>
      <c r="U149" s="524"/>
      <c r="V149" s="460"/>
      <c r="W149" s="524"/>
      <c r="X149" s="460"/>
      <c r="Y149" s="524"/>
      <c r="Z149" s="460"/>
    </row>
    <row r="150" spans="1:26">
      <c r="A150" s="14"/>
      <c r="B150" s="15"/>
      <c r="C150" s="16"/>
      <c r="D150" s="17"/>
      <c r="E150" s="12"/>
      <c r="F150" s="18"/>
      <c r="G150" s="19"/>
      <c r="H150" s="13"/>
      <c r="I150" s="19"/>
      <c r="J150" s="13"/>
      <c r="K150" s="19"/>
      <c r="L150" s="13"/>
      <c r="M150" s="19"/>
      <c r="N150" s="13"/>
      <c r="O150" s="19"/>
      <c r="P150" s="13"/>
      <c r="Q150" s="19"/>
      <c r="R150" s="13"/>
      <c r="S150" s="19"/>
      <c r="T150" s="13"/>
      <c r="U150" s="524"/>
      <c r="V150" s="460"/>
      <c r="W150" s="524"/>
      <c r="X150" s="460"/>
      <c r="Y150" s="524"/>
      <c r="Z150" s="460"/>
    </row>
    <row r="151" spans="1:26">
      <c r="A151" s="14"/>
      <c r="B151" s="15"/>
      <c r="C151" s="16"/>
      <c r="D151" s="17"/>
      <c r="E151" s="12"/>
      <c r="F151" s="18"/>
      <c r="G151" s="19"/>
      <c r="H151" s="13"/>
      <c r="I151" s="19"/>
      <c r="J151" s="13"/>
      <c r="K151" s="19"/>
      <c r="L151" s="13"/>
      <c r="M151" s="19"/>
      <c r="N151" s="13"/>
      <c r="O151" s="19"/>
      <c r="P151" s="13"/>
      <c r="Q151" s="19"/>
      <c r="R151" s="13"/>
      <c r="S151" s="19"/>
      <c r="T151" s="13"/>
      <c r="U151" s="524"/>
      <c r="V151" s="460"/>
      <c r="W151" s="524"/>
      <c r="X151" s="460"/>
      <c r="Y151" s="524"/>
      <c r="Z151" s="460"/>
    </row>
    <row r="152" spans="1:26">
      <c r="A152" s="14"/>
      <c r="B152" s="15"/>
      <c r="C152" s="16"/>
      <c r="D152" s="17"/>
      <c r="E152" s="12"/>
      <c r="F152" s="18"/>
      <c r="G152" s="19"/>
      <c r="H152" s="13"/>
      <c r="I152" s="19"/>
      <c r="J152" s="13"/>
      <c r="K152" s="19"/>
      <c r="L152" s="13"/>
      <c r="M152" s="19"/>
      <c r="N152" s="13"/>
      <c r="O152" s="19"/>
      <c r="P152" s="13"/>
      <c r="Q152" s="19"/>
      <c r="R152" s="13"/>
      <c r="S152" s="19"/>
      <c r="T152" s="13"/>
      <c r="U152" s="524"/>
      <c r="V152" s="460"/>
      <c r="W152" s="524"/>
      <c r="X152" s="460"/>
      <c r="Y152" s="524"/>
      <c r="Z152" s="460"/>
    </row>
    <row r="153" spans="1:26">
      <c r="A153" s="14"/>
      <c r="B153" s="15"/>
      <c r="C153" s="16"/>
      <c r="D153" s="17"/>
      <c r="E153" s="12"/>
      <c r="F153" s="18"/>
      <c r="G153" s="19"/>
      <c r="H153" s="13"/>
      <c r="I153" s="19"/>
      <c r="J153" s="13"/>
      <c r="K153" s="19"/>
      <c r="L153" s="13"/>
      <c r="M153" s="19"/>
      <c r="N153" s="13"/>
      <c r="O153" s="19"/>
      <c r="P153" s="13"/>
      <c r="Q153" s="19"/>
      <c r="R153" s="13"/>
      <c r="S153" s="19"/>
      <c r="T153" s="13"/>
      <c r="U153" s="524"/>
      <c r="V153" s="460"/>
      <c r="W153" s="524"/>
      <c r="X153" s="460"/>
      <c r="Y153" s="524"/>
      <c r="Z153" s="460"/>
    </row>
    <row r="154" spans="1:26">
      <c r="A154" s="14"/>
      <c r="B154" s="15"/>
      <c r="C154" s="16"/>
      <c r="D154" s="17"/>
      <c r="E154" s="12"/>
      <c r="F154" s="18"/>
      <c r="G154" s="19"/>
      <c r="H154" s="13"/>
      <c r="I154" s="19"/>
      <c r="J154" s="13"/>
      <c r="K154" s="19"/>
      <c r="L154" s="13"/>
      <c r="M154" s="19"/>
      <c r="N154" s="13"/>
      <c r="O154" s="19"/>
      <c r="P154" s="13"/>
      <c r="Q154" s="19"/>
      <c r="R154" s="13"/>
      <c r="S154" s="19"/>
      <c r="T154" s="13"/>
      <c r="U154" s="524"/>
      <c r="V154" s="460"/>
      <c r="W154" s="524"/>
      <c r="X154" s="460"/>
      <c r="Y154" s="524"/>
      <c r="Z154" s="460"/>
    </row>
    <row r="155" spans="1:26">
      <c r="A155" s="14"/>
      <c r="B155" s="15"/>
      <c r="C155" s="16"/>
      <c r="D155" s="17"/>
      <c r="E155" s="12"/>
      <c r="F155" s="18"/>
      <c r="G155" s="19"/>
      <c r="H155" s="13"/>
      <c r="I155" s="19"/>
      <c r="J155" s="13"/>
      <c r="K155" s="19"/>
      <c r="L155" s="13"/>
      <c r="M155" s="19"/>
      <c r="N155" s="13"/>
      <c r="O155" s="19"/>
      <c r="P155" s="13"/>
      <c r="Q155" s="19"/>
      <c r="R155" s="13"/>
      <c r="S155" s="19"/>
      <c r="T155" s="13"/>
      <c r="U155" s="524"/>
      <c r="V155" s="460"/>
      <c r="W155" s="524"/>
      <c r="X155" s="460"/>
      <c r="Y155" s="524"/>
      <c r="Z155" s="460"/>
    </row>
    <row r="156" spans="1:26">
      <c r="A156" s="14"/>
      <c r="B156" s="15"/>
      <c r="C156" s="16"/>
      <c r="D156" s="17"/>
      <c r="E156" s="12"/>
      <c r="F156" s="18"/>
      <c r="G156" s="19"/>
      <c r="H156" s="13"/>
      <c r="I156" s="19"/>
      <c r="J156" s="13"/>
      <c r="K156" s="19"/>
      <c r="L156" s="13"/>
      <c r="M156" s="19"/>
      <c r="N156" s="13"/>
      <c r="O156" s="19"/>
      <c r="P156" s="13"/>
      <c r="Q156" s="19"/>
      <c r="R156" s="13"/>
      <c r="S156" s="19"/>
      <c r="T156" s="13"/>
      <c r="U156" s="524"/>
      <c r="V156" s="460"/>
      <c r="W156" s="524"/>
      <c r="X156" s="460"/>
      <c r="Y156" s="524"/>
      <c r="Z156" s="460"/>
    </row>
    <row r="157" spans="1:26">
      <c r="A157" s="14"/>
      <c r="B157" s="15"/>
      <c r="C157" s="16"/>
      <c r="D157" s="17"/>
      <c r="E157" s="12"/>
      <c r="F157" s="18"/>
      <c r="G157" s="19"/>
      <c r="H157" s="13"/>
      <c r="I157" s="19"/>
      <c r="J157" s="13"/>
      <c r="K157" s="19"/>
      <c r="L157" s="13"/>
      <c r="M157" s="19"/>
      <c r="N157" s="13"/>
      <c r="O157" s="19"/>
      <c r="P157" s="13"/>
      <c r="Q157" s="19"/>
      <c r="R157" s="13"/>
      <c r="S157" s="19"/>
      <c r="T157" s="13"/>
      <c r="U157" s="524"/>
      <c r="V157" s="460"/>
      <c r="W157" s="524"/>
      <c r="X157" s="460"/>
      <c r="Y157" s="524"/>
      <c r="Z157" s="460"/>
    </row>
    <row r="158" spans="1:26">
      <c r="A158" s="14"/>
      <c r="B158" s="15"/>
      <c r="C158" s="16"/>
      <c r="D158" s="17"/>
      <c r="E158" s="12"/>
      <c r="F158" s="18"/>
      <c r="G158" s="19"/>
      <c r="H158" s="13"/>
      <c r="I158" s="19"/>
      <c r="J158" s="13"/>
      <c r="K158" s="19"/>
      <c r="L158" s="13"/>
      <c r="M158" s="19"/>
      <c r="N158" s="13"/>
      <c r="O158" s="19"/>
      <c r="P158" s="13"/>
      <c r="Q158" s="19"/>
      <c r="R158" s="13"/>
      <c r="S158" s="19"/>
      <c r="T158" s="13"/>
      <c r="U158" s="524"/>
      <c r="V158" s="460"/>
      <c r="W158" s="524"/>
      <c r="X158" s="460"/>
      <c r="Y158" s="524"/>
      <c r="Z158" s="460"/>
    </row>
    <row r="159" spans="1:26">
      <c r="A159" s="14"/>
      <c r="B159" s="15"/>
      <c r="C159" s="16"/>
      <c r="D159" s="17"/>
      <c r="E159" s="12"/>
      <c r="F159" s="18"/>
      <c r="G159" s="19"/>
      <c r="H159" s="13"/>
      <c r="I159" s="19"/>
      <c r="J159" s="13"/>
      <c r="K159" s="19"/>
      <c r="L159" s="13"/>
      <c r="M159" s="19"/>
      <c r="N159" s="13"/>
      <c r="O159" s="19"/>
      <c r="P159" s="13"/>
      <c r="Q159" s="19"/>
      <c r="R159" s="13"/>
      <c r="S159" s="19"/>
      <c r="T159" s="13"/>
      <c r="U159" s="524"/>
      <c r="V159" s="460"/>
      <c r="W159" s="524"/>
      <c r="X159" s="460"/>
      <c r="Y159" s="524"/>
      <c r="Z159" s="460"/>
    </row>
    <row r="160" spans="1:26">
      <c r="A160" s="14"/>
      <c r="B160" s="15"/>
      <c r="C160" s="16"/>
      <c r="D160" s="17"/>
      <c r="E160" s="12"/>
      <c r="F160" s="18"/>
      <c r="G160" s="19"/>
      <c r="H160" s="13"/>
      <c r="I160" s="19"/>
      <c r="J160" s="13"/>
      <c r="K160" s="19"/>
      <c r="L160" s="13"/>
      <c r="M160" s="19"/>
      <c r="N160" s="13"/>
      <c r="O160" s="19"/>
      <c r="P160" s="13"/>
      <c r="Q160" s="19"/>
      <c r="R160" s="13"/>
      <c r="S160" s="19"/>
      <c r="T160" s="13"/>
      <c r="U160" s="524"/>
      <c r="V160" s="460"/>
      <c r="W160" s="524"/>
      <c r="X160" s="460"/>
      <c r="Y160" s="524"/>
      <c r="Z160" s="460"/>
    </row>
    <row r="161" spans="1:26">
      <c r="A161" s="14"/>
      <c r="B161" s="15"/>
      <c r="C161" s="16"/>
      <c r="D161" s="17"/>
      <c r="E161" s="12"/>
      <c r="F161" s="18"/>
      <c r="G161" s="19"/>
      <c r="H161" s="13"/>
      <c r="I161" s="19"/>
      <c r="J161" s="13"/>
      <c r="K161" s="19"/>
      <c r="L161" s="13"/>
      <c r="M161" s="19"/>
      <c r="N161" s="13"/>
      <c r="O161" s="19"/>
      <c r="P161" s="13"/>
      <c r="Q161" s="19"/>
      <c r="R161" s="13"/>
      <c r="S161" s="19"/>
      <c r="T161" s="13"/>
      <c r="U161" s="524"/>
      <c r="V161" s="460"/>
      <c r="W161" s="524"/>
      <c r="X161" s="460"/>
      <c r="Y161" s="524"/>
      <c r="Z161" s="460"/>
    </row>
    <row r="162" spans="1:26">
      <c r="A162" s="14"/>
      <c r="B162" s="15"/>
      <c r="C162" s="16"/>
      <c r="D162" s="17"/>
      <c r="E162" s="12"/>
      <c r="F162" s="18"/>
      <c r="G162" s="19"/>
      <c r="H162" s="13"/>
      <c r="I162" s="19"/>
      <c r="J162" s="13"/>
      <c r="K162" s="19"/>
      <c r="L162" s="13"/>
      <c r="M162" s="19"/>
      <c r="N162" s="13"/>
      <c r="O162" s="19"/>
      <c r="P162" s="13"/>
      <c r="Q162" s="19"/>
      <c r="R162" s="13"/>
      <c r="S162" s="19"/>
      <c r="T162" s="13"/>
      <c r="U162" s="524"/>
      <c r="V162" s="460"/>
      <c r="W162" s="524"/>
      <c r="X162" s="460"/>
      <c r="Y162" s="524"/>
      <c r="Z162" s="460"/>
    </row>
    <row r="163" spans="1:26">
      <c r="A163" s="14"/>
      <c r="B163" s="15"/>
      <c r="C163" s="16"/>
      <c r="D163" s="17"/>
      <c r="E163" s="12"/>
      <c r="F163" s="18"/>
      <c r="G163" s="19"/>
      <c r="H163" s="13"/>
      <c r="I163" s="19"/>
      <c r="J163" s="13"/>
      <c r="K163" s="19"/>
      <c r="L163" s="13"/>
      <c r="M163" s="19"/>
      <c r="N163" s="13"/>
      <c r="O163" s="19"/>
      <c r="P163" s="13"/>
      <c r="Q163" s="19"/>
      <c r="R163" s="13"/>
      <c r="S163" s="19"/>
      <c r="T163" s="13"/>
      <c r="U163" s="524"/>
      <c r="V163" s="460"/>
      <c r="W163" s="524"/>
      <c r="X163" s="460"/>
      <c r="Y163" s="524"/>
      <c r="Z163" s="460"/>
    </row>
    <row r="164" spans="1:26">
      <c r="A164" s="14"/>
      <c r="B164" s="15"/>
      <c r="C164" s="16"/>
      <c r="D164" s="17"/>
      <c r="E164" s="12"/>
      <c r="F164" s="18"/>
      <c r="G164" s="19"/>
      <c r="H164" s="13"/>
      <c r="I164" s="19"/>
      <c r="J164" s="13"/>
      <c r="K164" s="19"/>
      <c r="L164" s="13"/>
      <c r="M164" s="19"/>
      <c r="N164" s="13"/>
      <c r="O164" s="19"/>
      <c r="P164" s="13"/>
      <c r="Q164" s="19"/>
      <c r="R164" s="13"/>
      <c r="S164" s="19"/>
      <c r="T164" s="13"/>
      <c r="U164" s="524"/>
      <c r="V164" s="460"/>
      <c r="W164" s="524"/>
      <c r="X164" s="460"/>
      <c r="Y164" s="524"/>
      <c r="Z164" s="460"/>
    </row>
    <row r="165" spans="1:26">
      <c r="A165" s="14"/>
      <c r="B165" s="15"/>
      <c r="C165" s="16"/>
      <c r="D165" s="17"/>
      <c r="E165" s="12"/>
      <c r="F165" s="18"/>
      <c r="G165" s="19"/>
      <c r="H165" s="13"/>
      <c r="I165" s="19"/>
      <c r="J165" s="13"/>
      <c r="K165" s="19"/>
      <c r="L165" s="13"/>
      <c r="M165" s="19"/>
      <c r="N165" s="13"/>
      <c r="O165" s="19"/>
      <c r="P165" s="13"/>
      <c r="Q165" s="19"/>
      <c r="R165" s="13"/>
      <c r="S165" s="19"/>
      <c r="T165" s="13"/>
      <c r="U165" s="524"/>
      <c r="V165" s="460"/>
      <c r="W165" s="524"/>
      <c r="X165" s="460"/>
      <c r="Y165" s="524"/>
      <c r="Z165" s="460"/>
    </row>
    <row r="166" spans="1:26">
      <c r="A166" s="14"/>
      <c r="B166" s="15"/>
      <c r="C166" s="16"/>
      <c r="D166" s="17"/>
      <c r="E166" s="12"/>
      <c r="F166" s="18"/>
      <c r="G166" s="19"/>
      <c r="H166" s="13"/>
      <c r="I166" s="19"/>
      <c r="J166" s="13"/>
      <c r="K166" s="19"/>
      <c r="L166" s="13"/>
      <c r="M166" s="19"/>
      <c r="N166" s="13"/>
      <c r="O166" s="19"/>
      <c r="P166" s="13"/>
      <c r="Q166" s="19"/>
      <c r="R166" s="13"/>
      <c r="S166" s="19"/>
      <c r="T166" s="13"/>
      <c r="U166" s="524"/>
      <c r="V166" s="460"/>
      <c r="W166" s="524"/>
      <c r="X166" s="460"/>
      <c r="Y166" s="524"/>
      <c r="Z166" s="460"/>
    </row>
    <row r="167" spans="1:26">
      <c r="A167" s="14"/>
      <c r="B167" s="15"/>
      <c r="C167" s="16"/>
      <c r="D167" s="17"/>
      <c r="E167" s="12"/>
      <c r="F167" s="18"/>
      <c r="G167" s="19"/>
      <c r="H167" s="13"/>
      <c r="I167" s="19"/>
      <c r="J167" s="13"/>
      <c r="K167" s="19"/>
      <c r="L167" s="13"/>
      <c r="M167" s="19"/>
      <c r="N167" s="13"/>
      <c r="O167" s="19"/>
      <c r="P167" s="13"/>
      <c r="Q167" s="19"/>
      <c r="R167" s="13"/>
      <c r="S167" s="19"/>
      <c r="T167" s="13"/>
      <c r="U167" s="524"/>
      <c r="V167" s="460"/>
      <c r="W167" s="524"/>
      <c r="X167" s="460"/>
      <c r="Y167" s="524"/>
      <c r="Z167" s="460"/>
    </row>
    <row r="168" spans="1:26">
      <c r="A168" s="14"/>
      <c r="B168" s="15"/>
      <c r="C168" s="16"/>
      <c r="D168" s="17"/>
      <c r="E168" s="12"/>
      <c r="F168" s="18"/>
      <c r="G168" s="19"/>
      <c r="H168" s="13"/>
      <c r="I168" s="19"/>
      <c r="J168" s="13"/>
      <c r="K168" s="19"/>
      <c r="L168" s="13"/>
      <c r="M168" s="19"/>
      <c r="N168" s="13"/>
      <c r="O168" s="19"/>
      <c r="P168" s="13"/>
      <c r="Q168" s="19"/>
      <c r="R168" s="13"/>
      <c r="S168" s="19"/>
      <c r="T168" s="13"/>
      <c r="U168" s="524"/>
      <c r="V168" s="460"/>
      <c r="W168" s="524"/>
      <c r="X168" s="460"/>
      <c r="Y168" s="524"/>
      <c r="Z168" s="460"/>
    </row>
    <row r="169" spans="1:26">
      <c r="A169" s="14"/>
      <c r="B169" s="15"/>
      <c r="C169" s="16"/>
      <c r="D169" s="17"/>
      <c r="E169" s="12"/>
      <c r="F169" s="18"/>
      <c r="G169" s="19"/>
      <c r="H169" s="13"/>
      <c r="I169" s="19"/>
      <c r="J169" s="13"/>
      <c r="K169" s="19"/>
      <c r="L169" s="13"/>
      <c r="M169" s="19"/>
      <c r="N169" s="13"/>
      <c r="O169" s="19"/>
      <c r="P169" s="13"/>
      <c r="Q169" s="19"/>
      <c r="R169" s="13"/>
      <c r="S169" s="19"/>
      <c r="T169" s="13"/>
      <c r="U169" s="524"/>
      <c r="V169" s="460"/>
      <c r="W169" s="524"/>
      <c r="X169" s="460"/>
      <c r="Y169" s="524"/>
      <c r="Z169" s="460"/>
    </row>
    <row r="170" spans="1:26">
      <c r="A170" s="14"/>
      <c r="B170" s="15"/>
      <c r="C170" s="16"/>
      <c r="D170" s="17"/>
      <c r="E170" s="12"/>
      <c r="F170" s="18"/>
      <c r="G170" s="19"/>
      <c r="H170" s="13"/>
      <c r="I170" s="19"/>
      <c r="J170" s="13"/>
      <c r="K170" s="19"/>
      <c r="L170" s="13"/>
      <c r="M170" s="19"/>
      <c r="N170" s="13"/>
      <c r="O170" s="19"/>
      <c r="P170" s="13"/>
      <c r="Q170" s="19"/>
      <c r="R170" s="13"/>
      <c r="S170" s="19"/>
      <c r="T170" s="13"/>
      <c r="U170" s="524"/>
      <c r="V170" s="460"/>
      <c r="W170" s="524"/>
      <c r="X170" s="460"/>
      <c r="Y170" s="524"/>
      <c r="Z170" s="460"/>
    </row>
    <row r="171" spans="1:26">
      <c r="A171" s="14"/>
      <c r="B171" s="15"/>
      <c r="C171" s="16"/>
      <c r="D171" s="17"/>
      <c r="E171" s="12"/>
      <c r="F171" s="18"/>
      <c r="G171" s="19"/>
      <c r="H171" s="13"/>
      <c r="I171" s="19"/>
      <c r="J171" s="13"/>
      <c r="K171" s="19"/>
      <c r="L171" s="13"/>
      <c r="M171" s="19"/>
      <c r="N171" s="13"/>
      <c r="O171" s="19"/>
      <c r="P171" s="13"/>
      <c r="Q171" s="19"/>
      <c r="R171" s="13"/>
      <c r="S171" s="19"/>
      <c r="T171" s="13"/>
      <c r="U171" s="524"/>
      <c r="V171" s="460"/>
      <c r="W171" s="524"/>
      <c r="X171" s="460"/>
      <c r="Y171" s="524"/>
      <c r="Z171" s="460"/>
    </row>
    <row r="172" spans="1:26">
      <c r="A172" s="14"/>
      <c r="B172" s="15"/>
      <c r="C172" s="16"/>
      <c r="D172" s="17"/>
      <c r="E172" s="12"/>
      <c r="F172" s="18"/>
      <c r="G172" s="19"/>
      <c r="H172" s="13"/>
      <c r="I172" s="19"/>
      <c r="J172" s="13"/>
      <c r="K172" s="19"/>
      <c r="L172" s="13"/>
      <c r="M172" s="19"/>
      <c r="N172" s="13"/>
      <c r="O172" s="19"/>
      <c r="P172" s="13"/>
      <c r="Q172" s="19"/>
      <c r="R172" s="13"/>
      <c r="S172" s="19"/>
      <c r="T172" s="13"/>
      <c r="U172" s="524"/>
      <c r="V172" s="460"/>
      <c r="W172" s="524"/>
      <c r="X172" s="460"/>
      <c r="Y172" s="524"/>
      <c r="Z172" s="460"/>
    </row>
    <row r="173" spans="1:26">
      <c r="A173" s="14"/>
      <c r="B173" s="15"/>
      <c r="C173" s="16"/>
      <c r="D173" s="17"/>
      <c r="E173" s="12"/>
      <c r="F173" s="18"/>
      <c r="G173" s="19"/>
      <c r="H173" s="13"/>
      <c r="I173" s="19"/>
      <c r="J173" s="13"/>
      <c r="K173" s="19"/>
      <c r="L173" s="13"/>
      <c r="M173" s="19"/>
      <c r="N173" s="13"/>
      <c r="O173" s="19"/>
      <c r="P173" s="13"/>
      <c r="Q173" s="19"/>
      <c r="R173" s="13"/>
      <c r="S173" s="19"/>
      <c r="T173" s="13"/>
      <c r="U173" s="524"/>
      <c r="V173" s="460"/>
      <c r="W173" s="524"/>
      <c r="X173" s="460"/>
      <c r="Y173" s="524"/>
      <c r="Z173" s="460"/>
    </row>
    <row r="174" spans="1:26">
      <c r="A174" s="14"/>
      <c r="B174" s="15"/>
      <c r="C174" s="16"/>
      <c r="D174" s="17"/>
      <c r="E174" s="12"/>
      <c r="F174" s="18"/>
      <c r="G174" s="19"/>
      <c r="H174" s="13"/>
      <c r="I174" s="19"/>
      <c r="J174" s="13"/>
      <c r="K174" s="19"/>
      <c r="L174" s="13"/>
      <c r="M174" s="19"/>
      <c r="N174" s="13"/>
      <c r="O174" s="19"/>
      <c r="P174" s="13"/>
      <c r="Q174" s="19"/>
      <c r="R174" s="13"/>
      <c r="S174" s="19"/>
      <c r="T174" s="13"/>
      <c r="U174" s="524"/>
      <c r="V174" s="460"/>
      <c r="W174" s="524"/>
      <c r="X174" s="460"/>
      <c r="Y174" s="524"/>
      <c r="Z174" s="460"/>
    </row>
    <row r="175" spans="1:26">
      <c r="A175" s="14"/>
      <c r="B175" s="15"/>
      <c r="C175" s="16"/>
      <c r="D175" s="17"/>
      <c r="E175" s="12"/>
      <c r="F175" s="18"/>
      <c r="G175" s="19"/>
      <c r="H175" s="13"/>
      <c r="I175" s="19"/>
      <c r="J175" s="13"/>
      <c r="K175" s="19"/>
      <c r="L175" s="13"/>
      <c r="M175" s="19"/>
      <c r="N175" s="13"/>
      <c r="O175" s="19"/>
      <c r="P175" s="13"/>
      <c r="Q175" s="19"/>
      <c r="R175" s="13"/>
      <c r="S175" s="19"/>
      <c r="T175" s="13"/>
      <c r="U175" s="524"/>
      <c r="V175" s="460"/>
      <c r="W175" s="524"/>
      <c r="X175" s="460"/>
      <c r="Y175" s="524"/>
      <c r="Z175" s="460"/>
    </row>
    <row r="176" spans="1:26">
      <c r="A176" s="14"/>
      <c r="B176" s="15"/>
      <c r="C176" s="16"/>
      <c r="D176" s="17"/>
      <c r="E176" s="12"/>
      <c r="F176" s="18"/>
      <c r="G176" s="19"/>
      <c r="H176" s="13"/>
      <c r="I176" s="19"/>
      <c r="J176" s="13"/>
      <c r="K176" s="19"/>
      <c r="L176" s="13"/>
      <c r="M176" s="19"/>
      <c r="N176" s="13"/>
      <c r="O176" s="19"/>
      <c r="P176" s="13"/>
      <c r="Q176" s="19"/>
      <c r="R176" s="13"/>
      <c r="S176" s="19"/>
      <c r="T176" s="13"/>
      <c r="U176" s="524"/>
      <c r="V176" s="460"/>
      <c r="W176" s="524"/>
      <c r="X176" s="460"/>
      <c r="Y176" s="524"/>
      <c r="Z176" s="460"/>
    </row>
    <row r="177" spans="1:26">
      <c r="A177" s="14"/>
      <c r="B177" s="15"/>
      <c r="C177" s="16"/>
      <c r="D177" s="17"/>
      <c r="E177" s="12"/>
      <c r="F177" s="18"/>
      <c r="G177" s="19"/>
      <c r="H177" s="13"/>
      <c r="I177" s="19"/>
      <c r="J177" s="13"/>
      <c r="K177" s="19"/>
      <c r="L177" s="13"/>
      <c r="M177" s="19"/>
      <c r="N177" s="13"/>
      <c r="O177" s="19"/>
      <c r="P177" s="13"/>
      <c r="Q177" s="19"/>
      <c r="R177" s="13"/>
      <c r="S177" s="19"/>
      <c r="T177" s="13"/>
      <c r="U177" s="524"/>
      <c r="V177" s="460"/>
      <c r="W177" s="524"/>
      <c r="X177" s="460"/>
      <c r="Y177" s="524"/>
      <c r="Z177" s="460"/>
    </row>
    <row r="178" spans="1:26">
      <c r="A178" s="14"/>
      <c r="B178" s="15"/>
      <c r="C178" s="16"/>
      <c r="D178" s="17"/>
      <c r="E178" s="12"/>
      <c r="F178" s="18"/>
      <c r="G178" s="19"/>
      <c r="H178" s="13"/>
      <c r="I178" s="19"/>
      <c r="J178" s="13"/>
      <c r="K178" s="19"/>
      <c r="L178" s="13"/>
      <c r="M178" s="19"/>
      <c r="N178" s="13"/>
      <c r="O178" s="19"/>
      <c r="P178" s="13"/>
      <c r="Q178" s="19"/>
      <c r="R178" s="13"/>
      <c r="S178" s="19"/>
      <c r="T178" s="13"/>
      <c r="U178" s="524"/>
      <c r="V178" s="460"/>
      <c r="W178" s="524"/>
      <c r="X178" s="460"/>
      <c r="Y178" s="524"/>
      <c r="Z178" s="460"/>
    </row>
    <row r="179" spans="1:26">
      <c r="A179" s="14"/>
      <c r="B179" s="15"/>
      <c r="C179" s="16"/>
      <c r="D179" s="17"/>
      <c r="E179" s="12"/>
      <c r="F179" s="18"/>
      <c r="G179" s="19"/>
      <c r="H179" s="13"/>
      <c r="I179" s="19"/>
      <c r="J179" s="13"/>
      <c r="K179" s="19"/>
      <c r="L179" s="13"/>
      <c r="M179" s="19"/>
      <c r="N179" s="13"/>
      <c r="O179" s="19"/>
      <c r="P179" s="13"/>
      <c r="Q179" s="19"/>
      <c r="R179" s="13"/>
      <c r="S179" s="19"/>
      <c r="T179" s="13"/>
      <c r="U179" s="524"/>
      <c r="V179" s="460"/>
      <c r="W179" s="524"/>
      <c r="X179" s="460"/>
      <c r="Y179" s="524"/>
      <c r="Z179" s="460"/>
    </row>
    <row r="180" spans="1:26">
      <c r="A180" s="14"/>
      <c r="B180" s="15"/>
      <c r="C180" s="16"/>
      <c r="D180" s="17"/>
      <c r="E180" s="12"/>
      <c r="F180" s="18"/>
      <c r="G180" s="19"/>
      <c r="H180" s="13"/>
      <c r="I180" s="19"/>
      <c r="J180" s="13"/>
      <c r="K180" s="19"/>
      <c r="L180" s="13"/>
      <c r="M180" s="19"/>
      <c r="N180" s="13"/>
      <c r="O180" s="19"/>
      <c r="P180" s="13"/>
      <c r="Q180" s="19"/>
      <c r="R180" s="13"/>
      <c r="S180" s="19"/>
      <c r="T180" s="13"/>
      <c r="U180" s="524"/>
      <c r="V180" s="460"/>
      <c r="W180" s="524"/>
      <c r="X180" s="460"/>
      <c r="Y180" s="524"/>
      <c r="Z180" s="460"/>
    </row>
    <row r="181" spans="1:26">
      <c r="A181" s="14"/>
      <c r="B181" s="15"/>
      <c r="C181" s="16"/>
      <c r="D181" s="17"/>
      <c r="E181" s="12"/>
      <c r="F181" s="18"/>
      <c r="G181" s="19"/>
      <c r="H181" s="13"/>
      <c r="I181" s="19"/>
      <c r="J181" s="13"/>
      <c r="K181" s="19"/>
      <c r="L181" s="13"/>
      <c r="M181" s="19"/>
      <c r="N181" s="13"/>
      <c r="O181" s="19"/>
      <c r="P181" s="13"/>
      <c r="Q181" s="19"/>
      <c r="R181" s="13"/>
      <c r="S181" s="19"/>
      <c r="T181" s="13"/>
      <c r="U181" s="524"/>
      <c r="V181" s="460"/>
      <c r="W181" s="524"/>
      <c r="X181" s="460"/>
      <c r="Y181" s="524"/>
      <c r="Z181" s="460"/>
    </row>
    <row r="182" spans="1:26">
      <c r="A182" s="14"/>
      <c r="B182" s="15"/>
      <c r="C182" s="16"/>
      <c r="D182" s="17"/>
      <c r="E182" s="12"/>
      <c r="F182" s="18"/>
      <c r="G182" s="19"/>
      <c r="H182" s="13"/>
      <c r="I182" s="19"/>
      <c r="J182" s="13"/>
      <c r="K182" s="19"/>
      <c r="L182" s="13"/>
      <c r="M182" s="19"/>
      <c r="N182" s="13"/>
      <c r="O182" s="19"/>
      <c r="P182" s="13"/>
      <c r="Q182" s="19"/>
      <c r="R182" s="13"/>
      <c r="S182" s="19"/>
      <c r="T182" s="13"/>
      <c r="U182" s="524"/>
      <c r="V182" s="460"/>
      <c r="W182" s="524"/>
      <c r="X182" s="460"/>
      <c r="Y182" s="524"/>
      <c r="Z182" s="460"/>
    </row>
    <row r="183" spans="1:26">
      <c r="A183" s="14"/>
      <c r="B183" s="15"/>
      <c r="C183" s="16"/>
      <c r="D183" s="17"/>
      <c r="E183" s="12"/>
      <c r="F183" s="18"/>
      <c r="G183" s="19"/>
      <c r="H183" s="13"/>
      <c r="I183" s="19"/>
      <c r="J183" s="13"/>
      <c r="K183" s="19"/>
      <c r="L183" s="13"/>
      <c r="M183" s="19"/>
      <c r="N183" s="13"/>
      <c r="O183" s="19"/>
      <c r="P183" s="13"/>
      <c r="Q183" s="19"/>
      <c r="R183" s="13"/>
      <c r="S183" s="19"/>
      <c r="T183" s="13"/>
      <c r="U183" s="524"/>
      <c r="V183" s="460"/>
      <c r="W183" s="524"/>
      <c r="X183" s="460"/>
      <c r="Y183" s="524"/>
      <c r="Z183" s="460"/>
    </row>
    <row r="184" spans="1:26">
      <c r="A184" s="14"/>
      <c r="B184" s="15"/>
      <c r="C184" s="16"/>
      <c r="D184" s="17"/>
      <c r="E184" s="12"/>
      <c r="F184" s="18"/>
      <c r="G184" s="19"/>
      <c r="H184" s="13"/>
      <c r="I184" s="19"/>
      <c r="J184" s="13"/>
      <c r="K184" s="19"/>
      <c r="L184" s="13"/>
      <c r="M184" s="19"/>
      <c r="N184" s="13"/>
      <c r="O184" s="19"/>
      <c r="P184" s="13"/>
      <c r="Q184" s="19"/>
      <c r="R184" s="13"/>
      <c r="S184" s="19"/>
      <c r="T184" s="13"/>
      <c r="U184" s="524"/>
      <c r="V184" s="460"/>
      <c r="W184" s="524"/>
      <c r="X184" s="460"/>
      <c r="Y184" s="524"/>
      <c r="Z184" s="460"/>
    </row>
    <row r="185" spans="1:26">
      <c r="A185" s="14"/>
      <c r="B185" s="15"/>
      <c r="C185" s="16"/>
      <c r="D185" s="17"/>
      <c r="E185" s="12"/>
      <c r="F185" s="18"/>
      <c r="G185" s="19"/>
      <c r="H185" s="13"/>
      <c r="I185" s="19"/>
      <c r="J185" s="13"/>
      <c r="K185" s="19"/>
      <c r="L185" s="13"/>
      <c r="M185" s="19"/>
      <c r="N185" s="13"/>
      <c r="O185" s="19"/>
      <c r="P185" s="13"/>
      <c r="Q185" s="19"/>
      <c r="R185" s="13"/>
      <c r="S185" s="19"/>
      <c r="T185" s="13"/>
      <c r="U185" s="524"/>
      <c r="V185" s="460"/>
      <c r="W185" s="524"/>
      <c r="X185" s="460"/>
      <c r="Y185" s="524"/>
      <c r="Z185" s="460"/>
    </row>
    <row r="186" spans="1:26">
      <c r="A186" s="14"/>
      <c r="B186" s="15"/>
      <c r="C186" s="16"/>
      <c r="D186" s="17"/>
      <c r="E186" s="12"/>
      <c r="F186" s="18"/>
      <c r="G186" s="19"/>
      <c r="H186" s="13"/>
      <c r="I186" s="19"/>
      <c r="J186" s="13"/>
      <c r="K186" s="19"/>
      <c r="L186" s="13"/>
      <c r="M186" s="19"/>
      <c r="N186" s="13"/>
      <c r="O186" s="19"/>
      <c r="P186" s="13"/>
      <c r="Q186" s="19"/>
      <c r="R186" s="13"/>
      <c r="S186" s="19"/>
      <c r="T186" s="13"/>
      <c r="U186" s="524"/>
      <c r="V186" s="460"/>
      <c r="W186" s="524"/>
      <c r="X186" s="460"/>
      <c r="Y186" s="524"/>
      <c r="Z186" s="460"/>
    </row>
    <row r="187" spans="1:26">
      <c r="A187" s="14"/>
      <c r="B187" s="15"/>
      <c r="C187" s="16"/>
      <c r="D187" s="17"/>
      <c r="E187" s="12"/>
      <c r="F187" s="18"/>
      <c r="G187" s="19"/>
      <c r="H187" s="13"/>
      <c r="I187" s="19"/>
      <c r="J187" s="13"/>
      <c r="K187" s="19"/>
      <c r="L187" s="13"/>
      <c r="M187" s="19"/>
      <c r="N187" s="13"/>
      <c r="O187" s="19"/>
      <c r="P187" s="13"/>
      <c r="Q187" s="19"/>
      <c r="R187" s="13"/>
      <c r="S187" s="19"/>
      <c r="T187" s="13"/>
      <c r="U187" s="524"/>
      <c r="V187" s="460"/>
      <c r="W187" s="524"/>
      <c r="X187" s="460"/>
      <c r="Y187" s="524"/>
      <c r="Z187" s="460"/>
    </row>
    <row r="188" spans="1:26">
      <c r="A188" s="14"/>
      <c r="B188" s="15"/>
      <c r="C188" s="16"/>
      <c r="D188" s="17"/>
      <c r="E188" s="12"/>
      <c r="F188" s="18"/>
      <c r="G188" s="19"/>
      <c r="H188" s="13"/>
      <c r="I188" s="19"/>
      <c r="J188" s="13"/>
      <c r="K188" s="19"/>
      <c r="L188" s="13"/>
      <c r="M188" s="19"/>
      <c r="N188" s="13"/>
      <c r="O188" s="19"/>
      <c r="P188" s="13"/>
      <c r="Q188" s="19"/>
      <c r="R188" s="13"/>
      <c r="S188" s="19"/>
      <c r="T188" s="13"/>
      <c r="U188" s="524"/>
      <c r="V188" s="460"/>
      <c r="W188" s="524"/>
      <c r="X188" s="460"/>
      <c r="Y188" s="524"/>
      <c r="Z188" s="460"/>
    </row>
    <row r="189" spans="1:26">
      <c r="A189" s="14"/>
      <c r="B189" s="15"/>
      <c r="C189" s="16"/>
      <c r="D189" s="17"/>
      <c r="E189" s="12"/>
      <c r="F189" s="18"/>
      <c r="G189" s="19"/>
      <c r="H189" s="13"/>
      <c r="I189" s="19"/>
      <c r="J189" s="13"/>
      <c r="K189" s="19"/>
      <c r="L189" s="13"/>
      <c r="M189" s="19"/>
      <c r="N189" s="13"/>
      <c r="O189" s="19"/>
      <c r="P189" s="13"/>
      <c r="Q189" s="19"/>
      <c r="R189" s="13"/>
      <c r="S189" s="19"/>
      <c r="T189" s="13"/>
      <c r="U189" s="524"/>
      <c r="V189" s="460"/>
      <c r="W189" s="524"/>
      <c r="X189" s="460"/>
      <c r="Y189" s="524"/>
      <c r="Z189" s="460"/>
    </row>
    <row r="190" spans="1:26">
      <c r="A190" s="14"/>
      <c r="B190" s="15"/>
      <c r="C190" s="16"/>
      <c r="D190" s="17"/>
      <c r="E190" s="12"/>
      <c r="F190" s="18"/>
      <c r="G190" s="19"/>
      <c r="H190" s="13"/>
      <c r="I190" s="19"/>
      <c r="J190" s="13"/>
      <c r="K190" s="19"/>
      <c r="L190" s="13"/>
      <c r="M190" s="19"/>
      <c r="N190" s="13"/>
      <c r="O190" s="19"/>
      <c r="P190" s="13"/>
      <c r="Q190" s="19"/>
      <c r="R190" s="13"/>
      <c r="S190" s="19"/>
      <c r="T190" s="13"/>
      <c r="U190" s="524"/>
      <c r="V190" s="460"/>
      <c r="W190" s="524"/>
      <c r="X190" s="460"/>
      <c r="Y190" s="524"/>
      <c r="Z190" s="460"/>
    </row>
    <row r="191" spans="1:26">
      <c r="A191" s="14"/>
      <c r="B191" s="15"/>
      <c r="C191" s="16"/>
      <c r="D191" s="17"/>
      <c r="E191" s="12"/>
      <c r="F191" s="18"/>
      <c r="G191" s="19"/>
      <c r="H191" s="13"/>
      <c r="I191" s="19"/>
      <c r="J191" s="13"/>
      <c r="K191" s="19"/>
      <c r="L191" s="13"/>
      <c r="M191" s="19"/>
      <c r="N191" s="13"/>
      <c r="O191" s="19"/>
      <c r="P191" s="13"/>
      <c r="Q191" s="19"/>
      <c r="R191" s="13"/>
      <c r="S191" s="19"/>
      <c r="T191" s="13"/>
      <c r="U191" s="524"/>
      <c r="V191" s="460"/>
      <c r="W191" s="524"/>
      <c r="X191" s="460"/>
      <c r="Y191" s="524"/>
      <c r="Z191" s="460"/>
    </row>
    <row r="192" spans="1:26">
      <c r="A192" s="14"/>
      <c r="B192" s="15"/>
      <c r="C192" s="16"/>
      <c r="D192" s="17"/>
      <c r="E192" s="12"/>
      <c r="F192" s="18"/>
      <c r="G192" s="19"/>
      <c r="H192" s="13"/>
      <c r="I192" s="19"/>
      <c r="J192" s="13"/>
      <c r="K192" s="19"/>
      <c r="L192" s="13"/>
      <c r="M192" s="19"/>
      <c r="N192" s="13"/>
      <c r="O192" s="19"/>
      <c r="P192" s="13"/>
      <c r="Q192" s="19"/>
      <c r="R192" s="13"/>
      <c r="S192" s="19"/>
      <c r="T192" s="13"/>
      <c r="U192" s="524"/>
      <c r="V192" s="460"/>
      <c r="W192" s="524"/>
      <c r="X192" s="460"/>
      <c r="Y192" s="524"/>
      <c r="Z192" s="460"/>
    </row>
    <row r="193" spans="1:26">
      <c r="A193" s="14"/>
      <c r="B193" s="15"/>
      <c r="C193" s="16"/>
      <c r="D193" s="17"/>
      <c r="E193" s="12"/>
      <c r="F193" s="18"/>
      <c r="G193" s="19"/>
      <c r="H193" s="13"/>
      <c r="I193" s="19"/>
      <c r="J193" s="13"/>
      <c r="K193" s="19"/>
      <c r="L193" s="13"/>
      <c r="M193" s="19"/>
      <c r="N193" s="13"/>
      <c r="O193" s="19"/>
      <c r="P193" s="13"/>
      <c r="Q193" s="19"/>
      <c r="R193" s="13"/>
      <c r="S193" s="19"/>
      <c r="T193" s="13"/>
      <c r="U193" s="524"/>
      <c r="V193" s="460"/>
      <c r="W193" s="524"/>
      <c r="X193" s="460"/>
      <c r="Y193" s="524"/>
      <c r="Z193" s="460"/>
    </row>
    <row r="194" spans="1:26">
      <c r="A194" s="14"/>
      <c r="B194" s="15"/>
      <c r="C194" s="16"/>
      <c r="D194" s="17"/>
      <c r="E194" s="12"/>
      <c r="F194" s="18"/>
      <c r="G194" s="19"/>
      <c r="H194" s="13"/>
      <c r="I194" s="19"/>
      <c r="J194" s="13"/>
      <c r="K194" s="19"/>
      <c r="L194" s="13"/>
      <c r="M194" s="19"/>
      <c r="N194" s="13"/>
      <c r="O194" s="19"/>
      <c r="P194" s="13"/>
      <c r="Q194" s="19"/>
      <c r="R194" s="13"/>
      <c r="S194" s="19"/>
      <c r="T194" s="13"/>
      <c r="U194" s="524"/>
      <c r="V194" s="460"/>
      <c r="W194" s="524"/>
      <c r="X194" s="460"/>
      <c r="Y194" s="524"/>
      <c r="Z194" s="460"/>
    </row>
    <row r="195" spans="1:26">
      <c r="A195" s="14"/>
      <c r="B195" s="15"/>
      <c r="C195" s="16"/>
      <c r="D195" s="17"/>
      <c r="E195" s="12"/>
      <c r="F195" s="18"/>
      <c r="G195" s="19"/>
      <c r="H195" s="13"/>
      <c r="I195" s="19"/>
      <c r="J195" s="13"/>
      <c r="K195" s="19"/>
      <c r="L195" s="13"/>
      <c r="M195" s="19"/>
      <c r="N195" s="13"/>
      <c r="O195" s="19"/>
      <c r="P195" s="13"/>
      <c r="Q195" s="19"/>
      <c r="R195" s="13"/>
      <c r="S195" s="19"/>
      <c r="T195" s="13"/>
      <c r="U195" s="524"/>
      <c r="V195" s="460"/>
      <c r="W195" s="524"/>
      <c r="X195" s="460"/>
      <c r="Y195" s="524"/>
      <c r="Z195" s="460"/>
    </row>
    <row r="196" spans="1:26">
      <c r="A196" s="14"/>
      <c r="B196" s="15"/>
      <c r="C196" s="16"/>
      <c r="D196" s="17"/>
      <c r="E196" s="12"/>
      <c r="F196" s="18"/>
      <c r="G196" s="19"/>
      <c r="H196" s="13"/>
      <c r="I196" s="19"/>
      <c r="J196" s="13"/>
      <c r="K196" s="19"/>
      <c r="L196" s="13"/>
      <c r="M196" s="19"/>
      <c r="N196" s="13"/>
      <c r="O196" s="19"/>
      <c r="P196" s="13"/>
      <c r="Q196" s="19"/>
      <c r="R196" s="13"/>
      <c r="S196" s="19"/>
      <c r="T196" s="13"/>
      <c r="U196" s="524"/>
      <c r="V196" s="460"/>
      <c r="W196" s="524"/>
      <c r="X196" s="460"/>
      <c r="Y196" s="524"/>
      <c r="Z196" s="460"/>
    </row>
    <row r="197" spans="1:26">
      <c r="A197" s="14"/>
      <c r="B197" s="15"/>
      <c r="C197" s="16"/>
      <c r="D197" s="17"/>
      <c r="E197" s="12"/>
      <c r="F197" s="18"/>
      <c r="G197" s="19"/>
      <c r="H197" s="13"/>
      <c r="I197" s="19"/>
      <c r="J197" s="13"/>
      <c r="K197" s="19"/>
      <c r="L197" s="13"/>
      <c r="M197" s="19"/>
      <c r="N197" s="13"/>
      <c r="O197" s="19"/>
      <c r="P197" s="13"/>
      <c r="Q197" s="19"/>
      <c r="R197" s="13"/>
      <c r="S197" s="19"/>
      <c r="T197" s="13"/>
      <c r="U197" s="524"/>
      <c r="V197" s="460"/>
      <c r="W197" s="524"/>
      <c r="X197" s="460"/>
      <c r="Y197" s="524"/>
      <c r="Z197" s="460"/>
    </row>
    <row r="198" spans="1:26">
      <c r="A198" s="14"/>
      <c r="B198" s="15"/>
      <c r="C198" s="16"/>
      <c r="D198" s="17"/>
      <c r="E198" s="12"/>
      <c r="F198" s="18"/>
      <c r="G198" s="19"/>
      <c r="H198" s="13"/>
      <c r="I198" s="19"/>
      <c r="J198" s="13"/>
      <c r="K198" s="19"/>
      <c r="L198" s="13"/>
      <c r="M198" s="19"/>
      <c r="N198" s="13"/>
      <c r="O198" s="19"/>
      <c r="P198" s="13"/>
      <c r="Q198" s="19"/>
      <c r="R198" s="13"/>
      <c r="S198" s="19"/>
      <c r="T198" s="13"/>
      <c r="U198" s="524"/>
      <c r="V198" s="460"/>
      <c r="W198" s="524"/>
      <c r="X198" s="460"/>
      <c r="Y198" s="524"/>
      <c r="Z198" s="460"/>
    </row>
    <row r="199" spans="1:26">
      <c r="A199" s="14"/>
      <c r="B199" s="15"/>
      <c r="C199" s="16"/>
      <c r="D199" s="17"/>
      <c r="E199" s="12"/>
      <c r="F199" s="18"/>
      <c r="G199" s="19"/>
      <c r="H199" s="13"/>
      <c r="I199" s="19"/>
      <c r="J199" s="13"/>
      <c r="K199" s="19"/>
      <c r="L199" s="13"/>
      <c r="M199" s="19"/>
      <c r="N199" s="13"/>
      <c r="O199" s="19"/>
      <c r="P199" s="13"/>
      <c r="Q199" s="19"/>
      <c r="R199" s="13"/>
      <c r="S199" s="19"/>
      <c r="T199" s="13"/>
      <c r="U199" s="524"/>
      <c r="V199" s="460"/>
      <c r="W199" s="524"/>
      <c r="X199" s="460"/>
      <c r="Y199" s="524"/>
      <c r="Z199" s="460"/>
    </row>
    <row r="200" spans="1:26">
      <c r="A200" s="14"/>
      <c r="B200" s="15"/>
      <c r="C200" s="16"/>
      <c r="D200" s="17"/>
      <c r="E200" s="12"/>
      <c r="F200" s="18"/>
      <c r="G200" s="19"/>
      <c r="H200" s="13"/>
      <c r="I200" s="19"/>
      <c r="J200" s="13"/>
      <c r="K200" s="19"/>
      <c r="L200" s="13"/>
      <c r="M200" s="19"/>
      <c r="N200" s="13"/>
      <c r="O200" s="19"/>
      <c r="P200" s="13"/>
      <c r="Q200" s="19"/>
      <c r="R200" s="13"/>
      <c r="S200" s="19"/>
      <c r="T200" s="13"/>
      <c r="U200" s="524"/>
      <c r="V200" s="460"/>
      <c r="W200" s="524"/>
      <c r="X200" s="460"/>
      <c r="Y200" s="524"/>
      <c r="Z200" s="460"/>
    </row>
    <row r="201" spans="1:26">
      <c r="A201" s="14"/>
      <c r="B201" s="15"/>
      <c r="C201" s="16"/>
      <c r="D201" s="17"/>
      <c r="E201" s="12"/>
      <c r="F201" s="18"/>
      <c r="G201" s="19"/>
      <c r="H201" s="13"/>
      <c r="I201" s="19"/>
      <c r="J201" s="13"/>
      <c r="K201" s="19"/>
      <c r="L201" s="13"/>
      <c r="M201" s="19"/>
      <c r="N201" s="13"/>
      <c r="O201" s="19"/>
      <c r="P201" s="13"/>
      <c r="Q201" s="19"/>
      <c r="R201" s="13"/>
      <c r="S201" s="19"/>
      <c r="T201" s="13"/>
      <c r="U201" s="524"/>
      <c r="V201" s="460"/>
      <c r="W201" s="524"/>
      <c r="X201" s="460"/>
      <c r="Y201" s="524"/>
      <c r="Z201" s="460"/>
    </row>
    <row r="202" spans="1:26">
      <c r="A202" s="14"/>
      <c r="B202" s="15"/>
      <c r="C202" s="16"/>
      <c r="D202" s="17"/>
      <c r="E202" s="12"/>
      <c r="F202" s="18"/>
      <c r="G202" s="19"/>
      <c r="H202" s="13"/>
      <c r="I202" s="19"/>
      <c r="J202" s="13"/>
      <c r="K202" s="19"/>
      <c r="L202" s="13"/>
      <c r="M202" s="19"/>
      <c r="N202" s="13"/>
      <c r="O202" s="19"/>
      <c r="P202" s="13"/>
      <c r="Q202" s="19"/>
      <c r="R202" s="13"/>
      <c r="S202" s="19"/>
      <c r="T202" s="13"/>
      <c r="U202" s="524"/>
      <c r="V202" s="460"/>
      <c r="W202" s="524"/>
      <c r="X202" s="460"/>
      <c r="Y202" s="524"/>
      <c r="Z202" s="460"/>
    </row>
    <row r="203" spans="1:26">
      <c r="A203" s="14"/>
      <c r="B203" s="15"/>
      <c r="C203" s="16"/>
      <c r="D203" s="17"/>
      <c r="E203" s="12"/>
      <c r="F203" s="18"/>
      <c r="G203" s="19"/>
      <c r="H203" s="13"/>
      <c r="I203" s="19"/>
      <c r="J203" s="13"/>
      <c r="K203" s="19"/>
      <c r="L203" s="13"/>
      <c r="M203" s="19"/>
      <c r="N203" s="13"/>
      <c r="O203" s="19"/>
      <c r="P203" s="13"/>
      <c r="Q203" s="19"/>
      <c r="R203" s="13"/>
      <c r="S203" s="19"/>
      <c r="T203" s="13"/>
      <c r="U203" s="524"/>
      <c r="V203" s="460"/>
      <c r="W203" s="524"/>
      <c r="X203" s="460"/>
      <c r="Y203" s="524"/>
      <c r="Z203" s="460"/>
    </row>
    <row r="204" spans="1:26">
      <c r="A204" s="14"/>
      <c r="B204" s="15"/>
      <c r="C204" s="16"/>
      <c r="D204" s="17"/>
      <c r="E204" s="12"/>
      <c r="F204" s="18"/>
      <c r="G204" s="19"/>
      <c r="H204" s="13"/>
      <c r="I204" s="19"/>
      <c r="J204" s="13"/>
      <c r="K204" s="19"/>
      <c r="L204" s="13"/>
      <c r="M204" s="19"/>
      <c r="N204" s="13"/>
      <c r="O204" s="19"/>
      <c r="P204" s="13"/>
      <c r="Q204" s="19"/>
      <c r="R204" s="13"/>
      <c r="S204" s="19"/>
      <c r="T204" s="13"/>
      <c r="U204" s="524"/>
      <c r="V204" s="460"/>
      <c r="W204" s="524"/>
      <c r="X204" s="460"/>
      <c r="Y204" s="524"/>
      <c r="Z204" s="460"/>
    </row>
    <row r="205" spans="1:26">
      <c r="A205" s="14"/>
      <c r="B205" s="15"/>
      <c r="C205" s="16"/>
      <c r="D205" s="17"/>
      <c r="E205" s="12"/>
      <c r="F205" s="18"/>
      <c r="G205" s="19"/>
      <c r="H205" s="13"/>
      <c r="I205" s="19"/>
      <c r="J205" s="13"/>
      <c r="K205" s="19"/>
      <c r="L205" s="13"/>
      <c r="M205" s="19"/>
      <c r="N205" s="13"/>
      <c r="O205" s="19"/>
      <c r="P205" s="13"/>
      <c r="Q205" s="19"/>
      <c r="R205" s="13"/>
      <c r="S205" s="19"/>
      <c r="T205" s="13"/>
      <c r="U205" s="524"/>
      <c r="V205" s="460"/>
      <c r="W205" s="524"/>
      <c r="X205" s="460"/>
      <c r="Y205" s="524"/>
      <c r="Z205" s="460"/>
    </row>
    <row r="206" spans="1:26">
      <c r="A206" s="14"/>
      <c r="B206" s="15"/>
      <c r="C206" s="16"/>
      <c r="D206" s="17"/>
      <c r="E206" s="12"/>
      <c r="F206" s="18"/>
      <c r="G206" s="19"/>
      <c r="H206" s="13"/>
      <c r="I206" s="19"/>
      <c r="J206" s="13"/>
      <c r="K206" s="19"/>
      <c r="L206" s="13"/>
      <c r="M206" s="19"/>
      <c r="N206" s="13"/>
      <c r="O206" s="19"/>
      <c r="P206" s="13"/>
      <c r="Q206" s="19"/>
      <c r="R206" s="13"/>
      <c r="S206" s="19"/>
      <c r="T206" s="13"/>
      <c r="U206" s="524"/>
      <c r="V206" s="460"/>
      <c r="W206" s="524"/>
      <c r="X206" s="460"/>
      <c r="Y206" s="524"/>
      <c r="Z206" s="460"/>
    </row>
    <row r="207" spans="1:26">
      <c r="A207" s="14"/>
      <c r="B207" s="15"/>
      <c r="C207" s="16"/>
      <c r="D207" s="17"/>
      <c r="E207" s="12"/>
      <c r="F207" s="18"/>
      <c r="G207" s="19"/>
      <c r="H207" s="13"/>
      <c r="I207" s="19"/>
      <c r="J207" s="13"/>
      <c r="K207" s="19"/>
      <c r="L207" s="13"/>
      <c r="M207" s="19"/>
      <c r="N207" s="13"/>
      <c r="O207" s="19"/>
      <c r="P207" s="13"/>
      <c r="Q207" s="19"/>
      <c r="R207" s="13"/>
      <c r="S207" s="19"/>
      <c r="T207" s="13"/>
      <c r="U207" s="524"/>
      <c r="V207" s="460"/>
      <c r="W207" s="524"/>
      <c r="X207" s="460"/>
      <c r="Y207" s="524"/>
      <c r="Z207" s="460"/>
    </row>
    <row r="208" spans="1:26">
      <c r="A208" s="14"/>
      <c r="B208" s="15"/>
      <c r="C208" s="16"/>
      <c r="D208" s="17"/>
      <c r="E208" s="12"/>
      <c r="F208" s="18"/>
      <c r="G208" s="19"/>
      <c r="H208" s="13"/>
      <c r="I208" s="19"/>
      <c r="J208" s="13"/>
      <c r="K208" s="19"/>
      <c r="L208" s="13"/>
      <c r="M208" s="19"/>
      <c r="N208" s="13"/>
      <c r="O208" s="19"/>
      <c r="P208" s="13"/>
      <c r="Q208" s="19"/>
      <c r="R208" s="13"/>
      <c r="S208" s="19"/>
      <c r="T208" s="13"/>
      <c r="U208" s="524"/>
      <c r="V208" s="460"/>
      <c r="W208" s="524"/>
      <c r="X208" s="460"/>
      <c r="Y208" s="524"/>
      <c r="Z208" s="460"/>
    </row>
    <row r="209" spans="1:26">
      <c r="A209" s="14"/>
      <c r="B209" s="15"/>
      <c r="C209" s="16"/>
      <c r="D209" s="17"/>
      <c r="E209" s="12"/>
      <c r="F209" s="18"/>
      <c r="G209" s="19"/>
      <c r="H209" s="13"/>
      <c r="I209" s="19"/>
      <c r="J209" s="13"/>
      <c r="K209" s="19"/>
      <c r="L209" s="13"/>
      <c r="M209" s="19"/>
      <c r="N209" s="13"/>
      <c r="O209" s="19"/>
      <c r="P209" s="13"/>
      <c r="Q209" s="19"/>
      <c r="R209" s="13"/>
      <c r="S209" s="19"/>
      <c r="T209" s="13"/>
      <c r="U209" s="524"/>
      <c r="V209" s="460"/>
      <c r="W209" s="524"/>
      <c r="X209" s="460"/>
      <c r="Y209" s="524"/>
      <c r="Z209" s="460"/>
    </row>
    <row r="210" spans="1:26">
      <c r="A210" s="14"/>
      <c r="B210" s="15"/>
      <c r="C210" s="16"/>
      <c r="D210" s="17"/>
      <c r="E210" s="12"/>
      <c r="F210" s="18"/>
      <c r="G210" s="19"/>
      <c r="H210" s="13"/>
      <c r="I210" s="19"/>
      <c r="J210" s="13"/>
      <c r="K210" s="19"/>
      <c r="L210" s="13"/>
      <c r="M210" s="19"/>
      <c r="N210" s="13"/>
      <c r="O210" s="19"/>
      <c r="P210" s="13"/>
      <c r="Q210" s="19"/>
      <c r="R210" s="13"/>
      <c r="S210" s="19"/>
      <c r="T210" s="13"/>
      <c r="U210" s="524"/>
      <c r="V210" s="460"/>
      <c r="W210" s="524"/>
      <c r="X210" s="460"/>
      <c r="Y210" s="524"/>
      <c r="Z210" s="460"/>
    </row>
    <row r="211" spans="1:26">
      <c r="A211" s="14"/>
      <c r="B211" s="15"/>
      <c r="C211" s="16"/>
      <c r="D211" s="17"/>
      <c r="E211" s="12"/>
      <c r="F211" s="18"/>
      <c r="G211" s="19"/>
      <c r="H211" s="13"/>
      <c r="I211" s="19"/>
      <c r="J211" s="13"/>
      <c r="K211" s="19"/>
      <c r="L211" s="13"/>
      <c r="M211" s="19"/>
      <c r="N211" s="13"/>
      <c r="O211" s="19"/>
      <c r="P211" s="13"/>
      <c r="Q211" s="19"/>
      <c r="R211" s="13"/>
      <c r="S211" s="19"/>
      <c r="T211" s="13"/>
      <c r="U211" s="524"/>
      <c r="V211" s="460"/>
      <c r="W211" s="524"/>
      <c r="X211" s="460"/>
      <c r="Y211" s="524"/>
      <c r="Z211" s="460"/>
    </row>
    <row r="212" spans="1:26">
      <c r="A212" s="14"/>
      <c r="B212" s="15"/>
      <c r="C212" s="16"/>
      <c r="D212" s="17"/>
      <c r="E212" s="12"/>
      <c r="F212" s="18"/>
      <c r="G212" s="19"/>
      <c r="H212" s="13"/>
      <c r="I212" s="19"/>
      <c r="J212" s="13"/>
      <c r="K212" s="19"/>
      <c r="L212" s="13"/>
      <c r="M212" s="19"/>
      <c r="N212" s="13"/>
      <c r="O212" s="19"/>
      <c r="P212" s="13"/>
      <c r="Q212" s="19"/>
      <c r="R212" s="13"/>
      <c r="S212" s="19"/>
      <c r="T212" s="13"/>
      <c r="U212" s="524"/>
      <c r="V212" s="460"/>
      <c r="W212" s="524"/>
      <c r="X212" s="460"/>
      <c r="Y212" s="524"/>
      <c r="Z212" s="460"/>
    </row>
    <row r="213" spans="1:26">
      <c r="A213" s="14"/>
      <c r="B213" s="15"/>
      <c r="C213" s="16"/>
      <c r="D213" s="17"/>
      <c r="E213" s="12"/>
      <c r="F213" s="18"/>
      <c r="G213" s="19"/>
      <c r="H213" s="13"/>
      <c r="I213" s="19"/>
      <c r="J213" s="13"/>
      <c r="K213" s="19"/>
      <c r="L213" s="13"/>
      <c r="M213" s="19"/>
      <c r="N213" s="13"/>
      <c r="O213" s="19"/>
      <c r="P213" s="13"/>
      <c r="Q213" s="19"/>
      <c r="R213" s="13"/>
      <c r="S213" s="19"/>
      <c r="T213" s="13"/>
      <c r="U213" s="524"/>
      <c r="V213" s="460"/>
      <c r="W213" s="524"/>
      <c r="X213" s="460"/>
      <c r="Y213" s="524"/>
      <c r="Z213" s="460"/>
    </row>
    <row r="214" spans="1:26">
      <c r="A214" s="14"/>
      <c r="B214" s="15"/>
      <c r="C214" s="16"/>
      <c r="D214" s="17"/>
      <c r="E214" s="12"/>
      <c r="F214" s="18"/>
      <c r="G214" s="19"/>
      <c r="H214" s="13"/>
      <c r="I214" s="19"/>
      <c r="J214" s="13"/>
      <c r="K214" s="19"/>
      <c r="L214" s="13"/>
      <c r="M214" s="19"/>
      <c r="N214" s="13"/>
      <c r="O214" s="19"/>
      <c r="P214" s="13"/>
      <c r="Q214" s="19"/>
      <c r="R214" s="13"/>
      <c r="S214" s="19"/>
      <c r="T214" s="13"/>
      <c r="U214" s="524"/>
      <c r="V214" s="460"/>
      <c r="W214" s="524"/>
      <c r="X214" s="460"/>
      <c r="Y214" s="524"/>
      <c r="Z214" s="460"/>
    </row>
    <row r="215" spans="1:26">
      <c r="A215" s="14"/>
      <c r="B215" s="15"/>
      <c r="C215" s="16"/>
      <c r="D215" s="17"/>
      <c r="E215" s="12"/>
      <c r="F215" s="18"/>
      <c r="G215" s="19"/>
      <c r="H215" s="13"/>
      <c r="I215" s="19"/>
      <c r="J215" s="13"/>
      <c r="K215" s="19"/>
      <c r="L215" s="13"/>
      <c r="M215" s="19"/>
      <c r="N215" s="13"/>
      <c r="O215" s="19"/>
      <c r="P215" s="13"/>
      <c r="Q215" s="19"/>
      <c r="R215" s="13"/>
      <c r="S215" s="19"/>
      <c r="T215" s="13"/>
      <c r="U215" s="524"/>
      <c r="V215" s="460"/>
      <c r="W215" s="524"/>
      <c r="X215" s="460"/>
      <c r="Y215" s="524"/>
      <c r="Z215" s="460"/>
    </row>
    <row r="216" spans="1:26">
      <c r="A216" s="14"/>
      <c r="B216" s="15"/>
      <c r="C216" s="16"/>
      <c r="D216" s="17"/>
      <c r="E216" s="12"/>
      <c r="F216" s="18"/>
      <c r="G216" s="19"/>
      <c r="H216" s="13"/>
      <c r="I216" s="19"/>
      <c r="J216" s="13"/>
      <c r="K216" s="19"/>
      <c r="L216" s="13"/>
      <c r="M216" s="19"/>
      <c r="N216" s="13"/>
      <c r="O216" s="19"/>
      <c r="P216" s="13"/>
      <c r="Q216" s="19"/>
      <c r="R216" s="13"/>
      <c r="S216" s="19"/>
      <c r="T216" s="13"/>
      <c r="U216" s="524"/>
      <c r="V216" s="460"/>
      <c r="W216" s="524"/>
      <c r="X216" s="460"/>
      <c r="Y216" s="524"/>
      <c r="Z216" s="460"/>
    </row>
    <row r="217" spans="1:26">
      <c r="A217" s="14"/>
      <c r="B217" s="15"/>
      <c r="C217" s="16"/>
      <c r="D217" s="17"/>
      <c r="E217" s="12"/>
      <c r="F217" s="18"/>
      <c r="G217" s="19"/>
      <c r="H217" s="13"/>
      <c r="I217" s="19"/>
      <c r="J217" s="13"/>
      <c r="K217" s="19"/>
      <c r="L217" s="13"/>
      <c r="M217" s="19"/>
      <c r="N217" s="13"/>
      <c r="O217" s="19"/>
      <c r="P217" s="13"/>
      <c r="Q217" s="19"/>
      <c r="R217" s="13"/>
      <c r="S217" s="19"/>
      <c r="T217" s="13"/>
      <c r="U217" s="524"/>
      <c r="V217" s="460"/>
      <c r="W217" s="524"/>
      <c r="X217" s="460"/>
      <c r="Y217" s="524"/>
      <c r="Z217" s="460"/>
    </row>
    <row r="218" spans="1:26">
      <c r="A218" s="14"/>
      <c r="B218" s="15"/>
      <c r="C218" s="16"/>
      <c r="D218" s="17"/>
      <c r="E218" s="12"/>
      <c r="F218" s="18"/>
      <c r="G218" s="19"/>
      <c r="H218" s="13"/>
      <c r="I218" s="19"/>
      <c r="J218" s="13"/>
      <c r="K218" s="19"/>
      <c r="L218" s="13"/>
      <c r="M218" s="19"/>
      <c r="N218" s="13"/>
      <c r="O218" s="19"/>
      <c r="P218" s="13"/>
      <c r="Q218" s="19"/>
      <c r="R218" s="13"/>
      <c r="S218" s="19"/>
      <c r="T218" s="13"/>
      <c r="U218" s="524"/>
      <c r="V218" s="460"/>
      <c r="W218" s="524"/>
      <c r="X218" s="460"/>
      <c r="Y218" s="524"/>
      <c r="Z218" s="460"/>
    </row>
    <row r="219" spans="1:26">
      <c r="A219" s="14"/>
      <c r="B219" s="15"/>
      <c r="C219" s="16"/>
      <c r="D219" s="17"/>
      <c r="E219" s="12"/>
      <c r="F219" s="18"/>
      <c r="G219" s="19"/>
      <c r="H219" s="13"/>
      <c r="I219" s="19"/>
      <c r="J219" s="13"/>
      <c r="K219" s="19"/>
      <c r="L219" s="13"/>
      <c r="M219" s="19"/>
      <c r="N219" s="13"/>
      <c r="O219" s="19"/>
      <c r="P219" s="13"/>
      <c r="Q219" s="19"/>
      <c r="R219" s="13"/>
      <c r="S219" s="19"/>
      <c r="T219" s="13"/>
      <c r="U219" s="524"/>
      <c r="V219" s="460"/>
      <c r="W219" s="524"/>
      <c r="X219" s="460"/>
      <c r="Y219" s="524"/>
      <c r="Z219" s="460"/>
    </row>
    <row r="220" spans="1:26">
      <c r="A220" s="14"/>
      <c r="B220" s="15"/>
      <c r="C220" s="16"/>
      <c r="D220" s="17"/>
      <c r="E220" s="12"/>
      <c r="F220" s="18"/>
      <c r="G220" s="19"/>
      <c r="H220" s="13"/>
      <c r="I220" s="19"/>
      <c r="J220" s="13"/>
      <c r="K220" s="19"/>
      <c r="L220" s="13"/>
      <c r="M220" s="19"/>
      <c r="N220" s="13"/>
      <c r="O220" s="19"/>
      <c r="P220" s="13"/>
      <c r="Q220" s="19"/>
      <c r="R220" s="13"/>
      <c r="S220" s="19"/>
      <c r="T220" s="13"/>
      <c r="U220" s="524"/>
      <c r="V220" s="460"/>
      <c r="W220" s="524"/>
      <c r="X220" s="460"/>
      <c r="Y220" s="524"/>
      <c r="Z220" s="460"/>
    </row>
    <row r="221" spans="1:26">
      <c r="A221" s="14"/>
      <c r="B221" s="15"/>
      <c r="C221" s="16"/>
      <c r="D221" s="17"/>
      <c r="E221" s="12"/>
      <c r="F221" s="18"/>
      <c r="G221" s="19"/>
      <c r="H221" s="13"/>
      <c r="I221" s="19"/>
      <c r="J221" s="13"/>
      <c r="K221" s="19"/>
      <c r="L221" s="13"/>
      <c r="M221" s="19"/>
      <c r="N221" s="13"/>
      <c r="O221" s="19"/>
      <c r="P221" s="13"/>
      <c r="Q221" s="19"/>
      <c r="R221" s="13"/>
      <c r="S221" s="19"/>
      <c r="T221" s="13"/>
      <c r="U221" s="524"/>
      <c r="V221" s="460"/>
      <c r="W221" s="524"/>
      <c r="X221" s="460"/>
      <c r="Y221" s="524"/>
      <c r="Z221" s="460"/>
    </row>
    <row r="222" spans="1:26">
      <c r="A222" s="14"/>
      <c r="B222" s="15"/>
      <c r="C222" s="16"/>
      <c r="D222" s="17"/>
      <c r="E222" s="12"/>
      <c r="F222" s="18"/>
      <c r="G222" s="19"/>
      <c r="H222" s="13"/>
      <c r="I222" s="19"/>
      <c r="J222" s="13"/>
      <c r="K222" s="19"/>
      <c r="L222" s="13"/>
      <c r="M222" s="19"/>
      <c r="N222" s="13"/>
      <c r="O222" s="19"/>
      <c r="P222" s="13"/>
      <c r="Q222" s="19"/>
      <c r="R222" s="13"/>
      <c r="S222" s="19"/>
      <c r="T222" s="13"/>
      <c r="U222" s="524"/>
      <c r="V222" s="460"/>
      <c r="W222" s="524"/>
      <c r="X222" s="460"/>
      <c r="Y222" s="524"/>
      <c r="Z222" s="460"/>
    </row>
    <row r="223" spans="1:26">
      <c r="A223" s="14"/>
      <c r="B223" s="15"/>
      <c r="C223" s="16"/>
      <c r="D223" s="17"/>
      <c r="E223" s="12"/>
      <c r="F223" s="18"/>
      <c r="G223" s="19"/>
      <c r="H223" s="13"/>
      <c r="I223" s="19"/>
      <c r="J223" s="13"/>
      <c r="K223" s="19"/>
      <c r="L223" s="13"/>
      <c r="M223" s="19"/>
      <c r="N223" s="13"/>
      <c r="O223" s="19"/>
      <c r="P223" s="13"/>
      <c r="Q223" s="19"/>
      <c r="R223" s="13"/>
      <c r="S223" s="19"/>
      <c r="T223" s="13"/>
      <c r="U223" s="524"/>
      <c r="V223" s="460"/>
      <c r="W223" s="524"/>
      <c r="X223" s="460"/>
      <c r="Y223" s="524"/>
      <c r="Z223" s="460"/>
    </row>
    <row r="224" spans="1:26">
      <c r="A224" s="14"/>
      <c r="B224" s="15"/>
      <c r="C224" s="16"/>
      <c r="D224" s="17"/>
      <c r="E224" s="12"/>
      <c r="F224" s="18"/>
      <c r="G224" s="19"/>
      <c r="H224" s="13"/>
      <c r="I224" s="19"/>
      <c r="J224" s="13"/>
      <c r="K224" s="19"/>
      <c r="L224" s="13"/>
      <c r="M224" s="19"/>
      <c r="N224" s="13"/>
      <c r="O224" s="19"/>
      <c r="P224" s="13"/>
      <c r="Q224" s="19"/>
      <c r="R224" s="13"/>
      <c r="S224" s="19"/>
      <c r="T224" s="13"/>
      <c r="U224" s="524"/>
      <c r="V224" s="460"/>
      <c r="W224" s="524"/>
      <c r="X224" s="460"/>
      <c r="Y224" s="524"/>
      <c r="Z224" s="460"/>
    </row>
    <row r="225" spans="1:26">
      <c r="A225" s="14"/>
      <c r="B225" s="15"/>
      <c r="C225" s="16"/>
      <c r="D225" s="17"/>
      <c r="E225" s="12"/>
      <c r="F225" s="18"/>
      <c r="G225" s="19"/>
      <c r="H225" s="13"/>
      <c r="I225" s="19"/>
      <c r="J225" s="13"/>
      <c r="K225" s="19"/>
      <c r="L225" s="13"/>
      <c r="M225" s="19"/>
      <c r="N225" s="13"/>
      <c r="O225" s="19"/>
      <c r="P225" s="13"/>
      <c r="Q225" s="19"/>
      <c r="R225" s="13"/>
      <c r="S225" s="19"/>
      <c r="T225" s="13"/>
      <c r="U225" s="524"/>
      <c r="V225" s="460"/>
      <c r="W225" s="524"/>
      <c r="X225" s="460"/>
      <c r="Y225" s="524"/>
      <c r="Z225" s="460"/>
    </row>
    <row r="226" spans="1:26">
      <c r="A226" s="14"/>
      <c r="B226" s="15"/>
      <c r="C226" s="16"/>
      <c r="D226" s="17"/>
      <c r="E226" s="12"/>
      <c r="F226" s="18"/>
      <c r="G226" s="19"/>
      <c r="H226" s="13"/>
      <c r="I226" s="19"/>
      <c r="J226" s="13"/>
      <c r="K226" s="19"/>
      <c r="L226" s="13"/>
      <c r="M226" s="19"/>
      <c r="N226" s="13"/>
      <c r="O226" s="19"/>
      <c r="P226" s="13"/>
      <c r="Q226" s="19"/>
      <c r="R226" s="13"/>
      <c r="S226" s="19"/>
      <c r="T226" s="13"/>
      <c r="U226" s="524"/>
      <c r="V226" s="460"/>
      <c r="W226" s="524"/>
      <c r="X226" s="460"/>
      <c r="Y226" s="524"/>
      <c r="Z226" s="460"/>
    </row>
    <row r="227" spans="1:26">
      <c r="A227" s="14"/>
      <c r="B227" s="15"/>
      <c r="C227" s="16"/>
      <c r="D227" s="17"/>
      <c r="E227" s="12"/>
      <c r="F227" s="18"/>
      <c r="G227" s="19"/>
      <c r="H227" s="13"/>
      <c r="I227" s="19"/>
      <c r="J227" s="13"/>
      <c r="K227" s="19"/>
      <c r="L227" s="13"/>
      <c r="M227" s="19"/>
      <c r="N227" s="13"/>
      <c r="O227" s="19"/>
      <c r="P227" s="13"/>
      <c r="Q227" s="19"/>
      <c r="R227" s="13"/>
      <c r="S227" s="19"/>
      <c r="T227" s="13"/>
      <c r="U227" s="524"/>
      <c r="V227" s="460"/>
      <c r="W227" s="524"/>
      <c r="X227" s="460"/>
      <c r="Y227" s="524"/>
      <c r="Z227" s="460"/>
    </row>
    <row r="228" spans="1:26">
      <c r="A228" s="14"/>
      <c r="B228" s="15"/>
      <c r="C228" s="16"/>
      <c r="D228" s="17"/>
      <c r="E228" s="12"/>
      <c r="F228" s="18"/>
      <c r="G228" s="19"/>
      <c r="H228" s="13"/>
      <c r="I228" s="19"/>
      <c r="J228" s="13"/>
      <c r="K228" s="19"/>
      <c r="L228" s="13"/>
      <c r="M228" s="19"/>
      <c r="N228" s="13"/>
      <c r="O228" s="19"/>
      <c r="P228" s="13"/>
      <c r="Q228" s="19"/>
      <c r="R228" s="13"/>
      <c r="S228" s="19"/>
      <c r="T228" s="13"/>
      <c r="U228" s="524"/>
      <c r="V228" s="460"/>
      <c r="W228" s="524"/>
      <c r="X228" s="460"/>
      <c r="Y228" s="524"/>
      <c r="Z228" s="460"/>
    </row>
    <row r="229" spans="1:26">
      <c r="A229" s="14"/>
      <c r="B229" s="15"/>
      <c r="C229" s="16"/>
      <c r="D229" s="17"/>
      <c r="E229" s="12"/>
      <c r="F229" s="18"/>
      <c r="G229" s="19"/>
      <c r="H229" s="13"/>
      <c r="I229" s="19"/>
      <c r="J229" s="13"/>
      <c r="K229" s="19"/>
      <c r="L229" s="13"/>
      <c r="M229" s="19"/>
      <c r="N229" s="13"/>
      <c r="O229" s="19"/>
      <c r="P229" s="13"/>
      <c r="Q229" s="19"/>
      <c r="R229" s="13"/>
      <c r="S229" s="19"/>
      <c r="T229" s="13"/>
      <c r="U229" s="524"/>
      <c r="V229" s="460"/>
      <c r="W229" s="524"/>
      <c r="X229" s="460"/>
      <c r="Y229" s="524"/>
      <c r="Z229" s="460"/>
    </row>
    <row r="230" spans="1:26">
      <c r="A230" s="14"/>
      <c r="B230" s="15"/>
      <c r="C230" s="16"/>
      <c r="D230" s="17"/>
      <c r="E230" s="12"/>
      <c r="F230" s="18"/>
      <c r="G230" s="19"/>
      <c r="H230" s="13"/>
      <c r="I230" s="19"/>
      <c r="J230" s="13"/>
      <c r="K230" s="19"/>
      <c r="L230" s="13"/>
      <c r="M230" s="19"/>
      <c r="N230" s="13"/>
      <c r="O230" s="19"/>
      <c r="P230" s="13"/>
      <c r="Q230" s="19"/>
      <c r="R230" s="13"/>
      <c r="S230" s="19"/>
      <c r="T230" s="13"/>
      <c r="U230" s="524"/>
      <c r="V230" s="460"/>
      <c r="W230" s="524"/>
      <c r="X230" s="460"/>
      <c r="Y230" s="524"/>
      <c r="Z230" s="460"/>
    </row>
    <row r="231" spans="1:26">
      <c r="A231" s="14"/>
      <c r="B231" s="15"/>
      <c r="C231" s="16"/>
      <c r="D231" s="17"/>
      <c r="E231" s="12"/>
      <c r="F231" s="18"/>
      <c r="G231" s="19"/>
      <c r="H231" s="13"/>
      <c r="I231" s="19"/>
      <c r="J231" s="13"/>
      <c r="K231" s="19"/>
      <c r="L231" s="13"/>
      <c r="M231" s="19"/>
      <c r="N231" s="13"/>
      <c r="O231" s="19"/>
      <c r="P231" s="13"/>
      <c r="Q231" s="19"/>
      <c r="R231" s="13"/>
      <c r="S231" s="19"/>
      <c r="T231" s="13"/>
      <c r="U231" s="524"/>
      <c r="V231" s="460"/>
      <c r="W231" s="524"/>
      <c r="X231" s="460"/>
      <c r="Y231" s="524"/>
      <c r="Z231" s="460"/>
    </row>
    <row r="232" spans="1:26">
      <c r="A232" s="14"/>
      <c r="B232" s="15"/>
      <c r="C232" s="16"/>
      <c r="D232" s="17"/>
      <c r="E232" s="12"/>
      <c r="F232" s="18"/>
      <c r="G232" s="19"/>
      <c r="H232" s="13"/>
      <c r="I232" s="19"/>
      <c r="J232" s="13"/>
      <c r="K232" s="19"/>
      <c r="L232" s="13"/>
      <c r="M232" s="19"/>
      <c r="N232" s="13"/>
      <c r="O232" s="19"/>
      <c r="P232" s="13"/>
      <c r="Q232" s="19"/>
      <c r="R232" s="13"/>
      <c r="S232" s="19"/>
      <c r="T232" s="13"/>
      <c r="U232" s="524"/>
      <c r="V232" s="460"/>
      <c r="W232" s="524"/>
      <c r="X232" s="460"/>
      <c r="Y232" s="524"/>
      <c r="Z232" s="460"/>
    </row>
    <row r="233" spans="1:26">
      <c r="A233" s="14"/>
      <c r="B233" s="15"/>
      <c r="C233" s="16"/>
      <c r="D233" s="17"/>
      <c r="E233" s="12"/>
      <c r="F233" s="18"/>
      <c r="G233" s="19"/>
      <c r="H233" s="13"/>
      <c r="I233" s="19"/>
      <c r="J233" s="13"/>
      <c r="K233" s="19"/>
      <c r="L233" s="13"/>
      <c r="M233" s="19"/>
      <c r="N233" s="13"/>
      <c r="O233" s="19"/>
      <c r="P233" s="13"/>
      <c r="Q233" s="19"/>
      <c r="R233" s="13"/>
      <c r="S233" s="19"/>
      <c r="T233" s="13"/>
      <c r="U233" s="524"/>
      <c r="V233" s="460"/>
      <c r="W233" s="524"/>
      <c r="X233" s="460"/>
      <c r="Y233" s="524"/>
      <c r="Z233" s="460"/>
    </row>
    <row r="234" spans="1:26">
      <c r="A234" s="14"/>
      <c r="B234" s="15"/>
      <c r="C234" s="16"/>
      <c r="D234" s="17"/>
      <c r="E234" s="12"/>
      <c r="F234" s="18"/>
      <c r="G234" s="19"/>
      <c r="H234" s="13"/>
      <c r="I234" s="19"/>
      <c r="J234" s="13"/>
      <c r="K234" s="19"/>
      <c r="L234" s="13"/>
      <c r="M234" s="19"/>
      <c r="N234" s="13"/>
      <c r="O234" s="19"/>
      <c r="P234" s="13"/>
      <c r="Q234" s="19"/>
      <c r="R234" s="13"/>
      <c r="S234" s="19"/>
      <c r="T234" s="13"/>
      <c r="U234" s="524"/>
      <c r="V234" s="460"/>
      <c r="W234" s="524"/>
      <c r="X234" s="460"/>
      <c r="Y234" s="524"/>
      <c r="Z234" s="460"/>
    </row>
    <row r="235" spans="1:26">
      <c r="A235" s="14"/>
      <c r="B235" s="15"/>
      <c r="C235" s="16"/>
      <c r="D235" s="17"/>
      <c r="E235" s="12"/>
      <c r="F235" s="18"/>
      <c r="G235" s="19"/>
      <c r="H235" s="13"/>
      <c r="I235" s="19"/>
      <c r="J235" s="13"/>
      <c r="K235" s="19"/>
      <c r="L235" s="13"/>
      <c r="M235" s="19"/>
      <c r="N235" s="13"/>
      <c r="O235" s="19"/>
      <c r="P235" s="13"/>
      <c r="Q235" s="19"/>
      <c r="R235" s="13"/>
      <c r="S235" s="19"/>
      <c r="T235" s="13"/>
      <c r="U235" s="524"/>
      <c r="V235" s="460"/>
      <c r="W235" s="524"/>
      <c r="X235" s="460"/>
      <c r="Y235" s="524"/>
      <c r="Z235" s="460"/>
    </row>
    <row r="236" spans="1:26">
      <c r="A236" s="14"/>
      <c r="B236" s="15"/>
      <c r="C236" s="16"/>
      <c r="D236" s="17"/>
      <c r="E236" s="12"/>
      <c r="F236" s="18"/>
      <c r="G236" s="19"/>
      <c r="H236" s="13"/>
      <c r="I236" s="19"/>
      <c r="J236" s="13"/>
      <c r="K236" s="19"/>
      <c r="L236" s="13"/>
      <c r="M236" s="19"/>
      <c r="N236" s="13"/>
      <c r="O236" s="19"/>
      <c r="P236" s="13"/>
      <c r="Q236" s="19"/>
      <c r="R236" s="13"/>
      <c r="S236" s="19"/>
      <c r="T236" s="13"/>
      <c r="U236" s="524"/>
      <c r="V236" s="460"/>
      <c r="W236" s="524"/>
      <c r="X236" s="460"/>
      <c r="Y236" s="524"/>
      <c r="Z236" s="460"/>
    </row>
    <row r="237" spans="1:26">
      <c r="A237" s="14"/>
      <c r="B237" s="15"/>
      <c r="C237" s="16"/>
      <c r="D237" s="17"/>
      <c r="E237" s="12"/>
      <c r="F237" s="18"/>
      <c r="G237" s="19"/>
      <c r="H237" s="13"/>
      <c r="I237" s="19"/>
      <c r="J237" s="13"/>
      <c r="K237" s="19"/>
      <c r="L237" s="13"/>
      <c r="M237" s="19"/>
      <c r="N237" s="13"/>
      <c r="O237" s="19"/>
      <c r="P237" s="13"/>
      <c r="Q237" s="19"/>
      <c r="R237" s="13"/>
      <c r="S237" s="19"/>
      <c r="T237" s="13"/>
      <c r="U237" s="524"/>
      <c r="V237" s="460"/>
      <c r="W237" s="524"/>
      <c r="X237" s="460"/>
      <c r="Y237" s="524"/>
      <c r="Z237" s="460"/>
    </row>
    <row r="238" spans="1:26">
      <c r="A238" s="14"/>
      <c r="B238" s="15"/>
      <c r="C238" s="16"/>
      <c r="D238" s="17"/>
      <c r="E238" s="12"/>
      <c r="F238" s="18"/>
      <c r="G238" s="19"/>
      <c r="H238" s="13"/>
      <c r="I238" s="19"/>
      <c r="J238" s="13"/>
      <c r="K238" s="19"/>
      <c r="L238" s="13"/>
      <c r="M238" s="19"/>
      <c r="N238" s="13"/>
      <c r="O238" s="19"/>
      <c r="P238" s="13"/>
      <c r="Q238" s="19"/>
      <c r="R238" s="13"/>
      <c r="S238" s="19"/>
      <c r="T238" s="13"/>
      <c r="U238" s="524"/>
      <c r="V238" s="460"/>
      <c r="W238" s="524"/>
      <c r="X238" s="460"/>
      <c r="Y238" s="524"/>
      <c r="Z238" s="460"/>
    </row>
    <row r="239" spans="1:26">
      <c r="A239" s="14"/>
      <c r="B239" s="15"/>
      <c r="C239" s="16"/>
      <c r="D239" s="17"/>
      <c r="E239" s="12"/>
      <c r="F239" s="18"/>
      <c r="G239" s="19"/>
      <c r="H239" s="13"/>
      <c r="I239" s="19"/>
      <c r="J239" s="13"/>
      <c r="K239" s="19"/>
      <c r="L239" s="13"/>
      <c r="M239" s="19"/>
      <c r="N239" s="13"/>
      <c r="O239" s="19"/>
      <c r="P239" s="13"/>
      <c r="Q239" s="19"/>
      <c r="R239" s="13"/>
      <c r="S239" s="19"/>
      <c r="T239" s="13"/>
      <c r="U239" s="524"/>
      <c r="V239" s="460"/>
      <c r="W239" s="524"/>
      <c r="X239" s="460"/>
      <c r="Y239" s="524"/>
      <c r="Z239" s="460"/>
    </row>
    <row r="240" spans="1:26">
      <c r="A240" s="14"/>
      <c r="B240" s="15"/>
      <c r="C240" s="16"/>
      <c r="D240" s="17"/>
      <c r="E240" s="12"/>
      <c r="F240" s="18"/>
      <c r="G240" s="19"/>
      <c r="H240" s="13"/>
      <c r="I240" s="19"/>
      <c r="J240" s="13"/>
      <c r="K240" s="19"/>
      <c r="L240" s="13"/>
      <c r="M240" s="19"/>
      <c r="N240" s="13"/>
      <c r="O240" s="19"/>
      <c r="P240" s="13"/>
      <c r="Q240" s="19"/>
      <c r="R240" s="13"/>
      <c r="S240" s="19"/>
      <c r="T240" s="13"/>
      <c r="U240" s="524"/>
      <c r="V240" s="460"/>
      <c r="W240" s="524"/>
      <c r="X240" s="460"/>
      <c r="Y240" s="524"/>
      <c r="Z240" s="460"/>
    </row>
    <row r="241" spans="1:26">
      <c r="A241" s="14"/>
      <c r="B241" s="15"/>
      <c r="C241" s="16"/>
      <c r="D241" s="17"/>
      <c r="E241" s="12"/>
      <c r="F241" s="18"/>
      <c r="G241" s="19"/>
      <c r="H241" s="13"/>
      <c r="I241" s="19"/>
      <c r="J241" s="13"/>
      <c r="K241" s="19"/>
      <c r="L241" s="13"/>
      <c r="M241" s="19"/>
      <c r="N241" s="13"/>
      <c r="O241" s="19"/>
      <c r="P241" s="13"/>
      <c r="Q241" s="19"/>
      <c r="R241" s="13"/>
      <c r="S241" s="19"/>
      <c r="T241" s="13"/>
      <c r="U241" s="524"/>
      <c r="V241" s="460"/>
      <c r="W241" s="524"/>
      <c r="X241" s="460"/>
      <c r="Y241" s="524"/>
      <c r="Z241" s="460"/>
    </row>
    <row r="242" spans="1:26">
      <c r="A242" s="14"/>
      <c r="B242" s="15"/>
      <c r="C242" s="16"/>
      <c r="D242" s="17"/>
      <c r="E242" s="12"/>
      <c r="F242" s="18"/>
      <c r="G242" s="19"/>
      <c r="H242" s="13"/>
      <c r="I242" s="19"/>
      <c r="J242" s="13"/>
      <c r="K242" s="19"/>
      <c r="L242" s="13"/>
      <c r="M242" s="19"/>
      <c r="N242" s="13"/>
      <c r="O242" s="19"/>
      <c r="P242" s="13"/>
      <c r="Q242" s="19"/>
      <c r="R242" s="13"/>
      <c r="S242" s="19"/>
      <c r="T242" s="13"/>
      <c r="U242" s="524"/>
      <c r="V242" s="460"/>
      <c r="W242" s="524"/>
      <c r="X242" s="460"/>
      <c r="Y242" s="524"/>
      <c r="Z242" s="460"/>
    </row>
    <row r="243" spans="1:26">
      <c r="A243" s="14"/>
      <c r="B243" s="15"/>
      <c r="C243" s="16"/>
      <c r="D243" s="17"/>
      <c r="E243" s="12"/>
      <c r="F243" s="18"/>
      <c r="G243" s="19"/>
      <c r="H243" s="13"/>
      <c r="I243" s="19"/>
      <c r="J243" s="13"/>
      <c r="K243" s="19"/>
      <c r="L243" s="13"/>
      <c r="M243" s="19"/>
      <c r="N243" s="13"/>
      <c r="O243" s="19"/>
      <c r="P243" s="13"/>
      <c r="Q243" s="19"/>
      <c r="R243" s="13"/>
      <c r="S243" s="19"/>
      <c r="T243" s="13"/>
      <c r="U243" s="524"/>
      <c r="V243" s="460"/>
      <c r="W243" s="524"/>
      <c r="X243" s="460"/>
      <c r="Y243" s="524"/>
      <c r="Z243" s="460"/>
    </row>
    <row r="244" spans="1:26">
      <c r="A244" s="14"/>
      <c r="B244" s="15"/>
      <c r="C244" s="16"/>
      <c r="D244" s="17"/>
      <c r="E244" s="12"/>
      <c r="F244" s="18"/>
      <c r="G244" s="19"/>
      <c r="H244" s="13"/>
      <c r="I244" s="19"/>
      <c r="J244" s="13"/>
      <c r="K244" s="19"/>
      <c r="L244" s="13"/>
      <c r="M244" s="19"/>
      <c r="N244" s="13"/>
      <c r="O244" s="19"/>
      <c r="P244" s="13"/>
      <c r="Q244" s="19"/>
      <c r="R244" s="13"/>
      <c r="S244" s="19"/>
      <c r="T244" s="13"/>
      <c r="U244" s="524"/>
      <c r="V244" s="460"/>
      <c r="W244" s="524"/>
      <c r="X244" s="460"/>
      <c r="Y244" s="524"/>
      <c r="Z244" s="460"/>
    </row>
    <row r="245" spans="1:26">
      <c r="A245" s="14"/>
      <c r="B245" s="15"/>
      <c r="C245" s="16"/>
      <c r="D245" s="17"/>
      <c r="E245" s="12"/>
      <c r="F245" s="18"/>
      <c r="G245" s="19"/>
      <c r="H245" s="13"/>
      <c r="I245" s="19"/>
      <c r="J245" s="13"/>
      <c r="K245" s="19"/>
      <c r="L245" s="13"/>
      <c r="M245" s="19"/>
      <c r="N245" s="13"/>
      <c r="O245" s="19"/>
      <c r="P245" s="13"/>
      <c r="Q245" s="19"/>
      <c r="R245" s="13"/>
      <c r="S245" s="19"/>
      <c r="T245" s="13"/>
      <c r="U245" s="524"/>
      <c r="V245" s="460"/>
      <c r="W245" s="524"/>
      <c r="X245" s="460"/>
      <c r="Y245" s="524"/>
      <c r="Z245" s="460"/>
    </row>
    <row r="246" spans="1:26">
      <c r="A246" s="14"/>
      <c r="B246" s="15"/>
      <c r="C246" s="16"/>
      <c r="D246" s="17"/>
      <c r="E246" s="12"/>
      <c r="F246" s="18"/>
      <c r="G246" s="19"/>
      <c r="H246" s="13"/>
      <c r="I246" s="19"/>
      <c r="J246" s="13"/>
      <c r="K246" s="19"/>
      <c r="L246" s="13"/>
      <c r="M246" s="19"/>
      <c r="N246" s="13"/>
      <c r="O246" s="19"/>
      <c r="P246" s="13"/>
      <c r="Q246" s="19"/>
      <c r="R246" s="13"/>
      <c r="S246" s="19"/>
      <c r="T246" s="13"/>
      <c r="U246" s="524"/>
      <c r="V246" s="460"/>
      <c r="W246" s="524"/>
      <c r="X246" s="460"/>
      <c r="Y246" s="524"/>
      <c r="Z246" s="460"/>
    </row>
    <row r="247" spans="1:26">
      <c r="A247" s="14"/>
      <c r="B247" s="15"/>
      <c r="C247" s="16"/>
      <c r="D247" s="17"/>
      <c r="E247" s="12"/>
      <c r="F247" s="18"/>
      <c r="G247" s="19"/>
      <c r="H247" s="13"/>
      <c r="I247" s="19"/>
      <c r="J247" s="13"/>
      <c r="K247" s="19"/>
      <c r="L247" s="13"/>
      <c r="M247" s="19"/>
      <c r="N247" s="13"/>
      <c r="O247" s="19"/>
      <c r="P247" s="13"/>
      <c r="Q247" s="19"/>
      <c r="R247" s="13"/>
      <c r="S247" s="19"/>
      <c r="T247" s="13"/>
      <c r="U247" s="524"/>
      <c r="V247" s="460"/>
      <c r="W247" s="524"/>
      <c r="X247" s="460"/>
      <c r="Y247" s="524"/>
      <c r="Z247" s="460"/>
    </row>
    <row r="248" spans="1:26">
      <c r="A248" s="14"/>
      <c r="B248" s="15"/>
      <c r="C248" s="16"/>
      <c r="D248" s="17"/>
      <c r="E248" s="12"/>
      <c r="F248" s="18"/>
      <c r="G248" s="19"/>
      <c r="H248" s="13"/>
      <c r="I248" s="19"/>
      <c r="J248" s="13"/>
      <c r="K248" s="19"/>
      <c r="L248" s="13"/>
      <c r="M248" s="19"/>
      <c r="N248" s="13"/>
      <c r="O248" s="19"/>
      <c r="P248" s="13"/>
      <c r="Q248" s="19"/>
      <c r="R248" s="13"/>
      <c r="S248" s="19"/>
      <c r="T248" s="13"/>
      <c r="U248" s="524"/>
      <c r="V248" s="460"/>
      <c r="W248" s="524"/>
      <c r="X248" s="460"/>
      <c r="Y248" s="524"/>
      <c r="Z248" s="460"/>
    </row>
    <row r="249" spans="1:26">
      <c r="A249" s="14"/>
      <c r="B249" s="15"/>
      <c r="C249" s="16"/>
      <c r="D249" s="17"/>
      <c r="E249" s="12"/>
      <c r="F249" s="18"/>
      <c r="G249" s="19"/>
      <c r="H249" s="13"/>
      <c r="I249" s="19"/>
      <c r="J249" s="13"/>
      <c r="K249" s="19"/>
      <c r="L249" s="13"/>
      <c r="M249" s="19"/>
      <c r="N249" s="13"/>
      <c r="O249" s="19"/>
      <c r="P249" s="13"/>
      <c r="Q249" s="19"/>
      <c r="R249" s="13"/>
      <c r="S249" s="19"/>
      <c r="T249" s="13"/>
      <c r="U249" s="524"/>
      <c r="V249" s="460"/>
      <c r="W249" s="524"/>
      <c r="X249" s="460"/>
      <c r="Y249" s="524"/>
      <c r="Z249" s="460"/>
    </row>
    <row r="250" spans="1:26">
      <c r="A250" s="14"/>
      <c r="B250" s="15"/>
      <c r="C250" s="16"/>
      <c r="D250" s="17"/>
      <c r="E250" s="12"/>
      <c r="F250" s="18"/>
      <c r="G250" s="19"/>
      <c r="H250" s="13"/>
      <c r="I250" s="19"/>
      <c r="J250" s="13"/>
      <c r="K250" s="19"/>
      <c r="L250" s="13"/>
      <c r="M250" s="19"/>
      <c r="N250" s="13"/>
      <c r="O250" s="19"/>
      <c r="P250" s="13"/>
      <c r="Q250" s="19"/>
      <c r="R250" s="13"/>
      <c r="S250" s="19"/>
      <c r="T250" s="13"/>
      <c r="U250" s="524"/>
      <c r="V250" s="460"/>
      <c r="W250" s="524"/>
      <c r="X250" s="460"/>
      <c r="Y250" s="524"/>
      <c r="Z250" s="460"/>
    </row>
    <row r="251" spans="1:26">
      <c r="A251" s="14"/>
      <c r="B251" s="15"/>
      <c r="C251" s="16"/>
      <c r="D251" s="17"/>
      <c r="E251" s="12"/>
      <c r="F251" s="18"/>
      <c r="G251" s="19"/>
      <c r="H251" s="13"/>
      <c r="I251" s="19"/>
      <c r="J251" s="13"/>
      <c r="K251" s="19"/>
      <c r="L251" s="13"/>
      <c r="M251" s="19"/>
      <c r="N251" s="13"/>
      <c r="O251" s="19"/>
      <c r="P251" s="13"/>
      <c r="Q251" s="19"/>
      <c r="R251" s="13"/>
      <c r="S251" s="19"/>
      <c r="T251" s="13"/>
      <c r="U251" s="524"/>
      <c r="V251" s="460"/>
      <c r="W251" s="524"/>
      <c r="X251" s="460"/>
      <c r="Y251" s="524"/>
      <c r="Z251" s="460"/>
    </row>
    <row r="252" spans="1:26">
      <c r="A252" s="14"/>
      <c r="B252" s="15"/>
      <c r="C252" s="16"/>
      <c r="D252" s="17"/>
      <c r="E252" s="12"/>
      <c r="F252" s="18"/>
      <c r="G252" s="19"/>
      <c r="H252" s="13"/>
      <c r="I252" s="19"/>
      <c r="J252" s="13"/>
      <c r="K252" s="19"/>
      <c r="L252" s="13"/>
      <c r="M252" s="19"/>
      <c r="N252" s="13"/>
      <c r="O252" s="19"/>
      <c r="P252" s="13"/>
      <c r="Q252" s="19"/>
      <c r="R252" s="13"/>
      <c r="S252" s="19"/>
      <c r="T252" s="13"/>
      <c r="U252" s="524"/>
      <c r="V252" s="460"/>
      <c r="W252" s="524"/>
      <c r="X252" s="460"/>
      <c r="Y252" s="524"/>
      <c r="Z252" s="460"/>
    </row>
    <row r="253" spans="1:26">
      <c r="A253" s="14"/>
      <c r="B253" s="15"/>
      <c r="C253" s="16"/>
      <c r="D253" s="17"/>
      <c r="E253" s="12"/>
      <c r="F253" s="18"/>
      <c r="G253" s="19"/>
      <c r="H253" s="13"/>
      <c r="I253" s="19"/>
      <c r="J253" s="13"/>
      <c r="K253" s="19"/>
      <c r="L253" s="13"/>
      <c r="M253" s="19"/>
      <c r="N253" s="13"/>
      <c r="O253" s="19"/>
      <c r="P253" s="13"/>
      <c r="Q253" s="19"/>
      <c r="R253" s="13"/>
      <c r="S253" s="19"/>
      <c r="T253" s="13"/>
      <c r="U253" s="524"/>
      <c r="V253" s="460"/>
      <c r="W253" s="524"/>
      <c r="X253" s="460"/>
      <c r="Y253" s="524"/>
      <c r="Z253" s="460"/>
    </row>
    <row r="254" spans="1:26">
      <c r="A254" s="14"/>
      <c r="B254" s="15"/>
      <c r="C254" s="16"/>
      <c r="D254" s="17"/>
      <c r="E254" s="12"/>
      <c r="F254" s="18"/>
      <c r="G254" s="19"/>
      <c r="H254" s="13"/>
      <c r="I254" s="19"/>
      <c r="J254" s="13"/>
      <c r="K254" s="19"/>
      <c r="L254" s="13"/>
      <c r="M254" s="19"/>
      <c r="N254" s="13"/>
      <c r="O254" s="19"/>
      <c r="P254" s="13"/>
      <c r="Q254" s="19"/>
      <c r="R254" s="13"/>
      <c r="S254" s="19"/>
      <c r="T254" s="13"/>
      <c r="U254" s="524"/>
      <c r="V254" s="460"/>
      <c r="W254" s="524"/>
      <c r="X254" s="460"/>
      <c r="Y254" s="524"/>
      <c r="Z254" s="460"/>
    </row>
    <row r="255" spans="1:26">
      <c r="A255" s="14"/>
      <c r="B255" s="15"/>
      <c r="C255" s="16"/>
      <c r="D255" s="17"/>
      <c r="E255" s="12"/>
      <c r="F255" s="18"/>
      <c r="G255" s="19"/>
      <c r="H255" s="13"/>
      <c r="I255" s="19"/>
      <c r="J255" s="13"/>
      <c r="K255" s="19"/>
      <c r="L255" s="13"/>
      <c r="M255" s="19"/>
      <c r="N255" s="13"/>
      <c r="O255" s="19"/>
      <c r="P255" s="13"/>
      <c r="Q255" s="19"/>
      <c r="R255" s="13"/>
      <c r="S255" s="19"/>
      <c r="T255" s="13"/>
      <c r="U255" s="524"/>
      <c r="V255" s="460"/>
      <c r="W255" s="524"/>
      <c r="X255" s="460"/>
      <c r="Y255" s="524"/>
      <c r="Z255" s="460"/>
    </row>
    <row r="256" spans="1:26">
      <c r="A256" s="14"/>
      <c r="B256" s="15"/>
      <c r="C256" s="16"/>
      <c r="D256" s="17"/>
      <c r="E256" s="12"/>
      <c r="F256" s="18"/>
      <c r="G256" s="19"/>
      <c r="H256" s="13"/>
      <c r="I256" s="19"/>
      <c r="J256" s="13"/>
      <c r="K256" s="19"/>
      <c r="L256" s="13"/>
      <c r="M256" s="19"/>
      <c r="N256" s="13"/>
      <c r="O256" s="19"/>
      <c r="P256" s="13"/>
      <c r="Q256" s="19"/>
      <c r="R256" s="13"/>
      <c r="S256" s="19"/>
      <c r="T256" s="13"/>
      <c r="U256" s="524"/>
      <c r="V256" s="460"/>
      <c r="W256" s="524"/>
      <c r="X256" s="460"/>
      <c r="Y256" s="524"/>
      <c r="Z256" s="460"/>
    </row>
    <row r="257" spans="1:26">
      <c r="A257" s="14"/>
      <c r="B257" s="15"/>
      <c r="C257" s="16"/>
      <c r="D257" s="17"/>
      <c r="E257" s="12"/>
      <c r="F257" s="18"/>
      <c r="G257" s="19"/>
      <c r="H257" s="13"/>
      <c r="I257" s="19"/>
      <c r="J257" s="13"/>
      <c r="K257" s="19"/>
      <c r="L257" s="13"/>
      <c r="M257" s="19"/>
      <c r="N257" s="13"/>
      <c r="O257" s="19"/>
      <c r="P257" s="13"/>
      <c r="Q257" s="19"/>
      <c r="R257" s="13"/>
      <c r="S257" s="19"/>
      <c r="T257" s="13"/>
      <c r="U257" s="524"/>
      <c r="V257" s="460"/>
      <c r="W257" s="524"/>
      <c r="X257" s="460"/>
      <c r="Y257" s="524"/>
      <c r="Z257" s="460"/>
    </row>
    <row r="258" spans="1:26">
      <c r="A258" s="14"/>
      <c r="B258" s="15"/>
      <c r="C258" s="16"/>
      <c r="D258" s="17"/>
      <c r="E258" s="12"/>
      <c r="F258" s="18"/>
      <c r="G258" s="19"/>
      <c r="H258" s="13"/>
      <c r="I258" s="19"/>
      <c r="J258" s="13"/>
      <c r="K258" s="19"/>
      <c r="L258" s="13"/>
      <c r="M258" s="19"/>
      <c r="N258" s="13"/>
      <c r="O258" s="19"/>
      <c r="P258" s="13"/>
      <c r="Q258" s="19"/>
      <c r="R258" s="13"/>
      <c r="S258" s="19"/>
      <c r="T258" s="13"/>
      <c r="U258" s="524"/>
      <c r="V258" s="460"/>
      <c r="W258" s="524"/>
      <c r="X258" s="460"/>
      <c r="Y258" s="524"/>
      <c r="Z258" s="460"/>
    </row>
    <row r="259" spans="1:26">
      <c r="A259" s="14"/>
      <c r="B259" s="15"/>
      <c r="C259" s="16"/>
      <c r="D259" s="17"/>
      <c r="E259" s="12"/>
      <c r="F259" s="18"/>
      <c r="G259" s="19"/>
      <c r="H259" s="13"/>
      <c r="I259" s="19"/>
      <c r="J259" s="13"/>
      <c r="K259" s="19"/>
      <c r="L259" s="13"/>
      <c r="M259" s="19"/>
      <c r="N259" s="13"/>
      <c r="O259" s="19"/>
      <c r="P259" s="13"/>
      <c r="Q259" s="19"/>
      <c r="R259" s="13"/>
      <c r="S259" s="19"/>
      <c r="T259" s="13"/>
      <c r="U259" s="524"/>
      <c r="V259" s="460"/>
      <c r="W259" s="524"/>
      <c r="X259" s="460"/>
      <c r="Y259" s="524"/>
      <c r="Z259" s="460"/>
    </row>
    <row r="260" spans="1:26">
      <c r="A260" s="14"/>
      <c r="B260" s="15"/>
      <c r="C260" s="16"/>
      <c r="D260" s="17"/>
      <c r="E260" s="12"/>
      <c r="F260" s="18"/>
      <c r="G260" s="19"/>
      <c r="H260" s="13"/>
      <c r="I260" s="19"/>
      <c r="J260" s="13"/>
      <c r="K260" s="19"/>
      <c r="L260" s="13"/>
      <c r="M260" s="19"/>
      <c r="N260" s="13"/>
      <c r="O260" s="19"/>
      <c r="P260" s="13"/>
      <c r="Q260" s="19"/>
      <c r="R260" s="13"/>
      <c r="S260" s="19"/>
      <c r="T260" s="13"/>
      <c r="U260" s="524"/>
      <c r="V260" s="460"/>
      <c r="W260" s="524"/>
      <c r="X260" s="460"/>
      <c r="Y260" s="524"/>
      <c r="Z260" s="460"/>
    </row>
    <row r="261" spans="1:26">
      <c r="A261" s="14"/>
      <c r="B261" s="15"/>
      <c r="C261" s="16"/>
      <c r="D261" s="17"/>
      <c r="E261" s="12"/>
      <c r="F261" s="18"/>
      <c r="G261" s="19"/>
      <c r="H261" s="13"/>
      <c r="I261" s="19"/>
      <c r="J261" s="13"/>
      <c r="K261" s="19"/>
      <c r="L261" s="13"/>
      <c r="M261" s="19"/>
      <c r="N261" s="13"/>
      <c r="O261" s="19"/>
      <c r="P261" s="13"/>
      <c r="Q261" s="19"/>
      <c r="R261" s="13"/>
      <c r="S261" s="19"/>
      <c r="T261" s="13"/>
      <c r="U261" s="524"/>
      <c r="V261" s="460"/>
      <c r="W261" s="524"/>
      <c r="X261" s="460"/>
      <c r="Y261" s="524"/>
      <c r="Z261" s="460"/>
    </row>
    <row r="262" spans="1:26">
      <c r="A262" s="14"/>
      <c r="B262" s="15"/>
      <c r="C262" s="16"/>
      <c r="D262" s="17"/>
      <c r="E262" s="12"/>
      <c r="F262" s="18"/>
      <c r="G262" s="19"/>
      <c r="H262" s="13"/>
      <c r="I262" s="19"/>
      <c r="J262" s="13"/>
      <c r="K262" s="19"/>
      <c r="L262" s="13"/>
      <c r="M262" s="19"/>
      <c r="N262" s="13"/>
      <c r="O262" s="19"/>
      <c r="P262" s="13"/>
      <c r="Q262" s="19"/>
      <c r="R262" s="13"/>
      <c r="S262" s="19"/>
      <c r="T262" s="13"/>
      <c r="U262" s="524"/>
      <c r="V262" s="460"/>
      <c r="W262" s="524"/>
      <c r="X262" s="460"/>
      <c r="Y262" s="524"/>
      <c r="Z262" s="460"/>
    </row>
    <row r="263" spans="1:26">
      <c r="A263" s="14"/>
      <c r="B263" s="15"/>
      <c r="C263" s="16"/>
      <c r="D263" s="17"/>
      <c r="E263" s="12"/>
      <c r="F263" s="18"/>
      <c r="G263" s="19"/>
      <c r="H263" s="13"/>
      <c r="I263" s="19"/>
      <c r="J263" s="13"/>
      <c r="K263" s="19"/>
      <c r="L263" s="13"/>
      <c r="M263" s="19"/>
      <c r="N263" s="13"/>
      <c r="O263" s="19"/>
      <c r="P263" s="13"/>
      <c r="Q263" s="19"/>
      <c r="R263" s="13"/>
      <c r="S263" s="19"/>
      <c r="T263" s="13"/>
      <c r="U263" s="524"/>
      <c r="V263" s="460"/>
      <c r="W263" s="524"/>
      <c r="X263" s="460"/>
      <c r="Y263" s="524"/>
      <c r="Z263" s="460"/>
    </row>
    <row r="264" spans="1:26">
      <c r="A264" s="14"/>
      <c r="B264" s="15"/>
      <c r="C264" s="16"/>
      <c r="D264" s="17"/>
      <c r="E264" s="12"/>
      <c r="F264" s="18"/>
      <c r="G264" s="19"/>
      <c r="H264" s="13"/>
      <c r="I264" s="19"/>
      <c r="J264" s="13"/>
      <c r="K264" s="19"/>
      <c r="L264" s="13"/>
      <c r="M264" s="19"/>
      <c r="N264" s="13"/>
      <c r="O264" s="19"/>
      <c r="P264" s="13"/>
      <c r="Q264" s="19"/>
      <c r="R264" s="13"/>
      <c r="S264" s="19"/>
      <c r="T264" s="13"/>
      <c r="U264" s="524"/>
      <c r="V264" s="460"/>
      <c r="W264" s="524"/>
      <c r="X264" s="460"/>
      <c r="Y264" s="524"/>
      <c r="Z264" s="460"/>
    </row>
    <row r="265" spans="1:26">
      <c r="A265" s="14"/>
      <c r="B265" s="15"/>
      <c r="C265" s="16"/>
      <c r="D265" s="17"/>
      <c r="E265" s="12"/>
      <c r="F265" s="18"/>
      <c r="G265" s="19"/>
      <c r="H265" s="13"/>
      <c r="I265" s="19"/>
      <c r="J265" s="13"/>
      <c r="K265" s="19"/>
      <c r="L265" s="13"/>
      <c r="M265" s="19"/>
      <c r="N265" s="13"/>
      <c r="O265" s="19"/>
      <c r="P265" s="13"/>
      <c r="Q265" s="19"/>
      <c r="R265" s="13"/>
      <c r="S265" s="19"/>
      <c r="T265" s="13"/>
      <c r="U265" s="524"/>
      <c r="V265" s="460"/>
      <c r="W265" s="524"/>
      <c r="X265" s="460"/>
      <c r="Y265" s="524"/>
      <c r="Z265" s="460"/>
    </row>
    <row r="266" spans="1:26">
      <c r="A266" s="14"/>
      <c r="B266" s="15"/>
      <c r="C266" s="16"/>
      <c r="D266" s="17"/>
      <c r="E266" s="12"/>
      <c r="F266" s="18"/>
      <c r="G266" s="19"/>
      <c r="H266" s="13"/>
      <c r="I266" s="19"/>
      <c r="J266" s="13"/>
      <c r="K266" s="19"/>
      <c r="L266" s="13"/>
      <c r="M266" s="19"/>
      <c r="N266" s="13"/>
      <c r="O266" s="19"/>
      <c r="P266" s="13"/>
      <c r="Q266" s="19"/>
      <c r="R266" s="13"/>
      <c r="S266" s="19"/>
      <c r="T266" s="13"/>
      <c r="U266" s="524"/>
      <c r="V266" s="460"/>
      <c r="W266" s="524"/>
      <c r="X266" s="460"/>
      <c r="Y266" s="524"/>
      <c r="Z266" s="460"/>
    </row>
    <row r="267" spans="1:26">
      <c r="A267" s="14"/>
      <c r="B267" s="15"/>
      <c r="C267" s="16"/>
      <c r="D267" s="17"/>
      <c r="E267" s="12"/>
      <c r="F267" s="18"/>
      <c r="G267" s="19"/>
      <c r="H267" s="13"/>
      <c r="I267" s="19"/>
      <c r="J267" s="13"/>
      <c r="K267" s="19"/>
      <c r="L267" s="13"/>
      <c r="M267" s="19"/>
      <c r="N267" s="13"/>
      <c r="O267" s="19"/>
      <c r="P267" s="13"/>
      <c r="Q267" s="19"/>
      <c r="R267" s="13"/>
      <c r="S267" s="19"/>
      <c r="T267" s="13"/>
      <c r="U267" s="524"/>
      <c r="V267" s="460"/>
      <c r="W267" s="524"/>
      <c r="X267" s="460"/>
      <c r="Y267" s="524"/>
      <c r="Z267" s="460"/>
    </row>
    <row r="268" spans="1:26">
      <c r="A268" s="14"/>
      <c r="B268" s="15"/>
      <c r="C268" s="16"/>
      <c r="D268" s="17"/>
      <c r="E268" s="12"/>
      <c r="F268" s="18"/>
      <c r="G268" s="19"/>
      <c r="H268" s="13"/>
      <c r="I268" s="19"/>
      <c r="J268" s="13"/>
      <c r="K268" s="19"/>
      <c r="L268" s="13"/>
      <c r="M268" s="19"/>
      <c r="N268" s="13"/>
      <c r="O268" s="19"/>
      <c r="P268" s="13"/>
      <c r="Q268" s="19"/>
      <c r="R268" s="13"/>
      <c r="S268" s="19"/>
      <c r="T268" s="13"/>
      <c r="U268" s="524"/>
      <c r="V268" s="460"/>
      <c r="W268" s="524"/>
      <c r="X268" s="460"/>
      <c r="Y268" s="524"/>
      <c r="Z268" s="460"/>
    </row>
    <row r="269" spans="1:26">
      <c r="A269" s="14"/>
      <c r="B269" s="15"/>
      <c r="C269" s="16"/>
      <c r="D269" s="17"/>
      <c r="E269" s="12"/>
      <c r="F269" s="18"/>
      <c r="G269" s="19"/>
      <c r="H269" s="13"/>
      <c r="I269" s="19"/>
      <c r="J269" s="13"/>
      <c r="K269" s="19"/>
      <c r="L269" s="13"/>
      <c r="M269" s="19"/>
      <c r="N269" s="13"/>
      <c r="O269" s="19"/>
      <c r="P269" s="13"/>
      <c r="Q269" s="19"/>
      <c r="R269" s="13"/>
      <c r="S269" s="19"/>
      <c r="T269" s="13"/>
      <c r="U269" s="524"/>
      <c r="V269" s="460"/>
      <c r="W269" s="524"/>
      <c r="X269" s="460"/>
      <c r="Y269" s="524"/>
      <c r="Z269" s="460"/>
    </row>
    <row r="270" spans="1:26">
      <c r="A270" s="14"/>
      <c r="B270" s="15"/>
      <c r="C270" s="16"/>
      <c r="D270" s="17"/>
      <c r="E270" s="12"/>
      <c r="F270" s="18"/>
      <c r="G270" s="19"/>
      <c r="H270" s="13"/>
      <c r="I270" s="19"/>
      <c r="J270" s="13"/>
      <c r="K270" s="19"/>
      <c r="L270" s="13"/>
      <c r="M270" s="19"/>
      <c r="N270" s="13"/>
      <c r="O270" s="19"/>
      <c r="P270" s="13"/>
      <c r="Q270" s="19"/>
      <c r="R270" s="13"/>
      <c r="S270" s="19"/>
      <c r="T270" s="13"/>
      <c r="U270" s="524"/>
      <c r="V270" s="460"/>
      <c r="W270" s="524"/>
      <c r="X270" s="460"/>
      <c r="Y270" s="524"/>
      <c r="Z270" s="460"/>
    </row>
    <row r="271" spans="1:26">
      <c r="A271" s="14"/>
      <c r="B271" s="15"/>
      <c r="C271" s="16"/>
      <c r="D271" s="17"/>
      <c r="E271" s="12"/>
      <c r="F271" s="18"/>
      <c r="G271" s="19"/>
      <c r="H271" s="13"/>
      <c r="I271" s="19"/>
      <c r="J271" s="13"/>
      <c r="K271" s="19"/>
      <c r="L271" s="13"/>
      <c r="M271" s="19"/>
      <c r="N271" s="13"/>
      <c r="O271" s="19"/>
      <c r="P271" s="13"/>
      <c r="Q271" s="19"/>
      <c r="R271" s="13"/>
      <c r="S271" s="19"/>
      <c r="T271" s="13"/>
      <c r="U271" s="524"/>
      <c r="V271" s="460"/>
      <c r="W271" s="524"/>
      <c r="X271" s="460"/>
      <c r="Y271" s="524"/>
      <c r="Z271" s="460"/>
    </row>
    <row r="272" spans="1:26">
      <c r="A272" s="14"/>
      <c r="B272" s="15"/>
      <c r="C272" s="16"/>
      <c r="D272" s="17"/>
      <c r="E272" s="12"/>
      <c r="F272" s="18"/>
      <c r="G272" s="19"/>
      <c r="H272" s="13"/>
      <c r="I272" s="19"/>
      <c r="J272" s="13"/>
      <c r="K272" s="19"/>
      <c r="L272" s="13"/>
      <c r="M272" s="19"/>
      <c r="N272" s="13"/>
      <c r="O272" s="19"/>
      <c r="P272" s="13"/>
      <c r="Q272" s="19"/>
      <c r="R272" s="13"/>
      <c r="S272" s="19"/>
      <c r="T272" s="13"/>
      <c r="U272" s="524"/>
      <c r="V272" s="460"/>
      <c r="W272" s="524"/>
      <c r="X272" s="460"/>
      <c r="Y272" s="524"/>
      <c r="Z272" s="460"/>
    </row>
    <row r="273" spans="1:26">
      <c r="A273" s="14"/>
      <c r="B273" s="15"/>
      <c r="C273" s="16"/>
      <c r="D273" s="17"/>
      <c r="E273" s="12"/>
      <c r="F273" s="18"/>
      <c r="G273" s="19"/>
      <c r="H273" s="13"/>
      <c r="I273" s="19"/>
      <c r="J273" s="13"/>
      <c r="K273" s="19"/>
      <c r="L273" s="13"/>
      <c r="M273" s="19"/>
      <c r="N273" s="13"/>
      <c r="O273" s="19"/>
      <c r="P273" s="13"/>
      <c r="Q273" s="19"/>
      <c r="R273" s="13"/>
      <c r="S273" s="19"/>
      <c r="T273" s="13"/>
      <c r="U273" s="524"/>
      <c r="V273" s="460"/>
      <c r="W273" s="524"/>
      <c r="X273" s="460"/>
      <c r="Y273" s="524"/>
      <c r="Z273" s="460"/>
    </row>
    <row r="274" spans="1:26">
      <c r="A274" s="14"/>
      <c r="B274" s="15"/>
      <c r="C274" s="16"/>
      <c r="D274" s="17"/>
      <c r="E274" s="12"/>
      <c r="F274" s="18"/>
      <c r="G274" s="19"/>
      <c r="H274" s="13"/>
      <c r="I274" s="19"/>
      <c r="J274" s="13"/>
      <c r="K274" s="19"/>
      <c r="L274" s="13"/>
      <c r="M274" s="19"/>
      <c r="N274" s="13"/>
      <c r="O274" s="19"/>
      <c r="P274" s="13"/>
      <c r="Q274" s="19"/>
      <c r="R274" s="13"/>
      <c r="S274" s="19"/>
      <c r="T274" s="13"/>
      <c r="U274" s="524"/>
      <c r="V274" s="460"/>
      <c r="W274" s="524"/>
      <c r="X274" s="460"/>
      <c r="Y274" s="524"/>
      <c r="Z274" s="460"/>
    </row>
    <row r="275" spans="1:26">
      <c r="A275" s="14"/>
      <c r="B275" s="15"/>
      <c r="C275" s="16"/>
      <c r="D275" s="17"/>
      <c r="E275" s="12"/>
      <c r="F275" s="18"/>
      <c r="G275" s="19"/>
      <c r="H275" s="13"/>
      <c r="I275" s="19"/>
      <c r="J275" s="13"/>
      <c r="K275" s="19"/>
      <c r="L275" s="13"/>
      <c r="M275" s="19"/>
      <c r="N275" s="13"/>
      <c r="O275" s="19"/>
      <c r="P275" s="13"/>
      <c r="Q275" s="19"/>
      <c r="R275" s="13"/>
      <c r="S275" s="19"/>
      <c r="T275" s="13"/>
      <c r="U275" s="524"/>
      <c r="V275" s="460"/>
      <c r="W275" s="524"/>
      <c r="X275" s="460"/>
      <c r="Y275" s="524"/>
      <c r="Z275" s="460"/>
    </row>
    <row r="276" spans="1:26">
      <c r="A276" s="14"/>
      <c r="B276" s="15"/>
      <c r="C276" s="16"/>
      <c r="D276" s="17"/>
      <c r="E276" s="12"/>
      <c r="F276" s="18"/>
      <c r="G276" s="19"/>
      <c r="H276" s="13"/>
      <c r="I276" s="19"/>
      <c r="J276" s="13"/>
      <c r="K276" s="19"/>
      <c r="L276" s="13"/>
      <c r="M276" s="19"/>
      <c r="N276" s="13"/>
      <c r="O276" s="19"/>
      <c r="P276" s="13"/>
      <c r="Q276" s="19"/>
      <c r="R276" s="13"/>
      <c r="S276" s="19"/>
      <c r="T276" s="13"/>
      <c r="U276" s="524"/>
      <c r="V276" s="460"/>
      <c r="W276" s="524"/>
      <c r="X276" s="460"/>
      <c r="Y276" s="524"/>
      <c r="Z276" s="460"/>
    </row>
    <row r="277" spans="1:26">
      <c r="A277" s="14"/>
      <c r="B277" s="15"/>
      <c r="C277" s="16"/>
      <c r="D277" s="17"/>
      <c r="E277" s="12"/>
      <c r="F277" s="18"/>
      <c r="G277" s="19"/>
      <c r="H277" s="13"/>
      <c r="I277" s="19"/>
      <c r="J277" s="13"/>
      <c r="K277" s="19"/>
      <c r="L277" s="13"/>
      <c r="M277" s="19"/>
      <c r="N277" s="13"/>
      <c r="O277" s="19"/>
      <c r="P277" s="13"/>
      <c r="Q277" s="19"/>
      <c r="R277" s="13"/>
      <c r="S277" s="19"/>
      <c r="T277" s="13"/>
      <c r="U277" s="524"/>
      <c r="V277" s="460"/>
      <c r="W277" s="524"/>
      <c r="X277" s="460"/>
      <c r="Y277" s="524"/>
      <c r="Z277" s="460"/>
    </row>
    <row r="278" spans="1:26">
      <c r="A278" s="14"/>
      <c r="B278" s="15"/>
      <c r="C278" s="16"/>
      <c r="D278" s="17"/>
      <c r="E278" s="12"/>
      <c r="F278" s="18"/>
      <c r="G278" s="19"/>
      <c r="H278" s="13"/>
      <c r="I278" s="19"/>
      <c r="J278" s="13"/>
      <c r="K278" s="19"/>
      <c r="L278" s="13"/>
      <c r="M278" s="19"/>
      <c r="N278" s="13"/>
      <c r="O278" s="19"/>
      <c r="P278" s="13"/>
      <c r="Q278" s="19"/>
      <c r="R278" s="13"/>
      <c r="S278" s="19"/>
      <c r="T278" s="13"/>
      <c r="U278" s="524"/>
      <c r="V278" s="460"/>
      <c r="W278" s="524"/>
      <c r="X278" s="460"/>
      <c r="Y278" s="524"/>
      <c r="Z278" s="460"/>
    </row>
    <row r="279" spans="1:26">
      <c r="A279" s="14"/>
      <c r="B279" s="15"/>
      <c r="C279" s="16"/>
      <c r="D279" s="17"/>
      <c r="E279" s="12"/>
      <c r="F279" s="18"/>
      <c r="G279" s="19"/>
      <c r="H279" s="13"/>
      <c r="I279" s="19"/>
      <c r="J279" s="13"/>
      <c r="K279" s="19"/>
      <c r="L279" s="13"/>
      <c r="M279" s="19"/>
      <c r="N279" s="13"/>
      <c r="O279" s="19"/>
      <c r="P279" s="13"/>
      <c r="Q279" s="19"/>
      <c r="R279" s="13"/>
      <c r="S279" s="19"/>
      <c r="T279" s="13"/>
      <c r="U279" s="524"/>
      <c r="V279" s="460"/>
      <c r="W279" s="524"/>
      <c r="X279" s="460"/>
      <c r="Y279" s="524"/>
      <c r="Z279" s="460"/>
    </row>
    <row r="280" spans="1:26">
      <c r="A280" s="14"/>
      <c r="B280" s="15"/>
      <c r="C280" s="16"/>
      <c r="D280" s="17"/>
      <c r="E280" s="12"/>
      <c r="F280" s="18"/>
      <c r="G280" s="19"/>
      <c r="H280" s="13"/>
      <c r="I280" s="19"/>
      <c r="J280" s="13"/>
      <c r="K280" s="19"/>
      <c r="L280" s="13"/>
      <c r="M280" s="19"/>
      <c r="N280" s="13"/>
      <c r="O280" s="19"/>
      <c r="P280" s="13"/>
      <c r="Q280" s="19"/>
      <c r="R280" s="13"/>
      <c r="S280" s="19"/>
      <c r="T280" s="13"/>
      <c r="U280" s="524"/>
      <c r="V280" s="460"/>
      <c r="W280" s="524"/>
      <c r="X280" s="460"/>
      <c r="Y280" s="524"/>
      <c r="Z280" s="460"/>
    </row>
    <row r="281" spans="1:26">
      <c r="A281" s="14"/>
      <c r="B281" s="15"/>
      <c r="C281" s="16"/>
      <c r="D281" s="17"/>
      <c r="E281" s="12"/>
      <c r="F281" s="18"/>
      <c r="G281" s="19"/>
      <c r="H281" s="13"/>
      <c r="I281" s="19"/>
      <c r="J281" s="13"/>
      <c r="K281" s="19"/>
      <c r="L281" s="13"/>
      <c r="M281" s="19"/>
      <c r="N281" s="13"/>
      <c r="O281" s="19"/>
      <c r="P281" s="13"/>
      <c r="Q281" s="19"/>
      <c r="R281" s="13"/>
      <c r="S281" s="19"/>
      <c r="T281" s="13"/>
      <c r="U281" s="524"/>
      <c r="V281" s="460"/>
      <c r="W281" s="524"/>
      <c r="X281" s="460"/>
      <c r="Y281" s="524"/>
      <c r="Z281" s="460"/>
    </row>
    <row r="282" spans="1:26">
      <c r="A282" s="14"/>
      <c r="B282" s="15"/>
      <c r="C282" s="16"/>
      <c r="D282" s="17"/>
      <c r="E282" s="12"/>
      <c r="F282" s="18"/>
      <c r="G282" s="19"/>
      <c r="H282" s="13"/>
      <c r="I282" s="19"/>
      <c r="J282" s="13"/>
      <c r="K282" s="19"/>
      <c r="L282" s="13"/>
      <c r="M282" s="19"/>
      <c r="N282" s="13"/>
      <c r="O282" s="19"/>
      <c r="P282" s="13"/>
      <c r="Q282" s="19"/>
      <c r="R282" s="13"/>
      <c r="S282" s="19"/>
      <c r="T282" s="13"/>
      <c r="U282" s="524"/>
      <c r="V282" s="460"/>
      <c r="W282" s="524"/>
      <c r="X282" s="460"/>
      <c r="Y282" s="524"/>
      <c r="Z282" s="460"/>
    </row>
    <row r="283" spans="1:26">
      <c r="A283" s="14"/>
      <c r="B283" s="15"/>
      <c r="C283" s="16"/>
      <c r="D283" s="17"/>
      <c r="E283" s="12"/>
      <c r="F283" s="18"/>
      <c r="G283" s="19"/>
      <c r="H283" s="13"/>
      <c r="I283" s="19"/>
      <c r="J283" s="13"/>
      <c r="K283" s="19"/>
      <c r="L283" s="13"/>
      <c r="M283" s="19"/>
      <c r="N283" s="13"/>
      <c r="O283" s="19"/>
      <c r="P283" s="13"/>
      <c r="Q283" s="19"/>
      <c r="R283" s="13"/>
      <c r="S283" s="19"/>
      <c r="T283" s="13"/>
      <c r="U283" s="524"/>
      <c r="V283" s="460"/>
      <c r="W283" s="524"/>
      <c r="X283" s="460"/>
      <c r="Y283" s="524"/>
      <c r="Z283" s="460"/>
    </row>
    <row r="284" spans="1:26">
      <c r="A284" s="14"/>
      <c r="B284" s="15"/>
      <c r="C284" s="16"/>
      <c r="D284" s="17"/>
      <c r="E284" s="12"/>
      <c r="F284" s="18"/>
      <c r="G284" s="19"/>
      <c r="H284" s="13"/>
      <c r="I284" s="19"/>
      <c r="J284" s="13"/>
      <c r="K284" s="19"/>
      <c r="L284" s="13"/>
      <c r="M284" s="19"/>
      <c r="N284" s="13"/>
      <c r="O284" s="19"/>
      <c r="P284" s="13"/>
      <c r="Q284" s="19"/>
      <c r="R284" s="13"/>
      <c r="S284" s="19"/>
      <c r="T284" s="13"/>
      <c r="U284" s="524"/>
      <c r="V284" s="460"/>
      <c r="W284" s="524"/>
      <c r="X284" s="460"/>
      <c r="Y284" s="524"/>
      <c r="Z284" s="460"/>
    </row>
    <row r="285" spans="1:26">
      <c r="A285" s="14"/>
      <c r="B285" s="15"/>
      <c r="C285" s="16"/>
      <c r="D285" s="17"/>
      <c r="E285" s="12"/>
      <c r="F285" s="18"/>
      <c r="G285" s="19"/>
      <c r="H285" s="13"/>
      <c r="I285" s="19"/>
      <c r="J285" s="13"/>
      <c r="K285" s="19"/>
      <c r="L285" s="13"/>
      <c r="M285" s="19"/>
      <c r="N285" s="13"/>
      <c r="O285" s="19"/>
      <c r="P285" s="13"/>
      <c r="Q285" s="19"/>
      <c r="R285" s="13"/>
      <c r="S285" s="19"/>
      <c r="T285" s="13"/>
      <c r="U285" s="524"/>
      <c r="V285" s="460"/>
      <c r="W285" s="524"/>
      <c r="X285" s="460"/>
      <c r="Y285" s="524"/>
      <c r="Z285" s="460"/>
    </row>
    <row r="286" spans="1:26">
      <c r="A286" s="14"/>
      <c r="B286" s="15"/>
      <c r="C286" s="16"/>
      <c r="D286" s="17"/>
      <c r="E286" s="12"/>
      <c r="F286" s="18"/>
      <c r="G286" s="19"/>
      <c r="H286" s="13"/>
      <c r="I286" s="19"/>
      <c r="J286" s="13"/>
      <c r="K286" s="19"/>
      <c r="L286" s="13"/>
      <c r="M286" s="19"/>
      <c r="N286" s="13"/>
      <c r="O286" s="19"/>
      <c r="P286" s="13"/>
      <c r="Q286" s="19"/>
      <c r="R286" s="13"/>
      <c r="S286" s="19"/>
      <c r="T286" s="13"/>
      <c r="U286" s="524"/>
      <c r="V286" s="460"/>
      <c r="W286" s="524"/>
      <c r="X286" s="460"/>
      <c r="Y286" s="524"/>
      <c r="Z286" s="460"/>
    </row>
    <row r="287" spans="1:26">
      <c r="A287" s="14"/>
      <c r="B287" s="15"/>
      <c r="C287" s="16"/>
      <c r="D287" s="17"/>
      <c r="E287" s="12"/>
      <c r="F287" s="18"/>
      <c r="G287" s="19"/>
      <c r="H287" s="13"/>
      <c r="I287" s="19"/>
      <c r="J287" s="13"/>
      <c r="K287" s="19"/>
      <c r="L287" s="13"/>
      <c r="M287" s="19"/>
      <c r="N287" s="13"/>
      <c r="O287" s="19"/>
      <c r="P287" s="13"/>
      <c r="Q287" s="19"/>
      <c r="R287" s="13"/>
      <c r="S287" s="19"/>
      <c r="T287" s="13"/>
      <c r="U287" s="524"/>
      <c r="V287" s="460"/>
      <c r="W287" s="524"/>
      <c r="X287" s="460"/>
      <c r="Y287" s="524"/>
      <c r="Z287" s="460"/>
    </row>
    <row r="288" spans="1:26">
      <c r="A288" s="14"/>
      <c r="B288" s="15"/>
      <c r="C288" s="16"/>
      <c r="D288" s="17"/>
      <c r="E288" s="12"/>
      <c r="F288" s="18"/>
      <c r="G288" s="19"/>
      <c r="H288" s="13"/>
      <c r="I288" s="19"/>
      <c r="J288" s="13"/>
      <c r="K288" s="19"/>
      <c r="L288" s="13"/>
      <c r="M288" s="19"/>
      <c r="N288" s="13"/>
      <c r="O288" s="19"/>
      <c r="P288" s="13"/>
      <c r="Q288" s="19"/>
      <c r="R288" s="13"/>
      <c r="S288" s="19"/>
      <c r="T288" s="13"/>
      <c r="U288" s="524"/>
      <c r="V288" s="460"/>
      <c r="W288" s="524"/>
      <c r="X288" s="460"/>
      <c r="Y288" s="524"/>
      <c r="Z288" s="460"/>
    </row>
    <row r="289" spans="1:26">
      <c r="A289" s="14"/>
      <c r="B289" s="15"/>
      <c r="C289" s="16"/>
      <c r="D289" s="17"/>
      <c r="E289" s="12"/>
      <c r="F289" s="18"/>
      <c r="G289" s="19"/>
      <c r="H289" s="13"/>
      <c r="I289" s="19"/>
      <c r="J289" s="13"/>
      <c r="K289" s="19"/>
      <c r="L289" s="13"/>
      <c r="M289" s="19"/>
      <c r="N289" s="13"/>
      <c r="O289" s="19"/>
      <c r="P289" s="13"/>
      <c r="Q289" s="19"/>
      <c r="R289" s="13"/>
      <c r="S289" s="19"/>
      <c r="T289" s="13"/>
      <c r="U289" s="524"/>
      <c r="V289" s="460"/>
      <c r="W289" s="524"/>
      <c r="X289" s="460"/>
      <c r="Y289" s="524"/>
      <c r="Z289" s="460"/>
    </row>
    <row r="290" spans="1:26">
      <c r="A290" s="14"/>
      <c r="B290" s="15"/>
      <c r="C290" s="16"/>
      <c r="D290" s="17"/>
      <c r="E290" s="12"/>
      <c r="F290" s="18"/>
      <c r="G290" s="19"/>
      <c r="H290" s="13"/>
      <c r="I290" s="19"/>
      <c r="J290" s="13"/>
      <c r="K290" s="19"/>
      <c r="L290" s="13"/>
      <c r="M290" s="19"/>
      <c r="N290" s="13"/>
      <c r="O290" s="19"/>
      <c r="P290" s="13"/>
      <c r="Q290" s="19"/>
      <c r="R290" s="13"/>
      <c r="S290" s="19"/>
      <c r="T290" s="13"/>
      <c r="U290" s="524"/>
      <c r="V290" s="460"/>
      <c r="W290" s="524"/>
      <c r="X290" s="460"/>
      <c r="Y290" s="524"/>
      <c r="Z290" s="460"/>
    </row>
    <row r="291" spans="1:26">
      <c r="A291" s="14"/>
      <c r="B291" s="15"/>
      <c r="C291" s="16"/>
      <c r="D291" s="17"/>
      <c r="E291" s="12"/>
      <c r="F291" s="18"/>
      <c r="G291" s="19"/>
      <c r="H291" s="13"/>
      <c r="I291" s="19"/>
      <c r="J291" s="13"/>
      <c r="K291" s="19"/>
      <c r="L291" s="13"/>
      <c r="M291" s="19"/>
      <c r="N291" s="13"/>
      <c r="O291" s="19"/>
      <c r="P291" s="13"/>
      <c r="Q291" s="19"/>
      <c r="R291" s="13"/>
      <c r="S291" s="19"/>
      <c r="T291" s="13"/>
      <c r="U291" s="524"/>
      <c r="V291" s="460"/>
      <c r="W291" s="524"/>
      <c r="X291" s="460"/>
      <c r="Y291" s="524"/>
      <c r="Z291" s="460"/>
    </row>
    <row r="292" spans="1:26">
      <c r="A292" s="14"/>
      <c r="B292" s="15"/>
      <c r="C292" s="16"/>
      <c r="D292" s="17"/>
      <c r="E292" s="12"/>
      <c r="F292" s="18"/>
      <c r="G292" s="19"/>
      <c r="H292" s="13"/>
      <c r="I292" s="19"/>
      <c r="J292" s="13"/>
      <c r="K292" s="19"/>
      <c r="L292" s="13"/>
      <c r="M292" s="19"/>
      <c r="N292" s="13"/>
      <c r="O292" s="19"/>
      <c r="P292" s="13"/>
      <c r="Q292" s="19"/>
      <c r="R292" s="13"/>
      <c r="S292" s="19"/>
      <c r="T292" s="13"/>
      <c r="U292" s="524"/>
      <c r="V292" s="460"/>
      <c r="W292" s="524"/>
      <c r="X292" s="460"/>
      <c r="Y292" s="524"/>
      <c r="Z292" s="460"/>
    </row>
    <row r="293" spans="1:26">
      <c r="A293" s="14"/>
      <c r="B293" s="15"/>
      <c r="C293" s="16"/>
      <c r="D293" s="17"/>
      <c r="E293" s="12"/>
      <c r="F293" s="18"/>
      <c r="G293" s="19"/>
      <c r="H293" s="13"/>
      <c r="I293" s="19"/>
      <c r="J293" s="13"/>
      <c r="K293" s="19"/>
      <c r="L293" s="13"/>
      <c r="M293" s="19"/>
      <c r="N293" s="13"/>
      <c r="O293" s="19"/>
      <c r="P293" s="13"/>
      <c r="Q293" s="19"/>
      <c r="R293" s="13"/>
      <c r="S293" s="19"/>
      <c r="T293" s="13"/>
      <c r="U293" s="524"/>
      <c r="V293" s="460"/>
      <c r="W293" s="524"/>
      <c r="X293" s="460"/>
      <c r="Y293" s="524"/>
      <c r="Z293" s="460"/>
    </row>
    <row r="294" spans="1:26">
      <c r="A294" s="14"/>
      <c r="B294" s="15"/>
      <c r="C294" s="16"/>
      <c r="D294" s="17"/>
      <c r="E294" s="12"/>
      <c r="F294" s="18"/>
      <c r="G294" s="19"/>
      <c r="H294" s="13"/>
      <c r="I294" s="19"/>
      <c r="J294" s="13"/>
      <c r="K294" s="19"/>
      <c r="L294" s="13"/>
      <c r="M294" s="19"/>
      <c r="N294" s="13"/>
      <c r="O294" s="19"/>
      <c r="P294" s="13"/>
      <c r="Q294" s="19"/>
      <c r="R294" s="13"/>
      <c r="S294" s="19"/>
      <c r="T294" s="13"/>
      <c r="U294" s="524"/>
      <c r="V294" s="460"/>
      <c r="W294" s="524"/>
      <c r="X294" s="460"/>
      <c r="Y294" s="524"/>
      <c r="Z294" s="460"/>
    </row>
    <row r="295" spans="1:26">
      <c r="A295" s="14"/>
      <c r="B295" s="15"/>
      <c r="C295" s="16"/>
      <c r="D295" s="17"/>
      <c r="E295" s="12"/>
      <c r="F295" s="18"/>
      <c r="G295" s="19"/>
      <c r="H295" s="13"/>
      <c r="I295" s="19"/>
      <c r="J295" s="13"/>
      <c r="K295" s="19"/>
      <c r="L295" s="13"/>
      <c r="M295" s="19"/>
      <c r="N295" s="13"/>
      <c r="O295" s="19"/>
      <c r="P295" s="13"/>
      <c r="Q295" s="19"/>
      <c r="R295" s="13"/>
      <c r="S295" s="19"/>
      <c r="T295" s="13"/>
      <c r="U295" s="524"/>
      <c r="V295" s="460"/>
      <c r="W295" s="524"/>
      <c r="X295" s="460"/>
      <c r="Y295" s="524"/>
      <c r="Z295" s="460"/>
    </row>
    <row r="296" spans="1:26">
      <c r="A296" s="14"/>
      <c r="B296" s="15"/>
      <c r="C296" s="16"/>
      <c r="D296" s="17"/>
      <c r="E296" s="12"/>
      <c r="F296" s="18"/>
      <c r="G296" s="19"/>
      <c r="H296" s="13"/>
      <c r="I296" s="19"/>
      <c r="J296" s="13"/>
      <c r="K296" s="19"/>
      <c r="L296" s="13"/>
      <c r="M296" s="19"/>
      <c r="N296" s="13"/>
      <c r="O296" s="19"/>
      <c r="P296" s="13"/>
      <c r="Q296" s="19"/>
      <c r="R296" s="13"/>
      <c r="S296" s="19"/>
      <c r="T296" s="13"/>
      <c r="U296" s="524"/>
      <c r="V296" s="460"/>
      <c r="W296" s="524"/>
      <c r="X296" s="460"/>
      <c r="Y296" s="524"/>
      <c r="Z296" s="460"/>
    </row>
    <row r="297" spans="1:26">
      <c r="A297" s="14"/>
      <c r="B297" s="15"/>
      <c r="C297" s="16"/>
      <c r="D297" s="17"/>
      <c r="E297" s="12"/>
      <c r="F297" s="18"/>
      <c r="G297" s="19"/>
      <c r="H297" s="13"/>
      <c r="I297" s="19"/>
      <c r="J297" s="13"/>
      <c r="K297" s="19"/>
      <c r="L297" s="13"/>
      <c r="M297" s="19"/>
      <c r="N297" s="13"/>
      <c r="O297" s="19"/>
      <c r="P297" s="13"/>
      <c r="Q297" s="19"/>
      <c r="R297" s="13"/>
      <c r="S297" s="19"/>
      <c r="T297" s="13"/>
      <c r="U297" s="524"/>
      <c r="V297" s="460"/>
      <c r="W297" s="524"/>
      <c r="X297" s="460"/>
      <c r="Y297" s="524"/>
      <c r="Z297" s="460"/>
    </row>
    <row r="298" spans="1:26">
      <c r="A298" s="14"/>
      <c r="B298" s="15"/>
      <c r="C298" s="16"/>
      <c r="D298" s="17"/>
      <c r="E298" s="12"/>
      <c r="F298" s="18"/>
      <c r="G298" s="19"/>
      <c r="H298" s="13"/>
      <c r="I298" s="19"/>
      <c r="J298" s="13"/>
      <c r="K298" s="19"/>
      <c r="L298" s="13"/>
      <c r="M298" s="19"/>
      <c r="N298" s="13"/>
      <c r="O298" s="19"/>
      <c r="P298" s="13"/>
      <c r="Q298" s="19"/>
      <c r="R298" s="13"/>
      <c r="S298" s="19"/>
      <c r="T298" s="13"/>
      <c r="U298" s="524"/>
      <c r="V298" s="460"/>
      <c r="W298" s="524"/>
      <c r="X298" s="460"/>
      <c r="Y298" s="524"/>
      <c r="Z298" s="460"/>
    </row>
    <row r="299" spans="1:26">
      <c r="A299" s="14"/>
      <c r="B299" s="15"/>
      <c r="C299" s="16"/>
      <c r="D299" s="17"/>
      <c r="E299" s="12"/>
      <c r="F299" s="18"/>
      <c r="G299" s="19"/>
      <c r="H299" s="13"/>
      <c r="I299" s="19"/>
      <c r="J299" s="13"/>
      <c r="K299" s="19"/>
      <c r="L299" s="13"/>
      <c r="M299" s="19"/>
      <c r="N299" s="13"/>
      <c r="O299" s="19"/>
      <c r="P299" s="13"/>
      <c r="Q299" s="19"/>
      <c r="R299" s="13"/>
      <c r="S299" s="19"/>
      <c r="T299" s="13"/>
      <c r="U299" s="524"/>
      <c r="V299" s="460"/>
      <c r="W299" s="524"/>
      <c r="X299" s="460"/>
      <c r="Y299" s="524"/>
      <c r="Z299" s="460"/>
    </row>
    <row r="300" spans="1:26">
      <c r="A300" s="14"/>
      <c r="B300" s="15"/>
      <c r="C300" s="16"/>
      <c r="D300" s="17"/>
      <c r="E300" s="12"/>
      <c r="F300" s="18"/>
      <c r="G300" s="19"/>
      <c r="H300" s="13"/>
      <c r="I300" s="19"/>
      <c r="J300" s="13"/>
      <c r="K300" s="19"/>
      <c r="L300" s="13"/>
      <c r="M300" s="19"/>
      <c r="N300" s="13"/>
      <c r="O300" s="19"/>
      <c r="P300" s="13"/>
      <c r="Q300" s="19"/>
      <c r="R300" s="13"/>
      <c r="S300" s="19"/>
      <c r="T300" s="13"/>
      <c r="U300" s="524"/>
      <c r="V300" s="460"/>
      <c r="W300" s="524"/>
      <c r="X300" s="460"/>
      <c r="Y300" s="524"/>
      <c r="Z300" s="460"/>
    </row>
    <row r="301" spans="1:26">
      <c r="A301" s="14"/>
      <c r="B301" s="15"/>
      <c r="C301" s="16"/>
      <c r="D301" s="17"/>
      <c r="E301" s="12"/>
      <c r="F301" s="18"/>
      <c r="G301" s="19"/>
      <c r="H301" s="13"/>
      <c r="I301" s="19"/>
      <c r="J301" s="13"/>
      <c r="K301" s="19"/>
      <c r="L301" s="13"/>
      <c r="M301" s="19"/>
      <c r="N301" s="13"/>
      <c r="O301" s="19"/>
      <c r="P301" s="13"/>
      <c r="Q301" s="19"/>
      <c r="R301" s="13"/>
      <c r="S301" s="19"/>
      <c r="T301" s="13"/>
      <c r="U301" s="524"/>
      <c r="V301" s="460"/>
      <c r="W301" s="524"/>
      <c r="X301" s="460"/>
      <c r="Y301" s="524"/>
      <c r="Z301" s="460"/>
    </row>
    <row r="302" spans="1:26">
      <c r="A302" s="14"/>
      <c r="B302" s="15"/>
      <c r="C302" s="16"/>
      <c r="D302" s="17"/>
      <c r="E302" s="12"/>
      <c r="F302" s="18"/>
      <c r="G302" s="19"/>
      <c r="H302" s="13"/>
      <c r="I302" s="19"/>
      <c r="J302" s="13"/>
      <c r="K302" s="19"/>
      <c r="L302" s="13"/>
      <c r="M302" s="19"/>
      <c r="N302" s="13"/>
      <c r="O302" s="19"/>
      <c r="P302" s="13"/>
      <c r="Q302" s="19"/>
      <c r="R302" s="13"/>
      <c r="S302" s="19"/>
      <c r="T302" s="13"/>
      <c r="U302" s="524"/>
      <c r="V302" s="460"/>
      <c r="W302" s="524"/>
      <c r="X302" s="460"/>
      <c r="Y302" s="524"/>
      <c r="Z302" s="460"/>
    </row>
    <row r="303" spans="1:26">
      <c r="A303" s="14"/>
      <c r="B303" s="15"/>
      <c r="C303" s="16"/>
      <c r="D303" s="17"/>
      <c r="E303" s="12"/>
      <c r="F303" s="18"/>
      <c r="G303" s="19"/>
      <c r="H303" s="13"/>
      <c r="I303" s="19"/>
      <c r="J303" s="13"/>
      <c r="K303" s="19"/>
      <c r="L303" s="13"/>
      <c r="M303" s="19"/>
      <c r="N303" s="13"/>
      <c r="O303" s="19"/>
      <c r="P303" s="13"/>
      <c r="Q303" s="19"/>
      <c r="R303" s="13"/>
      <c r="S303" s="19"/>
      <c r="T303" s="13"/>
      <c r="U303" s="524"/>
      <c r="V303" s="460"/>
      <c r="W303" s="524"/>
      <c r="X303" s="460"/>
      <c r="Y303" s="524"/>
      <c r="Z303" s="460"/>
    </row>
    <row r="304" spans="1:26">
      <c r="A304" s="14"/>
      <c r="B304" s="15"/>
      <c r="C304" s="16"/>
      <c r="D304" s="17"/>
      <c r="E304" s="12"/>
      <c r="F304" s="18"/>
      <c r="G304" s="19"/>
      <c r="H304" s="13"/>
      <c r="I304" s="19"/>
      <c r="J304" s="13"/>
      <c r="K304" s="19"/>
      <c r="L304" s="13"/>
      <c r="M304" s="19"/>
      <c r="N304" s="13"/>
      <c r="O304" s="19"/>
      <c r="P304" s="13"/>
      <c r="Q304" s="19"/>
      <c r="R304" s="13"/>
      <c r="S304" s="19"/>
      <c r="T304" s="13"/>
      <c r="U304" s="524"/>
      <c r="V304" s="460"/>
      <c r="W304" s="524"/>
      <c r="X304" s="460"/>
      <c r="Y304" s="524"/>
      <c r="Z304" s="460"/>
    </row>
    <row r="305" spans="1:26">
      <c r="A305" s="14"/>
      <c r="B305" s="15"/>
      <c r="C305" s="16"/>
      <c r="D305" s="17"/>
      <c r="E305" s="12"/>
      <c r="F305" s="18"/>
      <c r="G305" s="19"/>
      <c r="H305" s="13"/>
      <c r="I305" s="19"/>
      <c r="J305" s="13"/>
      <c r="K305" s="19"/>
      <c r="L305" s="13"/>
      <c r="M305" s="19"/>
      <c r="N305" s="13"/>
      <c r="O305" s="19"/>
      <c r="P305" s="13"/>
      <c r="Q305" s="19"/>
      <c r="R305" s="13"/>
      <c r="S305" s="19"/>
      <c r="T305" s="13"/>
      <c r="U305" s="524"/>
      <c r="V305" s="460"/>
      <c r="W305" s="524"/>
      <c r="X305" s="460"/>
      <c r="Y305" s="524"/>
      <c r="Z305" s="460"/>
    </row>
    <row r="306" spans="1:26">
      <c r="A306" s="14"/>
      <c r="B306" s="15"/>
      <c r="C306" s="16"/>
      <c r="D306" s="17"/>
      <c r="E306" s="12"/>
      <c r="F306" s="18"/>
      <c r="G306" s="19"/>
      <c r="H306" s="13"/>
      <c r="I306" s="19"/>
      <c r="J306" s="13"/>
      <c r="K306" s="19"/>
      <c r="L306" s="13"/>
      <c r="M306" s="19"/>
      <c r="N306" s="13"/>
      <c r="O306" s="19"/>
      <c r="P306" s="13"/>
      <c r="Q306" s="19"/>
      <c r="R306" s="13"/>
      <c r="S306" s="19"/>
      <c r="T306" s="13"/>
      <c r="U306" s="524"/>
      <c r="V306" s="460"/>
      <c r="W306" s="524"/>
      <c r="X306" s="460"/>
      <c r="Y306" s="524"/>
      <c r="Z306" s="460"/>
    </row>
    <row r="307" spans="1:26">
      <c r="A307" s="14"/>
      <c r="B307" s="15"/>
      <c r="C307" s="16"/>
      <c r="D307" s="17"/>
      <c r="E307" s="12"/>
      <c r="F307" s="18"/>
      <c r="G307" s="19"/>
      <c r="H307" s="13"/>
      <c r="I307" s="19"/>
      <c r="J307" s="13"/>
      <c r="K307" s="19"/>
      <c r="L307" s="13"/>
      <c r="M307" s="19"/>
      <c r="N307" s="13"/>
      <c r="O307" s="19"/>
      <c r="P307" s="13"/>
      <c r="Q307" s="19"/>
      <c r="R307" s="13"/>
      <c r="S307" s="19"/>
      <c r="T307" s="13"/>
      <c r="U307" s="524"/>
      <c r="V307" s="460"/>
      <c r="W307" s="524"/>
      <c r="X307" s="460"/>
      <c r="Y307" s="524"/>
      <c r="Z307" s="460"/>
    </row>
    <row r="308" spans="1:26">
      <c r="A308" s="14"/>
      <c r="B308" s="15"/>
      <c r="C308" s="16"/>
      <c r="D308" s="17"/>
      <c r="E308" s="12"/>
      <c r="F308" s="18"/>
      <c r="G308" s="19"/>
      <c r="H308" s="13"/>
      <c r="I308" s="19"/>
      <c r="J308" s="13"/>
      <c r="K308" s="19"/>
      <c r="L308" s="13"/>
      <c r="M308" s="19"/>
      <c r="N308" s="13"/>
      <c r="O308" s="19"/>
      <c r="P308" s="13"/>
      <c r="Q308" s="19"/>
      <c r="R308" s="13"/>
      <c r="S308" s="19"/>
      <c r="T308" s="13"/>
      <c r="U308" s="524"/>
      <c r="V308" s="460"/>
      <c r="W308" s="524"/>
      <c r="X308" s="460"/>
      <c r="Y308" s="524"/>
      <c r="Z308" s="460"/>
    </row>
    <row r="309" spans="1:26">
      <c r="A309" s="14"/>
      <c r="B309" s="15"/>
      <c r="C309" s="16"/>
      <c r="D309" s="17"/>
      <c r="E309" s="12"/>
      <c r="F309" s="18"/>
      <c r="G309" s="19"/>
      <c r="H309" s="13"/>
      <c r="I309" s="19"/>
      <c r="J309" s="13"/>
      <c r="K309" s="19"/>
      <c r="L309" s="13"/>
      <c r="M309" s="19"/>
      <c r="N309" s="13"/>
      <c r="O309" s="19"/>
      <c r="P309" s="13"/>
      <c r="Q309" s="19"/>
      <c r="R309" s="13"/>
      <c r="S309" s="19"/>
      <c r="T309" s="13"/>
      <c r="U309" s="524"/>
      <c r="V309" s="460"/>
      <c r="W309" s="524"/>
      <c r="X309" s="460"/>
      <c r="Y309" s="524"/>
      <c r="Z309" s="460"/>
    </row>
    <row r="310" spans="1:26">
      <c r="A310" s="14"/>
      <c r="B310" s="15"/>
      <c r="C310" s="16"/>
      <c r="D310" s="17"/>
      <c r="E310" s="12"/>
      <c r="F310" s="18"/>
      <c r="G310" s="19"/>
      <c r="H310" s="13"/>
      <c r="I310" s="19"/>
      <c r="J310" s="13"/>
      <c r="K310" s="19"/>
      <c r="L310" s="13"/>
      <c r="M310" s="19"/>
      <c r="N310" s="13"/>
      <c r="O310" s="19"/>
      <c r="P310" s="13"/>
      <c r="Q310" s="19"/>
      <c r="R310" s="13"/>
      <c r="S310" s="19"/>
      <c r="T310" s="13"/>
      <c r="U310" s="524"/>
      <c r="V310" s="460"/>
      <c r="W310" s="524"/>
      <c r="X310" s="460"/>
      <c r="Y310" s="524"/>
      <c r="Z310" s="460"/>
    </row>
    <row r="311" spans="1:26">
      <c r="A311" s="14"/>
      <c r="B311" s="15"/>
      <c r="C311" s="16"/>
      <c r="D311" s="17"/>
      <c r="E311" s="12"/>
      <c r="F311" s="18"/>
      <c r="G311" s="19"/>
      <c r="H311" s="13"/>
      <c r="I311" s="19"/>
      <c r="J311" s="13"/>
      <c r="K311" s="19"/>
      <c r="L311" s="13"/>
      <c r="M311" s="19"/>
      <c r="N311" s="13"/>
      <c r="O311" s="19"/>
      <c r="P311" s="13"/>
      <c r="Q311" s="19"/>
      <c r="R311" s="13"/>
      <c r="S311" s="19"/>
      <c r="T311" s="13"/>
      <c r="U311" s="524"/>
      <c r="V311" s="460"/>
      <c r="W311" s="524"/>
      <c r="X311" s="460"/>
      <c r="Y311" s="524"/>
      <c r="Z311" s="460"/>
    </row>
    <row r="312" spans="1:26">
      <c r="A312" s="14"/>
      <c r="B312" s="15"/>
      <c r="C312" s="16"/>
      <c r="D312" s="17"/>
      <c r="E312" s="12"/>
      <c r="F312" s="18"/>
      <c r="G312" s="19"/>
      <c r="H312" s="13"/>
      <c r="I312" s="19"/>
      <c r="J312" s="13"/>
      <c r="K312" s="19"/>
      <c r="L312" s="13"/>
      <c r="M312" s="19"/>
      <c r="N312" s="13"/>
      <c r="O312" s="19"/>
      <c r="P312" s="13"/>
      <c r="Q312" s="19"/>
      <c r="R312" s="13"/>
      <c r="S312" s="19"/>
      <c r="T312" s="13"/>
      <c r="U312" s="524"/>
      <c r="V312" s="460"/>
      <c r="W312" s="524"/>
      <c r="X312" s="460"/>
      <c r="Y312" s="524"/>
      <c r="Z312" s="460"/>
    </row>
    <row r="313" spans="1:26">
      <c r="A313" s="14"/>
      <c r="B313" s="15"/>
      <c r="C313" s="16"/>
      <c r="D313" s="17"/>
      <c r="E313" s="12"/>
      <c r="F313" s="18"/>
      <c r="G313" s="19"/>
      <c r="H313" s="13"/>
      <c r="I313" s="19"/>
      <c r="J313" s="13"/>
      <c r="K313" s="19"/>
      <c r="L313" s="13"/>
      <c r="M313" s="19"/>
      <c r="N313" s="13"/>
      <c r="O313" s="19"/>
      <c r="P313" s="13"/>
      <c r="Q313" s="19"/>
      <c r="R313" s="13"/>
      <c r="S313" s="19"/>
      <c r="T313" s="13"/>
      <c r="U313" s="524"/>
      <c r="V313" s="460"/>
      <c r="W313" s="524"/>
      <c r="X313" s="460"/>
      <c r="Y313" s="524"/>
      <c r="Z313" s="460"/>
    </row>
    <row r="314" spans="1:26">
      <c r="A314" s="14"/>
      <c r="B314" s="15"/>
      <c r="C314" s="16"/>
      <c r="D314" s="17"/>
      <c r="E314" s="12"/>
      <c r="F314" s="18"/>
      <c r="G314" s="19"/>
      <c r="H314" s="13"/>
      <c r="I314" s="19"/>
      <c r="J314" s="13"/>
      <c r="K314" s="19"/>
      <c r="L314" s="13"/>
      <c r="M314" s="19"/>
      <c r="N314" s="13"/>
      <c r="O314" s="19"/>
      <c r="P314" s="13"/>
      <c r="Q314" s="19"/>
      <c r="R314" s="13"/>
      <c r="S314" s="19"/>
      <c r="T314" s="13"/>
      <c r="U314" s="524"/>
      <c r="V314" s="460"/>
      <c r="W314" s="524"/>
      <c r="X314" s="460"/>
      <c r="Y314" s="524"/>
      <c r="Z314" s="460"/>
    </row>
    <row r="315" spans="1:26">
      <c r="A315" s="14"/>
      <c r="B315" s="15"/>
      <c r="C315" s="16"/>
      <c r="D315" s="17"/>
      <c r="E315" s="12"/>
      <c r="F315" s="18"/>
      <c r="G315" s="19"/>
      <c r="H315" s="13"/>
      <c r="I315" s="19"/>
      <c r="J315" s="13"/>
      <c r="K315" s="19"/>
      <c r="L315" s="13"/>
      <c r="M315" s="19"/>
      <c r="N315" s="13"/>
      <c r="O315" s="19"/>
      <c r="P315" s="13"/>
      <c r="Q315" s="19"/>
      <c r="R315" s="13"/>
      <c r="S315" s="19"/>
      <c r="T315" s="13"/>
      <c r="U315" s="524"/>
      <c r="V315" s="460"/>
      <c r="W315" s="524"/>
      <c r="X315" s="460"/>
      <c r="Y315" s="524"/>
      <c r="Z315" s="460"/>
    </row>
    <row r="316" spans="1:26">
      <c r="A316" s="14"/>
      <c r="B316" s="15"/>
      <c r="C316" s="16"/>
      <c r="D316" s="17"/>
      <c r="E316" s="12"/>
      <c r="F316" s="18"/>
      <c r="G316" s="19"/>
      <c r="H316" s="13"/>
      <c r="I316" s="19"/>
      <c r="J316" s="13"/>
      <c r="K316" s="19"/>
      <c r="L316" s="13"/>
      <c r="M316" s="19"/>
      <c r="N316" s="13"/>
      <c r="O316" s="19"/>
      <c r="P316" s="13"/>
      <c r="Q316" s="19"/>
      <c r="R316" s="13"/>
      <c r="S316" s="19"/>
      <c r="T316" s="13"/>
      <c r="U316" s="524"/>
      <c r="V316" s="460"/>
      <c r="W316" s="524"/>
      <c r="X316" s="460"/>
      <c r="Y316" s="524"/>
      <c r="Z316" s="460"/>
    </row>
    <row r="317" spans="1:26">
      <c r="A317" s="14"/>
      <c r="B317" s="15"/>
      <c r="C317" s="16"/>
      <c r="D317" s="17"/>
      <c r="E317" s="12"/>
      <c r="F317" s="18"/>
      <c r="G317" s="19"/>
      <c r="H317" s="13"/>
      <c r="I317" s="19"/>
      <c r="J317" s="13"/>
      <c r="K317" s="19"/>
      <c r="L317" s="13"/>
      <c r="M317" s="19"/>
      <c r="N317" s="13"/>
      <c r="O317" s="19"/>
      <c r="P317" s="13"/>
      <c r="Q317" s="19"/>
      <c r="R317" s="13"/>
      <c r="S317" s="19"/>
      <c r="T317" s="13"/>
      <c r="U317" s="524"/>
      <c r="V317" s="460"/>
      <c r="W317" s="524"/>
      <c r="X317" s="460"/>
      <c r="Y317" s="524"/>
      <c r="Z317" s="460"/>
    </row>
    <row r="318" spans="1:26">
      <c r="A318" s="14"/>
      <c r="B318" s="15"/>
      <c r="C318" s="16"/>
      <c r="D318" s="17"/>
      <c r="E318" s="12"/>
      <c r="F318" s="18"/>
      <c r="G318" s="19"/>
      <c r="H318" s="13"/>
      <c r="I318" s="19"/>
      <c r="J318" s="13"/>
      <c r="K318" s="19"/>
      <c r="L318" s="13"/>
      <c r="M318" s="19"/>
      <c r="N318" s="13"/>
      <c r="O318" s="19"/>
      <c r="P318" s="13"/>
      <c r="Q318" s="19"/>
      <c r="R318" s="13"/>
      <c r="S318" s="19"/>
      <c r="T318" s="13"/>
      <c r="U318" s="524"/>
      <c r="V318" s="460"/>
      <c r="W318" s="524"/>
      <c r="X318" s="460"/>
      <c r="Y318" s="524"/>
      <c r="Z318" s="460"/>
    </row>
    <row r="319" spans="1:26">
      <c r="A319" s="14"/>
      <c r="B319" s="15"/>
      <c r="C319" s="16"/>
      <c r="D319" s="17"/>
      <c r="E319" s="12"/>
      <c r="F319" s="18"/>
      <c r="G319" s="19"/>
      <c r="H319" s="13"/>
      <c r="I319" s="19"/>
      <c r="J319" s="13"/>
      <c r="K319" s="19"/>
      <c r="L319" s="13"/>
      <c r="M319" s="19"/>
      <c r="N319" s="13"/>
      <c r="O319" s="19"/>
      <c r="P319" s="13"/>
      <c r="Q319" s="19"/>
      <c r="R319" s="13"/>
      <c r="S319" s="19"/>
      <c r="T319" s="13"/>
      <c r="U319" s="524"/>
      <c r="V319" s="460"/>
      <c r="W319" s="524"/>
      <c r="X319" s="460"/>
      <c r="Y319" s="524"/>
      <c r="Z319" s="460"/>
    </row>
    <row r="320" spans="1:26">
      <c r="A320" s="14"/>
      <c r="B320" s="15"/>
      <c r="C320" s="16"/>
      <c r="D320" s="17"/>
      <c r="E320" s="12"/>
      <c r="F320" s="18"/>
      <c r="G320" s="19"/>
      <c r="H320" s="13"/>
      <c r="I320" s="19"/>
      <c r="J320" s="13"/>
      <c r="K320" s="19"/>
      <c r="L320" s="13"/>
      <c r="M320" s="19"/>
      <c r="N320" s="13"/>
      <c r="O320" s="19"/>
      <c r="P320" s="13"/>
      <c r="Q320" s="19"/>
      <c r="R320" s="13"/>
      <c r="S320" s="19"/>
      <c r="T320" s="13"/>
      <c r="U320" s="524"/>
      <c r="V320" s="460"/>
      <c r="W320" s="524"/>
      <c r="X320" s="460"/>
      <c r="Y320" s="524"/>
      <c r="Z320" s="460"/>
    </row>
    <row r="321" spans="1:26">
      <c r="A321" s="14"/>
      <c r="B321" s="15"/>
      <c r="C321" s="16"/>
      <c r="D321" s="17"/>
      <c r="E321" s="12"/>
      <c r="F321" s="18"/>
      <c r="G321" s="19"/>
      <c r="H321" s="13"/>
      <c r="I321" s="19"/>
      <c r="J321" s="13"/>
      <c r="K321" s="19"/>
      <c r="L321" s="13"/>
      <c r="M321" s="19"/>
      <c r="N321" s="13"/>
      <c r="O321" s="19"/>
      <c r="P321" s="13"/>
      <c r="Q321" s="19"/>
      <c r="R321" s="13"/>
      <c r="S321" s="19"/>
      <c r="T321" s="13"/>
      <c r="U321" s="524"/>
      <c r="V321" s="460"/>
      <c r="W321" s="524"/>
      <c r="X321" s="460"/>
      <c r="Y321" s="524"/>
      <c r="Z321" s="460"/>
    </row>
    <row r="322" spans="1:26">
      <c r="A322" s="14"/>
      <c r="B322" s="15"/>
      <c r="C322" s="16"/>
      <c r="D322" s="17"/>
      <c r="E322" s="12"/>
      <c r="F322" s="18"/>
      <c r="G322" s="19"/>
      <c r="H322" s="13"/>
      <c r="I322" s="19"/>
      <c r="J322" s="13"/>
      <c r="K322" s="19"/>
      <c r="L322" s="13"/>
      <c r="M322" s="19"/>
      <c r="N322" s="13"/>
      <c r="O322" s="19"/>
      <c r="P322" s="13"/>
      <c r="Q322" s="19"/>
      <c r="R322" s="13"/>
      <c r="S322" s="19"/>
      <c r="T322" s="13"/>
      <c r="U322" s="524"/>
      <c r="V322" s="460"/>
      <c r="W322" s="524"/>
      <c r="X322" s="460"/>
      <c r="Y322" s="524"/>
      <c r="Z322" s="460"/>
    </row>
    <row r="323" spans="1:26">
      <c r="A323" s="14"/>
      <c r="B323" s="15"/>
      <c r="C323" s="16"/>
      <c r="D323" s="17"/>
      <c r="E323" s="12"/>
      <c r="F323" s="18"/>
      <c r="G323" s="19"/>
      <c r="H323" s="13"/>
      <c r="I323" s="19"/>
      <c r="J323" s="13"/>
      <c r="K323" s="19"/>
      <c r="L323" s="13"/>
      <c r="M323" s="19"/>
      <c r="N323" s="13"/>
      <c r="O323" s="19"/>
      <c r="P323" s="13"/>
      <c r="Q323" s="19"/>
      <c r="R323" s="13"/>
      <c r="S323" s="19"/>
      <c r="T323" s="13"/>
      <c r="U323" s="524"/>
      <c r="V323" s="460"/>
      <c r="W323" s="524"/>
      <c r="X323" s="460"/>
      <c r="Y323" s="524"/>
      <c r="Z323" s="460"/>
    </row>
    <row r="324" spans="1:26">
      <c r="A324" s="14"/>
      <c r="B324" s="15"/>
      <c r="C324" s="16"/>
      <c r="D324" s="17"/>
      <c r="E324" s="12"/>
      <c r="F324" s="18"/>
      <c r="G324" s="19"/>
      <c r="H324" s="13"/>
      <c r="I324" s="19"/>
      <c r="J324" s="13"/>
      <c r="K324" s="19"/>
      <c r="L324" s="13"/>
      <c r="M324" s="19"/>
      <c r="N324" s="13"/>
      <c r="O324" s="19"/>
      <c r="P324" s="13"/>
      <c r="Q324" s="19"/>
      <c r="R324" s="13"/>
      <c r="S324" s="19"/>
      <c r="T324" s="13"/>
      <c r="U324" s="524"/>
      <c r="V324" s="460"/>
      <c r="W324" s="524"/>
      <c r="X324" s="460"/>
      <c r="Y324" s="524"/>
      <c r="Z324" s="460"/>
    </row>
    <row r="325" spans="1:26">
      <c r="A325" s="14"/>
      <c r="B325" s="15"/>
      <c r="C325" s="16"/>
      <c r="D325" s="17"/>
      <c r="E325" s="12"/>
      <c r="F325" s="18"/>
      <c r="G325" s="19"/>
      <c r="H325" s="13"/>
      <c r="I325" s="19"/>
      <c r="J325" s="13"/>
      <c r="K325" s="19"/>
      <c r="L325" s="13"/>
      <c r="M325" s="19"/>
      <c r="N325" s="13"/>
      <c r="O325" s="19"/>
      <c r="P325" s="13"/>
      <c r="Q325" s="19"/>
      <c r="R325" s="13"/>
      <c r="S325" s="19"/>
      <c r="T325" s="13"/>
      <c r="U325" s="524"/>
      <c r="V325" s="460"/>
      <c r="W325" s="524"/>
      <c r="X325" s="460"/>
      <c r="Y325" s="524"/>
      <c r="Z325" s="460"/>
    </row>
    <row r="326" spans="1:26">
      <c r="A326" s="14"/>
      <c r="B326" s="15"/>
      <c r="C326" s="16"/>
      <c r="D326" s="17"/>
      <c r="E326" s="12"/>
      <c r="F326" s="18"/>
      <c r="G326" s="19"/>
      <c r="H326" s="13"/>
      <c r="I326" s="19"/>
      <c r="J326" s="13"/>
      <c r="K326" s="19"/>
      <c r="L326" s="13"/>
      <c r="M326" s="19"/>
      <c r="N326" s="13"/>
      <c r="O326" s="19"/>
      <c r="P326" s="13"/>
      <c r="Q326" s="19"/>
      <c r="R326" s="13"/>
      <c r="S326" s="19"/>
      <c r="T326" s="13"/>
      <c r="U326" s="524"/>
      <c r="V326" s="460"/>
      <c r="W326" s="524"/>
      <c r="X326" s="460"/>
      <c r="Y326" s="524"/>
      <c r="Z326" s="460"/>
    </row>
    <row r="327" spans="1:26">
      <c r="A327" s="14"/>
      <c r="B327" s="15"/>
      <c r="C327" s="16"/>
      <c r="D327" s="17"/>
      <c r="E327" s="12"/>
      <c r="F327" s="18"/>
      <c r="G327" s="19"/>
      <c r="H327" s="13"/>
      <c r="I327" s="19"/>
      <c r="J327" s="13"/>
      <c r="K327" s="19"/>
      <c r="L327" s="13"/>
      <c r="M327" s="19"/>
      <c r="N327" s="13"/>
      <c r="O327" s="19"/>
      <c r="P327" s="13"/>
      <c r="Q327" s="19"/>
      <c r="R327" s="13"/>
      <c r="S327" s="19"/>
      <c r="T327" s="13"/>
      <c r="U327" s="524"/>
      <c r="V327" s="460"/>
      <c r="W327" s="524"/>
      <c r="X327" s="460"/>
      <c r="Y327" s="524"/>
      <c r="Z327" s="460"/>
    </row>
    <row r="328" spans="1:26">
      <c r="A328" s="14"/>
      <c r="B328" s="15"/>
      <c r="C328" s="16"/>
      <c r="D328" s="17"/>
      <c r="E328" s="12"/>
      <c r="F328" s="18"/>
      <c r="G328" s="19"/>
      <c r="H328" s="13"/>
      <c r="I328" s="19"/>
      <c r="J328" s="13"/>
      <c r="K328" s="19"/>
      <c r="L328" s="13"/>
      <c r="M328" s="19"/>
      <c r="N328" s="13"/>
      <c r="O328" s="19"/>
      <c r="P328" s="13"/>
      <c r="Q328" s="19"/>
      <c r="R328" s="13"/>
      <c r="S328" s="19"/>
      <c r="T328" s="13"/>
      <c r="U328" s="524"/>
      <c r="V328" s="460"/>
      <c r="W328" s="524"/>
      <c r="X328" s="460"/>
      <c r="Y328" s="524"/>
      <c r="Z328" s="460"/>
    </row>
    <row r="329" spans="1:26">
      <c r="A329" s="14"/>
      <c r="B329" s="15"/>
      <c r="C329" s="16"/>
      <c r="D329" s="17"/>
      <c r="E329" s="12"/>
      <c r="F329" s="18"/>
      <c r="G329" s="19"/>
      <c r="H329" s="13"/>
      <c r="I329" s="19"/>
      <c r="J329" s="13"/>
      <c r="K329" s="19"/>
      <c r="L329" s="13"/>
      <c r="M329" s="19"/>
      <c r="N329" s="13"/>
      <c r="O329" s="19"/>
      <c r="P329" s="13"/>
      <c r="Q329" s="19"/>
      <c r="R329" s="13"/>
      <c r="S329" s="19"/>
      <c r="T329" s="13"/>
      <c r="U329" s="524"/>
      <c r="V329" s="460"/>
      <c r="W329" s="524"/>
      <c r="X329" s="460"/>
      <c r="Y329" s="524"/>
      <c r="Z329" s="460"/>
    </row>
    <row r="330" spans="1:26">
      <c r="A330" s="14"/>
      <c r="B330" s="15"/>
      <c r="C330" s="16"/>
      <c r="D330" s="17"/>
      <c r="E330" s="12"/>
      <c r="F330" s="18"/>
      <c r="G330" s="19"/>
      <c r="H330" s="13"/>
      <c r="I330" s="19"/>
      <c r="J330" s="13"/>
      <c r="K330" s="19"/>
      <c r="L330" s="13"/>
      <c r="M330" s="19"/>
      <c r="N330" s="13"/>
      <c r="O330" s="19"/>
      <c r="P330" s="13"/>
      <c r="Q330" s="19"/>
      <c r="R330" s="13"/>
      <c r="S330" s="19"/>
      <c r="T330" s="13"/>
      <c r="U330" s="524"/>
      <c r="V330" s="460"/>
      <c r="W330" s="524"/>
      <c r="X330" s="460"/>
      <c r="Y330" s="524"/>
      <c r="Z330" s="460"/>
    </row>
    <row r="331" spans="1:26">
      <c r="A331" s="14"/>
      <c r="B331" s="15"/>
      <c r="C331" s="16"/>
      <c r="D331" s="17"/>
      <c r="E331" s="12"/>
      <c r="F331" s="18"/>
      <c r="G331" s="19"/>
      <c r="H331" s="13"/>
      <c r="I331" s="19"/>
      <c r="J331" s="13"/>
      <c r="K331" s="19"/>
      <c r="L331" s="13"/>
      <c r="M331" s="19"/>
      <c r="N331" s="13"/>
      <c r="O331" s="19"/>
      <c r="P331" s="13"/>
      <c r="Q331" s="19"/>
      <c r="R331" s="13"/>
      <c r="S331" s="19"/>
      <c r="T331" s="13"/>
      <c r="U331" s="524"/>
      <c r="V331" s="460"/>
      <c r="W331" s="524"/>
      <c r="X331" s="460"/>
      <c r="Y331" s="524"/>
      <c r="Z331" s="460"/>
    </row>
    <row r="332" spans="1:26">
      <c r="A332" s="14"/>
      <c r="B332" s="15"/>
      <c r="C332" s="16"/>
      <c r="D332" s="17"/>
      <c r="E332" s="12"/>
      <c r="F332" s="18"/>
      <c r="G332" s="19"/>
      <c r="H332" s="13"/>
      <c r="I332" s="19"/>
      <c r="J332" s="13"/>
      <c r="K332" s="19"/>
      <c r="L332" s="13"/>
      <c r="M332" s="19"/>
      <c r="N332" s="13"/>
      <c r="O332" s="19"/>
      <c r="P332" s="13"/>
      <c r="Q332" s="19"/>
      <c r="R332" s="13"/>
      <c r="S332" s="19"/>
      <c r="T332" s="13"/>
      <c r="U332" s="524"/>
      <c r="V332" s="460"/>
      <c r="W332" s="524"/>
      <c r="X332" s="460"/>
      <c r="Y332" s="524"/>
      <c r="Z332" s="460"/>
    </row>
    <row r="333" spans="1:26">
      <c r="A333" s="14"/>
      <c r="B333" s="15"/>
      <c r="C333" s="16"/>
      <c r="D333" s="17"/>
      <c r="E333" s="12"/>
      <c r="F333" s="18"/>
      <c r="G333" s="19"/>
      <c r="H333" s="13"/>
      <c r="I333" s="19"/>
      <c r="J333" s="13"/>
      <c r="K333" s="19"/>
      <c r="L333" s="13"/>
      <c r="M333" s="19"/>
      <c r="N333" s="13"/>
      <c r="O333" s="19"/>
      <c r="P333" s="13"/>
      <c r="Q333" s="19"/>
      <c r="R333" s="13"/>
      <c r="S333" s="19"/>
      <c r="T333" s="13"/>
      <c r="U333" s="524"/>
      <c r="V333" s="460"/>
      <c r="W333" s="524"/>
      <c r="X333" s="460"/>
      <c r="Y333" s="524"/>
      <c r="Z333" s="460"/>
    </row>
    <row r="334" spans="1:26">
      <c r="A334" s="14"/>
      <c r="B334" s="15"/>
      <c r="C334" s="16"/>
      <c r="D334" s="17"/>
      <c r="E334" s="12"/>
      <c r="F334" s="18"/>
      <c r="G334" s="19"/>
      <c r="H334" s="13"/>
      <c r="I334" s="19"/>
      <c r="J334" s="13"/>
      <c r="K334" s="19"/>
      <c r="L334" s="13"/>
      <c r="M334" s="19"/>
      <c r="N334" s="13"/>
      <c r="O334" s="19"/>
      <c r="P334" s="13"/>
      <c r="Q334" s="19"/>
      <c r="R334" s="13"/>
      <c r="S334" s="19"/>
      <c r="T334" s="13"/>
      <c r="U334" s="524"/>
      <c r="V334" s="460"/>
      <c r="W334" s="524"/>
      <c r="X334" s="460"/>
      <c r="Y334" s="524"/>
      <c r="Z334" s="460"/>
    </row>
    <row r="335" spans="1:26">
      <c r="A335" s="14"/>
      <c r="B335" s="15"/>
      <c r="C335" s="16"/>
      <c r="D335" s="17"/>
      <c r="E335" s="12"/>
      <c r="F335" s="18"/>
      <c r="G335" s="19"/>
      <c r="H335" s="13"/>
      <c r="I335" s="19"/>
      <c r="J335" s="13"/>
      <c r="K335" s="19"/>
      <c r="L335" s="13"/>
      <c r="M335" s="19"/>
      <c r="N335" s="13"/>
      <c r="O335" s="19"/>
      <c r="P335" s="13"/>
      <c r="Q335" s="19"/>
      <c r="R335" s="13"/>
      <c r="S335" s="19"/>
      <c r="T335" s="13"/>
      <c r="U335" s="524"/>
      <c r="V335" s="460"/>
      <c r="W335" s="524"/>
      <c r="X335" s="460"/>
      <c r="Y335" s="524"/>
      <c r="Z335" s="460"/>
    </row>
    <row r="336" spans="1:26">
      <c r="A336" s="14"/>
      <c r="B336" s="15"/>
      <c r="C336" s="16"/>
      <c r="D336" s="17"/>
      <c r="E336" s="12"/>
      <c r="F336" s="18"/>
      <c r="G336" s="19"/>
      <c r="H336" s="13"/>
      <c r="I336" s="19"/>
      <c r="J336" s="13"/>
      <c r="K336" s="19"/>
      <c r="L336" s="13"/>
      <c r="M336" s="19"/>
      <c r="N336" s="13"/>
      <c r="O336" s="19"/>
      <c r="P336" s="13"/>
      <c r="Q336" s="19"/>
      <c r="R336" s="13"/>
      <c r="S336" s="19"/>
      <c r="T336" s="13"/>
      <c r="U336" s="524"/>
      <c r="V336" s="460"/>
      <c r="W336" s="524"/>
      <c r="X336" s="460"/>
      <c r="Y336" s="524"/>
      <c r="Z336" s="460"/>
    </row>
    <row r="337" spans="1:26">
      <c r="A337" s="14"/>
      <c r="B337" s="15"/>
      <c r="C337" s="16"/>
      <c r="D337" s="17"/>
      <c r="E337" s="12"/>
      <c r="F337" s="18"/>
      <c r="G337" s="19"/>
      <c r="H337" s="13"/>
      <c r="I337" s="19"/>
      <c r="J337" s="13"/>
      <c r="K337" s="19"/>
      <c r="L337" s="13"/>
      <c r="M337" s="19"/>
      <c r="N337" s="13"/>
      <c r="O337" s="19"/>
      <c r="P337" s="13"/>
      <c r="Q337" s="19"/>
      <c r="R337" s="13"/>
      <c r="S337" s="19"/>
      <c r="T337" s="13"/>
      <c r="U337" s="524"/>
      <c r="V337" s="460"/>
      <c r="W337" s="524"/>
      <c r="X337" s="460"/>
      <c r="Y337" s="524"/>
      <c r="Z337" s="460"/>
    </row>
    <row r="338" spans="1:26">
      <c r="A338" s="14"/>
      <c r="B338" s="15"/>
      <c r="C338" s="16"/>
      <c r="D338" s="17"/>
      <c r="E338" s="12"/>
      <c r="F338" s="18"/>
      <c r="G338" s="19"/>
      <c r="H338" s="13"/>
      <c r="I338" s="19"/>
      <c r="J338" s="13"/>
      <c r="K338" s="19"/>
      <c r="L338" s="13"/>
      <c r="M338" s="19"/>
      <c r="N338" s="13"/>
      <c r="O338" s="19"/>
      <c r="P338" s="13"/>
      <c r="Q338" s="19"/>
      <c r="R338" s="13"/>
      <c r="S338" s="19"/>
      <c r="T338" s="13"/>
      <c r="U338" s="524"/>
      <c r="V338" s="460"/>
      <c r="W338" s="524"/>
      <c r="X338" s="460"/>
      <c r="Y338" s="524"/>
      <c r="Z338" s="460"/>
    </row>
    <row r="339" spans="1:26">
      <c r="A339" s="14"/>
      <c r="B339" s="15"/>
      <c r="C339" s="16"/>
      <c r="D339" s="17"/>
      <c r="E339" s="12"/>
      <c r="F339" s="18"/>
      <c r="G339" s="19"/>
      <c r="H339" s="13"/>
      <c r="I339" s="19"/>
      <c r="J339" s="13"/>
      <c r="K339" s="19"/>
      <c r="L339" s="13"/>
      <c r="M339" s="19"/>
      <c r="N339" s="13"/>
      <c r="O339" s="19"/>
      <c r="P339" s="13"/>
      <c r="Q339" s="19"/>
      <c r="R339" s="13"/>
      <c r="S339" s="19"/>
      <c r="T339" s="13"/>
      <c r="U339" s="524"/>
      <c r="V339" s="460"/>
      <c r="W339" s="524"/>
      <c r="X339" s="460"/>
      <c r="Y339" s="524"/>
      <c r="Z339" s="460"/>
    </row>
    <row r="340" spans="1:26">
      <c r="A340" s="14"/>
      <c r="B340" s="15"/>
      <c r="C340" s="16"/>
      <c r="D340" s="17"/>
      <c r="E340" s="12"/>
      <c r="F340" s="18"/>
      <c r="G340" s="19"/>
      <c r="H340" s="13"/>
      <c r="I340" s="19"/>
      <c r="J340" s="13"/>
      <c r="K340" s="19"/>
      <c r="L340" s="13"/>
      <c r="M340" s="19"/>
      <c r="N340" s="13"/>
      <c r="O340" s="19"/>
      <c r="P340" s="13"/>
      <c r="Q340" s="19"/>
      <c r="R340" s="13"/>
      <c r="S340" s="19"/>
      <c r="T340" s="13"/>
      <c r="U340" s="524"/>
      <c r="V340" s="460"/>
      <c r="W340" s="524"/>
      <c r="X340" s="460"/>
      <c r="Y340" s="524"/>
      <c r="Z340" s="460"/>
    </row>
    <row r="341" spans="1:26">
      <c r="A341" s="14"/>
      <c r="B341" s="15"/>
      <c r="C341" s="16"/>
      <c r="D341" s="17"/>
      <c r="E341" s="12"/>
      <c r="F341" s="18"/>
      <c r="G341" s="19"/>
      <c r="H341" s="13"/>
      <c r="I341" s="19"/>
      <c r="J341" s="13"/>
      <c r="K341" s="19"/>
      <c r="L341" s="13"/>
      <c r="M341" s="19"/>
      <c r="N341" s="13"/>
      <c r="O341" s="19"/>
      <c r="P341" s="13"/>
      <c r="Q341" s="19"/>
      <c r="R341" s="13"/>
      <c r="S341" s="19"/>
      <c r="T341" s="13"/>
      <c r="U341" s="524"/>
      <c r="V341" s="460"/>
      <c r="W341" s="524"/>
      <c r="X341" s="460"/>
      <c r="Y341" s="524"/>
      <c r="Z341" s="460"/>
    </row>
    <row r="342" spans="1:26">
      <c r="A342" s="14"/>
      <c r="B342" s="15"/>
      <c r="C342" s="16"/>
      <c r="D342" s="17"/>
      <c r="E342" s="12"/>
      <c r="F342" s="18"/>
      <c r="G342" s="19"/>
      <c r="H342" s="13"/>
      <c r="I342" s="19"/>
      <c r="J342" s="13"/>
      <c r="K342" s="19"/>
      <c r="L342" s="13"/>
      <c r="M342" s="19"/>
      <c r="N342" s="13"/>
      <c r="O342" s="19"/>
      <c r="P342" s="13"/>
      <c r="Q342" s="19"/>
      <c r="R342" s="13"/>
      <c r="S342" s="19"/>
      <c r="T342" s="13"/>
      <c r="U342" s="524"/>
      <c r="V342" s="460"/>
      <c r="W342" s="524"/>
      <c r="X342" s="460"/>
      <c r="Y342" s="524"/>
      <c r="Z342" s="460"/>
    </row>
    <row r="343" spans="1:26">
      <c r="A343" s="14"/>
      <c r="B343" s="15"/>
      <c r="C343" s="16"/>
      <c r="D343" s="17"/>
      <c r="E343" s="12"/>
      <c r="F343" s="18"/>
      <c r="G343" s="19"/>
      <c r="H343" s="13"/>
      <c r="I343" s="19"/>
      <c r="J343" s="13"/>
      <c r="K343" s="19"/>
      <c r="L343" s="13"/>
      <c r="M343" s="19"/>
      <c r="N343" s="13"/>
      <c r="O343" s="19"/>
      <c r="P343" s="13"/>
      <c r="Q343" s="19"/>
      <c r="R343" s="13"/>
      <c r="S343" s="19"/>
      <c r="T343" s="13"/>
      <c r="U343" s="524"/>
      <c r="V343" s="460"/>
      <c r="W343" s="524"/>
      <c r="X343" s="460"/>
      <c r="Y343" s="524"/>
      <c r="Z343" s="460"/>
    </row>
    <row r="344" spans="1:26">
      <c r="A344" s="14"/>
      <c r="B344" s="15"/>
      <c r="C344" s="16"/>
      <c r="D344" s="17"/>
      <c r="E344" s="12"/>
      <c r="F344" s="18"/>
      <c r="G344" s="19"/>
      <c r="H344" s="13"/>
      <c r="I344" s="19"/>
      <c r="J344" s="13"/>
      <c r="K344" s="19"/>
      <c r="L344" s="13"/>
      <c r="M344" s="19"/>
      <c r="N344" s="13"/>
      <c r="O344" s="19"/>
      <c r="P344" s="13"/>
      <c r="Q344" s="19"/>
      <c r="R344" s="13"/>
      <c r="S344" s="19"/>
      <c r="T344" s="13"/>
      <c r="U344" s="524"/>
      <c r="V344" s="460"/>
      <c r="W344" s="524"/>
      <c r="X344" s="460"/>
      <c r="Y344" s="524"/>
      <c r="Z344" s="460"/>
    </row>
    <row r="345" spans="1:26">
      <c r="A345" s="14"/>
      <c r="B345" s="15"/>
      <c r="C345" s="16"/>
      <c r="D345" s="17"/>
      <c r="E345" s="12"/>
      <c r="F345" s="18"/>
      <c r="G345" s="19"/>
      <c r="H345" s="13"/>
      <c r="I345" s="19"/>
      <c r="J345" s="13"/>
      <c r="K345" s="19"/>
      <c r="L345" s="13"/>
      <c r="M345" s="19"/>
      <c r="N345" s="13"/>
      <c r="O345" s="19"/>
      <c r="P345" s="13"/>
      <c r="Q345" s="19"/>
      <c r="R345" s="13"/>
      <c r="S345" s="19"/>
      <c r="T345" s="13"/>
      <c r="U345" s="524"/>
      <c r="V345" s="460"/>
      <c r="W345" s="524"/>
      <c r="X345" s="460"/>
      <c r="Y345" s="524"/>
      <c r="Z345" s="460"/>
    </row>
    <row r="346" spans="1:26">
      <c r="A346" s="14"/>
      <c r="B346" s="15"/>
      <c r="C346" s="16"/>
      <c r="D346" s="17"/>
      <c r="E346" s="12"/>
      <c r="F346" s="18"/>
      <c r="G346" s="19"/>
      <c r="H346" s="13"/>
      <c r="I346" s="19"/>
      <c r="J346" s="13"/>
      <c r="K346" s="19"/>
      <c r="L346" s="13"/>
      <c r="M346" s="19"/>
      <c r="N346" s="13"/>
      <c r="O346" s="19"/>
      <c r="P346" s="13"/>
      <c r="Q346" s="19"/>
      <c r="R346" s="13"/>
      <c r="S346" s="19"/>
      <c r="T346" s="13"/>
      <c r="U346" s="524"/>
      <c r="V346" s="460"/>
      <c r="W346" s="524"/>
      <c r="X346" s="460"/>
      <c r="Y346" s="524"/>
      <c r="Z346" s="460"/>
    </row>
    <row r="347" spans="1:26">
      <c r="A347" s="14"/>
      <c r="B347" s="15"/>
      <c r="C347" s="16"/>
      <c r="D347" s="17"/>
      <c r="E347" s="12"/>
      <c r="F347" s="18"/>
      <c r="G347" s="19"/>
      <c r="H347" s="13"/>
      <c r="I347" s="19"/>
      <c r="J347" s="13"/>
      <c r="K347" s="19"/>
      <c r="L347" s="13"/>
      <c r="M347" s="19"/>
      <c r="N347" s="13"/>
      <c r="O347" s="19"/>
      <c r="P347" s="13"/>
      <c r="Q347" s="19"/>
      <c r="R347" s="13"/>
      <c r="S347" s="19"/>
      <c r="T347" s="13"/>
      <c r="U347" s="524"/>
      <c r="V347" s="460"/>
      <c r="W347" s="524"/>
      <c r="X347" s="460"/>
      <c r="Y347" s="524"/>
      <c r="Z347" s="460"/>
    </row>
    <row r="348" spans="1:26">
      <c r="A348" s="14"/>
      <c r="B348" s="15"/>
      <c r="C348" s="16"/>
      <c r="D348" s="17"/>
      <c r="E348" s="12"/>
      <c r="F348" s="18"/>
      <c r="G348" s="19"/>
      <c r="H348" s="13"/>
      <c r="I348" s="19"/>
      <c r="J348" s="13"/>
      <c r="K348" s="19"/>
      <c r="L348" s="13"/>
      <c r="M348" s="19"/>
      <c r="N348" s="13"/>
      <c r="O348" s="19"/>
      <c r="P348" s="13"/>
      <c r="Q348" s="19"/>
      <c r="R348" s="13"/>
      <c r="S348" s="19"/>
      <c r="T348" s="13"/>
      <c r="U348" s="524"/>
      <c r="V348" s="460"/>
      <c r="W348" s="524"/>
      <c r="X348" s="460"/>
      <c r="Y348" s="524"/>
      <c r="Z348" s="460"/>
    </row>
    <row r="349" spans="1:26">
      <c r="A349" s="14"/>
      <c r="B349" s="15"/>
      <c r="C349" s="16"/>
      <c r="D349" s="17"/>
      <c r="E349" s="12"/>
      <c r="F349" s="18"/>
      <c r="G349" s="19"/>
      <c r="H349" s="13"/>
      <c r="I349" s="19"/>
      <c r="J349" s="13"/>
      <c r="K349" s="19"/>
      <c r="L349" s="13"/>
      <c r="M349" s="19"/>
      <c r="N349" s="13"/>
      <c r="O349" s="19"/>
      <c r="P349" s="13"/>
      <c r="Q349" s="19"/>
      <c r="R349" s="13"/>
      <c r="S349" s="19"/>
      <c r="T349" s="13"/>
      <c r="U349" s="524"/>
      <c r="V349" s="460"/>
      <c r="W349" s="524"/>
      <c r="X349" s="460"/>
      <c r="Y349" s="524"/>
      <c r="Z349" s="460"/>
    </row>
    <row r="350" spans="1:26">
      <c r="A350" s="14"/>
      <c r="B350" s="15"/>
      <c r="C350" s="16"/>
      <c r="D350" s="17"/>
      <c r="E350" s="12"/>
      <c r="F350" s="18"/>
      <c r="G350" s="19"/>
      <c r="H350" s="13"/>
      <c r="I350" s="19"/>
      <c r="J350" s="13"/>
      <c r="K350" s="19"/>
      <c r="L350" s="13"/>
      <c r="M350" s="19"/>
      <c r="N350" s="13"/>
      <c r="O350" s="19"/>
      <c r="P350" s="13"/>
      <c r="Q350" s="19"/>
      <c r="R350" s="13"/>
      <c r="S350" s="19"/>
      <c r="T350" s="13"/>
      <c r="U350" s="524"/>
      <c r="V350" s="460"/>
      <c r="W350" s="524"/>
      <c r="X350" s="460"/>
      <c r="Y350" s="524"/>
      <c r="Z350" s="460"/>
    </row>
    <row r="351" spans="1:26">
      <c r="A351" s="14"/>
      <c r="B351" s="15"/>
      <c r="C351" s="16"/>
      <c r="D351" s="17"/>
      <c r="E351" s="12"/>
      <c r="F351" s="18"/>
      <c r="G351" s="19"/>
      <c r="H351" s="13"/>
      <c r="I351" s="19"/>
      <c r="J351" s="13"/>
      <c r="K351" s="19"/>
      <c r="L351" s="13"/>
      <c r="M351" s="19"/>
      <c r="N351" s="13"/>
      <c r="O351" s="19"/>
      <c r="P351" s="13"/>
      <c r="Q351" s="19"/>
      <c r="R351" s="13"/>
      <c r="S351" s="19"/>
      <c r="T351" s="13"/>
      <c r="U351" s="524"/>
      <c r="V351" s="460"/>
      <c r="W351" s="524"/>
      <c r="X351" s="460"/>
      <c r="Y351" s="524"/>
      <c r="Z351" s="460"/>
    </row>
    <row r="352" spans="1:26">
      <c r="A352" s="14"/>
      <c r="B352" s="15"/>
      <c r="C352" s="16"/>
      <c r="D352" s="17"/>
      <c r="E352" s="12"/>
      <c r="F352" s="18"/>
      <c r="G352" s="19"/>
      <c r="H352" s="13"/>
      <c r="I352" s="19"/>
      <c r="J352" s="13"/>
      <c r="K352" s="19"/>
      <c r="L352" s="13"/>
      <c r="M352" s="19"/>
      <c r="N352" s="13"/>
      <c r="O352" s="19"/>
      <c r="P352" s="13"/>
      <c r="Q352" s="19"/>
      <c r="R352" s="13"/>
      <c r="S352" s="19"/>
      <c r="T352" s="13"/>
      <c r="U352" s="524"/>
      <c r="V352" s="460"/>
      <c r="W352" s="524"/>
      <c r="X352" s="460"/>
      <c r="Y352" s="524"/>
      <c r="Z352" s="460"/>
    </row>
    <row r="353" spans="1:26">
      <c r="A353" s="14"/>
      <c r="B353" s="15"/>
      <c r="C353" s="16"/>
      <c r="D353" s="17"/>
      <c r="E353" s="12"/>
      <c r="F353" s="18"/>
      <c r="G353" s="19"/>
      <c r="H353" s="13"/>
      <c r="I353" s="19"/>
      <c r="J353" s="13"/>
      <c r="K353" s="19"/>
      <c r="L353" s="13"/>
      <c r="M353" s="19"/>
      <c r="N353" s="13"/>
      <c r="O353" s="19"/>
      <c r="P353" s="13"/>
      <c r="Q353" s="19"/>
      <c r="R353" s="13"/>
      <c r="S353" s="19"/>
      <c r="T353" s="13"/>
      <c r="U353" s="524"/>
      <c r="V353" s="460"/>
      <c r="W353" s="524"/>
      <c r="X353" s="460"/>
      <c r="Y353" s="524"/>
      <c r="Z353" s="460"/>
    </row>
    <row r="354" spans="1:26">
      <c r="A354" s="14"/>
      <c r="B354" s="15"/>
      <c r="C354" s="16"/>
      <c r="D354" s="17"/>
      <c r="E354" s="12"/>
      <c r="F354" s="18"/>
      <c r="G354" s="19"/>
      <c r="H354" s="13"/>
      <c r="I354" s="19"/>
      <c r="J354" s="13"/>
      <c r="K354" s="19"/>
      <c r="L354" s="13"/>
      <c r="M354" s="19"/>
      <c r="N354" s="13"/>
      <c r="O354" s="19"/>
      <c r="P354" s="13"/>
      <c r="Q354" s="19"/>
      <c r="R354" s="13"/>
      <c r="S354" s="19"/>
      <c r="T354" s="13"/>
      <c r="U354" s="524"/>
      <c r="V354" s="460"/>
      <c r="W354" s="524"/>
      <c r="X354" s="460"/>
      <c r="Y354" s="524"/>
      <c r="Z354" s="460"/>
    </row>
    <row r="355" spans="1:26">
      <c r="A355" s="14"/>
      <c r="B355" s="15"/>
      <c r="C355" s="16"/>
      <c r="D355" s="17"/>
      <c r="E355" s="12"/>
      <c r="F355" s="18"/>
      <c r="G355" s="19"/>
      <c r="H355" s="13"/>
      <c r="I355" s="19"/>
      <c r="J355" s="13"/>
      <c r="K355" s="19"/>
      <c r="L355" s="13"/>
      <c r="M355" s="19"/>
      <c r="N355" s="13"/>
      <c r="O355" s="19"/>
      <c r="P355" s="13"/>
      <c r="Q355" s="19"/>
      <c r="R355" s="13"/>
      <c r="S355" s="19"/>
      <c r="T355" s="13"/>
      <c r="U355" s="524"/>
      <c r="V355" s="460"/>
      <c r="W355" s="524"/>
      <c r="X355" s="460"/>
      <c r="Y355" s="524"/>
      <c r="Z355" s="460"/>
    </row>
    <row r="356" spans="1:26">
      <c r="A356" s="14"/>
      <c r="B356" s="15"/>
      <c r="C356" s="16"/>
      <c r="D356" s="17"/>
      <c r="E356" s="12"/>
      <c r="F356" s="18"/>
      <c r="G356" s="19"/>
      <c r="H356" s="13"/>
      <c r="I356" s="19"/>
      <c r="J356" s="13"/>
      <c r="K356" s="19"/>
      <c r="L356" s="13"/>
      <c r="M356" s="19"/>
      <c r="N356" s="13"/>
      <c r="O356" s="19"/>
      <c r="P356" s="13"/>
      <c r="Q356" s="19"/>
      <c r="R356" s="13"/>
      <c r="S356" s="19"/>
      <c r="T356" s="13"/>
      <c r="U356" s="524"/>
      <c r="V356" s="460"/>
      <c r="W356" s="524"/>
      <c r="X356" s="460"/>
      <c r="Y356" s="524"/>
      <c r="Z356" s="460"/>
    </row>
    <row r="357" spans="1:26">
      <c r="A357" s="14"/>
      <c r="B357" s="15"/>
      <c r="C357" s="16"/>
      <c r="D357" s="17"/>
      <c r="E357" s="12"/>
      <c r="F357" s="18"/>
      <c r="G357" s="19"/>
      <c r="H357" s="13"/>
      <c r="I357" s="19"/>
      <c r="J357" s="13"/>
      <c r="K357" s="19"/>
      <c r="L357" s="13"/>
      <c r="M357" s="19"/>
      <c r="N357" s="13"/>
      <c r="O357" s="19"/>
      <c r="P357" s="13"/>
      <c r="Q357" s="19"/>
      <c r="R357" s="13"/>
      <c r="S357" s="19"/>
      <c r="T357" s="13"/>
      <c r="U357" s="524"/>
      <c r="V357" s="460"/>
      <c r="W357" s="524"/>
      <c r="X357" s="460"/>
      <c r="Y357" s="524"/>
      <c r="Z357" s="460"/>
    </row>
    <row r="358" spans="1:26">
      <c r="A358" s="14"/>
      <c r="B358" s="15"/>
      <c r="C358" s="16"/>
      <c r="D358" s="17"/>
      <c r="E358" s="12"/>
      <c r="F358" s="18"/>
      <c r="G358" s="19"/>
      <c r="H358" s="13"/>
      <c r="I358" s="19"/>
      <c r="J358" s="13"/>
      <c r="K358" s="19"/>
      <c r="L358" s="13"/>
      <c r="M358" s="19"/>
      <c r="N358" s="13"/>
      <c r="O358" s="19"/>
      <c r="P358" s="13"/>
      <c r="Q358" s="19"/>
      <c r="R358" s="13"/>
      <c r="S358" s="19"/>
      <c r="T358" s="13"/>
      <c r="U358" s="524"/>
      <c r="V358" s="460"/>
      <c r="W358" s="524"/>
      <c r="X358" s="460"/>
      <c r="Y358" s="524"/>
      <c r="Z358" s="460"/>
    </row>
    <row r="359" spans="1:26">
      <c r="A359" s="14"/>
      <c r="B359" s="15"/>
      <c r="C359" s="16"/>
      <c r="D359" s="17"/>
      <c r="E359" s="12"/>
      <c r="F359" s="18"/>
      <c r="G359" s="19"/>
      <c r="H359" s="13"/>
      <c r="I359" s="19"/>
      <c r="J359" s="13"/>
      <c r="K359" s="19"/>
      <c r="L359" s="13"/>
      <c r="M359" s="19"/>
      <c r="N359" s="13"/>
      <c r="O359" s="19"/>
      <c r="P359" s="13"/>
      <c r="Q359" s="19"/>
      <c r="R359" s="13"/>
      <c r="S359" s="19"/>
      <c r="T359" s="13"/>
      <c r="U359" s="524"/>
      <c r="V359" s="460"/>
      <c r="W359" s="524"/>
      <c r="X359" s="460"/>
      <c r="Y359" s="524"/>
      <c r="Z359" s="460"/>
    </row>
    <row r="360" spans="1:26">
      <c r="A360" s="14"/>
      <c r="B360" s="15"/>
      <c r="C360" s="16"/>
      <c r="D360" s="17"/>
      <c r="E360" s="12"/>
      <c r="F360" s="18"/>
      <c r="G360" s="19"/>
      <c r="H360" s="13"/>
      <c r="I360" s="19"/>
      <c r="J360" s="13"/>
      <c r="K360" s="19"/>
      <c r="L360" s="13"/>
      <c r="M360" s="19"/>
      <c r="N360" s="13"/>
      <c r="O360" s="19"/>
      <c r="P360" s="13"/>
      <c r="Q360" s="19"/>
      <c r="R360" s="13"/>
      <c r="S360" s="19"/>
      <c r="T360" s="13"/>
      <c r="U360" s="524"/>
      <c r="V360" s="460"/>
      <c r="W360" s="524"/>
      <c r="X360" s="460"/>
      <c r="Y360" s="524"/>
      <c r="Z360" s="460"/>
    </row>
    <row r="361" spans="1:26">
      <c r="A361" s="14"/>
      <c r="B361" s="15"/>
      <c r="C361" s="16"/>
      <c r="D361" s="17"/>
      <c r="E361" s="12"/>
      <c r="F361" s="18"/>
      <c r="G361" s="19"/>
      <c r="H361" s="13"/>
      <c r="I361" s="19"/>
      <c r="J361" s="13"/>
      <c r="K361" s="19"/>
      <c r="L361" s="13"/>
      <c r="M361" s="19"/>
      <c r="N361" s="13"/>
      <c r="O361" s="19"/>
      <c r="P361" s="13"/>
      <c r="Q361" s="19"/>
      <c r="R361" s="13"/>
      <c r="S361" s="19"/>
      <c r="T361" s="13"/>
      <c r="U361" s="524"/>
      <c r="V361" s="460"/>
      <c r="W361" s="524"/>
      <c r="X361" s="460"/>
      <c r="Y361" s="524"/>
      <c r="Z361" s="460"/>
    </row>
    <row r="362" spans="1:26">
      <c r="A362" s="14"/>
      <c r="B362" s="15"/>
      <c r="C362" s="16"/>
      <c r="D362" s="17"/>
      <c r="E362" s="12"/>
      <c r="F362" s="18"/>
      <c r="G362" s="19"/>
      <c r="H362" s="13"/>
      <c r="I362" s="19"/>
      <c r="J362" s="13"/>
      <c r="K362" s="19"/>
      <c r="L362" s="13"/>
      <c r="M362" s="19"/>
      <c r="N362" s="13"/>
      <c r="O362" s="19"/>
      <c r="P362" s="13"/>
      <c r="Q362" s="19"/>
      <c r="R362" s="13"/>
      <c r="S362" s="19"/>
      <c r="T362" s="13"/>
      <c r="U362" s="524"/>
      <c r="V362" s="460"/>
      <c r="W362" s="524"/>
      <c r="X362" s="460"/>
      <c r="Y362" s="524"/>
      <c r="Z362" s="460"/>
    </row>
    <row r="363" spans="1:26">
      <c r="A363" s="14"/>
      <c r="B363" s="15"/>
      <c r="C363" s="16"/>
      <c r="D363" s="17"/>
      <c r="E363" s="12"/>
      <c r="F363" s="18"/>
      <c r="G363" s="19"/>
      <c r="H363" s="13"/>
      <c r="I363" s="19"/>
      <c r="J363" s="13"/>
      <c r="K363" s="19"/>
      <c r="L363" s="13"/>
      <c r="M363" s="19"/>
      <c r="N363" s="13"/>
      <c r="O363" s="19"/>
      <c r="P363" s="13"/>
      <c r="Q363" s="19"/>
      <c r="R363" s="13"/>
      <c r="S363" s="19"/>
      <c r="T363" s="13"/>
      <c r="U363" s="524"/>
      <c r="V363" s="460"/>
      <c r="W363" s="524"/>
      <c r="X363" s="460"/>
      <c r="Y363" s="524"/>
      <c r="Z363" s="460"/>
    </row>
    <row r="364" spans="1:26">
      <c r="A364" s="14"/>
      <c r="B364" s="15"/>
      <c r="C364" s="16"/>
      <c r="D364" s="17"/>
      <c r="E364" s="12"/>
      <c r="F364" s="18"/>
      <c r="G364" s="19"/>
      <c r="H364" s="13"/>
      <c r="I364" s="19"/>
      <c r="J364" s="13"/>
      <c r="K364" s="19"/>
      <c r="L364" s="13"/>
      <c r="M364" s="19"/>
      <c r="N364" s="13"/>
      <c r="O364" s="19"/>
      <c r="P364" s="13"/>
      <c r="Q364" s="19"/>
      <c r="R364" s="13"/>
      <c r="S364" s="19"/>
      <c r="T364" s="13"/>
      <c r="U364" s="524"/>
      <c r="V364" s="460"/>
      <c r="W364" s="524"/>
      <c r="X364" s="460"/>
      <c r="Y364" s="524"/>
      <c r="Z364" s="460"/>
    </row>
    <row r="365" spans="1:26">
      <c r="A365" s="14"/>
      <c r="B365" s="15"/>
      <c r="C365" s="16"/>
      <c r="D365" s="17"/>
      <c r="E365" s="12"/>
      <c r="F365" s="18"/>
      <c r="G365" s="19"/>
      <c r="H365" s="13"/>
      <c r="I365" s="19"/>
      <c r="J365" s="13"/>
      <c r="K365" s="19"/>
      <c r="L365" s="13"/>
      <c r="M365" s="19"/>
      <c r="N365" s="13"/>
      <c r="O365" s="19"/>
      <c r="P365" s="13"/>
      <c r="Q365" s="19"/>
      <c r="R365" s="13"/>
      <c r="S365" s="19"/>
      <c r="T365" s="13"/>
      <c r="U365" s="524"/>
      <c r="V365" s="460"/>
      <c r="W365" s="524"/>
      <c r="X365" s="460"/>
      <c r="Y365" s="524"/>
      <c r="Z365" s="460"/>
    </row>
    <row r="366" spans="1:26">
      <c r="A366" s="14"/>
      <c r="B366" s="15"/>
      <c r="C366" s="16"/>
      <c r="D366" s="17"/>
      <c r="E366" s="12"/>
      <c r="F366" s="18"/>
      <c r="G366" s="19"/>
      <c r="H366" s="13"/>
      <c r="I366" s="19"/>
      <c r="J366" s="13"/>
      <c r="K366" s="19"/>
      <c r="L366" s="13"/>
      <c r="M366" s="19"/>
      <c r="N366" s="13"/>
      <c r="O366" s="19"/>
      <c r="P366" s="13"/>
      <c r="Q366" s="19"/>
      <c r="R366" s="13"/>
      <c r="S366" s="19"/>
      <c r="T366" s="13"/>
      <c r="U366" s="524"/>
      <c r="V366" s="460"/>
      <c r="W366" s="524"/>
      <c r="X366" s="460"/>
      <c r="Y366" s="524"/>
      <c r="Z366" s="460"/>
    </row>
    <row r="367" spans="1:26">
      <c r="A367" s="14"/>
      <c r="B367" s="15"/>
      <c r="C367" s="16"/>
      <c r="D367" s="17"/>
      <c r="E367" s="12"/>
      <c r="F367" s="18"/>
      <c r="G367" s="19"/>
      <c r="H367" s="13"/>
      <c r="I367" s="19"/>
      <c r="J367" s="13"/>
      <c r="K367" s="19"/>
      <c r="L367" s="13"/>
      <c r="M367" s="19"/>
      <c r="N367" s="13"/>
      <c r="O367" s="19"/>
      <c r="P367" s="13"/>
      <c r="Q367" s="19"/>
      <c r="R367" s="13"/>
      <c r="S367" s="19"/>
      <c r="T367" s="13"/>
      <c r="U367" s="524"/>
      <c r="V367" s="460"/>
      <c r="W367" s="524"/>
      <c r="X367" s="460"/>
      <c r="Y367" s="524"/>
      <c r="Z367" s="460"/>
    </row>
    <row r="368" spans="1:26">
      <c r="A368" s="14"/>
      <c r="B368" s="15"/>
      <c r="C368" s="16"/>
      <c r="D368" s="17"/>
      <c r="E368" s="12"/>
      <c r="F368" s="18"/>
      <c r="G368" s="19"/>
      <c r="H368" s="13"/>
      <c r="I368" s="19"/>
      <c r="J368" s="13"/>
      <c r="K368" s="19"/>
      <c r="L368" s="13"/>
      <c r="M368" s="19"/>
      <c r="N368" s="13"/>
      <c r="O368" s="19"/>
      <c r="P368" s="13"/>
      <c r="Q368" s="19"/>
      <c r="R368" s="13"/>
      <c r="S368" s="19"/>
      <c r="T368" s="13"/>
      <c r="U368" s="524"/>
      <c r="V368" s="460"/>
      <c r="W368" s="524"/>
      <c r="X368" s="460"/>
      <c r="Y368" s="524"/>
      <c r="Z368" s="460"/>
    </row>
    <row r="369" spans="1:26">
      <c r="A369" s="14"/>
      <c r="B369" s="15"/>
      <c r="C369" s="16"/>
      <c r="D369" s="17"/>
      <c r="E369" s="12"/>
      <c r="F369" s="18"/>
      <c r="G369" s="19"/>
      <c r="H369" s="13"/>
      <c r="I369" s="19"/>
      <c r="J369" s="13"/>
      <c r="K369" s="19"/>
      <c r="L369" s="13"/>
      <c r="M369" s="19"/>
      <c r="N369" s="13"/>
      <c r="O369" s="19"/>
      <c r="P369" s="13"/>
      <c r="Q369" s="19"/>
      <c r="R369" s="13"/>
      <c r="S369" s="19"/>
      <c r="T369" s="13"/>
      <c r="U369" s="524"/>
      <c r="V369" s="460"/>
      <c r="W369" s="524"/>
      <c r="X369" s="460"/>
      <c r="Y369" s="524"/>
      <c r="Z369" s="460"/>
    </row>
    <row r="370" spans="1:26">
      <c r="A370" s="14"/>
      <c r="B370" s="15"/>
      <c r="C370" s="16"/>
      <c r="D370" s="17"/>
      <c r="E370" s="12"/>
      <c r="F370" s="18"/>
      <c r="G370" s="19"/>
      <c r="H370" s="13"/>
      <c r="I370" s="19"/>
      <c r="J370" s="13"/>
      <c r="K370" s="19"/>
      <c r="L370" s="13"/>
      <c r="M370" s="19"/>
      <c r="N370" s="13"/>
      <c r="O370" s="19"/>
      <c r="P370" s="13"/>
      <c r="Q370" s="19"/>
      <c r="R370" s="13"/>
      <c r="S370" s="19"/>
      <c r="T370" s="13"/>
      <c r="U370" s="524"/>
      <c r="V370" s="460"/>
      <c r="W370" s="524"/>
      <c r="X370" s="460"/>
      <c r="Y370" s="524"/>
      <c r="Z370" s="460"/>
    </row>
    <row r="371" spans="1:26">
      <c r="A371" s="14"/>
      <c r="B371" s="15"/>
      <c r="C371" s="16"/>
      <c r="D371" s="17"/>
      <c r="E371" s="12"/>
      <c r="F371" s="18"/>
      <c r="G371" s="19"/>
      <c r="H371" s="13"/>
      <c r="I371" s="19"/>
      <c r="J371" s="13"/>
      <c r="K371" s="19"/>
      <c r="L371" s="13"/>
      <c r="M371" s="19"/>
      <c r="N371" s="13"/>
      <c r="O371" s="19"/>
      <c r="P371" s="13"/>
      <c r="Q371" s="19"/>
      <c r="R371" s="13"/>
      <c r="S371" s="19"/>
      <c r="T371" s="13"/>
      <c r="U371" s="524"/>
      <c r="V371" s="460"/>
      <c r="W371" s="524"/>
      <c r="X371" s="460"/>
      <c r="Y371" s="524"/>
      <c r="Z371" s="460"/>
    </row>
    <row r="372" spans="1:26">
      <c r="A372" s="14"/>
      <c r="B372" s="15"/>
      <c r="C372" s="16"/>
      <c r="D372" s="17"/>
      <c r="E372" s="12"/>
      <c r="F372" s="18"/>
      <c r="G372" s="19"/>
      <c r="H372" s="13"/>
      <c r="I372" s="19"/>
      <c r="J372" s="13"/>
      <c r="K372" s="19"/>
      <c r="L372" s="13"/>
      <c r="M372" s="19"/>
      <c r="N372" s="13"/>
      <c r="O372" s="19"/>
      <c r="P372" s="13"/>
      <c r="Q372" s="19"/>
      <c r="R372" s="13"/>
      <c r="S372" s="19"/>
      <c r="T372" s="13"/>
      <c r="U372" s="524"/>
      <c r="V372" s="460"/>
      <c r="W372" s="524"/>
      <c r="X372" s="460"/>
      <c r="Y372" s="524"/>
      <c r="Z372" s="460"/>
    </row>
    <row r="373" spans="1:26">
      <c r="A373" s="14"/>
      <c r="B373" s="15"/>
      <c r="C373" s="16"/>
      <c r="D373" s="17"/>
      <c r="E373" s="12"/>
      <c r="F373" s="18"/>
      <c r="G373" s="19"/>
      <c r="H373" s="13"/>
      <c r="I373" s="19"/>
      <c r="J373" s="13"/>
      <c r="K373" s="19"/>
      <c r="L373" s="13"/>
      <c r="M373" s="19"/>
      <c r="N373" s="13"/>
      <c r="O373" s="19"/>
      <c r="P373" s="13"/>
      <c r="Q373" s="19"/>
      <c r="R373" s="13"/>
      <c r="S373" s="19"/>
      <c r="T373" s="13"/>
      <c r="U373" s="524"/>
      <c r="V373" s="460"/>
      <c r="W373" s="524"/>
      <c r="X373" s="460"/>
      <c r="Y373" s="524"/>
      <c r="Z373" s="460"/>
    </row>
    <row r="374" spans="1:26">
      <c r="A374" s="14"/>
      <c r="B374" s="15"/>
      <c r="C374" s="16"/>
      <c r="D374" s="17"/>
      <c r="E374" s="12"/>
      <c r="F374" s="18"/>
      <c r="G374" s="19"/>
      <c r="H374" s="13"/>
      <c r="I374" s="19"/>
      <c r="J374" s="13"/>
      <c r="K374" s="19"/>
      <c r="L374" s="13"/>
      <c r="M374" s="19"/>
      <c r="N374" s="13"/>
      <c r="O374" s="19"/>
      <c r="P374" s="13"/>
      <c r="Q374" s="19"/>
      <c r="R374" s="13"/>
      <c r="S374" s="19"/>
      <c r="T374" s="13"/>
      <c r="U374" s="524"/>
      <c r="V374" s="460"/>
      <c r="W374" s="524"/>
      <c r="X374" s="460"/>
      <c r="Y374" s="524"/>
      <c r="Z374" s="460"/>
    </row>
    <row r="375" spans="1:26">
      <c r="A375" s="14"/>
      <c r="B375" s="15"/>
      <c r="C375" s="16"/>
      <c r="D375" s="17"/>
      <c r="E375" s="12"/>
      <c r="F375" s="18"/>
      <c r="G375" s="19"/>
      <c r="H375" s="13"/>
      <c r="I375" s="19"/>
      <c r="J375" s="13"/>
      <c r="K375" s="19"/>
      <c r="L375" s="13"/>
      <c r="M375" s="19"/>
      <c r="N375" s="13"/>
      <c r="O375" s="19"/>
      <c r="P375" s="13"/>
      <c r="Q375" s="19"/>
      <c r="R375" s="13"/>
      <c r="S375" s="19"/>
      <c r="T375" s="13"/>
      <c r="U375" s="524"/>
      <c r="V375" s="460"/>
      <c r="W375" s="524"/>
      <c r="X375" s="460"/>
      <c r="Y375" s="524"/>
      <c r="Z375" s="460"/>
    </row>
    <row r="376" spans="1:26">
      <c r="A376" s="14"/>
      <c r="B376" s="15"/>
      <c r="C376" s="16"/>
      <c r="D376" s="17"/>
      <c r="E376" s="12"/>
      <c r="F376" s="18"/>
      <c r="G376" s="19"/>
      <c r="H376" s="13"/>
      <c r="I376" s="19"/>
      <c r="J376" s="13"/>
      <c r="K376" s="19"/>
      <c r="L376" s="13"/>
      <c r="M376" s="19"/>
      <c r="N376" s="13"/>
      <c r="O376" s="19"/>
      <c r="P376" s="13"/>
      <c r="Q376" s="19"/>
      <c r="R376" s="13"/>
      <c r="S376" s="19"/>
      <c r="T376" s="13"/>
      <c r="U376" s="524"/>
      <c r="V376" s="460"/>
      <c r="W376" s="524"/>
      <c r="X376" s="460"/>
      <c r="Y376" s="524"/>
      <c r="Z376" s="460"/>
    </row>
    <row r="377" spans="1:26">
      <c r="A377" s="14"/>
      <c r="B377" s="15"/>
      <c r="C377" s="16"/>
      <c r="D377" s="17"/>
      <c r="E377" s="12"/>
      <c r="F377" s="18"/>
      <c r="G377" s="19"/>
      <c r="H377" s="13"/>
      <c r="I377" s="19"/>
      <c r="J377" s="13"/>
      <c r="K377" s="19"/>
      <c r="L377" s="13"/>
      <c r="M377" s="19"/>
      <c r="N377" s="13"/>
      <c r="O377" s="19"/>
      <c r="P377" s="13"/>
      <c r="Q377" s="19"/>
      <c r="R377" s="13"/>
      <c r="S377" s="19"/>
      <c r="T377" s="13"/>
      <c r="U377" s="524"/>
      <c r="V377" s="460"/>
      <c r="W377" s="524"/>
      <c r="X377" s="460"/>
      <c r="Y377" s="524"/>
      <c r="Z377" s="460"/>
    </row>
    <row r="378" spans="1:26">
      <c r="A378" s="14"/>
      <c r="B378" s="15"/>
      <c r="C378" s="16"/>
      <c r="D378" s="17"/>
      <c r="E378" s="12"/>
      <c r="F378" s="18"/>
      <c r="G378" s="19"/>
      <c r="H378" s="13"/>
      <c r="I378" s="19"/>
      <c r="J378" s="13"/>
      <c r="K378" s="19"/>
      <c r="L378" s="13"/>
      <c r="M378" s="19"/>
      <c r="N378" s="13"/>
      <c r="O378" s="19"/>
      <c r="P378" s="13"/>
      <c r="Q378" s="19"/>
      <c r="R378" s="13"/>
      <c r="S378" s="19"/>
      <c r="T378" s="13"/>
      <c r="U378" s="524"/>
      <c r="V378" s="460"/>
      <c r="W378" s="524"/>
      <c r="X378" s="460"/>
      <c r="Y378" s="524"/>
      <c r="Z378" s="460"/>
    </row>
    <row r="379" spans="1:26">
      <c r="A379" s="14"/>
      <c r="B379" s="15"/>
      <c r="C379" s="16"/>
      <c r="D379" s="17"/>
      <c r="E379" s="12"/>
      <c r="F379" s="18"/>
      <c r="G379" s="19"/>
      <c r="H379" s="13"/>
      <c r="I379" s="19"/>
      <c r="J379" s="13"/>
      <c r="K379" s="19"/>
      <c r="L379" s="13"/>
      <c r="M379" s="19"/>
      <c r="N379" s="13"/>
      <c r="O379" s="19"/>
      <c r="P379" s="13"/>
      <c r="Q379" s="19"/>
      <c r="R379" s="13"/>
      <c r="S379" s="19"/>
      <c r="T379" s="13"/>
      <c r="U379" s="524"/>
      <c r="V379" s="460"/>
      <c r="W379" s="524"/>
      <c r="X379" s="460"/>
      <c r="Y379" s="524"/>
      <c r="Z379" s="460"/>
    </row>
    <row r="380" spans="1:26">
      <c r="A380" s="14"/>
      <c r="B380" s="15"/>
      <c r="C380" s="16"/>
      <c r="D380" s="17"/>
      <c r="E380" s="12"/>
      <c r="F380" s="18"/>
      <c r="G380" s="19"/>
      <c r="H380" s="13"/>
      <c r="I380" s="19"/>
      <c r="J380" s="13"/>
      <c r="K380" s="19"/>
      <c r="L380" s="13"/>
      <c r="M380" s="19"/>
      <c r="N380" s="13"/>
      <c r="O380" s="19"/>
      <c r="P380" s="13"/>
      <c r="Q380" s="19"/>
      <c r="R380" s="13"/>
      <c r="S380" s="19"/>
      <c r="T380" s="13"/>
      <c r="U380" s="524"/>
      <c r="V380" s="460"/>
      <c r="W380" s="524"/>
      <c r="X380" s="460"/>
      <c r="Y380" s="524"/>
      <c r="Z380" s="460"/>
    </row>
    <row r="381" spans="1:26">
      <c r="A381" s="14"/>
      <c r="B381" s="15"/>
      <c r="C381" s="16"/>
      <c r="D381" s="17"/>
      <c r="E381" s="12"/>
      <c r="F381" s="18"/>
      <c r="G381" s="19"/>
      <c r="H381" s="13"/>
      <c r="I381" s="19"/>
      <c r="J381" s="13"/>
      <c r="K381" s="19"/>
      <c r="L381" s="13"/>
      <c r="M381" s="19"/>
      <c r="N381" s="13"/>
      <c r="O381" s="19"/>
      <c r="P381" s="13"/>
      <c r="Q381" s="19"/>
      <c r="R381" s="13"/>
      <c r="S381" s="19"/>
      <c r="T381" s="13"/>
      <c r="U381" s="524"/>
      <c r="V381" s="460"/>
      <c r="W381" s="524"/>
      <c r="X381" s="460"/>
      <c r="Y381" s="524"/>
      <c r="Z381" s="460"/>
    </row>
    <row r="382" spans="1:26">
      <c r="A382" s="14"/>
      <c r="B382" s="15"/>
      <c r="C382" s="16"/>
      <c r="D382" s="17"/>
      <c r="E382" s="12"/>
      <c r="F382" s="18"/>
      <c r="G382" s="19"/>
      <c r="H382" s="13"/>
      <c r="I382" s="19"/>
      <c r="J382" s="13"/>
      <c r="K382" s="19"/>
      <c r="L382" s="13"/>
      <c r="M382" s="19"/>
      <c r="N382" s="13"/>
      <c r="O382" s="19"/>
      <c r="P382" s="13"/>
      <c r="Q382" s="19"/>
      <c r="R382" s="13"/>
      <c r="S382" s="19"/>
      <c r="T382" s="13"/>
      <c r="U382" s="524"/>
      <c r="V382" s="460"/>
      <c r="W382" s="524"/>
      <c r="X382" s="460"/>
      <c r="Y382" s="524"/>
      <c r="Z382" s="460"/>
    </row>
    <row r="383" spans="1:26">
      <c r="A383" s="14"/>
      <c r="B383" s="15"/>
      <c r="C383" s="16"/>
      <c r="D383" s="17"/>
      <c r="E383" s="12"/>
      <c r="F383" s="18"/>
      <c r="G383" s="19"/>
      <c r="H383" s="13"/>
      <c r="I383" s="19"/>
      <c r="J383" s="13"/>
      <c r="K383" s="19"/>
      <c r="L383" s="13"/>
      <c r="M383" s="19"/>
      <c r="N383" s="13"/>
      <c r="O383" s="19"/>
      <c r="P383" s="13"/>
      <c r="Q383" s="19"/>
      <c r="R383" s="13"/>
      <c r="S383" s="19"/>
      <c r="T383" s="13"/>
      <c r="U383" s="524"/>
      <c r="V383" s="460"/>
      <c r="W383" s="524"/>
      <c r="X383" s="460"/>
      <c r="Y383" s="524"/>
      <c r="Z383" s="460"/>
    </row>
    <row r="384" spans="1:26">
      <c r="A384" s="14"/>
      <c r="B384" s="15"/>
      <c r="C384" s="16"/>
      <c r="D384" s="17"/>
      <c r="E384" s="12"/>
      <c r="F384" s="18"/>
      <c r="G384" s="19"/>
      <c r="H384" s="13"/>
      <c r="I384" s="19"/>
      <c r="J384" s="13"/>
      <c r="K384" s="19"/>
      <c r="L384" s="13"/>
      <c r="M384" s="19"/>
      <c r="N384" s="13"/>
      <c r="O384" s="19"/>
      <c r="P384" s="13"/>
      <c r="Q384" s="19"/>
      <c r="R384" s="13"/>
      <c r="S384" s="19"/>
      <c r="T384" s="13"/>
      <c r="U384" s="524"/>
      <c r="V384" s="460"/>
      <c r="W384" s="524"/>
      <c r="X384" s="460"/>
      <c r="Y384" s="524"/>
      <c r="Z384" s="460"/>
    </row>
    <row r="385" spans="1:26">
      <c r="A385" s="14"/>
      <c r="B385" s="15"/>
      <c r="C385" s="16"/>
      <c r="D385" s="17"/>
      <c r="E385" s="12"/>
      <c r="F385" s="18"/>
      <c r="G385" s="19"/>
      <c r="H385" s="13"/>
      <c r="I385" s="19"/>
      <c r="J385" s="13"/>
      <c r="K385" s="19"/>
      <c r="L385" s="13"/>
      <c r="M385" s="19"/>
      <c r="N385" s="13"/>
      <c r="O385" s="19"/>
      <c r="P385" s="13"/>
      <c r="Q385" s="19"/>
      <c r="R385" s="13"/>
      <c r="S385" s="19"/>
      <c r="T385" s="13"/>
      <c r="U385" s="524"/>
      <c r="V385" s="460"/>
      <c r="W385" s="524"/>
      <c r="X385" s="460"/>
      <c r="Y385" s="524"/>
      <c r="Z385" s="460"/>
    </row>
    <row r="386" spans="1:26">
      <c r="A386" s="14"/>
      <c r="B386" s="15"/>
      <c r="C386" s="16"/>
      <c r="D386" s="17"/>
      <c r="E386" s="12"/>
      <c r="F386" s="18"/>
      <c r="G386" s="19"/>
      <c r="H386" s="13"/>
      <c r="I386" s="19"/>
      <c r="J386" s="13"/>
      <c r="K386" s="19"/>
      <c r="L386" s="13"/>
      <c r="M386" s="19"/>
      <c r="N386" s="13"/>
      <c r="O386" s="19"/>
      <c r="P386" s="13"/>
      <c r="Q386" s="19"/>
      <c r="R386" s="13"/>
      <c r="S386" s="19"/>
      <c r="T386" s="13"/>
      <c r="U386" s="524"/>
      <c r="V386" s="460"/>
      <c r="W386" s="524"/>
      <c r="X386" s="460"/>
      <c r="Y386" s="524"/>
      <c r="Z386" s="460"/>
    </row>
    <row r="387" spans="1:26">
      <c r="A387" s="14"/>
      <c r="B387" s="15"/>
      <c r="C387" s="16"/>
      <c r="D387" s="17"/>
      <c r="E387" s="12"/>
      <c r="F387" s="18"/>
      <c r="G387" s="19"/>
      <c r="H387" s="13"/>
      <c r="I387" s="19"/>
      <c r="J387" s="13"/>
      <c r="K387" s="19"/>
      <c r="L387" s="13"/>
      <c r="M387" s="19"/>
      <c r="N387" s="13"/>
      <c r="O387" s="19"/>
      <c r="P387" s="13"/>
      <c r="Q387" s="19"/>
      <c r="R387" s="13"/>
      <c r="S387" s="19"/>
      <c r="T387" s="13"/>
      <c r="U387" s="524"/>
      <c r="V387" s="460"/>
      <c r="W387" s="524"/>
      <c r="X387" s="460"/>
      <c r="Y387" s="524"/>
      <c r="Z387" s="460"/>
    </row>
    <row r="388" spans="1:26">
      <c r="A388" s="14"/>
      <c r="B388" s="15"/>
      <c r="C388" s="16"/>
      <c r="D388" s="17"/>
      <c r="E388" s="12"/>
      <c r="F388" s="18"/>
      <c r="G388" s="19"/>
      <c r="H388" s="13"/>
      <c r="I388" s="19"/>
      <c r="J388" s="13"/>
      <c r="K388" s="19"/>
      <c r="L388" s="13"/>
      <c r="M388" s="19"/>
      <c r="N388" s="13"/>
      <c r="O388" s="19"/>
      <c r="P388" s="13"/>
      <c r="Q388" s="19"/>
      <c r="R388" s="13"/>
      <c r="S388" s="19"/>
      <c r="T388" s="13"/>
      <c r="U388" s="524"/>
      <c r="V388" s="460"/>
      <c r="W388" s="524"/>
      <c r="X388" s="460"/>
      <c r="Y388" s="524"/>
      <c r="Z388" s="460"/>
    </row>
    <row r="389" spans="1:26">
      <c r="A389" s="14"/>
      <c r="B389" s="15"/>
      <c r="C389" s="16"/>
      <c r="D389" s="17"/>
      <c r="E389" s="12"/>
      <c r="F389" s="18"/>
      <c r="G389" s="19"/>
      <c r="H389" s="13"/>
      <c r="I389" s="19"/>
      <c r="J389" s="13"/>
      <c r="K389" s="19"/>
      <c r="L389" s="13"/>
      <c r="M389" s="19"/>
      <c r="N389" s="13"/>
      <c r="O389" s="19"/>
      <c r="P389" s="13"/>
      <c r="Q389" s="19"/>
      <c r="R389" s="13"/>
      <c r="S389" s="19"/>
      <c r="T389" s="13"/>
      <c r="U389" s="524"/>
      <c r="V389" s="460"/>
      <c r="W389" s="524"/>
      <c r="X389" s="460"/>
      <c r="Y389" s="524"/>
      <c r="Z389" s="460"/>
    </row>
    <row r="390" spans="1:26">
      <c r="A390" s="14"/>
      <c r="B390" s="15"/>
      <c r="C390" s="16"/>
      <c r="D390" s="17"/>
      <c r="E390" s="12"/>
      <c r="F390" s="18"/>
      <c r="G390" s="19"/>
      <c r="H390" s="13"/>
      <c r="I390" s="19"/>
      <c r="J390" s="13"/>
      <c r="K390" s="19"/>
      <c r="L390" s="13"/>
      <c r="M390" s="19"/>
      <c r="N390" s="13"/>
      <c r="O390" s="19"/>
      <c r="P390" s="13"/>
      <c r="Q390" s="19"/>
      <c r="R390" s="13"/>
      <c r="S390" s="19"/>
      <c r="T390" s="13"/>
      <c r="U390" s="524"/>
      <c r="V390" s="460"/>
      <c r="W390" s="524"/>
      <c r="X390" s="460"/>
      <c r="Y390" s="524"/>
      <c r="Z390" s="460"/>
    </row>
    <row r="391" spans="1:26">
      <c r="A391" s="14"/>
      <c r="B391" s="15"/>
      <c r="C391" s="16"/>
      <c r="D391" s="17"/>
      <c r="E391" s="12"/>
      <c r="F391" s="18"/>
      <c r="G391" s="19"/>
      <c r="H391" s="13"/>
      <c r="I391" s="19"/>
      <c r="J391" s="13"/>
      <c r="K391" s="19"/>
      <c r="L391" s="13"/>
      <c r="M391" s="19"/>
      <c r="N391" s="13"/>
      <c r="O391" s="19"/>
      <c r="P391" s="13"/>
      <c r="Q391" s="19"/>
      <c r="R391" s="13"/>
      <c r="S391" s="19"/>
      <c r="T391" s="13"/>
      <c r="U391" s="524"/>
      <c r="V391" s="460"/>
      <c r="W391" s="524"/>
      <c r="X391" s="460"/>
      <c r="Y391" s="524"/>
      <c r="Z391" s="460"/>
    </row>
    <row r="392" spans="1:26">
      <c r="A392" s="14"/>
      <c r="B392" s="15"/>
      <c r="C392" s="16"/>
      <c r="D392" s="17"/>
      <c r="E392" s="12"/>
      <c r="F392" s="18"/>
      <c r="G392" s="19"/>
      <c r="H392" s="13"/>
      <c r="I392" s="19"/>
      <c r="J392" s="13"/>
      <c r="K392" s="19"/>
      <c r="L392" s="13"/>
      <c r="M392" s="19"/>
      <c r="N392" s="13"/>
      <c r="O392" s="19"/>
      <c r="P392" s="13"/>
      <c r="Q392" s="19"/>
      <c r="R392" s="13"/>
      <c r="S392" s="19"/>
      <c r="T392" s="13"/>
      <c r="U392" s="524"/>
      <c r="V392" s="460"/>
      <c r="W392" s="524"/>
      <c r="X392" s="460"/>
      <c r="Y392" s="524"/>
      <c r="Z392" s="460"/>
    </row>
    <row r="393" spans="1:26">
      <c r="A393" s="14"/>
      <c r="B393" s="15"/>
      <c r="C393" s="16"/>
      <c r="D393" s="17"/>
      <c r="E393" s="12"/>
      <c r="F393" s="18"/>
      <c r="G393" s="19"/>
      <c r="H393" s="13"/>
      <c r="I393" s="19"/>
      <c r="J393" s="13"/>
      <c r="K393" s="19"/>
      <c r="L393" s="13"/>
      <c r="M393" s="19"/>
      <c r="N393" s="13"/>
      <c r="O393" s="19"/>
      <c r="P393" s="13"/>
      <c r="Q393" s="19"/>
      <c r="R393" s="13"/>
      <c r="S393" s="19"/>
      <c r="T393" s="13"/>
      <c r="U393" s="524"/>
      <c r="V393" s="460"/>
      <c r="W393" s="524"/>
      <c r="X393" s="460"/>
      <c r="Y393" s="524"/>
      <c r="Z393" s="460"/>
    </row>
    <row r="394" spans="1:26">
      <c r="A394" s="14"/>
      <c r="B394" s="15"/>
      <c r="C394" s="16"/>
      <c r="D394" s="17"/>
      <c r="E394" s="12"/>
      <c r="F394" s="18"/>
      <c r="G394" s="19"/>
      <c r="H394" s="13"/>
      <c r="I394" s="19"/>
      <c r="J394" s="13"/>
      <c r="K394" s="19"/>
      <c r="L394" s="13"/>
      <c r="M394" s="19"/>
      <c r="N394" s="13"/>
      <c r="O394" s="19"/>
      <c r="P394" s="13"/>
      <c r="Q394" s="19"/>
      <c r="R394" s="13"/>
      <c r="S394" s="19"/>
      <c r="T394" s="13"/>
      <c r="U394" s="524"/>
      <c r="V394" s="460"/>
      <c r="W394" s="524"/>
      <c r="X394" s="460"/>
      <c r="Y394" s="524"/>
      <c r="Z394" s="460"/>
    </row>
    <row r="395" spans="1:26">
      <c r="A395" s="14"/>
      <c r="B395" s="15"/>
      <c r="C395" s="16"/>
      <c r="D395" s="17"/>
      <c r="E395" s="12"/>
      <c r="F395" s="18"/>
      <c r="G395" s="19"/>
      <c r="H395" s="13"/>
      <c r="I395" s="19"/>
      <c r="J395" s="13"/>
      <c r="K395" s="19"/>
      <c r="L395" s="13"/>
      <c r="M395" s="19"/>
      <c r="N395" s="13"/>
      <c r="O395" s="19"/>
      <c r="P395" s="13"/>
      <c r="Q395" s="19"/>
      <c r="R395" s="13"/>
      <c r="S395" s="19"/>
      <c r="T395" s="13"/>
      <c r="U395" s="524"/>
      <c r="V395" s="460"/>
      <c r="W395" s="524"/>
      <c r="X395" s="460"/>
      <c r="Y395" s="524"/>
      <c r="Z395" s="460"/>
    </row>
    <row r="396" spans="1:26">
      <c r="A396" s="14"/>
      <c r="B396" s="15"/>
      <c r="C396" s="16"/>
      <c r="D396" s="17"/>
      <c r="E396" s="12"/>
      <c r="F396" s="18"/>
      <c r="G396" s="19"/>
      <c r="H396" s="13"/>
      <c r="I396" s="19"/>
      <c r="J396" s="13"/>
      <c r="K396" s="19"/>
      <c r="L396" s="13"/>
      <c r="M396" s="19"/>
      <c r="N396" s="13"/>
      <c r="O396" s="19"/>
      <c r="P396" s="13"/>
      <c r="Q396" s="19"/>
      <c r="R396" s="13"/>
      <c r="S396" s="19"/>
      <c r="T396" s="13"/>
      <c r="U396" s="524"/>
      <c r="V396" s="460"/>
      <c r="W396" s="524"/>
      <c r="X396" s="460"/>
      <c r="Y396" s="524"/>
      <c r="Z396" s="460"/>
    </row>
    <row r="397" spans="1:26">
      <c r="A397" s="14"/>
      <c r="B397" s="15"/>
      <c r="C397" s="16"/>
      <c r="D397" s="17"/>
      <c r="E397" s="12"/>
      <c r="F397" s="18"/>
      <c r="G397" s="19"/>
      <c r="H397" s="13"/>
      <c r="I397" s="19"/>
      <c r="J397" s="13"/>
      <c r="K397" s="19"/>
      <c r="L397" s="13"/>
      <c r="M397" s="19"/>
      <c r="N397" s="13"/>
      <c r="O397" s="19"/>
      <c r="P397" s="13"/>
      <c r="Q397" s="19"/>
      <c r="R397" s="13"/>
      <c r="S397" s="19"/>
      <c r="T397" s="13"/>
      <c r="U397" s="524"/>
      <c r="V397" s="460"/>
      <c r="W397" s="524"/>
      <c r="X397" s="460"/>
      <c r="Y397" s="524"/>
      <c r="Z397" s="460"/>
    </row>
    <row r="398" spans="1:26">
      <c r="A398" s="14"/>
      <c r="B398" s="15"/>
      <c r="C398" s="16"/>
      <c r="D398" s="17"/>
      <c r="E398" s="12"/>
      <c r="F398" s="18"/>
      <c r="G398" s="19"/>
      <c r="H398" s="13"/>
      <c r="I398" s="19"/>
      <c r="J398" s="13"/>
      <c r="K398" s="19"/>
      <c r="L398" s="13"/>
      <c r="M398" s="19"/>
      <c r="N398" s="13"/>
      <c r="O398" s="19"/>
      <c r="P398" s="13"/>
      <c r="Q398" s="19"/>
      <c r="R398" s="13"/>
      <c r="S398" s="19"/>
      <c r="T398" s="13"/>
      <c r="U398" s="524"/>
      <c r="V398" s="460"/>
      <c r="W398" s="524"/>
      <c r="X398" s="460"/>
      <c r="Y398" s="524"/>
      <c r="Z398" s="460"/>
    </row>
    <row r="399" spans="1:26">
      <c r="A399" s="14"/>
      <c r="B399" s="15"/>
      <c r="C399" s="16"/>
      <c r="D399" s="17"/>
      <c r="E399" s="12"/>
      <c r="F399" s="18"/>
      <c r="G399" s="19"/>
      <c r="H399" s="13"/>
      <c r="I399" s="19"/>
      <c r="J399" s="13"/>
      <c r="K399" s="19"/>
      <c r="L399" s="13"/>
      <c r="M399" s="19"/>
      <c r="N399" s="13"/>
      <c r="O399" s="19"/>
      <c r="P399" s="13"/>
      <c r="Q399" s="19"/>
      <c r="R399" s="13"/>
      <c r="S399" s="19"/>
      <c r="T399" s="13"/>
      <c r="U399" s="524"/>
      <c r="V399" s="460"/>
      <c r="W399" s="524"/>
      <c r="X399" s="460"/>
      <c r="Y399" s="524"/>
      <c r="Z399" s="460"/>
    </row>
    <row r="400" spans="1:26">
      <c r="A400" s="14"/>
      <c r="B400" s="15"/>
      <c r="C400" s="16"/>
      <c r="D400" s="17"/>
      <c r="E400" s="12"/>
      <c r="F400" s="18"/>
      <c r="G400" s="19"/>
      <c r="H400" s="13"/>
      <c r="I400" s="19"/>
      <c r="J400" s="13"/>
      <c r="K400" s="19"/>
      <c r="L400" s="13"/>
      <c r="M400" s="19"/>
      <c r="N400" s="13"/>
      <c r="O400" s="19"/>
      <c r="P400" s="13"/>
      <c r="Q400" s="19"/>
      <c r="R400" s="13"/>
      <c r="S400" s="19"/>
      <c r="T400" s="13"/>
      <c r="U400" s="524"/>
      <c r="V400" s="460"/>
      <c r="W400" s="524"/>
      <c r="X400" s="460"/>
      <c r="Y400" s="524"/>
      <c r="Z400" s="460"/>
    </row>
    <row r="401" spans="1:26">
      <c r="A401" s="14"/>
      <c r="B401" s="15"/>
      <c r="C401" s="16"/>
      <c r="D401" s="17"/>
      <c r="E401" s="12"/>
      <c r="F401" s="18"/>
      <c r="G401" s="19"/>
      <c r="H401" s="13"/>
      <c r="I401" s="19"/>
      <c r="J401" s="13"/>
      <c r="K401" s="19"/>
      <c r="L401" s="13"/>
      <c r="M401" s="19"/>
      <c r="N401" s="13"/>
      <c r="O401" s="19"/>
      <c r="P401" s="13"/>
      <c r="Q401" s="19"/>
      <c r="R401" s="13"/>
      <c r="S401" s="19"/>
      <c r="T401" s="13"/>
      <c r="U401" s="524"/>
      <c r="V401" s="460"/>
      <c r="W401" s="524"/>
      <c r="X401" s="460"/>
      <c r="Y401" s="524"/>
      <c r="Z401" s="460"/>
    </row>
    <row r="402" spans="1:26">
      <c r="A402" s="14"/>
      <c r="B402" s="15"/>
      <c r="C402" s="16"/>
      <c r="D402" s="17"/>
      <c r="E402" s="12"/>
      <c r="F402" s="18"/>
      <c r="G402" s="19"/>
      <c r="H402" s="13"/>
      <c r="I402" s="19"/>
      <c r="J402" s="13"/>
      <c r="K402" s="19"/>
      <c r="L402" s="13"/>
      <c r="M402" s="19"/>
      <c r="N402" s="13"/>
      <c r="O402" s="19"/>
      <c r="P402" s="13"/>
      <c r="Q402" s="19"/>
      <c r="R402" s="13"/>
      <c r="S402" s="19"/>
      <c r="T402" s="13"/>
      <c r="U402" s="524"/>
      <c r="V402" s="460"/>
      <c r="W402" s="524"/>
      <c r="X402" s="460"/>
      <c r="Y402" s="524"/>
      <c r="Z402" s="460"/>
    </row>
    <row r="403" spans="1:26">
      <c r="A403" s="14"/>
      <c r="B403" s="15"/>
      <c r="C403" s="16"/>
      <c r="D403" s="17"/>
      <c r="E403" s="12"/>
      <c r="F403" s="18"/>
      <c r="G403" s="19"/>
      <c r="H403" s="13"/>
      <c r="I403" s="19"/>
      <c r="J403" s="13"/>
      <c r="K403" s="19"/>
      <c r="L403" s="13"/>
      <c r="M403" s="19"/>
      <c r="N403" s="13"/>
      <c r="O403" s="19"/>
      <c r="P403" s="13"/>
      <c r="Q403" s="19"/>
      <c r="R403" s="13"/>
      <c r="S403" s="19"/>
      <c r="T403" s="13"/>
      <c r="U403" s="524"/>
      <c r="V403" s="460"/>
      <c r="W403" s="524"/>
      <c r="X403" s="460"/>
      <c r="Y403" s="524"/>
      <c r="Z403" s="460"/>
    </row>
    <row r="404" spans="1:26">
      <c r="A404" s="14"/>
      <c r="B404" s="15"/>
      <c r="C404" s="16"/>
      <c r="D404" s="17"/>
      <c r="E404" s="12"/>
      <c r="F404" s="18"/>
      <c r="G404" s="19"/>
      <c r="H404" s="13"/>
      <c r="I404" s="19"/>
      <c r="J404" s="13"/>
      <c r="K404" s="19"/>
      <c r="L404" s="13"/>
      <c r="M404" s="19"/>
      <c r="N404" s="13"/>
      <c r="O404" s="19"/>
      <c r="P404" s="13"/>
      <c r="Q404" s="19"/>
      <c r="R404" s="13"/>
      <c r="S404" s="19"/>
      <c r="T404" s="13"/>
      <c r="U404" s="524"/>
      <c r="V404" s="460"/>
      <c r="W404" s="524"/>
      <c r="X404" s="460"/>
      <c r="Y404" s="524"/>
      <c r="Z404" s="460"/>
    </row>
    <row r="405" spans="1:26">
      <c r="A405" s="14"/>
      <c r="B405" s="15"/>
      <c r="C405" s="16"/>
      <c r="D405" s="17"/>
      <c r="E405" s="12"/>
      <c r="F405" s="18"/>
      <c r="G405" s="19"/>
      <c r="H405" s="13"/>
      <c r="I405" s="19"/>
      <c r="J405" s="13"/>
      <c r="K405" s="19"/>
      <c r="L405" s="13"/>
      <c r="M405" s="19"/>
      <c r="N405" s="13"/>
      <c r="O405" s="19"/>
      <c r="P405" s="13"/>
      <c r="Q405" s="19"/>
      <c r="R405" s="13"/>
      <c r="S405" s="19"/>
      <c r="T405" s="13"/>
      <c r="U405" s="524"/>
      <c r="V405" s="460"/>
      <c r="W405" s="524"/>
      <c r="X405" s="460"/>
      <c r="Y405" s="524"/>
      <c r="Z405" s="460"/>
    </row>
    <row r="406" spans="1:26">
      <c r="A406" s="14"/>
      <c r="B406" s="15"/>
      <c r="C406" s="16"/>
      <c r="D406" s="17"/>
      <c r="E406" s="12"/>
      <c r="F406" s="18"/>
      <c r="G406" s="19"/>
      <c r="H406" s="13"/>
      <c r="I406" s="19"/>
      <c r="J406" s="13"/>
      <c r="K406" s="19"/>
      <c r="L406" s="13"/>
      <c r="M406" s="19"/>
      <c r="N406" s="13"/>
      <c r="O406" s="19"/>
      <c r="P406" s="13"/>
      <c r="Q406" s="19"/>
      <c r="R406" s="13"/>
      <c r="S406" s="19"/>
      <c r="T406" s="13"/>
      <c r="U406" s="524"/>
      <c r="V406" s="460"/>
      <c r="W406" s="524"/>
      <c r="X406" s="460"/>
      <c r="Y406" s="524"/>
      <c r="Z406" s="460"/>
    </row>
    <row r="407" spans="1:26">
      <c r="A407" s="14"/>
      <c r="B407" s="15"/>
      <c r="C407" s="16"/>
      <c r="D407" s="17"/>
      <c r="E407" s="12"/>
      <c r="F407" s="18"/>
      <c r="G407" s="19"/>
      <c r="H407" s="13"/>
      <c r="I407" s="19"/>
      <c r="J407" s="13"/>
      <c r="K407" s="19"/>
      <c r="L407" s="13"/>
      <c r="M407" s="19"/>
      <c r="N407" s="13"/>
      <c r="O407" s="19"/>
      <c r="P407" s="13"/>
      <c r="Q407" s="19"/>
      <c r="R407" s="13"/>
      <c r="S407" s="19"/>
      <c r="T407" s="13"/>
      <c r="U407" s="524"/>
      <c r="V407" s="460"/>
      <c r="W407" s="524"/>
      <c r="X407" s="460"/>
      <c r="Y407" s="524"/>
      <c r="Z407" s="460"/>
    </row>
    <row r="408" spans="1:26">
      <c r="A408" s="14"/>
      <c r="B408" s="15"/>
      <c r="C408" s="16"/>
      <c r="D408" s="17"/>
      <c r="E408" s="12"/>
      <c r="F408" s="18"/>
      <c r="G408" s="19"/>
      <c r="H408" s="13"/>
      <c r="I408" s="19"/>
      <c r="J408" s="13"/>
      <c r="K408" s="19"/>
      <c r="L408" s="13"/>
      <c r="M408" s="19"/>
      <c r="N408" s="13"/>
      <c r="O408" s="19"/>
      <c r="P408" s="13"/>
      <c r="Q408" s="19"/>
      <c r="R408" s="13"/>
      <c r="S408" s="19"/>
      <c r="T408" s="13"/>
      <c r="U408" s="524"/>
      <c r="V408" s="460"/>
      <c r="W408" s="524"/>
      <c r="X408" s="460"/>
      <c r="Y408" s="524"/>
      <c r="Z408" s="460"/>
    </row>
    <row r="409" spans="1:26">
      <c r="A409" s="14"/>
      <c r="B409" s="15"/>
      <c r="C409" s="16"/>
      <c r="D409" s="17"/>
      <c r="E409" s="12"/>
      <c r="F409" s="18"/>
      <c r="G409" s="19"/>
      <c r="H409" s="13"/>
      <c r="I409" s="19"/>
      <c r="J409" s="13"/>
      <c r="K409" s="19"/>
      <c r="L409" s="13"/>
      <c r="M409" s="19"/>
      <c r="N409" s="13"/>
      <c r="O409" s="19"/>
      <c r="P409" s="13"/>
      <c r="Q409" s="19"/>
      <c r="R409" s="13"/>
      <c r="S409" s="19"/>
      <c r="T409" s="13"/>
      <c r="U409" s="524"/>
      <c r="V409" s="460"/>
      <c r="W409" s="524"/>
      <c r="X409" s="460"/>
      <c r="Y409" s="524"/>
      <c r="Z409" s="460"/>
    </row>
    <row r="410" spans="1:26">
      <c r="A410" s="14"/>
      <c r="B410" s="15"/>
      <c r="C410" s="16"/>
      <c r="D410" s="17"/>
      <c r="E410" s="12"/>
      <c r="F410" s="18"/>
      <c r="G410" s="19"/>
      <c r="H410" s="13"/>
      <c r="I410" s="19"/>
      <c r="J410" s="13"/>
      <c r="K410" s="19"/>
      <c r="L410" s="13"/>
      <c r="M410" s="19"/>
      <c r="N410" s="13"/>
      <c r="O410" s="19"/>
      <c r="P410" s="13"/>
      <c r="Q410" s="19"/>
      <c r="R410" s="13"/>
      <c r="S410" s="19"/>
      <c r="T410" s="13"/>
      <c r="U410" s="524"/>
      <c r="V410" s="460"/>
      <c r="W410" s="524"/>
      <c r="X410" s="460"/>
      <c r="Y410" s="524"/>
      <c r="Z410" s="460"/>
    </row>
    <row r="411" spans="1:26">
      <c r="A411" s="14"/>
      <c r="B411" s="15"/>
      <c r="C411" s="16"/>
      <c r="D411" s="17"/>
      <c r="E411" s="12"/>
      <c r="F411" s="18"/>
      <c r="G411" s="19"/>
      <c r="H411" s="13"/>
      <c r="I411" s="19"/>
      <c r="J411" s="13"/>
      <c r="K411" s="19"/>
      <c r="L411" s="13"/>
      <c r="M411" s="19"/>
      <c r="N411" s="13"/>
      <c r="O411" s="19"/>
      <c r="P411" s="13"/>
      <c r="Q411" s="19"/>
      <c r="R411" s="13"/>
      <c r="S411" s="19"/>
      <c r="T411" s="13"/>
      <c r="U411" s="524"/>
      <c r="V411" s="460"/>
      <c r="W411" s="524"/>
      <c r="X411" s="460"/>
      <c r="Y411" s="524"/>
      <c r="Z411" s="460"/>
    </row>
    <row r="412" spans="1:26">
      <c r="A412" s="14"/>
      <c r="B412" s="15"/>
      <c r="C412" s="16"/>
      <c r="D412" s="17"/>
      <c r="E412" s="12"/>
      <c r="F412" s="18"/>
      <c r="G412" s="19"/>
      <c r="H412" s="13"/>
      <c r="I412" s="19"/>
      <c r="J412" s="13"/>
      <c r="K412" s="19"/>
      <c r="L412" s="13"/>
      <c r="M412" s="19"/>
      <c r="N412" s="13"/>
      <c r="O412" s="19"/>
      <c r="P412" s="13"/>
      <c r="Q412" s="19"/>
      <c r="R412" s="13"/>
      <c r="S412" s="19"/>
      <c r="T412" s="13"/>
      <c r="U412" s="524"/>
      <c r="V412" s="460"/>
      <c r="W412" s="524"/>
      <c r="X412" s="460"/>
      <c r="Y412" s="524"/>
      <c r="Z412" s="460"/>
    </row>
    <row r="413" spans="1:26">
      <c r="A413" s="14"/>
      <c r="B413" s="15"/>
      <c r="C413" s="16"/>
      <c r="D413" s="17"/>
      <c r="E413" s="12"/>
      <c r="F413" s="18"/>
      <c r="G413" s="19"/>
      <c r="H413" s="13"/>
      <c r="I413" s="19"/>
      <c r="J413" s="13"/>
      <c r="K413" s="19"/>
      <c r="L413" s="13"/>
      <c r="M413" s="19"/>
      <c r="N413" s="13"/>
      <c r="O413" s="19"/>
      <c r="P413" s="13"/>
      <c r="Q413" s="19"/>
      <c r="R413" s="13"/>
      <c r="S413" s="19"/>
      <c r="T413" s="13"/>
      <c r="U413" s="524"/>
      <c r="V413" s="460"/>
      <c r="W413" s="524"/>
      <c r="X413" s="460"/>
      <c r="Y413" s="524"/>
      <c r="Z413" s="460"/>
    </row>
    <row r="414" spans="1:26">
      <c r="A414" s="14"/>
      <c r="B414" s="15"/>
      <c r="C414" s="16"/>
      <c r="D414" s="17"/>
      <c r="E414" s="12"/>
      <c r="F414" s="18"/>
      <c r="G414" s="19"/>
      <c r="H414" s="13"/>
      <c r="I414" s="19"/>
      <c r="J414" s="13"/>
      <c r="K414" s="19"/>
      <c r="L414" s="13"/>
      <c r="M414" s="19"/>
      <c r="N414" s="13"/>
      <c r="O414" s="19"/>
      <c r="P414" s="13"/>
      <c r="Q414" s="19"/>
      <c r="R414" s="13"/>
      <c r="S414" s="19"/>
      <c r="T414" s="13"/>
      <c r="U414" s="524"/>
      <c r="V414" s="460"/>
      <c r="W414" s="524"/>
      <c r="X414" s="460"/>
      <c r="Y414" s="524"/>
      <c r="Z414" s="460"/>
    </row>
    <row r="415" spans="1:26">
      <c r="A415" s="14"/>
      <c r="B415" s="15"/>
      <c r="C415" s="16"/>
      <c r="D415" s="17"/>
      <c r="E415" s="12"/>
      <c r="F415" s="18"/>
      <c r="G415" s="19"/>
      <c r="H415" s="13"/>
      <c r="I415" s="19"/>
      <c r="J415" s="13"/>
      <c r="K415" s="19"/>
      <c r="L415" s="13"/>
      <c r="M415" s="19"/>
      <c r="N415" s="13"/>
      <c r="O415" s="19"/>
      <c r="P415" s="13"/>
      <c r="Q415" s="19"/>
      <c r="R415" s="13"/>
      <c r="S415" s="19"/>
      <c r="T415" s="13"/>
      <c r="U415" s="524"/>
      <c r="V415" s="460"/>
      <c r="W415" s="524"/>
      <c r="X415" s="460"/>
      <c r="Y415" s="524"/>
      <c r="Z415" s="460"/>
    </row>
    <row r="416" spans="1:26">
      <c r="A416" s="14"/>
      <c r="B416" s="15"/>
      <c r="C416" s="16"/>
      <c r="D416" s="17"/>
      <c r="E416" s="12"/>
      <c r="F416" s="18"/>
      <c r="G416" s="19"/>
      <c r="H416" s="13"/>
      <c r="I416" s="19"/>
      <c r="J416" s="13"/>
      <c r="K416" s="19"/>
      <c r="L416" s="13"/>
      <c r="M416" s="19"/>
      <c r="N416" s="13"/>
      <c r="O416" s="19"/>
      <c r="P416" s="13"/>
      <c r="Q416" s="19"/>
      <c r="R416" s="13"/>
      <c r="S416" s="19"/>
      <c r="T416" s="13"/>
      <c r="U416" s="524"/>
      <c r="V416" s="460"/>
      <c r="W416" s="524"/>
      <c r="X416" s="460"/>
      <c r="Y416" s="524"/>
      <c r="Z416" s="460"/>
    </row>
    <row r="417" spans="1:26">
      <c r="A417" s="14"/>
      <c r="B417" s="15"/>
      <c r="C417" s="16"/>
      <c r="D417" s="17"/>
      <c r="E417" s="12"/>
      <c r="F417" s="18"/>
      <c r="G417" s="19"/>
      <c r="H417" s="13"/>
      <c r="I417" s="19"/>
      <c r="J417" s="13"/>
      <c r="K417" s="19"/>
      <c r="L417" s="13"/>
      <c r="M417" s="19"/>
      <c r="N417" s="13"/>
      <c r="O417" s="19"/>
      <c r="P417" s="13"/>
      <c r="Q417" s="19"/>
      <c r="R417" s="13"/>
      <c r="S417" s="19"/>
      <c r="T417" s="13"/>
      <c r="U417" s="524"/>
      <c r="V417" s="460"/>
      <c r="W417" s="524"/>
      <c r="X417" s="460"/>
      <c r="Y417" s="524"/>
      <c r="Z417" s="460"/>
    </row>
    <row r="418" spans="1:26">
      <c r="A418" s="14"/>
      <c r="B418" s="15"/>
      <c r="C418" s="16"/>
      <c r="D418" s="17"/>
      <c r="E418" s="12"/>
      <c r="F418" s="18"/>
      <c r="G418" s="19"/>
      <c r="H418" s="13"/>
      <c r="I418" s="19"/>
      <c r="J418" s="13"/>
      <c r="K418" s="19"/>
      <c r="L418" s="13"/>
      <c r="M418" s="19"/>
      <c r="N418" s="13"/>
      <c r="O418" s="19"/>
      <c r="P418" s="13"/>
      <c r="Q418" s="19"/>
      <c r="R418" s="13"/>
      <c r="S418" s="19"/>
      <c r="T418" s="13"/>
      <c r="U418" s="524"/>
      <c r="V418" s="460"/>
      <c r="W418" s="524"/>
      <c r="X418" s="460"/>
      <c r="Y418" s="524"/>
      <c r="Z418" s="460"/>
    </row>
    <row r="419" spans="1:26">
      <c r="A419" s="14"/>
      <c r="B419" s="15"/>
      <c r="C419" s="16"/>
      <c r="D419" s="17"/>
      <c r="E419" s="12"/>
      <c r="F419" s="18"/>
      <c r="G419" s="19"/>
      <c r="H419" s="13"/>
      <c r="I419" s="19"/>
      <c r="J419" s="13"/>
      <c r="K419" s="19"/>
      <c r="L419" s="13"/>
      <c r="M419" s="19"/>
      <c r="N419" s="13"/>
      <c r="O419" s="19"/>
      <c r="P419" s="13"/>
      <c r="Q419" s="19"/>
      <c r="R419" s="13"/>
      <c r="S419" s="19"/>
      <c r="T419" s="13"/>
      <c r="U419" s="524"/>
      <c r="V419" s="460"/>
      <c r="W419" s="524"/>
      <c r="X419" s="460"/>
      <c r="Y419" s="524"/>
      <c r="Z419" s="460"/>
    </row>
    <row r="420" spans="1:26">
      <c r="A420" s="14"/>
      <c r="B420" s="15"/>
      <c r="C420" s="16"/>
      <c r="D420" s="17"/>
      <c r="E420" s="12"/>
      <c r="F420" s="18"/>
      <c r="G420" s="19"/>
      <c r="H420" s="13"/>
      <c r="I420" s="19"/>
      <c r="J420" s="13"/>
      <c r="K420" s="19"/>
      <c r="L420" s="13"/>
      <c r="M420" s="19"/>
      <c r="N420" s="13"/>
      <c r="O420" s="19"/>
      <c r="P420" s="13"/>
      <c r="Q420" s="19"/>
      <c r="R420" s="13"/>
      <c r="S420" s="19"/>
      <c r="T420" s="13"/>
      <c r="U420" s="524"/>
      <c r="V420" s="460"/>
      <c r="W420" s="524"/>
      <c r="X420" s="460"/>
      <c r="Y420" s="524"/>
      <c r="Z420" s="460"/>
    </row>
    <row r="421" spans="1:26">
      <c r="A421" s="14"/>
      <c r="B421" s="15"/>
      <c r="C421" s="16"/>
      <c r="D421" s="17"/>
      <c r="E421" s="12"/>
      <c r="F421" s="18"/>
      <c r="G421" s="19"/>
      <c r="H421" s="13"/>
      <c r="I421" s="19"/>
      <c r="J421" s="13"/>
      <c r="K421" s="19"/>
      <c r="L421" s="13"/>
      <c r="M421" s="19"/>
      <c r="N421" s="13"/>
      <c r="O421" s="19"/>
      <c r="P421" s="13"/>
      <c r="Q421" s="19"/>
      <c r="R421" s="13"/>
      <c r="S421" s="19"/>
      <c r="T421" s="13"/>
      <c r="U421" s="524"/>
      <c r="V421" s="460"/>
      <c r="W421" s="524"/>
      <c r="X421" s="460"/>
      <c r="Y421" s="524"/>
      <c r="Z421" s="460"/>
    </row>
    <row r="422" spans="1:26">
      <c r="A422" s="14"/>
      <c r="B422" s="15"/>
      <c r="C422" s="16"/>
      <c r="D422" s="17"/>
      <c r="E422" s="12"/>
      <c r="F422" s="18"/>
      <c r="G422" s="19"/>
      <c r="H422" s="13"/>
      <c r="I422" s="19"/>
      <c r="J422" s="13"/>
      <c r="K422" s="19"/>
      <c r="L422" s="13"/>
      <c r="M422" s="19"/>
      <c r="N422" s="13"/>
      <c r="O422" s="19"/>
      <c r="P422" s="13"/>
      <c r="Q422" s="19"/>
      <c r="R422" s="13"/>
      <c r="S422" s="19"/>
      <c r="T422" s="13"/>
      <c r="U422" s="524"/>
      <c r="V422" s="460"/>
      <c r="W422" s="524"/>
      <c r="X422" s="460"/>
      <c r="Y422" s="524"/>
      <c r="Z422" s="460"/>
    </row>
    <row r="423" spans="1:26">
      <c r="A423" s="14"/>
      <c r="B423" s="15"/>
      <c r="C423" s="16"/>
      <c r="D423" s="17"/>
      <c r="E423" s="12"/>
      <c r="F423" s="18"/>
      <c r="G423" s="19"/>
      <c r="H423" s="13"/>
      <c r="I423" s="19"/>
      <c r="J423" s="13"/>
      <c r="K423" s="19"/>
      <c r="L423" s="13"/>
      <c r="M423" s="19"/>
      <c r="N423" s="13"/>
      <c r="O423" s="19"/>
      <c r="P423" s="13"/>
      <c r="Q423" s="19"/>
      <c r="R423" s="13"/>
      <c r="S423" s="19"/>
      <c r="T423" s="13"/>
      <c r="U423" s="524"/>
      <c r="V423" s="460"/>
      <c r="W423" s="524"/>
      <c r="X423" s="460"/>
      <c r="Y423" s="524"/>
      <c r="Z423" s="460"/>
    </row>
    <row r="424" spans="1:26">
      <c r="A424" s="14"/>
      <c r="B424" s="15"/>
      <c r="C424" s="16"/>
      <c r="D424" s="17"/>
      <c r="E424" s="12"/>
      <c r="F424" s="18"/>
      <c r="G424" s="19"/>
      <c r="H424" s="13"/>
      <c r="I424" s="19"/>
      <c r="J424" s="13"/>
      <c r="K424" s="19"/>
      <c r="L424" s="13"/>
      <c r="M424" s="19"/>
      <c r="N424" s="13"/>
      <c r="O424" s="19"/>
      <c r="P424" s="13"/>
      <c r="Q424" s="19"/>
      <c r="R424" s="13"/>
      <c r="S424" s="19"/>
      <c r="T424" s="13"/>
      <c r="U424" s="524"/>
      <c r="V424" s="460"/>
      <c r="W424" s="524"/>
      <c r="X424" s="460"/>
      <c r="Y424" s="524"/>
      <c r="Z424" s="460"/>
    </row>
    <row r="425" spans="1:26">
      <c r="A425" s="14"/>
      <c r="B425" s="15"/>
      <c r="C425" s="16"/>
      <c r="D425" s="17"/>
      <c r="E425" s="12"/>
      <c r="F425" s="18"/>
      <c r="G425" s="19"/>
      <c r="H425" s="13"/>
      <c r="I425" s="19"/>
      <c r="J425" s="13"/>
      <c r="K425" s="19"/>
      <c r="L425" s="13"/>
      <c r="M425" s="19"/>
      <c r="N425" s="13"/>
      <c r="O425" s="19"/>
      <c r="P425" s="13"/>
      <c r="Q425" s="19"/>
      <c r="R425" s="13"/>
      <c r="S425" s="19"/>
      <c r="T425" s="13"/>
      <c r="U425" s="524"/>
      <c r="V425" s="460"/>
      <c r="W425" s="524"/>
      <c r="X425" s="460"/>
      <c r="Y425" s="524"/>
      <c r="Z425" s="460"/>
    </row>
    <row r="426" spans="1:26">
      <c r="A426" s="14"/>
      <c r="B426" s="15"/>
      <c r="C426" s="16"/>
      <c r="D426" s="17"/>
      <c r="E426" s="12"/>
      <c r="F426" s="18"/>
      <c r="G426" s="19"/>
      <c r="H426" s="13"/>
      <c r="I426" s="19"/>
      <c r="J426" s="13"/>
      <c r="K426" s="19"/>
      <c r="L426" s="13"/>
      <c r="M426" s="19"/>
      <c r="N426" s="13"/>
      <c r="O426" s="19"/>
      <c r="P426" s="13"/>
      <c r="Q426" s="19"/>
      <c r="R426" s="13"/>
      <c r="S426" s="19"/>
      <c r="T426" s="13"/>
      <c r="U426" s="524"/>
      <c r="V426" s="460"/>
      <c r="W426" s="524"/>
      <c r="X426" s="460"/>
      <c r="Y426" s="524"/>
      <c r="Z426" s="460"/>
    </row>
    <row r="427" spans="1:26">
      <c r="A427" s="14"/>
      <c r="B427" s="15"/>
      <c r="C427" s="16"/>
      <c r="D427" s="17"/>
      <c r="E427" s="12"/>
      <c r="F427" s="18"/>
      <c r="G427" s="19"/>
      <c r="H427" s="13"/>
      <c r="I427" s="19"/>
      <c r="J427" s="13"/>
      <c r="K427" s="19"/>
      <c r="L427" s="13"/>
      <c r="M427" s="19"/>
      <c r="N427" s="13"/>
      <c r="O427" s="19"/>
      <c r="P427" s="13"/>
      <c r="Q427" s="19"/>
      <c r="R427" s="13"/>
      <c r="S427" s="19"/>
      <c r="T427" s="13"/>
      <c r="U427" s="524"/>
      <c r="V427" s="460"/>
      <c r="W427" s="524"/>
      <c r="X427" s="460"/>
      <c r="Y427" s="524"/>
      <c r="Z427" s="460"/>
    </row>
    <row r="428" spans="1:26">
      <c r="A428" s="14"/>
      <c r="B428" s="15"/>
      <c r="C428" s="16"/>
      <c r="D428" s="17"/>
      <c r="E428" s="12"/>
      <c r="F428" s="18"/>
      <c r="G428" s="19"/>
      <c r="H428" s="13"/>
      <c r="I428" s="19"/>
      <c r="J428" s="13"/>
      <c r="K428" s="19"/>
      <c r="L428" s="13"/>
      <c r="M428" s="19"/>
      <c r="N428" s="13"/>
      <c r="O428" s="19"/>
      <c r="P428" s="13"/>
      <c r="Q428" s="19"/>
      <c r="R428" s="13"/>
      <c r="S428" s="19"/>
      <c r="T428" s="13"/>
      <c r="U428" s="524"/>
      <c r="V428" s="460"/>
      <c r="W428" s="524"/>
      <c r="X428" s="460"/>
      <c r="Y428" s="524"/>
      <c r="Z428" s="460"/>
    </row>
    <row r="429" spans="1:26">
      <c r="A429" s="14"/>
      <c r="B429" s="15"/>
      <c r="C429" s="16"/>
      <c r="D429" s="17"/>
      <c r="E429" s="12"/>
      <c r="F429" s="18"/>
      <c r="G429" s="19"/>
      <c r="H429" s="13"/>
      <c r="I429" s="19"/>
      <c r="J429" s="13"/>
      <c r="K429" s="19"/>
      <c r="L429" s="13"/>
      <c r="M429" s="19"/>
      <c r="N429" s="13"/>
      <c r="O429" s="19"/>
      <c r="P429" s="13"/>
      <c r="Q429" s="19"/>
      <c r="R429" s="13"/>
      <c r="S429" s="19"/>
      <c r="T429" s="13"/>
      <c r="U429" s="524"/>
      <c r="V429" s="460"/>
      <c r="W429" s="524"/>
      <c r="X429" s="460"/>
      <c r="Y429" s="524"/>
      <c r="Z429" s="460"/>
    </row>
    <row r="430" spans="1:26">
      <c r="A430" s="14"/>
      <c r="B430" s="15"/>
      <c r="C430" s="16"/>
      <c r="D430" s="17"/>
      <c r="E430" s="12"/>
      <c r="F430" s="18"/>
      <c r="G430" s="19"/>
      <c r="H430" s="13"/>
      <c r="I430" s="19"/>
      <c r="J430" s="13"/>
      <c r="K430" s="19"/>
      <c r="L430" s="13"/>
      <c r="M430" s="19"/>
      <c r="N430" s="13"/>
      <c r="O430" s="19"/>
      <c r="P430" s="13"/>
      <c r="Q430" s="19"/>
      <c r="R430" s="13"/>
      <c r="S430" s="19"/>
      <c r="T430" s="13"/>
      <c r="U430" s="524"/>
      <c r="V430" s="460"/>
      <c r="W430" s="524"/>
      <c r="X430" s="460"/>
      <c r="Y430" s="524"/>
      <c r="Z430" s="460"/>
    </row>
    <row r="431" spans="1:26">
      <c r="A431" s="14"/>
      <c r="B431" s="15"/>
      <c r="C431" s="16"/>
      <c r="D431" s="17"/>
      <c r="E431" s="12"/>
      <c r="F431" s="18"/>
      <c r="G431" s="19"/>
      <c r="H431" s="13"/>
      <c r="I431" s="19"/>
      <c r="J431" s="13"/>
      <c r="K431" s="19"/>
      <c r="L431" s="13"/>
      <c r="M431" s="19"/>
      <c r="N431" s="13"/>
      <c r="O431" s="19"/>
      <c r="P431" s="13"/>
      <c r="Q431" s="19"/>
      <c r="R431" s="13"/>
      <c r="S431" s="19"/>
      <c r="T431" s="13"/>
      <c r="U431" s="524"/>
      <c r="V431" s="460"/>
      <c r="W431" s="524"/>
      <c r="X431" s="460"/>
      <c r="Y431" s="524"/>
      <c r="Z431" s="460"/>
    </row>
    <row r="432" spans="1:26">
      <c r="A432" s="14"/>
      <c r="B432" s="15"/>
      <c r="C432" s="16"/>
      <c r="D432" s="17"/>
      <c r="E432" s="12"/>
      <c r="F432" s="18"/>
      <c r="G432" s="19"/>
      <c r="H432" s="13"/>
      <c r="I432" s="19"/>
      <c r="J432" s="13"/>
      <c r="K432" s="19"/>
      <c r="L432" s="13"/>
      <c r="M432" s="19"/>
      <c r="N432" s="13"/>
      <c r="O432" s="19"/>
      <c r="P432" s="13"/>
      <c r="Q432" s="19"/>
      <c r="R432" s="13"/>
      <c r="S432" s="19"/>
      <c r="T432" s="13"/>
      <c r="U432" s="524"/>
      <c r="V432" s="460"/>
      <c r="W432" s="524"/>
      <c r="X432" s="460"/>
      <c r="Y432" s="524"/>
      <c r="Z432" s="460"/>
    </row>
    <row r="433" spans="1:26">
      <c r="A433" s="14"/>
      <c r="B433" s="15"/>
      <c r="C433" s="16"/>
      <c r="D433" s="17"/>
      <c r="E433" s="12"/>
      <c r="F433" s="18"/>
      <c r="G433" s="19"/>
      <c r="H433" s="13"/>
      <c r="I433" s="19"/>
      <c r="J433" s="13"/>
      <c r="K433" s="19"/>
      <c r="L433" s="13"/>
      <c r="M433" s="19"/>
      <c r="N433" s="13"/>
      <c r="O433" s="19"/>
      <c r="P433" s="13"/>
      <c r="Q433" s="19"/>
      <c r="R433" s="13"/>
      <c r="S433" s="19"/>
      <c r="T433" s="13"/>
      <c r="U433" s="524"/>
      <c r="V433" s="460"/>
      <c r="W433" s="524"/>
      <c r="X433" s="460"/>
      <c r="Y433" s="524"/>
      <c r="Z433" s="460"/>
    </row>
    <row r="434" spans="1:26">
      <c r="A434" s="14"/>
      <c r="B434" s="15"/>
      <c r="C434" s="16"/>
      <c r="D434" s="17"/>
      <c r="E434" s="12"/>
      <c r="F434" s="18"/>
      <c r="G434" s="19"/>
      <c r="H434" s="13"/>
      <c r="I434" s="19"/>
      <c r="J434" s="13"/>
      <c r="K434" s="19"/>
      <c r="L434" s="13"/>
      <c r="M434" s="19"/>
      <c r="N434" s="13"/>
      <c r="O434" s="19"/>
      <c r="P434" s="13"/>
      <c r="Q434" s="19"/>
      <c r="R434" s="13"/>
      <c r="S434" s="19"/>
      <c r="T434" s="13"/>
      <c r="U434" s="524"/>
      <c r="V434" s="460"/>
      <c r="W434" s="524"/>
      <c r="X434" s="460"/>
      <c r="Y434" s="524"/>
      <c r="Z434" s="460"/>
    </row>
    <row r="435" spans="1:26">
      <c r="A435" s="14"/>
      <c r="B435" s="15"/>
      <c r="C435" s="16"/>
      <c r="D435" s="17"/>
      <c r="E435" s="12"/>
      <c r="F435" s="18"/>
      <c r="G435" s="19"/>
      <c r="H435" s="13"/>
      <c r="I435" s="19"/>
      <c r="J435" s="13"/>
      <c r="K435" s="19"/>
      <c r="L435" s="13"/>
      <c r="M435" s="19"/>
      <c r="N435" s="13"/>
      <c r="O435" s="19"/>
      <c r="P435" s="13"/>
      <c r="Q435" s="19"/>
      <c r="R435" s="13"/>
      <c r="S435" s="19"/>
      <c r="T435" s="13"/>
      <c r="U435" s="524"/>
      <c r="V435" s="460"/>
      <c r="W435" s="524"/>
      <c r="X435" s="460"/>
      <c r="Y435" s="524"/>
      <c r="Z435" s="460"/>
    </row>
    <row r="436" spans="1:26">
      <c r="A436" s="14"/>
      <c r="B436" s="15"/>
      <c r="C436" s="16"/>
      <c r="D436" s="17"/>
      <c r="E436" s="12"/>
      <c r="F436" s="18"/>
      <c r="G436" s="19"/>
      <c r="H436" s="13"/>
      <c r="I436" s="19"/>
      <c r="J436" s="13"/>
      <c r="K436" s="19"/>
      <c r="L436" s="13"/>
      <c r="M436" s="19"/>
      <c r="N436" s="13"/>
      <c r="O436" s="19"/>
      <c r="P436" s="13"/>
      <c r="Q436" s="19"/>
      <c r="R436" s="13"/>
      <c r="S436" s="19"/>
      <c r="T436" s="13"/>
      <c r="U436" s="524"/>
      <c r="V436" s="460"/>
      <c r="W436" s="524"/>
      <c r="X436" s="460"/>
      <c r="Y436" s="524"/>
      <c r="Z436" s="460"/>
    </row>
    <row r="437" spans="1:26">
      <c r="A437" s="14"/>
      <c r="B437" s="15"/>
      <c r="C437" s="16"/>
      <c r="D437" s="17"/>
      <c r="E437" s="12"/>
      <c r="F437" s="18"/>
      <c r="G437" s="19"/>
      <c r="H437" s="13"/>
      <c r="I437" s="19"/>
      <c r="J437" s="13"/>
      <c r="K437" s="19"/>
      <c r="L437" s="13"/>
      <c r="M437" s="19"/>
      <c r="N437" s="13"/>
      <c r="O437" s="19"/>
      <c r="P437" s="13"/>
      <c r="Q437" s="19"/>
      <c r="R437" s="13"/>
      <c r="S437" s="19"/>
      <c r="T437" s="13"/>
      <c r="U437" s="524"/>
      <c r="V437" s="460"/>
      <c r="W437" s="524"/>
      <c r="X437" s="460"/>
      <c r="Y437" s="524"/>
      <c r="Z437" s="460"/>
    </row>
    <row r="438" spans="1:26">
      <c r="A438" s="14"/>
      <c r="B438" s="15"/>
      <c r="C438" s="16"/>
      <c r="D438" s="17"/>
      <c r="E438" s="12"/>
      <c r="F438" s="18"/>
      <c r="G438" s="19"/>
      <c r="H438" s="13"/>
      <c r="I438" s="19"/>
      <c r="J438" s="13"/>
      <c r="K438" s="19"/>
      <c r="L438" s="13"/>
      <c r="M438" s="19"/>
      <c r="N438" s="13"/>
      <c r="O438" s="19"/>
      <c r="P438" s="13"/>
      <c r="Q438" s="19"/>
      <c r="R438" s="13"/>
      <c r="S438" s="19"/>
      <c r="T438" s="13"/>
      <c r="U438" s="524"/>
      <c r="V438" s="460"/>
      <c r="W438" s="524"/>
      <c r="X438" s="460"/>
      <c r="Y438" s="524"/>
      <c r="Z438" s="460"/>
    </row>
    <row r="439" spans="1:26">
      <c r="A439" s="14"/>
      <c r="B439" s="15"/>
      <c r="C439" s="16"/>
      <c r="D439" s="17"/>
      <c r="E439" s="12"/>
      <c r="F439" s="18"/>
      <c r="G439" s="19"/>
      <c r="H439" s="13"/>
      <c r="I439" s="19"/>
      <c r="J439" s="13"/>
      <c r="K439" s="19"/>
      <c r="L439" s="13"/>
      <c r="M439" s="19"/>
      <c r="N439" s="13"/>
      <c r="O439" s="19"/>
      <c r="P439" s="13"/>
      <c r="Q439" s="19"/>
      <c r="R439" s="13"/>
      <c r="S439" s="19"/>
      <c r="T439" s="13"/>
      <c r="U439" s="524"/>
      <c r="V439" s="460"/>
      <c r="W439" s="524"/>
      <c r="X439" s="460"/>
      <c r="Y439" s="524"/>
      <c r="Z439" s="460"/>
    </row>
    <row r="440" spans="1:26">
      <c r="A440" s="14"/>
      <c r="B440" s="15"/>
      <c r="C440" s="16"/>
      <c r="D440" s="17"/>
      <c r="E440" s="12"/>
      <c r="F440" s="18"/>
      <c r="G440" s="19"/>
      <c r="H440" s="13"/>
      <c r="I440" s="19"/>
      <c r="J440" s="13"/>
      <c r="K440" s="19"/>
      <c r="L440" s="13"/>
      <c r="M440" s="19"/>
      <c r="N440" s="13"/>
      <c r="O440" s="19"/>
      <c r="P440" s="13"/>
      <c r="Q440" s="19"/>
      <c r="R440" s="13"/>
      <c r="S440" s="19"/>
      <c r="T440" s="13"/>
      <c r="U440" s="524"/>
      <c r="V440" s="460"/>
      <c r="W440" s="524"/>
      <c r="X440" s="460"/>
      <c r="Y440" s="524"/>
      <c r="Z440" s="460"/>
    </row>
    <row r="441" spans="1:26">
      <c r="A441" s="14"/>
      <c r="B441" s="15"/>
      <c r="C441" s="16"/>
      <c r="D441" s="17"/>
      <c r="E441" s="12"/>
      <c r="F441" s="18"/>
      <c r="G441" s="19"/>
      <c r="H441" s="13"/>
      <c r="I441" s="19"/>
      <c r="J441" s="13"/>
      <c r="K441" s="19"/>
      <c r="L441" s="13"/>
      <c r="M441" s="19"/>
      <c r="N441" s="13"/>
      <c r="O441" s="19"/>
      <c r="P441" s="13"/>
      <c r="Q441" s="19"/>
      <c r="R441" s="13"/>
      <c r="S441" s="19"/>
      <c r="T441" s="13"/>
      <c r="U441" s="524"/>
      <c r="V441" s="460"/>
      <c r="W441" s="524"/>
      <c r="X441" s="460"/>
      <c r="Y441" s="524"/>
      <c r="Z441" s="460"/>
    </row>
    <row r="442" spans="1:26">
      <c r="A442" s="14"/>
      <c r="B442" s="15"/>
      <c r="C442" s="16"/>
      <c r="D442" s="17"/>
      <c r="E442" s="12"/>
      <c r="F442" s="18"/>
      <c r="G442" s="19"/>
      <c r="H442" s="13"/>
      <c r="I442" s="19"/>
      <c r="J442" s="13"/>
      <c r="K442" s="19"/>
      <c r="L442" s="13"/>
      <c r="M442" s="19"/>
      <c r="N442" s="13"/>
      <c r="O442" s="19"/>
      <c r="P442" s="13"/>
      <c r="Q442" s="19"/>
      <c r="R442" s="13"/>
      <c r="S442" s="19"/>
      <c r="T442" s="13"/>
      <c r="U442" s="524"/>
      <c r="V442" s="460"/>
      <c r="W442" s="524"/>
      <c r="X442" s="460"/>
      <c r="Y442" s="524"/>
      <c r="Z442" s="460"/>
    </row>
    <row r="443" spans="1:26">
      <c r="A443" s="14"/>
      <c r="B443" s="15"/>
      <c r="C443" s="16"/>
      <c r="D443" s="17"/>
      <c r="E443" s="12"/>
      <c r="F443" s="18"/>
      <c r="G443" s="19"/>
      <c r="H443" s="13"/>
      <c r="I443" s="19"/>
      <c r="J443" s="13"/>
      <c r="K443" s="19"/>
      <c r="L443" s="13"/>
      <c r="M443" s="19"/>
      <c r="N443" s="13"/>
      <c r="O443" s="19"/>
      <c r="P443" s="13"/>
      <c r="Q443" s="19"/>
      <c r="R443" s="13"/>
      <c r="S443" s="19"/>
      <c r="T443" s="13"/>
      <c r="U443" s="524"/>
      <c r="V443" s="460"/>
      <c r="W443" s="524"/>
      <c r="X443" s="460"/>
      <c r="Y443" s="524"/>
      <c r="Z443" s="460"/>
    </row>
    <row r="444" spans="1:26">
      <c r="A444" s="14"/>
      <c r="B444" s="15"/>
      <c r="C444" s="16"/>
      <c r="D444" s="17"/>
      <c r="E444" s="12"/>
      <c r="F444" s="18"/>
      <c r="G444" s="19"/>
      <c r="H444" s="13"/>
      <c r="I444" s="19"/>
      <c r="J444" s="13"/>
      <c r="K444" s="19"/>
      <c r="L444" s="13"/>
      <c r="M444" s="19"/>
      <c r="N444" s="13"/>
      <c r="O444" s="19"/>
      <c r="P444" s="13"/>
      <c r="Q444" s="19"/>
      <c r="R444" s="13"/>
      <c r="S444" s="19"/>
      <c r="T444" s="13"/>
      <c r="U444" s="524"/>
      <c r="V444" s="460"/>
      <c r="W444" s="524"/>
      <c r="X444" s="460"/>
      <c r="Y444" s="524"/>
      <c r="Z444" s="460"/>
    </row>
    <row r="445" spans="1:26">
      <c r="A445" s="14"/>
      <c r="B445" s="15"/>
      <c r="C445" s="16"/>
      <c r="D445" s="17"/>
      <c r="E445" s="12"/>
      <c r="F445" s="18"/>
      <c r="G445" s="19"/>
      <c r="H445" s="13"/>
      <c r="I445" s="19"/>
      <c r="J445" s="13"/>
      <c r="K445" s="19"/>
      <c r="L445" s="13"/>
      <c r="M445" s="19"/>
      <c r="N445" s="13"/>
      <c r="O445" s="19"/>
      <c r="P445" s="13"/>
      <c r="Q445" s="19"/>
      <c r="R445" s="13"/>
      <c r="S445" s="19"/>
      <c r="T445" s="13"/>
      <c r="U445" s="524"/>
      <c r="V445" s="460"/>
      <c r="W445" s="524"/>
      <c r="X445" s="460"/>
      <c r="Y445" s="524"/>
      <c r="Z445" s="460"/>
    </row>
    <row r="446" spans="1:26">
      <c r="A446" s="14"/>
      <c r="B446" s="15"/>
      <c r="C446" s="16"/>
      <c r="D446" s="17"/>
      <c r="E446" s="12"/>
      <c r="F446" s="18"/>
      <c r="G446" s="19"/>
      <c r="H446" s="13"/>
      <c r="I446" s="19"/>
      <c r="J446" s="13"/>
      <c r="K446" s="19"/>
      <c r="L446" s="13"/>
      <c r="M446" s="19"/>
      <c r="N446" s="13"/>
      <c r="O446" s="19"/>
      <c r="P446" s="13"/>
      <c r="Q446" s="19"/>
      <c r="R446" s="13"/>
      <c r="S446" s="19"/>
      <c r="T446" s="13"/>
      <c r="U446" s="524"/>
      <c r="V446" s="460"/>
      <c r="W446" s="524"/>
      <c r="X446" s="460"/>
      <c r="Y446" s="524"/>
      <c r="Z446" s="460"/>
    </row>
    <row r="447" spans="1:26">
      <c r="A447" s="14"/>
      <c r="B447" s="15"/>
      <c r="C447" s="16"/>
      <c r="D447" s="17"/>
      <c r="E447" s="12"/>
      <c r="F447" s="18"/>
      <c r="G447" s="19"/>
      <c r="H447" s="13"/>
      <c r="I447" s="19"/>
      <c r="J447" s="13"/>
      <c r="K447" s="19"/>
      <c r="L447" s="13"/>
      <c r="M447" s="19"/>
      <c r="N447" s="13"/>
      <c r="O447" s="19"/>
      <c r="P447" s="13"/>
      <c r="Q447" s="19"/>
      <c r="R447" s="13"/>
      <c r="S447" s="19"/>
      <c r="T447" s="13"/>
      <c r="U447" s="524"/>
      <c r="V447" s="460"/>
      <c r="W447" s="524"/>
      <c r="X447" s="460"/>
      <c r="Y447" s="524"/>
      <c r="Z447" s="460"/>
    </row>
    <row r="448" spans="1:26">
      <c r="A448" s="14"/>
      <c r="B448" s="15"/>
      <c r="C448" s="16"/>
      <c r="D448" s="17"/>
      <c r="E448" s="12"/>
      <c r="F448" s="18"/>
      <c r="G448" s="19"/>
      <c r="H448" s="13"/>
      <c r="I448" s="19"/>
      <c r="J448" s="13"/>
      <c r="K448" s="19"/>
      <c r="L448" s="13"/>
      <c r="M448" s="19"/>
      <c r="N448" s="13"/>
      <c r="O448" s="19"/>
      <c r="P448" s="13"/>
      <c r="Q448" s="19"/>
      <c r="R448" s="13"/>
      <c r="S448" s="19"/>
      <c r="T448" s="13"/>
      <c r="U448" s="524"/>
      <c r="V448" s="460"/>
      <c r="W448" s="524"/>
      <c r="X448" s="460"/>
      <c r="Y448" s="524"/>
      <c r="Z448" s="460"/>
    </row>
    <row r="449" spans="1:26">
      <c r="A449" s="14"/>
      <c r="B449" s="15"/>
      <c r="C449" s="16"/>
      <c r="D449" s="17"/>
      <c r="E449" s="12"/>
      <c r="F449" s="18"/>
      <c r="G449" s="19"/>
      <c r="H449" s="13"/>
      <c r="I449" s="19"/>
      <c r="J449" s="13"/>
      <c r="K449" s="19"/>
      <c r="L449" s="13"/>
      <c r="M449" s="19"/>
      <c r="N449" s="13"/>
      <c r="O449" s="19"/>
      <c r="P449" s="13"/>
      <c r="Q449" s="19"/>
      <c r="R449" s="13"/>
      <c r="S449" s="19"/>
      <c r="T449" s="13"/>
      <c r="U449" s="524"/>
      <c r="V449" s="460"/>
      <c r="W449" s="524"/>
      <c r="X449" s="460"/>
      <c r="Y449" s="524"/>
      <c r="Z449" s="460"/>
    </row>
    <row r="450" spans="1:26">
      <c r="A450" s="14"/>
      <c r="B450" s="15"/>
      <c r="C450" s="16"/>
      <c r="D450" s="17"/>
      <c r="E450" s="12"/>
      <c r="F450" s="18"/>
      <c r="G450" s="19"/>
      <c r="H450" s="13"/>
      <c r="I450" s="19"/>
      <c r="J450" s="13"/>
      <c r="K450" s="19"/>
      <c r="L450" s="13"/>
      <c r="M450" s="19"/>
      <c r="N450" s="13"/>
      <c r="O450" s="19"/>
      <c r="P450" s="13"/>
      <c r="Q450" s="19"/>
      <c r="R450" s="13"/>
      <c r="S450" s="19"/>
      <c r="T450" s="13"/>
      <c r="U450" s="524"/>
      <c r="V450" s="460"/>
      <c r="W450" s="524"/>
      <c r="X450" s="460"/>
      <c r="Y450" s="524"/>
      <c r="Z450" s="460"/>
    </row>
    <row r="451" spans="1:26">
      <c r="A451" s="14"/>
      <c r="B451" s="15"/>
      <c r="C451" s="16"/>
      <c r="D451" s="17"/>
      <c r="E451" s="12"/>
      <c r="F451" s="18"/>
      <c r="G451" s="19"/>
      <c r="H451" s="13"/>
      <c r="I451" s="19"/>
      <c r="J451" s="13"/>
      <c r="K451" s="19"/>
      <c r="L451" s="13"/>
      <c r="M451" s="19"/>
      <c r="N451" s="13"/>
      <c r="O451" s="19"/>
      <c r="P451" s="13"/>
      <c r="Q451" s="19"/>
      <c r="R451" s="13"/>
      <c r="S451" s="19"/>
      <c r="T451" s="13"/>
      <c r="U451" s="524"/>
      <c r="V451" s="460"/>
      <c r="W451" s="524"/>
      <c r="X451" s="460"/>
      <c r="Y451" s="524"/>
      <c r="Z451" s="460"/>
    </row>
    <row r="452" spans="1:26">
      <c r="A452" s="14"/>
      <c r="B452" s="15"/>
      <c r="C452" s="16"/>
      <c r="D452" s="17"/>
      <c r="E452" s="12"/>
      <c r="F452" s="18"/>
      <c r="G452" s="19"/>
      <c r="H452" s="13"/>
      <c r="I452" s="19"/>
      <c r="J452" s="13"/>
      <c r="K452" s="19"/>
      <c r="L452" s="13"/>
      <c r="M452" s="19"/>
      <c r="N452" s="13"/>
      <c r="O452" s="19"/>
      <c r="P452" s="13"/>
      <c r="Q452" s="19"/>
      <c r="R452" s="13"/>
      <c r="S452" s="19"/>
      <c r="T452" s="13"/>
      <c r="U452" s="524"/>
      <c r="V452" s="460"/>
      <c r="W452" s="524"/>
      <c r="X452" s="460"/>
      <c r="Y452" s="524"/>
      <c r="Z452" s="460"/>
    </row>
    <row r="453" spans="1:26">
      <c r="A453" s="14"/>
      <c r="B453" s="15"/>
      <c r="C453" s="16"/>
      <c r="D453" s="17"/>
      <c r="E453" s="12"/>
      <c r="F453" s="18"/>
      <c r="G453" s="19"/>
      <c r="H453" s="13"/>
      <c r="I453" s="19"/>
      <c r="J453" s="13"/>
      <c r="K453" s="19"/>
      <c r="L453" s="13"/>
      <c r="M453" s="19"/>
      <c r="N453" s="13"/>
      <c r="O453" s="19"/>
      <c r="P453" s="13"/>
      <c r="Q453" s="19"/>
      <c r="R453" s="13"/>
      <c r="S453" s="19"/>
      <c r="T453" s="13"/>
      <c r="U453" s="524"/>
      <c r="V453" s="460"/>
      <c r="W453" s="524"/>
      <c r="X453" s="460"/>
      <c r="Y453" s="524"/>
      <c r="Z453" s="460"/>
    </row>
    <row r="454" spans="1:26">
      <c r="A454" s="14"/>
      <c r="B454" s="15"/>
      <c r="C454" s="16"/>
      <c r="D454" s="17"/>
      <c r="E454" s="12"/>
      <c r="F454" s="18"/>
      <c r="G454" s="19"/>
      <c r="H454" s="13"/>
      <c r="I454" s="19"/>
      <c r="J454" s="13"/>
      <c r="K454" s="19"/>
      <c r="L454" s="13"/>
      <c r="M454" s="19"/>
      <c r="N454" s="13"/>
      <c r="O454" s="19"/>
      <c r="P454" s="13"/>
      <c r="Q454" s="19"/>
      <c r="R454" s="13"/>
      <c r="S454" s="19"/>
      <c r="T454" s="13"/>
      <c r="U454" s="524"/>
      <c r="V454" s="460"/>
      <c r="W454" s="524"/>
      <c r="X454" s="460"/>
      <c r="Y454" s="524"/>
      <c r="Z454" s="460"/>
    </row>
    <row r="455" spans="1:26">
      <c r="A455" s="14"/>
      <c r="B455" s="15"/>
      <c r="C455" s="16"/>
      <c r="D455" s="17"/>
      <c r="E455" s="12"/>
      <c r="F455" s="18"/>
      <c r="G455" s="19"/>
      <c r="H455" s="13"/>
      <c r="I455" s="19"/>
      <c r="J455" s="13"/>
      <c r="K455" s="19"/>
      <c r="L455" s="13"/>
      <c r="M455" s="19"/>
      <c r="N455" s="13"/>
      <c r="O455" s="19"/>
      <c r="P455" s="13"/>
      <c r="Q455" s="19"/>
      <c r="R455" s="13"/>
      <c r="S455" s="19"/>
      <c r="T455" s="13"/>
      <c r="U455" s="524"/>
      <c r="V455" s="460"/>
      <c r="W455" s="524"/>
      <c r="X455" s="460"/>
      <c r="Y455" s="524"/>
      <c r="Z455" s="460"/>
    </row>
    <row r="456" spans="1:26">
      <c r="A456" s="14"/>
      <c r="B456" s="15"/>
      <c r="C456" s="16"/>
      <c r="D456" s="17"/>
      <c r="E456" s="12"/>
      <c r="F456" s="18"/>
      <c r="G456" s="19"/>
      <c r="H456" s="13"/>
      <c r="I456" s="19"/>
      <c r="J456" s="13"/>
      <c r="K456" s="19"/>
      <c r="L456" s="13"/>
      <c r="M456" s="19"/>
      <c r="N456" s="13"/>
      <c r="O456" s="19"/>
      <c r="P456" s="13"/>
      <c r="Q456" s="19"/>
      <c r="R456" s="13"/>
      <c r="S456" s="19"/>
      <c r="T456" s="13"/>
      <c r="U456" s="524"/>
      <c r="V456" s="460"/>
      <c r="W456" s="524"/>
      <c r="X456" s="460"/>
      <c r="Y456" s="524"/>
      <c r="Z456" s="460"/>
    </row>
    <row r="457" spans="1:26">
      <c r="A457" s="14"/>
      <c r="B457" s="15"/>
      <c r="C457" s="16"/>
      <c r="D457" s="17"/>
      <c r="E457" s="12"/>
      <c r="F457" s="18"/>
      <c r="G457" s="19"/>
      <c r="H457" s="13"/>
      <c r="I457" s="19"/>
      <c r="J457" s="13"/>
      <c r="K457" s="19"/>
      <c r="L457" s="13"/>
      <c r="M457" s="19"/>
      <c r="N457" s="13"/>
      <c r="O457" s="19"/>
      <c r="P457" s="13"/>
      <c r="Q457" s="19"/>
      <c r="R457" s="13"/>
      <c r="S457" s="19"/>
      <c r="T457" s="13"/>
      <c r="U457" s="524"/>
      <c r="V457" s="460"/>
      <c r="W457" s="524"/>
      <c r="X457" s="460"/>
      <c r="Y457" s="524"/>
      <c r="Z457" s="460"/>
    </row>
    <row r="458" spans="1:26">
      <c r="A458" s="14"/>
      <c r="B458" s="15"/>
      <c r="C458" s="16"/>
      <c r="D458" s="17"/>
      <c r="E458" s="12"/>
      <c r="F458" s="18"/>
      <c r="G458" s="19"/>
      <c r="H458" s="13"/>
      <c r="I458" s="19"/>
      <c r="J458" s="13"/>
      <c r="K458" s="19"/>
      <c r="L458" s="13"/>
      <c r="M458" s="19"/>
      <c r="N458" s="13"/>
      <c r="O458" s="19"/>
      <c r="P458" s="13"/>
      <c r="Q458" s="19"/>
      <c r="R458" s="13"/>
      <c r="S458" s="19"/>
      <c r="T458" s="13"/>
      <c r="U458" s="524"/>
      <c r="V458" s="460"/>
      <c r="W458" s="524"/>
      <c r="X458" s="460"/>
      <c r="Y458" s="524"/>
      <c r="Z458" s="460"/>
    </row>
    <row r="459" spans="1:26">
      <c r="A459" s="14"/>
      <c r="B459" s="15"/>
      <c r="C459" s="16"/>
      <c r="D459" s="17"/>
      <c r="E459" s="12"/>
      <c r="F459" s="18"/>
      <c r="G459" s="19"/>
      <c r="H459" s="13"/>
      <c r="I459" s="19"/>
      <c r="J459" s="13"/>
      <c r="K459" s="19"/>
      <c r="L459" s="13"/>
      <c r="M459" s="19"/>
      <c r="N459" s="13"/>
      <c r="O459" s="19"/>
      <c r="P459" s="13"/>
      <c r="Q459" s="19"/>
      <c r="R459" s="13"/>
      <c r="S459" s="19"/>
      <c r="T459" s="13"/>
      <c r="U459" s="524"/>
      <c r="V459" s="460"/>
      <c r="W459" s="524"/>
      <c r="X459" s="460"/>
      <c r="Y459" s="524"/>
      <c r="Z459" s="460"/>
    </row>
    <row r="460" spans="1:26">
      <c r="A460" s="14"/>
      <c r="B460" s="15"/>
      <c r="C460" s="16"/>
      <c r="D460" s="17"/>
      <c r="E460" s="12"/>
      <c r="F460" s="18"/>
      <c r="G460" s="19"/>
      <c r="H460" s="13"/>
      <c r="I460" s="19"/>
      <c r="J460" s="13"/>
      <c r="K460" s="19"/>
      <c r="L460" s="13"/>
      <c r="M460" s="19"/>
      <c r="N460" s="13"/>
      <c r="O460" s="19"/>
      <c r="P460" s="13"/>
      <c r="Q460" s="19"/>
      <c r="R460" s="13"/>
      <c r="S460" s="19"/>
      <c r="T460" s="13"/>
      <c r="U460" s="524"/>
      <c r="V460" s="460"/>
      <c r="W460" s="524"/>
      <c r="X460" s="460"/>
      <c r="Y460" s="524"/>
      <c r="Z460" s="460"/>
    </row>
    <row r="461" spans="1:26">
      <c r="A461" s="14"/>
      <c r="B461" s="15"/>
      <c r="C461" s="16"/>
      <c r="D461" s="17"/>
      <c r="E461" s="12"/>
      <c r="F461" s="18"/>
      <c r="G461" s="19"/>
      <c r="H461" s="13"/>
      <c r="I461" s="19"/>
      <c r="J461" s="13"/>
      <c r="K461" s="19"/>
      <c r="L461" s="13"/>
      <c r="M461" s="19"/>
      <c r="N461" s="13"/>
      <c r="O461" s="19"/>
      <c r="P461" s="13"/>
      <c r="Q461" s="19"/>
      <c r="R461" s="13"/>
      <c r="S461" s="19"/>
      <c r="T461" s="13"/>
      <c r="U461" s="524"/>
      <c r="V461" s="460"/>
      <c r="W461" s="524"/>
      <c r="X461" s="460"/>
      <c r="Y461" s="524"/>
      <c r="Z461" s="460"/>
    </row>
    <row r="462" spans="1:26">
      <c r="A462" s="14"/>
      <c r="B462" s="15"/>
      <c r="C462" s="16"/>
      <c r="D462" s="17"/>
      <c r="E462" s="12"/>
      <c r="F462" s="18"/>
      <c r="G462" s="19"/>
      <c r="H462" s="13"/>
      <c r="I462" s="19"/>
      <c r="J462" s="13"/>
      <c r="K462" s="19"/>
      <c r="L462" s="13"/>
      <c r="M462" s="19"/>
      <c r="N462" s="13"/>
      <c r="O462" s="19"/>
      <c r="P462" s="13"/>
      <c r="Q462" s="19"/>
      <c r="R462" s="13"/>
      <c r="S462" s="19"/>
      <c r="T462" s="13"/>
      <c r="U462" s="524"/>
      <c r="V462" s="460"/>
      <c r="W462" s="524"/>
      <c r="X462" s="460"/>
      <c r="Y462" s="524"/>
      <c r="Z462" s="460"/>
    </row>
    <row r="463" spans="1:26">
      <c r="A463" s="14"/>
      <c r="B463" s="15"/>
      <c r="C463" s="16"/>
      <c r="D463" s="17"/>
      <c r="E463" s="12"/>
      <c r="F463" s="18"/>
      <c r="G463" s="19"/>
      <c r="H463" s="13"/>
      <c r="I463" s="19"/>
      <c r="J463" s="13"/>
      <c r="K463" s="19"/>
      <c r="L463" s="13"/>
      <c r="M463" s="19"/>
      <c r="N463" s="13"/>
      <c r="O463" s="19"/>
      <c r="P463" s="13"/>
      <c r="Q463" s="19"/>
      <c r="R463" s="13"/>
      <c r="S463" s="19"/>
      <c r="T463" s="13"/>
      <c r="U463" s="524"/>
      <c r="V463" s="460"/>
      <c r="W463" s="524"/>
      <c r="X463" s="460"/>
      <c r="Y463" s="524"/>
      <c r="Z463" s="460"/>
    </row>
    <row r="464" spans="1:26">
      <c r="A464" s="14"/>
      <c r="B464" s="15"/>
      <c r="C464" s="16"/>
      <c r="D464" s="17"/>
      <c r="E464" s="12"/>
      <c r="F464" s="18"/>
      <c r="G464" s="19"/>
      <c r="H464" s="13"/>
      <c r="I464" s="19"/>
      <c r="J464" s="13"/>
      <c r="K464" s="19"/>
      <c r="L464" s="13"/>
      <c r="M464" s="19"/>
      <c r="N464" s="13"/>
      <c r="O464" s="19"/>
      <c r="P464" s="13"/>
      <c r="Q464" s="19"/>
      <c r="R464" s="13"/>
      <c r="S464" s="19"/>
      <c r="T464" s="13"/>
      <c r="U464" s="524"/>
      <c r="V464" s="460"/>
      <c r="W464" s="524"/>
      <c r="X464" s="460"/>
      <c r="Y464" s="524"/>
      <c r="Z464" s="460"/>
    </row>
    <row r="465" spans="1:26">
      <c r="A465" s="14"/>
      <c r="B465" s="15"/>
      <c r="C465" s="16"/>
      <c r="D465" s="17"/>
      <c r="E465" s="12"/>
      <c r="F465" s="18"/>
      <c r="G465" s="19"/>
      <c r="H465" s="13"/>
      <c r="I465" s="19"/>
      <c r="J465" s="13"/>
      <c r="K465" s="19"/>
      <c r="L465" s="13"/>
      <c r="M465" s="19"/>
      <c r="N465" s="13"/>
      <c r="O465" s="19"/>
      <c r="P465" s="13"/>
      <c r="Q465" s="19"/>
      <c r="R465" s="13"/>
      <c r="S465" s="19"/>
      <c r="T465" s="13"/>
      <c r="U465" s="524"/>
      <c r="V465" s="460"/>
      <c r="W465" s="524"/>
      <c r="X465" s="460"/>
      <c r="Y465" s="524"/>
      <c r="Z465" s="460"/>
    </row>
    <row r="466" spans="1:26">
      <c r="A466" s="14"/>
      <c r="B466" s="15"/>
      <c r="C466" s="16"/>
      <c r="D466" s="17"/>
      <c r="E466" s="12"/>
      <c r="F466" s="18"/>
      <c r="G466" s="19"/>
      <c r="H466" s="13"/>
      <c r="I466" s="19"/>
      <c r="J466" s="13"/>
      <c r="K466" s="19"/>
      <c r="L466" s="13"/>
      <c r="M466" s="19"/>
      <c r="N466" s="13"/>
      <c r="O466" s="19"/>
      <c r="P466" s="13"/>
      <c r="Q466" s="19"/>
      <c r="R466" s="13"/>
      <c r="S466" s="19"/>
      <c r="T466" s="13"/>
      <c r="U466" s="524"/>
      <c r="V466" s="460"/>
      <c r="W466" s="524"/>
      <c r="X466" s="460"/>
      <c r="Y466" s="524"/>
      <c r="Z466" s="460"/>
    </row>
    <row r="467" spans="1:26">
      <c r="A467" s="14"/>
      <c r="B467" s="15"/>
      <c r="C467" s="16"/>
      <c r="D467" s="17"/>
      <c r="E467" s="12"/>
      <c r="F467" s="18"/>
      <c r="G467" s="19"/>
      <c r="H467" s="13"/>
      <c r="I467" s="19"/>
      <c r="J467" s="13"/>
      <c r="K467" s="19"/>
      <c r="L467" s="13"/>
      <c r="M467" s="19"/>
      <c r="N467" s="13"/>
      <c r="O467" s="19"/>
      <c r="P467" s="13"/>
      <c r="Q467" s="19"/>
      <c r="R467" s="13"/>
      <c r="S467" s="19"/>
      <c r="T467" s="13"/>
      <c r="U467" s="524"/>
      <c r="V467" s="460"/>
      <c r="W467" s="524"/>
      <c r="X467" s="460"/>
      <c r="Y467" s="524"/>
      <c r="Z467" s="460"/>
    </row>
    <row r="468" spans="1:26">
      <c r="A468" s="14"/>
      <c r="B468" s="15"/>
      <c r="C468" s="16"/>
      <c r="D468" s="17"/>
      <c r="E468" s="12"/>
      <c r="F468" s="18"/>
      <c r="G468" s="19"/>
      <c r="H468" s="13"/>
      <c r="I468" s="19"/>
      <c r="J468" s="13"/>
      <c r="K468" s="19"/>
      <c r="L468" s="13"/>
      <c r="M468" s="19"/>
      <c r="N468" s="13"/>
      <c r="O468" s="19"/>
      <c r="P468" s="13"/>
      <c r="Q468" s="19"/>
      <c r="R468" s="13"/>
      <c r="S468" s="19"/>
      <c r="T468" s="13"/>
      <c r="U468" s="524"/>
      <c r="V468" s="460"/>
      <c r="W468" s="524"/>
      <c r="X468" s="460"/>
      <c r="Y468" s="524"/>
      <c r="Z468" s="460"/>
    </row>
    <row r="469" spans="1:26">
      <c r="A469" s="14"/>
      <c r="B469" s="15"/>
      <c r="C469" s="16"/>
      <c r="D469" s="17"/>
      <c r="E469" s="12"/>
      <c r="F469" s="18"/>
      <c r="G469" s="19"/>
      <c r="H469" s="13"/>
      <c r="I469" s="19"/>
      <c r="J469" s="13"/>
      <c r="K469" s="19"/>
      <c r="L469" s="13"/>
      <c r="M469" s="19"/>
      <c r="N469" s="13"/>
      <c r="O469" s="19"/>
      <c r="P469" s="13"/>
      <c r="Q469" s="19"/>
      <c r="R469" s="13"/>
      <c r="S469" s="19"/>
      <c r="T469" s="13"/>
      <c r="U469" s="524"/>
      <c r="V469" s="460"/>
      <c r="W469" s="524"/>
      <c r="X469" s="460"/>
      <c r="Y469" s="524"/>
      <c r="Z469" s="460"/>
    </row>
    <row r="470" spans="1:26">
      <c r="A470" s="14"/>
      <c r="B470" s="15"/>
      <c r="C470" s="16"/>
      <c r="D470" s="17"/>
      <c r="E470" s="12"/>
      <c r="F470" s="18"/>
      <c r="G470" s="19"/>
      <c r="H470" s="13"/>
      <c r="I470" s="19"/>
      <c r="J470" s="13"/>
      <c r="K470" s="19"/>
      <c r="L470" s="13"/>
      <c r="M470" s="19"/>
      <c r="N470" s="13"/>
      <c r="O470" s="19"/>
      <c r="P470" s="13"/>
      <c r="Q470" s="19"/>
      <c r="R470" s="13"/>
      <c r="S470" s="19"/>
      <c r="T470" s="13"/>
      <c r="U470" s="524"/>
      <c r="V470" s="460"/>
      <c r="W470" s="524"/>
      <c r="X470" s="460"/>
      <c r="Y470" s="524"/>
      <c r="Z470" s="460"/>
    </row>
    <row r="471" spans="1:26">
      <c r="A471" s="14"/>
      <c r="B471" s="15"/>
      <c r="C471" s="16"/>
      <c r="D471" s="17"/>
      <c r="E471" s="12"/>
      <c r="F471" s="18"/>
      <c r="G471" s="19"/>
      <c r="H471" s="13"/>
      <c r="I471" s="19"/>
      <c r="J471" s="13"/>
      <c r="K471" s="19"/>
      <c r="L471" s="13"/>
      <c r="M471" s="19"/>
      <c r="N471" s="13"/>
      <c r="O471" s="19"/>
      <c r="P471" s="13"/>
      <c r="Q471" s="19"/>
      <c r="R471" s="13"/>
      <c r="S471" s="19"/>
      <c r="T471" s="13"/>
      <c r="U471" s="524"/>
      <c r="V471" s="460"/>
      <c r="W471" s="524"/>
      <c r="X471" s="460"/>
      <c r="Y471" s="524"/>
      <c r="Z471" s="460"/>
    </row>
    <row r="472" spans="1:26">
      <c r="A472" s="14"/>
      <c r="B472" s="15"/>
      <c r="C472" s="16"/>
      <c r="D472" s="17"/>
      <c r="E472" s="12"/>
      <c r="F472" s="18"/>
      <c r="G472" s="19"/>
      <c r="H472" s="13"/>
      <c r="I472" s="19"/>
      <c r="J472" s="13"/>
      <c r="K472" s="19"/>
      <c r="L472" s="13"/>
      <c r="M472" s="19"/>
      <c r="N472" s="13"/>
      <c r="O472" s="19"/>
      <c r="P472" s="13"/>
      <c r="Q472" s="19"/>
      <c r="R472" s="13"/>
      <c r="S472" s="19"/>
      <c r="T472" s="13"/>
      <c r="U472" s="524"/>
      <c r="V472" s="460"/>
      <c r="W472" s="524"/>
      <c r="X472" s="460"/>
      <c r="Y472" s="524"/>
      <c r="Z472" s="460"/>
    </row>
    <row r="473" spans="1:26">
      <c r="A473" s="14"/>
      <c r="B473" s="15"/>
      <c r="C473" s="16"/>
      <c r="D473" s="17"/>
      <c r="E473" s="12"/>
      <c r="F473" s="18"/>
      <c r="G473" s="19"/>
      <c r="H473" s="13"/>
      <c r="I473" s="19"/>
      <c r="J473" s="13"/>
      <c r="K473" s="19"/>
      <c r="L473" s="13"/>
      <c r="M473" s="19"/>
      <c r="N473" s="13"/>
      <c r="O473" s="19"/>
      <c r="P473" s="13"/>
      <c r="Q473" s="19"/>
      <c r="R473" s="13"/>
      <c r="S473" s="19"/>
      <c r="T473" s="13"/>
      <c r="U473" s="524"/>
      <c r="V473" s="460"/>
      <c r="W473" s="524"/>
      <c r="X473" s="460"/>
      <c r="Y473" s="524"/>
      <c r="Z473" s="460"/>
    </row>
    <row r="474" spans="1:26">
      <c r="A474" s="14"/>
      <c r="B474" s="15"/>
      <c r="C474" s="16"/>
      <c r="D474" s="17"/>
      <c r="E474" s="12"/>
      <c r="F474" s="18"/>
      <c r="G474" s="19"/>
      <c r="H474" s="13"/>
      <c r="I474" s="19"/>
      <c r="J474" s="13"/>
      <c r="K474" s="19"/>
      <c r="L474" s="13"/>
      <c r="M474" s="19"/>
      <c r="N474" s="13"/>
      <c r="O474" s="19"/>
      <c r="P474" s="13"/>
      <c r="Q474" s="19"/>
      <c r="R474" s="13"/>
      <c r="S474" s="19"/>
      <c r="T474" s="13"/>
      <c r="U474" s="524"/>
      <c r="V474" s="460"/>
      <c r="W474" s="524"/>
      <c r="X474" s="460"/>
      <c r="Y474" s="524"/>
      <c r="Z474" s="460"/>
    </row>
    <row r="475" spans="1:26">
      <c r="A475" s="14"/>
      <c r="B475" s="15"/>
      <c r="C475" s="16"/>
      <c r="D475" s="17"/>
      <c r="E475" s="12"/>
      <c r="F475" s="18"/>
      <c r="G475" s="19"/>
      <c r="H475" s="13"/>
      <c r="I475" s="19"/>
      <c r="J475" s="13"/>
      <c r="K475" s="19"/>
      <c r="L475" s="13"/>
      <c r="M475" s="19"/>
      <c r="N475" s="13"/>
      <c r="O475" s="19"/>
      <c r="P475" s="13"/>
      <c r="Q475" s="19"/>
      <c r="R475" s="13"/>
      <c r="S475" s="19"/>
      <c r="T475" s="13"/>
      <c r="U475" s="524"/>
      <c r="V475" s="460"/>
      <c r="W475" s="524"/>
      <c r="X475" s="460"/>
      <c r="Y475" s="524"/>
      <c r="Z475" s="460"/>
    </row>
    <row r="476" spans="1:26">
      <c r="A476" s="14"/>
      <c r="B476" s="15"/>
      <c r="C476" s="16"/>
      <c r="D476" s="17"/>
      <c r="E476" s="12"/>
      <c r="F476" s="18"/>
      <c r="G476" s="19"/>
      <c r="H476" s="13"/>
      <c r="I476" s="19"/>
      <c r="J476" s="13"/>
      <c r="K476" s="19"/>
      <c r="L476" s="13"/>
      <c r="M476" s="19"/>
      <c r="N476" s="13"/>
      <c r="O476" s="19"/>
      <c r="P476" s="13"/>
      <c r="Q476" s="19"/>
      <c r="R476" s="13"/>
      <c r="S476" s="19"/>
      <c r="T476" s="13"/>
      <c r="U476" s="524"/>
      <c r="V476" s="460"/>
      <c r="W476" s="524"/>
      <c r="X476" s="460"/>
      <c r="Y476" s="524"/>
      <c r="Z476" s="460"/>
    </row>
    <row r="477" spans="1:26">
      <c r="A477" s="14"/>
      <c r="B477" s="15"/>
      <c r="C477" s="16"/>
      <c r="D477" s="17"/>
      <c r="E477" s="12"/>
      <c r="F477" s="18"/>
      <c r="G477" s="19"/>
      <c r="H477" s="13"/>
      <c r="I477" s="19"/>
      <c r="J477" s="13"/>
      <c r="K477" s="19"/>
      <c r="L477" s="13"/>
      <c r="M477" s="19"/>
      <c r="N477" s="13"/>
      <c r="O477" s="19"/>
      <c r="P477" s="13"/>
      <c r="Q477" s="19"/>
      <c r="R477" s="13"/>
      <c r="S477" s="19"/>
      <c r="T477" s="13"/>
      <c r="U477" s="524"/>
      <c r="V477" s="460"/>
      <c r="W477" s="524"/>
      <c r="X477" s="460"/>
      <c r="Y477" s="524"/>
      <c r="Z477" s="460"/>
    </row>
    <row r="478" spans="1:26">
      <c r="A478" s="14"/>
      <c r="B478" s="15"/>
      <c r="C478" s="16"/>
      <c r="D478" s="17"/>
      <c r="E478" s="12"/>
      <c r="F478" s="18"/>
      <c r="G478" s="19"/>
      <c r="H478" s="13"/>
      <c r="I478" s="19"/>
      <c r="J478" s="13"/>
      <c r="K478" s="19"/>
      <c r="L478" s="13"/>
      <c r="M478" s="19"/>
      <c r="N478" s="13"/>
      <c r="O478" s="19"/>
      <c r="P478" s="13"/>
      <c r="Q478" s="19"/>
      <c r="R478" s="13"/>
      <c r="S478" s="19"/>
      <c r="T478" s="13"/>
      <c r="U478" s="524"/>
      <c r="V478" s="460"/>
      <c r="W478" s="524"/>
      <c r="X478" s="460"/>
      <c r="Y478" s="524"/>
      <c r="Z478" s="460"/>
    </row>
    <row r="479" spans="1:26">
      <c r="A479" s="14"/>
      <c r="B479" s="15"/>
      <c r="C479" s="16"/>
      <c r="D479" s="17"/>
      <c r="E479" s="12"/>
      <c r="F479" s="18"/>
      <c r="G479" s="19"/>
      <c r="H479" s="13"/>
      <c r="I479" s="19"/>
      <c r="J479" s="13"/>
      <c r="K479" s="19"/>
      <c r="L479" s="13"/>
      <c r="M479" s="19"/>
      <c r="N479" s="13"/>
      <c r="O479" s="19"/>
      <c r="P479" s="13"/>
      <c r="Q479" s="19"/>
      <c r="R479" s="13"/>
      <c r="S479" s="19"/>
      <c r="T479" s="13"/>
      <c r="U479" s="524"/>
      <c r="V479" s="460"/>
      <c r="W479" s="524"/>
      <c r="X479" s="460"/>
      <c r="Y479" s="524"/>
      <c r="Z479" s="460"/>
    </row>
    <row r="480" spans="1:26">
      <c r="A480" s="14"/>
      <c r="B480" s="15"/>
      <c r="C480" s="16"/>
      <c r="D480" s="17"/>
      <c r="E480" s="12"/>
      <c r="F480" s="18"/>
      <c r="G480" s="19"/>
      <c r="H480" s="13"/>
      <c r="I480" s="19"/>
      <c r="J480" s="13"/>
      <c r="K480" s="19"/>
      <c r="L480" s="13"/>
      <c r="M480" s="19"/>
      <c r="N480" s="13"/>
      <c r="O480" s="19"/>
      <c r="P480" s="13"/>
      <c r="Q480" s="19"/>
      <c r="R480" s="13"/>
      <c r="S480" s="19"/>
      <c r="T480" s="13"/>
      <c r="U480" s="524"/>
      <c r="V480" s="460"/>
      <c r="W480" s="524"/>
      <c r="X480" s="460"/>
      <c r="Y480" s="524"/>
      <c r="Z480" s="460"/>
    </row>
    <row r="481" spans="1:26">
      <c r="A481" s="14"/>
      <c r="B481" s="15"/>
      <c r="C481" s="16"/>
      <c r="D481" s="17"/>
      <c r="E481" s="12"/>
      <c r="F481" s="18"/>
      <c r="G481" s="19"/>
      <c r="H481" s="13"/>
      <c r="I481" s="19"/>
      <c r="J481" s="13"/>
      <c r="K481" s="19"/>
      <c r="L481" s="13"/>
      <c r="M481" s="19"/>
      <c r="N481" s="13"/>
      <c r="O481" s="19"/>
      <c r="P481" s="13"/>
      <c r="Q481" s="19"/>
      <c r="R481" s="13"/>
      <c r="S481" s="19"/>
      <c r="T481" s="13"/>
      <c r="U481" s="524"/>
      <c r="V481" s="460"/>
      <c r="W481" s="524"/>
      <c r="X481" s="460"/>
      <c r="Y481" s="524"/>
      <c r="Z481" s="460"/>
    </row>
    <row r="482" spans="1:26">
      <c r="A482" s="14"/>
      <c r="B482" s="15"/>
      <c r="C482" s="16"/>
      <c r="D482" s="17"/>
      <c r="E482" s="12"/>
      <c r="F482" s="18"/>
      <c r="G482" s="19"/>
      <c r="H482" s="13"/>
      <c r="I482" s="19"/>
      <c r="J482" s="13"/>
      <c r="K482" s="19"/>
      <c r="L482" s="13"/>
      <c r="M482" s="19"/>
      <c r="N482" s="13"/>
      <c r="O482" s="19"/>
      <c r="P482" s="13"/>
      <c r="Q482" s="19"/>
      <c r="R482" s="13"/>
      <c r="S482" s="19"/>
      <c r="T482" s="13"/>
      <c r="U482" s="524"/>
      <c r="V482" s="460"/>
      <c r="W482" s="524"/>
      <c r="X482" s="460"/>
      <c r="Y482" s="524"/>
      <c r="Z482" s="460"/>
    </row>
    <row r="483" spans="1:26">
      <c r="A483" s="14"/>
      <c r="B483" s="15"/>
      <c r="C483" s="16"/>
      <c r="D483" s="17"/>
      <c r="E483" s="12"/>
      <c r="F483" s="18"/>
      <c r="G483" s="19"/>
      <c r="H483" s="13"/>
      <c r="I483" s="19"/>
      <c r="J483" s="13"/>
      <c r="K483" s="19"/>
      <c r="L483" s="13"/>
      <c r="M483" s="19"/>
      <c r="N483" s="13"/>
      <c r="O483" s="19"/>
      <c r="P483" s="13"/>
      <c r="Q483" s="19"/>
      <c r="R483" s="13"/>
      <c r="S483" s="19"/>
      <c r="T483" s="13"/>
      <c r="U483" s="524"/>
      <c r="V483" s="460"/>
      <c r="W483" s="524"/>
      <c r="X483" s="460"/>
      <c r="Y483" s="524"/>
      <c r="Z483" s="460"/>
    </row>
    <row r="484" spans="1:26">
      <c r="A484" s="14"/>
      <c r="B484" s="15"/>
      <c r="C484" s="16"/>
      <c r="D484" s="17"/>
      <c r="E484" s="12"/>
      <c r="F484" s="18"/>
      <c r="G484" s="19"/>
      <c r="H484" s="13"/>
      <c r="I484" s="19"/>
      <c r="J484" s="13"/>
      <c r="K484" s="19"/>
      <c r="L484" s="13"/>
      <c r="M484" s="19"/>
      <c r="N484" s="13"/>
      <c r="O484" s="19"/>
      <c r="P484" s="13"/>
      <c r="Q484" s="19"/>
      <c r="R484" s="13"/>
      <c r="S484" s="19"/>
      <c r="T484" s="13"/>
      <c r="U484" s="524"/>
      <c r="V484" s="460"/>
      <c r="W484" s="524"/>
      <c r="X484" s="460"/>
      <c r="Y484" s="524"/>
      <c r="Z484" s="460"/>
    </row>
    <row r="485" spans="1:26">
      <c r="A485" s="14"/>
      <c r="B485" s="15"/>
      <c r="C485" s="16"/>
      <c r="D485" s="17"/>
      <c r="E485" s="12"/>
      <c r="F485" s="18"/>
      <c r="G485" s="19"/>
      <c r="H485" s="13"/>
      <c r="I485" s="19"/>
      <c r="J485" s="13"/>
      <c r="K485" s="19"/>
      <c r="L485" s="13"/>
      <c r="M485" s="19"/>
      <c r="N485" s="13"/>
      <c r="O485" s="19"/>
      <c r="P485" s="13"/>
      <c r="Q485" s="19"/>
      <c r="R485" s="13"/>
      <c r="S485" s="19"/>
      <c r="T485" s="13"/>
      <c r="U485" s="524"/>
      <c r="V485" s="460"/>
      <c r="W485" s="524"/>
      <c r="X485" s="460"/>
      <c r="Y485" s="524"/>
      <c r="Z485" s="460"/>
    </row>
    <row r="486" spans="1:26">
      <c r="A486" s="14"/>
      <c r="B486" s="15"/>
      <c r="C486" s="16"/>
      <c r="D486" s="17"/>
      <c r="E486" s="12"/>
      <c r="F486" s="18"/>
      <c r="G486" s="19"/>
      <c r="H486" s="13"/>
      <c r="I486" s="19"/>
      <c r="J486" s="13"/>
      <c r="K486" s="19"/>
      <c r="L486" s="13"/>
      <c r="M486" s="19"/>
      <c r="N486" s="13"/>
      <c r="O486" s="19"/>
      <c r="P486" s="13"/>
      <c r="Q486" s="19"/>
      <c r="R486" s="13"/>
      <c r="S486" s="19"/>
      <c r="T486" s="13"/>
      <c r="U486" s="524"/>
      <c r="V486" s="460"/>
      <c r="W486" s="524"/>
      <c r="X486" s="460"/>
      <c r="Y486" s="524"/>
      <c r="Z486" s="460"/>
    </row>
    <row r="487" spans="1:26">
      <c r="A487" s="14"/>
      <c r="B487" s="15"/>
      <c r="C487" s="16"/>
      <c r="D487" s="17"/>
      <c r="E487" s="12"/>
      <c r="F487" s="18"/>
      <c r="G487" s="19"/>
      <c r="H487" s="13"/>
      <c r="I487" s="19"/>
      <c r="J487" s="13"/>
      <c r="K487" s="19"/>
      <c r="L487" s="13"/>
      <c r="M487" s="19"/>
      <c r="N487" s="13"/>
      <c r="O487" s="19"/>
      <c r="P487" s="13"/>
      <c r="Q487" s="19"/>
      <c r="R487" s="13"/>
      <c r="S487" s="19"/>
      <c r="T487" s="13"/>
      <c r="U487" s="524"/>
      <c r="V487" s="460"/>
      <c r="W487" s="524"/>
      <c r="X487" s="460"/>
      <c r="Y487" s="524"/>
      <c r="Z487" s="460"/>
    </row>
    <row r="488" spans="1:26">
      <c r="A488" s="14"/>
      <c r="B488" s="15"/>
      <c r="C488" s="16"/>
      <c r="D488" s="17"/>
      <c r="E488" s="12"/>
      <c r="F488" s="18"/>
      <c r="G488" s="19"/>
      <c r="H488" s="13"/>
      <c r="I488" s="19"/>
      <c r="J488" s="13"/>
      <c r="K488" s="19"/>
      <c r="L488" s="13"/>
      <c r="M488" s="19"/>
      <c r="N488" s="13"/>
      <c r="O488" s="19"/>
      <c r="P488" s="13"/>
      <c r="Q488" s="19"/>
      <c r="R488" s="13"/>
      <c r="S488" s="19"/>
      <c r="T488" s="13"/>
      <c r="U488" s="524"/>
      <c r="V488" s="460"/>
      <c r="W488" s="524"/>
      <c r="X488" s="460"/>
      <c r="Y488" s="524"/>
      <c r="Z488" s="460"/>
    </row>
    <row r="489" spans="1:26">
      <c r="A489" s="14"/>
      <c r="B489" s="15"/>
      <c r="C489" s="16"/>
      <c r="D489" s="20"/>
      <c r="E489" s="12"/>
      <c r="F489" s="18"/>
      <c r="G489" s="19"/>
      <c r="H489" s="13"/>
      <c r="I489" s="19"/>
      <c r="J489" s="13"/>
      <c r="K489" s="19"/>
      <c r="L489" s="13"/>
      <c r="M489" s="19"/>
      <c r="N489" s="13"/>
      <c r="O489" s="19"/>
      <c r="P489" s="13"/>
      <c r="Q489" s="19"/>
      <c r="R489" s="13"/>
      <c r="S489" s="19"/>
      <c r="T489" s="13"/>
      <c r="U489" s="524"/>
      <c r="V489" s="460"/>
      <c r="W489" s="524"/>
      <c r="X489" s="460"/>
      <c r="Y489" s="524"/>
      <c r="Z489" s="460"/>
    </row>
    <row r="490" spans="1:26">
      <c r="A490" s="14"/>
      <c r="B490" s="15"/>
      <c r="C490" s="16"/>
      <c r="D490" s="20"/>
      <c r="E490" s="12"/>
      <c r="F490" s="18"/>
      <c r="G490" s="19"/>
      <c r="H490" s="13"/>
      <c r="I490" s="19"/>
      <c r="J490" s="13"/>
      <c r="K490" s="19"/>
      <c r="L490" s="13"/>
      <c r="M490" s="19"/>
      <c r="N490" s="13"/>
      <c r="O490" s="19"/>
      <c r="P490" s="13"/>
      <c r="Q490" s="19"/>
      <c r="R490" s="13"/>
      <c r="S490" s="19"/>
      <c r="T490" s="13"/>
      <c r="U490" s="524"/>
      <c r="V490" s="460"/>
      <c r="W490" s="524"/>
      <c r="X490" s="460"/>
      <c r="Y490" s="524"/>
      <c r="Z490" s="460"/>
    </row>
    <row r="491" spans="1:26" ht="13.5" thickBot="1">
      <c r="A491" s="21"/>
      <c r="B491" s="22"/>
      <c r="C491" s="23"/>
      <c r="D491" s="24"/>
      <c r="E491" s="37"/>
      <c r="F491" s="25"/>
      <c r="G491" s="26"/>
      <c r="H491" s="27"/>
      <c r="I491" s="26"/>
      <c r="J491" s="27"/>
      <c r="K491" s="26"/>
      <c r="L491" s="27"/>
      <c r="M491" s="26"/>
      <c r="N491" s="27"/>
      <c r="O491" s="26"/>
      <c r="P491" s="27"/>
      <c r="Q491" s="26"/>
      <c r="R491" s="27"/>
      <c r="S491" s="26"/>
      <c r="T491" s="27"/>
      <c r="U491" s="524"/>
      <c r="V491" s="460"/>
      <c r="W491" s="524"/>
      <c r="X491" s="460"/>
      <c r="Y491" s="524"/>
      <c r="Z491" s="460"/>
    </row>
    <row r="492" spans="1:26">
      <c r="U492" s="524"/>
      <c r="V492" s="460"/>
      <c r="W492" s="524"/>
      <c r="X492" s="460"/>
      <c r="Y492" s="524"/>
      <c r="Z492" s="460"/>
    </row>
    <row r="493" spans="1:26">
      <c r="U493" s="524"/>
      <c r="V493" s="460"/>
      <c r="W493" s="524"/>
      <c r="X493" s="460"/>
      <c r="Y493" s="524"/>
      <c r="Z493" s="460"/>
    </row>
    <row r="494" spans="1:26">
      <c r="U494" s="524"/>
      <c r="V494" s="460"/>
      <c r="W494" s="524"/>
      <c r="X494" s="460"/>
      <c r="Y494" s="524"/>
      <c r="Z494" s="460"/>
    </row>
    <row r="495" spans="1:26">
      <c r="U495" s="524"/>
      <c r="V495" s="460"/>
      <c r="W495" s="524"/>
      <c r="X495" s="460"/>
      <c r="Y495" s="524"/>
      <c r="Z495" s="460"/>
    </row>
    <row r="496" spans="1:26">
      <c r="U496" s="524"/>
      <c r="V496" s="460"/>
      <c r="W496" s="524"/>
      <c r="X496" s="460"/>
      <c r="Y496" s="524"/>
      <c r="Z496" s="460"/>
    </row>
    <row r="497" spans="1:26">
      <c r="U497" s="524"/>
      <c r="V497" s="460"/>
      <c r="W497" s="524"/>
      <c r="X497" s="460"/>
      <c r="Y497" s="524"/>
      <c r="Z497" s="460"/>
    </row>
    <row r="498" spans="1:26">
      <c r="U498" s="524"/>
      <c r="V498" s="460"/>
      <c r="W498" s="524"/>
      <c r="X498" s="460"/>
      <c r="Y498" s="524"/>
      <c r="Z498" s="460"/>
    </row>
    <row r="499" spans="1:26">
      <c r="U499" s="524"/>
      <c r="V499" s="460"/>
      <c r="W499" s="524"/>
      <c r="X499" s="460"/>
      <c r="Y499" s="524"/>
      <c r="Z499" s="460"/>
    </row>
    <row r="500" spans="1:26">
      <c r="A500" s="6"/>
      <c r="B500" s="6"/>
      <c r="C500" s="6"/>
      <c r="D500" s="6"/>
      <c r="E500" s="6"/>
      <c r="F500" s="6"/>
      <c r="G500" s="6"/>
      <c r="H500" s="6"/>
      <c r="I500" s="6"/>
      <c r="J500" s="6"/>
      <c r="K500" s="6"/>
      <c r="L500" s="6"/>
      <c r="M500" s="6"/>
      <c r="N500" s="6"/>
      <c r="O500" s="6"/>
      <c r="P500" s="6"/>
      <c r="Q500" s="6"/>
      <c r="R500" s="6"/>
      <c r="S500" s="6"/>
      <c r="T500" s="6"/>
      <c r="U500" s="524"/>
      <c r="V500" s="460"/>
      <c r="W500" s="524"/>
      <c r="X500" s="460"/>
      <c r="Y500" s="524"/>
      <c r="Z500" s="460"/>
    </row>
    <row r="501" spans="1:26" ht="13.5" thickBot="1">
      <c r="A501" s="6"/>
      <c r="B501" s="6"/>
      <c r="C501" s="6"/>
      <c r="D501" s="6"/>
      <c r="E501" s="6"/>
      <c r="F501" s="6"/>
      <c r="G501" s="6"/>
      <c r="H501" s="6"/>
      <c r="I501" s="6"/>
      <c r="J501" s="6"/>
      <c r="K501" s="6"/>
      <c r="L501" s="6"/>
      <c r="M501" s="6"/>
      <c r="N501" s="6"/>
      <c r="O501" s="6"/>
      <c r="P501" s="6"/>
      <c r="Q501" s="6"/>
      <c r="R501" s="6"/>
      <c r="S501" s="6"/>
      <c r="T501" s="6"/>
      <c r="U501" s="525"/>
      <c r="V501" s="526"/>
      <c r="W501" s="525"/>
      <c r="X501" s="526"/>
      <c r="Y501" s="525"/>
      <c r="Z501" s="526"/>
    </row>
  </sheetData>
  <sheetProtection sheet="1" objects="1" scenarios="1" formatCells="0" formatColumns="0" formatRows="0" insertColumns="0" insertRows="0" insertHyperlinks="0" deleteColumns="0" deleteRows="0" sort="0" autoFilter="0" pivotTables="0"/>
  <sortState ref="A15:X24">
    <sortCondition ref="E15:E24"/>
  </sortState>
  <dataConsolidate/>
  <mergeCells count="11">
    <mergeCell ref="O1:P1"/>
    <mergeCell ref="G1:H1"/>
    <mergeCell ref="E3:F3"/>
    <mergeCell ref="I1:J1"/>
    <mergeCell ref="K1:L1"/>
    <mergeCell ref="M1:N1"/>
    <mergeCell ref="U1:V1"/>
    <mergeCell ref="W1:X1"/>
    <mergeCell ref="Y1:Z1"/>
    <mergeCell ref="S1:T1"/>
    <mergeCell ref="Q1:R1"/>
  </mergeCells>
  <phoneticPr fontId="14" type="noConversion"/>
  <conditionalFormatting sqref="A1">
    <cfRule type="cellIs" dxfId="10299" priority="36" stopIfTrue="1" operator="equal">
      <formula>"NOK"</formula>
    </cfRule>
  </conditionalFormatting>
  <conditionalFormatting sqref="K8:K491 I8:I491 G8:G491 W8:W501 U8:U501 Y8:Y501 S8:S491 Q8:Q491 M8:M491 O8:O491">
    <cfRule type="cellIs" dxfId="10298" priority="35" stopIfTrue="1" operator="notEqual">
      <formula>H8</formula>
    </cfRule>
  </conditionalFormatting>
  <conditionalFormatting sqref="G15 G18">
    <cfRule type="cellIs" dxfId="10297" priority="26" stopIfTrue="1" operator="notEqual">
      <formula>H15</formula>
    </cfRule>
  </conditionalFormatting>
  <conditionalFormatting sqref="I15 I18">
    <cfRule type="cellIs" dxfId="10296" priority="25" stopIfTrue="1" operator="notEqual">
      <formula>J15</formula>
    </cfRule>
  </conditionalFormatting>
  <conditionalFormatting sqref="K15 K18">
    <cfRule type="cellIs" dxfId="10295" priority="24" stopIfTrue="1" operator="notEqual">
      <formula>L15</formula>
    </cfRule>
  </conditionalFormatting>
  <conditionalFormatting sqref="M15 M18">
    <cfRule type="cellIs" dxfId="10294" priority="23" stopIfTrue="1" operator="notEqual">
      <formula>N15</formula>
    </cfRule>
  </conditionalFormatting>
  <conditionalFormatting sqref="O15 O18">
    <cfRule type="cellIs" dxfId="10293" priority="22" stopIfTrue="1" operator="notEqual">
      <formula>P15</formula>
    </cfRule>
  </conditionalFormatting>
  <conditionalFormatting sqref="Q15 Q18">
    <cfRule type="cellIs" dxfId="10292" priority="21" stopIfTrue="1" operator="notEqual">
      <formula>R15</formula>
    </cfRule>
  </conditionalFormatting>
  <conditionalFormatting sqref="S15 S18">
    <cfRule type="cellIs" dxfId="10291" priority="20" stopIfTrue="1" operator="notEqual">
      <formula>T15</formula>
    </cfRule>
  </conditionalFormatting>
  <conditionalFormatting sqref="G15 G18">
    <cfRule type="cellIs" dxfId="10290" priority="18" stopIfTrue="1" operator="notEqual">
      <formula>H15</formula>
    </cfRule>
  </conditionalFormatting>
  <conditionalFormatting sqref="I15 I18">
    <cfRule type="cellIs" dxfId="10289" priority="17" stopIfTrue="1" operator="notEqual">
      <formula>J15</formula>
    </cfRule>
  </conditionalFormatting>
  <conditionalFormatting sqref="K15 K18">
    <cfRule type="cellIs" dxfId="10288" priority="16" stopIfTrue="1" operator="notEqual">
      <formula>L15</formula>
    </cfRule>
  </conditionalFormatting>
  <conditionalFormatting sqref="M15 M18">
    <cfRule type="cellIs" dxfId="10287" priority="15" stopIfTrue="1" operator="notEqual">
      <formula>N15</formula>
    </cfRule>
  </conditionalFormatting>
  <conditionalFormatting sqref="O15 O18">
    <cfRule type="cellIs" dxfId="10286" priority="14" stopIfTrue="1" operator="notEqual">
      <formula>P15</formula>
    </cfRule>
  </conditionalFormatting>
  <conditionalFormatting sqref="Q15 Q18">
    <cfRule type="cellIs" dxfId="10285" priority="13" stopIfTrue="1" operator="notEqual">
      <formula>R15</formula>
    </cfRule>
  </conditionalFormatting>
  <conditionalFormatting sqref="S15 S18">
    <cfRule type="cellIs" dxfId="10284" priority="12" stopIfTrue="1" operator="notEqual">
      <formula>T15</formula>
    </cfRule>
  </conditionalFormatting>
  <conditionalFormatting sqref="K5:K7 I5:I7 G5:G7 W5:W7 U5:U7 Y5:Y7 S5:S7 Q5:Q7 M5:M7 O5:O7">
    <cfRule type="cellIs" dxfId="10283" priority="1" stopIfTrue="1" operator="notEqual">
      <formula>H5</formula>
    </cfRule>
  </conditionalFormatting>
  <dataValidations count="1">
    <dataValidation type="list" allowBlank="1" showInputMessage="1" showErrorMessage="1" sqref="U1 Y1 W1">
      <formula1>PumpVariablesList</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sheetPr codeName="Sheet70">
    <tabColor rgb="FF92D050"/>
  </sheetPr>
  <dimension ref="A1:AA499"/>
  <sheetViews>
    <sheetView showGridLines="0" zoomScale="85" zoomScaleNormal="85" workbookViewId="0">
      <pane xSplit="6" ySplit="4" topLeftCell="U5" activePane="bottomRight" state="frozenSplit"/>
      <selection activeCell="I6" sqref="I6"/>
      <selection pane="topRight" activeCell="I6" sqref="I6"/>
      <selection pane="bottomLeft" activeCell="I6" sqref="I6"/>
      <selection pane="bottomRight" activeCell="X5" sqref="X5"/>
    </sheetView>
  </sheetViews>
  <sheetFormatPr defaultRowHeight="12.75"/>
  <cols>
    <col min="1" max="1" width="24.625" style="527" customWidth="1"/>
    <col min="2" max="2" width="7.125" style="527" customWidth="1"/>
    <col min="3" max="3" width="9" style="29"/>
    <col min="4" max="4" width="16" style="527" customWidth="1"/>
    <col min="5" max="5" width="16.625" style="527" customWidth="1"/>
    <col min="6" max="6" width="20.625" style="528" customWidth="1"/>
    <col min="7" max="7" width="9.75" style="560" customWidth="1"/>
    <col min="8" max="8" width="9.75" style="561" customWidth="1"/>
    <col min="9" max="9" width="9.75" style="560" customWidth="1"/>
    <col min="10" max="10" width="9.75" style="561" customWidth="1"/>
    <col min="11" max="11" width="9.75" style="560" customWidth="1"/>
    <col min="12" max="12" width="9.75" style="561" customWidth="1"/>
    <col min="13" max="13" width="9.75" style="560" customWidth="1"/>
    <col min="14" max="14" width="9.75" style="561" customWidth="1"/>
    <col min="15" max="15" width="9.75" style="560" customWidth="1"/>
    <col min="16" max="16" width="9.75" style="561" customWidth="1"/>
    <col min="17" max="17" width="9.75" style="560" customWidth="1"/>
    <col min="18" max="18" width="9.75" style="561" customWidth="1"/>
    <col min="19" max="19" width="9.75" style="560" customWidth="1"/>
    <col min="20" max="20" width="9.75" style="561" customWidth="1"/>
    <col min="21" max="21" width="9.75" style="573" customWidth="1"/>
    <col min="22" max="22" width="9.75" style="574" customWidth="1"/>
    <col min="23" max="23" width="1.25" style="514" customWidth="1"/>
    <col min="24" max="27" width="12.625" style="514" customWidth="1"/>
    <col min="28" max="270" width="9" style="514"/>
    <col min="271" max="271" width="12" style="514" customWidth="1"/>
    <col min="272" max="272" width="7.125" style="514" customWidth="1"/>
    <col min="273" max="273" width="9" style="514"/>
    <col min="274" max="274" width="16" style="514" customWidth="1"/>
    <col min="275" max="275" width="13.75" style="514" customWidth="1"/>
    <col min="276" max="277" width="9.75" style="514" customWidth="1"/>
    <col min="278" max="526" width="9" style="514"/>
    <col min="527" max="527" width="12" style="514" customWidth="1"/>
    <col min="528" max="528" width="7.125" style="514" customWidth="1"/>
    <col min="529" max="529" width="9" style="514"/>
    <col min="530" max="530" width="16" style="514" customWidth="1"/>
    <col min="531" max="531" width="13.75" style="514" customWidth="1"/>
    <col min="532" max="533" width="9.75" style="514" customWidth="1"/>
    <col min="534" max="782" width="9" style="514"/>
    <col min="783" max="783" width="12" style="514" customWidth="1"/>
    <col min="784" max="784" width="7.125" style="514" customWidth="1"/>
    <col min="785" max="785" width="9" style="514"/>
    <col min="786" max="786" width="16" style="514" customWidth="1"/>
    <col min="787" max="787" width="13.75" style="514" customWidth="1"/>
    <col min="788" max="789" width="9.75" style="514" customWidth="1"/>
    <col min="790" max="1038" width="9" style="514"/>
    <col min="1039" max="1039" width="12" style="514" customWidth="1"/>
    <col min="1040" max="1040" width="7.125" style="514" customWidth="1"/>
    <col min="1041" max="1041" width="9" style="514"/>
    <col min="1042" max="1042" width="16" style="514" customWidth="1"/>
    <col min="1043" max="1043" width="13.75" style="514" customWidth="1"/>
    <col min="1044" max="1045" width="9.75" style="514" customWidth="1"/>
    <col min="1046" max="1294" width="9" style="514"/>
    <col min="1295" max="1295" width="12" style="514" customWidth="1"/>
    <col min="1296" max="1296" width="7.125" style="514" customWidth="1"/>
    <col min="1297" max="1297" width="9" style="514"/>
    <col min="1298" max="1298" width="16" style="514" customWidth="1"/>
    <col min="1299" max="1299" width="13.75" style="514" customWidth="1"/>
    <col min="1300" max="1301" width="9.75" style="514" customWidth="1"/>
    <col min="1302" max="1550" width="9" style="514"/>
    <col min="1551" max="1551" width="12" style="514" customWidth="1"/>
    <col min="1552" max="1552" width="7.125" style="514" customWidth="1"/>
    <col min="1553" max="1553" width="9" style="514"/>
    <col min="1554" max="1554" width="16" style="514" customWidth="1"/>
    <col min="1555" max="1555" width="13.75" style="514" customWidth="1"/>
    <col min="1556" max="1557" width="9.75" style="514" customWidth="1"/>
    <col min="1558" max="1806" width="9" style="514"/>
    <col min="1807" max="1807" width="12" style="514" customWidth="1"/>
    <col min="1808" max="1808" width="7.125" style="514" customWidth="1"/>
    <col min="1809" max="1809" width="9" style="514"/>
    <col min="1810" max="1810" width="16" style="514" customWidth="1"/>
    <col min="1811" max="1811" width="13.75" style="514" customWidth="1"/>
    <col min="1812" max="1813" width="9.75" style="514" customWidth="1"/>
    <col min="1814" max="2062" width="9" style="514"/>
    <col min="2063" max="2063" width="12" style="514" customWidth="1"/>
    <col min="2064" max="2064" width="7.125" style="514" customWidth="1"/>
    <col min="2065" max="2065" width="9" style="514"/>
    <col min="2066" max="2066" width="16" style="514" customWidth="1"/>
    <col min="2067" max="2067" width="13.75" style="514" customWidth="1"/>
    <col min="2068" max="2069" width="9.75" style="514" customWidth="1"/>
    <col min="2070" max="2318" width="9" style="514"/>
    <col min="2319" max="2319" width="12" style="514" customWidth="1"/>
    <col min="2320" max="2320" width="7.125" style="514" customWidth="1"/>
    <col min="2321" max="2321" width="9" style="514"/>
    <col min="2322" max="2322" width="16" style="514" customWidth="1"/>
    <col min="2323" max="2323" width="13.75" style="514" customWidth="1"/>
    <col min="2324" max="2325" width="9.75" style="514" customWidth="1"/>
    <col min="2326" max="2574" width="9" style="514"/>
    <col min="2575" max="2575" width="12" style="514" customWidth="1"/>
    <col min="2576" max="2576" width="7.125" style="514" customWidth="1"/>
    <col min="2577" max="2577" width="9" style="514"/>
    <col min="2578" max="2578" width="16" style="514" customWidth="1"/>
    <col min="2579" max="2579" width="13.75" style="514" customWidth="1"/>
    <col min="2580" max="2581" width="9.75" style="514" customWidth="1"/>
    <col min="2582" max="2830" width="9" style="514"/>
    <col min="2831" max="2831" width="12" style="514" customWidth="1"/>
    <col min="2832" max="2832" width="7.125" style="514" customWidth="1"/>
    <col min="2833" max="2833" width="9" style="514"/>
    <col min="2834" max="2834" width="16" style="514" customWidth="1"/>
    <col min="2835" max="2835" width="13.75" style="514" customWidth="1"/>
    <col min="2836" max="2837" width="9.75" style="514" customWidth="1"/>
    <col min="2838" max="3086" width="9" style="514"/>
    <col min="3087" max="3087" width="12" style="514" customWidth="1"/>
    <col min="3088" max="3088" width="7.125" style="514" customWidth="1"/>
    <col min="3089" max="3089" width="9" style="514"/>
    <col min="3090" max="3090" width="16" style="514" customWidth="1"/>
    <col min="3091" max="3091" width="13.75" style="514" customWidth="1"/>
    <col min="3092" max="3093" width="9.75" style="514" customWidth="1"/>
    <col min="3094" max="3342" width="9" style="514"/>
    <col min="3343" max="3343" width="12" style="514" customWidth="1"/>
    <col min="3344" max="3344" width="7.125" style="514" customWidth="1"/>
    <col min="3345" max="3345" width="9" style="514"/>
    <col min="3346" max="3346" width="16" style="514" customWidth="1"/>
    <col min="3347" max="3347" width="13.75" style="514" customWidth="1"/>
    <col min="3348" max="3349" width="9.75" style="514" customWidth="1"/>
    <col min="3350" max="3598" width="9" style="514"/>
    <col min="3599" max="3599" width="12" style="514" customWidth="1"/>
    <col min="3600" max="3600" width="7.125" style="514" customWidth="1"/>
    <col min="3601" max="3601" width="9" style="514"/>
    <col min="3602" max="3602" width="16" style="514" customWidth="1"/>
    <col min="3603" max="3603" width="13.75" style="514" customWidth="1"/>
    <col min="3604" max="3605" width="9.75" style="514" customWidth="1"/>
    <col min="3606" max="3854" width="9" style="514"/>
    <col min="3855" max="3855" width="12" style="514" customWidth="1"/>
    <col min="3856" max="3856" width="7.125" style="514" customWidth="1"/>
    <col min="3857" max="3857" width="9" style="514"/>
    <col min="3858" max="3858" width="16" style="514" customWidth="1"/>
    <col min="3859" max="3859" width="13.75" style="514" customWidth="1"/>
    <col min="3860" max="3861" width="9.75" style="514" customWidth="1"/>
    <col min="3862" max="4110" width="9" style="514"/>
    <col min="4111" max="4111" width="12" style="514" customWidth="1"/>
    <col min="4112" max="4112" width="7.125" style="514" customWidth="1"/>
    <col min="4113" max="4113" width="9" style="514"/>
    <col min="4114" max="4114" width="16" style="514" customWidth="1"/>
    <col min="4115" max="4115" width="13.75" style="514" customWidth="1"/>
    <col min="4116" max="4117" width="9.75" style="514" customWidth="1"/>
    <col min="4118" max="4366" width="9" style="514"/>
    <col min="4367" max="4367" width="12" style="514" customWidth="1"/>
    <col min="4368" max="4368" width="7.125" style="514" customWidth="1"/>
    <col min="4369" max="4369" width="9" style="514"/>
    <col min="4370" max="4370" width="16" style="514" customWidth="1"/>
    <col min="4371" max="4371" width="13.75" style="514" customWidth="1"/>
    <col min="4372" max="4373" width="9.75" style="514" customWidth="1"/>
    <col min="4374" max="4622" width="9" style="514"/>
    <col min="4623" max="4623" width="12" style="514" customWidth="1"/>
    <col min="4624" max="4624" width="7.125" style="514" customWidth="1"/>
    <col min="4625" max="4625" width="9" style="514"/>
    <col min="4626" max="4626" width="16" style="514" customWidth="1"/>
    <col min="4627" max="4627" width="13.75" style="514" customWidth="1"/>
    <col min="4628" max="4629" width="9.75" style="514" customWidth="1"/>
    <col min="4630" max="4878" width="9" style="514"/>
    <col min="4879" max="4879" width="12" style="514" customWidth="1"/>
    <col min="4880" max="4880" width="7.125" style="514" customWidth="1"/>
    <col min="4881" max="4881" width="9" style="514"/>
    <col min="4882" max="4882" width="16" style="514" customWidth="1"/>
    <col min="4883" max="4883" width="13.75" style="514" customWidth="1"/>
    <col min="4884" max="4885" width="9.75" style="514" customWidth="1"/>
    <col min="4886" max="5134" width="9" style="514"/>
    <col min="5135" max="5135" width="12" style="514" customWidth="1"/>
    <col min="5136" max="5136" width="7.125" style="514" customWidth="1"/>
    <col min="5137" max="5137" width="9" style="514"/>
    <col min="5138" max="5138" width="16" style="514" customWidth="1"/>
    <col min="5139" max="5139" width="13.75" style="514" customWidth="1"/>
    <col min="5140" max="5141" width="9.75" style="514" customWidth="1"/>
    <col min="5142" max="5390" width="9" style="514"/>
    <col min="5391" max="5391" width="12" style="514" customWidth="1"/>
    <col min="5392" max="5392" width="7.125" style="514" customWidth="1"/>
    <col min="5393" max="5393" width="9" style="514"/>
    <col min="5394" max="5394" width="16" style="514" customWidth="1"/>
    <col min="5395" max="5395" width="13.75" style="514" customWidth="1"/>
    <col min="5396" max="5397" width="9.75" style="514" customWidth="1"/>
    <col min="5398" max="5646" width="9" style="514"/>
    <col min="5647" max="5647" width="12" style="514" customWidth="1"/>
    <col min="5648" max="5648" width="7.125" style="514" customWidth="1"/>
    <col min="5649" max="5649" width="9" style="514"/>
    <col min="5650" max="5650" width="16" style="514" customWidth="1"/>
    <col min="5651" max="5651" width="13.75" style="514" customWidth="1"/>
    <col min="5652" max="5653" width="9.75" style="514" customWidth="1"/>
    <col min="5654" max="5902" width="9" style="514"/>
    <col min="5903" max="5903" width="12" style="514" customWidth="1"/>
    <col min="5904" max="5904" width="7.125" style="514" customWidth="1"/>
    <col min="5905" max="5905" width="9" style="514"/>
    <col min="5906" max="5906" width="16" style="514" customWidth="1"/>
    <col min="5907" max="5907" width="13.75" style="514" customWidth="1"/>
    <col min="5908" max="5909" width="9.75" style="514" customWidth="1"/>
    <col min="5910" max="6158" width="9" style="514"/>
    <col min="6159" max="6159" width="12" style="514" customWidth="1"/>
    <col min="6160" max="6160" width="7.125" style="514" customWidth="1"/>
    <col min="6161" max="6161" width="9" style="514"/>
    <col min="6162" max="6162" width="16" style="514" customWidth="1"/>
    <col min="6163" max="6163" width="13.75" style="514" customWidth="1"/>
    <col min="6164" max="6165" width="9.75" style="514" customWidth="1"/>
    <col min="6166" max="6414" width="9" style="514"/>
    <col min="6415" max="6415" width="12" style="514" customWidth="1"/>
    <col min="6416" max="6416" width="7.125" style="514" customWidth="1"/>
    <col min="6417" max="6417" width="9" style="514"/>
    <col min="6418" max="6418" width="16" style="514" customWidth="1"/>
    <col min="6419" max="6419" width="13.75" style="514" customWidth="1"/>
    <col min="6420" max="6421" width="9.75" style="514" customWidth="1"/>
    <col min="6422" max="6670" width="9" style="514"/>
    <col min="6671" max="6671" width="12" style="514" customWidth="1"/>
    <col min="6672" max="6672" width="7.125" style="514" customWidth="1"/>
    <col min="6673" max="6673" width="9" style="514"/>
    <col min="6674" max="6674" width="16" style="514" customWidth="1"/>
    <col min="6675" max="6675" width="13.75" style="514" customWidth="1"/>
    <col min="6676" max="6677" width="9.75" style="514" customWidth="1"/>
    <col min="6678" max="6926" width="9" style="514"/>
    <col min="6927" max="6927" width="12" style="514" customWidth="1"/>
    <col min="6928" max="6928" width="7.125" style="514" customWidth="1"/>
    <col min="6929" max="6929" width="9" style="514"/>
    <col min="6930" max="6930" width="16" style="514" customWidth="1"/>
    <col min="6931" max="6931" width="13.75" style="514" customWidth="1"/>
    <col min="6932" max="6933" width="9.75" style="514" customWidth="1"/>
    <col min="6934" max="7182" width="9" style="514"/>
    <col min="7183" max="7183" width="12" style="514" customWidth="1"/>
    <col min="7184" max="7184" width="7.125" style="514" customWidth="1"/>
    <col min="7185" max="7185" width="9" style="514"/>
    <col min="7186" max="7186" width="16" style="514" customWidth="1"/>
    <col min="7187" max="7187" width="13.75" style="514" customWidth="1"/>
    <col min="7188" max="7189" width="9.75" style="514" customWidth="1"/>
    <col min="7190" max="7438" width="9" style="514"/>
    <col min="7439" max="7439" width="12" style="514" customWidth="1"/>
    <col min="7440" max="7440" width="7.125" style="514" customWidth="1"/>
    <col min="7441" max="7441" width="9" style="514"/>
    <col min="7442" max="7442" width="16" style="514" customWidth="1"/>
    <col min="7443" max="7443" width="13.75" style="514" customWidth="1"/>
    <col min="7444" max="7445" width="9.75" style="514" customWidth="1"/>
    <col min="7446" max="7694" width="9" style="514"/>
    <col min="7695" max="7695" width="12" style="514" customWidth="1"/>
    <col min="7696" max="7696" width="7.125" style="514" customWidth="1"/>
    <col min="7697" max="7697" width="9" style="514"/>
    <col min="7698" max="7698" width="16" style="514" customWidth="1"/>
    <col min="7699" max="7699" width="13.75" style="514" customWidth="1"/>
    <col min="7700" max="7701" width="9.75" style="514" customWidth="1"/>
    <col min="7702" max="7950" width="9" style="514"/>
    <col min="7951" max="7951" width="12" style="514" customWidth="1"/>
    <col min="7952" max="7952" width="7.125" style="514" customWidth="1"/>
    <col min="7953" max="7953" width="9" style="514"/>
    <col min="7954" max="7954" width="16" style="514" customWidth="1"/>
    <col min="7955" max="7955" width="13.75" style="514" customWidth="1"/>
    <col min="7956" max="7957" width="9.75" style="514" customWidth="1"/>
    <col min="7958" max="8206" width="9" style="514"/>
    <col min="8207" max="8207" width="12" style="514" customWidth="1"/>
    <col min="8208" max="8208" width="7.125" style="514" customWidth="1"/>
    <col min="8209" max="8209" width="9" style="514"/>
    <col min="8210" max="8210" width="16" style="514" customWidth="1"/>
    <col min="8211" max="8211" width="13.75" style="514" customWidth="1"/>
    <col min="8212" max="8213" width="9.75" style="514" customWidth="1"/>
    <col min="8214" max="8462" width="9" style="514"/>
    <col min="8463" max="8463" width="12" style="514" customWidth="1"/>
    <col min="8464" max="8464" width="7.125" style="514" customWidth="1"/>
    <col min="8465" max="8465" width="9" style="514"/>
    <col min="8466" max="8466" width="16" style="514" customWidth="1"/>
    <col min="8467" max="8467" width="13.75" style="514" customWidth="1"/>
    <col min="8468" max="8469" width="9.75" style="514" customWidth="1"/>
    <col min="8470" max="8718" width="9" style="514"/>
    <col min="8719" max="8719" width="12" style="514" customWidth="1"/>
    <col min="8720" max="8720" width="7.125" style="514" customWidth="1"/>
    <col min="8721" max="8721" width="9" style="514"/>
    <col min="8722" max="8722" width="16" style="514" customWidth="1"/>
    <col min="8723" max="8723" width="13.75" style="514" customWidth="1"/>
    <col min="8724" max="8725" width="9.75" style="514" customWidth="1"/>
    <col min="8726" max="8974" width="9" style="514"/>
    <col min="8975" max="8975" width="12" style="514" customWidth="1"/>
    <col min="8976" max="8976" width="7.125" style="514" customWidth="1"/>
    <col min="8977" max="8977" width="9" style="514"/>
    <col min="8978" max="8978" width="16" style="514" customWidth="1"/>
    <col min="8979" max="8979" width="13.75" style="514" customWidth="1"/>
    <col min="8980" max="8981" width="9.75" style="514" customWidth="1"/>
    <col min="8982" max="9230" width="9" style="514"/>
    <col min="9231" max="9231" width="12" style="514" customWidth="1"/>
    <col min="9232" max="9232" width="7.125" style="514" customWidth="1"/>
    <col min="9233" max="9233" width="9" style="514"/>
    <col min="9234" max="9234" width="16" style="514" customWidth="1"/>
    <col min="9235" max="9235" width="13.75" style="514" customWidth="1"/>
    <col min="9236" max="9237" width="9.75" style="514" customWidth="1"/>
    <col min="9238" max="9486" width="9" style="514"/>
    <col min="9487" max="9487" width="12" style="514" customWidth="1"/>
    <col min="9488" max="9488" width="7.125" style="514" customWidth="1"/>
    <col min="9489" max="9489" width="9" style="514"/>
    <col min="9490" max="9490" width="16" style="514" customWidth="1"/>
    <col min="9491" max="9491" width="13.75" style="514" customWidth="1"/>
    <col min="9492" max="9493" width="9.75" style="514" customWidth="1"/>
    <col min="9494" max="9742" width="9" style="514"/>
    <col min="9743" max="9743" width="12" style="514" customWidth="1"/>
    <col min="9744" max="9744" width="7.125" style="514" customWidth="1"/>
    <col min="9745" max="9745" width="9" style="514"/>
    <col min="9746" max="9746" width="16" style="514" customWidth="1"/>
    <col min="9747" max="9747" width="13.75" style="514" customWidth="1"/>
    <col min="9748" max="9749" width="9.75" style="514" customWidth="1"/>
    <col min="9750" max="9998" width="9" style="514"/>
    <col min="9999" max="9999" width="12" style="514" customWidth="1"/>
    <col min="10000" max="10000" width="7.125" style="514" customWidth="1"/>
    <col min="10001" max="10001" width="9" style="514"/>
    <col min="10002" max="10002" width="16" style="514" customWidth="1"/>
    <col min="10003" max="10003" width="13.75" style="514" customWidth="1"/>
    <col min="10004" max="10005" width="9.75" style="514" customWidth="1"/>
    <col min="10006" max="10254" width="9" style="514"/>
    <col min="10255" max="10255" width="12" style="514" customWidth="1"/>
    <col min="10256" max="10256" width="7.125" style="514" customWidth="1"/>
    <col min="10257" max="10257" width="9" style="514"/>
    <col min="10258" max="10258" width="16" style="514" customWidth="1"/>
    <col min="10259" max="10259" width="13.75" style="514" customWidth="1"/>
    <col min="10260" max="10261" width="9.75" style="514" customWidth="1"/>
    <col min="10262" max="10510" width="9" style="514"/>
    <col min="10511" max="10511" width="12" style="514" customWidth="1"/>
    <col min="10512" max="10512" width="7.125" style="514" customWidth="1"/>
    <col min="10513" max="10513" width="9" style="514"/>
    <col min="10514" max="10514" width="16" style="514" customWidth="1"/>
    <col min="10515" max="10515" width="13.75" style="514" customWidth="1"/>
    <col min="10516" max="10517" width="9.75" style="514" customWidth="1"/>
    <col min="10518" max="10766" width="9" style="514"/>
    <col min="10767" max="10767" width="12" style="514" customWidth="1"/>
    <col min="10768" max="10768" width="7.125" style="514" customWidth="1"/>
    <col min="10769" max="10769" width="9" style="514"/>
    <col min="10770" max="10770" width="16" style="514" customWidth="1"/>
    <col min="10771" max="10771" width="13.75" style="514" customWidth="1"/>
    <col min="10772" max="10773" width="9.75" style="514" customWidth="1"/>
    <col min="10774" max="11022" width="9" style="514"/>
    <col min="11023" max="11023" width="12" style="514" customWidth="1"/>
    <col min="11024" max="11024" width="7.125" style="514" customWidth="1"/>
    <col min="11025" max="11025" width="9" style="514"/>
    <col min="11026" max="11026" width="16" style="514" customWidth="1"/>
    <col min="11027" max="11027" width="13.75" style="514" customWidth="1"/>
    <col min="11028" max="11029" width="9.75" style="514" customWidth="1"/>
    <col min="11030" max="11278" width="9" style="514"/>
    <col min="11279" max="11279" width="12" style="514" customWidth="1"/>
    <col min="11280" max="11280" width="7.125" style="514" customWidth="1"/>
    <col min="11281" max="11281" width="9" style="514"/>
    <col min="11282" max="11282" width="16" style="514" customWidth="1"/>
    <col min="11283" max="11283" width="13.75" style="514" customWidth="1"/>
    <col min="11284" max="11285" width="9.75" style="514" customWidth="1"/>
    <col min="11286" max="11534" width="9" style="514"/>
    <col min="11535" max="11535" width="12" style="514" customWidth="1"/>
    <col min="11536" max="11536" width="7.125" style="514" customWidth="1"/>
    <col min="11537" max="11537" width="9" style="514"/>
    <col min="11538" max="11538" width="16" style="514" customWidth="1"/>
    <col min="11539" max="11539" width="13.75" style="514" customWidth="1"/>
    <col min="11540" max="11541" width="9.75" style="514" customWidth="1"/>
    <col min="11542" max="11790" width="9" style="514"/>
    <col min="11791" max="11791" width="12" style="514" customWidth="1"/>
    <col min="11792" max="11792" width="7.125" style="514" customWidth="1"/>
    <col min="11793" max="11793" width="9" style="514"/>
    <col min="11794" max="11794" width="16" style="514" customWidth="1"/>
    <col min="11795" max="11795" width="13.75" style="514" customWidth="1"/>
    <col min="11796" max="11797" width="9.75" style="514" customWidth="1"/>
    <col min="11798" max="12046" width="9" style="514"/>
    <col min="12047" max="12047" width="12" style="514" customWidth="1"/>
    <col min="12048" max="12048" width="7.125" style="514" customWidth="1"/>
    <col min="12049" max="12049" width="9" style="514"/>
    <col min="12050" max="12050" width="16" style="514" customWidth="1"/>
    <col min="12051" max="12051" width="13.75" style="514" customWidth="1"/>
    <col min="12052" max="12053" width="9.75" style="514" customWidth="1"/>
    <col min="12054" max="12302" width="9" style="514"/>
    <col min="12303" max="12303" width="12" style="514" customWidth="1"/>
    <col min="12304" max="12304" width="7.125" style="514" customWidth="1"/>
    <col min="12305" max="12305" width="9" style="514"/>
    <col min="12306" max="12306" width="16" style="514" customWidth="1"/>
    <col min="12307" max="12307" width="13.75" style="514" customWidth="1"/>
    <col min="12308" max="12309" width="9.75" style="514" customWidth="1"/>
    <col min="12310" max="12558" width="9" style="514"/>
    <col min="12559" max="12559" width="12" style="514" customWidth="1"/>
    <col min="12560" max="12560" width="7.125" style="514" customWidth="1"/>
    <col min="12561" max="12561" width="9" style="514"/>
    <col min="12562" max="12562" width="16" style="514" customWidth="1"/>
    <col min="12563" max="12563" width="13.75" style="514" customWidth="1"/>
    <col min="12564" max="12565" width="9.75" style="514" customWidth="1"/>
    <col min="12566" max="12814" width="9" style="514"/>
    <col min="12815" max="12815" width="12" style="514" customWidth="1"/>
    <col min="12816" max="12816" width="7.125" style="514" customWidth="1"/>
    <col min="12817" max="12817" width="9" style="514"/>
    <col min="12818" max="12818" width="16" style="514" customWidth="1"/>
    <col min="12819" max="12819" width="13.75" style="514" customWidth="1"/>
    <col min="12820" max="12821" width="9.75" style="514" customWidth="1"/>
    <col min="12822" max="13070" width="9" style="514"/>
    <col min="13071" max="13071" width="12" style="514" customWidth="1"/>
    <col min="13072" max="13072" width="7.125" style="514" customWidth="1"/>
    <col min="13073" max="13073" width="9" style="514"/>
    <col min="13074" max="13074" width="16" style="514" customWidth="1"/>
    <col min="13075" max="13075" width="13.75" style="514" customWidth="1"/>
    <col min="13076" max="13077" width="9.75" style="514" customWidth="1"/>
    <col min="13078" max="13326" width="9" style="514"/>
    <col min="13327" max="13327" width="12" style="514" customWidth="1"/>
    <col min="13328" max="13328" width="7.125" style="514" customWidth="1"/>
    <col min="13329" max="13329" width="9" style="514"/>
    <col min="13330" max="13330" width="16" style="514" customWidth="1"/>
    <col min="13331" max="13331" width="13.75" style="514" customWidth="1"/>
    <col min="13332" max="13333" width="9.75" style="514" customWidth="1"/>
    <col min="13334" max="13582" width="9" style="514"/>
    <col min="13583" max="13583" width="12" style="514" customWidth="1"/>
    <col min="13584" max="13584" width="7.125" style="514" customWidth="1"/>
    <col min="13585" max="13585" width="9" style="514"/>
    <col min="13586" max="13586" width="16" style="514" customWidth="1"/>
    <col min="13587" max="13587" width="13.75" style="514" customWidth="1"/>
    <col min="13588" max="13589" width="9.75" style="514" customWidth="1"/>
    <col min="13590" max="13838" width="9" style="514"/>
    <col min="13839" max="13839" width="12" style="514" customWidth="1"/>
    <col min="13840" max="13840" width="7.125" style="514" customWidth="1"/>
    <col min="13841" max="13841" width="9" style="514"/>
    <col min="13842" max="13842" width="16" style="514" customWidth="1"/>
    <col min="13843" max="13843" width="13.75" style="514" customWidth="1"/>
    <col min="13844" max="13845" width="9.75" style="514" customWidth="1"/>
    <col min="13846" max="14094" width="9" style="514"/>
    <col min="14095" max="14095" width="12" style="514" customWidth="1"/>
    <col min="14096" max="14096" width="7.125" style="514" customWidth="1"/>
    <col min="14097" max="14097" width="9" style="514"/>
    <col min="14098" max="14098" width="16" style="514" customWidth="1"/>
    <col min="14099" max="14099" width="13.75" style="514" customWidth="1"/>
    <col min="14100" max="14101" width="9.75" style="514" customWidth="1"/>
    <col min="14102" max="14350" width="9" style="514"/>
    <col min="14351" max="14351" width="12" style="514" customWidth="1"/>
    <col min="14352" max="14352" width="7.125" style="514" customWidth="1"/>
    <col min="14353" max="14353" width="9" style="514"/>
    <col min="14354" max="14354" width="16" style="514" customWidth="1"/>
    <col min="14355" max="14355" width="13.75" style="514" customWidth="1"/>
    <col min="14356" max="14357" width="9.75" style="514" customWidth="1"/>
    <col min="14358" max="14606" width="9" style="514"/>
    <col min="14607" max="14607" width="12" style="514" customWidth="1"/>
    <col min="14608" max="14608" width="7.125" style="514" customWidth="1"/>
    <col min="14609" max="14609" width="9" style="514"/>
    <col min="14610" max="14610" width="16" style="514" customWidth="1"/>
    <col min="14611" max="14611" width="13.75" style="514" customWidth="1"/>
    <col min="14612" max="14613" width="9.75" style="514" customWidth="1"/>
    <col min="14614" max="14862" width="9" style="514"/>
    <col min="14863" max="14863" width="12" style="514" customWidth="1"/>
    <col min="14864" max="14864" width="7.125" style="514" customWidth="1"/>
    <col min="14865" max="14865" width="9" style="514"/>
    <col min="14866" max="14866" width="16" style="514" customWidth="1"/>
    <col min="14867" max="14867" width="13.75" style="514" customWidth="1"/>
    <col min="14868" max="14869" width="9.75" style="514" customWidth="1"/>
    <col min="14870" max="15118" width="9" style="514"/>
    <col min="15119" max="15119" width="12" style="514" customWidth="1"/>
    <col min="15120" max="15120" width="7.125" style="514" customWidth="1"/>
    <col min="15121" max="15121" width="9" style="514"/>
    <col min="15122" max="15122" width="16" style="514" customWidth="1"/>
    <col min="15123" max="15123" width="13.75" style="514" customWidth="1"/>
    <col min="15124" max="15125" width="9.75" style="514" customWidth="1"/>
    <col min="15126" max="15374" width="9" style="514"/>
    <col min="15375" max="15375" width="12" style="514" customWidth="1"/>
    <col min="15376" max="15376" width="7.125" style="514" customWidth="1"/>
    <col min="15377" max="15377" width="9" style="514"/>
    <col min="15378" max="15378" width="16" style="514" customWidth="1"/>
    <col min="15379" max="15379" width="13.75" style="514" customWidth="1"/>
    <col min="15380" max="15381" width="9.75" style="514" customWidth="1"/>
    <col min="15382" max="15630" width="9" style="514"/>
    <col min="15631" max="15631" width="12" style="514" customWidth="1"/>
    <col min="15632" max="15632" width="7.125" style="514" customWidth="1"/>
    <col min="15633" max="15633" width="9" style="514"/>
    <col min="15634" max="15634" width="16" style="514" customWidth="1"/>
    <col min="15635" max="15635" width="13.75" style="514" customWidth="1"/>
    <col min="15636" max="15637" width="9.75" style="514" customWidth="1"/>
    <col min="15638" max="15886" width="9" style="514"/>
    <col min="15887" max="15887" width="12" style="514" customWidth="1"/>
    <col min="15888" max="15888" width="7.125" style="514" customWidth="1"/>
    <col min="15889" max="15889" width="9" style="514"/>
    <col min="15890" max="15890" width="16" style="514" customWidth="1"/>
    <col min="15891" max="15891" width="13.75" style="514" customWidth="1"/>
    <col min="15892" max="15893" width="9.75" style="514" customWidth="1"/>
    <col min="15894" max="16142" width="9" style="514"/>
    <col min="16143" max="16143" width="12" style="514" customWidth="1"/>
    <col min="16144" max="16144" width="7.125" style="514" customWidth="1"/>
    <col min="16145" max="16145" width="9" style="514"/>
    <col min="16146" max="16146" width="16" style="514" customWidth="1"/>
    <col min="16147" max="16147" width="13.75" style="514" customWidth="1"/>
    <col min="16148" max="16149" width="9.75" style="514" customWidth="1"/>
    <col min="16150" max="16384" width="9" style="514"/>
  </cols>
  <sheetData>
    <row r="1" spans="1:27" s="2" customFormat="1" ht="23.25" customHeight="1" thickBot="1">
      <c r="A1" s="1" t="e">
        <f>IF(SUM(2:2)=0,"OK","NOK")</f>
        <v>#DIV/0!</v>
      </c>
      <c r="F1" s="43" t="s">
        <v>7239</v>
      </c>
      <c r="G1" s="1085" t="s">
        <v>355</v>
      </c>
      <c r="H1" s="1086"/>
      <c r="I1" s="1085" t="s">
        <v>4603</v>
      </c>
      <c r="J1" s="1086"/>
      <c r="K1" s="1085" t="s">
        <v>354</v>
      </c>
      <c r="L1" s="1086"/>
      <c r="M1" s="1085" t="s">
        <v>4612</v>
      </c>
      <c r="N1" s="1086"/>
      <c r="O1" s="1085" t="s">
        <v>365</v>
      </c>
      <c r="P1" s="1086"/>
      <c r="Q1" s="1085" t="s">
        <v>8281</v>
      </c>
      <c r="R1" s="1086"/>
      <c r="S1" s="1085" t="s">
        <v>277</v>
      </c>
      <c r="T1" s="1086"/>
      <c r="U1" s="1085" t="s">
        <v>10523</v>
      </c>
      <c r="V1" s="1086"/>
      <c r="W1" s="44"/>
      <c r="X1" s="48" t="s">
        <v>10</v>
      </c>
    </row>
    <row r="2" spans="1:27" ht="13.5" thickBot="1">
      <c r="A2" s="3"/>
      <c r="B2" s="3"/>
      <c r="C2" s="3"/>
      <c r="D2" s="3"/>
      <c r="E2" s="3"/>
      <c r="F2" s="2"/>
      <c r="G2" s="552" t="s">
        <v>0</v>
      </c>
      <c r="H2" s="183">
        <f>SUMX2MY2(G5:G5000,H5:H5000)</f>
        <v>0</v>
      </c>
      <c r="I2" s="552" t="s">
        <v>0</v>
      </c>
      <c r="J2" s="183">
        <f>SUMX2MY2(I5:I5000,J5:J5000)</f>
        <v>0</v>
      </c>
      <c r="K2" s="552" t="s">
        <v>0</v>
      </c>
      <c r="L2" s="183">
        <f>SUMX2MY2(K5:K5000,L5:L5000)</f>
        <v>0</v>
      </c>
      <c r="M2" s="552" t="s">
        <v>0</v>
      </c>
      <c r="N2" s="183" t="e">
        <f>SUMX2MY2(M5:M5000,N5:N5000)</f>
        <v>#DIV/0!</v>
      </c>
      <c r="O2" s="552" t="s">
        <v>0</v>
      </c>
      <c r="P2" s="183">
        <f>SUMX2MY2(O5:O5000,P5:P5000)</f>
        <v>0</v>
      </c>
      <c r="Q2" s="552" t="s">
        <v>0</v>
      </c>
      <c r="R2" s="183" t="e">
        <f>SUMX2MY2(Q5:Q5000,R5:R5000)</f>
        <v>#DIV/0!</v>
      </c>
      <c r="S2" s="552" t="s">
        <v>0</v>
      </c>
      <c r="T2" s="183" t="e">
        <f>SUMX2MY2(S5:S5000,T5:T5000)</f>
        <v>#DIV/0!</v>
      </c>
      <c r="U2" s="567" t="s">
        <v>0</v>
      </c>
      <c r="V2" s="183">
        <f>SUMX2MY2(U5:U5000,V5:V5000)</f>
        <v>-122.48985842311413</v>
      </c>
    </row>
    <row r="3" spans="1:27" ht="27.75" customHeight="1">
      <c r="A3" s="35" t="s">
        <v>1</v>
      </c>
      <c r="B3" s="36" t="s">
        <v>2</v>
      </c>
      <c r="C3" s="36" t="s">
        <v>3</v>
      </c>
      <c r="D3" s="36" t="s">
        <v>4</v>
      </c>
      <c r="E3" s="1087" t="s">
        <v>7</v>
      </c>
      <c r="F3" s="1088"/>
      <c r="G3" s="553" t="s">
        <v>5</v>
      </c>
      <c r="H3" s="554" t="s">
        <v>6</v>
      </c>
      <c r="I3" s="553" t="s">
        <v>5</v>
      </c>
      <c r="J3" s="554" t="s">
        <v>6</v>
      </c>
      <c r="K3" s="553" t="s">
        <v>5</v>
      </c>
      <c r="L3" s="554" t="s">
        <v>6</v>
      </c>
      <c r="M3" s="553" t="s">
        <v>5</v>
      </c>
      <c r="N3" s="554" t="s">
        <v>6</v>
      </c>
      <c r="O3" s="553" t="s">
        <v>5</v>
      </c>
      <c r="P3" s="554" t="s">
        <v>6</v>
      </c>
      <c r="Q3" s="553" t="s">
        <v>5</v>
      </c>
      <c r="R3" s="554" t="s">
        <v>6</v>
      </c>
      <c r="S3" s="553" t="s">
        <v>5</v>
      </c>
      <c r="T3" s="554" t="s">
        <v>6</v>
      </c>
      <c r="U3" s="568" t="s">
        <v>5</v>
      </c>
      <c r="V3" s="569" t="s">
        <v>6</v>
      </c>
    </row>
    <row r="4" spans="1:27" ht="15.75" customHeight="1" thickBot="1">
      <c r="A4" s="34"/>
      <c r="B4" s="33"/>
      <c r="C4" s="33"/>
      <c r="D4" s="33"/>
      <c r="E4" s="41" t="s">
        <v>9</v>
      </c>
      <c r="F4" s="42" t="s">
        <v>8</v>
      </c>
      <c r="G4" s="562">
        <v>0</v>
      </c>
      <c r="H4" s="563">
        <v>0</v>
      </c>
      <c r="I4" s="562">
        <v>0</v>
      </c>
      <c r="J4" s="563">
        <v>0</v>
      </c>
      <c r="K4" s="562">
        <v>0</v>
      </c>
      <c r="L4" s="563">
        <v>0</v>
      </c>
      <c r="M4" s="562">
        <v>0</v>
      </c>
      <c r="N4" s="563">
        <v>0</v>
      </c>
      <c r="O4" s="562">
        <v>0</v>
      </c>
      <c r="P4" s="563">
        <v>0</v>
      </c>
      <c r="Q4" s="562">
        <v>0</v>
      </c>
      <c r="R4" s="563">
        <v>0</v>
      </c>
      <c r="S4" s="562">
        <v>0</v>
      </c>
      <c r="T4" s="563">
        <v>0</v>
      </c>
      <c r="U4" s="575">
        <v>0</v>
      </c>
      <c r="V4" s="576">
        <v>0</v>
      </c>
      <c r="X4" s="811" t="s">
        <v>10518</v>
      </c>
      <c r="Y4" s="812" t="s">
        <v>10519</v>
      </c>
      <c r="Z4" s="812" t="s">
        <v>10520</v>
      </c>
      <c r="AA4" s="816" t="s">
        <v>10521</v>
      </c>
    </row>
    <row r="5" spans="1:27">
      <c r="A5" s="201" t="str">
        <f>VLOOKUP($F5,Drum_from_BP!$J:$M,2,0)</f>
        <v>0107-05-21-0013.tif</v>
      </c>
      <c r="B5" s="446"/>
      <c r="C5" s="489"/>
      <c r="D5" s="517"/>
      <c r="E5" s="517"/>
      <c r="F5" s="465" t="s">
        <v>498</v>
      </c>
      <c r="G5" s="783">
        <v>1.8480000000000001</v>
      </c>
      <c r="H5" s="460">
        <f>VLOOKUP($F5,Drum_from_BP!$J:$M,4,0)</f>
        <v>1.8480000000000001</v>
      </c>
      <c r="I5" s="783">
        <v>5.1020000000000003</v>
      </c>
      <c r="J5" s="788">
        <f>VLOOKUP($F5,Drum_from_BP!$J:$M,3,0)-1</f>
        <v>5.1020000000000003</v>
      </c>
      <c r="K5" s="783">
        <v>1</v>
      </c>
      <c r="L5" s="460">
        <v>1</v>
      </c>
      <c r="M5" s="783">
        <v>1</v>
      </c>
      <c r="N5" s="460"/>
      <c r="O5" s="783">
        <v>293.14999999999998</v>
      </c>
      <c r="P5" s="460">
        <v>293.14999999999998</v>
      </c>
      <c r="Q5" s="783">
        <v>312.816612858356</v>
      </c>
      <c r="R5" s="460"/>
      <c r="S5" s="783">
        <v>14268.326853148699</v>
      </c>
      <c r="T5" s="460"/>
      <c r="U5" s="783">
        <v>13.684668120816299</v>
      </c>
      <c r="V5" s="460">
        <v>17.600000000000001</v>
      </c>
      <c r="X5" s="814">
        <v>17.600000000000001</v>
      </c>
      <c r="Y5" s="815">
        <v>1.8480000000000001</v>
      </c>
      <c r="Z5" s="815">
        <v>6.1</v>
      </c>
      <c r="AA5" s="816">
        <f>X5*4/PI()/Y5/Y5</f>
        <v>6.5617375012119288</v>
      </c>
    </row>
    <row r="6" spans="1:27">
      <c r="A6" s="445"/>
      <c r="B6" s="446"/>
      <c r="C6" s="489"/>
      <c r="D6" s="517"/>
      <c r="E6" s="517"/>
      <c r="F6" s="465"/>
      <c r="G6" s="557"/>
      <c r="H6" s="460"/>
      <c r="I6" s="557"/>
      <c r="J6" s="460"/>
      <c r="K6" s="557"/>
      <c r="L6" s="460"/>
      <c r="M6" s="557"/>
      <c r="N6" s="460"/>
      <c r="O6" s="557"/>
      <c r="P6" s="460"/>
      <c r="Q6" s="557"/>
      <c r="R6" s="460"/>
      <c r="S6" s="557"/>
      <c r="T6" s="460"/>
      <c r="U6" s="783"/>
      <c r="V6" s="460"/>
    </row>
    <row r="7" spans="1:27">
      <c r="A7" s="519"/>
      <c r="B7" s="520"/>
      <c r="C7" s="521"/>
      <c r="D7" s="522"/>
      <c r="E7" s="517"/>
      <c r="F7" s="465"/>
      <c r="G7" s="557"/>
      <c r="H7" s="460"/>
      <c r="I7" s="557"/>
      <c r="J7" s="460"/>
      <c r="K7" s="557"/>
      <c r="L7" s="460"/>
      <c r="M7" s="557"/>
      <c r="N7" s="460"/>
      <c r="O7" s="557"/>
      <c r="P7" s="460"/>
      <c r="Q7" s="557"/>
      <c r="R7" s="460"/>
      <c r="S7" s="557"/>
      <c r="T7" s="460"/>
      <c r="U7" s="783"/>
      <c r="V7" s="460"/>
    </row>
    <row r="8" spans="1:27">
      <c r="A8" s="519"/>
      <c r="B8" s="520"/>
      <c r="C8" s="521"/>
      <c r="D8" s="522"/>
      <c r="E8" s="517"/>
      <c r="F8" s="465"/>
      <c r="G8" s="557"/>
      <c r="H8" s="460"/>
      <c r="I8" s="557"/>
      <c r="J8" s="460"/>
      <c r="K8" s="557"/>
      <c r="L8" s="460"/>
      <c r="M8" s="557"/>
      <c r="N8" s="460"/>
      <c r="O8" s="557"/>
      <c r="P8" s="460"/>
      <c r="Q8" s="557"/>
      <c r="R8" s="460"/>
      <c r="S8" s="557"/>
      <c r="T8" s="460"/>
      <c r="U8" s="783"/>
      <c r="V8" s="460"/>
    </row>
    <row r="9" spans="1:27">
      <c r="A9" s="519"/>
      <c r="B9" s="520"/>
      <c r="C9" s="521"/>
      <c r="D9" s="522"/>
      <c r="E9" s="517"/>
      <c r="F9" s="465"/>
      <c r="G9" s="557"/>
      <c r="H9" s="460"/>
      <c r="I9" s="557"/>
      <c r="J9" s="460"/>
      <c r="K9" s="557"/>
      <c r="L9" s="460"/>
      <c r="M9" s="557"/>
      <c r="N9" s="460"/>
      <c r="O9" s="557"/>
      <c r="P9" s="460"/>
      <c r="Q9" s="557"/>
      <c r="R9" s="460"/>
      <c r="S9" s="557"/>
      <c r="T9" s="460"/>
      <c r="U9" s="783"/>
      <c r="V9" s="460"/>
    </row>
    <row r="10" spans="1:27">
      <c r="A10" s="519"/>
      <c r="B10" s="520"/>
      <c r="C10" s="521"/>
      <c r="D10" s="522"/>
      <c r="E10" s="517"/>
      <c r="F10" s="465"/>
      <c r="G10" s="557"/>
      <c r="H10" s="460"/>
      <c r="I10" s="557"/>
      <c r="J10" s="460"/>
      <c r="K10" s="557"/>
      <c r="L10" s="460"/>
      <c r="M10" s="557"/>
      <c r="N10" s="460"/>
      <c r="O10" s="557"/>
      <c r="P10" s="460"/>
      <c r="Q10" s="557"/>
      <c r="R10" s="460"/>
      <c r="S10" s="557"/>
      <c r="T10" s="460"/>
      <c r="U10" s="783"/>
      <c r="V10" s="460"/>
    </row>
    <row r="11" spans="1:27">
      <c r="A11" s="519"/>
      <c r="B11" s="520"/>
      <c r="C11" s="521"/>
      <c r="D11" s="522"/>
      <c r="E11" s="517"/>
      <c r="F11" s="465"/>
      <c r="G11" s="557"/>
      <c r="H11" s="460"/>
      <c r="I11" s="557"/>
      <c r="J11" s="460"/>
      <c r="K11" s="557"/>
      <c r="L11" s="460"/>
      <c r="M11" s="557"/>
      <c r="N11" s="460"/>
      <c r="O11" s="557"/>
      <c r="P11" s="460"/>
      <c r="Q11" s="557"/>
      <c r="R11" s="460"/>
      <c r="S11" s="557"/>
      <c r="T11" s="460"/>
      <c r="U11" s="783"/>
      <c r="V11" s="460"/>
    </row>
    <row r="12" spans="1:27">
      <c r="A12" s="519"/>
      <c r="B12" s="520"/>
      <c r="C12" s="521"/>
      <c r="D12" s="522"/>
      <c r="E12" s="517"/>
      <c r="F12" s="465"/>
      <c r="G12" s="557"/>
      <c r="H12" s="460"/>
      <c r="I12" s="557"/>
      <c r="J12" s="460"/>
      <c r="K12" s="557"/>
      <c r="L12" s="460"/>
      <c r="M12" s="557"/>
      <c r="N12" s="460"/>
      <c r="O12" s="557"/>
      <c r="P12" s="460"/>
      <c r="Q12" s="557"/>
      <c r="R12" s="460"/>
      <c r="S12" s="557"/>
      <c r="T12" s="460"/>
      <c r="U12" s="783"/>
      <c r="V12" s="460"/>
    </row>
    <row r="13" spans="1:27">
      <c r="A13" s="519"/>
      <c r="B13" s="520"/>
      <c r="C13" s="521"/>
      <c r="D13" s="522"/>
      <c r="E13" s="517"/>
      <c r="F13" s="465"/>
      <c r="G13" s="557"/>
      <c r="H13" s="460"/>
      <c r="I13" s="557"/>
      <c r="J13" s="460"/>
      <c r="K13" s="557"/>
      <c r="L13" s="460"/>
      <c r="M13" s="557"/>
      <c r="N13" s="460"/>
      <c r="O13" s="557"/>
      <c r="P13" s="460"/>
      <c r="Q13" s="557"/>
      <c r="R13" s="460"/>
      <c r="S13" s="557"/>
      <c r="T13" s="460"/>
      <c r="U13" s="783"/>
      <c r="V13" s="460"/>
    </row>
    <row r="14" spans="1:27">
      <c r="A14" s="519"/>
      <c r="B14" s="520"/>
      <c r="C14" s="521"/>
      <c r="D14" s="522"/>
      <c r="E14" s="517"/>
      <c r="F14" s="465"/>
      <c r="G14" s="557"/>
      <c r="H14" s="460"/>
      <c r="I14" s="557"/>
      <c r="J14" s="460"/>
      <c r="K14" s="557"/>
      <c r="L14" s="460"/>
      <c r="M14" s="557"/>
      <c r="N14" s="460"/>
      <c r="O14" s="557"/>
      <c r="P14" s="460"/>
      <c r="Q14" s="557"/>
      <c r="R14" s="460"/>
      <c r="S14" s="557"/>
      <c r="T14" s="460"/>
      <c r="U14" s="783"/>
      <c r="V14" s="460"/>
    </row>
    <row r="15" spans="1:27">
      <c r="A15" s="519"/>
      <c r="B15" s="520"/>
      <c r="C15" s="521"/>
      <c r="D15" s="522"/>
      <c r="E15" s="517"/>
      <c r="F15" s="465"/>
      <c r="G15" s="557"/>
      <c r="H15" s="460"/>
      <c r="I15" s="557"/>
      <c r="J15" s="460"/>
      <c r="K15" s="557"/>
      <c r="L15" s="460"/>
      <c r="M15" s="557"/>
      <c r="N15" s="460"/>
      <c r="O15" s="557"/>
      <c r="P15" s="460"/>
      <c r="Q15" s="557"/>
      <c r="R15" s="460"/>
      <c r="S15" s="557"/>
      <c r="T15" s="460"/>
      <c r="U15" s="783"/>
      <c r="V15" s="460"/>
    </row>
    <row r="16" spans="1:27">
      <c r="A16" s="519"/>
      <c r="B16" s="520"/>
      <c r="C16" s="521"/>
      <c r="D16" s="522"/>
      <c r="E16" s="517"/>
      <c r="F16" s="465"/>
      <c r="G16" s="557"/>
      <c r="H16" s="460"/>
      <c r="I16" s="557"/>
      <c r="J16" s="460"/>
      <c r="K16" s="557"/>
      <c r="L16" s="460"/>
      <c r="M16" s="557"/>
      <c r="N16" s="460"/>
      <c r="O16" s="557"/>
      <c r="P16" s="460"/>
      <c r="Q16" s="557"/>
      <c r="R16" s="460"/>
      <c r="S16" s="557"/>
      <c r="T16" s="460"/>
      <c r="U16" s="783"/>
      <c r="V16" s="460"/>
    </row>
    <row r="17" spans="1:22">
      <c r="A17" s="519"/>
      <c r="B17" s="520"/>
      <c r="C17" s="521"/>
      <c r="D17" s="522"/>
      <c r="E17" s="517"/>
      <c r="F17" s="465"/>
      <c r="G17" s="557"/>
      <c r="H17" s="460"/>
      <c r="I17" s="557"/>
      <c r="J17" s="460"/>
      <c r="K17" s="557"/>
      <c r="L17" s="460"/>
      <c r="M17" s="557"/>
      <c r="N17" s="460"/>
      <c r="O17" s="557"/>
      <c r="P17" s="460"/>
      <c r="Q17" s="557"/>
      <c r="R17" s="460"/>
      <c r="S17" s="557"/>
      <c r="T17" s="460"/>
      <c r="U17" s="783"/>
      <c r="V17" s="460"/>
    </row>
    <row r="18" spans="1:22">
      <c r="A18" s="519"/>
      <c r="B18" s="520"/>
      <c r="C18" s="521"/>
      <c r="D18" s="522"/>
      <c r="E18" s="517"/>
      <c r="F18" s="465"/>
      <c r="G18" s="557"/>
      <c r="H18" s="460"/>
      <c r="I18" s="557"/>
      <c r="J18" s="460"/>
      <c r="K18" s="557"/>
      <c r="L18" s="460"/>
      <c r="M18" s="557"/>
      <c r="N18" s="460"/>
      <c r="O18" s="557"/>
      <c r="P18" s="460"/>
      <c r="Q18" s="557"/>
      <c r="R18" s="460"/>
      <c r="S18" s="557"/>
      <c r="T18" s="460"/>
      <c r="U18" s="783"/>
      <c r="V18" s="460"/>
    </row>
    <row r="19" spans="1:22">
      <c r="A19" s="519"/>
      <c r="B19" s="520"/>
      <c r="C19" s="521"/>
      <c r="D19" s="522"/>
      <c r="E19" s="517"/>
      <c r="F19" s="465"/>
      <c r="G19" s="557"/>
      <c r="H19" s="460"/>
      <c r="I19" s="557"/>
      <c r="J19" s="460"/>
      <c r="K19" s="557"/>
      <c r="L19" s="460"/>
      <c r="M19" s="557"/>
      <c r="N19" s="460"/>
      <c r="O19" s="557"/>
      <c r="P19" s="460"/>
      <c r="Q19" s="557"/>
      <c r="R19" s="460"/>
      <c r="S19" s="557"/>
      <c r="T19" s="460"/>
      <c r="U19" s="783"/>
      <c r="V19" s="460"/>
    </row>
    <row r="20" spans="1:22">
      <c r="A20" s="519"/>
      <c r="B20" s="520"/>
      <c r="C20" s="521"/>
      <c r="D20" s="522"/>
      <c r="E20" s="517"/>
      <c r="F20" s="465"/>
      <c r="G20" s="557"/>
      <c r="H20" s="460"/>
      <c r="I20" s="557"/>
      <c r="J20" s="460"/>
      <c r="K20" s="557"/>
      <c r="L20" s="460"/>
      <c r="M20" s="557"/>
      <c r="N20" s="460"/>
      <c r="O20" s="557"/>
      <c r="P20" s="460"/>
      <c r="Q20" s="557"/>
      <c r="R20" s="460"/>
      <c r="S20" s="557"/>
      <c r="T20" s="460"/>
      <c r="U20" s="783"/>
      <c r="V20" s="460"/>
    </row>
    <row r="21" spans="1:22">
      <c r="A21" s="519"/>
      <c r="B21" s="520"/>
      <c r="C21" s="521"/>
      <c r="D21" s="522"/>
      <c r="E21" s="517"/>
      <c r="F21" s="465"/>
      <c r="G21" s="557"/>
      <c r="H21" s="460"/>
      <c r="I21" s="557"/>
      <c r="J21" s="460"/>
      <c r="K21" s="557"/>
      <c r="L21" s="460"/>
      <c r="M21" s="557"/>
      <c r="N21" s="460"/>
      <c r="O21" s="557"/>
      <c r="P21" s="460"/>
      <c r="Q21" s="557"/>
      <c r="R21" s="460"/>
      <c r="S21" s="557"/>
      <c r="T21" s="460"/>
      <c r="U21" s="783"/>
      <c r="V21" s="460"/>
    </row>
    <row r="22" spans="1:22">
      <c r="A22" s="519"/>
      <c r="B22" s="520"/>
      <c r="C22" s="521"/>
      <c r="D22" s="522"/>
      <c r="E22" s="517"/>
      <c r="F22" s="465"/>
      <c r="G22" s="557"/>
      <c r="H22" s="460"/>
      <c r="I22" s="557"/>
      <c r="J22" s="460"/>
      <c r="K22" s="557"/>
      <c r="L22" s="460"/>
      <c r="M22" s="557"/>
      <c r="N22" s="460"/>
      <c r="O22" s="557"/>
      <c r="P22" s="460"/>
      <c r="Q22" s="557"/>
      <c r="R22" s="460"/>
      <c r="S22" s="557"/>
      <c r="T22" s="460"/>
      <c r="U22" s="783"/>
      <c r="V22" s="460"/>
    </row>
    <row r="23" spans="1:22">
      <c r="A23" s="519"/>
      <c r="B23" s="520"/>
      <c r="C23" s="521"/>
      <c r="D23" s="522"/>
      <c r="E23" s="517"/>
      <c r="F23" s="465"/>
      <c r="G23" s="557"/>
      <c r="H23" s="460"/>
      <c r="I23" s="557"/>
      <c r="J23" s="460"/>
      <c r="K23" s="557"/>
      <c r="L23" s="460"/>
      <c r="M23" s="557"/>
      <c r="N23" s="460"/>
      <c r="O23" s="557"/>
      <c r="P23" s="460"/>
      <c r="Q23" s="557"/>
      <c r="R23" s="460"/>
      <c r="S23" s="557"/>
      <c r="T23" s="460"/>
      <c r="U23" s="783"/>
      <c r="V23" s="460"/>
    </row>
    <row r="24" spans="1:22">
      <c r="A24" s="519"/>
      <c r="B24" s="520"/>
      <c r="C24" s="521"/>
      <c r="D24" s="522"/>
      <c r="E24" s="517"/>
      <c r="F24" s="465"/>
      <c r="G24" s="557"/>
      <c r="H24" s="460"/>
      <c r="I24" s="557"/>
      <c r="J24" s="460"/>
      <c r="K24" s="557"/>
      <c r="L24" s="460"/>
      <c r="M24" s="557"/>
      <c r="N24" s="460"/>
      <c r="O24" s="557"/>
      <c r="P24" s="460"/>
      <c r="Q24" s="557"/>
      <c r="R24" s="460"/>
      <c r="S24" s="557"/>
      <c r="T24" s="460"/>
      <c r="U24" s="783"/>
      <c r="V24" s="460"/>
    </row>
    <row r="25" spans="1:22">
      <c r="A25" s="519"/>
      <c r="B25" s="520"/>
      <c r="C25" s="521"/>
      <c r="D25" s="522"/>
      <c r="E25" s="517"/>
      <c r="F25" s="465"/>
      <c r="G25" s="557"/>
      <c r="H25" s="460"/>
      <c r="I25" s="557"/>
      <c r="J25" s="460"/>
      <c r="K25" s="557"/>
      <c r="L25" s="460"/>
      <c r="M25" s="557"/>
      <c r="N25" s="460"/>
      <c r="O25" s="557"/>
      <c r="P25" s="460"/>
      <c r="Q25" s="557"/>
      <c r="R25" s="460"/>
      <c r="S25" s="557"/>
      <c r="T25" s="460"/>
      <c r="U25" s="783"/>
      <c r="V25" s="460"/>
    </row>
    <row r="26" spans="1:22">
      <c r="A26" s="519"/>
      <c r="B26" s="520"/>
      <c r="C26" s="521"/>
      <c r="D26" s="522"/>
      <c r="E26" s="517"/>
      <c r="F26" s="465"/>
      <c r="G26" s="557"/>
      <c r="H26" s="460"/>
      <c r="I26" s="557"/>
      <c r="J26" s="460"/>
      <c r="K26" s="557"/>
      <c r="L26" s="460"/>
      <c r="M26" s="557"/>
      <c r="N26" s="460"/>
      <c r="O26" s="557"/>
      <c r="P26" s="460"/>
      <c r="Q26" s="557"/>
      <c r="R26" s="460"/>
      <c r="S26" s="557"/>
      <c r="T26" s="460"/>
      <c r="U26" s="783"/>
      <c r="V26" s="460"/>
    </row>
    <row r="27" spans="1:22">
      <c r="A27" s="519"/>
      <c r="B27" s="520"/>
      <c r="C27" s="521"/>
      <c r="D27" s="522"/>
      <c r="E27" s="517"/>
      <c r="F27" s="465"/>
      <c r="G27" s="557"/>
      <c r="H27" s="460"/>
      <c r="I27" s="557"/>
      <c r="J27" s="460"/>
      <c r="K27" s="557"/>
      <c r="L27" s="460"/>
      <c r="M27" s="557"/>
      <c r="N27" s="460"/>
      <c r="O27" s="557"/>
      <c r="P27" s="460"/>
      <c r="Q27" s="557"/>
      <c r="R27" s="460"/>
      <c r="S27" s="557"/>
      <c r="T27" s="460"/>
      <c r="U27" s="783"/>
      <c r="V27" s="460"/>
    </row>
    <row r="28" spans="1:22">
      <c r="A28" s="519"/>
      <c r="B28" s="520"/>
      <c r="C28" s="521"/>
      <c r="D28" s="522"/>
      <c r="E28" s="517"/>
      <c r="F28" s="465"/>
      <c r="G28" s="557"/>
      <c r="H28" s="460"/>
      <c r="I28" s="557"/>
      <c r="J28" s="460"/>
      <c r="K28" s="557"/>
      <c r="L28" s="460"/>
      <c r="M28" s="557"/>
      <c r="N28" s="460"/>
      <c r="O28" s="557"/>
      <c r="P28" s="460"/>
      <c r="Q28" s="557"/>
      <c r="R28" s="460"/>
      <c r="S28" s="557"/>
      <c r="T28" s="460"/>
      <c r="U28" s="783"/>
      <c r="V28" s="460"/>
    </row>
    <row r="29" spans="1:22">
      <c r="A29" s="519"/>
      <c r="B29" s="520"/>
      <c r="C29" s="521"/>
      <c r="D29" s="522"/>
      <c r="E29" s="517"/>
      <c r="F29" s="465"/>
      <c r="G29" s="557"/>
      <c r="H29" s="460"/>
      <c r="I29" s="557"/>
      <c r="J29" s="460"/>
      <c r="K29" s="557"/>
      <c r="L29" s="460"/>
      <c r="M29" s="557"/>
      <c r="N29" s="460"/>
      <c r="O29" s="557"/>
      <c r="P29" s="460"/>
      <c r="Q29" s="557"/>
      <c r="R29" s="460"/>
      <c r="S29" s="557"/>
      <c r="T29" s="460"/>
      <c r="U29" s="783"/>
      <c r="V29" s="460"/>
    </row>
    <row r="30" spans="1:22">
      <c r="A30" s="519"/>
      <c r="B30" s="520"/>
      <c r="C30" s="521"/>
      <c r="D30" s="522"/>
      <c r="E30" s="517"/>
      <c r="F30" s="465"/>
      <c r="G30" s="557"/>
      <c r="H30" s="460"/>
      <c r="I30" s="557"/>
      <c r="J30" s="460"/>
      <c r="K30" s="557"/>
      <c r="L30" s="460"/>
      <c r="M30" s="557"/>
      <c r="N30" s="460"/>
      <c r="O30" s="557"/>
      <c r="P30" s="460"/>
      <c r="Q30" s="557"/>
      <c r="R30" s="460"/>
      <c r="S30" s="557"/>
      <c r="T30" s="460"/>
      <c r="U30" s="783"/>
      <c r="V30" s="460"/>
    </row>
    <row r="31" spans="1:22">
      <c r="A31" s="519"/>
      <c r="B31" s="520"/>
      <c r="C31" s="521"/>
      <c r="D31" s="522"/>
      <c r="E31" s="517"/>
      <c r="F31" s="465"/>
      <c r="G31" s="557"/>
      <c r="H31" s="460"/>
      <c r="I31" s="557"/>
      <c r="J31" s="460"/>
      <c r="K31" s="557"/>
      <c r="L31" s="460"/>
      <c r="M31" s="557"/>
      <c r="N31" s="460"/>
      <c r="O31" s="557"/>
      <c r="P31" s="460"/>
      <c r="Q31" s="557"/>
      <c r="R31" s="460"/>
      <c r="S31" s="557"/>
      <c r="T31" s="460"/>
      <c r="U31" s="783"/>
      <c r="V31" s="460"/>
    </row>
    <row r="32" spans="1:22">
      <c r="A32" s="519"/>
      <c r="B32" s="520"/>
      <c r="C32" s="521"/>
      <c r="D32" s="522"/>
      <c r="E32" s="517"/>
      <c r="F32" s="465"/>
      <c r="G32" s="557"/>
      <c r="H32" s="460"/>
      <c r="I32" s="557"/>
      <c r="J32" s="460"/>
      <c r="K32" s="557"/>
      <c r="L32" s="460"/>
      <c r="M32" s="557"/>
      <c r="N32" s="460"/>
      <c r="O32" s="557"/>
      <c r="P32" s="460"/>
      <c r="Q32" s="557"/>
      <c r="R32" s="460"/>
      <c r="S32" s="557"/>
      <c r="T32" s="460"/>
      <c r="U32" s="783"/>
      <c r="V32" s="460"/>
    </row>
    <row r="33" spans="1:22">
      <c r="A33" s="519"/>
      <c r="B33" s="520"/>
      <c r="C33" s="521"/>
      <c r="D33" s="522"/>
      <c r="E33" s="517"/>
      <c r="F33" s="465"/>
      <c r="G33" s="557"/>
      <c r="H33" s="460"/>
      <c r="I33" s="557"/>
      <c r="J33" s="460"/>
      <c r="K33" s="557"/>
      <c r="L33" s="460"/>
      <c r="M33" s="557"/>
      <c r="N33" s="460"/>
      <c r="O33" s="557"/>
      <c r="P33" s="460"/>
      <c r="Q33" s="557"/>
      <c r="R33" s="460"/>
      <c r="S33" s="557"/>
      <c r="T33" s="460"/>
      <c r="U33" s="783"/>
      <c r="V33" s="460"/>
    </row>
    <row r="34" spans="1:22">
      <c r="A34" s="519"/>
      <c r="B34" s="520"/>
      <c r="C34" s="521"/>
      <c r="D34" s="522"/>
      <c r="E34" s="517"/>
      <c r="F34" s="465"/>
      <c r="G34" s="557"/>
      <c r="H34" s="460"/>
      <c r="I34" s="557"/>
      <c r="J34" s="460"/>
      <c r="K34" s="557"/>
      <c r="L34" s="460"/>
      <c r="M34" s="557"/>
      <c r="N34" s="460"/>
      <c r="O34" s="557"/>
      <c r="P34" s="460"/>
      <c r="Q34" s="557"/>
      <c r="R34" s="460"/>
      <c r="S34" s="557"/>
      <c r="T34" s="460"/>
      <c r="U34" s="783"/>
      <c r="V34" s="460"/>
    </row>
    <row r="35" spans="1:22">
      <c r="A35" s="519"/>
      <c r="B35" s="520"/>
      <c r="C35" s="521"/>
      <c r="D35" s="522"/>
      <c r="E35" s="517"/>
      <c r="F35" s="465"/>
      <c r="G35" s="557"/>
      <c r="H35" s="460"/>
      <c r="I35" s="557"/>
      <c r="J35" s="460"/>
      <c r="K35" s="557"/>
      <c r="L35" s="460"/>
      <c r="M35" s="557"/>
      <c r="N35" s="460"/>
      <c r="O35" s="557"/>
      <c r="P35" s="460"/>
      <c r="Q35" s="557"/>
      <c r="R35" s="460"/>
      <c r="S35" s="557"/>
      <c r="T35" s="460"/>
      <c r="U35" s="783"/>
      <c r="V35" s="460"/>
    </row>
    <row r="36" spans="1:22">
      <c r="A36" s="519"/>
      <c r="B36" s="520"/>
      <c r="C36" s="521"/>
      <c r="D36" s="522"/>
      <c r="E36" s="517"/>
      <c r="F36" s="465"/>
      <c r="G36" s="557"/>
      <c r="H36" s="460"/>
      <c r="I36" s="557"/>
      <c r="J36" s="460"/>
      <c r="K36" s="557"/>
      <c r="L36" s="460"/>
      <c r="M36" s="557"/>
      <c r="N36" s="460"/>
      <c r="O36" s="557"/>
      <c r="P36" s="460"/>
      <c r="Q36" s="557"/>
      <c r="R36" s="460"/>
      <c r="S36" s="557"/>
      <c r="T36" s="460"/>
      <c r="U36" s="783"/>
      <c r="V36" s="460"/>
    </row>
    <row r="37" spans="1:22">
      <c r="A37" s="519"/>
      <c r="B37" s="520"/>
      <c r="C37" s="521"/>
      <c r="D37" s="522"/>
      <c r="E37" s="517"/>
      <c r="F37" s="465"/>
      <c r="G37" s="557"/>
      <c r="H37" s="460"/>
      <c r="I37" s="557"/>
      <c r="J37" s="460"/>
      <c r="K37" s="557"/>
      <c r="L37" s="460"/>
      <c r="M37" s="557"/>
      <c r="N37" s="460"/>
      <c r="O37" s="557"/>
      <c r="P37" s="460"/>
      <c r="Q37" s="557"/>
      <c r="R37" s="460"/>
      <c r="S37" s="557"/>
      <c r="T37" s="460"/>
      <c r="U37" s="783"/>
      <c r="V37" s="460"/>
    </row>
    <row r="38" spans="1:22">
      <c r="A38" s="519"/>
      <c r="B38" s="520"/>
      <c r="C38" s="521"/>
      <c r="D38" s="522"/>
      <c r="E38" s="517"/>
      <c r="F38" s="465"/>
      <c r="G38" s="557"/>
      <c r="H38" s="460"/>
      <c r="I38" s="557"/>
      <c r="J38" s="460"/>
      <c r="K38" s="557"/>
      <c r="L38" s="460"/>
      <c r="M38" s="557"/>
      <c r="N38" s="460"/>
      <c r="O38" s="557"/>
      <c r="P38" s="460"/>
      <c r="Q38" s="557"/>
      <c r="R38" s="460"/>
      <c r="S38" s="557"/>
      <c r="T38" s="460"/>
      <c r="U38" s="783"/>
      <c r="V38" s="460"/>
    </row>
    <row r="39" spans="1:22">
      <c r="A39" s="519"/>
      <c r="B39" s="520"/>
      <c r="C39" s="521"/>
      <c r="D39" s="522"/>
      <c r="E39" s="517"/>
      <c r="F39" s="465"/>
      <c r="G39" s="557"/>
      <c r="H39" s="460"/>
      <c r="I39" s="557"/>
      <c r="J39" s="460"/>
      <c r="K39" s="557"/>
      <c r="L39" s="460"/>
      <c r="M39" s="557"/>
      <c r="N39" s="460"/>
      <c r="O39" s="557"/>
      <c r="P39" s="460"/>
      <c r="Q39" s="557"/>
      <c r="R39" s="460"/>
      <c r="S39" s="557"/>
      <c r="T39" s="460"/>
      <c r="U39" s="783"/>
      <c r="V39" s="460"/>
    </row>
    <row r="40" spans="1:22">
      <c r="A40" s="519"/>
      <c r="B40" s="520"/>
      <c r="C40" s="521"/>
      <c r="D40" s="522"/>
      <c r="E40" s="517"/>
      <c r="F40" s="465"/>
      <c r="G40" s="557"/>
      <c r="H40" s="460"/>
      <c r="I40" s="557"/>
      <c r="J40" s="460"/>
      <c r="K40" s="557"/>
      <c r="L40" s="460"/>
      <c r="M40" s="557"/>
      <c r="N40" s="460"/>
      <c r="O40" s="557"/>
      <c r="P40" s="460"/>
      <c r="Q40" s="557"/>
      <c r="R40" s="460"/>
      <c r="S40" s="557"/>
      <c r="T40" s="460"/>
      <c r="U40" s="783"/>
      <c r="V40" s="460"/>
    </row>
    <row r="41" spans="1:22">
      <c r="A41" s="519"/>
      <c r="B41" s="520"/>
      <c r="C41" s="521"/>
      <c r="D41" s="522"/>
      <c r="E41" s="517"/>
      <c r="F41" s="465"/>
      <c r="G41" s="557"/>
      <c r="H41" s="460"/>
      <c r="I41" s="557"/>
      <c r="J41" s="460"/>
      <c r="K41" s="557"/>
      <c r="L41" s="460"/>
      <c r="M41" s="557"/>
      <c r="N41" s="460"/>
      <c r="O41" s="557"/>
      <c r="P41" s="460"/>
      <c r="Q41" s="557"/>
      <c r="R41" s="460"/>
      <c r="S41" s="557"/>
      <c r="T41" s="460"/>
      <c r="U41" s="783"/>
      <c r="V41" s="460"/>
    </row>
    <row r="42" spans="1:22">
      <c r="A42" s="519"/>
      <c r="B42" s="520"/>
      <c r="C42" s="521"/>
      <c r="D42" s="522"/>
      <c r="E42" s="517"/>
      <c r="F42" s="465"/>
      <c r="G42" s="557"/>
      <c r="H42" s="460"/>
      <c r="I42" s="557"/>
      <c r="J42" s="460"/>
      <c r="K42" s="557"/>
      <c r="L42" s="460"/>
      <c r="M42" s="557"/>
      <c r="N42" s="460"/>
      <c r="O42" s="557"/>
      <c r="P42" s="460"/>
      <c r="Q42" s="557"/>
      <c r="R42" s="460"/>
      <c r="S42" s="557"/>
      <c r="T42" s="460"/>
      <c r="U42" s="783"/>
      <c r="V42" s="460"/>
    </row>
    <row r="43" spans="1:22">
      <c r="A43" s="519"/>
      <c r="B43" s="520"/>
      <c r="C43" s="521"/>
      <c r="D43" s="522"/>
      <c r="E43" s="517"/>
      <c r="F43" s="465"/>
      <c r="G43" s="557"/>
      <c r="H43" s="460"/>
      <c r="I43" s="557"/>
      <c r="J43" s="460"/>
      <c r="K43" s="557"/>
      <c r="L43" s="460"/>
      <c r="M43" s="557"/>
      <c r="N43" s="460"/>
      <c r="O43" s="557"/>
      <c r="P43" s="460"/>
      <c r="Q43" s="557"/>
      <c r="R43" s="460"/>
      <c r="S43" s="557"/>
      <c r="T43" s="460"/>
      <c r="U43" s="783"/>
      <c r="V43" s="460"/>
    </row>
    <row r="44" spans="1:22">
      <c r="A44" s="519"/>
      <c r="B44" s="520"/>
      <c r="C44" s="521"/>
      <c r="D44" s="522"/>
      <c r="E44" s="517"/>
      <c r="F44" s="465"/>
      <c r="G44" s="557"/>
      <c r="H44" s="460"/>
      <c r="I44" s="557"/>
      <c r="J44" s="460"/>
      <c r="K44" s="557"/>
      <c r="L44" s="460"/>
      <c r="M44" s="557"/>
      <c r="N44" s="460"/>
      <c r="O44" s="557"/>
      <c r="P44" s="460"/>
      <c r="Q44" s="557"/>
      <c r="R44" s="460"/>
      <c r="S44" s="557"/>
      <c r="T44" s="460"/>
      <c r="U44" s="783"/>
      <c r="V44" s="460"/>
    </row>
    <row r="45" spans="1:22">
      <c r="A45" s="519"/>
      <c r="B45" s="520"/>
      <c r="C45" s="521"/>
      <c r="D45" s="522"/>
      <c r="E45" s="517"/>
      <c r="F45" s="465"/>
      <c r="G45" s="557"/>
      <c r="H45" s="460"/>
      <c r="I45" s="557"/>
      <c r="J45" s="460"/>
      <c r="K45" s="557"/>
      <c r="L45" s="460"/>
      <c r="M45" s="557"/>
      <c r="N45" s="460"/>
      <c r="O45" s="557"/>
      <c r="P45" s="460"/>
      <c r="Q45" s="557"/>
      <c r="R45" s="460"/>
      <c r="S45" s="557"/>
      <c r="T45" s="460"/>
      <c r="U45" s="783"/>
      <c r="V45" s="460"/>
    </row>
    <row r="46" spans="1:22">
      <c r="A46" s="519"/>
      <c r="B46" s="520"/>
      <c r="C46" s="521"/>
      <c r="D46" s="522"/>
      <c r="E46" s="517"/>
      <c r="F46" s="465"/>
      <c r="G46" s="557"/>
      <c r="H46" s="460"/>
      <c r="I46" s="557"/>
      <c r="J46" s="460"/>
      <c r="K46" s="557"/>
      <c r="L46" s="460"/>
      <c r="M46" s="557"/>
      <c r="N46" s="460"/>
      <c r="O46" s="557"/>
      <c r="P46" s="460"/>
      <c r="Q46" s="557"/>
      <c r="R46" s="460"/>
      <c r="S46" s="557"/>
      <c r="T46" s="460"/>
      <c r="U46" s="783"/>
      <c r="V46" s="460"/>
    </row>
    <row r="47" spans="1:22">
      <c r="A47" s="519"/>
      <c r="B47" s="520"/>
      <c r="C47" s="521"/>
      <c r="D47" s="522"/>
      <c r="E47" s="517"/>
      <c r="F47" s="465"/>
      <c r="G47" s="557"/>
      <c r="H47" s="460"/>
      <c r="I47" s="557"/>
      <c r="J47" s="460"/>
      <c r="K47" s="557"/>
      <c r="L47" s="460"/>
      <c r="M47" s="557"/>
      <c r="N47" s="460"/>
      <c r="O47" s="557"/>
      <c r="P47" s="460"/>
      <c r="Q47" s="557"/>
      <c r="R47" s="460"/>
      <c r="S47" s="557"/>
      <c r="T47" s="460"/>
      <c r="U47" s="783"/>
      <c r="V47" s="460"/>
    </row>
    <row r="48" spans="1:22">
      <c r="A48" s="519"/>
      <c r="B48" s="520"/>
      <c r="C48" s="521"/>
      <c r="D48" s="522"/>
      <c r="E48" s="517"/>
      <c r="F48" s="465"/>
      <c r="G48" s="557"/>
      <c r="H48" s="460"/>
      <c r="I48" s="557"/>
      <c r="J48" s="460"/>
      <c r="K48" s="557"/>
      <c r="L48" s="460"/>
      <c r="M48" s="557"/>
      <c r="N48" s="460"/>
      <c r="O48" s="557"/>
      <c r="P48" s="460"/>
      <c r="Q48" s="557"/>
      <c r="R48" s="460"/>
      <c r="S48" s="557"/>
      <c r="T48" s="460"/>
      <c r="U48" s="783"/>
      <c r="V48" s="460"/>
    </row>
    <row r="49" spans="1:22">
      <c r="A49" s="519"/>
      <c r="B49" s="520"/>
      <c r="C49" s="521"/>
      <c r="D49" s="522"/>
      <c r="E49" s="517"/>
      <c r="F49" s="465"/>
      <c r="G49" s="557"/>
      <c r="H49" s="460"/>
      <c r="I49" s="557"/>
      <c r="J49" s="460"/>
      <c r="K49" s="557"/>
      <c r="L49" s="460"/>
      <c r="M49" s="557"/>
      <c r="N49" s="460"/>
      <c r="O49" s="557"/>
      <c r="P49" s="460"/>
      <c r="Q49" s="557"/>
      <c r="R49" s="460"/>
      <c r="S49" s="557"/>
      <c r="T49" s="460"/>
      <c r="U49" s="783"/>
      <c r="V49" s="460"/>
    </row>
    <row r="50" spans="1:22">
      <c r="A50" s="519"/>
      <c r="B50" s="520"/>
      <c r="C50" s="521"/>
      <c r="D50" s="522"/>
      <c r="E50" s="517"/>
      <c r="F50" s="465"/>
      <c r="G50" s="557"/>
      <c r="H50" s="460"/>
      <c r="I50" s="557"/>
      <c r="J50" s="460"/>
      <c r="K50" s="557"/>
      <c r="L50" s="460"/>
      <c r="M50" s="557"/>
      <c r="N50" s="460"/>
      <c r="O50" s="557"/>
      <c r="P50" s="460"/>
      <c r="Q50" s="557"/>
      <c r="R50" s="460"/>
      <c r="S50" s="557"/>
      <c r="T50" s="460"/>
      <c r="U50" s="783"/>
      <c r="V50" s="460"/>
    </row>
    <row r="51" spans="1:22">
      <c r="A51" s="519"/>
      <c r="B51" s="520"/>
      <c r="C51" s="521"/>
      <c r="D51" s="522"/>
      <c r="E51" s="517"/>
      <c r="F51" s="465"/>
      <c r="G51" s="557"/>
      <c r="H51" s="460"/>
      <c r="I51" s="557"/>
      <c r="J51" s="460"/>
      <c r="K51" s="557"/>
      <c r="L51" s="460"/>
      <c r="M51" s="557"/>
      <c r="N51" s="460"/>
      <c r="O51" s="557"/>
      <c r="P51" s="460"/>
      <c r="Q51" s="557"/>
      <c r="R51" s="460"/>
      <c r="S51" s="557"/>
      <c r="T51" s="460"/>
      <c r="U51" s="783"/>
      <c r="V51" s="460"/>
    </row>
    <row r="52" spans="1:22">
      <c r="A52" s="519"/>
      <c r="B52" s="520"/>
      <c r="C52" s="521"/>
      <c r="D52" s="522"/>
      <c r="E52" s="517"/>
      <c r="F52" s="465"/>
      <c r="G52" s="557"/>
      <c r="H52" s="460"/>
      <c r="I52" s="557"/>
      <c r="J52" s="460"/>
      <c r="K52" s="557"/>
      <c r="L52" s="460"/>
      <c r="M52" s="557"/>
      <c r="N52" s="460"/>
      <c r="O52" s="557"/>
      <c r="P52" s="460"/>
      <c r="Q52" s="557"/>
      <c r="R52" s="460"/>
      <c r="S52" s="557"/>
      <c r="T52" s="460"/>
      <c r="U52" s="783"/>
      <c r="V52" s="460"/>
    </row>
    <row r="53" spans="1:22">
      <c r="A53" s="519"/>
      <c r="B53" s="520"/>
      <c r="C53" s="521"/>
      <c r="D53" s="522"/>
      <c r="E53" s="517"/>
      <c r="F53" s="465"/>
      <c r="G53" s="557"/>
      <c r="H53" s="460"/>
      <c r="I53" s="557"/>
      <c r="J53" s="460"/>
      <c r="K53" s="557"/>
      <c r="L53" s="460"/>
      <c r="M53" s="557"/>
      <c r="N53" s="460"/>
      <c r="O53" s="557"/>
      <c r="P53" s="460"/>
      <c r="Q53" s="557"/>
      <c r="R53" s="460"/>
      <c r="S53" s="557"/>
      <c r="T53" s="460"/>
      <c r="U53" s="783"/>
      <c r="V53" s="460"/>
    </row>
    <row r="54" spans="1:22">
      <c r="A54" s="519"/>
      <c r="B54" s="520"/>
      <c r="C54" s="521"/>
      <c r="D54" s="522"/>
      <c r="E54" s="517"/>
      <c r="F54" s="465"/>
      <c r="G54" s="557"/>
      <c r="H54" s="460"/>
      <c r="I54" s="557"/>
      <c r="J54" s="460"/>
      <c r="K54" s="557"/>
      <c r="L54" s="460"/>
      <c r="M54" s="557"/>
      <c r="N54" s="460"/>
      <c r="O54" s="557"/>
      <c r="P54" s="460"/>
      <c r="Q54" s="557"/>
      <c r="R54" s="460"/>
      <c r="S54" s="557"/>
      <c r="T54" s="460"/>
      <c r="U54" s="783"/>
      <c r="V54" s="460"/>
    </row>
    <row r="55" spans="1:22">
      <c r="A55" s="519"/>
      <c r="B55" s="520"/>
      <c r="C55" s="521"/>
      <c r="D55" s="522"/>
      <c r="E55" s="517"/>
      <c r="F55" s="465"/>
      <c r="G55" s="557"/>
      <c r="H55" s="460"/>
      <c r="I55" s="557"/>
      <c r="J55" s="460"/>
      <c r="K55" s="557"/>
      <c r="L55" s="460"/>
      <c r="M55" s="557"/>
      <c r="N55" s="460"/>
      <c r="O55" s="557"/>
      <c r="P55" s="460"/>
      <c r="Q55" s="557"/>
      <c r="R55" s="460"/>
      <c r="S55" s="557"/>
      <c r="T55" s="460"/>
      <c r="U55" s="783"/>
      <c r="V55" s="460"/>
    </row>
    <row r="56" spans="1:22">
      <c r="A56" s="519"/>
      <c r="B56" s="520"/>
      <c r="C56" s="521"/>
      <c r="D56" s="522"/>
      <c r="E56" s="517"/>
      <c r="F56" s="465"/>
      <c r="G56" s="557"/>
      <c r="H56" s="460"/>
      <c r="I56" s="557"/>
      <c r="J56" s="460"/>
      <c r="K56" s="557"/>
      <c r="L56" s="460"/>
      <c r="M56" s="557"/>
      <c r="N56" s="460"/>
      <c r="O56" s="557"/>
      <c r="P56" s="460"/>
      <c r="Q56" s="557"/>
      <c r="R56" s="460"/>
      <c r="S56" s="557"/>
      <c r="T56" s="460"/>
      <c r="U56" s="783"/>
      <c r="V56" s="460"/>
    </row>
    <row r="57" spans="1:22">
      <c r="A57" s="519"/>
      <c r="B57" s="520"/>
      <c r="C57" s="521"/>
      <c r="D57" s="522"/>
      <c r="E57" s="517"/>
      <c r="F57" s="465"/>
      <c r="G57" s="557"/>
      <c r="H57" s="460"/>
      <c r="I57" s="557"/>
      <c r="J57" s="460"/>
      <c r="K57" s="557"/>
      <c r="L57" s="460"/>
      <c r="M57" s="557"/>
      <c r="N57" s="460"/>
      <c r="O57" s="557"/>
      <c r="P57" s="460"/>
      <c r="Q57" s="557"/>
      <c r="R57" s="460"/>
      <c r="S57" s="557"/>
      <c r="T57" s="460"/>
      <c r="U57" s="783"/>
      <c r="V57" s="460"/>
    </row>
    <row r="58" spans="1:22">
      <c r="A58" s="519"/>
      <c r="B58" s="520"/>
      <c r="C58" s="521"/>
      <c r="D58" s="522"/>
      <c r="E58" s="517"/>
      <c r="F58" s="465"/>
      <c r="G58" s="557"/>
      <c r="H58" s="460"/>
      <c r="I58" s="557"/>
      <c r="J58" s="460"/>
      <c r="K58" s="557"/>
      <c r="L58" s="460"/>
      <c r="M58" s="557"/>
      <c r="N58" s="460"/>
      <c r="O58" s="557"/>
      <c r="P58" s="460"/>
      <c r="Q58" s="557"/>
      <c r="R58" s="460"/>
      <c r="S58" s="557"/>
      <c r="T58" s="460"/>
      <c r="U58" s="783"/>
      <c r="V58" s="460"/>
    </row>
    <row r="59" spans="1:22">
      <c r="A59" s="519"/>
      <c r="B59" s="520"/>
      <c r="C59" s="521"/>
      <c r="D59" s="522"/>
      <c r="E59" s="517"/>
      <c r="F59" s="465"/>
      <c r="G59" s="557"/>
      <c r="H59" s="460"/>
      <c r="I59" s="557"/>
      <c r="J59" s="460"/>
      <c r="K59" s="557"/>
      <c r="L59" s="460"/>
      <c r="M59" s="557"/>
      <c r="N59" s="460"/>
      <c r="O59" s="557"/>
      <c r="P59" s="460"/>
      <c r="Q59" s="557"/>
      <c r="R59" s="460"/>
      <c r="S59" s="557"/>
      <c r="T59" s="460"/>
      <c r="U59" s="783"/>
      <c r="V59" s="460"/>
    </row>
    <row r="60" spans="1:22">
      <c r="A60" s="519"/>
      <c r="B60" s="520"/>
      <c r="C60" s="521"/>
      <c r="D60" s="522"/>
      <c r="E60" s="517"/>
      <c r="F60" s="465"/>
      <c r="G60" s="557"/>
      <c r="H60" s="460"/>
      <c r="I60" s="557"/>
      <c r="J60" s="460"/>
      <c r="K60" s="557"/>
      <c r="L60" s="460"/>
      <c r="M60" s="557"/>
      <c r="N60" s="460"/>
      <c r="O60" s="557"/>
      <c r="P60" s="460"/>
      <c r="Q60" s="557"/>
      <c r="R60" s="460"/>
      <c r="S60" s="557"/>
      <c r="T60" s="460"/>
      <c r="U60" s="783"/>
      <c r="V60" s="460"/>
    </row>
    <row r="61" spans="1:22">
      <c r="A61" s="519"/>
      <c r="B61" s="520"/>
      <c r="C61" s="521"/>
      <c r="D61" s="522"/>
      <c r="E61" s="517"/>
      <c r="F61" s="465"/>
      <c r="G61" s="557"/>
      <c r="H61" s="460"/>
      <c r="I61" s="557"/>
      <c r="J61" s="460"/>
      <c r="K61" s="557"/>
      <c r="L61" s="460"/>
      <c r="M61" s="557"/>
      <c r="N61" s="460"/>
      <c r="O61" s="557"/>
      <c r="P61" s="460"/>
      <c r="Q61" s="557"/>
      <c r="R61" s="460"/>
      <c r="S61" s="557"/>
      <c r="T61" s="460"/>
      <c r="U61" s="783"/>
      <c r="V61" s="460"/>
    </row>
    <row r="62" spans="1:22">
      <c r="A62" s="519"/>
      <c r="B62" s="520"/>
      <c r="C62" s="521"/>
      <c r="D62" s="522"/>
      <c r="E62" s="517"/>
      <c r="F62" s="465"/>
      <c r="G62" s="557"/>
      <c r="H62" s="460"/>
      <c r="I62" s="557"/>
      <c r="J62" s="460"/>
      <c r="K62" s="557"/>
      <c r="L62" s="460"/>
      <c r="M62" s="557"/>
      <c r="N62" s="460"/>
      <c r="O62" s="557"/>
      <c r="P62" s="460"/>
      <c r="Q62" s="557"/>
      <c r="R62" s="460"/>
      <c r="S62" s="557"/>
      <c r="T62" s="460"/>
      <c r="U62" s="783"/>
      <c r="V62" s="460"/>
    </row>
    <row r="63" spans="1:22">
      <c r="A63" s="519"/>
      <c r="B63" s="520"/>
      <c r="C63" s="521"/>
      <c r="D63" s="522"/>
      <c r="E63" s="517"/>
      <c r="F63" s="465"/>
      <c r="G63" s="557"/>
      <c r="H63" s="460"/>
      <c r="I63" s="557"/>
      <c r="J63" s="460"/>
      <c r="K63" s="557"/>
      <c r="L63" s="460"/>
      <c r="M63" s="557"/>
      <c r="N63" s="460"/>
      <c r="O63" s="557"/>
      <c r="P63" s="460"/>
      <c r="Q63" s="557"/>
      <c r="R63" s="460"/>
      <c r="S63" s="557"/>
      <c r="T63" s="460"/>
      <c r="U63" s="783"/>
      <c r="V63" s="460"/>
    </row>
    <row r="64" spans="1:22">
      <c r="A64" s="519"/>
      <c r="B64" s="520"/>
      <c r="C64" s="521"/>
      <c r="D64" s="522"/>
      <c r="E64" s="517"/>
      <c r="F64" s="465"/>
      <c r="G64" s="557"/>
      <c r="H64" s="460"/>
      <c r="I64" s="557"/>
      <c r="J64" s="460"/>
      <c r="K64" s="557"/>
      <c r="L64" s="460"/>
      <c r="M64" s="557"/>
      <c r="N64" s="460"/>
      <c r="O64" s="557"/>
      <c r="P64" s="460"/>
      <c r="Q64" s="557"/>
      <c r="R64" s="460"/>
      <c r="S64" s="557"/>
      <c r="T64" s="460"/>
      <c r="U64" s="783"/>
      <c r="V64" s="460"/>
    </row>
    <row r="65" spans="1:22">
      <c r="A65" s="519"/>
      <c r="B65" s="520"/>
      <c r="C65" s="521"/>
      <c r="D65" s="522"/>
      <c r="E65" s="517"/>
      <c r="F65" s="465"/>
      <c r="G65" s="557"/>
      <c r="H65" s="460"/>
      <c r="I65" s="557"/>
      <c r="J65" s="460"/>
      <c r="K65" s="557"/>
      <c r="L65" s="460"/>
      <c r="M65" s="557"/>
      <c r="N65" s="460"/>
      <c r="O65" s="557"/>
      <c r="P65" s="460"/>
      <c r="Q65" s="557"/>
      <c r="R65" s="460"/>
      <c r="S65" s="557"/>
      <c r="T65" s="460"/>
      <c r="U65" s="783"/>
      <c r="V65" s="460"/>
    </row>
    <row r="66" spans="1:22">
      <c r="A66" s="519"/>
      <c r="B66" s="520"/>
      <c r="C66" s="521"/>
      <c r="D66" s="522"/>
      <c r="E66" s="517"/>
      <c r="F66" s="465"/>
      <c r="G66" s="557"/>
      <c r="H66" s="460"/>
      <c r="I66" s="557"/>
      <c r="J66" s="460"/>
      <c r="K66" s="557"/>
      <c r="L66" s="460"/>
      <c r="M66" s="557"/>
      <c r="N66" s="460"/>
      <c r="O66" s="557"/>
      <c r="P66" s="460"/>
      <c r="Q66" s="557"/>
      <c r="R66" s="460"/>
      <c r="S66" s="557"/>
      <c r="T66" s="460"/>
      <c r="U66" s="783"/>
      <c r="V66" s="460"/>
    </row>
    <row r="67" spans="1:22">
      <c r="A67" s="519"/>
      <c r="B67" s="520"/>
      <c r="C67" s="521"/>
      <c r="D67" s="522"/>
      <c r="E67" s="517"/>
      <c r="F67" s="465"/>
      <c r="G67" s="557"/>
      <c r="H67" s="460"/>
      <c r="I67" s="557"/>
      <c r="J67" s="460"/>
      <c r="K67" s="557"/>
      <c r="L67" s="460"/>
      <c r="M67" s="557"/>
      <c r="N67" s="460"/>
      <c r="O67" s="557"/>
      <c r="P67" s="460"/>
      <c r="Q67" s="557"/>
      <c r="R67" s="460"/>
      <c r="S67" s="557"/>
      <c r="T67" s="460"/>
      <c r="U67" s="783"/>
      <c r="V67" s="460"/>
    </row>
    <row r="68" spans="1:22">
      <c r="A68" s="519"/>
      <c r="B68" s="520"/>
      <c r="C68" s="521"/>
      <c r="D68" s="522"/>
      <c r="E68" s="517"/>
      <c r="F68" s="465"/>
      <c r="G68" s="557"/>
      <c r="H68" s="460"/>
      <c r="I68" s="557"/>
      <c r="J68" s="460"/>
      <c r="K68" s="557"/>
      <c r="L68" s="460"/>
      <c r="M68" s="557"/>
      <c r="N68" s="460"/>
      <c r="O68" s="557"/>
      <c r="P68" s="460"/>
      <c r="Q68" s="557"/>
      <c r="R68" s="460"/>
      <c r="S68" s="557"/>
      <c r="T68" s="460"/>
      <c r="U68" s="783"/>
      <c r="V68" s="460"/>
    </row>
    <row r="69" spans="1:22">
      <c r="A69" s="519"/>
      <c r="B69" s="520"/>
      <c r="C69" s="521"/>
      <c r="D69" s="522"/>
      <c r="E69" s="517"/>
      <c r="F69" s="465"/>
      <c r="G69" s="557"/>
      <c r="H69" s="460"/>
      <c r="I69" s="557"/>
      <c r="J69" s="460"/>
      <c r="K69" s="557"/>
      <c r="L69" s="460"/>
      <c r="M69" s="557"/>
      <c r="N69" s="460"/>
      <c r="O69" s="557"/>
      <c r="P69" s="460"/>
      <c r="Q69" s="557"/>
      <c r="R69" s="460"/>
      <c r="S69" s="557"/>
      <c r="T69" s="460"/>
      <c r="U69" s="783"/>
      <c r="V69" s="460"/>
    </row>
    <row r="70" spans="1:22">
      <c r="A70" s="519"/>
      <c r="B70" s="520"/>
      <c r="C70" s="521"/>
      <c r="D70" s="522"/>
      <c r="E70" s="517"/>
      <c r="F70" s="465"/>
      <c r="G70" s="557"/>
      <c r="H70" s="460"/>
      <c r="I70" s="557"/>
      <c r="J70" s="460"/>
      <c r="K70" s="557"/>
      <c r="L70" s="460"/>
      <c r="M70" s="557"/>
      <c r="N70" s="460"/>
      <c r="O70" s="557"/>
      <c r="P70" s="460"/>
      <c r="Q70" s="557"/>
      <c r="R70" s="460"/>
      <c r="S70" s="557"/>
      <c r="T70" s="460"/>
      <c r="U70" s="783"/>
      <c r="V70" s="460"/>
    </row>
    <row r="71" spans="1:22">
      <c r="A71" s="519"/>
      <c r="B71" s="520"/>
      <c r="C71" s="521"/>
      <c r="D71" s="522"/>
      <c r="E71" s="517"/>
      <c r="F71" s="465"/>
      <c r="G71" s="557"/>
      <c r="H71" s="460"/>
      <c r="I71" s="557"/>
      <c r="J71" s="460"/>
      <c r="K71" s="557"/>
      <c r="L71" s="460"/>
      <c r="M71" s="557"/>
      <c r="N71" s="460"/>
      <c r="O71" s="557"/>
      <c r="P71" s="460"/>
      <c r="Q71" s="557"/>
      <c r="R71" s="460"/>
      <c r="S71" s="557"/>
      <c r="T71" s="460"/>
      <c r="U71" s="783"/>
      <c r="V71" s="460"/>
    </row>
    <row r="72" spans="1:22">
      <c r="A72" s="519"/>
      <c r="B72" s="520"/>
      <c r="C72" s="521"/>
      <c r="D72" s="522"/>
      <c r="E72" s="517"/>
      <c r="F72" s="465"/>
      <c r="G72" s="557"/>
      <c r="H72" s="460"/>
      <c r="I72" s="557"/>
      <c r="J72" s="460"/>
      <c r="K72" s="557"/>
      <c r="L72" s="460"/>
      <c r="M72" s="557"/>
      <c r="N72" s="460"/>
      <c r="O72" s="557"/>
      <c r="P72" s="460"/>
      <c r="Q72" s="557"/>
      <c r="R72" s="460"/>
      <c r="S72" s="557"/>
      <c r="T72" s="460"/>
      <c r="U72" s="783"/>
      <c r="V72" s="460"/>
    </row>
    <row r="73" spans="1:22">
      <c r="A73" s="519"/>
      <c r="B73" s="520"/>
      <c r="C73" s="521"/>
      <c r="D73" s="522"/>
      <c r="E73" s="517"/>
      <c r="F73" s="465"/>
      <c r="G73" s="557"/>
      <c r="H73" s="460"/>
      <c r="I73" s="557"/>
      <c r="J73" s="460"/>
      <c r="K73" s="557"/>
      <c r="L73" s="460"/>
      <c r="M73" s="557"/>
      <c r="N73" s="460"/>
      <c r="O73" s="557"/>
      <c r="P73" s="460"/>
      <c r="Q73" s="557"/>
      <c r="R73" s="460"/>
      <c r="S73" s="557"/>
      <c r="T73" s="460"/>
      <c r="U73" s="783"/>
      <c r="V73" s="460"/>
    </row>
    <row r="74" spans="1:22">
      <c r="A74" s="519"/>
      <c r="B74" s="520"/>
      <c r="C74" s="521"/>
      <c r="D74" s="522"/>
      <c r="E74" s="517"/>
      <c r="F74" s="465"/>
      <c r="G74" s="557"/>
      <c r="H74" s="460"/>
      <c r="I74" s="557"/>
      <c r="J74" s="460"/>
      <c r="K74" s="557"/>
      <c r="L74" s="460"/>
      <c r="M74" s="557"/>
      <c r="N74" s="460"/>
      <c r="O74" s="557"/>
      <c r="P74" s="460"/>
      <c r="Q74" s="557"/>
      <c r="R74" s="460"/>
      <c r="S74" s="557"/>
      <c r="T74" s="460"/>
      <c r="U74" s="783"/>
      <c r="V74" s="460"/>
    </row>
    <row r="75" spans="1:22">
      <c r="A75" s="519"/>
      <c r="B75" s="520"/>
      <c r="C75" s="521"/>
      <c r="D75" s="522"/>
      <c r="E75" s="517"/>
      <c r="F75" s="465"/>
      <c r="G75" s="557"/>
      <c r="H75" s="460"/>
      <c r="I75" s="557"/>
      <c r="J75" s="460"/>
      <c r="K75" s="557"/>
      <c r="L75" s="460"/>
      <c r="M75" s="557"/>
      <c r="N75" s="460"/>
      <c r="O75" s="557"/>
      <c r="P75" s="460"/>
      <c r="Q75" s="557"/>
      <c r="R75" s="460"/>
      <c r="S75" s="557"/>
      <c r="T75" s="460"/>
      <c r="U75" s="783"/>
      <c r="V75" s="460"/>
    </row>
    <row r="76" spans="1:22">
      <c r="A76" s="519"/>
      <c r="B76" s="520"/>
      <c r="C76" s="521"/>
      <c r="D76" s="522"/>
      <c r="E76" s="517"/>
      <c r="F76" s="465"/>
      <c r="G76" s="557"/>
      <c r="H76" s="460"/>
      <c r="I76" s="557"/>
      <c r="J76" s="460"/>
      <c r="K76" s="557"/>
      <c r="L76" s="460"/>
      <c r="M76" s="557"/>
      <c r="N76" s="460"/>
      <c r="O76" s="557"/>
      <c r="P76" s="460"/>
      <c r="Q76" s="557"/>
      <c r="R76" s="460"/>
      <c r="S76" s="557"/>
      <c r="T76" s="460"/>
      <c r="U76" s="783"/>
      <c r="V76" s="460"/>
    </row>
    <row r="77" spans="1:22">
      <c r="A77" s="519"/>
      <c r="B77" s="520"/>
      <c r="C77" s="521"/>
      <c r="D77" s="522"/>
      <c r="E77" s="517"/>
      <c r="F77" s="465"/>
      <c r="G77" s="557"/>
      <c r="H77" s="460"/>
      <c r="I77" s="557"/>
      <c r="J77" s="460"/>
      <c r="K77" s="557"/>
      <c r="L77" s="460"/>
      <c r="M77" s="557"/>
      <c r="N77" s="460"/>
      <c r="O77" s="557"/>
      <c r="P77" s="460"/>
      <c r="Q77" s="557"/>
      <c r="R77" s="460"/>
      <c r="S77" s="557"/>
      <c r="T77" s="460"/>
      <c r="U77" s="783"/>
      <c r="V77" s="460"/>
    </row>
    <row r="78" spans="1:22">
      <c r="A78" s="519"/>
      <c r="B78" s="520"/>
      <c r="C78" s="521"/>
      <c r="D78" s="522"/>
      <c r="E78" s="517"/>
      <c r="F78" s="465"/>
      <c r="G78" s="557"/>
      <c r="H78" s="460"/>
      <c r="I78" s="557"/>
      <c r="J78" s="460"/>
      <c r="K78" s="557"/>
      <c r="L78" s="460"/>
      <c r="M78" s="557"/>
      <c r="N78" s="460"/>
      <c r="O78" s="557"/>
      <c r="P78" s="460"/>
      <c r="Q78" s="557"/>
      <c r="R78" s="460"/>
      <c r="S78" s="557"/>
      <c r="T78" s="460"/>
      <c r="U78" s="783"/>
      <c r="V78" s="460"/>
    </row>
    <row r="79" spans="1:22">
      <c r="A79" s="519"/>
      <c r="B79" s="520"/>
      <c r="C79" s="521"/>
      <c r="D79" s="522"/>
      <c r="E79" s="517"/>
      <c r="F79" s="465"/>
      <c r="G79" s="557"/>
      <c r="H79" s="460"/>
      <c r="I79" s="557"/>
      <c r="J79" s="460"/>
      <c r="K79" s="557"/>
      <c r="L79" s="460"/>
      <c r="M79" s="557"/>
      <c r="N79" s="460"/>
      <c r="O79" s="557"/>
      <c r="P79" s="460"/>
      <c r="Q79" s="557"/>
      <c r="R79" s="460"/>
      <c r="S79" s="557"/>
      <c r="T79" s="460"/>
      <c r="U79" s="783"/>
      <c r="V79" s="460"/>
    </row>
    <row r="80" spans="1:22">
      <c r="A80" s="519"/>
      <c r="B80" s="520"/>
      <c r="C80" s="521"/>
      <c r="D80" s="522"/>
      <c r="E80" s="517"/>
      <c r="F80" s="465"/>
      <c r="G80" s="557"/>
      <c r="H80" s="460"/>
      <c r="I80" s="557"/>
      <c r="J80" s="460"/>
      <c r="K80" s="557"/>
      <c r="L80" s="460"/>
      <c r="M80" s="557"/>
      <c r="N80" s="460"/>
      <c r="O80" s="557"/>
      <c r="P80" s="460"/>
      <c r="Q80" s="557"/>
      <c r="R80" s="460"/>
      <c r="S80" s="557"/>
      <c r="T80" s="460"/>
      <c r="U80" s="783"/>
      <c r="V80" s="460"/>
    </row>
    <row r="81" spans="1:22">
      <c r="A81" s="519"/>
      <c r="B81" s="520"/>
      <c r="C81" s="521"/>
      <c r="D81" s="522"/>
      <c r="E81" s="517"/>
      <c r="F81" s="465"/>
      <c r="G81" s="557"/>
      <c r="H81" s="460"/>
      <c r="I81" s="557"/>
      <c r="J81" s="460"/>
      <c r="K81" s="557"/>
      <c r="L81" s="460"/>
      <c r="M81" s="557"/>
      <c r="N81" s="460"/>
      <c r="O81" s="557"/>
      <c r="P81" s="460"/>
      <c r="Q81" s="557"/>
      <c r="R81" s="460"/>
      <c r="S81" s="557"/>
      <c r="T81" s="460"/>
      <c r="U81" s="783"/>
      <c r="V81" s="460"/>
    </row>
    <row r="82" spans="1:22">
      <c r="A82" s="519"/>
      <c r="B82" s="520"/>
      <c r="C82" s="521"/>
      <c r="D82" s="522"/>
      <c r="E82" s="517"/>
      <c r="F82" s="465"/>
      <c r="G82" s="557"/>
      <c r="H82" s="460"/>
      <c r="I82" s="557"/>
      <c r="J82" s="460"/>
      <c r="K82" s="557"/>
      <c r="L82" s="460"/>
      <c r="M82" s="557"/>
      <c r="N82" s="460"/>
      <c r="O82" s="557"/>
      <c r="P82" s="460"/>
      <c r="Q82" s="557"/>
      <c r="R82" s="460"/>
      <c r="S82" s="557"/>
      <c r="T82" s="460"/>
      <c r="U82" s="783"/>
      <c r="V82" s="460"/>
    </row>
    <row r="83" spans="1:22">
      <c r="A83" s="519"/>
      <c r="B83" s="520"/>
      <c r="C83" s="521"/>
      <c r="D83" s="522"/>
      <c r="E83" s="517"/>
      <c r="F83" s="465"/>
      <c r="G83" s="557"/>
      <c r="H83" s="460"/>
      <c r="I83" s="557"/>
      <c r="J83" s="460"/>
      <c r="K83" s="557"/>
      <c r="L83" s="460"/>
      <c r="M83" s="557"/>
      <c r="N83" s="460"/>
      <c r="O83" s="557"/>
      <c r="P83" s="460"/>
      <c r="Q83" s="557"/>
      <c r="R83" s="460"/>
      <c r="S83" s="557"/>
      <c r="T83" s="460"/>
      <c r="U83" s="783"/>
      <c r="V83" s="460"/>
    </row>
    <row r="84" spans="1:22">
      <c r="A84" s="519"/>
      <c r="B84" s="520"/>
      <c r="C84" s="521"/>
      <c r="D84" s="522"/>
      <c r="E84" s="517"/>
      <c r="F84" s="465"/>
      <c r="G84" s="557"/>
      <c r="H84" s="460"/>
      <c r="I84" s="557"/>
      <c r="J84" s="460"/>
      <c r="K84" s="557"/>
      <c r="L84" s="460"/>
      <c r="M84" s="557"/>
      <c r="N84" s="460"/>
      <c r="O84" s="557"/>
      <c r="P84" s="460"/>
      <c r="Q84" s="557"/>
      <c r="R84" s="460"/>
      <c r="S84" s="557"/>
      <c r="T84" s="460"/>
      <c r="U84" s="783"/>
      <c r="V84" s="460"/>
    </row>
    <row r="85" spans="1:22">
      <c r="A85" s="519"/>
      <c r="B85" s="520"/>
      <c r="C85" s="521"/>
      <c r="D85" s="522"/>
      <c r="E85" s="517"/>
      <c r="F85" s="465"/>
      <c r="G85" s="557"/>
      <c r="H85" s="460"/>
      <c r="I85" s="557"/>
      <c r="J85" s="460"/>
      <c r="K85" s="557"/>
      <c r="L85" s="460"/>
      <c r="M85" s="557"/>
      <c r="N85" s="460"/>
      <c r="O85" s="557"/>
      <c r="P85" s="460"/>
      <c r="Q85" s="557"/>
      <c r="R85" s="460"/>
      <c r="S85" s="557"/>
      <c r="T85" s="460"/>
      <c r="U85" s="783"/>
      <c r="V85" s="460"/>
    </row>
    <row r="86" spans="1:22">
      <c r="A86" s="519"/>
      <c r="B86" s="520"/>
      <c r="C86" s="521"/>
      <c r="D86" s="522"/>
      <c r="E86" s="517"/>
      <c r="F86" s="465"/>
      <c r="G86" s="557"/>
      <c r="H86" s="460"/>
      <c r="I86" s="557"/>
      <c r="J86" s="460"/>
      <c r="K86" s="557"/>
      <c r="L86" s="460"/>
      <c r="M86" s="557"/>
      <c r="N86" s="460"/>
      <c r="O86" s="557"/>
      <c r="P86" s="460"/>
      <c r="Q86" s="557"/>
      <c r="R86" s="460"/>
      <c r="S86" s="557"/>
      <c r="T86" s="460"/>
      <c r="U86" s="783"/>
      <c r="V86" s="460"/>
    </row>
    <row r="87" spans="1:22">
      <c r="A87" s="519"/>
      <c r="B87" s="520"/>
      <c r="C87" s="521"/>
      <c r="D87" s="522"/>
      <c r="E87" s="517"/>
      <c r="F87" s="465"/>
      <c r="G87" s="557"/>
      <c r="H87" s="460"/>
      <c r="I87" s="557"/>
      <c r="J87" s="460"/>
      <c r="K87" s="557"/>
      <c r="L87" s="460"/>
      <c r="M87" s="557"/>
      <c r="N87" s="460"/>
      <c r="O87" s="557"/>
      <c r="P87" s="460"/>
      <c r="Q87" s="557"/>
      <c r="R87" s="460"/>
      <c r="S87" s="557"/>
      <c r="T87" s="460"/>
      <c r="U87" s="783"/>
      <c r="V87" s="460"/>
    </row>
    <row r="88" spans="1:22">
      <c r="A88" s="519"/>
      <c r="B88" s="520"/>
      <c r="C88" s="521"/>
      <c r="D88" s="522"/>
      <c r="E88" s="517"/>
      <c r="F88" s="465"/>
      <c r="G88" s="557"/>
      <c r="H88" s="460"/>
      <c r="I88" s="557"/>
      <c r="J88" s="460"/>
      <c r="K88" s="557"/>
      <c r="L88" s="460"/>
      <c r="M88" s="557"/>
      <c r="N88" s="460"/>
      <c r="O88" s="557"/>
      <c r="P88" s="460"/>
      <c r="Q88" s="557"/>
      <c r="R88" s="460"/>
      <c r="S88" s="557"/>
      <c r="T88" s="460"/>
      <c r="U88" s="783"/>
      <c r="V88" s="460"/>
    </row>
    <row r="89" spans="1:22">
      <c r="A89" s="519"/>
      <c r="B89" s="520"/>
      <c r="C89" s="521"/>
      <c r="D89" s="522"/>
      <c r="E89" s="517"/>
      <c r="F89" s="465"/>
      <c r="G89" s="557"/>
      <c r="H89" s="460"/>
      <c r="I89" s="557"/>
      <c r="J89" s="460"/>
      <c r="K89" s="557"/>
      <c r="L89" s="460"/>
      <c r="M89" s="557"/>
      <c r="N89" s="460"/>
      <c r="O89" s="557"/>
      <c r="P89" s="460"/>
      <c r="Q89" s="557"/>
      <c r="R89" s="460"/>
      <c r="S89" s="557"/>
      <c r="T89" s="460"/>
      <c r="U89" s="783"/>
      <c r="V89" s="460"/>
    </row>
    <row r="90" spans="1:22">
      <c r="A90" s="519"/>
      <c r="B90" s="520"/>
      <c r="C90" s="521"/>
      <c r="D90" s="522"/>
      <c r="E90" s="517"/>
      <c r="F90" s="465"/>
      <c r="G90" s="557"/>
      <c r="H90" s="460"/>
      <c r="I90" s="557"/>
      <c r="J90" s="460"/>
      <c r="K90" s="557"/>
      <c r="L90" s="460"/>
      <c r="M90" s="557"/>
      <c r="N90" s="460"/>
      <c r="O90" s="557"/>
      <c r="P90" s="460"/>
      <c r="Q90" s="557"/>
      <c r="R90" s="460"/>
      <c r="S90" s="557"/>
      <c r="T90" s="460"/>
      <c r="U90" s="783"/>
      <c r="V90" s="460"/>
    </row>
    <row r="91" spans="1:22">
      <c r="A91" s="519"/>
      <c r="B91" s="520"/>
      <c r="C91" s="521"/>
      <c r="D91" s="522"/>
      <c r="E91" s="517"/>
      <c r="F91" s="465"/>
      <c r="G91" s="557"/>
      <c r="H91" s="460"/>
      <c r="I91" s="557"/>
      <c r="J91" s="460"/>
      <c r="K91" s="557"/>
      <c r="L91" s="460"/>
      <c r="M91" s="557"/>
      <c r="N91" s="460"/>
      <c r="O91" s="557"/>
      <c r="P91" s="460"/>
      <c r="Q91" s="557"/>
      <c r="R91" s="460"/>
      <c r="S91" s="557"/>
      <c r="T91" s="460"/>
      <c r="U91" s="783"/>
      <c r="V91" s="460"/>
    </row>
    <row r="92" spans="1:22">
      <c r="A92" s="519"/>
      <c r="B92" s="520"/>
      <c r="C92" s="521"/>
      <c r="D92" s="522"/>
      <c r="E92" s="517"/>
      <c r="F92" s="465"/>
      <c r="G92" s="557"/>
      <c r="H92" s="460"/>
      <c r="I92" s="557"/>
      <c r="J92" s="460"/>
      <c r="K92" s="557"/>
      <c r="L92" s="460"/>
      <c r="M92" s="557"/>
      <c r="N92" s="460"/>
      <c r="O92" s="557"/>
      <c r="P92" s="460"/>
      <c r="Q92" s="557"/>
      <c r="R92" s="460"/>
      <c r="S92" s="557"/>
      <c r="T92" s="460"/>
      <c r="U92" s="783"/>
      <c r="V92" s="460"/>
    </row>
    <row r="93" spans="1:22">
      <c r="A93" s="519"/>
      <c r="B93" s="520"/>
      <c r="C93" s="521"/>
      <c r="D93" s="522"/>
      <c r="E93" s="517"/>
      <c r="F93" s="465"/>
      <c r="G93" s="557"/>
      <c r="H93" s="460"/>
      <c r="I93" s="557"/>
      <c r="J93" s="460"/>
      <c r="K93" s="557"/>
      <c r="L93" s="460"/>
      <c r="M93" s="557"/>
      <c r="N93" s="460"/>
      <c r="O93" s="557"/>
      <c r="P93" s="460"/>
      <c r="Q93" s="557"/>
      <c r="R93" s="460"/>
      <c r="S93" s="557"/>
      <c r="T93" s="460"/>
      <c r="U93" s="783"/>
      <c r="V93" s="460"/>
    </row>
    <row r="94" spans="1:22">
      <c r="A94" s="519"/>
      <c r="B94" s="520"/>
      <c r="C94" s="521"/>
      <c r="D94" s="522"/>
      <c r="E94" s="517"/>
      <c r="F94" s="465"/>
      <c r="G94" s="557"/>
      <c r="H94" s="460"/>
      <c r="I94" s="557"/>
      <c r="J94" s="460"/>
      <c r="K94" s="557"/>
      <c r="L94" s="460"/>
      <c r="M94" s="557"/>
      <c r="N94" s="460"/>
      <c r="O94" s="557"/>
      <c r="P94" s="460"/>
      <c r="Q94" s="557"/>
      <c r="R94" s="460"/>
      <c r="S94" s="557"/>
      <c r="T94" s="460"/>
      <c r="U94" s="783"/>
      <c r="V94" s="460"/>
    </row>
    <row r="95" spans="1:22">
      <c r="A95" s="519"/>
      <c r="B95" s="520"/>
      <c r="C95" s="521"/>
      <c r="D95" s="522"/>
      <c r="E95" s="517"/>
      <c r="F95" s="465"/>
      <c r="G95" s="557"/>
      <c r="H95" s="460"/>
      <c r="I95" s="557"/>
      <c r="J95" s="460"/>
      <c r="K95" s="557"/>
      <c r="L95" s="460"/>
      <c r="M95" s="557"/>
      <c r="N95" s="460"/>
      <c r="O95" s="557"/>
      <c r="P95" s="460"/>
      <c r="Q95" s="557"/>
      <c r="R95" s="460"/>
      <c r="S95" s="557"/>
      <c r="T95" s="460"/>
      <c r="U95" s="783"/>
      <c r="V95" s="460"/>
    </row>
    <row r="96" spans="1:22">
      <c r="A96" s="519"/>
      <c r="B96" s="520"/>
      <c r="C96" s="521"/>
      <c r="D96" s="522"/>
      <c r="E96" s="517"/>
      <c r="F96" s="465"/>
      <c r="G96" s="557"/>
      <c r="H96" s="460"/>
      <c r="I96" s="557"/>
      <c r="J96" s="460"/>
      <c r="K96" s="557"/>
      <c r="L96" s="460"/>
      <c r="M96" s="557"/>
      <c r="N96" s="460"/>
      <c r="O96" s="557"/>
      <c r="P96" s="460"/>
      <c r="Q96" s="557"/>
      <c r="R96" s="460"/>
      <c r="S96" s="557"/>
      <c r="T96" s="460"/>
      <c r="U96" s="783"/>
      <c r="V96" s="460"/>
    </row>
    <row r="97" spans="1:22">
      <c r="A97" s="519"/>
      <c r="B97" s="520"/>
      <c r="C97" s="521"/>
      <c r="D97" s="522"/>
      <c r="E97" s="517"/>
      <c r="F97" s="465"/>
      <c r="G97" s="557"/>
      <c r="H97" s="460"/>
      <c r="I97" s="557"/>
      <c r="J97" s="460"/>
      <c r="K97" s="557"/>
      <c r="L97" s="460"/>
      <c r="M97" s="557"/>
      <c r="N97" s="460"/>
      <c r="O97" s="557"/>
      <c r="P97" s="460"/>
      <c r="Q97" s="557"/>
      <c r="R97" s="460"/>
      <c r="S97" s="557"/>
      <c r="T97" s="460"/>
      <c r="U97" s="783"/>
      <c r="V97" s="460"/>
    </row>
    <row r="98" spans="1:22">
      <c r="A98" s="519"/>
      <c r="B98" s="520"/>
      <c r="C98" s="521"/>
      <c r="D98" s="522"/>
      <c r="E98" s="517"/>
      <c r="F98" s="465"/>
      <c r="G98" s="557"/>
      <c r="H98" s="460"/>
      <c r="I98" s="557"/>
      <c r="J98" s="460"/>
      <c r="K98" s="557"/>
      <c r="L98" s="460"/>
      <c r="M98" s="557"/>
      <c r="N98" s="460"/>
      <c r="O98" s="557"/>
      <c r="P98" s="460"/>
      <c r="Q98" s="557"/>
      <c r="R98" s="460"/>
      <c r="S98" s="557"/>
      <c r="T98" s="460"/>
      <c r="U98" s="783"/>
      <c r="V98" s="460"/>
    </row>
    <row r="99" spans="1:22">
      <c r="A99" s="519"/>
      <c r="B99" s="520"/>
      <c r="C99" s="521"/>
      <c r="D99" s="522"/>
      <c r="E99" s="517"/>
      <c r="F99" s="465"/>
      <c r="G99" s="557"/>
      <c r="H99" s="460"/>
      <c r="I99" s="557"/>
      <c r="J99" s="460"/>
      <c r="K99" s="557"/>
      <c r="L99" s="460"/>
      <c r="M99" s="557"/>
      <c r="N99" s="460"/>
      <c r="O99" s="557"/>
      <c r="P99" s="460"/>
      <c r="Q99" s="557"/>
      <c r="R99" s="460"/>
      <c r="S99" s="557"/>
      <c r="T99" s="460"/>
      <c r="U99" s="783"/>
      <c r="V99" s="460"/>
    </row>
    <row r="100" spans="1:22">
      <c r="A100" s="519"/>
      <c r="B100" s="520"/>
      <c r="C100" s="521"/>
      <c r="D100" s="522"/>
      <c r="E100" s="517"/>
      <c r="F100" s="465"/>
      <c r="G100" s="557"/>
      <c r="H100" s="460"/>
      <c r="I100" s="557"/>
      <c r="J100" s="460"/>
      <c r="K100" s="557"/>
      <c r="L100" s="460"/>
      <c r="M100" s="557"/>
      <c r="N100" s="460"/>
      <c r="O100" s="557"/>
      <c r="P100" s="460"/>
      <c r="Q100" s="557"/>
      <c r="R100" s="460"/>
      <c r="S100" s="557"/>
      <c r="T100" s="460"/>
      <c r="U100" s="783"/>
      <c r="V100" s="460"/>
    </row>
    <row r="101" spans="1:22">
      <c r="A101" s="519"/>
      <c r="B101" s="520"/>
      <c r="C101" s="521"/>
      <c r="D101" s="522"/>
      <c r="E101" s="517"/>
      <c r="F101" s="465"/>
      <c r="G101" s="557"/>
      <c r="H101" s="460"/>
      <c r="I101" s="557"/>
      <c r="J101" s="460"/>
      <c r="K101" s="557"/>
      <c r="L101" s="460"/>
      <c r="M101" s="557"/>
      <c r="N101" s="460"/>
      <c r="O101" s="557"/>
      <c r="P101" s="460"/>
      <c r="Q101" s="557"/>
      <c r="R101" s="460"/>
      <c r="S101" s="557"/>
      <c r="T101" s="460"/>
      <c r="U101" s="783"/>
      <c r="V101" s="460"/>
    </row>
    <row r="102" spans="1:22">
      <c r="A102" s="519"/>
      <c r="B102" s="520"/>
      <c r="C102" s="521"/>
      <c r="D102" s="522"/>
      <c r="E102" s="517"/>
      <c r="F102" s="465"/>
      <c r="G102" s="557"/>
      <c r="H102" s="460"/>
      <c r="I102" s="557"/>
      <c r="J102" s="460"/>
      <c r="K102" s="557"/>
      <c r="L102" s="460"/>
      <c r="M102" s="557"/>
      <c r="N102" s="460"/>
      <c r="O102" s="557"/>
      <c r="P102" s="460"/>
      <c r="Q102" s="557"/>
      <c r="R102" s="460"/>
      <c r="S102" s="557"/>
      <c r="T102" s="460"/>
      <c r="U102" s="783"/>
      <c r="V102" s="460"/>
    </row>
    <row r="103" spans="1:22">
      <c r="A103" s="519"/>
      <c r="B103" s="520"/>
      <c r="C103" s="521"/>
      <c r="D103" s="522"/>
      <c r="E103" s="517"/>
      <c r="F103" s="465"/>
      <c r="G103" s="557"/>
      <c r="H103" s="460"/>
      <c r="I103" s="557"/>
      <c r="J103" s="460"/>
      <c r="K103" s="557"/>
      <c r="L103" s="460"/>
      <c r="M103" s="557"/>
      <c r="N103" s="460"/>
      <c r="O103" s="557"/>
      <c r="P103" s="460"/>
      <c r="Q103" s="557"/>
      <c r="R103" s="460"/>
      <c r="S103" s="557"/>
      <c r="T103" s="460"/>
      <c r="U103" s="783"/>
      <c r="V103" s="460"/>
    </row>
    <row r="104" spans="1:22">
      <c r="A104" s="519"/>
      <c r="B104" s="520"/>
      <c r="C104" s="521"/>
      <c r="D104" s="522"/>
      <c r="E104" s="517"/>
      <c r="F104" s="465"/>
      <c r="G104" s="557"/>
      <c r="H104" s="460"/>
      <c r="I104" s="557"/>
      <c r="J104" s="460"/>
      <c r="K104" s="557"/>
      <c r="L104" s="460"/>
      <c r="M104" s="557"/>
      <c r="N104" s="460"/>
      <c r="O104" s="557"/>
      <c r="P104" s="460"/>
      <c r="Q104" s="557"/>
      <c r="R104" s="460"/>
      <c r="S104" s="557"/>
      <c r="T104" s="460"/>
      <c r="U104" s="783"/>
      <c r="V104" s="460"/>
    </row>
    <row r="105" spans="1:22">
      <c r="A105" s="519"/>
      <c r="B105" s="520"/>
      <c r="C105" s="521"/>
      <c r="D105" s="522"/>
      <c r="E105" s="517"/>
      <c r="F105" s="465"/>
      <c r="G105" s="557"/>
      <c r="H105" s="460"/>
      <c r="I105" s="557"/>
      <c r="J105" s="460"/>
      <c r="K105" s="557"/>
      <c r="L105" s="460"/>
      <c r="M105" s="557"/>
      <c r="N105" s="460"/>
      <c r="O105" s="557"/>
      <c r="P105" s="460"/>
      <c r="Q105" s="557"/>
      <c r="R105" s="460"/>
      <c r="S105" s="557"/>
      <c r="T105" s="460"/>
      <c r="U105" s="783"/>
      <c r="V105" s="460"/>
    </row>
    <row r="106" spans="1:22">
      <c r="A106" s="519"/>
      <c r="B106" s="520"/>
      <c r="C106" s="521"/>
      <c r="D106" s="522"/>
      <c r="E106" s="517"/>
      <c r="F106" s="465"/>
      <c r="G106" s="557"/>
      <c r="H106" s="460"/>
      <c r="I106" s="557"/>
      <c r="J106" s="460"/>
      <c r="K106" s="557"/>
      <c r="L106" s="460"/>
      <c r="M106" s="557"/>
      <c r="N106" s="460"/>
      <c r="O106" s="557"/>
      <c r="P106" s="460"/>
      <c r="Q106" s="557"/>
      <c r="R106" s="460"/>
      <c r="S106" s="557"/>
      <c r="T106" s="460"/>
      <c r="U106" s="783"/>
      <c r="V106" s="460"/>
    </row>
    <row r="107" spans="1:22">
      <c r="A107" s="519"/>
      <c r="B107" s="520"/>
      <c r="C107" s="521"/>
      <c r="D107" s="522"/>
      <c r="E107" s="517"/>
      <c r="F107" s="465"/>
      <c r="G107" s="557"/>
      <c r="H107" s="460"/>
      <c r="I107" s="557"/>
      <c r="J107" s="460"/>
      <c r="K107" s="557"/>
      <c r="L107" s="460"/>
      <c r="M107" s="557"/>
      <c r="N107" s="460"/>
      <c r="O107" s="557"/>
      <c r="P107" s="460"/>
      <c r="Q107" s="557"/>
      <c r="R107" s="460"/>
      <c r="S107" s="557"/>
      <c r="T107" s="460"/>
      <c r="U107" s="783"/>
      <c r="V107" s="460"/>
    </row>
    <row r="108" spans="1:22">
      <c r="A108" s="519"/>
      <c r="B108" s="520"/>
      <c r="C108" s="521"/>
      <c r="D108" s="522"/>
      <c r="E108" s="517"/>
      <c r="F108" s="465"/>
      <c r="G108" s="557"/>
      <c r="H108" s="460"/>
      <c r="I108" s="557"/>
      <c r="J108" s="460"/>
      <c r="K108" s="557"/>
      <c r="L108" s="460"/>
      <c r="M108" s="557"/>
      <c r="N108" s="460"/>
      <c r="O108" s="557"/>
      <c r="P108" s="460"/>
      <c r="Q108" s="557"/>
      <c r="R108" s="460"/>
      <c r="S108" s="557"/>
      <c r="T108" s="460"/>
      <c r="U108" s="783"/>
      <c r="V108" s="460"/>
    </row>
    <row r="109" spans="1:22">
      <c r="A109" s="519"/>
      <c r="B109" s="520"/>
      <c r="C109" s="521"/>
      <c r="D109" s="522"/>
      <c r="E109" s="517"/>
      <c r="F109" s="465"/>
      <c r="G109" s="557"/>
      <c r="H109" s="460"/>
      <c r="I109" s="557"/>
      <c r="J109" s="460"/>
      <c r="K109" s="557"/>
      <c r="L109" s="460"/>
      <c r="M109" s="557"/>
      <c r="N109" s="460"/>
      <c r="O109" s="557"/>
      <c r="P109" s="460"/>
      <c r="Q109" s="557"/>
      <c r="R109" s="460"/>
      <c r="S109" s="557"/>
      <c r="T109" s="460"/>
      <c r="U109" s="783"/>
      <c r="V109" s="460"/>
    </row>
    <row r="110" spans="1:22">
      <c r="A110" s="519"/>
      <c r="B110" s="520"/>
      <c r="C110" s="521"/>
      <c r="D110" s="522"/>
      <c r="E110" s="517"/>
      <c r="F110" s="465"/>
      <c r="G110" s="557"/>
      <c r="H110" s="460"/>
      <c r="I110" s="557"/>
      <c r="J110" s="460"/>
      <c r="K110" s="557"/>
      <c r="L110" s="460"/>
      <c r="M110" s="557"/>
      <c r="N110" s="460"/>
      <c r="O110" s="557"/>
      <c r="P110" s="460"/>
      <c r="Q110" s="557"/>
      <c r="R110" s="460"/>
      <c r="S110" s="557"/>
      <c r="T110" s="460"/>
      <c r="U110" s="783"/>
      <c r="V110" s="460"/>
    </row>
    <row r="111" spans="1:22">
      <c r="A111" s="519"/>
      <c r="B111" s="520"/>
      <c r="C111" s="521"/>
      <c r="D111" s="522"/>
      <c r="E111" s="517"/>
      <c r="F111" s="465"/>
      <c r="G111" s="557"/>
      <c r="H111" s="460"/>
      <c r="I111" s="557"/>
      <c r="J111" s="460"/>
      <c r="K111" s="557"/>
      <c r="L111" s="460"/>
      <c r="M111" s="557"/>
      <c r="N111" s="460"/>
      <c r="O111" s="557"/>
      <c r="P111" s="460"/>
      <c r="Q111" s="557"/>
      <c r="R111" s="460"/>
      <c r="S111" s="557"/>
      <c r="T111" s="460"/>
      <c r="U111" s="783"/>
      <c r="V111" s="460"/>
    </row>
    <row r="112" spans="1:22">
      <c r="A112" s="519"/>
      <c r="B112" s="520"/>
      <c r="C112" s="521"/>
      <c r="D112" s="522"/>
      <c r="E112" s="517"/>
      <c r="F112" s="465"/>
      <c r="G112" s="557"/>
      <c r="H112" s="460"/>
      <c r="I112" s="557"/>
      <c r="J112" s="460"/>
      <c r="K112" s="557"/>
      <c r="L112" s="460"/>
      <c r="M112" s="557"/>
      <c r="N112" s="460"/>
      <c r="O112" s="557"/>
      <c r="P112" s="460"/>
      <c r="Q112" s="557"/>
      <c r="R112" s="460"/>
      <c r="S112" s="557"/>
      <c r="T112" s="460"/>
      <c r="U112" s="783"/>
      <c r="V112" s="460"/>
    </row>
    <row r="113" spans="1:22">
      <c r="A113" s="519"/>
      <c r="B113" s="520"/>
      <c r="C113" s="521"/>
      <c r="D113" s="522"/>
      <c r="E113" s="517"/>
      <c r="F113" s="465"/>
      <c r="G113" s="557"/>
      <c r="H113" s="460"/>
      <c r="I113" s="557"/>
      <c r="J113" s="460"/>
      <c r="K113" s="557"/>
      <c r="L113" s="460"/>
      <c r="M113" s="557"/>
      <c r="N113" s="460"/>
      <c r="O113" s="557"/>
      <c r="P113" s="460"/>
      <c r="Q113" s="557"/>
      <c r="R113" s="460"/>
      <c r="S113" s="557"/>
      <c r="T113" s="460"/>
      <c r="U113" s="783"/>
      <c r="V113" s="460"/>
    </row>
    <row r="114" spans="1:22">
      <c r="A114" s="519"/>
      <c r="B114" s="520"/>
      <c r="C114" s="521"/>
      <c r="D114" s="522"/>
      <c r="E114" s="517"/>
      <c r="F114" s="465"/>
      <c r="G114" s="557"/>
      <c r="H114" s="460"/>
      <c r="I114" s="557"/>
      <c r="J114" s="460"/>
      <c r="K114" s="557"/>
      <c r="L114" s="460"/>
      <c r="M114" s="557"/>
      <c r="N114" s="460"/>
      <c r="O114" s="557"/>
      <c r="P114" s="460"/>
      <c r="Q114" s="557"/>
      <c r="R114" s="460"/>
      <c r="S114" s="557"/>
      <c r="T114" s="460"/>
      <c r="U114" s="783"/>
      <c r="V114" s="460"/>
    </row>
    <row r="115" spans="1:22">
      <c r="A115" s="519"/>
      <c r="B115" s="520"/>
      <c r="C115" s="521"/>
      <c r="D115" s="522"/>
      <c r="E115" s="517"/>
      <c r="F115" s="465"/>
      <c r="G115" s="557"/>
      <c r="H115" s="460"/>
      <c r="I115" s="557"/>
      <c r="J115" s="460"/>
      <c r="K115" s="557"/>
      <c r="L115" s="460"/>
      <c r="M115" s="557"/>
      <c r="N115" s="460"/>
      <c r="O115" s="557"/>
      <c r="P115" s="460"/>
      <c r="Q115" s="557"/>
      <c r="R115" s="460"/>
      <c r="S115" s="557"/>
      <c r="T115" s="460"/>
      <c r="U115" s="783"/>
      <c r="V115" s="460"/>
    </row>
    <row r="116" spans="1:22">
      <c r="A116" s="519"/>
      <c r="B116" s="520"/>
      <c r="C116" s="521"/>
      <c r="D116" s="522"/>
      <c r="E116" s="517"/>
      <c r="F116" s="465"/>
      <c r="G116" s="557"/>
      <c r="H116" s="460"/>
      <c r="I116" s="557"/>
      <c r="J116" s="460"/>
      <c r="K116" s="557"/>
      <c r="L116" s="460"/>
      <c r="M116" s="557"/>
      <c r="N116" s="460"/>
      <c r="O116" s="557"/>
      <c r="P116" s="460"/>
      <c r="Q116" s="557"/>
      <c r="R116" s="460"/>
      <c r="S116" s="557"/>
      <c r="T116" s="460"/>
      <c r="U116" s="783"/>
      <c r="V116" s="460"/>
    </row>
    <row r="117" spans="1:22">
      <c r="A117" s="519"/>
      <c r="B117" s="520"/>
      <c r="C117" s="521"/>
      <c r="D117" s="522"/>
      <c r="E117" s="517"/>
      <c r="F117" s="465"/>
      <c r="G117" s="557"/>
      <c r="H117" s="460"/>
      <c r="I117" s="557"/>
      <c r="J117" s="460"/>
      <c r="K117" s="557"/>
      <c r="L117" s="460"/>
      <c r="M117" s="557"/>
      <c r="N117" s="460"/>
      <c r="O117" s="557"/>
      <c r="P117" s="460"/>
      <c r="Q117" s="557"/>
      <c r="R117" s="460"/>
      <c r="S117" s="557"/>
      <c r="T117" s="460"/>
      <c r="U117" s="783"/>
      <c r="V117" s="460"/>
    </row>
    <row r="118" spans="1:22">
      <c r="A118" s="519"/>
      <c r="B118" s="520"/>
      <c r="C118" s="521"/>
      <c r="D118" s="522"/>
      <c r="E118" s="517"/>
      <c r="F118" s="465"/>
      <c r="G118" s="557"/>
      <c r="H118" s="460"/>
      <c r="I118" s="557"/>
      <c r="J118" s="460"/>
      <c r="K118" s="557"/>
      <c r="L118" s="460"/>
      <c r="M118" s="557"/>
      <c r="N118" s="460"/>
      <c r="O118" s="557"/>
      <c r="P118" s="460"/>
      <c r="Q118" s="557"/>
      <c r="R118" s="460"/>
      <c r="S118" s="557"/>
      <c r="T118" s="460"/>
      <c r="U118" s="783"/>
      <c r="V118" s="460"/>
    </row>
    <row r="119" spans="1:22">
      <c r="A119" s="519"/>
      <c r="B119" s="520"/>
      <c r="C119" s="521"/>
      <c r="D119" s="522"/>
      <c r="E119" s="517"/>
      <c r="F119" s="465"/>
      <c r="G119" s="557"/>
      <c r="H119" s="460"/>
      <c r="I119" s="557"/>
      <c r="J119" s="460"/>
      <c r="K119" s="557"/>
      <c r="L119" s="460"/>
      <c r="M119" s="557"/>
      <c r="N119" s="460"/>
      <c r="O119" s="557"/>
      <c r="P119" s="460"/>
      <c r="Q119" s="557"/>
      <c r="R119" s="460"/>
      <c r="S119" s="557"/>
      <c r="T119" s="460"/>
      <c r="U119" s="783"/>
      <c r="V119" s="460"/>
    </row>
    <row r="120" spans="1:22">
      <c r="A120" s="519"/>
      <c r="B120" s="520"/>
      <c r="C120" s="521"/>
      <c r="D120" s="522"/>
      <c r="E120" s="517"/>
      <c r="F120" s="465"/>
      <c r="G120" s="557"/>
      <c r="H120" s="460"/>
      <c r="I120" s="557"/>
      <c r="J120" s="460"/>
      <c r="K120" s="557"/>
      <c r="L120" s="460"/>
      <c r="M120" s="557"/>
      <c r="N120" s="460"/>
      <c r="O120" s="557"/>
      <c r="P120" s="460"/>
      <c r="Q120" s="557"/>
      <c r="R120" s="460"/>
      <c r="S120" s="557"/>
      <c r="T120" s="460"/>
      <c r="U120" s="783"/>
      <c r="V120" s="460"/>
    </row>
    <row r="121" spans="1:22">
      <c r="A121" s="519"/>
      <c r="B121" s="520"/>
      <c r="C121" s="521"/>
      <c r="D121" s="522"/>
      <c r="E121" s="517"/>
      <c r="F121" s="465"/>
      <c r="G121" s="557"/>
      <c r="H121" s="460"/>
      <c r="I121" s="557"/>
      <c r="J121" s="460"/>
      <c r="K121" s="557"/>
      <c r="L121" s="460"/>
      <c r="M121" s="557"/>
      <c r="N121" s="460"/>
      <c r="O121" s="557"/>
      <c r="P121" s="460"/>
      <c r="Q121" s="557"/>
      <c r="R121" s="460"/>
      <c r="S121" s="557"/>
      <c r="T121" s="460"/>
      <c r="U121" s="783"/>
      <c r="V121" s="460"/>
    </row>
    <row r="122" spans="1:22">
      <c r="A122" s="519"/>
      <c r="B122" s="520"/>
      <c r="C122" s="521"/>
      <c r="D122" s="522"/>
      <c r="E122" s="517"/>
      <c r="F122" s="465"/>
      <c r="G122" s="557"/>
      <c r="H122" s="460"/>
      <c r="I122" s="557"/>
      <c r="J122" s="460"/>
      <c r="K122" s="557"/>
      <c r="L122" s="460"/>
      <c r="M122" s="557"/>
      <c r="N122" s="460"/>
      <c r="O122" s="557"/>
      <c r="P122" s="460"/>
      <c r="Q122" s="557"/>
      <c r="R122" s="460"/>
      <c r="S122" s="557"/>
      <c r="T122" s="460"/>
      <c r="U122" s="783"/>
      <c r="V122" s="460"/>
    </row>
    <row r="123" spans="1:22">
      <c r="A123" s="519"/>
      <c r="B123" s="520"/>
      <c r="C123" s="521"/>
      <c r="D123" s="522"/>
      <c r="E123" s="517"/>
      <c r="F123" s="465"/>
      <c r="G123" s="557"/>
      <c r="H123" s="460"/>
      <c r="I123" s="557"/>
      <c r="J123" s="460"/>
      <c r="K123" s="557"/>
      <c r="L123" s="460"/>
      <c r="M123" s="557"/>
      <c r="N123" s="460"/>
      <c r="O123" s="557"/>
      <c r="P123" s="460"/>
      <c r="Q123" s="557"/>
      <c r="R123" s="460"/>
      <c r="S123" s="557"/>
      <c r="T123" s="460"/>
      <c r="U123" s="783"/>
      <c r="V123" s="460"/>
    </row>
    <row r="124" spans="1:22">
      <c r="A124" s="519"/>
      <c r="B124" s="520"/>
      <c r="C124" s="521"/>
      <c r="D124" s="522"/>
      <c r="E124" s="517"/>
      <c r="F124" s="465"/>
      <c r="G124" s="557"/>
      <c r="H124" s="460"/>
      <c r="I124" s="557"/>
      <c r="J124" s="460"/>
      <c r="K124" s="557"/>
      <c r="L124" s="460"/>
      <c r="M124" s="557"/>
      <c r="N124" s="460"/>
      <c r="O124" s="557"/>
      <c r="P124" s="460"/>
      <c r="Q124" s="557"/>
      <c r="R124" s="460"/>
      <c r="S124" s="557"/>
      <c r="T124" s="460"/>
      <c r="U124" s="783"/>
      <c r="V124" s="460"/>
    </row>
    <row r="125" spans="1:22">
      <c r="A125" s="519"/>
      <c r="B125" s="520"/>
      <c r="C125" s="521"/>
      <c r="D125" s="522"/>
      <c r="E125" s="517"/>
      <c r="F125" s="465"/>
      <c r="G125" s="557"/>
      <c r="H125" s="460"/>
      <c r="I125" s="557"/>
      <c r="J125" s="460"/>
      <c r="K125" s="557"/>
      <c r="L125" s="460"/>
      <c r="M125" s="557"/>
      <c r="N125" s="460"/>
      <c r="O125" s="557"/>
      <c r="P125" s="460"/>
      <c r="Q125" s="557"/>
      <c r="R125" s="460"/>
      <c r="S125" s="557"/>
      <c r="T125" s="460"/>
      <c r="U125" s="783"/>
      <c r="V125" s="460"/>
    </row>
    <row r="126" spans="1:22">
      <c r="A126" s="519"/>
      <c r="B126" s="520"/>
      <c r="C126" s="521"/>
      <c r="D126" s="522"/>
      <c r="E126" s="517"/>
      <c r="F126" s="465"/>
      <c r="G126" s="557"/>
      <c r="H126" s="460"/>
      <c r="I126" s="557"/>
      <c r="J126" s="460"/>
      <c r="K126" s="557"/>
      <c r="L126" s="460"/>
      <c r="M126" s="557"/>
      <c r="N126" s="460"/>
      <c r="O126" s="557"/>
      <c r="P126" s="460"/>
      <c r="Q126" s="557"/>
      <c r="R126" s="460"/>
      <c r="S126" s="557"/>
      <c r="T126" s="460"/>
      <c r="U126" s="783"/>
      <c r="V126" s="460"/>
    </row>
    <row r="127" spans="1:22">
      <c r="A127" s="519"/>
      <c r="B127" s="520"/>
      <c r="C127" s="521"/>
      <c r="D127" s="522"/>
      <c r="E127" s="517"/>
      <c r="F127" s="465"/>
      <c r="G127" s="557"/>
      <c r="H127" s="460"/>
      <c r="I127" s="557"/>
      <c r="J127" s="460"/>
      <c r="K127" s="557"/>
      <c r="L127" s="460"/>
      <c r="M127" s="557"/>
      <c r="N127" s="460"/>
      <c r="O127" s="557"/>
      <c r="P127" s="460"/>
      <c r="Q127" s="557"/>
      <c r="R127" s="460"/>
      <c r="S127" s="557"/>
      <c r="T127" s="460"/>
      <c r="U127" s="783"/>
      <c r="V127" s="460"/>
    </row>
    <row r="128" spans="1:22">
      <c r="A128" s="519"/>
      <c r="B128" s="520"/>
      <c r="C128" s="521"/>
      <c r="D128" s="522"/>
      <c r="E128" s="517"/>
      <c r="F128" s="465"/>
      <c r="G128" s="557"/>
      <c r="H128" s="460"/>
      <c r="I128" s="557"/>
      <c r="J128" s="460"/>
      <c r="K128" s="557"/>
      <c r="L128" s="460"/>
      <c r="M128" s="557"/>
      <c r="N128" s="460"/>
      <c r="O128" s="557"/>
      <c r="P128" s="460"/>
      <c r="Q128" s="557"/>
      <c r="R128" s="460"/>
      <c r="S128" s="557"/>
      <c r="T128" s="460"/>
      <c r="U128" s="783"/>
      <c r="V128" s="460"/>
    </row>
    <row r="129" spans="1:22">
      <c r="A129" s="519"/>
      <c r="B129" s="520"/>
      <c r="C129" s="521"/>
      <c r="D129" s="522"/>
      <c r="E129" s="517"/>
      <c r="F129" s="465"/>
      <c r="G129" s="557"/>
      <c r="H129" s="460"/>
      <c r="I129" s="557"/>
      <c r="J129" s="460"/>
      <c r="K129" s="557"/>
      <c r="L129" s="460"/>
      <c r="M129" s="557"/>
      <c r="N129" s="460"/>
      <c r="O129" s="557"/>
      <c r="P129" s="460"/>
      <c r="Q129" s="557"/>
      <c r="R129" s="460"/>
      <c r="S129" s="557"/>
      <c r="T129" s="460"/>
      <c r="U129" s="783"/>
      <c r="V129" s="460"/>
    </row>
    <row r="130" spans="1:22">
      <c r="A130" s="519"/>
      <c r="B130" s="520"/>
      <c r="C130" s="521"/>
      <c r="D130" s="522"/>
      <c r="E130" s="517"/>
      <c r="F130" s="465"/>
      <c r="G130" s="557"/>
      <c r="H130" s="460"/>
      <c r="I130" s="557"/>
      <c r="J130" s="460"/>
      <c r="K130" s="557"/>
      <c r="L130" s="460"/>
      <c r="M130" s="557"/>
      <c r="N130" s="460"/>
      <c r="O130" s="557"/>
      <c r="P130" s="460"/>
      <c r="Q130" s="557"/>
      <c r="R130" s="460"/>
      <c r="S130" s="557"/>
      <c r="T130" s="460"/>
      <c r="U130" s="783"/>
      <c r="V130" s="460"/>
    </row>
    <row r="131" spans="1:22">
      <c r="A131" s="519"/>
      <c r="B131" s="520"/>
      <c r="C131" s="521"/>
      <c r="D131" s="522"/>
      <c r="E131" s="517"/>
      <c r="F131" s="465"/>
      <c r="G131" s="557"/>
      <c r="H131" s="460"/>
      <c r="I131" s="557"/>
      <c r="J131" s="460"/>
      <c r="K131" s="557"/>
      <c r="L131" s="460"/>
      <c r="M131" s="557"/>
      <c r="N131" s="460"/>
      <c r="O131" s="557"/>
      <c r="P131" s="460"/>
      <c r="Q131" s="557"/>
      <c r="R131" s="460"/>
      <c r="S131" s="557"/>
      <c r="T131" s="460"/>
      <c r="U131" s="783"/>
      <c r="V131" s="460"/>
    </row>
    <row r="132" spans="1:22">
      <c r="A132" s="519"/>
      <c r="B132" s="520"/>
      <c r="C132" s="521"/>
      <c r="D132" s="522"/>
      <c r="E132" s="517"/>
      <c r="F132" s="465"/>
      <c r="G132" s="557"/>
      <c r="H132" s="460"/>
      <c r="I132" s="557"/>
      <c r="J132" s="460"/>
      <c r="K132" s="557"/>
      <c r="L132" s="460"/>
      <c r="M132" s="557"/>
      <c r="N132" s="460"/>
      <c r="O132" s="557"/>
      <c r="P132" s="460"/>
      <c r="Q132" s="557"/>
      <c r="R132" s="460"/>
      <c r="S132" s="557"/>
      <c r="T132" s="460"/>
      <c r="U132" s="783"/>
      <c r="V132" s="460"/>
    </row>
    <row r="133" spans="1:22">
      <c r="A133" s="519"/>
      <c r="B133" s="520"/>
      <c r="C133" s="521"/>
      <c r="D133" s="522"/>
      <c r="E133" s="517"/>
      <c r="F133" s="465"/>
      <c r="G133" s="557"/>
      <c r="H133" s="460"/>
      <c r="I133" s="557"/>
      <c r="J133" s="460"/>
      <c r="K133" s="557"/>
      <c r="L133" s="460"/>
      <c r="M133" s="557"/>
      <c r="N133" s="460"/>
      <c r="O133" s="557"/>
      <c r="P133" s="460"/>
      <c r="Q133" s="557"/>
      <c r="R133" s="460"/>
      <c r="S133" s="557"/>
      <c r="T133" s="460"/>
      <c r="U133" s="783"/>
      <c r="V133" s="460"/>
    </row>
    <row r="134" spans="1:22">
      <c r="A134" s="519"/>
      <c r="B134" s="520"/>
      <c r="C134" s="521"/>
      <c r="D134" s="522"/>
      <c r="E134" s="517"/>
      <c r="F134" s="465"/>
      <c r="G134" s="557"/>
      <c r="H134" s="460"/>
      <c r="I134" s="557"/>
      <c r="J134" s="460"/>
      <c r="K134" s="557"/>
      <c r="L134" s="460"/>
      <c r="M134" s="557"/>
      <c r="N134" s="460"/>
      <c r="O134" s="557"/>
      <c r="P134" s="460"/>
      <c r="Q134" s="557"/>
      <c r="R134" s="460"/>
      <c r="S134" s="557"/>
      <c r="T134" s="460"/>
      <c r="U134" s="783"/>
      <c r="V134" s="460"/>
    </row>
    <row r="135" spans="1:22">
      <c r="A135" s="519"/>
      <c r="B135" s="520"/>
      <c r="C135" s="521"/>
      <c r="D135" s="522"/>
      <c r="E135" s="517"/>
      <c r="F135" s="465"/>
      <c r="G135" s="557"/>
      <c r="H135" s="460"/>
      <c r="I135" s="557"/>
      <c r="J135" s="460"/>
      <c r="K135" s="557"/>
      <c r="L135" s="460"/>
      <c r="M135" s="557"/>
      <c r="N135" s="460"/>
      <c r="O135" s="557"/>
      <c r="P135" s="460"/>
      <c r="Q135" s="557"/>
      <c r="R135" s="460"/>
      <c r="S135" s="557"/>
      <c r="T135" s="460"/>
      <c r="U135" s="783"/>
      <c r="V135" s="460"/>
    </row>
    <row r="136" spans="1:22">
      <c r="A136" s="519"/>
      <c r="B136" s="520"/>
      <c r="C136" s="521"/>
      <c r="D136" s="522"/>
      <c r="E136" s="517"/>
      <c r="F136" s="465"/>
      <c r="G136" s="557"/>
      <c r="H136" s="460"/>
      <c r="I136" s="557"/>
      <c r="J136" s="460"/>
      <c r="K136" s="557"/>
      <c r="L136" s="460"/>
      <c r="M136" s="557"/>
      <c r="N136" s="460"/>
      <c r="O136" s="557"/>
      <c r="P136" s="460"/>
      <c r="Q136" s="557"/>
      <c r="R136" s="460"/>
      <c r="S136" s="557"/>
      <c r="T136" s="460"/>
      <c r="U136" s="783"/>
      <c r="V136" s="460"/>
    </row>
    <row r="137" spans="1:22">
      <c r="A137" s="519"/>
      <c r="B137" s="520"/>
      <c r="C137" s="521"/>
      <c r="D137" s="522"/>
      <c r="E137" s="517"/>
      <c r="F137" s="465"/>
      <c r="G137" s="557"/>
      <c r="H137" s="460"/>
      <c r="I137" s="557"/>
      <c r="J137" s="460"/>
      <c r="K137" s="557"/>
      <c r="L137" s="460"/>
      <c r="M137" s="557"/>
      <c r="N137" s="460"/>
      <c r="O137" s="557"/>
      <c r="P137" s="460"/>
      <c r="Q137" s="557"/>
      <c r="R137" s="460"/>
      <c r="S137" s="557"/>
      <c r="T137" s="460"/>
      <c r="U137" s="783"/>
      <c r="V137" s="460"/>
    </row>
    <row r="138" spans="1:22">
      <c r="A138" s="519"/>
      <c r="B138" s="520"/>
      <c r="C138" s="521"/>
      <c r="D138" s="522"/>
      <c r="E138" s="517"/>
      <c r="F138" s="465"/>
      <c r="G138" s="557"/>
      <c r="H138" s="460"/>
      <c r="I138" s="557"/>
      <c r="J138" s="460"/>
      <c r="K138" s="557"/>
      <c r="L138" s="460"/>
      <c r="M138" s="557"/>
      <c r="N138" s="460"/>
      <c r="O138" s="557"/>
      <c r="P138" s="460"/>
      <c r="Q138" s="557"/>
      <c r="R138" s="460"/>
      <c r="S138" s="557"/>
      <c r="T138" s="460"/>
      <c r="U138" s="783"/>
      <c r="V138" s="460"/>
    </row>
    <row r="139" spans="1:22">
      <c r="A139" s="519"/>
      <c r="B139" s="520"/>
      <c r="C139" s="521"/>
      <c r="D139" s="522"/>
      <c r="E139" s="517"/>
      <c r="F139" s="465"/>
      <c r="G139" s="557"/>
      <c r="H139" s="460"/>
      <c r="I139" s="557"/>
      <c r="J139" s="460"/>
      <c r="K139" s="557"/>
      <c r="L139" s="460"/>
      <c r="M139" s="557"/>
      <c r="N139" s="460"/>
      <c r="O139" s="557"/>
      <c r="P139" s="460"/>
      <c r="Q139" s="557"/>
      <c r="R139" s="460"/>
      <c r="S139" s="557"/>
      <c r="T139" s="460"/>
      <c r="U139" s="783"/>
      <c r="V139" s="460"/>
    </row>
    <row r="140" spans="1:22">
      <c r="A140" s="519"/>
      <c r="B140" s="520"/>
      <c r="C140" s="521"/>
      <c r="D140" s="522"/>
      <c r="E140" s="517"/>
      <c r="F140" s="465"/>
      <c r="G140" s="557"/>
      <c r="H140" s="460"/>
      <c r="I140" s="557"/>
      <c r="J140" s="460"/>
      <c r="K140" s="557"/>
      <c r="L140" s="460"/>
      <c r="M140" s="557"/>
      <c r="N140" s="460"/>
      <c r="O140" s="557"/>
      <c r="P140" s="460"/>
      <c r="Q140" s="557"/>
      <c r="R140" s="460"/>
      <c r="S140" s="557"/>
      <c r="T140" s="460"/>
      <c r="U140" s="783"/>
      <c r="V140" s="460"/>
    </row>
    <row r="141" spans="1:22">
      <c r="A141" s="519"/>
      <c r="B141" s="520"/>
      <c r="C141" s="521"/>
      <c r="D141" s="522"/>
      <c r="E141" s="517"/>
      <c r="F141" s="465"/>
      <c r="G141" s="557"/>
      <c r="H141" s="460"/>
      <c r="I141" s="557"/>
      <c r="J141" s="460"/>
      <c r="K141" s="557"/>
      <c r="L141" s="460"/>
      <c r="M141" s="557"/>
      <c r="N141" s="460"/>
      <c r="O141" s="557"/>
      <c r="P141" s="460"/>
      <c r="Q141" s="557"/>
      <c r="R141" s="460"/>
      <c r="S141" s="557"/>
      <c r="T141" s="460"/>
      <c r="U141" s="783"/>
      <c r="V141" s="460"/>
    </row>
    <row r="142" spans="1:22">
      <c r="A142" s="519"/>
      <c r="B142" s="520"/>
      <c r="C142" s="521"/>
      <c r="D142" s="522"/>
      <c r="E142" s="517"/>
      <c r="F142" s="465"/>
      <c r="G142" s="557"/>
      <c r="H142" s="460"/>
      <c r="I142" s="557"/>
      <c r="J142" s="460"/>
      <c r="K142" s="557"/>
      <c r="L142" s="460"/>
      <c r="M142" s="557"/>
      <c r="N142" s="460"/>
      <c r="O142" s="557"/>
      <c r="P142" s="460"/>
      <c r="Q142" s="557"/>
      <c r="R142" s="460"/>
      <c r="S142" s="557"/>
      <c r="T142" s="460"/>
      <c r="U142" s="783"/>
      <c r="V142" s="460"/>
    </row>
    <row r="143" spans="1:22">
      <c r="A143" s="519"/>
      <c r="B143" s="520"/>
      <c r="C143" s="521"/>
      <c r="D143" s="522"/>
      <c r="E143" s="517"/>
      <c r="F143" s="465"/>
      <c r="G143" s="557"/>
      <c r="H143" s="460"/>
      <c r="I143" s="557"/>
      <c r="J143" s="460"/>
      <c r="K143" s="557"/>
      <c r="L143" s="460"/>
      <c r="M143" s="557"/>
      <c r="N143" s="460"/>
      <c r="O143" s="557"/>
      <c r="P143" s="460"/>
      <c r="Q143" s="557"/>
      <c r="R143" s="460"/>
      <c r="S143" s="557"/>
      <c r="T143" s="460"/>
      <c r="U143" s="783"/>
      <c r="V143" s="460"/>
    </row>
    <row r="144" spans="1:22">
      <c r="A144" s="519"/>
      <c r="B144" s="520"/>
      <c r="C144" s="521"/>
      <c r="D144" s="522"/>
      <c r="E144" s="517"/>
      <c r="F144" s="465"/>
      <c r="G144" s="557"/>
      <c r="H144" s="460"/>
      <c r="I144" s="557"/>
      <c r="J144" s="460"/>
      <c r="K144" s="557"/>
      <c r="L144" s="460"/>
      <c r="M144" s="557"/>
      <c r="N144" s="460"/>
      <c r="O144" s="557"/>
      <c r="P144" s="460"/>
      <c r="Q144" s="557"/>
      <c r="R144" s="460"/>
      <c r="S144" s="557"/>
      <c r="T144" s="460"/>
      <c r="U144" s="783"/>
      <c r="V144" s="460"/>
    </row>
    <row r="145" spans="1:22">
      <c r="A145" s="519"/>
      <c r="B145" s="520"/>
      <c r="C145" s="521"/>
      <c r="D145" s="522"/>
      <c r="E145" s="517"/>
      <c r="F145" s="465"/>
      <c r="G145" s="557"/>
      <c r="H145" s="460"/>
      <c r="I145" s="557"/>
      <c r="J145" s="460"/>
      <c r="K145" s="557"/>
      <c r="L145" s="460"/>
      <c r="M145" s="557"/>
      <c r="N145" s="460"/>
      <c r="O145" s="557"/>
      <c r="P145" s="460"/>
      <c r="Q145" s="557"/>
      <c r="R145" s="460"/>
      <c r="S145" s="557"/>
      <c r="T145" s="460"/>
      <c r="U145" s="783"/>
      <c r="V145" s="460"/>
    </row>
    <row r="146" spans="1:22">
      <c r="A146" s="519"/>
      <c r="B146" s="520"/>
      <c r="C146" s="521"/>
      <c r="D146" s="522"/>
      <c r="E146" s="517"/>
      <c r="F146" s="465"/>
      <c r="G146" s="557"/>
      <c r="H146" s="460"/>
      <c r="I146" s="557"/>
      <c r="J146" s="460"/>
      <c r="K146" s="557"/>
      <c r="L146" s="460"/>
      <c r="M146" s="557"/>
      <c r="N146" s="460"/>
      <c r="O146" s="557"/>
      <c r="P146" s="460"/>
      <c r="Q146" s="557"/>
      <c r="R146" s="460"/>
      <c r="S146" s="557"/>
      <c r="T146" s="460"/>
      <c r="U146" s="783"/>
      <c r="V146" s="460"/>
    </row>
    <row r="147" spans="1:22">
      <c r="A147" s="519"/>
      <c r="B147" s="520"/>
      <c r="C147" s="521"/>
      <c r="D147" s="522"/>
      <c r="E147" s="517"/>
      <c r="F147" s="465"/>
      <c r="G147" s="557"/>
      <c r="H147" s="460"/>
      <c r="I147" s="557"/>
      <c r="J147" s="460"/>
      <c r="K147" s="557"/>
      <c r="L147" s="460"/>
      <c r="M147" s="557"/>
      <c r="N147" s="460"/>
      <c r="O147" s="557"/>
      <c r="P147" s="460"/>
      <c r="Q147" s="557"/>
      <c r="R147" s="460"/>
      <c r="S147" s="557"/>
      <c r="T147" s="460"/>
      <c r="U147" s="783"/>
      <c r="V147" s="460"/>
    </row>
    <row r="148" spans="1:22">
      <c r="A148" s="519"/>
      <c r="B148" s="520"/>
      <c r="C148" s="521"/>
      <c r="D148" s="522"/>
      <c r="E148" s="517"/>
      <c r="F148" s="465"/>
      <c r="G148" s="557"/>
      <c r="H148" s="460"/>
      <c r="I148" s="557"/>
      <c r="J148" s="460"/>
      <c r="K148" s="557"/>
      <c r="L148" s="460"/>
      <c r="M148" s="557"/>
      <c r="N148" s="460"/>
      <c r="O148" s="557"/>
      <c r="P148" s="460"/>
      <c r="Q148" s="557"/>
      <c r="R148" s="460"/>
      <c r="S148" s="557"/>
      <c r="T148" s="460"/>
      <c r="U148" s="783"/>
      <c r="V148" s="460"/>
    </row>
    <row r="149" spans="1:22">
      <c r="A149" s="519"/>
      <c r="B149" s="520"/>
      <c r="C149" s="521"/>
      <c r="D149" s="522"/>
      <c r="E149" s="517"/>
      <c r="F149" s="465"/>
      <c r="G149" s="557"/>
      <c r="H149" s="460"/>
      <c r="I149" s="557"/>
      <c r="J149" s="460"/>
      <c r="K149" s="557"/>
      <c r="L149" s="460"/>
      <c r="M149" s="557"/>
      <c r="N149" s="460"/>
      <c r="O149" s="557"/>
      <c r="P149" s="460"/>
      <c r="Q149" s="557"/>
      <c r="R149" s="460"/>
      <c r="S149" s="557"/>
      <c r="T149" s="460"/>
      <c r="U149" s="783"/>
      <c r="V149" s="460"/>
    </row>
    <row r="150" spans="1:22">
      <c r="A150" s="519"/>
      <c r="B150" s="520"/>
      <c r="C150" s="521"/>
      <c r="D150" s="522"/>
      <c r="E150" s="517"/>
      <c r="F150" s="465"/>
      <c r="G150" s="557"/>
      <c r="H150" s="460"/>
      <c r="I150" s="557"/>
      <c r="J150" s="460"/>
      <c r="K150" s="557"/>
      <c r="L150" s="460"/>
      <c r="M150" s="557"/>
      <c r="N150" s="460"/>
      <c r="O150" s="557"/>
      <c r="P150" s="460"/>
      <c r="Q150" s="557"/>
      <c r="R150" s="460"/>
      <c r="S150" s="557"/>
      <c r="T150" s="460"/>
      <c r="U150" s="783"/>
      <c r="V150" s="460"/>
    </row>
    <row r="151" spans="1:22">
      <c r="A151" s="519"/>
      <c r="B151" s="520"/>
      <c r="C151" s="521"/>
      <c r="D151" s="522"/>
      <c r="E151" s="517"/>
      <c r="F151" s="465"/>
      <c r="G151" s="557"/>
      <c r="H151" s="460"/>
      <c r="I151" s="557"/>
      <c r="J151" s="460"/>
      <c r="K151" s="557"/>
      <c r="L151" s="460"/>
      <c r="M151" s="557"/>
      <c r="N151" s="460"/>
      <c r="O151" s="557"/>
      <c r="P151" s="460"/>
      <c r="Q151" s="557"/>
      <c r="R151" s="460"/>
      <c r="S151" s="557"/>
      <c r="T151" s="460"/>
      <c r="U151" s="783"/>
      <c r="V151" s="460"/>
    </row>
    <row r="152" spans="1:22">
      <c r="A152" s="519"/>
      <c r="B152" s="520"/>
      <c r="C152" s="521"/>
      <c r="D152" s="522"/>
      <c r="E152" s="517"/>
      <c r="F152" s="465"/>
      <c r="G152" s="557"/>
      <c r="H152" s="460"/>
      <c r="I152" s="557"/>
      <c r="J152" s="460"/>
      <c r="K152" s="557"/>
      <c r="L152" s="460"/>
      <c r="M152" s="557"/>
      <c r="N152" s="460"/>
      <c r="O152" s="557"/>
      <c r="P152" s="460"/>
      <c r="Q152" s="557"/>
      <c r="R152" s="460"/>
      <c r="S152" s="557"/>
      <c r="T152" s="460"/>
      <c r="U152" s="783"/>
      <c r="V152" s="460"/>
    </row>
    <row r="153" spans="1:22">
      <c r="A153" s="519"/>
      <c r="B153" s="520"/>
      <c r="C153" s="521"/>
      <c r="D153" s="522"/>
      <c r="E153" s="517"/>
      <c r="F153" s="465"/>
      <c r="G153" s="557"/>
      <c r="H153" s="460"/>
      <c r="I153" s="557"/>
      <c r="J153" s="460"/>
      <c r="K153" s="557"/>
      <c r="L153" s="460"/>
      <c r="M153" s="557"/>
      <c r="N153" s="460"/>
      <c r="O153" s="557"/>
      <c r="P153" s="460"/>
      <c r="Q153" s="557"/>
      <c r="R153" s="460"/>
      <c r="S153" s="557"/>
      <c r="T153" s="460"/>
      <c r="U153" s="783"/>
      <c r="V153" s="460"/>
    </row>
    <row r="154" spans="1:22">
      <c r="A154" s="519"/>
      <c r="B154" s="520"/>
      <c r="C154" s="521"/>
      <c r="D154" s="522"/>
      <c r="E154" s="517"/>
      <c r="F154" s="465"/>
      <c r="G154" s="557"/>
      <c r="H154" s="460"/>
      <c r="I154" s="557"/>
      <c r="J154" s="460"/>
      <c r="K154" s="557"/>
      <c r="L154" s="460"/>
      <c r="M154" s="557"/>
      <c r="N154" s="460"/>
      <c r="O154" s="557"/>
      <c r="P154" s="460"/>
      <c r="Q154" s="557"/>
      <c r="R154" s="460"/>
      <c r="S154" s="557"/>
      <c r="T154" s="460"/>
      <c r="U154" s="783"/>
      <c r="V154" s="460"/>
    </row>
    <row r="155" spans="1:22">
      <c r="A155" s="519"/>
      <c r="B155" s="520"/>
      <c r="C155" s="521"/>
      <c r="D155" s="522"/>
      <c r="E155" s="517"/>
      <c r="F155" s="465"/>
      <c r="G155" s="557"/>
      <c r="H155" s="460"/>
      <c r="I155" s="557"/>
      <c r="J155" s="460"/>
      <c r="K155" s="557"/>
      <c r="L155" s="460"/>
      <c r="M155" s="557"/>
      <c r="N155" s="460"/>
      <c r="O155" s="557"/>
      <c r="P155" s="460"/>
      <c r="Q155" s="557"/>
      <c r="R155" s="460"/>
      <c r="S155" s="557"/>
      <c r="T155" s="460"/>
      <c r="U155" s="783"/>
      <c r="V155" s="460"/>
    </row>
    <row r="156" spans="1:22">
      <c r="A156" s="519"/>
      <c r="B156" s="520"/>
      <c r="C156" s="521"/>
      <c r="D156" s="522"/>
      <c r="E156" s="517"/>
      <c r="F156" s="465"/>
      <c r="G156" s="557"/>
      <c r="H156" s="460"/>
      <c r="I156" s="557"/>
      <c r="J156" s="460"/>
      <c r="K156" s="557"/>
      <c r="L156" s="460"/>
      <c r="M156" s="557"/>
      <c r="N156" s="460"/>
      <c r="O156" s="557"/>
      <c r="P156" s="460"/>
      <c r="Q156" s="557"/>
      <c r="R156" s="460"/>
      <c r="S156" s="557"/>
      <c r="T156" s="460"/>
      <c r="U156" s="783"/>
      <c r="V156" s="460"/>
    </row>
    <row r="157" spans="1:22">
      <c r="A157" s="519"/>
      <c r="B157" s="520"/>
      <c r="C157" s="521"/>
      <c r="D157" s="522"/>
      <c r="E157" s="517"/>
      <c r="F157" s="465"/>
      <c r="G157" s="557"/>
      <c r="H157" s="460"/>
      <c r="I157" s="557"/>
      <c r="J157" s="460"/>
      <c r="K157" s="557"/>
      <c r="L157" s="460"/>
      <c r="M157" s="557"/>
      <c r="N157" s="460"/>
      <c r="O157" s="557"/>
      <c r="P157" s="460"/>
      <c r="Q157" s="557"/>
      <c r="R157" s="460"/>
      <c r="S157" s="557"/>
      <c r="T157" s="460"/>
      <c r="U157" s="783"/>
      <c r="V157" s="460"/>
    </row>
    <row r="158" spans="1:22">
      <c r="A158" s="519"/>
      <c r="B158" s="520"/>
      <c r="C158" s="521"/>
      <c r="D158" s="522"/>
      <c r="E158" s="517"/>
      <c r="F158" s="465"/>
      <c r="G158" s="557"/>
      <c r="H158" s="460"/>
      <c r="I158" s="557"/>
      <c r="J158" s="460"/>
      <c r="K158" s="557"/>
      <c r="L158" s="460"/>
      <c r="M158" s="557"/>
      <c r="N158" s="460"/>
      <c r="O158" s="557"/>
      <c r="P158" s="460"/>
      <c r="Q158" s="557"/>
      <c r="R158" s="460"/>
      <c r="S158" s="557"/>
      <c r="T158" s="460"/>
      <c r="U158" s="783"/>
      <c r="V158" s="460"/>
    </row>
    <row r="159" spans="1:22">
      <c r="A159" s="519"/>
      <c r="B159" s="520"/>
      <c r="C159" s="521"/>
      <c r="D159" s="522"/>
      <c r="E159" s="517"/>
      <c r="F159" s="465"/>
      <c r="G159" s="557"/>
      <c r="H159" s="460"/>
      <c r="I159" s="557"/>
      <c r="J159" s="460"/>
      <c r="K159" s="557"/>
      <c r="L159" s="460"/>
      <c r="M159" s="557"/>
      <c r="N159" s="460"/>
      <c r="O159" s="557"/>
      <c r="P159" s="460"/>
      <c r="Q159" s="557"/>
      <c r="R159" s="460"/>
      <c r="S159" s="557"/>
      <c r="T159" s="460"/>
      <c r="U159" s="783"/>
      <c r="V159" s="460"/>
    </row>
    <row r="160" spans="1:22">
      <c r="A160" s="519"/>
      <c r="B160" s="520"/>
      <c r="C160" s="521"/>
      <c r="D160" s="522"/>
      <c r="E160" s="517"/>
      <c r="F160" s="465"/>
      <c r="G160" s="557"/>
      <c r="H160" s="460"/>
      <c r="I160" s="557"/>
      <c r="J160" s="460"/>
      <c r="K160" s="557"/>
      <c r="L160" s="460"/>
      <c r="M160" s="557"/>
      <c r="N160" s="460"/>
      <c r="O160" s="557"/>
      <c r="P160" s="460"/>
      <c r="Q160" s="557"/>
      <c r="R160" s="460"/>
      <c r="S160" s="557"/>
      <c r="T160" s="460"/>
      <c r="U160" s="783"/>
      <c r="V160" s="460"/>
    </row>
    <row r="161" spans="1:22">
      <c r="A161" s="519"/>
      <c r="B161" s="520"/>
      <c r="C161" s="521"/>
      <c r="D161" s="522"/>
      <c r="E161" s="517"/>
      <c r="F161" s="465"/>
      <c r="G161" s="557"/>
      <c r="H161" s="460"/>
      <c r="I161" s="557"/>
      <c r="J161" s="460"/>
      <c r="K161" s="557"/>
      <c r="L161" s="460"/>
      <c r="M161" s="557"/>
      <c r="N161" s="460"/>
      <c r="O161" s="557"/>
      <c r="P161" s="460"/>
      <c r="Q161" s="557"/>
      <c r="R161" s="460"/>
      <c r="S161" s="557"/>
      <c r="T161" s="460"/>
      <c r="U161" s="783"/>
      <c r="V161" s="460"/>
    </row>
    <row r="162" spans="1:22">
      <c r="A162" s="519"/>
      <c r="B162" s="520"/>
      <c r="C162" s="521"/>
      <c r="D162" s="522"/>
      <c r="E162" s="517"/>
      <c r="F162" s="465"/>
      <c r="G162" s="557"/>
      <c r="H162" s="460"/>
      <c r="I162" s="557"/>
      <c r="J162" s="460"/>
      <c r="K162" s="557"/>
      <c r="L162" s="460"/>
      <c r="M162" s="557"/>
      <c r="N162" s="460"/>
      <c r="O162" s="557"/>
      <c r="P162" s="460"/>
      <c r="Q162" s="557"/>
      <c r="R162" s="460"/>
      <c r="S162" s="557"/>
      <c r="T162" s="460"/>
      <c r="U162" s="783"/>
      <c r="V162" s="460"/>
    </row>
    <row r="163" spans="1:22">
      <c r="A163" s="519"/>
      <c r="B163" s="520"/>
      <c r="C163" s="521"/>
      <c r="D163" s="522"/>
      <c r="E163" s="517"/>
      <c r="F163" s="465"/>
      <c r="G163" s="557"/>
      <c r="H163" s="460"/>
      <c r="I163" s="557"/>
      <c r="J163" s="460"/>
      <c r="K163" s="557"/>
      <c r="L163" s="460"/>
      <c r="M163" s="557"/>
      <c r="N163" s="460"/>
      <c r="O163" s="557"/>
      <c r="P163" s="460"/>
      <c r="Q163" s="557"/>
      <c r="R163" s="460"/>
      <c r="S163" s="557"/>
      <c r="T163" s="460"/>
      <c r="U163" s="783"/>
      <c r="V163" s="460"/>
    </row>
    <row r="164" spans="1:22">
      <c r="A164" s="519"/>
      <c r="B164" s="520"/>
      <c r="C164" s="521"/>
      <c r="D164" s="522"/>
      <c r="E164" s="517"/>
      <c r="F164" s="465"/>
      <c r="G164" s="557"/>
      <c r="H164" s="460"/>
      <c r="I164" s="557"/>
      <c r="J164" s="460"/>
      <c r="K164" s="557"/>
      <c r="L164" s="460"/>
      <c r="M164" s="557"/>
      <c r="N164" s="460"/>
      <c r="O164" s="557"/>
      <c r="P164" s="460"/>
      <c r="Q164" s="557"/>
      <c r="R164" s="460"/>
      <c r="S164" s="557"/>
      <c r="T164" s="460"/>
      <c r="U164" s="783"/>
      <c r="V164" s="460"/>
    </row>
    <row r="165" spans="1:22">
      <c r="A165" s="519"/>
      <c r="B165" s="520"/>
      <c r="C165" s="521"/>
      <c r="D165" s="522"/>
      <c r="E165" s="517"/>
      <c r="F165" s="465"/>
      <c r="G165" s="557"/>
      <c r="H165" s="460"/>
      <c r="I165" s="557"/>
      <c r="J165" s="460"/>
      <c r="K165" s="557"/>
      <c r="L165" s="460"/>
      <c r="M165" s="557"/>
      <c r="N165" s="460"/>
      <c r="O165" s="557"/>
      <c r="P165" s="460"/>
      <c r="Q165" s="557"/>
      <c r="R165" s="460"/>
      <c r="S165" s="557"/>
      <c r="T165" s="460"/>
      <c r="U165" s="783"/>
      <c r="V165" s="460"/>
    </row>
    <row r="166" spans="1:22">
      <c r="A166" s="519"/>
      <c r="B166" s="520"/>
      <c r="C166" s="521"/>
      <c r="D166" s="522"/>
      <c r="E166" s="517"/>
      <c r="F166" s="465"/>
      <c r="G166" s="557"/>
      <c r="H166" s="460"/>
      <c r="I166" s="557"/>
      <c r="J166" s="460"/>
      <c r="K166" s="557"/>
      <c r="L166" s="460"/>
      <c r="M166" s="557"/>
      <c r="N166" s="460"/>
      <c r="O166" s="557"/>
      <c r="P166" s="460"/>
      <c r="Q166" s="557"/>
      <c r="R166" s="460"/>
      <c r="S166" s="557"/>
      <c r="T166" s="460"/>
      <c r="U166" s="783"/>
      <c r="V166" s="460"/>
    </row>
    <row r="167" spans="1:22">
      <c r="A167" s="519"/>
      <c r="B167" s="520"/>
      <c r="C167" s="521"/>
      <c r="D167" s="522"/>
      <c r="E167" s="517"/>
      <c r="F167" s="465"/>
      <c r="G167" s="557"/>
      <c r="H167" s="460"/>
      <c r="I167" s="557"/>
      <c r="J167" s="460"/>
      <c r="K167" s="557"/>
      <c r="L167" s="460"/>
      <c r="M167" s="557"/>
      <c r="N167" s="460"/>
      <c r="O167" s="557"/>
      <c r="P167" s="460"/>
      <c r="Q167" s="557"/>
      <c r="R167" s="460"/>
      <c r="S167" s="557"/>
      <c r="T167" s="460"/>
      <c r="U167" s="783"/>
      <c r="V167" s="460"/>
    </row>
    <row r="168" spans="1:22">
      <c r="A168" s="519"/>
      <c r="B168" s="520"/>
      <c r="C168" s="521"/>
      <c r="D168" s="522"/>
      <c r="E168" s="517"/>
      <c r="F168" s="465"/>
      <c r="G168" s="557"/>
      <c r="H168" s="460"/>
      <c r="I168" s="557"/>
      <c r="J168" s="460"/>
      <c r="K168" s="557"/>
      <c r="L168" s="460"/>
      <c r="M168" s="557"/>
      <c r="N168" s="460"/>
      <c r="O168" s="557"/>
      <c r="P168" s="460"/>
      <c r="Q168" s="557"/>
      <c r="R168" s="460"/>
      <c r="S168" s="557"/>
      <c r="T168" s="460"/>
      <c r="U168" s="783"/>
      <c r="V168" s="460"/>
    </row>
    <row r="169" spans="1:22">
      <c r="A169" s="519"/>
      <c r="B169" s="520"/>
      <c r="C169" s="521"/>
      <c r="D169" s="522"/>
      <c r="E169" s="517"/>
      <c r="F169" s="465"/>
      <c r="G169" s="557"/>
      <c r="H169" s="460"/>
      <c r="I169" s="557"/>
      <c r="J169" s="460"/>
      <c r="K169" s="557"/>
      <c r="L169" s="460"/>
      <c r="M169" s="557"/>
      <c r="N169" s="460"/>
      <c r="O169" s="557"/>
      <c r="P169" s="460"/>
      <c r="Q169" s="557"/>
      <c r="R169" s="460"/>
      <c r="S169" s="557"/>
      <c r="T169" s="460"/>
      <c r="U169" s="783"/>
      <c r="V169" s="460"/>
    </row>
    <row r="170" spans="1:22">
      <c r="A170" s="519"/>
      <c r="B170" s="520"/>
      <c r="C170" s="521"/>
      <c r="D170" s="522"/>
      <c r="E170" s="517"/>
      <c r="F170" s="465"/>
      <c r="G170" s="557"/>
      <c r="H170" s="460"/>
      <c r="I170" s="557"/>
      <c r="J170" s="460"/>
      <c r="K170" s="557"/>
      <c r="L170" s="460"/>
      <c r="M170" s="557"/>
      <c r="N170" s="460"/>
      <c r="O170" s="557"/>
      <c r="P170" s="460"/>
      <c r="Q170" s="557"/>
      <c r="R170" s="460"/>
      <c r="S170" s="557"/>
      <c r="T170" s="460"/>
      <c r="U170" s="783"/>
      <c r="V170" s="460"/>
    </row>
    <row r="171" spans="1:22">
      <c r="A171" s="519"/>
      <c r="B171" s="520"/>
      <c r="C171" s="521"/>
      <c r="D171" s="522"/>
      <c r="E171" s="517"/>
      <c r="F171" s="465"/>
      <c r="G171" s="557"/>
      <c r="H171" s="460"/>
      <c r="I171" s="557"/>
      <c r="J171" s="460"/>
      <c r="K171" s="557"/>
      <c r="L171" s="460"/>
      <c r="M171" s="557"/>
      <c r="N171" s="460"/>
      <c r="O171" s="557"/>
      <c r="P171" s="460"/>
      <c r="Q171" s="557"/>
      <c r="R171" s="460"/>
      <c r="S171" s="557"/>
      <c r="T171" s="460"/>
      <c r="U171" s="783"/>
      <c r="V171" s="460"/>
    </row>
    <row r="172" spans="1:22">
      <c r="A172" s="519"/>
      <c r="B172" s="520"/>
      <c r="C172" s="521"/>
      <c r="D172" s="522"/>
      <c r="E172" s="517"/>
      <c r="F172" s="465"/>
      <c r="G172" s="557"/>
      <c r="H172" s="460"/>
      <c r="I172" s="557"/>
      <c r="J172" s="460"/>
      <c r="K172" s="557"/>
      <c r="L172" s="460"/>
      <c r="M172" s="557"/>
      <c r="N172" s="460"/>
      <c r="O172" s="557"/>
      <c r="P172" s="460"/>
      <c r="Q172" s="557"/>
      <c r="R172" s="460"/>
      <c r="S172" s="557"/>
      <c r="T172" s="460"/>
      <c r="U172" s="783"/>
      <c r="V172" s="460"/>
    </row>
    <row r="173" spans="1:22">
      <c r="A173" s="519"/>
      <c r="B173" s="520"/>
      <c r="C173" s="521"/>
      <c r="D173" s="522"/>
      <c r="E173" s="517"/>
      <c r="F173" s="465"/>
      <c r="G173" s="557"/>
      <c r="H173" s="460"/>
      <c r="I173" s="557"/>
      <c r="J173" s="460"/>
      <c r="K173" s="557"/>
      <c r="L173" s="460"/>
      <c r="M173" s="557"/>
      <c r="N173" s="460"/>
      <c r="O173" s="557"/>
      <c r="P173" s="460"/>
      <c r="Q173" s="557"/>
      <c r="R173" s="460"/>
      <c r="S173" s="557"/>
      <c r="T173" s="460"/>
      <c r="U173" s="783"/>
      <c r="V173" s="460"/>
    </row>
    <row r="174" spans="1:22">
      <c r="A174" s="519"/>
      <c r="B174" s="520"/>
      <c r="C174" s="521"/>
      <c r="D174" s="522"/>
      <c r="E174" s="517"/>
      <c r="F174" s="465"/>
      <c r="G174" s="557"/>
      <c r="H174" s="460"/>
      <c r="I174" s="557"/>
      <c r="J174" s="460"/>
      <c r="K174" s="557"/>
      <c r="L174" s="460"/>
      <c r="M174" s="557"/>
      <c r="N174" s="460"/>
      <c r="O174" s="557"/>
      <c r="P174" s="460"/>
      <c r="Q174" s="557"/>
      <c r="R174" s="460"/>
      <c r="S174" s="557"/>
      <c r="T174" s="460"/>
      <c r="U174" s="783"/>
      <c r="V174" s="460"/>
    </row>
    <row r="175" spans="1:22">
      <c r="A175" s="519"/>
      <c r="B175" s="520"/>
      <c r="C175" s="521"/>
      <c r="D175" s="522"/>
      <c r="E175" s="517"/>
      <c r="F175" s="465"/>
      <c r="G175" s="557"/>
      <c r="H175" s="460"/>
      <c r="I175" s="557"/>
      <c r="J175" s="460"/>
      <c r="K175" s="557"/>
      <c r="L175" s="460"/>
      <c r="M175" s="557"/>
      <c r="N175" s="460"/>
      <c r="O175" s="557"/>
      <c r="P175" s="460"/>
      <c r="Q175" s="557"/>
      <c r="R175" s="460"/>
      <c r="S175" s="557"/>
      <c r="T175" s="460"/>
      <c r="U175" s="783"/>
      <c r="V175" s="460"/>
    </row>
    <row r="176" spans="1:22">
      <c r="A176" s="519"/>
      <c r="B176" s="520"/>
      <c r="C176" s="521"/>
      <c r="D176" s="522"/>
      <c r="E176" s="517"/>
      <c r="F176" s="465"/>
      <c r="G176" s="557"/>
      <c r="H176" s="460"/>
      <c r="I176" s="557"/>
      <c r="J176" s="460"/>
      <c r="K176" s="557"/>
      <c r="L176" s="460"/>
      <c r="M176" s="557"/>
      <c r="N176" s="460"/>
      <c r="O176" s="557"/>
      <c r="P176" s="460"/>
      <c r="Q176" s="557"/>
      <c r="R176" s="460"/>
      <c r="S176" s="557"/>
      <c r="T176" s="460"/>
      <c r="U176" s="783"/>
      <c r="V176" s="460"/>
    </row>
    <row r="177" spans="1:22">
      <c r="A177" s="519"/>
      <c r="B177" s="520"/>
      <c r="C177" s="521"/>
      <c r="D177" s="522"/>
      <c r="E177" s="517"/>
      <c r="F177" s="465"/>
      <c r="G177" s="557"/>
      <c r="H177" s="460"/>
      <c r="I177" s="557"/>
      <c r="J177" s="460"/>
      <c r="K177" s="557"/>
      <c r="L177" s="460"/>
      <c r="M177" s="557"/>
      <c r="N177" s="460"/>
      <c r="O177" s="557"/>
      <c r="P177" s="460"/>
      <c r="Q177" s="557"/>
      <c r="R177" s="460"/>
      <c r="S177" s="557"/>
      <c r="T177" s="460"/>
      <c r="U177" s="783"/>
      <c r="V177" s="460"/>
    </row>
    <row r="178" spans="1:22">
      <c r="A178" s="519"/>
      <c r="B178" s="520"/>
      <c r="C178" s="521"/>
      <c r="D178" s="522"/>
      <c r="E178" s="517"/>
      <c r="F178" s="465"/>
      <c r="G178" s="557"/>
      <c r="H178" s="460"/>
      <c r="I178" s="557"/>
      <c r="J178" s="460"/>
      <c r="K178" s="557"/>
      <c r="L178" s="460"/>
      <c r="M178" s="557"/>
      <c r="N178" s="460"/>
      <c r="O178" s="557"/>
      <c r="P178" s="460"/>
      <c r="Q178" s="557"/>
      <c r="R178" s="460"/>
      <c r="S178" s="557"/>
      <c r="T178" s="460"/>
      <c r="U178" s="783"/>
      <c r="V178" s="460"/>
    </row>
    <row r="179" spans="1:22">
      <c r="A179" s="519"/>
      <c r="B179" s="520"/>
      <c r="C179" s="521"/>
      <c r="D179" s="522"/>
      <c r="E179" s="517"/>
      <c r="F179" s="465"/>
      <c r="G179" s="557"/>
      <c r="H179" s="460"/>
      <c r="I179" s="557"/>
      <c r="J179" s="460"/>
      <c r="K179" s="557"/>
      <c r="L179" s="460"/>
      <c r="M179" s="557"/>
      <c r="N179" s="460"/>
      <c r="O179" s="557"/>
      <c r="P179" s="460"/>
      <c r="Q179" s="557"/>
      <c r="R179" s="460"/>
      <c r="S179" s="557"/>
      <c r="T179" s="460"/>
      <c r="U179" s="783"/>
      <c r="V179" s="460"/>
    </row>
    <row r="180" spans="1:22">
      <c r="A180" s="519"/>
      <c r="B180" s="520"/>
      <c r="C180" s="521"/>
      <c r="D180" s="522"/>
      <c r="E180" s="517"/>
      <c r="F180" s="465"/>
      <c r="G180" s="557"/>
      <c r="H180" s="460"/>
      <c r="I180" s="557"/>
      <c r="J180" s="460"/>
      <c r="K180" s="557"/>
      <c r="L180" s="460"/>
      <c r="M180" s="557"/>
      <c r="N180" s="460"/>
      <c r="O180" s="557"/>
      <c r="P180" s="460"/>
      <c r="Q180" s="557"/>
      <c r="R180" s="460"/>
      <c r="S180" s="557"/>
      <c r="T180" s="460"/>
      <c r="U180" s="783"/>
      <c r="V180" s="460"/>
    </row>
    <row r="181" spans="1:22">
      <c r="A181" s="519"/>
      <c r="B181" s="520"/>
      <c r="C181" s="521"/>
      <c r="D181" s="522"/>
      <c r="E181" s="517"/>
      <c r="F181" s="465"/>
      <c r="G181" s="557"/>
      <c r="H181" s="460"/>
      <c r="I181" s="557"/>
      <c r="J181" s="460"/>
      <c r="K181" s="557"/>
      <c r="L181" s="460"/>
      <c r="M181" s="557"/>
      <c r="N181" s="460"/>
      <c r="O181" s="557"/>
      <c r="P181" s="460"/>
      <c r="Q181" s="557"/>
      <c r="R181" s="460"/>
      <c r="S181" s="557"/>
      <c r="T181" s="460"/>
      <c r="U181" s="783"/>
      <c r="V181" s="460"/>
    </row>
    <row r="182" spans="1:22">
      <c r="A182" s="519"/>
      <c r="B182" s="520"/>
      <c r="C182" s="521"/>
      <c r="D182" s="522"/>
      <c r="E182" s="517"/>
      <c r="F182" s="465"/>
      <c r="G182" s="557"/>
      <c r="H182" s="460"/>
      <c r="I182" s="557"/>
      <c r="J182" s="460"/>
      <c r="K182" s="557"/>
      <c r="L182" s="460"/>
      <c r="M182" s="557"/>
      <c r="N182" s="460"/>
      <c r="O182" s="557"/>
      <c r="P182" s="460"/>
      <c r="Q182" s="557"/>
      <c r="R182" s="460"/>
      <c r="S182" s="557"/>
      <c r="T182" s="460"/>
      <c r="U182" s="783"/>
      <c r="V182" s="460"/>
    </row>
    <row r="183" spans="1:22">
      <c r="A183" s="519"/>
      <c r="B183" s="520"/>
      <c r="C183" s="521"/>
      <c r="D183" s="522"/>
      <c r="E183" s="517"/>
      <c r="F183" s="465"/>
      <c r="G183" s="557"/>
      <c r="H183" s="460"/>
      <c r="I183" s="557"/>
      <c r="J183" s="460"/>
      <c r="K183" s="557"/>
      <c r="L183" s="460"/>
      <c r="M183" s="557"/>
      <c r="N183" s="460"/>
      <c r="O183" s="557"/>
      <c r="P183" s="460"/>
      <c r="Q183" s="557"/>
      <c r="R183" s="460"/>
      <c r="S183" s="557"/>
      <c r="T183" s="460"/>
      <c r="U183" s="783"/>
      <c r="V183" s="460"/>
    </row>
    <row r="184" spans="1:22">
      <c r="A184" s="519"/>
      <c r="B184" s="520"/>
      <c r="C184" s="521"/>
      <c r="D184" s="522"/>
      <c r="E184" s="517"/>
      <c r="F184" s="465"/>
      <c r="G184" s="557"/>
      <c r="H184" s="460"/>
      <c r="I184" s="557"/>
      <c r="J184" s="460"/>
      <c r="K184" s="557"/>
      <c r="L184" s="460"/>
      <c r="M184" s="557"/>
      <c r="N184" s="460"/>
      <c r="O184" s="557"/>
      <c r="P184" s="460"/>
      <c r="Q184" s="557"/>
      <c r="R184" s="460"/>
      <c r="S184" s="557"/>
      <c r="T184" s="460"/>
      <c r="U184" s="783"/>
      <c r="V184" s="460"/>
    </row>
    <row r="185" spans="1:22">
      <c r="A185" s="519"/>
      <c r="B185" s="520"/>
      <c r="C185" s="521"/>
      <c r="D185" s="522"/>
      <c r="E185" s="517"/>
      <c r="F185" s="465"/>
      <c r="G185" s="557"/>
      <c r="H185" s="460"/>
      <c r="I185" s="557"/>
      <c r="J185" s="460"/>
      <c r="K185" s="557"/>
      <c r="L185" s="460"/>
      <c r="M185" s="557"/>
      <c r="N185" s="460"/>
      <c r="O185" s="557"/>
      <c r="P185" s="460"/>
      <c r="Q185" s="557"/>
      <c r="R185" s="460"/>
      <c r="S185" s="557"/>
      <c r="T185" s="460"/>
      <c r="U185" s="783"/>
      <c r="V185" s="460"/>
    </row>
    <row r="186" spans="1:22">
      <c r="A186" s="519"/>
      <c r="B186" s="520"/>
      <c r="C186" s="521"/>
      <c r="D186" s="522"/>
      <c r="E186" s="517"/>
      <c r="F186" s="465"/>
      <c r="G186" s="557"/>
      <c r="H186" s="460"/>
      <c r="I186" s="557"/>
      <c r="J186" s="460"/>
      <c r="K186" s="557"/>
      <c r="L186" s="460"/>
      <c r="M186" s="557"/>
      <c r="N186" s="460"/>
      <c r="O186" s="557"/>
      <c r="P186" s="460"/>
      <c r="Q186" s="557"/>
      <c r="R186" s="460"/>
      <c r="S186" s="557"/>
      <c r="T186" s="460"/>
      <c r="U186" s="783"/>
      <c r="V186" s="460"/>
    </row>
    <row r="187" spans="1:22">
      <c r="A187" s="519"/>
      <c r="B187" s="520"/>
      <c r="C187" s="521"/>
      <c r="D187" s="522"/>
      <c r="E187" s="517"/>
      <c r="F187" s="465"/>
      <c r="G187" s="557"/>
      <c r="H187" s="460"/>
      <c r="I187" s="557"/>
      <c r="J187" s="460"/>
      <c r="K187" s="557"/>
      <c r="L187" s="460"/>
      <c r="M187" s="557"/>
      <c r="N187" s="460"/>
      <c r="O187" s="557"/>
      <c r="P187" s="460"/>
      <c r="Q187" s="557"/>
      <c r="R187" s="460"/>
      <c r="S187" s="557"/>
      <c r="T187" s="460"/>
      <c r="U187" s="783"/>
      <c r="V187" s="460"/>
    </row>
    <row r="188" spans="1:22">
      <c r="A188" s="519"/>
      <c r="B188" s="520"/>
      <c r="C188" s="521"/>
      <c r="D188" s="522"/>
      <c r="E188" s="517"/>
      <c r="F188" s="465"/>
      <c r="G188" s="557"/>
      <c r="H188" s="460"/>
      <c r="I188" s="557"/>
      <c r="J188" s="460"/>
      <c r="K188" s="557"/>
      <c r="L188" s="460"/>
      <c r="M188" s="557"/>
      <c r="N188" s="460"/>
      <c r="O188" s="557"/>
      <c r="P188" s="460"/>
      <c r="Q188" s="557"/>
      <c r="R188" s="460"/>
      <c r="S188" s="557"/>
      <c r="T188" s="460"/>
      <c r="U188" s="783"/>
      <c r="V188" s="460"/>
    </row>
    <row r="189" spans="1:22">
      <c r="A189" s="519"/>
      <c r="B189" s="520"/>
      <c r="C189" s="521"/>
      <c r="D189" s="522"/>
      <c r="E189" s="517"/>
      <c r="F189" s="465"/>
      <c r="G189" s="557"/>
      <c r="H189" s="460"/>
      <c r="I189" s="557"/>
      <c r="J189" s="460"/>
      <c r="K189" s="557"/>
      <c r="L189" s="460"/>
      <c r="M189" s="557"/>
      <c r="N189" s="460"/>
      <c r="O189" s="557"/>
      <c r="P189" s="460"/>
      <c r="Q189" s="557"/>
      <c r="R189" s="460"/>
      <c r="S189" s="557"/>
      <c r="T189" s="460"/>
      <c r="U189" s="783"/>
      <c r="V189" s="460"/>
    </row>
    <row r="190" spans="1:22">
      <c r="A190" s="519"/>
      <c r="B190" s="520"/>
      <c r="C190" s="521"/>
      <c r="D190" s="522"/>
      <c r="E190" s="517"/>
      <c r="F190" s="465"/>
      <c r="G190" s="557"/>
      <c r="H190" s="460"/>
      <c r="I190" s="557"/>
      <c r="J190" s="460"/>
      <c r="K190" s="557"/>
      <c r="L190" s="460"/>
      <c r="M190" s="557"/>
      <c r="N190" s="460"/>
      <c r="O190" s="557"/>
      <c r="P190" s="460"/>
      <c r="Q190" s="557"/>
      <c r="R190" s="460"/>
      <c r="S190" s="557"/>
      <c r="T190" s="460"/>
      <c r="U190" s="783"/>
      <c r="V190" s="460"/>
    </row>
    <row r="191" spans="1:22">
      <c r="A191" s="519"/>
      <c r="B191" s="520"/>
      <c r="C191" s="521"/>
      <c r="D191" s="522"/>
      <c r="E191" s="517"/>
      <c r="F191" s="465"/>
      <c r="G191" s="557"/>
      <c r="H191" s="460"/>
      <c r="I191" s="557"/>
      <c r="J191" s="460"/>
      <c r="K191" s="557"/>
      <c r="L191" s="460"/>
      <c r="M191" s="557"/>
      <c r="N191" s="460"/>
      <c r="O191" s="557"/>
      <c r="P191" s="460"/>
      <c r="Q191" s="557"/>
      <c r="R191" s="460"/>
      <c r="S191" s="557"/>
      <c r="T191" s="460"/>
      <c r="U191" s="783"/>
      <c r="V191" s="460"/>
    </row>
    <row r="192" spans="1:22">
      <c r="A192" s="519"/>
      <c r="B192" s="520"/>
      <c r="C192" s="521"/>
      <c r="D192" s="522"/>
      <c r="E192" s="517"/>
      <c r="F192" s="465"/>
      <c r="G192" s="557"/>
      <c r="H192" s="460"/>
      <c r="I192" s="557"/>
      <c r="J192" s="460"/>
      <c r="K192" s="557"/>
      <c r="L192" s="460"/>
      <c r="M192" s="557"/>
      <c r="N192" s="460"/>
      <c r="O192" s="557"/>
      <c r="P192" s="460"/>
      <c r="Q192" s="557"/>
      <c r="R192" s="460"/>
      <c r="S192" s="557"/>
      <c r="T192" s="460"/>
      <c r="U192" s="783"/>
      <c r="V192" s="460"/>
    </row>
    <row r="193" spans="1:22">
      <c r="A193" s="519"/>
      <c r="B193" s="520"/>
      <c r="C193" s="521"/>
      <c r="D193" s="522"/>
      <c r="E193" s="517"/>
      <c r="F193" s="465"/>
      <c r="G193" s="557"/>
      <c r="H193" s="460"/>
      <c r="I193" s="557"/>
      <c r="J193" s="460"/>
      <c r="K193" s="557"/>
      <c r="L193" s="460"/>
      <c r="M193" s="557"/>
      <c r="N193" s="460"/>
      <c r="O193" s="557"/>
      <c r="P193" s="460"/>
      <c r="Q193" s="557"/>
      <c r="R193" s="460"/>
      <c r="S193" s="557"/>
      <c r="T193" s="460"/>
      <c r="U193" s="783"/>
      <c r="V193" s="460"/>
    </row>
    <row r="194" spans="1:22">
      <c r="A194" s="519"/>
      <c r="B194" s="520"/>
      <c r="C194" s="521"/>
      <c r="D194" s="522"/>
      <c r="E194" s="517"/>
      <c r="F194" s="465"/>
      <c r="G194" s="557"/>
      <c r="H194" s="460"/>
      <c r="I194" s="557"/>
      <c r="J194" s="460"/>
      <c r="K194" s="557"/>
      <c r="L194" s="460"/>
      <c r="M194" s="557"/>
      <c r="N194" s="460"/>
      <c r="O194" s="557"/>
      <c r="P194" s="460"/>
      <c r="Q194" s="557"/>
      <c r="R194" s="460"/>
      <c r="S194" s="557"/>
      <c r="T194" s="460"/>
      <c r="U194" s="783"/>
      <c r="V194" s="460"/>
    </row>
    <row r="195" spans="1:22">
      <c r="A195" s="519"/>
      <c r="B195" s="520"/>
      <c r="C195" s="521"/>
      <c r="D195" s="522"/>
      <c r="E195" s="517"/>
      <c r="F195" s="465"/>
      <c r="G195" s="557"/>
      <c r="H195" s="460"/>
      <c r="I195" s="557"/>
      <c r="J195" s="460"/>
      <c r="K195" s="557"/>
      <c r="L195" s="460"/>
      <c r="M195" s="557"/>
      <c r="N195" s="460"/>
      <c r="O195" s="557"/>
      <c r="P195" s="460"/>
      <c r="Q195" s="557"/>
      <c r="R195" s="460"/>
      <c r="S195" s="557"/>
      <c r="T195" s="460"/>
      <c r="U195" s="783"/>
      <c r="V195" s="460"/>
    </row>
    <row r="196" spans="1:22">
      <c r="A196" s="519"/>
      <c r="B196" s="520"/>
      <c r="C196" s="521"/>
      <c r="D196" s="522"/>
      <c r="E196" s="517"/>
      <c r="F196" s="465"/>
      <c r="G196" s="557"/>
      <c r="H196" s="460"/>
      <c r="I196" s="557"/>
      <c r="J196" s="460"/>
      <c r="K196" s="557"/>
      <c r="L196" s="460"/>
      <c r="M196" s="557"/>
      <c r="N196" s="460"/>
      <c r="O196" s="557"/>
      <c r="P196" s="460"/>
      <c r="Q196" s="557"/>
      <c r="R196" s="460"/>
      <c r="S196" s="557"/>
      <c r="T196" s="460"/>
      <c r="U196" s="783"/>
      <c r="V196" s="460"/>
    </row>
    <row r="197" spans="1:22">
      <c r="A197" s="519"/>
      <c r="B197" s="520"/>
      <c r="C197" s="521"/>
      <c r="D197" s="522"/>
      <c r="E197" s="517"/>
      <c r="F197" s="465"/>
      <c r="G197" s="557"/>
      <c r="H197" s="460"/>
      <c r="I197" s="557"/>
      <c r="J197" s="460"/>
      <c r="K197" s="557"/>
      <c r="L197" s="460"/>
      <c r="M197" s="557"/>
      <c r="N197" s="460"/>
      <c r="O197" s="557"/>
      <c r="P197" s="460"/>
      <c r="Q197" s="557"/>
      <c r="R197" s="460"/>
      <c r="S197" s="557"/>
      <c r="T197" s="460"/>
      <c r="U197" s="783"/>
      <c r="V197" s="460"/>
    </row>
    <row r="198" spans="1:22">
      <c r="A198" s="519"/>
      <c r="B198" s="520"/>
      <c r="C198" s="521"/>
      <c r="D198" s="522"/>
      <c r="E198" s="517"/>
      <c r="F198" s="465"/>
      <c r="G198" s="557"/>
      <c r="H198" s="460"/>
      <c r="I198" s="557"/>
      <c r="J198" s="460"/>
      <c r="K198" s="557"/>
      <c r="L198" s="460"/>
      <c r="M198" s="557"/>
      <c r="N198" s="460"/>
      <c r="O198" s="557"/>
      <c r="P198" s="460"/>
      <c r="Q198" s="557"/>
      <c r="R198" s="460"/>
      <c r="S198" s="557"/>
      <c r="T198" s="460"/>
      <c r="U198" s="783"/>
      <c r="V198" s="460"/>
    </row>
    <row r="199" spans="1:22">
      <c r="A199" s="519"/>
      <c r="B199" s="520"/>
      <c r="C199" s="521"/>
      <c r="D199" s="522"/>
      <c r="E199" s="517"/>
      <c r="F199" s="465"/>
      <c r="G199" s="557"/>
      <c r="H199" s="460"/>
      <c r="I199" s="557"/>
      <c r="J199" s="460"/>
      <c r="K199" s="557"/>
      <c r="L199" s="460"/>
      <c r="M199" s="557"/>
      <c r="N199" s="460"/>
      <c r="O199" s="557"/>
      <c r="P199" s="460"/>
      <c r="Q199" s="557"/>
      <c r="R199" s="460"/>
      <c r="S199" s="557"/>
      <c r="T199" s="460"/>
      <c r="U199" s="783"/>
      <c r="V199" s="460"/>
    </row>
    <row r="200" spans="1:22">
      <c r="A200" s="519"/>
      <c r="B200" s="520"/>
      <c r="C200" s="521"/>
      <c r="D200" s="522"/>
      <c r="E200" s="517"/>
      <c r="F200" s="465"/>
      <c r="G200" s="557"/>
      <c r="H200" s="460"/>
      <c r="I200" s="557"/>
      <c r="J200" s="460"/>
      <c r="K200" s="557"/>
      <c r="L200" s="460"/>
      <c r="M200" s="557"/>
      <c r="N200" s="460"/>
      <c r="O200" s="557"/>
      <c r="P200" s="460"/>
      <c r="Q200" s="557"/>
      <c r="R200" s="460"/>
      <c r="S200" s="557"/>
      <c r="T200" s="460"/>
      <c r="U200" s="783"/>
      <c r="V200" s="460"/>
    </row>
    <row r="201" spans="1:22">
      <c r="A201" s="519"/>
      <c r="B201" s="520"/>
      <c r="C201" s="521"/>
      <c r="D201" s="522"/>
      <c r="E201" s="517"/>
      <c r="F201" s="465"/>
      <c r="G201" s="557"/>
      <c r="H201" s="460"/>
      <c r="I201" s="557"/>
      <c r="J201" s="460"/>
      <c r="K201" s="557"/>
      <c r="L201" s="460"/>
      <c r="M201" s="557"/>
      <c r="N201" s="460"/>
      <c r="O201" s="557"/>
      <c r="P201" s="460"/>
      <c r="Q201" s="557"/>
      <c r="R201" s="460"/>
      <c r="S201" s="557"/>
      <c r="T201" s="460"/>
      <c r="U201" s="783"/>
      <c r="V201" s="460"/>
    </row>
    <row r="202" spans="1:22">
      <c r="A202" s="519"/>
      <c r="B202" s="520"/>
      <c r="C202" s="521"/>
      <c r="D202" s="522"/>
      <c r="E202" s="517"/>
      <c r="F202" s="465"/>
      <c r="G202" s="557"/>
      <c r="H202" s="460"/>
      <c r="I202" s="557"/>
      <c r="J202" s="460"/>
      <c r="K202" s="557"/>
      <c r="L202" s="460"/>
      <c r="M202" s="557"/>
      <c r="N202" s="460"/>
      <c r="O202" s="557"/>
      <c r="P202" s="460"/>
      <c r="Q202" s="557"/>
      <c r="R202" s="460"/>
      <c r="S202" s="557"/>
      <c r="T202" s="460"/>
      <c r="U202" s="783"/>
      <c r="V202" s="460"/>
    </row>
    <row r="203" spans="1:22">
      <c r="A203" s="519"/>
      <c r="B203" s="520"/>
      <c r="C203" s="521"/>
      <c r="D203" s="522"/>
      <c r="E203" s="517"/>
      <c r="F203" s="465"/>
      <c r="G203" s="557"/>
      <c r="H203" s="460"/>
      <c r="I203" s="557"/>
      <c r="J203" s="460"/>
      <c r="K203" s="557"/>
      <c r="L203" s="460"/>
      <c r="M203" s="557"/>
      <c r="N203" s="460"/>
      <c r="O203" s="557"/>
      <c r="P203" s="460"/>
      <c r="Q203" s="557"/>
      <c r="R203" s="460"/>
      <c r="S203" s="557"/>
      <c r="T203" s="460"/>
      <c r="U203" s="783"/>
      <c r="V203" s="460"/>
    </row>
    <row r="204" spans="1:22">
      <c r="A204" s="519"/>
      <c r="B204" s="520"/>
      <c r="C204" s="521"/>
      <c r="D204" s="522"/>
      <c r="E204" s="517"/>
      <c r="F204" s="465"/>
      <c r="G204" s="557"/>
      <c r="H204" s="460"/>
      <c r="I204" s="557"/>
      <c r="J204" s="460"/>
      <c r="K204" s="557"/>
      <c r="L204" s="460"/>
      <c r="M204" s="557"/>
      <c r="N204" s="460"/>
      <c r="O204" s="557"/>
      <c r="P204" s="460"/>
      <c r="Q204" s="557"/>
      <c r="R204" s="460"/>
      <c r="S204" s="557"/>
      <c r="T204" s="460"/>
      <c r="U204" s="783"/>
      <c r="V204" s="460"/>
    </row>
    <row r="205" spans="1:22">
      <c r="A205" s="519"/>
      <c r="B205" s="520"/>
      <c r="C205" s="521"/>
      <c r="D205" s="522"/>
      <c r="E205" s="517"/>
      <c r="F205" s="465"/>
      <c r="G205" s="557"/>
      <c r="H205" s="460"/>
      <c r="I205" s="557"/>
      <c r="J205" s="460"/>
      <c r="K205" s="557"/>
      <c r="L205" s="460"/>
      <c r="M205" s="557"/>
      <c r="N205" s="460"/>
      <c r="O205" s="557"/>
      <c r="P205" s="460"/>
      <c r="Q205" s="557"/>
      <c r="R205" s="460"/>
      <c r="S205" s="557"/>
      <c r="T205" s="460"/>
      <c r="U205" s="783"/>
      <c r="V205" s="460"/>
    </row>
    <row r="206" spans="1:22">
      <c r="A206" s="519"/>
      <c r="B206" s="520"/>
      <c r="C206" s="521"/>
      <c r="D206" s="522"/>
      <c r="E206" s="517"/>
      <c r="F206" s="465"/>
      <c r="G206" s="557"/>
      <c r="H206" s="460"/>
      <c r="I206" s="557"/>
      <c r="J206" s="460"/>
      <c r="K206" s="557"/>
      <c r="L206" s="460"/>
      <c r="M206" s="557"/>
      <c r="N206" s="460"/>
      <c r="O206" s="557"/>
      <c r="P206" s="460"/>
      <c r="Q206" s="557"/>
      <c r="R206" s="460"/>
      <c r="S206" s="557"/>
      <c r="T206" s="460"/>
      <c r="U206" s="783"/>
      <c r="V206" s="460"/>
    </row>
    <row r="207" spans="1:22">
      <c r="A207" s="519"/>
      <c r="B207" s="520"/>
      <c r="C207" s="521"/>
      <c r="D207" s="522"/>
      <c r="E207" s="517"/>
      <c r="F207" s="465"/>
      <c r="G207" s="557"/>
      <c r="H207" s="460"/>
      <c r="I207" s="557"/>
      <c r="J207" s="460"/>
      <c r="K207" s="557"/>
      <c r="L207" s="460"/>
      <c r="M207" s="557"/>
      <c r="N207" s="460"/>
      <c r="O207" s="557"/>
      <c r="P207" s="460"/>
      <c r="Q207" s="557"/>
      <c r="R207" s="460"/>
      <c r="S207" s="557"/>
      <c r="T207" s="460"/>
      <c r="U207" s="783"/>
      <c r="V207" s="460"/>
    </row>
    <row r="208" spans="1:22">
      <c r="A208" s="519"/>
      <c r="B208" s="520"/>
      <c r="C208" s="521"/>
      <c r="D208" s="522"/>
      <c r="E208" s="517"/>
      <c r="F208" s="465"/>
      <c r="G208" s="557"/>
      <c r="H208" s="460"/>
      <c r="I208" s="557"/>
      <c r="J208" s="460"/>
      <c r="K208" s="557"/>
      <c r="L208" s="460"/>
      <c r="M208" s="557"/>
      <c r="N208" s="460"/>
      <c r="O208" s="557"/>
      <c r="P208" s="460"/>
      <c r="Q208" s="557"/>
      <c r="R208" s="460"/>
      <c r="S208" s="557"/>
      <c r="T208" s="460"/>
      <c r="U208" s="783"/>
      <c r="V208" s="460"/>
    </row>
    <row r="209" spans="1:22">
      <c r="A209" s="519"/>
      <c r="B209" s="520"/>
      <c r="C209" s="521"/>
      <c r="D209" s="522"/>
      <c r="E209" s="517"/>
      <c r="F209" s="465"/>
      <c r="G209" s="557"/>
      <c r="H209" s="460"/>
      <c r="I209" s="557"/>
      <c r="J209" s="460"/>
      <c r="K209" s="557"/>
      <c r="L209" s="460"/>
      <c r="M209" s="557"/>
      <c r="N209" s="460"/>
      <c r="O209" s="557"/>
      <c r="P209" s="460"/>
      <c r="Q209" s="557"/>
      <c r="R209" s="460"/>
      <c r="S209" s="557"/>
      <c r="T209" s="460"/>
      <c r="U209" s="783"/>
      <c r="V209" s="460"/>
    </row>
    <row r="210" spans="1:22">
      <c r="A210" s="519"/>
      <c r="B210" s="520"/>
      <c r="C210" s="521"/>
      <c r="D210" s="522"/>
      <c r="E210" s="517"/>
      <c r="F210" s="465"/>
      <c r="G210" s="557"/>
      <c r="H210" s="460"/>
      <c r="I210" s="557"/>
      <c r="J210" s="460"/>
      <c r="K210" s="557"/>
      <c r="L210" s="460"/>
      <c r="M210" s="557"/>
      <c r="N210" s="460"/>
      <c r="O210" s="557"/>
      <c r="P210" s="460"/>
      <c r="Q210" s="557"/>
      <c r="R210" s="460"/>
      <c r="S210" s="557"/>
      <c r="T210" s="460"/>
      <c r="U210" s="783"/>
      <c r="V210" s="460"/>
    </row>
    <row r="211" spans="1:22">
      <c r="A211" s="519"/>
      <c r="B211" s="520"/>
      <c r="C211" s="521"/>
      <c r="D211" s="522"/>
      <c r="E211" s="517"/>
      <c r="F211" s="465"/>
      <c r="G211" s="557"/>
      <c r="H211" s="460"/>
      <c r="I211" s="557"/>
      <c r="J211" s="460"/>
      <c r="K211" s="557"/>
      <c r="L211" s="460"/>
      <c r="M211" s="557"/>
      <c r="N211" s="460"/>
      <c r="O211" s="557"/>
      <c r="P211" s="460"/>
      <c r="Q211" s="557"/>
      <c r="R211" s="460"/>
      <c r="S211" s="557"/>
      <c r="T211" s="460"/>
      <c r="U211" s="783"/>
      <c r="V211" s="460"/>
    </row>
    <row r="212" spans="1:22">
      <c r="A212" s="519"/>
      <c r="B212" s="520"/>
      <c r="C212" s="521"/>
      <c r="D212" s="522"/>
      <c r="E212" s="517"/>
      <c r="F212" s="465"/>
      <c r="G212" s="557"/>
      <c r="H212" s="460"/>
      <c r="I212" s="557"/>
      <c r="J212" s="460"/>
      <c r="K212" s="557"/>
      <c r="L212" s="460"/>
      <c r="M212" s="557"/>
      <c r="N212" s="460"/>
      <c r="O212" s="557"/>
      <c r="P212" s="460"/>
      <c r="Q212" s="557"/>
      <c r="R212" s="460"/>
      <c r="S212" s="557"/>
      <c r="T212" s="460"/>
      <c r="U212" s="783"/>
      <c r="V212" s="460"/>
    </row>
    <row r="213" spans="1:22">
      <c r="A213" s="519"/>
      <c r="B213" s="520"/>
      <c r="C213" s="521"/>
      <c r="D213" s="522"/>
      <c r="E213" s="517"/>
      <c r="F213" s="465"/>
      <c r="G213" s="557"/>
      <c r="H213" s="460"/>
      <c r="I213" s="557"/>
      <c r="J213" s="460"/>
      <c r="K213" s="557"/>
      <c r="L213" s="460"/>
      <c r="M213" s="557"/>
      <c r="N213" s="460"/>
      <c r="O213" s="557"/>
      <c r="P213" s="460"/>
      <c r="Q213" s="557"/>
      <c r="R213" s="460"/>
      <c r="S213" s="557"/>
      <c r="T213" s="460"/>
      <c r="U213" s="783"/>
      <c r="V213" s="460"/>
    </row>
    <row r="214" spans="1:22">
      <c r="A214" s="519"/>
      <c r="B214" s="520"/>
      <c r="C214" s="521"/>
      <c r="D214" s="522"/>
      <c r="E214" s="517"/>
      <c r="F214" s="465"/>
      <c r="G214" s="557"/>
      <c r="H214" s="460"/>
      <c r="I214" s="557"/>
      <c r="J214" s="460"/>
      <c r="K214" s="557"/>
      <c r="L214" s="460"/>
      <c r="M214" s="557"/>
      <c r="N214" s="460"/>
      <c r="O214" s="557"/>
      <c r="P214" s="460"/>
      <c r="Q214" s="557"/>
      <c r="R214" s="460"/>
      <c r="S214" s="557"/>
      <c r="T214" s="460"/>
      <c r="U214" s="783"/>
      <c r="V214" s="460"/>
    </row>
    <row r="215" spans="1:22">
      <c r="A215" s="519"/>
      <c r="B215" s="520"/>
      <c r="C215" s="521"/>
      <c r="D215" s="522"/>
      <c r="E215" s="517"/>
      <c r="F215" s="465"/>
      <c r="G215" s="557"/>
      <c r="H215" s="460"/>
      <c r="I215" s="557"/>
      <c r="J215" s="460"/>
      <c r="K215" s="557"/>
      <c r="L215" s="460"/>
      <c r="M215" s="557"/>
      <c r="N215" s="460"/>
      <c r="O215" s="557"/>
      <c r="P215" s="460"/>
      <c r="Q215" s="557"/>
      <c r="R215" s="460"/>
      <c r="S215" s="557"/>
      <c r="T215" s="460"/>
      <c r="U215" s="783"/>
      <c r="V215" s="460"/>
    </row>
    <row r="216" spans="1:22">
      <c r="A216" s="519"/>
      <c r="B216" s="520"/>
      <c r="C216" s="521"/>
      <c r="D216" s="522"/>
      <c r="E216" s="517"/>
      <c r="F216" s="465"/>
      <c r="G216" s="557"/>
      <c r="H216" s="460"/>
      <c r="I216" s="557"/>
      <c r="J216" s="460"/>
      <c r="K216" s="557"/>
      <c r="L216" s="460"/>
      <c r="M216" s="557"/>
      <c r="N216" s="460"/>
      <c r="O216" s="557"/>
      <c r="P216" s="460"/>
      <c r="Q216" s="557"/>
      <c r="R216" s="460"/>
      <c r="S216" s="557"/>
      <c r="T216" s="460"/>
      <c r="U216" s="783"/>
      <c r="V216" s="460"/>
    </row>
    <row r="217" spans="1:22">
      <c r="A217" s="519"/>
      <c r="B217" s="520"/>
      <c r="C217" s="521"/>
      <c r="D217" s="522"/>
      <c r="E217" s="517"/>
      <c r="F217" s="465"/>
      <c r="G217" s="557"/>
      <c r="H217" s="460"/>
      <c r="I217" s="557"/>
      <c r="J217" s="460"/>
      <c r="K217" s="557"/>
      <c r="L217" s="460"/>
      <c r="M217" s="557"/>
      <c r="N217" s="460"/>
      <c r="O217" s="557"/>
      <c r="P217" s="460"/>
      <c r="Q217" s="557"/>
      <c r="R217" s="460"/>
      <c r="S217" s="557"/>
      <c r="T217" s="460"/>
      <c r="U217" s="783"/>
      <c r="V217" s="460"/>
    </row>
    <row r="218" spans="1:22">
      <c r="A218" s="519"/>
      <c r="B218" s="520"/>
      <c r="C218" s="521"/>
      <c r="D218" s="522"/>
      <c r="E218" s="517"/>
      <c r="F218" s="465"/>
      <c r="G218" s="557"/>
      <c r="H218" s="460"/>
      <c r="I218" s="557"/>
      <c r="J218" s="460"/>
      <c r="K218" s="557"/>
      <c r="L218" s="460"/>
      <c r="M218" s="557"/>
      <c r="N218" s="460"/>
      <c r="O218" s="557"/>
      <c r="P218" s="460"/>
      <c r="Q218" s="557"/>
      <c r="R218" s="460"/>
      <c r="S218" s="557"/>
      <c r="T218" s="460"/>
      <c r="U218" s="783"/>
      <c r="V218" s="460"/>
    </row>
    <row r="219" spans="1:22">
      <c r="A219" s="519"/>
      <c r="B219" s="520"/>
      <c r="C219" s="521"/>
      <c r="D219" s="522"/>
      <c r="E219" s="517"/>
      <c r="F219" s="465"/>
      <c r="G219" s="557"/>
      <c r="H219" s="460"/>
      <c r="I219" s="557"/>
      <c r="J219" s="460"/>
      <c r="K219" s="557"/>
      <c r="L219" s="460"/>
      <c r="M219" s="557"/>
      <c r="N219" s="460"/>
      <c r="O219" s="557"/>
      <c r="P219" s="460"/>
      <c r="Q219" s="557"/>
      <c r="R219" s="460"/>
      <c r="S219" s="557"/>
      <c r="T219" s="460"/>
      <c r="U219" s="783"/>
      <c r="V219" s="460"/>
    </row>
    <row r="220" spans="1:22">
      <c r="A220" s="519"/>
      <c r="B220" s="520"/>
      <c r="C220" s="521"/>
      <c r="D220" s="522"/>
      <c r="E220" s="517"/>
      <c r="F220" s="465"/>
      <c r="G220" s="557"/>
      <c r="H220" s="460"/>
      <c r="I220" s="557"/>
      <c r="J220" s="460"/>
      <c r="K220" s="557"/>
      <c r="L220" s="460"/>
      <c r="M220" s="557"/>
      <c r="N220" s="460"/>
      <c r="O220" s="557"/>
      <c r="P220" s="460"/>
      <c r="Q220" s="557"/>
      <c r="R220" s="460"/>
      <c r="S220" s="557"/>
      <c r="T220" s="460"/>
      <c r="U220" s="783"/>
      <c r="V220" s="460"/>
    </row>
    <row r="221" spans="1:22">
      <c r="A221" s="519"/>
      <c r="B221" s="520"/>
      <c r="C221" s="521"/>
      <c r="D221" s="522"/>
      <c r="E221" s="517"/>
      <c r="F221" s="465"/>
      <c r="G221" s="557"/>
      <c r="H221" s="460"/>
      <c r="I221" s="557"/>
      <c r="J221" s="460"/>
      <c r="K221" s="557"/>
      <c r="L221" s="460"/>
      <c r="M221" s="557"/>
      <c r="N221" s="460"/>
      <c r="O221" s="557"/>
      <c r="P221" s="460"/>
      <c r="Q221" s="557"/>
      <c r="R221" s="460"/>
      <c r="S221" s="557"/>
      <c r="T221" s="460"/>
      <c r="U221" s="783"/>
      <c r="V221" s="460"/>
    </row>
    <row r="222" spans="1:22">
      <c r="A222" s="519"/>
      <c r="B222" s="520"/>
      <c r="C222" s="521"/>
      <c r="D222" s="522"/>
      <c r="E222" s="517"/>
      <c r="F222" s="465"/>
      <c r="G222" s="557"/>
      <c r="H222" s="460"/>
      <c r="I222" s="557"/>
      <c r="J222" s="460"/>
      <c r="K222" s="557"/>
      <c r="L222" s="460"/>
      <c r="M222" s="557"/>
      <c r="N222" s="460"/>
      <c r="O222" s="557"/>
      <c r="P222" s="460"/>
      <c r="Q222" s="557"/>
      <c r="R222" s="460"/>
      <c r="S222" s="557"/>
      <c r="T222" s="460"/>
      <c r="U222" s="783"/>
      <c r="V222" s="460"/>
    </row>
    <row r="223" spans="1:22">
      <c r="A223" s="519"/>
      <c r="B223" s="520"/>
      <c r="C223" s="521"/>
      <c r="D223" s="522"/>
      <c r="E223" s="517"/>
      <c r="F223" s="465"/>
      <c r="G223" s="557"/>
      <c r="H223" s="460"/>
      <c r="I223" s="557"/>
      <c r="J223" s="460"/>
      <c r="K223" s="557"/>
      <c r="L223" s="460"/>
      <c r="M223" s="557"/>
      <c r="N223" s="460"/>
      <c r="O223" s="557"/>
      <c r="P223" s="460"/>
      <c r="Q223" s="557"/>
      <c r="R223" s="460"/>
      <c r="S223" s="557"/>
      <c r="T223" s="460"/>
      <c r="U223" s="783"/>
      <c r="V223" s="460"/>
    </row>
    <row r="224" spans="1:22">
      <c r="A224" s="519"/>
      <c r="B224" s="520"/>
      <c r="C224" s="521"/>
      <c r="D224" s="522"/>
      <c r="E224" s="517"/>
      <c r="F224" s="465"/>
      <c r="G224" s="557"/>
      <c r="H224" s="460"/>
      <c r="I224" s="557"/>
      <c r="J224" s="460"/>
      <c r="K224" s="557"/>
      <c r="L224" s="460"/>
      <c r="M224" s="557"/>
      <c r="N224" s="460"/>
      <c r="O224" s="557"/>
      <c r="P224" s="460"/>
      <c r="Q224" s="557"/>
      <c r="R224" s="460"/>
      <c r="S224" s="557"/>
      <c r="T224" s="460"/>
      <c r="U224" s="783"/>
      <c r="V224" s="460"/>
    </row>
    <row r="225" spans="1:22">
      <c r="A225" s="519"/>
      <c r="B225" s="520"/>
      <c r="C225" s="521"/>
      <c r="D225" s="522"/>
      <c r="E225" s="517"/>
      <c r="F225" s="465"/>
      <c r="G225" s="557"/>
      <c r="H225" s="460"/>
      <c r="I225" s="557"/>
      <c r="J225" s="460"/>
      <c r="K225" s="557"/>
      <c r="L225" s="460"/>
      <c r="M225" s="557"/>
      <c r="N225" s="460"/>
      <c r="O225" s="557"/>
      <c r="P225" s="460"/>
      <c r="Q225" s="557"/>
      <c r="R225" s="460"/>
      <c r="S225" s="557"/>
      <c r="T225" s="460"/>
      <c r="U225" s="783"/>
      <c r="V225" s="460"/>
    </row>
    <row r="226" spans="1:22">
      <c r="A226" s="519"/>
      <c r="B226" s="520"/>
      <c r="C226" s="521"/>
      <c r="D226" s="522"/>
      <c r="E226" s="517"/>
      <c r="F226" s="465"/>
      <c r="G226" s="557"/>
      <c r="H226" s="460"/>
      <c r="I226" s="557"/>
      <c r="J226" s="460"/>
      <c r="K226" s="557"/>
      <c r="L226" s="460"/>
      <c r="M226" s="557"/>
      <c r="N226" s="460"/>
      <c r="O226" s="557"/>
      <c r="P226" s="460"/>
      <c r="Q226" s="557"/>
      <c r="R226" s="460"/>
      <c r="S226" s="557"/>
      <c r="T226" s="460"/>
      <c r="U226" s="783"/>
      <c r="V226" s="460"/>
    </row>
    <row r="227" spans="1:22">
      <c r="A227" s="519"/>
      <c r="B227" s="520"/>
      <c r="C227" s="521"/>
      <c r="D227" s="522"/>
      <c r="E227" s="517"/>
      <c r="F227" s="465"/>
      <c r="G227" s="557"/>
      <c r="H227" s="460"/>
      <c r="I227" s="557"/>
      <c r="J227" s="460"/>
      <c r="K227" s="557"/>
      <c r="L227" s="460"/>
      <c r="M227" s="557"/>
      <c r="N227" s="460"/>
      <c r="O227" s="557"/>
      <c r="P227" s="460"/>
      <c r="Q227" s="557"/>
      <c r="R227" s="460"/>
      <c r="S227" s="557"/>
      <c r="T227" s="460"/>
      <c r="U227" s="783"/>
      <c r="V227" s="460"/>
    </row>
    <row r="228" spans="1:22">
      <c r="A228" s="519"/>
      <c r="B228" s="520"/>
      <c r="C228" s="521"/>
      <c r="D228" s="522"/>
      <c r="E228" s="517"/>
      <c r="F228" s="465"/>
      <c r="G228" s="557"/>
      <c r="H228" s="460"/>
      <c r="I228" s="557"/>
      <c r="J228" s="460"/>
      <c r="K228" s="557"/>
      <c r="L228" s="460"/>
      <c r="M228" s="557"/>
      <c r="N228" s="460"/>
      <c r="O228" s="557"/>
      <c r="P228" s="460"/>
      <c r="Q228" s="557"/>
      <c r="R228" s="460"/>
      <c r="S228" s="557"/>
      <c r="T228" s="460"/>
      <c r="U228" s="783"/>
      <c r="V228" s="460"/>
    </row>
    <row r="229" spans="1:22">
      <c r="A229" s="519"/>
      <c r="B229" s="520"/>
      <c r="C229" s="521"/>
      <c r="D229" s="522"/>
      <c r="E229" s="517"/>
      <c r="F229" s="465"/>
      <c r="G229" s="557"/>
      <c r="H229" s="460"/>
      <c r="I229" s="557"/>
      <c r="J229" s="460"/>
      <c r="K229" s="557"/>
      <c r="L229" s="460"/>
      <c r="M229" s="557"/>
      <c r="N229" s="460"/>
      <c r="O229" s="557"/>
      <c r="P229" s="460"/>
      <c r="Q229" s="557"/>
      <c r="R229" s="460"/>
      <c r="S229" s="557"/>
      <c r="T229" s="460"/>
      <c r="U229" s="783"/>
      <c r="V229" s="460"/>
    </row>
    <row r="230" spans="1:22">
      <c r="A230" s="519"/>
      <c r="B230" s="520"/>
      <c r="C230" s="521"/>
      <c r="D230" s="522"/>
      <c r="E230" s="517"/>
      <c r="F230" s="465"/>
      <c r="G230" s="557"/>
      <c r="H230" s="460"/>
      <c r="I230" s="557"/>
      <c r="J230" s="460"/>
      <c r="K230" s="557"/>
      <c r="L230" s="460"/>
      <c r="M230" s="557"/>
      <c r="N230" s="460"/>
      <c r="O230" s="557"/>
      <c r="P230" s="460"/>
      <c r="Q230" s="557"/>
      <c r="R230" s="460"/>
      <c r="S230" s="557"/>
      <c r="T230" s="460"/>
      <c r="U230" s="783"/>
      <c r="V230" s="460"/>
    </row>
    <row r="231" spans="1:22">
      <c r="A231" s="519"/>
      <c r="B231" s="520"/>
      <c r="C231" s="521"/>
      <c r="D231" s="522"/>
      <c r="E231" s="517"/>
      <c r="F231" s="465"/>
      <c r="G231" s="557"/>
      <c r="H231" s="460"/>
      <c r="I231" s="557"/>
      <c r="J231" s="460"/>
      <c r="K231" s="557"/>
      <c r="L231" s="460"/>
      <c r="M231" s="557"/>
      <c r="N231" s="460"/>
      <c r="O231" s="557"/>
      <c r="P231" s="460"/>
      <c r="Q231" s="557"/>
      <c r="R231" s="460"/>
      <c r="S231" s="557"/>
      <c r="T231" s="460"/>
      <c r="U231" s="783"/>
      <c r="V231" s="460"/>
    </row>
    <row r="232" spans="1:22">
      <c r="A232" s="519"/>
      <c r="B232" s="520"/>
      <c r="C232" s="521"/>
      <c r="D232" s="522"/>
      <c r="E232" s="517"/>
      <c r="F232" s="465"/>
      <c r="G232" s="557"/>
      <c r="H232" s="460"/>
      <c r="I232" s="557"/>
      <c r="J232" s="460"/>
      <c r="K232" s="557"/>
      <c r="L232" s="460"/>
      <c r="M232" s="557"/>
      <c r="N232" s="460"/>
      <c r="O232" s="557"/>
      <c r="P232" s="460"/>
      <c r="Q232" s="557"/>
      <c r="R232" s="460"/>
      <c r="S232" s="557"/>
      <c r="T232" s="460"/>
      <c r="U232" s="783"/>
      <c r="V232" s="460"/>
    </row>
    <row r="233" spans="1:22">
      <c r="A233" s="519"/>
      <c r="B233" s="520"/>
      <c r="C233" s="521"/>
      <c r="D233" s="522"/>
      <c r="E233" s="517"/>
      <c r="F233" s="465"/>
      <c r="G233" s="557"/>
      <c r="H233" s="460"/>
      <c r="I233" s="557"/>
      <c r="J233" s="460"/>
      <c r="K233" s="557"/>
      <c r="L233" s="460"/>
      <c r="M233" s="557"/>
      <c r="N233" s="460"/>
      <c r="O233" s="557"/>
      <c r="P233" s="460"/>
      <c r="Q233" s="557"/>
      <c r="R233" s="460"/>
      <c r="S233" s="557"/>
      <c r="T233" s="460"/>
      <c r="U233" s="783"/>
      <c r="V233" s="460"/>
    </row>
    <row r="234" spans="1:22">
      <c r="A234" s="519"/>
      <c r="B234" s="520"/>
      <c r="C234" s="521"/>
      <c r="D234" s="522"/>
      <c r="E234" s="517"/>
      <c r="F234" s="465"/>
      <c r="G234" s="557"/>
      <c r="H234" s="460"/>
      <c r="I234" s="557"/>
      <c r="J234" s="460"/>
      <c r="K234" s="557"/>
      <c r="L234" s="460"/>
      <c r="M234" s="557"/>
      <c r="N234" s="460"/>
      <c r="O234" s="557"/>
      <c r="P234" s="460"/>
      <c r="Q234" s="557"/>
      <c r="R234" s="460"/>
      <c r="S234" s="557"/>
      <c r="T234" s="460"/>
      <c r="U234" s="783"/>
      <c r="V234" s="460"/>
    </row>
    <row r="235" spans="1:22">
      <c r="A235" s="519"/>
      <c r="B235" s="520"/>
      <c r="C235" s="521"/>
      <c r="D235" s="522"/>
      <c r="E235" s="517"/>
      <c r="F235" s="465"/>
      <c r="G235" s="557"/>
      <c r="H235" s="460"/>
      <c r="I235" s="557"/>
      <c r="J235" s="460"/>
      <c r="K235" s="557"/>
      <c r="L235" s="460"/>
      <c r="M235" s="557"/>
      <c r="N235" s="460"/>
      <c r="O235" s="557"/>
      <c r="P235" s="460"/>
      <c r="Q235" s="557"/>
      <c r="R235" s="460"/>
      <c r="S235" s="557"/>
      <c r="T235" s="460"/>
      <c r="U235" s="783"/>
      <c r="V235" s="460"/>
    </row>
    <row r="236" spans="1:22">
      <c r="A236" s="519"/>
      <c r="B236" s="520"/>
      <c r="C236" s="521"/>
      <c r="D236" s="522"/>
      <c r="E236" s="517"/>
      <c r="F236" s="465"/>
      <c r="G236" s="557"/>
      <c r="H236" s="460"/>
      <c r="I236" s="557"/>
      <c r="J236" s="460"/>
      <c r="K236" s="557"/>
      <c r="L236" s="460"/>
      <c r="M236" s="557"/>
      <c r="N236" s="460"/>
      <c r="O236" s="557"/>
      <c r="P236" s="460"/>
      <c r="Q236" s="557"/>
      <c r="R236" s="460"/>
      <c r="S236" s="557"/>
      <c r="T236" s="460"/>
      <c r="U236" s="783"/>
      <c r="V236" s="460"/>
    </row>
    <row r="237" spans="1:22">
      <c r="A237" s="519"/>
      <c r="B237" s="520"/>
      <c r="C237" s="521"/>
      <c r="D237" s="522"/>
      <c r="E237" s="517"/>
      <c r="F237" s="465"/>
      <c r="G237" s="557"/>
      <c r="H237" s="460"/>
      <c r="I237" s="557"/>
      <c r="J237" s="460"/>
      <c r="K237" s="557"/>
      <c r="L237" s="460"/>
      <c r="M237" s="557"/>
      <c r="N237" s="460"/>
      <c r="O237" s="557"/>
      <c r="P237" s="460"/>
      <c r="Q237" s="557"/>
      <c r="R237" s="460"/>
      <c r="S237" s="557"/>
      <c r="T237" s="460"/>
      <c r="U237" s="783"/>
      <c r="V237" s="460"/>
    </row>
    <row r="238" spans="1:22">
      <c r="A238" s="519"/>
      <c r="B238" s="520"/>
      <c r="C238" s="521"/>
      <c r="D238" s="522"/>
      <c r="E238" s="517"/>
      <c r="F238" s="465"/>
      <c r="G238" s="557"/>
      <c r="H238" s="460"/>
      <c r="I238" s="557"/>
      <c r="J238" s="460"/>
      <c r="K238" s="557"/>
      <c r="L238" s="460"/>
      <c r="M238" s="557"/>
      <c r="N238" s="460"/>
      <c r="O238" s="557"/>
      <c r="P238" s="460"/>
      <c r="Q238" s="557"/>
      <c r="R238" s="460"/>
      <c r="S238" s="557"/>
      <c r="T238" s="460"/>
      <c r="U238" s="783"/>
      <c r="V238" s="460"/>
    </row>
    <row r="239" spans="1:22">
      <c r="A239" s="519"/>
      <c r="B239" s="520"/>
      <c r="C239" s="521"/>
      <c r="D239" s="522"/>
      <c r="E239" s="517"/>
      <c r="F239" s="465"/>
      <c r="G239" s="557"/>
      <c r="H239" s="460"/>
      <c r="I239" s="557"/>
      <c r="J239" s="460"/>
      <c r="K239" s="557"/>
      <c r="L239" s="460"/>
      <c r="M239" s="557"/>
      <c r="N239" s="460"/>
      <c r="O239" s="557"/>
      <c r="P239" s="460"/>
      <c r="Q239" s="557"/>
      <c r="R239" s="460"/>
      <c r="S239" s="557"/>
      <c r="T239" s="460"/>
      <c r="U239" s="783"/>
      <c r="V239" s="460"/>
    </row>
    <row r="240" spans="1:22">
      <c r="A240" s="519"/>
      <c r="B240" s="520"/>
      <c r="C240" s="521"/>
      <c r="D240" s="522"/>
      <c r="E240" s="517"/>
      <c r="F240" s="465"/>
      <c r="G240" s="557"/>
      <c r="H240" s="460"/>
      <c r="I240" s="557"/>
      <c r="J240" s="460"/>
      <c r="K240" s="557"/>
      <c r="L240" s="460"/>
      <c r="M240" s="557"/>
      <c r="N240" s="460"/>
      <c r="O240" s="557"/>
      <c r="P240" s="460"/>
      <c r="Q240" s="557"/>
      <c r="R240" s="460"/>
      <c r="S240" s="557"/>
      <c r="T240" s="460"/>
      <c r="U240" s="783"/>
      <c r="V240" s="460"/>
    </row>
    <row r="241" spans="1:22">
      <c r="A241" s="519"/>
      <c r="B241" s="520"/>
      <c r="C241" s="521"/>
      <c r="D241" s="522"/>
      <c r="E241" s="517"/>
      <c r="F241" s="465"/>
      <c r="G241" s="557"/>
      <c r="H241" s="460"/>
      <c r="I241" s="557"/>
      <c r="J241" s="460"/>
      <c r="K241" s="557"/>
      <c r="L241" s="460"/>
      <c r="M241" s="557"/>
      <c r="N241" s="460"/>
      <c r="O241" s="557"/>
      <c r="P241" s="460"/>
      <c r="Q241" s="557"/>
      <c r="R241" s="460"/>
      <c r="S241" s="557"/>
      <c r="T241" s="460"/>
      <c r="U241" s="783"/>
      <c r="V241" s="460"/>
    </row>
    <row r="242" spans="1:22">
      <c r="A242" s="519"/>
      <c r="B242" s="520"/>
      <c r="C242" s="521"/>
      <c r="D242" s="522"/>
      <c r="E242" s="517"/>
      <c r="F242" s="465"/>
      <c r="G242" s="557"/>
      <c r="H242" s="460"/>
      <c r="I242" s="557"/>
      <c r="J242" s="460"/>
      <c r="K242" s="557"/>
      <c r="L242" s="460"/>
      <c r="M242" s="557"/>
      <c r="N242" s="460"/>
      <c r="O242" s="557"/>
      <c r="P242" s="460"/>
      <c r="Q242" s="557"/>
      <c r="R242" s="460"/>
      <c r="S242" s="557"/>
      <c r="T242" s="460"/>
      <c r="U242" s="783"/>
      <c r="V242" s="460"/>
    </row>
    <row r="243" spans="1:22">
      <c r="A243" s="519"/>
      <c r="B243" s="520"/>
      <c r="C243" s="521"/>
      <c r="D243" s="522"/>
      <c r="E243" s="517"/>
      <c r="F243" s="465"/>
      <c r="G243" s="557"/>
      <c r="H243" s="460"/>
      <c r="I243" s="557"/>
      <c r="J243" s="460"/>
      <c r="K243" s="557"/>
      <c r="L243" s="460"/>
      <c r="M243" s="557"/>
      <c r="N243" s="460"/>
      <c r="O243" s="557"/>
      <c r="P243" s="460"/>
      <c r="Q243" s="557"/>
      <c r="R243" s="460"/>
      <c r="S243" s="557"/>
      <c r="T243" s="460"/>
      <c r="U243" s="783"/>
      <c r="V243" s="460"/>
    </row>
    <row r="244" spans="1:22">
      <c r="A244" s="519"/>
      <c r="B244" s="520"/>
      <c r="C244" s="521"/>
      <c r="D244" s="522"/>
      <c r="E244" s="517"/>
      <c r="F244" s="465"/>
      <c r="G244" s="557"/>
      <c r="H244" s="460"/>
      <c r="I244" s="557"/>
      <c r="J244" s="460"/>
      <c r="K244" s="557"/>
      <c r="L244" s="460"/>
      <c r="M244" s="557"/>
      <c r="N244" s="460"/>
      <c r="O244" s="557"/>
      <c r="P244" s="460"/>
      <c r="Q244" s="557"/>
      <c r="R244" s="460"/>
      <c r="S244" s="557"/>
      <c r="T244" s="460"/>
      <c r="U244" s="783"/>
      <c r="V244" s="460"/>
    </row>
    <row r="245" spans="1:22">
      <c r="A245" s="519"/>
      <c r="B245" s="520"/>
      <c r="C245" s="521"/>
      <c r="D245" s="522"/>
      <c r="E245" s="517"/>
      <c r="F245" s="465"/>
      <c r="G245" s="557"/>
      <c r="H245" s="460"/>
      <c r="I245" s="557"/>
      <c r="J245" s="460"/>
      <c r="K245" s="557"/>
      <c r="L245" s="460"/>
      <c r="M245" s="557"/>
      <c r="N245" s="460"/>
      <c r="O245" s="557"/>
      <c r="P245" s="460"/>
      <c r="Q245" s="557"/>
      <c r="R245" s="460"/>
      <c r="S245" s="557"/>
      <c r="T245" s="460"/>
      <c r="U245" s="783"/>
      <c r="V245" s="460"/>
    </row>
    <row r="246" spans="1:22">
      <c r="A246" s="519"/>
      <c r="B246" s="520"/>
      <c r="C246" s="521"/>
      <c r="D246" s="522"/>
      <c r="E246" s="517"/>
      <c r="F246" s="465"/>
      <c r="G246" s="557"/>
      <c r="H246" s="460"/>
      <c r="I246" s="557"/>
      <c r="J246" s="460"/>
      <c r="K246" s="557"/>
      <c r="L246" s="460"/>
      <c r="M246" s="557"/>
      <c r="N246" s="460"/>
      <c r="O246" s="557"/>
      <c r="P246" s="460"/>
      <c r="Q246" s="557"/>
      <c r="R246" s="460"/>
      <c r="S246" s="557"/>
      <c r="T246" s="460"/>
      <c r="U246" s="783"/>
      <c r="V246" s="460"/>
    </row>
    <row r="247" spans="1:22">
      <c r="A247" s="519"/>
      <c r="B247" s="520"/>
      <c r="C247" s="521"/>
      <c r="D247" s="522"/>
      <c r="E247" s="517"/>
      <c r="F247" s="465"/>
      <c r="G247" s="557"/>
      <c r="H247" s="460"/>
      <c r="I247" s="557"/>
      <c r="J247" s="460"/>
      <c r="K247" s="557"/>
      <c r="L247" s="460"/>
      <c r="M247" s="557"/>
      <c r="N247" s="460"/>
      <c r="O247" s="557"/>
      <c r="P247" s="460"/>
      <c r="Q247" s="557"/>
      <c r="R247" s="460"/>
      <c r="S247" s="557"/>
      <c r="T247" s="460"/>
      <c r="U247" s="783"/>
      <c r="V247" s="460"/>
    </row>
    <row r="248" spans="1:22">
      <c r="A248" s="519"/>
      <c r="B248" s="520"/>
      <c r="C248" s="521"/>
      <c r="D248" s="522"/>
      <c r="E248" s="517"/>
      <c r="F248" s="465"/>
      <c r="G248" s="557"/>
      <c r="H248" s="460"/>
      <c r="I248" s="557"/>
      <c r="J248" s="460"/>
      <c r="K248" s="557"/>
      <c r="L248" s="460"/>
      <c r="M248" s="557"/>
      <c r="N248" s="460"/>
      <c r="O248" s="557"/>
      <c r="P248" s="460"/>
      <c r="Q248" s="557"/>
      <c r="R248" s="460"/>
      <c r="S248" s="557"/>
      <c r="T248" s="460"/>
      <c r="U248" s="783"/>
      <c r="V248" s="460"/>
    </row>
    <row r="249" spans="1:22">
      <c r="A249" s="519"/>
      <c r="B249" s="520"/>
      <c r="C249" s="521"/>
      <c r="D249" s="522"/>
      <c r="E249" s="517"/>
      <c r="F249" s="465"/>
      <c r="G249" s="557"/>
      <c r="H249" s="460"/>
      <c r="I249" s="557"/>
      <c r="J249" s="460"/>
      <c r="K249" s="557"/>
      <c r="L249" s="460"/>
      <c r="M249" s="557"/>
      <c r="N249" s="460"/>
      <c r="O249" s="557"/>
      <c r="P249" s="460"/>
      <c r="Q249" s="557"/>
      <c r="R249" s="460"/>
      <c r="S249" s="557"/>
      <c r="T249" s="460"/>
      <c r="U249" s="783"/>
      <c r="V249" s="460"/>
    </row>
    <row r="250" spans="1:22">
      <c r="A250" s="519"/>
      <c r="B250" s="520"/>
      <c r="C250" s="521"/>
      <c r="D250" s="522"/>
      <c r="E250" s="517"/>
      <c r="F250" s="465"/>
      <c r="G250" s="557"/>
      <c r="H250" s="460"/>
      <c r="I250" s="557"/>
      <c r="J250" s="460"/>
      <c r="K250" s="557"/>
      <c r="L250" s="460"/>
      <c r="M250" s="557"/>
      <c r="N250" s="460"/>
      <c r="O250" s="557"/>
      <c r="P250" s="460"/>
      <c r="Q250" s="557"/>
      <c r="R250" s="460"/>
      <c r="S250" s="557"/>
      <c r="T250" s="460"/>
      <c r="U250" s="783"/>
      <c r="V250" s="460"/>
    </row>
    <row r="251" spans="1:22">
      <c r="A251" s="519"/>
      <c r="B251" s="520"/>
      <c r="C251" s="521"/>
      <c r="D251" s="522"/>
      <c r="E251" s="517"/>
      <c r="F251" s="465"/>
      <c r="G251" s="557"/>
      <c r="H251" s="460"/>
      <c r="I251" s="557"/>
      <c r="J251" s="460"/>
      <c r="K251" s="557"/>
      <c r="L251" s="460"/>
      <c r="M251" s="557"/>
      <c r="N251" s="460"/>
      <c r="O251" s="557"/>
      <c r="P251" s="460"/>
      <c r="Q251" s="557"/>
      <c r="R251" s="460"/>
      <c r="S251" s="557"/>
      <c r="T251" s="460"/>
      <c r="U251" s="783"/>
      <c r="V251" s="460"/>
    </row>
    <row r="252" spans="1:22">
      <c r="A252" s="519"/>
      <c r="B252" s="520"/>
      <c r="C252" s="521"/>
      <c r="D252" s="522"/>
      <c r="E252" s="517"/>
      <c r="F252" s="465"/>
      <c r="G252" s="557"/>
      <c r="H252" s="460"/>
      <c r="I252" s="557"/>
      <c r="J252" s="460"/>
      <c r="K252" s="557"/>
      <c r="L252" s="460"/>
      <c r="M252" s="557"/>
      <c r="N252" s="460"/>
      <c r="O252" s="557"/>
      <c r="P252" s="460"/>
      <c r="Q252" s="557"/>
      <c r="R252" s="460"/>
      <c r="S252" s="557"/>
      <c r="T252" s="460"/>
      <c r="U252" s="783"/>
      <c r="V252" s="460"/>
    </row>
    <row r="253" spans="1:22">
      <c r="A253" s="519"/>
      <c r="B253" s="520"/>
      <c r="C253" s="521"/>
      <c r="D253" s="522"/>
      <c r="E253" s="517"/>
      <c r="F253" s="465"/>
      <c r="G253" s="557"/>
      <c r="H253" s="460"/>
      <c r="I253" s="557"/>
      <c r="J253" s="460"/>
      <c r="K253" s="557"/>
      <c r="L253" s="460"/>
      <c r="M253" s="557"/>
      <c r="N253" s="460"/>
      <c r="O253" s="557"/>
      <c r="P253" s="460"/>
      <c r="Q253" s="557"/>
      <c r="R253" s="460"/>
      <c r="S253" s="557"/>
      <c r="T253" s="460"/>
      <c r="U253" s="783"/>
      <c r="V253" s="460"/>
    </row>
    <row r="254" spans="1:22">
      <c r="A254" s="519"/>
      <c r="B254" s="520"/>
      <c r="C254" s="521"/>
      <c r="D254" s="522"/>
      <c r="E254" s="517"/>
      <c r="F254" s="465"/>
      <c r="G254" s="557"/>
      <c r="H254" s="460"/>
      <c r="I254" s="557"/>
      <c r="J254" s="460"/>
      <c r="K254" s="557"/>
      <c r="L254" s="460"/>
      <c r="M254" s="557"/>
      <c r="N254" s="460"/>
      <c r="O254" s="557"/>
      <c r="P254" s="460"/>
      <c r="Q254" s="557"/>
      <c r="R254" s="460"/>
      <c r="S254" s="557"/>
      <c r="T254" s="460"/>
      <c r="U254" s="783"/>
      <c r="V254" s="460"/>
    </row>
    <row r="255" spans="1:22">
      <c r="A255" s="519"/>
      <c r="B255" s="520"/>
      <c r="C255" s="521"/>
      <c r="D255" s="522"/>
      <c r="E255" s="517"/>
      <c r="F255" s="465"/>
      <c r="G255" s="557"/>
      <c r="H255" s="460"/>
      <c r="I255" s="557"/>
      <c r="J255" s="460"/>
      <c r="K255" s="557"/>
      <c r="L255" s="460"/>
      <c r="M255" s="557"/>
      <c r="N255" s="460"/>
      <c r="O255" s="557"/>
      <c r="P255" s="460"/>
      <c r="Q255" s="557"/>
      <c r="R255" s="460"/>
      <c r="S255" s="557"/>
      <c r="T255" s="460"/>
      <c r="U255" s="783"/>
      <c r="V255" s="460"/>
    </row>
    <row r="256" spans="1:22">
      <c r="A256" s="519"/>
      <c r="B256" s="520"/>
      <c r="C256" s="521"/>
      <c r="D256" s="522"/>
      <c r="E256" s="517"/>
      <c r="F256" s="465"/>
      <c r="G256" s="557"/>
      <c r="H256" s="460"/>
      <c r="I256" s="557"/>
      <c r="J256" s="460"/>
      <c r="K256" s="557"/>
      <c r="L256" s="460"/>
      <c r="M256" s="557"/>
      <c r="N256" s="460"/>
      <c r="O256" s="557"/>
      <c r="P256" s="460"/>
      <c r="Q256" s="557"/>
      <c r="R256" s="460"/>
      <c r="S256" s="557"/>
      <c r="T256" s="460"/>
      <c r="U256" s="783"/>
      <c r="V256" s="460"/>
    </row>
    <row r="257" spans="1:22">
      <c r="A257" s="519"/>
      <c r="B257" s="520"/>
      <c r="C257" s="521"/>
      <c r="D257" s="522"/>
      <c r="E257" s="517"/>
      <c r="F257" s="465"/>
      <c r="G257" s="557"/>
      <c r="H257" s="460"/>
      <c r="I257" s="557"/>
      <c r="J257" s="460"/>
      <c r="K257" s="557"/>
      <c r="L257" s="460"/>
      <c r="M257" s="557"/>
      <c r="N257" s="460"/>
      <c r="O257" s="557"/>
      <c r="P257" s="460"/>
      <c r="Q257" s="557"/>
      <c r="R257" s="460"/>
      <c r="S257" s="557"/>
      <c r="T257" s="460"/>
      <c r="U257" s="783"/>
      <c r="V257" s="460"/>
    </row>
    <row r="258" spans="1:22">
      <c r="A258" s="519"/>
      <c r="B258" s="520"/>
      <c r="C258" s="521"/>
      <c r="D258" s="522"/>
      <c r="E258" s="517"/>
      <c r="F258" s="465"/>
      <c r="G258" s="557"/>
      <c r="H258" s="460"/>
      <c r="I258" s="557"/>
      <c r="J258" s="460"/>
      <c r="K258" s="557"/>
      <c r="L258" s="460"/>
      <c r="M258" s="557"/>
      <c r="N258" s="460"/>
      <c r="O258" s="557"/>
      <c r="P258" s="460"/>
      <c r="Q258" s="557"/>
      <c r="R258" s="460"/>
      <c r="S258" s="557"/>
      <c r="T258" s="460"/>
      <c r="U258" s="783"/>
      <c r="V258" s="460"/>
    </row>
    <row r="259" spans="1:22">
      <c r="A259" s="519"/>
      <c r="B259" s="520"/>
      <c r="C259" s="521"/>
      <c r="D259" s="522"/>
      <c r="E259" s="517"/>
      <c r="F259" s="465"/>
      <c r="G259" s="557"/>
      <c r="H259" s="460"/>
      <c r="I259" s="557"/>
      <c r="J259" s="460"/>
      <c r="K259" s="557"/>
      <c r="L259" s="460"/>
      <c r="M259" s="557"/>
      <c r="N259" s="460"/>
      <c r="O259" s="557"/>
      <c r="P259" s="460"/>
      <c r="Q259" s="557"/>
      <c r="R259" s="460"/>
      <c r="S259" s="557"/>
      <c r="T259" s="460"/>
      <c r="U259" s="783"/>
      <c r="V259" s="460"/>
    </row>
    <row r="260" spans="1:22">
      <c r="A260" s="519"/>
      <c r="B260" s="520"/>
      <c r="C260" s="521"/>
      <c r="D260" s="522"/>
      <c r="E260" s="517"/>
      <c r="F260" s="465"/>
      <c r="G260" s="557"/>
      <c r="H260" s="460"/>
      <c r="I260" s="557"/>
      <c r="J260" s="460"/>
      <c r="K260" s="557"/>
      <c r="L260" s="460"/>
      <c r="M260" s="557"/>
      <c r="N260" s="460"/>
      <c r="O260" s="557"/>
      <c r="P260" s="460"/>
      <c r="Q260" s="557"/>
      <c r="R260" s="460"/>
      <c r="S260" s="557"/>
      <c r="T260" s="460"/>
      <c r="U260" s="783"/>
      <c r="V260" s="460"/>
    </row>
    <row r="261" spans="1:22">
      <c r="A261" s="519"/>
      <c r="B261" s="520"/>
      <c r="C261" s="521"/>
      <c r="D261" s="522"/>
      <c r="E261" s="517"/>
      <c r="F261" s="465"/>
      <c r="G261" s="557"/>
      <c r="H261" s="460"/>
      <c r="I261" s="557"/>
      <c r="J261" s="460"/>
      <c r="K261" s="557"/>
      <c r="L261" s="460"/>
      <c r="M261" s="557"/>
      <c r="N261" s="460"/>
      <c r="O261" s="557"/>
      <c r="P261" s="460"/>
      <c r="Q261" s="557"/>
      <c r="R261" s="460"/>
      <c r="S261" s="557"/>
      <c r="T261" s="460"/>
      <c r="U261" s="783"/>
      <c r="V261" s="460"/>
    </row>
    <row r="262" spans="1:22">
      <c r="A262" s="519"/>
      <c r="B262" s="520"/>
      <c r="C262" s="521"/>
      <c r="D262" s="522"/>
      <c r="E262" s="517"/>
      <c r="F262" s="465"/>
      <c r="G262" s="557"/>
      <c r="H262" s="460"/>
      <c r="I262" s="557"/>
      <c r="J262" s="460"/>
      <c r="K262" s="557"/>
      <c r="L262" s="460"/>
      <c r="M262" s="557"/>
      <c r="N262" s="460"/>
      <c r="O262" s="557"/>
      <c r="P262" s="460"/>
      <c r="Q262" s="557"/>
      <c r="R262" s="460"/>
      <c r="S262" s="557"/>
      <c r="T262" s="460"/>
      <c r="U262" s="783"/>
      <c r="V262" s="460"/>
    </row>
    <row r="263" spans="1:22">
      <c r="A263" s="519"/>
      <c r="B263" s="520"/>
      <c r="C263" s="521"/>
      <c r="D263" s="522"/>
      <c r="E263" s="517"/>
      <c r="F263" s="465"/>
      <c r="G263" s="557"/>
      <c r="H263" s="460"/>
      <c r="I263" s="557"/>
      <c r="J263" s="460"/>
      <c r="K263" s="557"/>
      <c r="L263" s="460"/>
      <c r="M263" s="557"/>
      <c r="N263" s="460"/>
      <c r="O263" s="557"/>
      <c r="P263" s="460"/>
      <c r="Q263" s="557"/>
      <c r="R263" s="460"/>
      <c r="S263" s="557"/>
      <c r="T263" s="460"/>
      <c r="U263" s="783"/>
      <c r="V263" s="460"/>
    </row>
    <row r="264" spans="1:22">
      <c r="A264" s="519"/>
      <c r="B264" s="520"/>
      <c r="C264" s="521"/>
      <c r="D264" s="522"/>
      <c r="E264" s="517"/>
      <c r="F264" s="465"/>
      <c r="G264" s="557"/>
      <c r="H264" s="460"/>
      <c r="I264" s="557"/>
      <c r="J264" s="460"/>
      <c r="K264" s="557"/>
      <c r="L264" s="460"/>
      <c r="M264" s="557"/>
      <c r="N264" s="460"/>
      <c r="O264" s="557"/>
      <c r="P264" s="460"/>
      <c r="Q264" s="557"/>
      <c r="R264" s="460"/>
      <c r="S264" s="557"/>
      <c r="T264" s="460"/>
      <c r="U264" s="783"/>
      <c r="V264" s="460"/>
    </row>
    <row r="265" spans="1:22">
      <c r="A265" s="519"/>
      <c r="B265" s="520"/>
      <c r="C265" s="521"/>
      <c r="D265" s="522"/>
      <c r="E265" s="517"/>
      <c r="F265" s="465"/>
      <c r="G265" s="557"/>
      <c r="H265" s="460"/>
      <c r="I265" s="557"/>
      <c r="J265" s="460"/>
      <c r="K265" s="557"/>
      <c r="L265" s="460"/>
      <c r="M265" s="557"/>
      <c r="N265" s="460"/>
      <c r="O265" s="557"/>
      <c r="P265" s="460"/>
      <c r="Q265" s="557"/>
      <c r="R265" s="460"/>
      <c r="S265" s="557"/>
      <c r="T265" s="460"/>
      <c r="U265" s="783"/>
      <c r="V265" s="460"/>
    </row>
    <row r="266" spans="1:22">
      <c r="A266" s="519"/>
      <c r="B266" s="520"/>
      <c r="C266" s="521"/>
      <c r="D266" s="522"/>
      <c r="E266" s="517"/>
      <c r="F266" s="465"/>
      <c r="G266" s="557"/>
      <c r="H266" s="460"/>
      <c r="I266" s="557"/>
      <c r="J266" s="460"/>
      <c r="K266" s="557"/>
      <c r="L266" s="460"/>
      <c r="M266" s="557"/>
      <c r="N266" s="460"/>
      <c r="O266" s="557"/>
      <c r="P266" s="460"/>
      <c r="Q266" s="557"/>
      <c r="R266" s="460"/>
      <c r="S266" s="557"/>
      <c r="T266" s="460"/>
      <c r="U266" s="783"/>
      <c r="V266" s="460"/>
    </row>
    <row r="267" spans="1:22">
      <c r="A267" s="519"/>
      <c r="B267" s="520"/>
      <c r="C267" s="521"/>
      <c r="D267" s="522"/>
      <c r="E267" s="517"/>
      <c r="F267" s="465"/>
      <c r="G267" s="557"/>
      <c r="H267" s="460"/>
      <c r="I267" s="557"/>
      <c r="J267" s="460"/>
      <c r="K267" s="557"/>
      <c r="L267" s="460"/>
      <c r="M267" s="557"/>
      <c r="N267" s="460"/>
      <c r="O267" s="557"/>
      <c r="P267" s="460"/>
      <c r="Q267" s="557"/>
      <c r="R267" s="460"/>
      <c r="S267" s="557"/>
      <c r="T267" s="460"/>
      <c r="U267" s="783"/>
      <c r="V267" s="460"/>
    </row>
    <row r="268" spans="1:22">
      <c r="A268" s="519"/>
      <c r="B268" s="520"/>
      <c r="C268" s="521"/>
      <c r="D268" s="522"/>
      <c r="E268" s="517"/>
      <c r="F268" s="465"/>
      <c r="G268" s="557"/>
      <c r="H268" s="460"/>
      <c r="I268" s="557"/>
      <c r="J268" s="460"/>
      <c r="K268" s="557"/>
      <c r="L268" s="460"/>
      <c r="M268" s="557"/>
      <c r="N268" s="460"/>
      <c r="O268" s="557"/>
      <c r="P268" s="460"/>
      <c r="Q268" s="557"/>
      <c r="R268" s="460"/>
      <c r="S268" s="557"/>
      <c r="T268" s="460"/>
      <c r="U268" s="783"/>
      <c r="V268" s="460"/>
    </row>
    <row r="269" spans="1:22">
      <c r="A269" s="519"/>
      <c r="B269" s="520"/>
      <c r="C269" s="521"/>
      <c r="D269" s="522"/>
      <c r="E269" s="517"/>
      <c r="F269" s="465"/>
      <c r="G269" s="557"/>
      <c r="H269" s="460"/>
      <c r="I269" s="557"/>
      <c r="J269" s="460"/>
      <c r="K269" s="557"/>
      <c r="L269" s="460"/>
      <c r="M269" s="557"/>
      <c r="N269" s="460"/>
      <c r="O269" s="557"/>
      <c r="P269" s="460"/>
      <c r="Q269" s="557"/>
      <c r="R269" s="460"/>
      <c r="S269" s="557"/>
      <c r="T269" s="460"/>
      <c r="U269" s="783"/>
      <c r="V269" s="460"/>
    </row>
    <row r="270" spans="1:22">
      <c r="A270" s="519"/>
      <c r="B270" s="520"/>
      <c r="C270" s="521"/>
      <c r="D270" s="522"/>
      <c r="E270" s="517"/>
      <c r="F270" s="465"/>
      <c r="G270" s="557"/>
      <c r="H270" s="460"/>
      <c r="I270" s="557"/>
      <c r="J270" s="460"/>
      <c r="K270" s="557"/>
      <c r="L270" s="460"/>
      <c r="M270" s="557"/>
      <c r="N270" s="460"/>
      <c r="O270" s="557"/>
      <c r="P270" s="460"/>
      <c r="Q270" s="557"/>
      <c r="R270" s="460"/>
      <c r="S270" s="557"/>
      <c r="T270" s="460"/>
      <c r="U270" s="783"/>
      <c r="V270" s="460"/>
    </row>
    <row r="271" spans="1:22">
      <c r="A271" s="519"/>
      <c r="B271" s="520"/>
      <c r="C271" s="521"/>
      <c r="D271" s="522"/>
      <c r="E271" s="517"/>
      <c r="F271" s="465"/>
      <c r="G271" s="557"/>
      <c r="H271" s="460"/>
      <c r="I271" s="557"/>
      <c r="J271" s="460"/>
      <c r="K271" s="557"/>
      <c r="L271" s="460"/>
      <c r="M271" s="557"/>
      <c r="N271" s="460"/>
      <c r="O271" s="557"/>
      <c r="P271" s="460"/>
      <c r="Q271" s="557"/>
      <c r="R271" s="460"/>
      <c r="S271" s="557"/>
      <c r="T271" s="460"/>
      <c r="U271" s="783"/>
      <c r="V271" s="460"/>
    </row>
    <row r="272" spans="1:22">
      <c r="A272" s="519"/>
      <c r="B272" s="520"/>
      <c r="C272" s="521"/>
      <c r="D272" s="522"/>
      <c r="E272" s="517"/>
      <c r="F272" s="465"/>
      <c r="G272" s="557"/>
      <c r="H272" s="460"/>
      <c r="I272" s="557"/>
      <c r="J272" s="460"/>
      <c r="K272" s="557"/>
      <c r="L272" s="460"/>
      <c r="M272" s="557"/>
      <c r="N272" s="460"/>
      <c r="O272" s="557"/>
      <c r="P272" s="460"/>
      <c r="Q272" s="557"/>
      <c r="R272" s="460"/>
      <c r="S272" s="557"/>
      <c r="T272" s="460"/>
      <c r="U272" s="783"/>
      <c r="V272" s="460"/>
    </row>
    <row r="273" spans="1:22">
      <c r="A273" s="519"/>
      <c r="B273" s="520"/>
      <c r="C273" s="521"/>
      <c r="D273" s="522"/>
      <c r="E273" s="517"/>
      <c r="F273" s="465"/>
      <c r="G273" s="557"/>
      <c r="H273" s="460"/>
      <c r="I273" s="557"/>
      <c r="J273" s="460"/>
      <c r="K273" s="557"/>
      <c r="L273" s="460"/>
      <c r="M273" s="557"/>
      <c r="N273" s="460"/>
      <c r="O273" s="557"/>
      <c r="P273" s="460"/>
      <c r="Q273" s="557"/>
      <c r="R273" s="460"/>
      <c r="S273" s="557"/>
      <c r="T273" s="460"/>
      <c r="U273" s="783"/>
      <c r="V273" s="460"/>
    </row>
    <row r="274" spans="1:22">
      <c r="A274" s="519"/>
      <c r="B274" s="520"/>
      <c r="C274" s="521"/>
      <c r="D274" s="522"/>
      <c r="E274" s="517"/>
      <c r="F274" s="465"/>
      <c r="G274" s="557"/>
      <c r="H274" s="460"/>
      <c r="I274" s="557"/>
      <c r="J274" s="460"/>
      <c r="K274" s="557"/>
      <c r="L274" s="460"/>
      <c r="M274" s="557"/>
      <c r="N274" s="460"/>
      <c r="O274" s="557"/>
      <c r="P274" s="460"/>
      <c r="Q274" s="557"/>
      <c r="R274" s="460"/>
      <c r="S274" s="557"/>
      <c r="T274" s="460"/>
      <c r="U274" s="783"/>
      <c r="V274" s="460"/>
    </row>
    <row r="275" spans="1:22">
      <c r="A275" s="519"/>
      <c r="B275" s="520"/>
      <c r="C275" s="521"/>
      <c r="D275" s="522"/>
      <c r="E275" s="517"/>
      <c r="F275" s="465"/>
      <c r="G275" s="557"/>
      <c r="H275" s="460"/>
      <c r="I275" s="557"/>
      <c r="J275" s="460"/>
      <c r="K275" s="557"/>
      <c r="L275" s="460"/>
      <c r="M275" s="557"/>
      <c r="N275" s="460"/>
      <c r="O275" s="557"/>
      <c r="P275" s="460"/>
      <c r="Q275" s="557"/>
      <c r="R275" s="460"/>
      <c r="S275" s="557"/>
      <c r="T275" s="460"/>
      <c r="U275" s="783"/>
      <c r="V275" s="460"/>
    </row>
    <row r="276" spans="1:22">
      <c r="A276" s="519"/>
      <c r="B276" s="520"/>
      <c r="C276" s="521"/>
      <c r="D276" s="522"/>
      <c r="E276" s="517"/>
      <c r="F276" s="465"/>
      <c r="G276" s="557"/>
      <c r="H276" s="460"/>
      <c r="I276" s="557"/>
      <c r="J276" s="460"/>
      <c r="K276" s="557"/>
      <c r="L276" s="460"/>
      <c r="M276" s="557"/>
      <c r="N276" s="460"/>
      <c r="O276" s="557"/>
      <c r="P276" s="460"/>
      <c r="Q276" s="557"/>
      <c r="R276" s="460"/>
      <c r="S276" s="557"/>
      <c r="T276" s="460"/>
      <c r="U276" s="783"/>
      <c r="V276" s="460"/>
    </row>
    <row r="277" spans="1:22">
      <c r="A277" s="519"/>
      <c r="B277" s="520"/>
      <c r="C277" s="521"/>
      <c r="D277" s="522"/>
      <c r="E277" s="517"/>
      <c r="F277" s="465"/>
      <c r="G277" s="557"/>
      <c r="H277" s="460"/>
      <c r="I277" s="557"/>
      <c r="J277" s="460"/>
      <c r="K277" s="557"/>
      <c r="L277" s="460"/>
      <c r="M277" s="557"/>
      <c r="N277" s="460"/>
      <c r="O277" s="557"/>
      <c r="P277" s="460"/>
      <c r="Q277" s="557"/>
      <c r="R277" s="460"/>
      <c r="S277" s="557"/>
      <c r="T277" s="460"/>
      <c r="U277" s="783"/>
      <c r="V277" s="460"/>
    </row>
    <row r="278" spans="1:22">
      <c r="A278" s="519"/>
      <c r="B278" s="520"/>
      <c r="C278" s="521"/>
      <c r="D278" s="522"/>
      <c r="E278" s="517"/>
      <c r="F278" s="465"/>
      <c r="G278" s="557"/>
      <c r="H278" s="460"/>
      <c r="I278" s="557"/>
      <c r="J278" s="460"/>
      <c r="K278" s="557"/>
      <c r="L278" s="460"/>
      <c r="M278" s="557"/>
      <c r="N278" s="460"/>
      <c r="O278" s="557"/>
      <c r="P278" s="460"/>
      <c r="Q278" s="557"/>
      <c r="R278" s="460"/>
      <c r="S278" s="557"/>
      <c r="T278" s="460"/>
      <c r="U278" s="783"/>
      <c r="V278" s="460"/>
    </row>
    <row r="279" spans="1:22">
      <c r="A279" s="519"/>
      <c r="B279" s="520"/>
      <c r="C279" s="521"/>
      <c r="D279" s="522"/>
      <c r="E279" s="517"/>
      <c r="F279" s="465"/>
      <c r="G279" s="557"/>
      <c r="H279" s="460"/>
      <c r="I279" s="557"/>
      <c r="J279" s="460"/>
      <c r="K279" s="557"/>
      <c r="L279" s="460"/>
      <c r="M279" s="557"/>
      <c r="N279" s="460"/>
      <c r="O279" s="557"/>
      <c r="P279" s="460"/>
      <c r="Q279" s="557"/>
      <c r="R279" s="460"/>
      <c r="S279" s="557"/>
      <c r="T279" s="460"/>
      <c r="U279" s="783"/>
      <c r="V279" s="460"/>
    </row>
    <row r="280" spans="1:22">
      <c r="A280" s="519"/>
      <c r="B280" s="520"/>
      <c r="C280" s="521"/>
      <c r="D280" s="522"/>
      <c r="E280" s="517"/>
      <c r="F280" s="465"/>
      <c r="G280" s="557"/>
      <c r="H280" s="460"/>
      <c r="I280" s="557"/>
      <c r="J280" s="460"/>
      <c r="K280" s="557"/>
      <c r="L280" s="460"/>
      <c r="M280" s="557"/>
      <c r="N280" s="460"/>
      <c r="O280" s="557"/>
      <c r="P280" s="460"/>
      <c r="Q280" s="557"/>
      <c r="R280" s="460"/>
      <c r="S280" s="557"/>
      <c r="T280" s="460"/>
      <c r="U280" s="783"/>
      <c r="V280" s="460"/>
    </row>
    <row r="281" spans="1:22">
      <c r="A281" s="519"/>
      <c r="B281" s="520"/>
      <c r="C281" s="521"/>
      <c r="D281" s="522"/>
      <c r="E281" s="517"/>
      <c r="F281" s="465"/>
      <c r="G281" s="557"/>
      <c r="H281" s="460"/>
      <c r="I281" s="557"/>
      <c r="J281" s="460"/>
      <c r="K281" s="557"/>
      <c r="L281" s="460"/>
      <c r="M281" s="557"/>
      <c r="N281" s="460"/>
      <c r="O281" s="557"/>
      <c r="P281" s="460"/>
      <c r="Q281" s="557"/>
      <c r="R281" s="460"/>
      <c r="S281" s="557"/>
      <c r="T281" s="460"/>
      <c r="U281" s="783"/>
      <c r="V281" s="460"/>
    </row>
    <row r="282" spans="1:22">
      <c r="A282" s="519"/>
      <c r="B282" s="520"/>
      <c r="C282" s="521"/>
      <c r="D282" s="522"/>
      <c r="E282" s="517"/>
      <c r="F282" s="465"/>
      <c r="G282" s="557"/>
      <c r="H282" s="460"/>
      <c r="I282" s="557"/>
      <c r="J282" s="460"/>
      <c r="K282" s="557"/>
      <c r="L282" s="460"/>
      <c r="M282" s="557"/>
      <c r="N282" s="460"/>
      <c r="O282" s="557"/>
      <c r="P282" s="460"/>
      <c r="Q282" s="557"/>
      <c r="R282" s="460"/>
      <c r="S282" s="557"/>
      <c r="T282" s="460"/>
      <c r="U282" s="783"/>
      <c r="V282" s="460"/>
    </row>
    <row r="283" spans="1:22">
      <c r="A283" s="519"/>
      <c r="B283" s="520"/>
      <c r="C283" s="521"/>
      <c r="D283" s="522"/>
      <c r="E283" s="517"/>
      <c r="F283" s="465"/>
      <c r="G283" s="557"/>
      <c r="H283" s="460"/>
      <c r="I283" s="557"/>
      <c r="J283" s="460"/>
      <c r="K283" s="557"/>
      <c r="L283" s="460"/>
      <c r="M283" s="557"/>
      <c r="N283" s="460"/>
      <c r="O283" s="557"/>
      <c r="P283" s="460"/>
      <c r="Q283" s="557"/>
      <c r="R283" s="460"/>
      <c r="S283" s="557"/>
      <c r="T283" s="460"/>
      <c r="U283" s="783"/>
      <c r="V283" s="460"/>
    </row>
    <row r="284" spans="1:22">
      <c r="A284" s="519"/>
      <c r="B284" s="520"/>
      <c r="C284" s="521"/>
      <c r="D284" s="522"/>
      <c r="E284" s="517"/>
      <c r="F284" s="465"/>
      <c r="G284" s="557"/>
      <c r="H284" s="460"/>
      <c r="I284" s="557"/>
      <c r="J284" s="460"/>
      <c r="K284" s="557"/>
      <c r="L284" s="460"/>
      <c r="M284" s="557"/>
      <c r="N284" s="460"/>
      <c r="O284" s="557"/>
      <c r="P284" s="460"/>
      <c r="Q284" s="557"/>
      <c r="R284" s="460"/>
      <c r="S284" s="557"/>
      <c r="T284" s="460"/>
      <c r="U284" s="783"/>
      <c r="V284" s="460"/>
    </row>
    <row r="285" spans="1:22">
      <c r="A285" s="519"/>
      <c r="B285" s="520"/>
      <c r="C285" s="521"/>
      <c r="D285" s="522"/>
      <c r="E285" s="517"/>
      <c r="F285" s="465"/>
      <c r="G285" s="557"/>
      <c r="H285" s="460"/>
      <c r="I285" s="557"/>
      <c r="J285" s="460"/>
      <c r="K285" s="557"/>
      <c r="L285" s="460"/>
      <c r="M285" s="557"/>
      <c r="N285" s="460"/>
      <c r="O285" s="557"/>
      <c r="P285" s="460"/>
      <c r="Q285" s="557"/>
      <c r="R285" s="460"/>
      <c r="S285" s="557"/>
      <c r="T285" s="460"/>
      <c r="U285" s="783"/>
      <c r="V285" s="460"/>
    </row>
    <row r="286" spans="1:22">
      <c r="A286" s="519"/>
      <c r="B286" s="520"/>
      <c r="C286" s="521"/>
      <c r="D286" s="522"/>
      <c r="E286" s="517"/>
      <c r="F286" s="465"/>
      <c r="G286" s="557"/>
      <c r="H286" s="460"/>
      <c r="I286" s="557"/>
      <c r="J286" s="460"/>
      <c r="K286" s="557"/>
      <c r="L286" s="460"/>
      <c r="M286" s="557"/>
      <c r="N286" s="460"/>
      <c r="O286" s="557"/>
      <c r="P286" s="460"/>
      <c r="Q286" s="557"/>
      <c r="R286" s="460"/>
      <c r="S286" s="557"/>
      <c r="T286" s="460"/>
      <c r="U286" s="783"/>
      <c r="V286" s="460"/>
    </row>
    <row r="287" spans="1:22">
      <c r="A287" s="519"/>
      <c r="B287" s="520"/>
      <c r="C287" s="521"/>
      <c r="D287" s="522"/>
      <c r="E287" s="517"/>
      <c r="F287" s="465"/>
      <c r="G287" s="557"/>
      <c r="H287" s="460"/>
      <c r="I287" s="557"/>
      <c r="J287" s="460"/>
      <c r="K287" s="557"/>
      <c r="L287" s="460"/>
      <c r="M287" s="557"/>
      <c r="N287" s="460"/>
      <c r="O287" s="557"/>
      <c r="P287" s="460"/>
      <c r="Q287" s="557"/>
      <c r="R287" s="460"/>
      <c r="S287" s="557"/>
      <c r="T287" s="460"/>
      <c r="U287" s="783"/>
      <c r="V287" s="460"/>
    </row>
    <row r="288" spans="1:22">
      <c r="A288" s="519"/>
      <c r="B288" s="520"/>
      <c r="C288" s="521"/>
      <c r="D288" s="522"/>
      <c r="E288" s="517"/>
      <c r="F288" s="465"/>
      <c r="G288" s="557"/>
      <c r="H288" s="460"/>
      <c r="I288" s="557"/>
      <c r="J288" s="460"/>
      <c r="K288" s="557"/>
      <c r="L288" s="460"/>
      <c r="M288" s="557"/>
      <c r="N288" s="460"/>
      <c r="O288" s="557"/>
      <c r="P288" s="460"/>
      <c r="Q288" s="557"/>
      <c r="R288" s="460"/>
      <c r="S288" s="557"/>
      <c r="T288" s="460"/>
      <c r="U288" s="783"/>
      <c r="V288" s="460"/>
    </row>
    <row r="289" spans="1:22">
      <c r="A289" s="519"/>
      <c r="B289" s="520"/>
      <c r="C289" s="521"/>
      <c r="D289" s="522"/>
      <c r="E289" s="517"/>
      <c r="F289" s="465"/>
      <c r="G289" s="557"/>
      <c r="H289" s="460"/>
      <c r="I289" s="557"/>
      <c r="J289" s="460"/>
      <c r="K289" s="557"/>
      <c r="L289" s="460"/>
      <c r="M289" s="557"/>
      <c r="N289" s="460"/>
      <c r="O289" s="557"/>
      <c r="P289" s="460"/>
      <c r="Q289" s="557"/>
      <c r="R289" s="460"/>
      <c r="S289" s="557"/>
      <c r="T289" s="460"/>
      <c r="U289" s="783"/>
      <c r="V289" s="460"/>
    </row>
    <row r="290" spans="1:22">
      <c r="A290" s="519"/>
      <c r="B290" s="520"/>
      <c r="C290" s="521"/>
      <c r="D290" s="522"/>
      <c r="E290" s="517"/>
      <c r="F290" s="465"/>
      <c r="G290" s="557"/>
      <c r="H290" s="460"/>
      <c r="I290" s="557"/>
      <c r="J290" s="460"/>
      <c r="K290" s="557"/>
      <c r="L290" s="460"/>
      <c r="M290" s="557"/>
      <c r="N290" s="460"/>
      <c r="O290" s="557"/>
      <c r="P290" s="460"/>
      <c r="Q290" s="557"/>
      <c r="R290" s="460"/>
      <c r="S290" s="557"/>
      <c r="T290" s="460"/>
      <c r="U290" s="783"/>
      <c r="V290" s="460"/>
    </row>
    <row r="291" spans="1:22">
      <c r="A291" s="519"/>
      <c r="B291" s="520"/>
      <c r="C291" s="521"/>
      <c r="D291" s="522"/>
      <c r="E291" s="517"/>
      <c r="F291" s="465"/>
      <c r="G291" s="557"/>
      <c r="H291" s="460"/>
      <c r="I291" s="557"/>
      <c r="J291" s="460"/>
      <c r="K291" s="557"/>
      <c r="L291" s="460"/>
      <c r="M291" s="557"/>
      <c r="N291" s="460"/>
      <c r="O291" s="557"/>
      <c r="P291" s="460"/>
      <c r="Q291" s="557"/>
      <c r="R291" s="460"/>
      <c r="S291" s="557"/>
      <c r="T291" s="460"/>
      <c r="U291" s="783"/>
      <c r="V291" s="460"/>
    </row>
    <row r="292" spans="1:22">
      <c r="A292" s="519"/>
      <c r="B292" s="520"/>
      <c r="C292" s="521"/>
      <c r="D292" s="522"/>
      <c r="E292" s="517"/>
      <c r="F292" s="465"/>
      <c r="G292" s="557"/>
      <c r="H292" s="460"/>
      <c r="I292" s="557"/>
      <c r="J292" s="460"/>
      <c r="K292" s="557"/>
      <c r="L292" s="460"/>
      <c r="M292" s="557"/>
      <c r="N292" s="460"/>
      <c r="O292" s="557"/>
      <c r="P292" s="460"/>
      <c r="Q292" s="557"/>
      <c r="R292" s="460"/>
      <c r="S292" s="557"/>
      <c r="T292" s="460"/>
      <c r="U292" s="783"/>
      <c r="V292" s="460"/>
    </row>
    <row r="293" spans="1:22">
      <c r="A293" s="519"/>
      <c r="B293" s="520"/>
      <c r="C293" s="521"/>
      <c r="D293" s="522"/>
      <c r="E293" s="517"/>
      <c r="F293" s="465"/>
      <c r="G293" s="557"/>
      <c r="H293" s="460"/>
      <c r="I293" s="557"/>
      <c r="J293" s="460"/>
      <c r="K293" s="557"/>
      <c r="L293" s="460"/>
      <c r="M293" s="557"/>
      <c r="N293" s="460"/>
      <c r="O293" s="557"/>
      <c r="P293" s="460"/>
      <c r="Q293" s="557"/>
      <c r="R293" s="460"/>
      <c r="S293" s="557"/>
      <c r="T293" s="460"/>
      <c r="U293" s="783"/>
      <c r="V293" s="460"/>
    </row>
    <row r="294" spans="1:22">
      <c r="A294" s="519"/>
      <c r="B294" s="520"/>
      <c r="C294" s="521"/>
      <c r="D294" s="522"/>
      <c r="E294" s="517"/>
      <c r="F294" s="465"/>
      <c r="G294" s="557"/>
      <c r="H294" s="460"/>
      <c r="I294" s="557"/>
      <c r="J294" s="460"/>
      <c r="K294" s="557"/>
      <c r="L294" s="460"/>
      <c r="M294" s="557"/>
      <c r="N294" s="460"/>
      <c r="O294" s="557"/>
      <c r="P294" s="460"/>
      <c r="Q294" s="557"/>
      <c r="R294" s="460"/>
      <c r="S294" s="557"/>
      <c r="T294" s="460"/>
      <c r="U294" s="783"/>
      <c r="V294" s="460"/>
    </row>
    <row r="295" spans="1:22">
      <c r="A295" s="519"/>
      <c r="B295" s="520"/>
      <c r="C295" s="521"/>
      <c r="D295" s="522"/>
      <c r="E295" s="517"/>
      <c r="F295" s="465"/>
      <c r="G295" s="557"/>
      <c r="H295" s="460"/>
      <c r="I295" s="557"/>
      <c r="J295" s="460"/>
      <c r="K295" s="557"/>
      <c r="L295" s="460"/>
      <c r="M295" s="557"/>
      <c r="N295" s="460"/>
      <c r="O295" s="557"/>
      <c r="P295" s="460"/>
      <c r="Q295" s="557"/>
      <c r="R295" s="460"/>
      <c r="S295" s="557"/>
      <c r="T295" s="460"/>
      <c r="U295" s="783"/>
      <c r="V295" s="460"/>
    </row>
    <row r="296" spans="1:22">
      <c r="A296" s="519"/>
      <c r="B296" s="520"/>
      <c r="C296" s="521"/>
      <c r="D296" s="522"/>
      <c r="E296" s="517"/>
      <c r="F296" s="465"/>
      <c r="G296" s="557"/>
      <c r="H296" s="460"/>
      <c r="I296" s="557"/>
      <c r="J296" s="460"/>
      <c r="K296" s="557"/>
      <c r="L296" s="460"/>
      <c r="M296" s="557"/>
      <c r="N296" s="460"/>
      <c r="O296" s="557"/>
      <c r="P296" s="460"/>
      <c r="Q296" s="557"/>
      <c r="R296" s="460"/>
      <c r="S296" s="557"/>
      <c r="T296" s="460"/>
      <c r="U296" s="783"/>
      <c r="V296" s="460"/>
    </row>
    <row r="297" spans="1:22">
      <c r="A297" s="519"/>
      <c r="B297" s="520"/>
      <c r="C297" s="521"/>
      <c r="D297" s="522"/>
      <c r="E297" s="517"/>
      <c r="F297" s="465"/>
      <c r="G297" s="557"/>
      <c r="H297" s="460"/>
      <c r="I297" s="557"/>
      <c r="J297" s="460"/>
      <c r="K297" s="557"/>
      <c r="L297" s="460"/>
      <c r="M297" s="557"/>
      <c r="N297" s="460"/>
      <c r="O297" s="557"/>
      <c r="P297" s="460"/>
      <c r="Q297" s="557"/>
      <c r="R297" s="460"/>
      <c r="S297" s="557"/>
      <c r="T297" s="460"/>
      <c r="U297" s="783"/>
      <c r="V297" s="460"/>
    </row>
    <row r="298" spans="1:22">
      <c r="A298" s="519"/>
      <c r="B298" s="520"/>
      <c r="C298" s="521"/>
      <c r="D298" s="522"/>
      <c r="E298" s="517"/>
      <c r="F298" s="465"/>
      <c r="G298" s="557"/>
      <c r="H298" s="460"/>
      <c r="I298" s="557"/>
      <c r="J298" s="460"/>
      <c r="K298" s="557"/>
      <c r="L298" s="460"/>
      <c r="M298" s="557"/>
      <c r="N298" s="460"/>
      <c r="O298" s="557"/>
      <c r="P298" s="460"/>
      <c r="Q298" s="557"/>
      <c r="R298" s="460"/>
      <c r="S298" s="557"/>
      <c r="T298" s="460"/>
      <c r="U298" s="783"/>
      <c r="V298" s="460"/>
    </row>
    <row r="299" spans="1:22">
      <c r="A299" s="519"/>
      <c r="B299" s="520"/>
      <c r="C299" s="521"/>
      <c r="D299" s="522"/>
      <c r="E299" s="517"/>
      <c r="F299" s="465"/>
      <c r="G299" s="557"/>
      <c r="H299" s="460"/>
      <c r="I299" s="557"/>
      <c r="J299" s="460"/>
      <c r="K299" s="557"/>
      <c r="L299" s="460"/>
      <c r="M299" s="557"/>
      <c r="N299" s="460"/>
      <c r="O299" s="557"/>
      <c r="P299" s="460"/>
      <c r="Q299" s="557"/>
      <c r="R299" s="460"/>
      <c r="S299" s="557"/>
      <c r="T299" s="460"/>
      <c r="U299" s="783"/>
      <c r="V299" s="460"/>
    </row>
    <row r="300" spans="1:22">
      <c r="A300" s="519"/>
      <c r="B300" s="520"/>
      <c r="C300" s="521"/>
      <c r="D300" s="522"/>
      <c r="E300" s="517"/>
      <c r="F300" s="465"/>
      <c r="G300" s="557"/>
      <c r="H300" s="460"/>
      <c r="I300" s="557"/>
      <c r="J300" s="460"/>
      <c r="K300" s="557"/>
      <c r="L300" s="460"/>
      <c r="M300" s="557"/>
      <c r="N300" s="460"/>
      <c r="O300" s="557"/>
      <c r="P300" s="460"/>
      <c r="Q300" s="557"/>
      <c r="R300" s="460"/>
      <c r="S300" s="557"/>
      <c r="T300" s="460"/>
      <c r="U300" s="783"/>
      <c r="V300" s="460"/>
    </row>
    <row r="301" spans="1:22">
      <c r="A301" s="519"/>
      <c r="B301" s="520"/>
      <c r="C301" s="521"/>
      <c r="D301" s="522"/>
      <c r="E301" s="517"/>
      <c r="F301" s="465"/>
      <c r="G301" s="557"/>
      <c r="H301" s="460"/>
      <c r="I301" s="557"/>
      <c r="J301" s="460"/>
      <c r="K301" s="557"/>
      <c r="L301" s="460"/>
      <c r="M301" s="557"/>
      <c r="N301" s="460"/>
      <c r="O301" s="557"/>
      <c r="P301" s="460"/>
      <c r="Q301" s="557"/>
      <c r="R301" s="460"/>
      <c r="S301" s="557"/>
      <c r="T301" s="460"/>
      <c r="U301" s="783"/>
      <c r="V301" s="460"/>
    </row>
    <row r="302" spans="1:22">
      <c r="A302" s="519"/>
      <c r="B302" s="520"/>
      <c r="C302" s="521"/>
      <c r="D302" s="522"/>
      <c r="E302" s="517"/>
      <c r="F302" s="465"/>
      <c r="G302" s="557"/>
      <c r="H302" s="460"/>
      <c r="I302" s="557"/>
      <c r="J302" s="460"/>
      <c r="K302" s="557"/>
      <c r="L302" s="460"/>
      <c r="M302" s="557"/>
      <c r="N302" s="460"/>
      <c r="O302" s="557"/>
      <c r="P302" s="460"/>
      <c r="Q302" s="557"/>
      <c r="R302" s="460"/>
      <c r="S302" s="557"/>
      <c r="T302" s="460"/>
      <c r="U302" s="783"/>
      <c r="V302" s="460"/>
    </row>
    <row r="303" spans="1:22">
      <c r="A303" s="519"/>
      <c r="B303" s="520"/>
      <c r="C303" s="521"/>
      <c r="D303" s="522"/>
      <c r="E303" s="517"/>
      <c r="F303" s="465"/>
      <c r="G303" s="557"/>
      <c r="H303" s="460"/>
      <c r="I303" s="557"/>
      <c r="J303" s="460"/>
      <c r="K303" s="557"/>
      <c r="L303" s="460"/>
      <c r="M303" s="557"/>
      <c r="N303" s="460"/>
      <c r="O303" s="557"/>
      <c r="P303" s="460"/>
      <c r="Q303" s="557"/>
      <c r="R303" s="460"/>
      <c r="S303" s="557"/>
      <c r="T303" s="460"/>
      <c r="U303" s="783"/>
      <c r="V303" s="460"/>
    </row>
    <row r="304" spans="1:22">
      <c r="A304" s="519"/>
      <c r="B304" s="520"/>
      <c r="C304" s="521"/>
      <c r="D304" s="522"/>
      <c r="E304" s="517"/>
      <c r="F304" s="465"/>
      <c r="G304" s="557"/>
      <c r="H304" s="460"/>
      <c r="I304" s="557"/>
      <c r="J304" s="460"/>
      <c r="K304" s="557"/>
      <c r="L304" s="460"/>
      <c r="M304" s="557"/>
      <c r="N304" s="460"/>
      <c r="O304" s="557"/>
      <c r="P304" s="460"/>
      <c r="Q304" s="557"/>
      <c r="R304" s="460"/>
      <c r="S304" s="557"/>
      <c r="T304" s="460"/>
      <c r="U304" s="783"/>
      <c r="V304" s="460"/>
    </row>
    <row r="305" spans="1:22">
      <c r="A305" s="519"/>
      <c r="B305" s="520"/>
      <c r="C305" s="521"/>
      <c r="D305" s="522"/>
      <c r="E305" s="517"/>
      <c r="F305" s="465"/>
      <c r="G305" s="557"/>
      <c r="H305" s="460"/>
      <c r="I305" s="557"/>
      <c r="J305" s="460"/>
      <c r="K305" s="557"/>
      <c r="L305" s="460"/>
      <c r="M305" s="557"/>
      <c r="N305" s="460"/>
      <c r="O305" s="557"/>
      <c r="P305" s="460"/>
      <c r="Q305" s="557"/>
      <c r="R305" s="460"/>
      <c r="S305" s="557"/>
      <c r="T305" s="460"/>
      <c r="U305" s="783"/>
      <c r="V305" s="460"/>
    </row>
    <row r="306" spans="1:22">
      <c r="A306" s="519"/>
      <c r="B306" s="520"/>
      <c r="C306" s="521"/>
      <c r="D306" s="522"/>
      <c r="E306" s="517"/>
      <c r="F306" s="465"/>
      <c r="G306" s="557"/>
      <c r="H306" s="460"/>
      <c r="I306" s="557"/>
      <c r="J306" s="460"/>
      <c r="K306" s="557"/>
      <c r="L306" s="460"/>
      <c r="M306" s="557"/>
      <c r="N306" s="460"/>
      <c r="O306" s="557"/>
      <c r="P306" s="460"/>
      <c r="Q306" s="557"/>
      <c r="R306" s="460"/>
      <c r="S306" s="557"/>
      <c r="T306" s="460"/>
      <c r="U306" s="783"/>
      <c r="V306" s="460"/>
    </row>
    <row r="307" spans="1:22">
      <c r="A307" s="519"/>
      <c r="B307" s="520"/>
      <c r="C307" s="521"/>
      <c r="D307" s="522"/>
      <c r="E307" s="517"/>
      <c r="F307" s="465"/>
      <c r="G307" s="557"/>
      <c r="H307" s="460"/>
      <c r="I307" s="557"/>
      <c r="J307" s="460"/>
      <c r="K307" s="557"/>
      <c r="L307" s="460"/>
      <c r="M307" s="557"/>
      <c r="N307" s="460"/>
      <c r="O307" s="557"/>
      <c r="P307" s="460"/>
      <c r="Q307" s="557"/>
      <c r="R307" s="460"/>
      <c r="S307" s="557"/>
      <c r="T307" s="460"/>
      <c r="U307" s="783"/>
      <c r="V307" s="460"/>
    </row>
    <row r="308" spans="1:22">
      <c r="A308" s="519"/>
      <c r="B308" s="520"/>
      <c r="C308" s="521"/>
      <c r="D308" s="522"/>
      <c r="E308" s="517"/>
      <c r="F308" s="465"/>
      <c r="G308" s="557"/>
      <c r="H308" s="460"/>
      <c r="I308" s="557"/>
      <c r="J308" s="460"/>
      <c r="K308" s="557"/>
      <c r="L308" s="460"/>
      <c r="M308" s="557"/>
      <c r="N308" s="460"/>
      <c r="O308" s="557"/>
      <c r="P308" s="460"/>
      <c r="Q308" s="557"/>
      <c r="R308" s="460"/>
      <c r="S308" s="557"/>
      <c r="T308" s="460"/>
      <c r="U308" s="783"/>
      <c r="V308" s="460"/>
    </row>
    <row r="309" spans="1:22">
      <c r="A309" s="519"/>
      <c r="B309" s="520"/>
      <c r="C309" s="521"/>
      <c r="D309" s="522"/>
      <c r="E309" s="517"/>
      <c r="F309" s="465"/>
      <c r="G309" s="557"/>
      <c r="H309" s="460"/>
      <c r="I309" s="557"/>
      <c r="J309" s="460"/>
      <c r="K309" s="557"/>
      <c r="L309" s="460"/>
      <c r="M309" s="557"/>
      <c r="N309" s="460"/>
      <c r="O309" s="557"/>
      <c r="P309" s="460"/>
      <c r="Q309" s="557"/>
      <c r="R309" s="460"/>
      <c r="S309" s="557"/>
      <c r="T309" s="460"/>
      <c r="U309" s="783"/>
      <c r="V309" s="460"/>
    </row>
    <row r="310" spans="1:22">
      <c r="A310" s="519"/>
      <c r="B310" s="520"/>
      <c r="C310" s="521"/>
      <c r="D310" s="522"/>
      <c r="E310" s="517"/>
      <c r="F310" s="465"/>
      <c r="G310" s="557"/>
      <c r="H310" s="460"/>
      <c r="I310" s="557"/>
      <c r="J310" s="460"/>
      <c r="K310" s="557"/>
      <c r="L310" s="460"/>
      <c r="M310" s="557"/>
      <c r="N310" s="460"/>
      <c r="O310" s="557"/>
      <c r="P310" s="460"/>
      <c r="Q310" s="557"/>
      <c r="R310" s="460"/>
      <c r="S310" s="557"/>
      <c r="T310" s="460"/>
      <c r="U310" s="783"/>
      <c r="V310" s="460"/>
    </row>
    <row r="311" spans="1:22">
      <c r="A311" s="519"/>
      <c r="B311" s="520"/>
      <c r="C311" s="521"/>
      <c r="D311" s="522"/>
      <c r="E311" s="517"/>
      <c r="F311" s="465"/>
      <c r="G311" s="557"/>
      <c r="H311" s="460"/>
      <c r="I311" s="557"/>
      <c r="J311" s="460"/>
      <c r="K311" s="557"/>
      <c r="L311" s="460"/>
      <c r="M311" s="557"/>
      <c r="N311" s="460"/>
      <c r="O311" s="557"/>
      <c r="P311" s="460"/>
      <c r="Q311" s="557"/>
      <c r="R311" s="460"/>
      <c r="S311" s="557"/>
      <c r="T311" s="460"/>
      <c r="U311" s="783"/>
      <c r="V311" s="460"/>
    </row>
    <row r="312" spans="1:22">
      <c r="A312" s="519"/>
      <c r="B312" s="520"/>
      <c r="C312" s="521"/>
      <c r="D312" s="522"/>
      <c r="E312" s="517"/>
      <c r="F312" s="465"/>
      <c r="G312" s="557"/>
      <c r="H312" s="460"/>
      <c r="I312" s="557"/>
      <c r="J312" s="460"/>
      <c r="K312" s="557"/>
      <c r="L312" s="460"/>
      <c r="M312" s="557"/>
      <c r="N312" s="460"/>
      <c r="O312" s="557"/>
      <c r="P312" s="460"/>
      <c r="Q312" s="557"/>
      <c r="R312" s="460"/>
      <c r="S312" s="557"/>
      <c r="T312" s="460"/>
      <c r="U312" s="783"/>
      <c r="V312" s="460"/>
    </row>
    <row r="313" spans="1:22">
      <c r="A313" s="519"/>
      <c r="B313" s="520"/>
      <c r="C313" s="521"/>
      <c r="D313" s="522"/>
      <c r="E313" s="517"/>
      <c r="F313" s="465"/>
      <c r="G313" s="557"/>
      <c r="H313" s="460"/>
      <c r="I313" s="557"/>
      <c r="J313" s="460"/>
      <c r="K313" s="557"/>
      <c r="L313" s="460"/>
      <c r="M313" s="557"/>
      <c r="N313" s="460"/>
      <c r="O313" s="557"/>
      <c r="P313" s="460"/>
      <c r="Q313" s="557"/>
      <c r="R313" s="460"/>
      <c r="S313" s="557"/>
      <c r="T313" s="460"/>
      <c r="U313" s="783"/>
      <c r="V313" s="460"/>
    </row>
    <row r="314" spans="1:22">
      <c r="A314" s="519"/>
      <c r="B314" s="520"/>
      <c r="C314" s="521"/>
      <c r="D314" s="522"/>
      <c r="E314" s="517"/>
      <c r="F314" s="465"/>
      <c r="G314" s="557"/>
      <c r="H314" s="460"/>
      <c r="I314" s="557"/>
      <c r="J314" s="460"/>
      <c r="K314" s="557"/>
      <c r="L314" s="460"/>
      <c r="M314" s="557"/>
      <c r="N314" s="460"/>
      <c r="O314" s="557"/>
      <c r="P314" s="460"/>
      <c r="Q314" s="557"/>
      <c r="R314" s="460"/>
      <c r="S314" s="557"/>
      <c r="T314" s="460"/>
      <c r="U314" s="783"/>
      <c r="V314" s="460"/>
    </row>
    <row r="315" spans="1:22">
      <c r="A315" s="519"/>
      <c r="B315" s="520"/>
      <c r="C315" s="521"/>
      <c r="D315" s="522"/>
      <c r="E315" s="517"/>
      <c r="F315" s="465"/>
      <c r="G315" s="557"/>
      <c r="H315" s="460"/>
      <c r="I315" s="557"/>
      <c r="J315" s="460"/>
      <c r="K315" s="557"/>
      <c r="L315" s="460"/>
      <c r="M315" s="557"/>
      <c r="N315" s="460"/>
      <c r="O315" s="557"/>
      <c r="P315" s="460"/>
      <c r="Q315" s="557"/>
      <c r="R315" s="460"/>
      <c r="S315" s="557"/>
      <c r="T315" s="460"/>
      <c r="U315" s="783"/>
      <c r="V315" s="460"/>
    </row>
    <row r="316" spans="1:22">
      <c r="A316" s="519"/>
      <c r="B316" s="520"/>
      <c r="C316" s="521"/>
      <c r="D316" s="522"/>
      <c r="E316" s="517"/>
      <c r="F316" s="465"/>
      <c r="G316" s="557"/>
      <c r="H316" s="460"/>
      <c r="I316" s="557"/>
      <c r="J316" s="460"/>
      <c r="K316" s="557"/>
      <c r="L316" s="460"/>
      <c r="M316" s="557"/>
      <c r="N316" s="460"/>
      <c r="O316" s="557"/>
      <c r="P316" s="460"/>
      <c r="Q316" s="557"/>
      <c r="R316" s="460"/>
      <c r="S316" s="557"/>
      <c r="T316" s="460"/>
      <c r="U316" s="783"/>
      <c r="V316" s="460"/>
    </row>
    <row r="317" spans="1:22">
      <c r="A317" s="519"/>
      <c r="B317" s="520"/>
      <c r="C317" s="521"/>
      <c r="D317" s="522"/>
      <c r="E317" s="517"/>
      <c r="F317" s="465"/>
      <c r="G317" s="557"/>
      <c r="H317" s="460"/>
      <c r="I317" s="557"/>
      <c r="J317" s="460"/>
      <c r="K317" s="557"/>
      <c r="L317" s="460"/>
      <c r="M317" s="557"/>
      <c r="N317" s="460"/>
      <c r="O317" s="557"/>
      <c r="P317" s="460"/>
      <c r="Q317" s="557"/>
      <c r="R317" s="460"/>
      <c r="S317" s="557"/>
      <c r="T317" s="460"/>
      <c r="U317" s="783"/>
      <c r="V317" s="460"/>
    </row>
    <row r="318" spans="1:22">
      <c r="A318" s="519"/>
      <c r="B318" s="520"/>
      <c r="C318" s="521"/>
      <c r="D318" s="522"/>
      <c r="E318" s="517"/>
      <c r="F318" s="465"/>
      <c r="G318" s="557"/>
      <c r="H318" s="460"/>
      <c r="I318" s="557"/>
      <c r="J318" s="460"/>
      <c r="K318" s="557"/>
      <c r="L318" s="460"/>
      <c r="M318" s="557"/>
      <c r="N318" s="460"/>
      <c r="O318" s="557"/>
      <c r="P318" s="460"/>
      <c r="Q318" s="557"/>
      <c r="R318" s="460"/>
      <c r="S318" s="557"/>
      <c r="T318" s="460"/>
      <c r="U318" s="783"/>
      <c r="V318" s="460"/>
    </row>
    <row r="319" spans="1:22">
      <c r="A319" s="519"/>
      <c r="B319" s="520"/>
      <c r="C319" s="521"/>
      <c r="D319" s="522"/>
      <c r="E319" s="517"/>
      <c r="F319" s="465"/>
      <c r="G319" s="557"/>
      <c r="H319" s="460"/>
      <c r="I319" s="557"/>
      <c r="J319" s="460"/>
      <c r="K319" s="557"/>
      <c r="L319" s="460"/>
      <c r="M319" s="557"/>
      <c r="N319" s="460"/>
      <c r="O319" s="557"/>
      <c r="P319" s="460"/>
      <c r="Q319" s="557"/>
      <c r="R319" s="460"/>
      <c r="S319" s="557"/>
      <c r="T319" s="460"/>
      <c r="U319" s="783"/>
      <c r="V319" s="460"/>
    </row>
    <row r="320" spans="1:22">
      <c r="A320" s="519"/>
      <c r="B320" s="520"/>
      <c r="C320" s="521"/>
      <c r="D320" s="522"/>
      <c r="E320" s="517"/>
      <c r="F320" s="465"/>
      <c r="G320" s="557"/>
      <c r="H320" s="460"/>
      <c r="I320" s="557"/>
      <c r="J320" s="460"/>
      <c r="K320" s="557"/>
      <c r="L320" s="460"/>
      <c r="M320" s="557"/>
      <c r="N320" s="460"/>
      <c r="O320" s="557"/>
      <c r="P320" s="460"/>
      <c r="Q320" s="557"/>
      <c r="R320" s="460"/>
      <c r="S320" s="557"/>
      <c r="T320" s="460"/>
      <c r="U320" s="783"/>
      <c r="V320" s="460"/>
    </row>
    <row r="321" spans="1:22">
      <c r="A321" s="519"/>
      <c r="B321" s="520"/>
      <c r="C321" s="521"/>
      <c r="D321" s="522"/>
      <c r="E321" s="517"/>
      <c r="F321" s="465"/>
      <c r="G321" s="557"/>
      <c r="H321" s="460"/>
      <c r="I321" s="557"/>
      <c r="J321" s="460"/>
      <c r="K321" s="557"/>
      <c r="L321" s="460"/>
      <c r="M321" s="557"/>
      <c r="N321" s="460"/>
      <c r="O321" s="557"/>
      <c r="P321" s="460"/>
      <c r="Q321" s="557"/>
      <c r="R321" s="460"/>
      <c r="S321" s="557"/>
      <c r="T321" s="460"/>
      <c r="U321" s="783"/>
      <c r="V321" s="460"/>
    </row>
    <row r="322" spans="1:22">
      <c r="A322" s="519"/>
      <c r="B322" s="520"/>
      <c r="C322" s="521"/>
      <c r="D322" s="522"/>
      <c r="E322" s="517"/>
      <c r="F322" s="465"/>
      <c r="G322" s="557"/>
      <c r="H322" s="460"/>
      <c r="I322" s="557"/>
      <c r="J322" s="460"/>
      <c r="K322" s="557"/>
      <c r="L322" s="460"/>
      <c r="M322" s="557"/>
      <c r="N322" s="460"/>
      <c r="O322" s="557"/>
      <c r="P322" s="460"/>
      <c r="Q322" s="557"/>
      <c r="R322" s="460"/>
      <c r="S322" s="557"/>
      <c r="T322" s="460"/>
      <c r="U322" s="783"/>
      <c r="V322" s="460"/>
    </row>
    <row r="323" spans="1:22">
      <c r="A323" s="519"/>
      <c r="B323" s="520"/>
      <c r="C323" s="521"/>
      <c r="D323" s="522"/>
      <c r="E323" s="517"/>
      <c r="F323" s="465"/>
      <c r="G323" s="557"/>
      <c r="H323" s="460"/>
      <c r="I323" s="557"/>
      <c r="J323" s="460"/>
      <c r="K323" s="557"/>
      <c r="L323" s="460"/>
      <c r="M323" s="557"/>
      <c r="N323" s="460"/>
      <c r="O323" s="557"/>
      <c r="P323" s="460"/>
      <c r="Q323" s="557"/>
      <c r="R323" s="460"/>
      <c r="S323" s="557"/>
      <c r="T323" s="460"/>
      <c r="U323" s="783"/>
      <c r="V323" s="460"/>
    </row>
    <row r="324" spans="1:22">
      <c r="A324" s="519"/>
      <c r="B324" s="520"/>
      <c r="C324" s="521"/>
      <c r="D324" s="522"/>
      <c r="E324" s="517"/>
      <c r="F324" s="465"/>
      <c r="G324" s="557"/>
      <c r="H324" s="460"/>
      <c r="I324" s="557"/>
      <c r="J324" s="460"/>
      <c r="K324" s="557"/>
      <c r="L324" s="460"/>
      <c r="M324" s="557"/>
      <c r="N324" s="460"/>
      <c r="O324" s="557"/>
      <c r="P324" s="460"/>
      <c r="Q324" s="557"/>
      <c r="R324" s="460"/>
      <c r="S324" s="557"/>
      <c r="T324" s="460"/>
      <c r="U324" s="783"/>
      <c r="V324" s="460"/>
    </row>
    <row r="325" spans="1:22">
      <c r="A325" s="519"/>
      <c r="B325" s="520"/>
      <c r="C325" s="521"/>
      <c r="D325" s="522"/>
      <c r="E325" s="517"/>
      <c r="F325" s="465"/>
      <c r="G325" s="557"/>
      <c r="H325" s="460"/>
      <c r="I325" s="557"/>
      <c r="J325" s="460"/>
      <c r="K325" s="557"/>
      <c r="L325" s="460"/>
      <c r="M325" s="557"/>
      <c r="N325" s="460"/>
      <c r="O325" s="557"/>
      <c r="P325" s="460"/>
      <c r="Q325" s="557"/>
      <c r="R325" s="460"/>
      <c r="S325" s="557"/>
      <c r="T325" s="460"/>
      <c r="U325" s="783"/>
      <c r="V325" s="460"/>
    </row>
    <row r="326" spans="1:22">
      <c r="A326" s="519"/>
      <c r="B326" s="520"/>
      <c r="C326" s="521"/>
      <c r="D326" s="522"/>
      <c r="E326" s="517"/>
      <c r="F326" s="465"/>
      <c r="G326" s="557"/>
      <c r="H326" s="460"/>
      <c r="I326" s="557"/>
      <c r="J326" s="460"/>
      <c r="K326" s="557"/>
      <c r="L326" s="460"/>
      <c r="M326" s="557"/>
      <c r="N326" s="460"/>
      <c r="O326" s="557"/>
      <c r="P326" s="460"/>
      <c r="Q326" s="557"/>
      <c r="R326" s="460"/>
      <c r="S326" s="557"/>
      <c r="T326" s="460"/>
      <c r="U326" s="783"/>
      <c r="V326" s="460"/>
    </row>
    <row r="327" spans="1:22">
      <c r="A327" s="519"/>
      <c r="B327" s="520"/>
      <c r="C327" s="521"/>
      <c r="D327" s="522"/>
      <c r="E327" s="517"/>
      <c r="F327" s="465"/>
      <c r="G327" s="557"/>
      <c r="H327" s="460"/>
      <c r="I327" s="557"/>
      <c r="J327" s="460"/>
      <c r="K327" s="557"/>
      <c r="L327" s="460"/>
      <c r="M327" s="557"/>
      <c r="N327" s="460"/>
      <c r="O327" s="557"/>
      <c r="P327" s="460"/>
      <c r="Q327" s="557"/>
      <c r="R327" s="460"/>
      <c r="S327" s="557"/>
      <c r="T327" s="460"/>
      <c r="U327" s="783"/>
      <c r="V327" s="460"/>
    </row>
    <row r="328" spans="1:22">
      <c r="A328" s="519"/>
      <c r="B328" s="520"/>
      <c r="C328" s="521"/>
      <c r="D328" s="522"/>
      <c r="E328" s="517"/>
      <c r="F328" s="465"/>
      <c r="G328" s="557"/>
      <c r="H328" s="460"/>
      <c r="I328" s="557"/>
      <c r="J328" s="460"/>
      <c r="K328" s="557"/>
      <c r="L328" s="460"/>
      <c r="M328" s="557"/>
      <c r="N328" s="460"/>
      <c r="O328" s="557"/>
      <c r="P328" s="460"/>
      <c r="Q328" s="557"/>
      <c r="R328" s="460"/>
      <c r="S328" s="557"/>
      <c r="T328" s="460"/>
      <c r="U328" s="783"/>
      <c r="V328" s="460"/>
    </row>
    <row r="329" spans="1:22">
      <c r="A329" s="519"/>
      <c r="B329" s="520"/>
      <c r="C329" s="521"/>
      <c r="D329" s="522"/>
      <c r="E329" s="517"/>
      <c r="F329" s="465"/>
      <c r="G329" s="557"/>
      <c r="H329" s="460"/>
      <c r="I329" s="557"/>
      <c r="J329" s="460"/>
      <c r="K329" s="557"/>
      <c r="L329" s="460"/>
      <c r="M329" s="557"/>
      <c r="N329" s="460"/>
      <c r="O329" s="557"/>
      <c r="P329" s="460"/>
      <c r="Q329" s="557"/>
      <c r="R329" s="460"/>
      <c r="S329" s="557"/>
      <c r="T329" s="460"/>
      <c r="U329" s="783"/>
      <c r="V329" s="460"/>
    </row>
    <row r="330" spans="1:22">
      <c r="A330" s="519"/>
      <c r="B330" s="520"/>
      <c r="C330" s="521"/>
      <c r="D330" s="522"/>
      <c r="E330" s="517"/>
      <c r="F330" s="465"/>
      <c r="G330" s="557"/>
      <c r="H330" s="460"/>
      <c r="I330" s="557"/>
      <c r="J330" s="460"/>
      <c r="K330" s="557"/>
      <c r="L330" s="460"/>
      <c r="M330" s="557"/>
      <c r="N330" s="460"/>
      <c r="O330" s="557"/>
      <c r="P330" s="460"/>
      <c r="Q330" s="557"/>
      <c r="R330" s="460"/>
      <c r="S330" s="557"/>
      <c r="T330" s="460"/>
      <c r="U330" s="783"/>
      <c r="V330" s="460"/>
    </row>
    <row r="331" spans="1:22">
      <c r="A331" s="519"/>
      <c r="B331" s="520"/>
      <c r="C331" s="521"/>
      <c r="D331" s="522"/>
      <c r="E331" s="517"/>
      <c r="F331" s="465"/>
      <c r="G331" s="557"/>
      <c r="H331" s="460"/>
      <c r="I331" s="557"/>
      <c r="J331" s="460"/>
      <c r="K331" s="557"/>
      <c r="L331" s="460"/>
      <c r="M331" s="557"/>
      <c r="N331" s="460"/>
      <c r="O331" s="557"/>
      <c r="P331" s="460"/>
      <c r="Q331" s="557"/>
      <c r="R331" s="460"/>
      <c r="S331" s="557"/>
      <c r="T331" s="460"/>
      <c r="U331" s="783"/>
      <c r="V331" s="460"/>
    </row>
    <row r="332" spans="1:22">
      <c r="A332" s="519"/>
      <c r="B332" s="520"/>
      <c r="C332" s="521"/>
      <c r="D332" s="522"/>
      <c r="E332" s="517"/>
      <c r="F332" s="465"/>
      <c r="G332" s="557"/>
      <c r="H332" s="460"/>
      <c r="I332" s="557"/>
      <c r="J332" s="460"/>
      <c r="K332" s="557"/>
      <c r="L332" s="460"/>
      <c r="M332" s="557"/>
      <c r="N332" s="460"/>
      <c r="O332" s="557"/>
      <c r="P332" s="460"/>
      <c r="Q332" s="557"/>
      <c r="R332" s="460"/>
      <c r="S332" s="557"/>
      <c r="T332" s="460"/>
      <c r="U332" s="783"/>
      <c r="V332" s="460"/>
    </row>
    <row r="333" spans="1:22">
      <c r="A333" s="519"/>
      <c r="B333" s="520"/>
      <c r="C333" s="521"/>
      <c r="D333" s="522"/>
      <c r="E333" s="517"/>
      <c r="F333" s="465"/>
      <c r="G333" s="557"/>
      <c r="H333" s="460"/>
      <c r="I333" s="557"/>
      <c r="J333" s="460"/>
      <c r="K333" s="557"/>
      <c r="L333" s="460"/>
      <c r="M333" s="557"/>
      <c r="N333" s="460"/>
      <c r="O333" s="557"/>
      <c r="P333" s="460"/>
      <c r="Q333" s="557"/>
      <c r="R333" s="460"/>
      <c r="S333" s="557"/>
      <c r="T333" s="460"/>
      <c r="U333" s="783"/>
      <c r="V333" s="460"/>
    </row>
    <row r="334" spans="1:22">
      <c r="A334" s="519"/>
      <c r="B334" s="520"/>
      <c r="C334" s="521"/>
      <c r="D334" s="522"/>
      <c r="E334" s="517"/>
      <c r="F334" s="465"/>
      <c r="G334" s="557"/>
      <c r="H334" s="460"/>
      <c r="I334" s="557"/>
      <c r="J334" s="460"/>
      <c r="K334" s="557"/>
      <c r="L334" s="460"/>
      <c r="M334" s="557"/>
      <c r="N334" s="460"/>
      <c r="O334" s="557"/>
      <c r="P334" s="460"/>
      <c r="Q334" s="557"/>
      <c r="R334" s="460"/>
      <c r="S334" s="557"/>
      <c r="T334" s="460"/>
      <c r="U334" s="783"/>
      <c r="V334" s="460"/>
    </row>
    <row r="335" spans="1:22">
      <c r="A335" s="519"/>
      <c r="B335" s="520"/>
      <c r="C335" s="521"/>
      <c r="D335" s="522"/>
      <c r="E335" s="517"/>
      <c r="F335" s="465"/>
      <c r="G335" s="557"/>
      <c r="H335" s="460"/>
      <c r="I335" s="557"/>
      <c r="J335" s="460"/>
      <c r="K335" s="557"/>
      <c r="L335" s="460"/>
      <c r="M335" s="557"/>
      <c r="N335" s="460"/>
      <c r="O335" s="557"/>
      <c r="P335" s="460"/>
      <c r="Q335" s="557"/>
      <c r="R335" s="460"/>
      <c r="S335" s="557"/>
      <c r="T335" s="460"/>
      <c r="U335" s="783"/>
      <c r="V335" s="460"/>
    </row>
    <row r="336" spans="1:22">
      <c r="A336" s="519"/>
      <c r="B336" s="520"/>
      <c r="C336" s="521"/>
      <c r="D336" s="522"/>
      <c r="E336" s="517"/>
      <c r="F336" s="465"/>
      <c r="G336" s="557"/>
      <c r="H336" s="460"/>
      <c r="I336" s="557"/>
      <c r="J336" s="460"/>
      <c r="K336" s="557"/>
      <c r="L336" s="460"/>
      <c r="M336" s="557"/>
      <c r="N336" s="460"/>
      <c r="O336" s="557"/>
      <c r="P336" s="460"/>
      <c r="Q336" s="557"/>
      <c r="R336" s="460"/>
      <c r="S336" s="557"/>
      <c r="T336" s="460"/>
      <c r="U336" s="783"/>
      <c r="V336" s="460"/>
    </row>
    <row r="337" spans="1:22">
      <c r="A337" s="519"/>
      <c r="B337" s="520"/>
      <c r="C337" s="521"/>
      <c r="D337" s="522"/>
      <c r="E337" s="517"/>
      <c r="F337" s="465"/>
      <c r="G337" s="557"/>
      <c r="H337" s="460"/>
      <c r="I337" s="557"/>
      <c r="J337" s="460"/>
      <c r="K337" s="557"/>
      <c r="L337" s="460"/>
      <c r="M337" s="557"/>
      <c r="N337" s="460"/>
      <c r="O337" s="557"/>
      <c r="P337" s="460"/>
      <c r="Q337" s="557"/>
      <c r="R337" s="460"/>
      <c r="S337" s="557"/>
      <c r="T337" s="460"/>
      <c r="U337" s="783"/>
      <c r="V337" s="460"/>
    </row>
    <row r="338" spans="1:22">
      <c r="A338" s="519"/>
      <c r="B338" s="520"/>
      <c r="C338" s="521"/>
      <c r="D338" s="522"/>
      <c r="E338" s="517"/>
      <c r="F338" s="465"/>
      <c r="G338" s="557"/>
      <c r="H338" s="460"/>
      <c r="I338" s="557"/>
      <c r="J338" s="460"/>
      <c r="K338" s="557"/>
      <c r="L338" s="460"/>
      <c r="M338" s="557"/>
      <c r="N338" s="460"/>
      <c r="O338" s="557"/>
      <c r="P338" s="460"/>
      <c r="Q338" s="557"/>
      <c r="R338" s="460"/>
      <c r="S338" s="557"/>
      <c r="T338" s="460"/>
      <c r="U338" s="783"/>
      <c r="V338" s="460"/>
    </row>
    <row r="339" spans="1:22">
      <c r="A339" s="519"/>
      <c r="B339" s="520"/>
      <c r="C339" s="521"/>
      <c r="D339" s="522"/>
      <c r="E339" s="517"/>
      <c r="F339" s="465"/>
      <c r="G339" s="557"/>
      <c r="H339" s="460"/>
      <c r="I339" s="557"/>
      <c r="J339" s="460"/>
      <c r="K339" s="557"/>
      <c r="L339" s="460"/>
      <c r="M339" s="557"/>
      <c r="N339" s="460"/>
      <c r="O339" s="557"/>
      <c r="P339" s="460"/>
      <c r="Q339" s="557"/>
      <c r="R339" s="460"/>
      <c r="S339" s="557"/>
      <c r="T339" s="460"/>
      <c r="U339" s="783"/>
      <c r="V339" s="460"/>
    </row>
    <row r="340" spans="1:22">
      <c r="A340" s="519"/>
      <c r="B340" s="520"/>
      <c r="C340" s="521"/>
      <c r="D340" s="522"/>
      <c r="E340" s="517"/>
      <c r="F340" s="465"/>
      <c r="G340" s="557"/>
      <c r="H340" s="460"/>
      <c r="I340" s="557"/>
      <c r="J340" s="460"/>
      <c r="K340" s="557"/>
      <c r="L340" s="460"/>
      <c r="M340" s="557"/>
      <c r="N340" s="460"/>
      <c r="O340" s="557"/>
      <c r="P340" s="460"/>
      <c r="Q340" s="557"/>
      <c r="R340" s="460"/>
      <c r="S340" s="557"/>
      <c r="T340" s="460"/>
      <c r="U340" s="783"/>
      <c r="V340" s="460"/>
    </row>
    <row r="341" spans="1:22">
      <c r="A341" s="519"/>
      <c r="B341" s="520"/>
      <c r="C341" s="521"/>
      <c r="D341" s="522"/>
      <c r="E341" s="517"/>
      <c r="F341" s="465"/>
      <c r="G341" s="557"/>
      <c r="H341" s="460"/>
      <c r="I341" s="557"/>
      <c r="J341" s="460"/>
      <c r="K341" s="557"/>
      <c r="L341" s="460"/>
      <c r="M341" s="557"/>
      <c r="N341" s="460"/>
      <c r="O341" s="557"/>
      <c r="P341" s="460"/>
      <c r="Q341" s="557"/>
      <c r="R341" s="460"/>
      <c r="S341" s="557"/>
      <c r="T341" s="460"/>
      <c r="U341" s="783"/>
      <c r="V341" s="460"/>
    </row>
    <row r="342" spans="1:22">
      <c r="A342" s="519"/>
      <c r="B342" s="520"/>
      <c r="C342" s="521"/>
      <c r="D342" s="522"/>
      <c r="E342" s="517"/>
      <c r="F342" s="465"/>
      <c r="G342" s="557"/>
      <c r="H342" s="460"/>
      <c r="I342" s="557"/>
      <c r="J342" s="460"/>
      <c r="K342" s="557"/>
      <c r="L342" s="460"/>
      <c r="M342" s="557"/>
      <c r="N342" s="460"/>
      <c r="O342" s="557"/>
      <c r="P342" s="460"/>
      <c r="Q342" s="557"/>
      <c r="R342" s="460"/>
      <c r="S342" s="557"/>
      <c r="T342" s="460"/>
      <c r="U342" s="783"/>
      <c r="V342" s="460"/>
    </row>
    <row r="343" spans="1:22">
      <c r="A343" s="519"/>
      <c r="B343" s="520"/>
      <c r="C343" s="521"/>
      <c r="D343" s="522"/>
      <c r="E343" s="517"/>
      <c r="F343" s="465"/>
      <c r="G343" s="557"/>
      <c r="H343" s="460"/>
      <c r="I343" s="557"/>
      <c r="J343" s="460"/>
      <c r="K343" s="557"/>
      <c r="L343" s="460"/>
      <c r="M343" s="557"/>
      <c r="N343" s="460"/>
      <c r="O343" s="557"/>
      <c r="P343" s="460"/>
      <c r="Q343" s="557"/>
      <c r="R343" s="460"/>
      <c r="S343" s="557"/>
      <c r="T343" s="460"/>
      <c r="U343" s="783"/>
      <c r="V343" s="460"/>
    </row>
    <row r="344" spans="1:22">
      <c r="A344" s="519"/>
      <c r="B344" s="520"/>
      <c r="C344" s="521"/>
      <c r="D344" s="522"/>
      <c r="E344" s="517"/>
      <c r="F344" s="465"/>
      <c r="G344" s="557"/>
      <c r="H344" s="460"/>
      <c r="I344" s="557"/>
      <c r="J344" s="460"/>
      <c r="K344" s="557"/>
      <c r="L344" s="460"/>
      <c r="M344" s="557"/>
      <c r="N344" s="460"/>
      <c r="O344" s="557"/>
      <c r="P344" s="460"/>
      <c r="Q344" s="557"/>
      <c r="R344" s="460"/>
      <c r="S344" s="557"/>
      <c r="T344" s="460"/>
      <c r="U344" s="783"/>
      <c r="V344" s="460"/>
    </row>
    <row r="345" spans="1:22">
      <c r="A345" s="519"/>
      <c r="B345" s="520"/>
      <c r="C345" s="521"/>
      <c r="D345" s="522"/>
      <c r="E345" s="517"/>
      <c r="F345" s="465"/>
      <c r="G345" s="557"/>
      <c r="H345" s="460"/>
      <c r="I345" s="557"/>
      <c r="J345" s="460"/>
      <c r="K345" s="557"/>
      <c r="L345" s="460"/>
      <c r="M345" s="557"/>
      <c r="N345" s="460"/>
      <c r="O345" s="557"/>
      <c r="P345" s="460"/>
      <c r="Q345" s="557"/>
      <c r="R345" s="460"/>
      <c r="S345" s="557"/>
      <c r="T345" s="460"/>
      <c r="U345" s="783"/>
      <c r="V345" s="460"/>
    </row>
    <row r="346" spans="1:22">
      <c r="A346" s="519"/>
      <c r="B346" s="520"/>
      <c r="C346" s="521"/>
      <c r="D346" s="522"/>
      <c r="E346" s="517"/>
      <c r="F346" s="465"/>
      <c r="G346" s="557"/>
      <c r="H346" s="460"/>
      <c r="I346" s="557"/>
      <c r="J346" s="460"/>
      <c r="K346" s="557"/>
      <c r="L346" s="460"/>
      <c r="M346" s="557"/>
      <c r="N346" s="460"/>
      <c r="O346" s="557"/>
      <c r="P346" s="460"/>
      <c r="Q346" s="557"/>
      <c r="R346" s="460"/>
      <c r="S346" s="557"/>
      <c r="T346" s="460"/>
      <c r="U346" s="783"/>
      <c r="V346" s="460"/>
    </row>
    <row r="347" spans="1:22">
      <c r="A347" s="519"/>
      <c r="B347" s="520"/>
      <c r="C347" s="521"/>
      <c r="D347" s="522"/>
      <c r="E347" s="517"/>
      <c r="F347" s="465"/>
      <c r="G347" s="557"/>
      <c r="H347" s="460"/>
      <c r="I347" s="557"/>
      <c r="J347" s="460"/>
      <c r="K347" s="557"/>
      <c r="L347" s="460"/>
      <c r="M347" s="557"/>
      <c r="N347" s="460"/>
      <c r="O347" s="557"/>
      <c r="P347" s="460"/>
      <c r="Q347" s="557"/>
      <c r="R347" s="460"/>
      <c r="S347" s="557"/>
      <c r="T347" s="460"/>
      <c r="U347" s="783"/>
      <c r="V347" s="460"/>
    </row>
    <row r="348" spans="1:22">
      <c r="A348" s="519"/>
      <c r="B348" s="520"/>
      <c r="C348" s="521"/>
      <c r="D348" s="522"/>
      <c r="E348" s="517"/>
      <c r="F348" s="465"/>
      <c r="G348" s="557"/>
      <c r="H348" s="460"/>
      <c r="I348" s="557"/>
      <c r="J348" s="460"/>
      <c r="K348" s="557"/>
      <c r="L348" s="460"/>
      <c r="M348" s="557"/>
      <c r="N348" s="460"/>
      <c r="O348" s="557"/>
      <c r="P348" s="460"/>
      <c r="Q348" s="557"/>
      <c r="R348" s="460"/>
      <c r="S348" s="557"/>
      <c r="T348" s="460"/>
      <c r="U348" s="783"/>
      <c r="V348" s="460"/>
    </row>
    <row r="349" spans="1:22">
      <c r="A349" s="519"/>
      <c r="B349" s="520"/>
      <c r="C349" s="521"/>
      <c r="D349" s="522"/>
      <c r="E349" s="517"/>
      <c r="F349" s="465"/>
      <c r="G349" s="557"/>
      <c r="H349" s="460"/>
      <c r="I349" s="557"/>
      <c r="J349" s="460"/>
      <c r="K349" s="557"/>
      <c r="L349" s="460"/>
      <c r="M349" s="557"/>
      <c r="N349" s="460"/>
      <c r="O349" s="557"/>
      <c r="P349" s="460"/>
      <c r="Q349" s="557"/>
      <c r="R349" s="460"/>
      <c r="S349" s="557"/>
      <c r="T349" s="460"/>
      <c r="U349" s="783"/>
      <c r="V349" s="460"/>
    </row>
    <row r="350" spans="1:22">
      <c r="A350" s="519"/>
      <c r="B350" s="520"/>
      <c r="C350" s="521"/>
      <c r="D350" s="522"/>
      <c r="E350" s="517"/>
      <c r="F350" s="465"/>
      <c r="G350" s="557"/>
      <c r="H350" s="460"/>
      <c r="I350" s="557"/>
      <c r="J350" s="460"/>
      <c r="K350" s="557"/>
      <c r="L350" s="460"/>
      <c r="M350" s="557"/>
      <c r="N350" s="460"/>
      <c r="O350" s="557"/>
      <c r="P350" s="460"/>
      <c r="Q350" s="557"/>
      <c r="R350" s="460"/>
      <c r="S350" s="557"/>
      <c r="T350" s="460"/>
      <c r="U350" s="783"/>
      <c r="V350" s="460"/>
    </row>
    <row r="351" spans="1:22">
      <c r="A351" s="519"/>
      <c r="B351" s="520"/>
      <c r="C351" s="521"/>
      <c r="D351" s="522"/>
      <c r="E351" s="517"/>
      <c r="F351" s="465"/>
      <c r="G351" s="557"/>
      <c r="H351" s="460"/>
      <c r="I351" s="557"/>
      <c r="J351" s="460"/>
      <c r="K351" s="557"/>
      <c r="L351" s="460"/>
      <c r="M351" s="557"/>
      <c r="N351" s="460"/>
      <c r="O351" s="557"/>
      <c r="P351" s="460"/>
      <c r="Q351" s="557"/>
      <c r="R351" s="460"/>
      <c r="S351" s="557"/>
      <c r="T351" s="460"/>
      <c r="U351" s="783"/>
      <c r="V351" s="460"/>
    </row>
    <row r="352" spans="1:22">
      <c r="A352" s="519"/>
      <c r="B352" s="520"/>
      <c r="C352" s="521"/>
      <c r="D352" s="522"/>
      <c r="E352" s="517"/>
      <c r="F352" s="465"/>
      <c r="G352" s="557"/>
      <c r="H352" s="460"/>
      <c r="I352" s="557"/>
      <c r="J352" s="460"/>
      <c r="K352" s="557"/>
      <c r="L352" s="460"/>
      <c r="M352" s="557"/>
      <c r="N352" s="460"/>
      <c r="O352" s="557"/>
      <c r="P352" s="460"/>
      <c r="Q352" s="557"/>
      <c r="R352" s="460"/>
      <c r="S352" s="557"/>
      <c r="T352" s="460"/>
      <c r="U352" s="783"/>
      <c r="V352" s="460"/>
    </row>
    <row r="353" spans="1:22">
      <c r="A353" s="519"/>
      <c r="B353" s="520"/>
      <c r="C353" s="521"/>
      <c r="D353" s="522"/>
      <c r="E353" s="517"/>
      <c r="F353" s="465"/>
      <c r="G353" s="557"/>
      <c r="H353" s="460"/>
      <c r="I353" s="557"/>
      <c r="J353" s="460"/>
      <c r="K353" s="557"/>
      <c r="L353" s="460"/>
      <c r="M353" s="557"/>
      <c r="N353" s="460"/>
      <c r="O353" s="557"/>
      <c r="P353" s="460"/>
      <c r="Q353" s="557"/>
      <c r="R353" s="460"/>
      <c r="S353" s="557"/>
      <c r="T353" s="460"/>
      <c r="U353" s="783"/>
      <c r="V353" s="460"/>
    </row>
    <row r="354" spans="1:22">
      <c r="A354" s="519"/>
      <c r="B354" s="520"/>
      <c r="C354" s="521"/>
      <c r="D354" s="522"/>
      <c r="E354" s="517"/>
      <c r="F354" s="465"/>
      <c r="G354" s="557"/>
      <c r="H354" s="460"/>
      <c r="I354" s="557"/>
      <c r="J354" s="460"/>
      <c r="K354" s="557"/>
      <c r="L354" s="460"/>
      <c r="M354" s="557"/>
      <c r="N354" s="460"/>
      <c r="O354" s="557"/>
      <c r="P354" s="460"/>
      <c r="Q354" s="557"/>
      <c r="R354" s="460"/>
      <c r="S354" s="557"/>
      <c r="T354" s="460"/>
      <c r="U354" s="783"/>
      <c r="V354" s="460"/>
    </row>
    <row r="355" spans="1:22">
      <c r="A355" s="519"/>
      <c r="B355" s="520"/>
      <c r="C355" s="521"/>
      <c r="D355" s="522"/>
      <c r="E355" s="517"/>
      <c r="F355" s="465"/>
      <c r="G355" s="557"/>
      <c r="H355" s="460"/>
      <c r="I355" s="557"/>
      <c r="J355" s="460"/>
      <c r="K355" s="557"/>
      <c r="L355" s="460"/>
      <c r="M355" s="557"/>
      <c r="N355" s="460"/>
      <c r="O355" s="557"/>
      <c r="P355" s="460"/>
      <c r="Q355" s="557"/>
      <c r="R355" s="460"/>
      <c r="S355" s="557"/>
      <c r="T355" s="460"/>
      <c r="U355" s="783"/>
      <c r="V355" s="460"/>
    </row>
    <row r="356" spans="1:22">
      <c r="A356" s="519"/>
      <c r="B356" s="520"/>
      <c r="C356" s="521"/>
      <c r="D356" s="522"/>
      <c r="E356" s="517"/>
      <c r="F356" s="465"/>
      <c r="G356" s="557"/>
      <c r="H356" s="460"/>
      <c r="I356" s="557"/>
      <c r="J356" s="460"/>
      <c r="K356" s="557"/>
      <c r="L356" s="460"/>
      <c r="M356" s="557"/>
      <c r="N356" s="460"/>
      <c r="O356" s="557"/>
      <c r="P356" s="460"/>
      <c r="Q356" s="557"/>
      <c r="R356" s="460"/>
      <c r="S356" s="557"/>
      <c r="T356" s="460"/>
      <c r="U356" s="783"/>
      <c r="V356" s="460"/>
    </row>
    <row r="357" spans="1:22">
      <c r="A357" s="519"/>
      <c r="B357" s="520"/>
      <c r="C357" s="521"/>
      <c r="D357" s="522"/>
      <c r="E357" s="517"/>
      <c r="F357" s="465"/>
      <c r="G357" s="557"/>
      <c r="H357" s="460"/>
      <c r="I357" s="557"/>
      <c r="J357" s="460"/>
      <c r="K357" s="557"/>
      <c r="L357" s="460"/>
      <c r="M357" s="557"/>
      <c r="N357" s="460"/>
      <c r="O357" s="557"/>
      <c r="P357" s="460"/>
      <c r="Q357" s="557"/>
      <c r="R357" s="460"/>
      <c r="S357" s="557"/>
      <c r="T357" s="460"/>
      <c r="U357" s="783"/>
      <c r="V357" s="460"/>
    </row>
    <row r="358" spans="1:22">
      <c r="A358" s="519"/>
      <c r="B358" s="520"/>
      <c r="C358" s="521"/>
      <c r="D358" s="522"/>
      <c r="E358" s="517"/>
      <c r="F358" s="465"/>
      <c r="G358" s="557"/>
      <c r="H358" s="460"/>
      <c r="I358" s="557"/>
      <c r="J358" s="460"/>
      <c r="K358" s="557"/>
      <c r="L358" s="460"/>
      <c r="M358" s="557"/>
      <c r="N358" s="460"/>
      <c r="O358" s="557"/>
      <c r="P358" s="460"/>
      <c r="Q358" s="557"/>
      <c r="R358" s="460"/>
      <c r="S358" s="557"/>
      <c r="T358" s="460"/>
      <c r="U358" s="783"/>
      <c r="V358" s="460"/>
    </row>
    <row r="359" spans="1:22">
      <c r="A359" s="519"/>
      <c r="B359" s="520"/>
      <c r="C359" s="521"/>
      <c r="D359" s="522"/>
      <c r="E359" s="517"/>
      <c r="F359" s="465"/>
      <c r="G359" s="557"/>
      <c r="H359" s="460"/>
      <c r="I359" s="557"/>
      <c r="J359" s="460"/>
      <c r="K359" s="557"/>
      <c r="L359" s="460"/>
      <c r="M359" s="557"/>
      <c r="N359" s="460"/>
      <c r="O359" s="557"/>
      <c r="P359" s="460"/>
      <c r="Q359" s="557"/>
      <c r="R359" s="460"/>
      <c r="S359" s="557"/>
      <c r="T359" s="460"/>
      <c r="U359" s="783"/>
      <c r="V359" s="460"/>
    </row>
    <row r="360" spans="1:22">
      <c r="A360" s="519"/>
      <c r="B360" s="520"/>
      <c r="C360" s="521"/>
      <c r="D360" s="522"/>
      <c r="E360" s="517"/>
      <c r="F360" s="465"/>
      <c r="G360" s="557"/>
      <c r="H360" s="460"/>
      <c r="I360" s="557"/>
      <c r="J360" s="460"/>
      <c r="K360" s="557"/>
      <c r="L360" s="460"/>
      <c r="M360" s="557"/>
      <c r="N360" s="460"/>
      <c r="O360" s="557"/>
      <c r="P360" s="460"/>
      <c r="Q360" s="557"/>
      <c r="R360" s="460"/>
      <c r="S360" s="557"/>
      <c r="T360" s="460"/>
      <c r="U360" s="783"/>
      <c r="V360" s="460"/>
    </row>
    <row r="361" spans="1:22">
      <c r="A361" s="519"/>
      <c r="B361" s="520"/>
      <c r="C361" s="521"/>
      <c r="D361" s="522"/>
      <c r="E361" s="517"/>
      <c r="F361" s="465"/>
      <c r="G361" s="557"/>
      <c r="H361" s="460"/>
      <c r="I361" s="557"/>
      <c r="J361" s="460"/>
      <c r="K361" s="557"/>
      <c r="L361" s="460"/>
      <c r="M361" s="557"/>
      <c r="N361" s="460"/>
      <c r="O361" s="557"/>
      <c r="P361" s="460"/>
      <c r="Q361" s="557"/>
      <c r="R361" s="460"/>
      <c r="S361" s="557"/>
      <c r="T361" s="460"/>
      <c r="U361" s="783"/>
      <c r="V361" s="460"/>
    </row>
    <row r="362" spans="1:22">
      <c r="A362" s="519"/>
      <c r="B362" s="520"/>
      <c r="C362" s="521"/>
      <c r="D362" s="522"/>
      <c r="E362" s="517"/>
      <c r="F362" s="465"/>
      <c r="G362" s="557"/>
      <c r="H362" s="460"/>
      <c r="I362" s="557"/>
      <c r="J362" s="460"/>
      <c r="K362" s="557"/>
      <c r="L362" s="460"/>
      <c r="M362" s="557"/>
      <c r="N362" s="460"/>
      <c r="O362" s="557"/>
      <c r="P362" s="460"/>
      <c r="Q362" s="557"/>
      <c r="R362" s="460"/>
      <c r="S362" s="557"/>
      <c r="T362" s="460"/>
      <c r="U362" s="783"/>
      <c r="V362" s="460"/>
    </row>
    <row r="363" spans="1:22">
      <c r="A363" s="519"/>
      <c r="B363" s="520"/>
      <c r="C363" s="521"/>
      <c r="D363" s="522"/>
      <c r="E363" s="517"/>
      <c r="F363" s="465"/>
      <c r="G363" s="557"/>
      <c r="H363" s="460"/>
      <c r="I363" s="557"/>
      <c r="J363" s="460"/>
      <c r="K363" s="557"/>
      <c r="L363" s="460"/>
      <c r="M363" s="557"/>
      <c r="N363" s="460"/>
      <c r="O363" s="557"/>
      <c r="P363" s="460"/>
      <c r="Q363" s="557"/>
      <c r="R363" s="460"/>
      <c r="S363" s="557"/>
      <c r="T363" s="460"/>
      <c r="U363" s="783"/>
      <c r="V363" s="460"/>
    </row>
    <row r="364" spans="1:22">
      <c r="A364" s="519"/>
      <c r="B364" s="520"/>
      <c r="C364" s="521"/>
      <c r="D364" s="522"/>
      <c r="E364" s="517"/>
      <c r="F364" s="465"/>
      <c r="G364" s="557"/>
      <c r="H364" s="460"/>
      <c r="I364" s="557"/>
      <c r="J364" s="460"/>
      <c r="K364" s="557"/>
      <c r="L364" s="460"/>
      <c r="M364" s="557"/>
      <c r="N364" s="460"/>
      <c r="O364" s="557"/>
      <c r="P364" s="460"/>
      <c r="Q364" s="557"/>
      <c r="R364" s="460"/>
      <c r="S364" s="557"/>
      <c r="T364" s="460"/>
      <c r="U364" s="783"/>
      <c r="V364" s="460"/>
    </row>
    <row r="365" spans="1:22">
      <c r="A365" s="519"/>
      <c r="B365" s="520"/>
      <c r="C365" s="521"/>
      <c r="D365" s="522"/>
      <c r="E365" s="517"/>
      <c r="F365" s="465"/>
      <c r="G365" s="557"/>
      <c r="H365" s="460"/>
      <c r="I365" s="557"/>
      <c r="J365" s="460"/>
      <c r="K365" s="557"/>
      <c r="L365" s="460"/>
      <c r="M365" s="557"/>
      <c r="N365" s="460"/>
      <c r="O365" s="557"/>
      <c r="P365" s="460"/>
      <c r="Q365" s="557"/>
      <c r="R365" s="460"/>
      <c r="S365" s="557"/>
      <c r="T365" s="460"/>
      <c r="U365" s="783"/>
      <c r="V365" s="460"/>
    </row>
    <row r="366" spans="1:22">
      <c r="A366" s="519"/>
      <c r="B366" s="520"/>
      <c r="C366" s="521"/>
      <c r="D366" s="522"/>
      <c r="E366" s="517"/>
      <c r="F366" s="465"/>
      <c r="G366" s="557"/>
      <c r="H366" s="460"/>
      <c r="I366" s="557"/>
      <c r="J366" s="460"/>
      <c r="K366" s="557"/>
      <c r="L366" s="460"/>
      <c r="M366" s="557"/>
      <c r="N366" s="460"/>
      <c r="O366" s="557"/>
      <c r="P366" s="460"/>
      <c r="Q366" s="557"/>
      <c r="R366" s="460"/>
      <c r="S366" s="557"/>
      <c r="T366" s="460"/>
      <c r="U366" s="783"/>
      <c r="V366" s="460"/>
    </row>
    <row r="367" spans="1:22">
      <c r="A367" s="519"/>
      <c r="B367" s="520"/>
      <c r="C367" s="521"/>
      <c r="D367" s="522"/>
      <c r="E367" s="517"/>
      <c r="F367" s="465"/>
      <c r="G367" s="557"/>
      <c r="H367" s="460"/>
      <c r="I367" s="557"/>
      <c r="J367" s="460"/>
      <c r="K367" s="557"/>
      <c r="L367" s="460"/>
      <c r="M367" s="557"/>
      <c r="N367" s="460"/>
      <c r="O367" s="557"/>
      <c r="P367" s="460"/>
      <c r="Q367" s="557"/>
      <c r="R367" s="460"/>
      <c r="S367" s="557"/>
      <c r="T367" s="460"/>
      <c r="U367" s="783"/>
      <c r="V367" s="460"/>
    </row>
    <row r="368" spans="1:22">
      <c r="A368" s="519"/>
      <c r="B368" s="520"/>
      <c r="C368" s="521"/>
      <c r="D368" s="522"/>
      <c r="E368" s="517"/>
      <c r="F368" s="465"/>
      <c r="G368" s="557"/>
      <c r="H368" s="460"/>
      <c r="I368" s="557"/>
      <c r="J368" s="460"/>
      <c r="K368" s="557"/>
      <c r="L368" s="460"/>
      <c r="M368" s="557"/>
      <c r="N368" s="460"/>
      <c r="O368" s="557"/>
      <c r="P368" s="460"/>
      <c r="Q368" s="557"/>
      <c r="R368" s="460"/>
      <c r="S368" s="557"/>
      <c r="T368" s="460"/>
      <c r="U368" s="783"/>
      <c r="V368" s="460"/>
    </row>
    <row r="369" spans="1:22">
      <c r="A369" s="519"/>
      <c r="B369" s="520"/>
      <c r="C369" s="521"/>
      <c r="D369" s="522"/>
      <c r="E369" s="517"/>
      <c r="F369" s="465"/>
      <c r="G369" s="557"/>
      <c r="H369" s="460"/>
      <c r="I369" s="557"/>
      <c r="J369" s="460"/>
      <c r="K369" s="557"/>
      <c r="L369" s="460"/>
      <c r="M369" s="557"/>
      <c r="N369" s="460"/>
      <c r="O369" s="557"/>
      <c r="P369" s="460"/>
      <c r="Q369" s="557"/>
      <c r="R369" s="460"/>
      <c r="S369" s="557"/>
      <c r="T369" s="460"/>
      <c r="U369" s="783"/>
      <c r="V369" s="460"/>
    </row>
    <row r="370" spans="1:22">
      <c r="A370" s="519"/>
      <c r="B370" s="520"/>
      <c r="C370" s="521"/>
      <c r="D370" s="522"/>
      <c r="E370" s="517"/>
      <c r="F370" s="465"/>
      <c r="G370" s="557"/>
      <c r="H370" s="460"/>
      <c r="I370" s="557"/>
      <c r="J370" s="460"/>
      <c r="K370" s="557"/>
      <c r="L370" s="460"/>
      <c r="M370" s="557"/>
      <c r="N370" s="460"/>
      <c r="O370" s="557"/>
      <c r="P370" s="460"/>
      <c r="Q370" s="557"/>
      <c r="R370" s="460"/>
      <c r="S370" s="557"/>
      <c r="T370" s="460"/>
      <c r="U370" s="783"/>
      <c r="V370" s="460"/>
    </row>
    <row r="371" spans="1:22">
      <c r="A371" s="519"/>
      <c r="B371" s="520"/>
      <c r="C371" s="521"/>
      <c r="D371" s="522"/>
      <c r="E371" s="517"/>
      <c r="F371" s="465"/>
      <c r="G371" s="557"/>
      <c r="H371" s="460"/>
      <c r="I371" s="557"/>
      <c r="J371" s="460"/>
      <c r="K371" s="557"/>
      <c r="L371" s="460"/>
      <c r="M371" s="557"/>
      <c r="N371" s="460"/>
      <c r="O371" s="557"/>
      <c r="P371" s="460"/>
      <c r="Q371" s="557"/>
      <c r="R371" s="460"/>
      <c r="S371" s="557"/>
      <c r="T371" s="460"/>
      <c r="U371" s="783"/>
      <c r="V371" s="460"/>
    </row>
    <row r="372" spans="1:22">
      <c r="A372" s="519"/>
      <c r="B372" s="520"/>
      <c r="C372" s="521"/>
      <c r="D372" s="522"/>
      <c r="E372" s="517"/>
      <c r="F372" s="465"/>
      <c r="G372" s="557"/>
      <c r="H372" s="460"/>
      <c r="I372" s="557"/>
      <c r="J372" s="460"/>
      <c r="K372" s="557"/>
      <c r="L372" s="460"/>
      <c r="M372" s="557"/>
      <c r="N372" s="460"/>
      <c r="O372" s="557"/>
      <c r="P372" s="460"/>
      <c r="Q372" s="557"/>
      <c r="R372" s="460"/>
      <c r="S372" s="557"/>
      <c r="T372" s="460"/>
      <c r="U372" s="783"/>
      <c r="V372" s="460"/>
    </row>
    <row r="373" spans="1:22">
      <c r="A373" s="519"/>
      <c r="B373" s="520"/>
      <c r="C373" s="521"/>
      <c r="D373" s="522"/>
      <c r="E373" s="517"/>
      <c r="F373" s="465"/>
      <c r="G373" s="557"/>
      <c r="H373" s="460"/>
      <c r="I373" s="557"/>
      <c r="J373" s="460"/>
      <c r="K373" s="557"/>
      <c r="L373" s="460"/>
      <c r="M373" s="557"/>
      <c r="N373" s="460"/>
      <c r="O373" s="557"/>
      <c r="P373" s="460"/>
      <c r="Q373" s="557"/>
      <c r="R373" s="460"/>
      <c r="S373" s="557"/>
      <c r="T373" s="460"/>
      <c r="U373" s="783"/>
      <c r="V373" s="460"/>
    </row>
    <row r="374" spans="1:22">
      <c r="A374" s="519"/>
      <c r="B374" s="520"/>
      <c r="C374" s="521"/>
      <c r="D374" s="522"/>
      <c r="E374" s="517"/>
      <c r="F374" s="465"/>
      <c r="G374" s="557"/>
      <c r="H374" s="460"/>
      <c r="I374" s="557"/>
      <c r="J374" s="460"/>
      <c r="K374" s="557"/>
      <c r="L374" s="460"/>
      <c r="M374" s="557"/>
      <c r="N374" s="460"/>
      <c r="O374" s="557"/>
      <c r="P374" s="460"/>
      <c r="Q374" s="557"/>
      <c r="R374" s="460"/>
      <c r="S374" s="557"/>
      <c r="T374" s="460"/>
      <c r="U374" s="783"/>
      <c r="V374" s="460"/>
    </row>
    <row r="375" spans="1:22">
      <c r="A375" s="519"/>
      <c r="B375" s="520"/>
      <c r="C375" s="521"/>
      <c r="D375" s="522"/>
      <c r="E375" s="517"/>
      <c r="F375" s="465"/>
      <c r="G375" s="557"/>
      <c r="H375" s="460"/>
      <c r="I375" s="557"/>
      <c r="J375" s="460"/>
      <c r="K375" s="557"/>
      <c r="L375" s="460"/>
      <c r="M375" s="557"/>
      <c r="N375" s="460"/>
      <c r="O375" s="557"/>
      <c r="P375" s="460"/>
      <c r="Q375" s="557"/>
      <c r="R375" s="460"/>
      <c r="S375" s="557"/>
      <c r="T375" s="460"/>
      <c r="U375" s="783"/>
      <c r="V375" s="460"/>
    </row>
    <row r="376" spans="1:22">
      <c r="A376" s="519"/>
      <c r="B376" s="520"/>
      <c r="C376" s="521"/>
      <c r="D376" s="522"/>
      <c r="E376" s="517"/>
      <c r="F376" s="465"/>
      <c r="G376" s="557"/>
      <c r="H376" s="460"/>
      <c r="I376" s="557"/>
      <c r="J376" s="460"/>
      <c r="K376" s="557"/>
      <c r="L376" s="460"/>
      <c r="M376" s="557"/>
      <c r="N376" s="460"/>
      <c r="O376" s="557"/>
      <c r="P376" s="460"/>
      <c r="Q376" s="557"/>
      <c r="R376" s="460"/>
      <c r="S376" s="557"/>
      <c r="T376" s="460"/>
      <c r="U376" s="783"/>
      <c r="V376" s="460"/>
    </row>
    <row r="377" spans="1:22">
      <c r="A377" s="519"/>
      <c r="B377" s="520"/>
      <c r="C377" s="521"/>
      <c r="D377" s="522"/>
      <c r="E377" s="517"/>
      <c r="F377" s="465"/>
      <c r="G377" s="557"/>
      <c r="H377" s="460"/>
      <c r="I377" s="557"/>
      <c r="J377" s="460"/>
      <c r="K377" s="557"/>
      <c r="L377" s="460"/>
      <c r="M377" s="557"/>
      <c r="N377" s="460"/>
      <c r="O377" s="557"/>
      <c r="P377" s="460"/>
      <c r="Q377" s="557"/>
      <c r="R377" s="460"/>
      <c r="S377" s="557"/>
      <c r="T377" s="460"/>
      <c r="U377" s="783"/>
      <c r="V377" s="460"/>
    </row>
    <row r="378" spans="1:22">
      <c r="A378" s="519"/>
      <c r="B378" s="520"/>
      <c r="C378" s="521"/>
      <c r="D378" s="522"/>
      <c r="E378" s="517"/>
      <c r="F378" s="465"/>
      <c r="G378" s="557"/>
      <c r="H378" s="460"/>
      <c r="I378" s="557"/>
      <c r="J378" s="460"/>
      <c r="K378" s="557"/>
      <c r="L378" s="460"/>
      <c r="M378" s="557"/>
      <c r="N378" s="460"/>
      <c r="O378" s="557"/>
      <c r="P378" s="460"/>
      <c r="Q378" s="557"/>
      <c r="R378" s="460"/>
      <c r="S378" s="557"/>
      <c r="T378" s="460"/>
      <c r="U378" s="783"/>
      <c r="V378" s="460"/>
    </row>
    <row r="379" spans="1:22">
      <c r="A379" s="519"/>
      <c r="B379" s="520"/>
      <c r="C379" s="521"/>
      <c r="D379" s="522"/>
      <c r="E379" s="517"/>
      <c r="F379" s="465"/>
      <c r="G379" s="557"/>
      <c r="H379" s="460"/>
      <c r="I379" s="557"/>
      <c r="J379" s="460"/>
      <c r="K379" s="557"/>
      <c r="L379" s="460"/>
      <c r="M379" s="557"/>
      <c r="N379" s="460"/>
      <c r="O379" s="557"/>
      <c r="P379" s="460"/>
      <c r="Q379" s="557"/>
      <c r="R379" s="460"/>
      <c r="S379" s="557"/>
      <c r="T379" s="460"/>
      <c r="U379" s="783"/>
      <c r="V379" s="460"/>
    </row>
    <row r="380" spans="1:22">
      <c r="A380" s="519"/>
      <c r="B380" s="520"/>
      <c r="C380" s="521"/>
      <c r="D380" s="522"/>
      <c r="E380" s="517"/>
      <c r="F380" s="465"/>
      <c r="G380" s="557"/>
      <c r="H380" s="460"/>
      <c r="I380" s="557"/>
      <c r="J380" s="460"/>
      <c r="K380" s="557"/>
      <c r="L380" s="460"/>
      <c r="M380" s="557"/>
      <c r="N380" s="460"/>
      <c r="O380" s="557"/>
      <c r="P380" s="460"/>
      <c r="Q380" s="557"/>
      <c r="R380" s="460"/>
      <c r="S380" s="557"/>
      <c r="T380" s="460"/>
      <c r="U380" s="783"/>
      <c r="V380" s="460"/>
    </row>
    <row r="381" spans="1:22">
      <c r="A381" s="519"/>
      <c r="B381" s="520"/>
      <c r="C381" s="521"/>
      <c r="D381" s="522"/>
      <c r="E381" s="517"/>
      <c r="F381" s="465"/>
      <c r="G381" s="557"/>
      <c r="H381" s="460"/>
      <c r="I381" s="557"/>
      <c r="J381" s="460"/>
      <c r="K381" s="557"/>
      <c r="L381" s="460"/>
      <c r="M381" s="557"/>
      <c r="N381" s="460"/>
      <c r="O381" s="557"/>
      <c r="P381" s="460"/>
      <c r="Q381" s="557"/>
      <c r="R381" s="460"/>
      <c r="S381" s="557"/>
      <c r="T381" s="460"/>
      <c r="U381" s="783"/>
      <c r="V381" s="460"/>
    </row>
    <row r="382" spans="1:22">
      <c r="A382" s="519"/>
      <c r="B382" s="520"/>
      <c r="C382" s="521"/>
      <c r="D382" s="522"/>
      <c r="E382" s="517"/>
      <c r="F382" s="465"/>
      <c r="G382" s="557"/>
      <c r="H382" s="460"/>
      <c r="I382" s="557"/>
      <c r="J382" s="460"/>
      <c r="K382" s="557"/>
      <c r="L382" s="460"/>
      <c r="M382" s="557"/>
      <c r="N382" s="460"/>
      <c r="O382" s="557"/>
      <c r="P382" s="460"/>
      <c r="Q382" s="557"/>
      <c r="R382" s="460"/>
      <c r="S382" s="557"/>
      <c r="T382" s="460"/>
      <c r="U382" s="783"/>
      <c r="V382" s="460"/>
    </row>
    <row r="383" spans="1:22">
      <c r="A383" s="519"/>
      <c r="B383" s="520"/>
      <c r="C383" s="521"/>
      <c r="D383" s="522"/>
      <c r="E383" s="517"/>
      <c r="F383" s="465"/>
      <c r="G383" s="557"/>
      <c r="H383" s="460"/>
      <c r="I383" s="557"/>
      <c r="J383" s="460"/>
      <c r="K383" s="557"/>
      <c r="L383" s="460"/>
      <c r="M383" s="557"/>
      <c r="N383" s="460"/>
      <c r="O383" s="557"/>
      <c r="P383" s="460"/>
      <c r="Q383" s="557"/>
      <c r="R383" s="460"/>
      <c r="S383" s="557"/>
      <c r="T383" s="460"/>
      <c r="U383" s="783"/>
      <c r="V383" s="460"/>
    </row>
    <row r="384" spans="1:22">
      <c r="A384" s="519"/>
      <c r="B384" s="520"/>
      <c r="C384" s="521"/>
      <c r="D384" s="522"/>
      <c r="E384" s="517"/>
      <c r="F384" s="465"/>
      <c r="G384" s="557"/>
      <c r="H384" s="460"/>
      <c r="I384" s="557"/>
      <c r="J384" s="460"/>
      <c r="K384" s="557"/>
      <c r="L384" s="460"/>
      <c r="M384" s="557"/>
      <c r="N384" s="460"/>
      <c r="O384" s="557"/>
      <c r="P384" s="460"/>
      <c r="Q384" s="557"/>
      <c r="R384" s="460"/>
      <c r="S384" s="557"/>
      <c r="T384" s="460"/>
      <c r="U384" s="783"/>
      <c r="V384" s="460"/>
    </row>
    <row r="385" spans="1:22">
      <c r="A385" s="519"/>
      <c r="B385" s="520"/>
      <c r="C385" s="521"/>
      <c r="D385" s="522"/>
      <c r="E385" s="517"/>
      <c r="F385" s="465"/>
      <c r="G385" s="557"/>
      <c r="H385" s="460"/>
      <c r="I385" s="557"/>
      <c r="J385" s="460"/>
      <c r="K385" s="557"/>
      <c r="L385" s="460"/>
      <c r="M385" s="557"/>
      <c r="N385" s="460"/>
      <c r="O385" s="557"/>
      <c r="P385" s="460"/>
      <c r="Q385" s="557"/>
      <c r="R385" s="460"/>
      <c r="S385" s="557"/>
      <c r="T385" s="460"/>
      <c r="U385" s="783"/>
      <c r="V385" s="460"/>
    </row>
    <row r="386" spans="1:22">
      <c r="A386" s="519"/>
      <c r="B386" s="520"/>
      <c r="C386" s="521"/>
      <c r="D386" s="522"/>
      <c r="E386" s="517"/>
      <c r="F386" s="465"/>
      <c r="G386" s="557"/>
      <c r="H386" s="460"/>
      <c r="I386" s="557"/>
      <c r="J386" s="460"/>
      <c r="K386" s="557"/>
      <c r="L386" s="460"/>
      <c r="M386" s="557"/>
      <c r="N386" s="460"/>
      <c r="O386" s="557"/>
      <c r="P386" s="460"/>
      <c r="Q386" s="557"/>
      <c r="R386" s="460"/>
      <c r="S386" s="557"/>
      <c r="T386" s="460"/>
      <c r="U386" s="783"/>
      <c r="V386" s="460"/>
    </row>
    <row r="387" spans="1:22">
      <c r="A387" s="519"/>
      <c r="B387" s="520"/>
      <c r="C387" s="521"/>
      <c r="D387" s="522"/>
      <c r="E387" s="517"/>
      <c r="F387" s="465"/>
      <c r="G387" s="557"/>
      <c r="H387" s="460"/>
      <c r="I387" s="557"/>
      <c r="J387" s="460"/>
      <c r="K387" s="557"/>
      <c r="L387" s="460"/>
      <c r="M387" s="557"/>
      <c r="N387" s="460"/>
      <c r="O387" s="557"/>
      <c r="P387" s="460"/>
      <c r="Q387" s="557"/>
      <c r="R387" s="460"/>
      <c r="S387" s="557"/>
      <c r="T387" s="460"/>
      <c r="U387" s="783"/>
      <c r="V387" s="460"/>
    </row>
    <row r="388" spans="1:22">
      <c r="A388" s="519"/>
      <c r="B388" s="520"/>
      <c r="C388" s="521"/>
      <c r="D388" s="522"/>
      <c r="E388" s="517"/>
      <c r="F388" s="465"/>
      <c r="G388" s="557"/>
      <c r="H388" s="460"/>
      <c r="I388" s="557"/>
      <c r="J388" s="460"/>
      <c r="K388" s="557"/>
      <c r="L388" s="460"/>
      <c r="M388" s="557"/>
      <c r="N388" s="460"/>
      <c r="O388" s="557"/>
      <c r="P388" s="460"/>
      <c r="Q388" s="557"/>
      <c r="R388" s="460"/>
      <c r="S388" s="557"/>
      <c r="T388" s="460"/>
      <c r="U388" s="783"/>
      <c r="V388" s="460"/>
    </row>
    <row r="389" spans="1:22">
      <c r="A389" s="519"/>
      <c r="B389" s="520"/>
      <c r="C389" s="521"/>
      <c r="D389" s="522"/>
      <c r="E389" s="517"/>
      <c r="F389" s="465"/>
      <c r="G389" s="557"/>
      <c r="H389" s="460"/>
      <c r="I389" s="557"/>
      <c r="J389" s="460"/>
      <c r="K389" s="557"/>
      <c r="L389" s="460"/>
      <c r="M389" s="557"/>
      <c r="N389" s="460"/>
      <c r="O389" s="557"/>
      <c r="P389" s="460"/>
      <c r="Q389" s="557"/>
      <c r="R389" s="460"/>
      <c r="S389" s="557"/>
      <c r="T389" s="460"/>
      <c r="U389" s="783"/>
      <c r="V389" s="460"/>
    </row>
    <row r="390" spans="1:22">
      <c r="A390" s="519"/>
      <c r="B390" s="520"/>
      <c r="C390" s="521"/>
      <c r="D390" s="522"/>
      <c r="E390" s="517"/>
      <c r="F390" s="465"/>
      <c r="G390" s="557"/>
      <c r="H390" s="460"/>
      <c r="I390" s="557"/>
      <c r="J390" s="460"/>
      <c r="K390" s="557"/>
      <c r="L390" s="460"/>
      <c r="M390" s="557"/>
      <c r="N390" s="460"/>
      <c r="O390" s="557"/>
      <c r="P390" s="460"/>
      <c r="Q390" s="557"/>
      <c r="R390" s="460"/>
      <c r="S390" s="557"/>
      <c r="T390" s="460"/>
      <c r="U390" s="783"/>
      <c r="V390" s="460"/>
    </row>
    <row r="391" spans="1:22">
      <c r="A391" s="519"/>
      <c r="B391" s="520"/>
      <c r="C391" s="521"/>
      <c r="D391" s="522"/>
      <c r="E391" s="517"/>
      <c r="F391" s="465"/>
      <c r="G391" s="557"/>
      <c r="H391" s="460"/>
      <c r="I391" s="557"/>
      <c r="J391" s="460"/>
      <c r="K391" s="557"/>
      <c r="L391" s="460"/>
      <c r="M391" s="557"/>
      <c r="N391" s="460"/>
      <c r="O391" s="557"/>
      <c r="P391" s="460"/>
      <c r="Q391" s="557"/>
      <c r="R391" s="460"/>
      <c r="S391" s="557"/>
      <c r="T391" s="460"/>
      <c r="U391" s="783"/>
      <c r="V391" s="460"/>
    </row>
    <row r="392" spans="1:22">
      <c r="A392" s="519"/>
      <c r="B392" s="520"/>
      <c r="C392" s="521"/>
      <c r="D392" s="522"/>
      <c r="E392" s="517"/>
      <c r="F392" s="465"/>
      <c r="G392" s="557"/>
      <c r="H392" s="460"/>
      <c r="I392" s="557"/>
      <c r="J392" s="460"/>
      <c r="K392" s="557"/>
      <c r="L392" s="460"/>
      <c r="M392" s="557"/>
      <c r="N392" s="460"/>
      <c r="O392" s="557"/>
      <c r="P392" s="460"/>
      <c r="Q392" s="557"/>
      <c r="R392" s="460"/>
      <c r="S392" s="557"/>
      <c r="T392" s="460"/>
      <c r="U392" s="783"/>
      <c r="V392" s="460"/>
    </row>
    <row r="393" spans="1:22">
      <c r="A393" s="519"/>
      <c r="B393" s="520"/>
      <c r="C393" s="521"/>
      <c r="D393" s="522"/>
      <c r="E393" s="517"/>
      <c r="F393" s="465"/>
      <c r="G393" s="557"/>
      <c r="H393" s="460"/>
      <c r="I393" s="557"/>
      <c r="J393" s="460"/>
      <c r="K393" s="557"/>
      <c r="L393" s="460"/>
      <c r="M393" s="557"/>
      <c r="N393" s="460"/>
      <c r="O393" s="557"/>
      <c r="P393" s="460"/>
      <c r="Q393" s="557"/>
      <c r="R393" s="460"/>
      <c r="S393" s="557"/>
      <c r="T393" s="460"/>
      <c r="U393" s="783"/>
      <c r="V393" s="460"/>
    </row>
    <row r="394" spans="1:22">
      <c r="A394" s="519"/>
      <c r="B394" s="520"/>
      <c r="C394" s="521"/>
      <c r="D394" s="522"/>
      <c r="E394" s="517"/>
      <c r="F394" s="465"/>
      <c r="G394" s="557"/>
      <c r="H394" s="460"/>
      <c r="I394" s="557"/>
      <c r="J394" s="460"/>
      <c r="K394" s="557"/>
      <c r="L394" s="460"/>
      <c r="M394" s="557"/>
      <c r="N394" s="460"/>
      <c r="O394" s="557"/>
      <c r="P394" s="460"/>
      <c r="Q394" s="557"/>
      <c r="R394" s="460"/>
      <c r="S394" s="557"/>
      <c r="T394" s="460"/>
      <c r="U394" s="783"/>
      <c r="V394" s="460"/>
    </row>
    <row r="395" spans="1:22">
      <c r="A395" s="519"/>
      <c r="B395" s="520"/>
      <c r="C395" s="521"/>
      <c r="D395" s="522"/>
      <c r="E395" s="517"/>
      <c r="F395" s="465"/>
      <c r="G395" s="557"/>
      <c r="H395" s="460"/>
      <c r="I395" s="557"/>
      <c r="J395" s="460"/>
      <c r="K395" s="557"/>
      <c r="L395" s="460"/>
      <c r="M395" s="557"/>
      <c r="N395" s="460"/>
      <c r="O395" s="557"/>
      <c r="P395" s="460"/>
      <c r="Q395" s="557"/>
      <c r="R395" s="460"/>
      <c r="S395" s="557"/>
      <c r="T395" s="460"/>
      <c r="U395" s="783"/>
      <c r="V395" s="460"/>
    </row>
    <row r="396" spans="1:22">
      <c r="A396" s="519"/>
      <c r="B396" s="520"/>
      <c r="C396" s="521"/>
      <c r="D396" s="522"/>
      <c r="E396" s="517"/>
      <c r="F396" s="465"/>
      <c r="G396" s="557"/>
      <c r="H396" s="460"/>
      <c r="I396" s="557"/>
      <c r="J396" s="460"/>
      <c r="K396" s="557"/>
      <c r="L396" s="460"/>
      <c r="M396" s="557"/>
      <c r="N396" s="460"/>
      <c r="O396" s="557"/>
      <c r="P396" s="460"/>
      <c r="Q396" s="557"/>
      <c r="R396" s="460"/>
      <c r="S396" s="557"/>
      <c r="T396" s="460"/>
      <c r="U396" s="783"/>
      <c r="V396" s="460"/>
    </row>
    <row r="397" spans="1:22">
      <c r="A397" s="519"/>
      <c r="B397" s="520"/>
      <c r="C397" s="521"/>
      <c r="D397" s="522"/>
      <c r="E397" s="517"/>
      <c r="F397" s="465"/>
      <c r="G397" s="557"/>
      <c r="H397" s="460"/>
      <c r="I397" s="557"/>
      <c r="J397" s="460"/>
      <c r="K397" s="557"/>
      <c r="L397" s="460"/>
      <c r="M397" s="557"/>
      <c r="N397" s="460"/>
      <c r="O397" s="557"/>
      <c r="P397" s="460"/>
      <c r="Q397" s="557"/>
      <c r="R397" s="460"/>
      <c r="S397" s="557"/>
      <c r="T397" s="460"/>
      <c r="U397" s="783"/>
      <c r="V397" s="460"/>
    </row>
    <row r="398" spans="1:22">
      <c r="A398" s="519"/>
      <c r="B398" s="520"/>
      <c r="C398" s="521"/>
      <c r="D398" s="522"/>
      <c r="E398" s="517"/>
      <c r="F398" s="465"/>
      <c r="G398" s="557"/>
      <c r="H398" s="460"/>
      <c r="I398" s="557"/>
      <c r="J398" s="460"/>
      <c r="K398" s="557"/>
      <c r="L398" s="460"/>
      <c r="M398" s="557"/>
      <c r="N398" s="460"/>
      <c r="O398" s="557"/>
      <c r="P398" s="460"/>
      <c r="Q398" s="557"/>
      <c r="R398" s="460"/>
      <c r="S398" s="557"/>
      <c r="T398" s="460"/>
      <c r="U398" s="783"/>
      <c r="V398" s="460"/>
    </row>
    <row r="399" spans="1:22">
      <c r="A399" s="519"/>
      <c r="B399" s="520"/>
      <c r="C399" s="521"/>
      <c r="D399" s="522"/>
      <c r="E399" s="517"/>
      <c r="F399" s="465"/>
      <c r="G399" s="557"/>
      <c r="H399" s="460"/>
      <c r="I399" s="557"/>
      <c r="J399" s="460"/>
      <c r="K399" s="557"/>
      <c r="L399" s="460"/>
      <c r="M399" s="557"/>
      <c r="N399" s="460"/>
      <c r="O399" s="557"/>
      <c r="P399" s="460"/>
      <c r="Q399" s="557"/>
      <c r="R399" s="460"/>
      <c r="S399" s="557"/>
      <c r="T399" s="460"/>
      <c r="U399" s="783"/>
      <c r="V399" s="460"/>
    </row>
    <row r="400" spans="1:22">
      <c r="A400" s="519"/>
      <c r="B400" s="520"/>
      <c r="C400" s="521"/>
      <c r="D400" s="522"/>
      <c r="E400" s="517"/>
      <c r="F400" s="465"/>
      <c r="G400" s="557"/>
      <c r="H400" s="460"/>
      <c r="I400" s="557"/>
      <c r="J400" s="460"/>
      <c r="K400" s="557"/>
      <c r="L400" s="460"/>
      <c r="M400" s="557"/>
      <c r="N400" s="460"/>
      <c r="O400" s="557"/>
      <c r="P400" s="460"/>
      <c r="Q400" s="557"/>
      <c r="R400" s="460"/>
      <c r="S400" s="557"/>
      <c r="T400" s="460"/>
      <c r="U400" s="783"/>
      <c r="V400" s="460"/>
    </row>
    <row r="401" spans="1:22">
      <c r="A401" s="519"/>
      <c r="B401" s="520"/>
      <c r="C401" s="521"/>
      <c r="D401" s="522"/>
      <c r="E401" s="517"/>
      <c r="F401" s="465"/>
      <c r="G401" s="557"/>
      <c r="H401" s="460"/>
      <c r="I401" s="557"/>
      <c r="J401" s="460"/>
      <c r="K401" s="557"/>
      <c r="L401" s="460"/>
      <c r="M401" s="557"/>
      <c r="N401" s="460"/>
      <c r="O401" s="557"/>
      <c r="P401" s="460"/>
      <c r="Q401" s="557"/>
      <c r="R401" s="460"/>
      <c r="S401" s="557"/>
      <c r="T401" s="460"/>
      <c r="U401" s="783"/>
      <c r="V401" s="460"/>
    </row>
    <row r="402" spans="1:22">
      <c r="A402" s="519"/>
      <c r="B402" s="520"/>
      <c r="C402" s="521"/>
      <c r="D402" s="522"/>
      <c r="E402" s="517"/>
      <c r="F402" s="465"/>
      <c r="G402" s="557"/>
      <c r="H402" s="460"/>
      <c r="I402" s="557"/>
      <c r="J402" s="460"/>
      <c r="K402" s="557"/>
      <c r="L402" s="460"/>
      <c r="M402" s="557"/>
      <c r="N402" s="460"/>
      <c r="O402" s="557"/>
      <c r="P402" s="460"/>
      <c r="Q402" s="557"/>
      <c r="R402" s="460"/>
      <c r="S402" s="557"/>
      <c r="T402" s="460"/>
      <c r="U402" s="783"/>
      <c r="V402" s="460"/>
    </row>
    <row r="403" spans="1:22">
      <c r="A403" s="519"/>
      <c r="B403" s="520"/>
      <c r="C403" s="521"/>
      <c r="D403" s="522"/>
      <c r="E403" s="517"/>
      <c r="F403" s="465"/>
      <c r="G403" s="557"/>
      <c r="H403" s="460"/>
      <c r="I403" s="557"/>
      <c r="J403" s="460"/>
      <c r="K403" s="557"/>
      <c r="L403" s="460"/>
      <c r="M403" s="557"/>
      <c r="N403" s="460"/>
      <c r="O403" s="557"/>
      <c r="P403" s="460"/>
      <c r="Q403" s="557"/>
      <c r="R403" s="460"/>
      <c r="S403" s="557"/>
      <c r="T403" s="460"/>
      <c r="U403" s="783"/>
      <c r="V403" s="460"/>
    </row>
    <row r="404" spans="1:22">
      <c r="A404" s="519"/>
      <c r="B404" s="520"/>
      <c r="C404" s="521"/>
      <c r="D404" s="522"/>
      <c r="E404" s="517"/>
      <c r="F404" s="465"/>
      <c r="G404" s="557"/>
      <c r="H404" s="460"/>
      <c r="I404" s="557"/>
      <c r="J404" s="460"/>
      <c r="K404" s="557"/>
      <c r="L404" s="460"/>
      <c r="M404" s="557"/>
      <c r="N404" s="460"/>
      <c r="O404" s="557"/>
      <c r="P404" s="460"/>
      <c r="Q404" s="557"/>
      <c r="R404" s="460"/>
      <c r="S404" s="557"/>
      <c r="T404" s="460"/>
      <c r="U404" s="783"/>
      <c r="V404" s="460"/>
    </row>
    <row r="405" spans="1:22">
      <c r="A405" s="519"/>
      <c r="B405" s="520"/>
      <c r="C405" s="521"/>
      <c r="D405" s="522"/>
      <c r="E405" s="517"/>
      <c r="F405" s="465"/>
      <c r="G405" s="557"/>
      <c r="H405" s="460"/>
      <c r="I405" s="557"/>
      <c r="J405" s="460"/>
      <c r="K405" s="557"/>
      <c r="L405" s="460"/>
      <c r="M405" s="557"/>
      <c r="N405" s="460"/>
      <c r="O405" s="557"/>
      <c r="P405" s="460"/>
      <c r="Q405" s="557"/>
      <c r="R405" s="460"/>
      <c r="S405" s="557"/>
      <c r="T405" s="460"/>
      <c r="U405" s="783"/>
      <c r="V405" s="460"/>
    </row>
    <row r="406" spans="1:22">
      <c r="A406" s="519"/>
      <c r="B406" s="520"/>
      <c r="C406" s="521"/>
      <c r="D406" s="522"/>
      <c r="E406" s="517"/>
      <c r="F406" s="465"/>
      <c r="G406" s="557"/>
      <c r="H406" s="460"/>
      <c r="I406" s="557"/>
      <c r="J406" s="460"/>
      <c r="K406" s="557"/>
      <c r="L406" s="460"/>
      <c r="M406" s="557"/>
      <c r="N406" s="460"/>
      <c r="O406" s="557"/>
      <c r="P406" s="460"/>
      <c r="Q406" s="557"/>
      <c r="R406" s="460"/>
      <c r="S406" s="557"/>
      <c r="T406" s="460"/>
      <c r="U406" s="783"/>
      <c r="V406" s="460"/>
    </row>
    <row r="407" spans="1:22">
      <c r="A407" s="519"/>
      <c r="B407" s="520"/>
      <c r="C407" s="521"/>
      <c r="D407" s="522"/>
      <c r="E407" s="517"/>
      <c r="F407" s="465"/>
      <c r="G407" s="557"/>
      <c r="H407" s="460"/>
      <c r="I407" s="557"/>
      <c r="J407" s="460"/>
      <c r="K407" s="557"/>
      <c r="L407" s="460"/>
      <c r="M407" s="557"/>
      <c r="N407" s="460"/>
      <c r="O407" s="557"/>
      <c r="P407" s="460"/>
      <c r="Q407" s="557"/>
      <c r="R407" s="460"/>
      <c r="S407" s="557"/>
      <c r="T407" s="460"/>
      <c r="U407" s="783"/>
      <c r="V407" s="460"/>
    </row>
    <row r="408" spans="1:22">
      <c r="A408" s="519"/>
      <c r="B408" s="520"/>
      <c r="C408" s="521"/>
      <c r="D408" s="522"/>
      <c r="E408" s="517"/>
      <c r="F408" s="465"/>
      <c r="G408" s="557"/>
      <c r="H408" s="460"/>
      <c r="I408" s="557"/>
      <c r="J408" s="460"/>
      <c r="K408" s="557"/>
      <c r="L408" s="460"/>
      <c r="M408" s="557"/>
      <c r="N408" s="460"/>
      <c r="O408" s="557"/>
      <c r="P408" s="460"/>
      <c r="Q408" s="557"/>
      <c r="R408" s="460"/>
      <c r="S408" s="557"/>
      <c r="T408" s="460"/>
      <c r="U408" s="783"/>
      <c r="V408" s="460"/>
    </row>
    <row r="409" spans="1:22">
      <c r="A409" s="519"/>
      <c r="B409" s="520"/>
      <c r="C409" s="521"/>
      <c r="D409" s="522"/>
      <c r="E409" s="517"/>
      <c r="F409" s="465"/>
      <c r="G409" s="557"/>
      <c r="H409" s="460"/>
      <c r="I409" s="557"/>
      <c r="J409" s="460"/>
      <c r="K409" s="557"/>
      <c r="L409" s="460"/>
      <c r="M409" s="557"/>
      <c r="N409" s="460"/>
      <c r="O409" s="557"/>
      <c r="P409" s="460"/>
      <c r="Q409" s="557"/>
      <c r="R409" s="460"/>
      <c r="S409" s="557"/>
      <c r="T409" s="460"/>
      <c r="U409" s="783"/>
      <c r="V409" s="460"/>
    </row>
    <row r="410" spans="1:22">
      <c r="A410" s="519"/>
      <c r="B410" s="520"/>
      <c r="C410" s="521"/>
      <c r="D410" s="522"/>
      <c r="E410" s="517"/>
      <c r="F410" s="465"/>
      <c r="G410" s="557"/>
      <c r="H410" s="460"/>
      <c r="I410" s="557"/>
      <c r="J410" s="460"/>
      <c r="K410" s="557"/>
      <c r="L410" s="460"/>
      <c r="M410" s="557"/>
      <c r="N410" s="460"/>
      <c r="O410" s="557"/>
      <c r="P410" s="460"/>
      <c r="Q410" s="557"/>
      <c r="R410" s="460"/>
      <c r="S410" s="557"/>
      <c r="T410" s="460"/>
      <c r="U410" s="783"/>
      <c r="V410" s="460"/>
    </row>
    <row r="411" spans="1:22">
      <c r="A411" s="519"/>
      <c r="B411" s="520"/>
      <c r="C411" s="521"/>
      <c r="D411" s="522"/>
      <c r="E411" s="517"/>
      <c r="F411" s="465"/>
      <c r="G411" s="557"/>
      <c r="H411" s="460"/>
      <c r="I411" s="557"/>
      <c r="J411" s="460"/>
      <c r="K411" s="557"/>
      <c r="L411" s="460"/>
      <c r="M411" s="557"/>
      <c r="N411" s="460"/>
      <c r="O411" s="557"/>
      <c r="P411" s="460"/>
      <c r="Q411" s="557"/>
      <c r="R411" s="460"/>
      <c r="S411" s="557"/>
      <c r="T411" s="460"/>
      <c r="U411" s="783"/>
      <c r="V411" s="460"/>
    </row>
    <row r="412" spans="1:22">
      <c r="A412" s="519"/>
      <c r="B412" s="520"/>
      <c r="C412" s="521"/>
      <c r="D412" s="522"/>
      <c r="E412" s="517"/>
      <c r="F412" s="465"/>
      <c r="G412" s="557"/>
      <c r="H412" s="460"/>
      <c r="I412" s="557"/>
      <c r="J412" s="460"/>
      <c r="K412" s="557"/>
      <c r="L412" s="460"/>
      <c r="M412" s="557"/>
      <c r="N412" s="460"/>
      <c r="O412" s="557"/>
      <c r="P412" s="460"/>
      <c r="Q412" s="557"/>
      <c r="R412" s="460"/>
      <c r="S412" s="557"/>
      <c r="T412" s="460"/>
      <c r="U412" s="783"/>
      <c r="V412" s="460"/>
    </row>
    <row r="413" spans="1:22">
      <c r="A413" s="519"/>
      <c r="B413" s="520"/>
      <c r="C413" s="521"/>
      <c r="D413" s="522"/>
      <c r="E413" s="517"/>
      <c r="F413" s="465"/>
      <c r="G413" s="557"/>
      <c r="H413" s="460"/>
      <c r="I413" s="557"/>
      <c r="J413" s="460"/>
      <c r="K413" s="557"/>
      <c r="L413" s="460"/>
      <c r="M413" s="557"/>
      <c r="N413" s="460"/>
      <c r="O413" s="557"/>
      <c r="P413" s="460"/>
      <c r="Q413" s="557"/>
      <c r="R413" s="460"/>
      <c r="S413" s="557"/>
      <c r="T413" s="460"/>
      <c r="U413" s="783"/>
      <c r="V413" s="460"/>
    </row>
    <row r="414" spans="1:22">
      <c r="A414" s="519"/>
      <c r="B414" s="520"/>
      <c r="C414" s="521"/>
      <c r="D414" s="522"/>
      <c r="E414" s="517"/>
      <c r="F414" s="465"/>
      <c r="G414" s="557"/>
      <c r="H414" s="460"/>
      <c r="I414" s="557"/>
      <c r="J414" s="460"/>
      <c r="K414" s="557"/>
      <c r="L414" s="460"/>
      <c r="M414" s="557"/>
      <c r="N414" s="460"/>
      <c r="O414" s="557"/>
      <c r="P414" s="460"/>
      <c r="Q414" s="557"/>
      <c r="R414" s="460"/>
      <c r="S414" s="557"/>
      <c r="T414" s="460"/>
      <c r="U414" s="783"/>
      <c r="V414" s="460"/>
    </row>
    <row r="415" spans="1:22">
      <c r="A415" s="519"/>
      <c r="B415" s="520"/>
      <c r="C415" s="521"/>
      <c r="D415" s="522"/>
      <c r="E415" s="517"/>
      <c r="F415" s="465"/>
      <c r="G415" s="557"/>
      <c r="H415" s="460"/>
      <c r="I415" s="557"/>
      <c r="J415" s="460"/>
      <c r="K415" s="557"/>
      <c r="L415" s="460"/>
      <c r="M415" s="557"/>
      <c r="N415" s="460"/>
      <c r="O415" s="557"/>
      <c r="P415" s="460"/>
      <c r="Q415" s="557"/>
      <c r="R415" s="460"/>
      <c r="S415" s="557"/>
      <c r="T415" s="460"/>
      <c r="U415" s="783"/>
      <c r="V415" s="460"/>
    </row>
    <row r="416" spans="1:22">
      <c r="A416" s="519"/>
      <c r="B416" s="520"/>
      <c r="C416" s="521"/>
      <c r="D416" s="522"/>
      <c r="E416" s="517"/>
      <c r="F416" s="465"/>
      <c r="G416" s="557"/>
      <c r="H416" s="460"/>
      <c r="I416" s="557"/>
      <c r="J416" s="460"/>
      <c r="K416" s="557"/>
      <c r="L416" s="460"/>
      <c r="M416" s="557"/>
      <c r="N416" s="460"/>
      <c r="O416" s="557"/>
      <c r="P416" s="460"/>
      <c r="Q416" s="557"/>
      <c r="R416" s="460"/>
      <c r="S416" s="557"/>
      <c r="T416" s="460"/>
      <c r="U416" s="783"/>
      <c r="V416" s="460"/>
    </row>
    <row r="417" spans="1:22">
      <c r="A417" s="519"/>
      <c r="B417" s="520"/>
      <c r="C417" s="521"/>
      <c r="D417" s="522"/>
      <c r="E417" s="517"/>
      <c r="F417" s="465"/>
      <c r="G417" s="557"/>
      <c r="H417" s="460"/>
      <c r="I417" s="557"/>
      <c r="J417" s="460"/>
      <c r="K417" s="557"/>
      <c r="L417" s="460"/>
      <c r="M417" s="557"/>
      <c r="N417" s="460"/>
      <c r="O417" s="557"/>
      <c r="P417" s="460"/>
      <c r="Q417" s="557"/>
      <c r="R417" s="460"/>
      <c r="S417" s="557"/>
      <c r="T417" s="460"/>
      <c r="U417" s="783"/>
      <c r="V417" s="460"/>
    </row>
    <row r="418" spans="1:22">
      <c r="A418" s="519"/>
      <c r="B418" s="520"/>
      <c r="C418" s="521"/>
      <c r="D418" s="522"/>
      <c r="E418" s="517"/>
      <c r="F418" s="465"/>
      <c r="G418" s="557"/>
      <c r="H418" s="460"/>
      <c r="I418" s="557"/>
      <c r="J418" s="460"/>
      <c r="K418" s="557"/>
      <c r="L418" s="460"/>
      <c r="M418" s="557"/>
      <c r="N418" s="460"/>
      <c r="O418" s="557"/>
      <c r="P418" s="460"/>
      <c r="Q418" s="557"/>
      <c r="R418" s="460"/>
      <c r="S418" s="557"/>
      <c r="T418" s="460"/>
      <c r="U418" s="783"/>
      <c r="V418" s="460"/>
    </row>
    <row r="419" spans="1:22">
      <c r="A419" s="519"/>
      <c r="B419" s="520"/>
      <c r="C419" s="521"/>
      <c r="D419" s="522"/>
      <c r="E419" s="517"/>
      <c r="F419" s="465"/>
      <c r="G419" s="557"/>
      <c r="H419" s="460"/>
      <c r="I419" s="557"/>
      <c r="J419" s="460"/>
      <c r="K419" s="557"/>
      <c r="L419" s="460"/>
      <c r="M419" s="557"/>
      <c r="N419" s="460"/>
      <c r="O419" s="557"/>
      <c r="P419" s="460"/>
      <c r="Q419" s="557"/>
      <c r="R419" s="460"/>
      <c r="S419" s="557"/>
      <c r="T419" s="460"/>
      <c r="U419" s="783"/>
      <c r="V419" s="460"/>
    </row>
    <row r="420" spans="1:22">
      <c r="A420" s="519"/>
      <c r="B420" s="520"/>
      <c r="C420" s="521"/>
      <c r="D420" s="522"/>
      <c r="E420" s="517"/>
      <c r="F420" s="465"/>
      <c r="G420" s="557"/>
      <c r="H420" s="460"/>
      <c r="I420" s="557"/>
      <c r="J420" s="460"/>
      <c r="K420" s="557"/>
      <c r="L420" s="460"/>
      <c r="M420" s="557"/>
      <c r="N420" s="460"/>
      <c r="O420" s="557"/>
      <c r="P420" s="460"/>
      <c r="Q420" s="557"/>
      <c r="R420" s="460"/>
      <c r="S420" s="557"/>
      <c r="T420" s="460"/>
      <c r="U420" s="783"/>
      <c r="V420" s="460"/>
    </row>
    <row r="421" spans="1:22">
      <c r="A421" s="519"/>
      <c r="B421" s="520"/>
      <c r="C421" s="521"/>
      <c r="D421" s="522"/>
      <c r="E421" s="517"/>
      <c r="F421" s="465"/>
      <c r="G421" s="557"/>
      <c r="H421" s="460"/>
      <c r="I421" s="557"/>
      <c r="J421" s="460"/>
      <c r="K421" s="557"/>
      <c r="L421" s="460"/>
      <c r="M421" s="557"/>
      <c r="N421" s="460"/>
      <c r="O421" s="557"/>
      <c r="P421" s="460"/>
      <c r="Q421" s="557"/>
      <c r="R421" s="460"/>
      <c r="S421" s="557"/>
      <c r="T421" s="460"/>
      <c r="U421" s="783"/>
      <c r="V421" s="460"/>
    </row>
    <row r="422" spans="1:22">
      <c r="A422" s="519"/>
      <c r="B422" s="520"/>
      <c r="C422" s="521"/>
      <c r="D422" s="522"/>
      <c r="E422" s="517"/>
      <c r="F422" s="465"/>
      <c r="G422" s="557"/>
      <c r="H422" s="460"/>
      <c r="I422" s="557"/>
      <c r="J422" s="460"/>
      <c r="K422" s="557"/>
      <c r="L422" s="460"/>
      <c r="M422" s="557"/>
      <c r="N422" s="460"/>
      <c r="O422" s="557"/>
      <c r="P422" s="460"/>
      <c r="Q422" s="557"/>
      <c r="R422" s="460"/>
      <c r="S422" s="557"/>
      <c r="T422" s="460"/>
      <c r="U422" s="783"/>
      <c r="V422" s="460"/>
    </row>
    <row r="423" spans="1:22">
      <c r="A423" s="519"/>
      <c r="B423" s="520"/>
      <c r="C423" s="521"/>
      <c r="D423" s="522"/>
      <c r="E423" s="517"/>
      <c r="F423" s="465"/>
      <c r="G423" s="557"/>
      <c r="H423" s="460"/>
      <c r="I423" s="557"/>
      <c r="J423" s="460"/>
      <c r="K423" s="557"/>
      <c r="L423" s="460"/>
      <c r="M423" s="557"/>
      <c r="N423" s="460"/>
      <c r="O423" s="557"/>
      <c r="P423" s="460"/>
      <c r="Q423" s="557"/>
      <c r="R423" s="460"/>
      <c r="S423" s="557"/>
      <c r="T423" s="460"/>
      <c r="U423" s="783"/>
      <c r="V423" s="460"/>
    </row>
    <row r="424" spans="1:22">
      <c r="A424" s="519"/>
      <c r="B424" s="520"/>
      <c r="C424" s="521"/>
      <c r="D424" s="522"/>
      <c r="E424" s="517"/>
      <c r="F424" s="465"/>
      <c r="G424" s="557"/>
      <c r="H424" s="460"/>
      <c r="I424" s="557"/>
      <c r="J424" s="460"/>
      <c r="K424" s="557"/>
      <c r="L424" s="460"/>
      <c r="M424" s="557"/>
      <c r="N424" s="460"/>
      <c r="O424" s="557"/>
      <c r="P424" s="460"/>
      <c r="Q424" s="557"/>
      <c r="R424" s="460"/>
      <c r="S424" s="557"/>
      <c r="T424" s="460"/>
      <c r="U424" s="783"/>
      <c r="V424" s="460"/>
    </row>
    <row r="425" spans="1:22">
      <c r="A425" s="519"/>
      <c r="B425" s="520"/>
      <c r="C425" s="521"/>
      <c r="D425" s="522"/>
      <c r="E425" s="517"/>
      <c r="F425" s="465"/>
      <c r="G425" s="557"/>
      <c r="H425" s="460"/>
      <c r="I425" s="557"/>
      <c r="J425" s="460"/>
      <c r="K425" s="557"/>
      <c r="L425" s="460"/>
      <c r="M425" s="557"/>
      <c r="N425" s="460"/>
      <c r="O425" s="557"/>
      <c r="P425" s="460"/>
      <c r="Q425" s="557"/>
      <c r="R425" s="460"/>
      <c r="S425" s="557"/>
      <c r="T425" s="460"/>
      <c r="U425" s="783"/>
      <c r="V425" s="460"/>
    </row>
    <row r="426" spans="1:22">
      <c r="A426" s="519"/>
      <c r="B426" s="520"/>
      <c r="C426" s="521"/>
      <c r="D426" s="522"/>
      <c r="E426" s="517"/>
      <c r="F426" s="465"/>
      <c r="G426" s="557"/>
      <c r="H426" s="460"/>
      <c r="I426" s="557"/>
      <c r="J426" s="460"/>
      <c r="K426" s="557"/>
      <c r="L426" s="460"/>
      <c r="M426" s="557"/>
      <c r="N426" s="460"/>
      <c r="O426" s="557"/>
      <c r="P426" s="460"/>
      <c r="Q426" s="557"/>
      <c r="R426" s="460"/>
      <c r="S426" s="557"/>
      <c r="T426" s="460"/>
      <c r="U426" s="783"/>
      <c r="V426" s="460"/>
    </row>
    <row r="427" spans="1:22">
      <c r="A427" s="519"/>
      <c r="B427" s="520"/>
      <c r="C427" s="521"/>
      <c r="D427" s="522"/>
      <c r="E427" s="517"/>
      <c r="F427" s="465"/>
      <c r="G427" s="557"/>
      <c r="H427" s="460"/>
      <c r="I427" s="557"/>
      <c r="J427" s="460"/>
      <c r="K427" s="557"/>
      <c r="L427" s="460"/>
      <c r="M427" s="557"/>
      <c r="N427" s="460"/>
      <c r="O427" s="557"/>
      <c r="P427" s="460"/>
      <c r="Q427" s="557"/>
      <c r="R427" s="460"/>
      <c r="S427" s="557"/>
      <c r="T427" s="460"/>
      <c r="U427" s="783"/>
      <c r="V427" s="460"/>
    </row>
    <row r="428" spans="1:22">
      <c r="A428" s="519"/>
      <c r="B428" s="520"/>
      <c r="C428" s="521"/>
      <c r="D428" s="522"/>
      <c r="E428" s="517"/>
      <c r="F428" s="465"/>
      <c r="G428" s="557"/>
      <c r="H428" s="460"/>
      <c r="I428" s="557"/>
      <c r="J428" s="460"/>
      <c r="K428" s="557"/>
      <c r="L428" s="460"/>
      <c r="M428" s="557"/>
      <c r="N428" s="460"/>
      <c r="O428" s="557"/>
      <c r="P428" s="460"/>
      <c r="Q428" s="557"/>
      <c r="R428" s="460"/>
      <c r="S428" s="557"/>
      <c r="T428" s="460"/>
      <c r="U428" s="783"/>
      <c r="V428" s="460"/>
    </row>
    <row r="429" spans="1:22">
      <c r="A429" s="519"/>
      <c r="B429" s="520"/>
      <c r="C429" s="521"/>
      <c r="D429" s="522"/>
      <c r="E429" s="517"/>
      <c r="F429" s="465"/>
      <c r="G429" s="557"/>
      <c r="H429" s="460"/>
      <c r="I429" s="557"/>
      <c r="J429" s="460"/>
      <c r="K429" s="557"/>
      <c r="L429" s="460"/>
      <c r="M429" s="557"/>
      <c r="N429" s="460"/>
      <c r="O429" s="557"/>
      <c r="P429" s="460"/>
      <c r="Q429" s="557"/>
      <c r="R429" s="460"/>
      <c r="S429" s="557"/>
      <c r="T429" s="460"/>
      <c r="U429" s="783"/>
      <c r="V429" s="460"/>
    </row>
    <row r="430" spans="1:22">
      <c r="A430" s="519"/>
      <c r="B430" s="520"/>
      <c r="C430" s="521"/>
      <c r="D430" s="522"/>
      <c r="E430" s="517"/>
      <c r="F430" s="465"/>
      <c r="G430" s="557"/>
      <c r="H430" s="460"/>
      <c r="I430" s="557"/>
      <c r="J430" s="460"/>
      <c r="K430" s="557"/>
      <c r="L430" s="460"/>
      <c r="M430" s="557"/>
      <c r="N430" s="460"/>
      <c r="O430" s="557"/>
      <c r="P430" s="460"/>
      <c r="Q430" s="557"/>
      <c r="R430" s="460"/>
      <c r="S430" s="557"/>
      <c r="T430" s="460"/>
      <c r="U430" s="783"/>
      <c r="V430" s="460"/>
    </row>
    <row r="431" spans="1:22">
      <c r="A431" s="519"/>
      <c r="B431" s="520"/>
      <c r="C431" s="521"/>
      <c r="D431" s="522"/>
      <c r="E431" s="517"/>
      <c r="F431" s="465"/>
      <c r="G431" s="557"/>
      <c r="H431" s="460"/>
      <c r="I431" s="557"/>
      <c r="J431" s="460"/>
      <c r="K431" s="557"/>
      <c r="L431" s="460"/>
      <c r="M431" s="557"/>
      <c r="N431" s="460"/>
      <c r="O431" s="557"/>
      <c r="P431" s="460"/>
      <c r="Q431" s="557"/>
      <c r="R431" s="460"/>
      <c r="S431" s="557"/>
      <c r="T431" s="460"/>
      <c r="U431" s="783"/>
      <c r="V431" s="460"/>
    </row>
    <row r="432" spans="1:22">
      <c r="A432" s="519"/>
      <c r="B432" s="520"/>
      <c r="C432" s="521"/>
      <c r="D432" s="522"/>
      <c r="E432" s="517"/>
      <c r="F432" s="465"/>
      <c r="G432" s="557"/>
      <c r="H432" s="460"/>
      <c r="I432" s="557"/>
      <c r="J432" s="460"/>
      <c r="K432" s="557"/>
      <c r="L432" s="460"/>
      <c r="M432" s="557"/>
      <c r="N432" s="460"/>
      <c r="O432" s="557"/>
      <c r="P432" s="460"/>
      <c r="Q432" s="557"/>
      <c r="R432" s="460"/>
      <c r="S432" s="557"/>
      <c r="T432" s="460"/>
      <c r="U432" s="783"/>
      <c r="V432" s="460"/>
    </row>
    <row r="433" spans="1:22">
      <c r="A433" s="519"/>
      <c r="B433" s="520"/>
      <c r="C433" s="521"/>
      <c r="D433" s="522"/>
      <c r="E433" s="517"/>
      <c r="F433" s="465"/>
      <c r="G433" s="557"/>
      <c r="H433" s="460"/>
      <c r="I433" s="557"/>
      <c r="J433" s="460"/>
      <c r="K433" s="557"/>
      <c r="L433" s="460"/>
      <c r="M433" s="557"/>
      <c r="N433" s="460"/>
      <c r="O433" s="557"/>
      <c r="P433" s="460"/>
      <c r="Q433" s="557"/>
      <c r="R433" s="460"/>
      <c r="S433" s="557"/>
      <c r="T433" s="460"/>
      <c r="U433" s="783"/>
      <c r="V433" s="460"/>
    </row>
    <row r="434" spans="1:22">
      <c r="A434" s="519"/>
      <c r="B434" s="520"/>
      <c r="C434" s="521"/>
      <c r="D434" s="522"/>
      <c r="E434" s="517"/>
      <c r="F434" s="465"/>
      <c r="G434" s="557"/>
      <c r="H434" s="460"/>
      <c r="I434" s="557"/>
      <c r="J434" s="460"/>
      <c r="K434" s="557"/>
      <c r="L434" s="460"/>
      <c r="M434" s="557"/>
      <c r="N434" s="460"/>
      <c r="O434" s="557"/>
      <c r="P434" s="460"/>
      <c r="Q434" s="557"/>
      <c r="R434" s="460"/>
      <c r="S434" s="557"/>
      <c r="T434" s="460"/>
      <c r="U434" s="783"/>
      <c r="V434" s="460"/>
    </row>
    <row r="435" spans="1:22">
      <c r="A435" s="519"/>
      <c r="B435" s="520"/>
      <c r="C435" s="521"/>
      <c r="D435" s="522"/>
      <c r="E435" s="517"/>
      <c r="F435" s="465"/>
      <c r="G435" s="557"/>
      <c r="H435" s="460"/>
      <c r="I435" s="557"/>
      <c r="J435" s="460"/>
      <c r="K435" s="557"/>
      <c r="L435" s="460"/>
      <c r="M435" s="557"/>
      <c r="N435" s="460"/>
      <c r="O435" s="557"/>
      <c r="P435" s="460"/>
      <c r="Q435" s="557"/>
      <c r="R435" s="460"/>
      <c r="S435" s="557"/>
      <c r="T435" s="460"/>
      <c r="U435" s="783"/>
      <c r="V435" s="460"/>
    </row>
    <row r="436" spans="1:22">
      <c r="A436" s="519"/>
      <c r="B436" s="520"/>
      <c r="C436" s="521"/>
      <c r="D436" s="522"/>
      <c r="E436" s="517"/>
      <c r="F436" s="465"/>
      <c r="G436" s="557"/>
      <c r="H436" s="460"/>
      <c r="I436" s="557"/>
      <c r="J436" s="460"/>
      <c r="K436" s="557"/>
      <c r="L436" s="460"/>
      <c r="M436" s="557"/>
      <c r="N436" s="460"/>
      <c r="O436" s="557"/>
      <c r="P436" s="460"/>
      <c r="Q436" s="557"/>
      <c r="R436" s="460"/>
      <c r="S436" s="557"/>
      <c r="T436" s="460"/>
      <c r="U436" s="783"/>
      <c r="V436" s="460"/>
    </row>
    <row r="437" spans="1:22">
      <c r="A437" s="519"/>
      <c r="B437" s="520"/>
      <c r="C437" s="521"/>
      <c r="D437" s="522"/>
      <c r="E437" s="517"/>
      <c r="F437" s="465"/>
      <c r="G437" s="557"/>
      <c r="H437" s="460"/>
      <c r="I437" s="557"/>
      <c r="J437" s="460"/>
      <c r="K437" s="557"/>
      <c r="L437" s="460"/>
      <c r="M437" s="557"/>
      <c r="N437" s="460"/>
      <c r="O437" s="557"/>
      <c r="P437" s="460"/>
      <c r="Q437" s="557"/>
      <c r="R437" s="460"/>
      <c r="S437" s="557"/>
      <c r="T437" s="460"/>
      <c r="U437" s="783"/>
      <c r="V437" s="460"/>
    </row>
    <row r="438" spans="1:22">
      <c r="A438" s="519"/>
      <c r="B438" s="520"/>
      <c r="C438" s="521"/>
      <c r="D438" s="522"/>
      <c r="E438" s="517"/>
      <c r="F438" s="465"/>
      <c r="G438" s="557"/>
      <c r="H438" s="460"/>
      <c r="I438" s="557"/>
      <c r="J438" s="460"/>
      <c r="K438" s="557"/>
      <c r="L438" s="460"/>
      <c r="M438" s="557"/>
      <c r="N438" s="460"/>
      <c r="O438" s="557"/>
      <c r="P438" s="460"/>
      <c r="Q438" s="557"/>
      <c r="R438" s="460"/>
      <c r="S438" s="557"/>
      <c r="T438" s="460"/>
      <c r="U438" s="783"/>
      <c r="V438" s="460"/>
    </row>
    <row r="439" spans="1:22">
      <c r="A439" s="519"/>
      <c r="B439" s="520"/>
      <c r="C439" s="521"/>
      <c r="D439" s="522"/>
      <c r="E439" s="517"/>
      <c r="F439" s="465"/>
      <c r="G439" s="557"/>
      <c r="H439" s="460"/>
      <c r="I439" s="557"/>
      <c r="J439" s="460"/>
      <c r="K439" s="557"/>
      <c r="L439" s="460"/>
      <c r="M439" s="557"/>
      <c r="N439" s="460"/>
      <c r="O439" s="557"/>
      <c r="P439" s="460"/>
      <c r="Q439" s="557"/>
      <c r="R439" s="460"/>
      <c r="S439" s="557"/>
      <c r="T439" s="460"/>
      <c r="U439" s="783"/>
      <c r="V439" s="460"/>
    </row>
    <row r="440" spans="1:22">
      <c r="A440" s="519"/>
      <c r="B440" s="520"/>
      <c r="C440" s="521"/>
      <c r="D440" s="522"/>
      <c r="E440" s="517"/>
      <c r="F440" s="465"/>
      <c r="G440" s="557"/>
      <c r="H440" s="460"/>
      <c r="I440" s="557"/>
      <c r="J440" s="460"/>
      <c r="K440" s="557"/>
      <c r="L440" s="460"/>
      <c r="M440" s="557"/>
      <c r="N440" s="460"/>
      <c r="O440" s="557"/>
      <c r="P440" s="460"/>
      <c r="Q440" s="557"/>
      <c r="R440" s="460"/>
      <c r="S440" s="557"/>
      <c r="T440" s="460"/>
      <c r="U440" s="783"/>
      <c r="V440" s="460"/>
    </row>
    <row r="441" spans="1:22">
      <c r="A441" s="519"/>
      <c r="B441" s="520"/>
      <c r="C441" s="521"/>
      <c r="D441" s="522"/>
      <c r="E441" s="517"/>
      <c r="F441" s="465"/>
      <c r="G441" s="557"/>
      <c r="H441" s="460"/>
      <c r="I441" s="557"/>
      <c r="J441" s="460"/>
      <c r="K441" s="557"/>
      <c r="L441" s="460"/>
      <c r="M441" s="557"/>
      <c r="N441" s="460"/>
      <c r="O441" s="557"/>
      <c r="P441" s="460"/>
      <c r="Q441" s="557"/>
      <c r="R441" s="460"/>
      <c r="S441" s="557"/>
      <c r="T441" s="460"/>
      <c r="U441" s="783"/>
      <c r="V441" s="460"/>
    </row>
    <row r="442" spans="1:22">
      <c r="A442" s="519"/>
      <c r="B442" s="520"/>
      <c r="C442" s="521"/>
      <c r="D442" s="522"/>
      <c r="E442" s="517"/>
      <c r="F442" s="465"/>
      <c r="G442" s="557"/>
      <c r="H442" s="460"/>
      <c r="I442" s="557"/>
      <c r="J442" s="460"/>
      <c r="K442" s="557"/>
      <c r="L442" s="460"/>
      <c r="M442" s="557"/>
      <c r="N442" s="460"/>
      <c r="O442" s="557"/>
      <c r="P442" s="460"/>
      <c r="Q442" s="557"/>
      <c r="R442" s="460"/>
      <c r="S442" s="557"/>
      <c r="T442" s="460"/>
      <c r="U442" s="783"/>
      <c r="V442" s="460"/>
    </row>
    <row r="443" spans="1:22">
      <c r="A443" s="519"/>
      <c r="B443" s="520"/>
      <c r="C443" s="521"/>
      <c r="D443" s="522"/>
      <c r="E443" s="517"/>
      <c r="F443" s="465"/>
      <c r="G443" s="557"/>
      <c r="H443" s="460"/>
      <c r="I443" s="557"/>
      <c r="J443" s="460"/>
      <c r="K443" s="557"/>
      <c r="L443" s="460"/>
      <c r="M443" s="557"/>
      <c r="N443" s="460"/>
      <c r="O443" s="557"/>
      <c r="P443" s="460"/>
      <c r="Q443" s="557"/>
      <c r="R443" s="460"/>
      <c r="S443" s="557"/>
      <c r="T443" s="460"/>
      <c r="U443" s="783"/>
      <c r="V443" s="460"/>
    </row>
    <row r="444" spans="1:22">
      <c r="A444" s="519"/>
      <c r="B444" s="520"/>
      <c r="C444" s="521"/>
      <c r="D444" s="522"/>
      <c r="E444" s="517"/>
      <c r="F444" s="465"/>
      <c r="G444" s="557"/>
      <c r="H444" s="460"/>
      <c r="I444" s="557"/>
      <c r="J444" s="460"/>
      <c r="K444" s="557"/>
      <c r="L444" s="460"/>
      <c r="M444" s="557"/>
      <c r="N444" s="460"/>
      <c r="O444" s="557"/>
      <c r="P444" s="460"/>
      <c r="Q444" s="557"/>
      <c r="R444" s="460"/>
      <c r="S444" s="557"/>
      <c r="T444" s="460"/>
      <c r="U444" s="783"/>
      <c r="V444" s="460"/>
    </row>
    <row r="445" spans="1:22">
      <c r="A445" s="519"/>
      <c r="B445" s="520"/>
      <c r="C445" s="521"/>
      <c r="D445" s="522"/>
      <c r="E445" s="517"/>
      <c r="F445" s="465"/>
      <c r="G445" s="557"/>
      <c r="H445" s="460"/>
      <c r="I445" s="557"/>
      <c r="J445" s="460"/>
      <c r="K445" s="557"/>
      <c r="L445" s="460"/>
      <c r="M445" s="557"/>
      <c r="N445" s="460"/>
      <c r="O445" s="557"/>
      <c r="P445" s="460"/>
      <c r="Q445" s="557"/>
      <c r="R445" s="460"/>
      <c r="S445" s="557"/>
      <c r="T445" s="460"/>
      <c r="U445" s="783"/>
      <c r="V445" s="460"/>
    </row>
    <row r="446" spans="1:22">
      <c r="A446" s="519"/>
      <c r="B446" s="520"/>
      <c r="C446" s="521"/>
      <c r="D446" s="522"/>
      <c r="E446" s="517"/>
      <c r="F446" s="465"/>
      <c r="G446" s="557"/>
      <c r="H446" s="460"/>
      <c r="I446" s="557"/>
      <c r="J446" s="460"/>
      <c r="K446" s="557"/>
      <c r="L446" s="460"/>
      <c r="M446" s="557"/>
      <c r="N446" s="460"/>
      <c r="O446" s="557"/>
      <c r="P446" s="460"/>
      <c r="Q446" s="557"/>
      <c r="R446" s="460"/>
      <c r="S446" s="557"/>
      <c r="T446" s="460"/>
      <c r="U446" s="783"/>
      <c r="V446" s="460"/>
    </row>
    <row r="447" spans="1:22">
      <c r="A447" s="519"/>
      <c r="B447" s="520"/>
      <c r="C447" s="521"/>
      <c r="D447" s="522"/>
      <c r="E447" s="517"/>
      <c r="F447" s="465"/>
      <c r="G447" s="557"/>
      <c r="H447" s="460"/>
      <c r="I447" s="557"/>
      <c r="J447" s="460"/>
      <c r="K447" s="557"/>
      <c r="L447" s="460"/>
      <c r="M447" s="557"/>
      <c r="N447" s="460"/>
      <c r="O447" s="557"/>
      <c r="P447" s="460"/>
      <c r="Q447" s="557"/>
      <c r="R447" s="460"/>
      <c r="S447" s="557"/>
      <c r="T447" s="460"/>
      <c r="U447" s="783"/>
      <c r="V447" s="460"/>
    </row>
    <row r="448" spans="1:22">
      <c r="A448" s="519"/>
      <c r="B448" s="520"/>
      <c r="C448" s="521"/>
      <c r="D448" s="522"/>
      <c r="E448" s="517"/>
      <c r="F448" s="465"/>
      <c r="G448" s="557"/>
      <c r="H448" s="460"/>
      <c r="I448" s="557"/>
      <c r="J448" s="460"/>
      <c r="K448" s="557"/>
      <c r="L448" s="460"/>
      <c r="M448" s="557"/>
      <c r="N448" s="460"/>
      <c r="O448" s="557"/>
      <c r="P448" s="460"/>
      <c r="Q448" s="557"/>
      <c r="R448" s="460"/>
      <c r="S448" s="557"/>
      <c r="T448" s="460"/>
      <c r="U448" s="783"/>
      <c r="V448" s="460"/>
    </row>
    <row r="449" spans="1:22">
      <c r="A449" s="519"/>
      <c r="B449" s="520"/>
      <c r="C449" s="521"/>
      <c r="D449" s="522"/>
      <c r="E449" s="517"/>
      <c r="F449" s="465"/>
      <c r="G449" s="557"/>
      <c r="H449" s="460"/>
      <c r="I449" s="557"/>
      <c r="J449" s="460"/>
      <c r="K449" s="557"/>
      <c r="L449" s="460"/>
      <c r="M449" s="557"/>
      <c r="N449" s="460"/>
      <c r="O449" s="557"/>
      <c r="P449" s="460"/>
      <c r="Q449" s="557"/>
      <c r="R449" s="460"/>
      <c r="S449" s="557"/>
      <c r="T449" s="460"/>
      <c r="U449" s="783"/>
      <c r="V449" s="460"/>
    </row>
    <row r="450" spans="1:22">
      <c r="A450" s="519"/>
      <c r="B450" s="520"/>
      <c r="C450" s="521"/>
      <c r="D450" s="522"/>
      <c r="E450" s="517"/>
      <c r="F450" s="465"/>
      <c r="G450" s="557"/>
      <c r="H450" s="460"/>
      <c r="I450" s="557"/>
      <c r="J450" s="460"/>
      <c r="K450" s="557"/>
      <c r="L450" s="460"/>
      <c r="M450" s="557"/>
      <c r="N450" s="460"/>
      <c r="O450" s="557"/>
      <c r="P450" s="460"/>
      <c r="Q450" s="557"/>
      <c r="R450" s="460"/>
      <c r="S450" s="557"/>
      <c r="T450" s="460"/>
      <c r="U450" s="783"/>
      <c r="V450" s="460"/>
    </row>
    <row r="451" spans="1:22">
      <c r="A451" s="519"/>
      <c r="B451" s="520"/>
      <c r="C451" s="521"/>
      <c r="D451" s="522"/>
      <c r="E451" s="517"/>
      <c r="F451" s="465"/>
      <c r="G451" s="557"/>
      <c r="H451" s="460"/>
      <c r="I451" s="557"/>
      <c r="J451" s="460"/>
      <c r="K451" s="557"/>
      <c r="L451" s="460"/>
      <c r="M451" s="557"/>
      <c r="N451" s="460"/>
      <c r="O451" s="557"/>
      <c r="P451" s="460"/>
      <c r="Q451" s="557"/>
      <c r="R451" s="460"/>
      <c r="S451" s="557"/>
      <c r="T451" s="460"/>
      <c r="U451" s="783"/>
      <c r="V451" s="460"/>
    </row>
    <row r="452" spans="1:22">
      <c r="A452" s="519"/>
      <c r="B452" s="520"/>
      <c r="C452" s="521"/>
      <c r="D452" s="522"/>
      <c r="E452" s="517"/>
      <c r="F452" s="465"/>
      <c r="G452" s="557"/>
      <c r="H452" s="460"/>
      <c r="I452" s="557"/>
      <c r="J452" s="460"/>
      <c r="K452" s="557"/>
      <c r="L452" s="460"/>
      <c r="M452" s="557"/>
      <c r="N452" s="460"/>
      <c r="O452" s="557"/>
      <c r="P452" s="460"/>
      <c r="Q452" s="557"/>
      <c r="R452" s="460"/>
      <c r="S452" s="557"/>
      <c r="T452" s="460"/>
      <c r="U452" s="783"/>
      <c r="V452" s="460"/>
    </row>
    <row r="453" spans="1:22">
      <c r="A453" s="519"/>
      <c r="B453" s="520"/>
      <c r="C453" s="521"/>
      <c r="D453" s="522"/>
      <c r="E453" s="517"/>
      <c r="F453" s="465"/>
      <c r="G453" s="557"/>
      <c r="H453" s="460"/>
      <c r="I453" s="557"/>
      <c r="J453" s="460"/>
      <c r="K453" s="557"/>
      <c r="L453" s="460"/>
      <c r="M453" s="557"/>
      <c r="N453" s="460"/>
      <c r="O453" s="557"/>
      <c r="P453" s="460"/>
      <c r="Q453" s="557"/>
      <c r="R453" s="460"/>
      <c r="S453" s="557"/>
      <c r="T453" s="460"/>
      <c r="U453" s="783"/>
      <c r="V453" s="460"/>
    </row>
    <row r="454" spans="1:22">
      <c r="A454" s="519"/>
      <c r="B454" s="520"/>
      <c r="C454" s="521"/>
      <c r="D454" s="522"/>
      <c r="E454" s="517"/>
      <c r="F454" s="465"/>
      <c r="G454" s="557"/>
      <c r="H454" s="460"/>
      <c r="I454" s="557"/>
      <c r="J454" s="460"/>
      <c r="K454" s="557"/>
      <c r="L454" s="460"/>
      <c r="M454" s="557"/>
      <c r="N454" s="460"/>
      <c r="O454" s="557"/>
      <c r="P454" s="460"/>
      <c r="Q454" s="557"/>
      <c r="R454" s="460"/>
      <c r="S454" s="557"/>
      <c r="T454" s="460"/>
      <c r="U454" s="783"/>
      <c r="V454" s="460"/>
    </row>
    <row r="455" spans="1:22">
      <c r="A455" s="519"/>
      <c r="B455" s="520"/>
      <c r="C455" s="521"/>
      <c r="D455" s="522"/>
      <c r="E455" s="517"/>
      <c r="F455" s="465"/>
      <c r="G455" s="557"/>
      <c r="H455" s="460"/>
      <c r="I455" s="557"/>
      <c r="J455" s="460"/>
      <c r="K455" s="557"/>
      <c r="L455" s="460"/>
      <c r="M455" s="557"/>
      <c r="N455" s="460"/>
      <c r="O455" s="557"/>
      <c r="P455" s="460"/>
      <c r="Q455" s="557"/>
      <c r="R455" s="460"/>
      <c r="S455" s="557"/>
      <c r="T455" s="460"/>
      <c r="U455" s="783"/>
      <c r="V455" s="460"/>
    </row>
    <row r="456" spans="1:22">
      <c r="A456" s="519"/>
      <c r="B456" s="520"/>
      <c r="C456" s="521"/>
      <c r="D456" s="522"/>
      <c r="E456" s="517"/>
      <c r="F456" s="465"/>
      <c r="G456" s="557"/>
      <c r="H456" s="460"/>
      <c r="I456" s="557"/>
      <c r="J456" s="460"/>
      <c r="K456" s="557"/>
      <c r="L456" s="460"/>
      <c r="M456" s="557"/>
      <c r="N456" s="460"/>
      <c r="O456" s="557"/>
      <c r="P456" s="460"/>
      <c r="Q456" s="557"/>
      <c r="R456" s="460"/>
      <c r="S456" s="557"/>
      <c r="T456" s="460"/>
      <c r="U456" s="783"/>
      <c r="V456" s="460"/>
    </row>
    <row r="457" spans="1:22">
      <c r="A457" s="519"/>
      <c r="B457" s="520"/>
      <c r="C457" s="521"/>
      <c r="D457" s="522"/>
      <c r="E457" s="517"/>
      <c r="F457" s="465"/>
      <c r="G457" s="557"/>
      <c r="H457" s="460"/>
      <c r="I457" s="557"/>
      <c r="J457" s="460"/>
      <c r="K457" s="557"/>
      <c r="L457" s="460"/>
      <c r="M457" s="557"/>
      <c r="N457" s="460"/>
      <c r="O457" s="557"/>
      <c r="P457" s="460"/>
      <c r="Q457" s="557"/>
      <c r="R457" s="460"/>
      <c r="S457" s="557"/>
      <c r="T457" s="460"/>
      <c r="U457" s="783"/>
      <c r="V457" s="460"/>
    </row>
    <row r="458" spans="1:22">
      <c r="A458" s="519"/>
      <c r="B458" s="520"/>
      <c r="C458" s="521"/>
      <c r="D458" s="522"/>
      <c r="E458" s="517"/>
      <c r="F458" s="465"/>
      <c r="G458" s="557"/>
      <c r="H458" s="460"/>
      <c r="I458" s="557"/>
      <c r="J458" s="460"/>
      <c r="K458" s="557"/>
      <c r="L458" s="460"/>
      <c r="M458" s="557"/>
      <c r="N458" s="460"/>
      <c r="O458" s="557"/>
      <c r="P458" s="460"/>
      <c r="Q458" s="557"/>
      <c r="R458" s="460"/>
      <c r="S458" s="557"/>
      <c r="T458" s="460"/>
      <c r="U458" s="783"/>
      <c r="V458" s="460"/>
    </row>
    <row r="459" spans="1:22">
      <c r="A459" s="519"/>
      <c r="B459" s="520"/>
      <c r="C459" s="521"/>
      <c r="D459" s="522"/>
      <c r="E459" s="517"/>
      <c r="F459" s="465"/>
      <c r="G459" s="557"/>
      <c r="H459" s="460"/>
      <c r="I459" s="557"/>
      <c r="J459" s="460"/>
      <c r="K459" s="557"/>
      <c r="L459" s="460"/>
      <c r="M459" s="557"/>
      <c r="N459" s="460"/>
      <c r="O459" s="557"/>
      <c r="P459" s="460"/>
      <c r="Q459" s="557"/>
      <c r="R459" s="460"/>
      <c r="S459" s="557"/>
      <c r="T459" s="460"/>
      <c r="U459" s="783"/>
      <c r="V459" s="460"/>
    </row>
    <row r="460" spans="1:22">
      <c r="A460" s="519"/>
      <c r="B460" s="520"/>
      <c r="C460" s="521"/>
      <c r="D460" s="522"/>
      <c r="E460" s="517"/>
      <c r="F460" s="465"/>
      <c r="G460" s="557"/>
      <c r="H460" s="460"/>
      <c r="I460" s="557"/>
      <c r="J460" s="460"/>
      <c r="K460" s="557"/>
      <c r="L460" s="460"/>
      <c r="M460" s="557"/>
      <c r="N460" s="460"/>
      <c r="O460" s="557"/>
      <c r="P460" s="460"/>
      <c r="Q460" s="557"/>
      <c r="R460" s="460"/>
      <c r="S460" s="557"/>
      <c r="T460" s="460"/>
      <c r="U460" s="783"/>
      <c r="V460" s="460"/>
    </row>
    <row r="461" spans="1:22">
      <c r="A461" s="519"/>
      <c r="B461" s="520"/>
      <c r="C461" s="521"/>
      <c r="D461" s="522"/>
      <c r="E461" s="517"/>
      <c r="F461" s="465"/>
      <c r="G461" s="557"/>
      <c r="H461" s="460"/>
      <c r="I461" s="557"/>
      <c r="J461" s="460"/>
      <c r="K461" s="557"/>
      <c r="L461" s="460"/>
      <c r="M461" s="557"/>
      <c r="N461" s="460"/>
      <c r="O461" s="557"/>
      <c r="P461" s="460"/>
      <c r="Q461" s="557"/>
      <c r="R461" s="460"/>
      <c r="S461" s="557"/>
      <c r="T461" s="460"/>
      <c r="U461" s="783"/>
      <c r="V461" s="460"/>
    </row>
    <row r="462" spans="1:22">
      <c r="A462" s="519"/>
      <c r="B462" s="520"/>
      <c r="C462" s="521"/>
      <c r="D462" s="522"/>
      <c r="E462" s="517"/>
      <c r="F462" s="465"/>
      <c r="G462" s="557"/>
      <c r="H462" s="460"/>
      <c r="I462" s="557"/>
      <c r="J462" s="460"/>
      <c r="K462" s="557"/>
      <c r="L462" s="460"/>
      <c r="M462" s="557"/>
      <c r="N462" s="460"/>
      <c r="O462" s="557"/>
      <c r="P462" s="460"/>
      <c r="Q462" s="557"/>
      <c r="R462" s="460"/>
      <c r="S462" s="557"/>
      <c r="T462" s="460"/>
      <c r="U462" s="783"/>
      <c r="V462" s="460"/>
    </row>
    <row r="463" spans="1:22">
      <c r="A463" s="519"/>
      <c r="B463" s="520"/>
      <c r="C463" s="521"/>
      <c r="D463" s="522"/>
      <c r="E463" s="517"/>
      <c r="F463" s="465"/>
      <c r="G463" s="557"/>
      <c r="H463" s="460"/>
      <c r="I463" s="557"/>
      <c r="J463" s="460"/>
      <c r="K463" s="557"/>
      <c r="L463" s="460"/>
      <c r="M463" s="557"/>
      <c r="N463" s="460"/>
      <c r="O463" s="557"/>
      <c r="P463" s="460"/>
      <c r="Q463" s="557"/>
      <c r="R463" s="460"/>
      <c r="S463" s="557"/>
      <c r="T463" s="460"/>
      <c r="U463" s="783"/>
      <c r="V463" s="460"/>
    </row>
    <row r="464" spans="1:22">
      <c r="A464" s="519"/>
      <c r="B464" s="520"/>
      <c r="C464" s="521"/>
      <c r="D464" s="522"/>
      <c r="E464" s="517"/>
      <c r="F464" s="465"/>
      <c r="G464" s="557"/>
      <c r="H464" s="460"/>
      <c r="I464" s="557"/>
      <c r="J464" s="460"/>
      <c r="K464" s="557"/>
      <c r="L464" s="460"/>
      <c r="M464" s="557"/>
      <c r="N464" s="460"/>
      <c r="O464" s="557"/>
      <c r="P464" s="460"/>
      <c r="Q464" s="557"/>
      <c r="R464" s="460"/>
      <c r="S464" s="557"/>
      <c r="T464" s="460"/>
      <c r="U464" s="783"/>
      <c r="V464" s="460"/>
    </row>
    <row r="465" spans="1:22">
      <c r="A465" s="519"/>
      <c r="B465" s="520"/>
      <c r="C465" s="521"/>
      <c r="D465" s="522"/>
      <c r="E465" s="517"/>
      <c r="F465" s="465"/>
      <c r="G465" s="557"/>
      <c r="H465" s="460"/>
      <c r="I465" s="557"/>
      <c r="J465" s="460"/>
      <c r="K465" s="557"/>
      <c r="L465" s="460"/>
      <c r="M465" s="557"/>
      <c r="N465" s="460"/>
      <c r="O465" s="557"/>
      <c r="P465" s="460"/>
      <c r="Q465" s="557"/>
      <c r="R465" s="460"/>
      <c r="S465" s="557"/>
      <c r="T465" s="460"/>
      <c r="U465" s="783"/>
      <c r="V465" s="460"/>
    </row>
    <row r="466" spans="1:22">
      <c r="A466" s="519"/>
      <c r="B466" s="520"/>
      <c r="C466" s="521"/>
      <c r="D466" s="522"/>
      <c r="E466" s="517"/>
      <c r="F466" s="465"/>
      <c r="G466" s="557"/>
      <c r="H466" s="460"/>
      <c r="I466" s="557"/>
      <c r="J466" s="460"/>
      <c r="K466" s="557"/>
      <c r="L466" s="460"/>
      <c r="M466" s="557"/>
      <c r="N466" s="460"/>
      <c r="O466" s="557"/>
      <c r="P466" s="460"/>
      <c r="Q466" s="557"/>
      <c r="R466" s="460"/>
      <c r="S466" s="557"/>
      <c r="T466" s="460"/>
      <c r="U466" s="783"/>
      <c r="V466" s="460"/>
    </row>
    <row r="467" spans="1:22">
      <c r="A467" s="519"/>
      <c r="B467" s="520"/>
      <c r="C467" s="521"/>
      <c r="D467" s="522"/>
      <c r="E467" s="517"/>
      <c r="F467" s="465"/>
      <c r="G467" s="557"/>
      <c r="H467" s="460"/>
      <c r="I467" s="557"/>
      <c r="J467" s="460"/>
      <c r="K467" s="557"/>
      <c r="L467" s="460"/>
      <c r="M467" s="557"/>
      <c r="N467" s="460"/>
      <c r="O467" s="557"/>
      <c r="P467" s="460"/>
      <c r="Q467" s="557"/>
      <c r="R467" s="460"/>
      <c r="S467" s="557"/>
      <c r="T467" s="460"/>
      <c r="U467" s="783"/>
      <c r="V467" s="460"/>
    </row>
    <row r="468" spans="1:22">
      <c r="A468" s="519"/>
      <c r="B468" s="520"/>
      <c r="C468" s="521"/>
      <c r="D468" s="522"/>
      <c r="E468" s="517"/>
      <c r="F468" s="465"/>
      <c r="G468" s="557"/>
      <c r="H468" s="460"/>
      <c r="I468" s="557"/>
      <c r="J468" s="460"/>
      <c r="K468" s="557"/>
      <c r="L468" s="460"/>
      <c r="M468" s="557"/>
      <c r="N468" s="460"/>
      <c r="O468" s="557"/>
      <c r="P468" s="460"/>
      <c r="Q468" s="557"/>
      <c r="R468" s="460"/>
      <c r="S468" s="557"/>
      <c r="T468" s="460"/>
      <c r="U468" s="783"/>
      <c r="V468" s="460"/>
    </row>
    <row r="469" spans="1:22">
      <c r="A469" s="519"/>
      <c r="B469" s="520"/>
      <c r="C469" s="521"/>
      <c r="D469" s="522"/>
      <c r="E469" s="517"/>
      <c r="F469" s="465"/>
      <c r="G469" s="557"/>
      <c r="H469" s="460"/>
      <c r="I469" s="557"/>
      <c r="J469" s="460"/>
      <c r="K469" s="557"/>
      <c r="L469" s="460"/>
      <c r="M469" s="557"/>
      <c r="N469" s="460"/>
      <c r="O469" s="557"/>
      <c r="P469" s="460"/>
      <c r="Q469" s="557"/>
      <c r="R469" s="460"/>
      <c r="S469" s="557"/>
      <c r="T469" s="460"/>
      <c r="U469" s="783"/>
      <c r="V469" s="460"/>
    </row>
    <row r="470" spans="1:22">
      <c r="A470" s="519"/>
      <c r="B470" s="520"/>
      <c r="C470" s="521"/>
      <c r="D470" s="522"/>
      <c r="E470" s="517"/>
      <c r="F470" s="465"/>
      <c r="G470" s="557"/>
      <c r="H470" s="460"/>
      <c r="I470" s="557"/>
      <c r="J470" s="460"/>
      <c r="K470" s="557"/>
      <c r="L470" s="460"/>
      <c r="M470" s="557"/>
      <c r="N470" s="460"/>
      <c r="O470" s="557"/>
      <c r="P470" s="460"/>
      <c r="Q470" s="557"/>
      <c r="R470" s="460"/>
      <c r="S470" s="557"/>
      <c r="T470" s="460"/>
      <c r="U470" s="783"/>
      <c r="V470" s="460"/>
    </row>
    <row r="471" spans="1:22">
      <c r="A471" s="519"/>
      <c r="B471" s="520"/>
      <c r="C471" s="521"/>
      <c r="D471" s="522"/>
      <c r="E471" s="517"/>
      <c r="F471" s="465"/>
      <c r="G471" s="557"/>
      <c r="H471" s="460"/>
      <c r="I471" s="557"/>
      <c r="J471" s="460"/>
      <c r="K471" s="557"/>
      <c r="L471" s="460"/>
      <c r="M471" s="557"/>
      <c r="N471" s="460"/>
      <c r="O471" s="557"/>
      <c r="P471" s="460"/>
      <c r="Q471" s="557"/>
      <c r="R471" s="460"/>
      <c r="S471" s="557"/>
      <c r="T471" s="460"/>
      <c r="U471" s="783"/>
      <c r="V471" s="460"/>
    </row>
    <row r="472" spans="1:22">
      <c r="A472" s="519"/>
      <c r="B472" s="520"/>
      <c r="C472" s="521"/>
      <c r="D472" s="522"/>
      <c r="E472" s="517"/>
      <c r="F472" s="465"/>
      <c r="G472" s="557"/>
      <c r="H472" s="460"/>
      <c r="I472" s="557"/>
      <c r="J472" s="460"/>
      <c r="K472" s="557"/>
      <c r="L472" s="460"/>
      <c r="M472" s="557"/>
      <c r="N472" s="460"/>
      <c r="O472" s="557"/>
      <c r="P472" s="460"/>
      <c r="Q472" s="557"/>
      <c r="R472" s="460"/>
      <c r="S472" s="557"/>
      <c r="T472" s="460"/>
      <c r="U472" s="783"/>
      <c r="V472" s="460"/>
    </row>
    <row r="473" spans="1:22">
      <c r="A473" s="519"/>
      <c r="B473" s="520"/>
      <c r="C473" s="521"/>
      <c r="D473" s="522"/>
      <c r="E473" s="517"/>
      <c r="F473" s="465"/>
      <c r="G473" s="557"/>
      <c r="H473" s="460"/>
      <c r="I473" s="557"/>
      <c r="J473" s="460"/>
      <c r="K473" s="557"/>
      <c r="L473" s="460"/>
      <c r="M473" s="557"/>
      <c r="N473" s="460"/>
      <c r="O473" s="557"/>
      <c r="P473" s="460"/>
      <c r="Q473" s="557"/>
      <c r="R473" s="460"/>
      <c r="S473" s="557"/>
      <c r="T473" s="460"/>
      <c r="U473" s="783"/>
      <c r="V473" s="460"/>
    </row>
    <row r="474" spans="1:22">
      <c r="A474" s="519"/>
      <c r="B474" s="520"/>
      <c r="C474" s="521"/>
      <c r="D474" s="522"/>
      <c r="E474" s="517"/>
      <c r="F474" s="465"/>
      <c r="G474" s="557"/>
      <c r="H474" s="460"/>
      <c r="I474" s="557"/>
      <c r="J474" s="460"/>
      <c r="K474" s="557"/>
      <c r="L474" s="460"/>
      <c r="M474" s="557"/>
      <c r="N474" s="460"/>
      <c r="O474" s="557"/>
      <c r="P474" s="460"/>
      <c r="Q474" s="557"/>
      <c r="R474" s="460"/>
      <c r="S474" s="557"/>
      <c r="T474" s="460"/>
      <c r="U474" s="783"/>
      <c r="V474" s="460"/>
    </row>
    <row r="475" spans="1:22">
      <c r="A475" s="519"/>
      <c r="B475" s="520"/>
      <c r="C475" s="521"/>
      <c r="D475" s="522"/>
      <c r="E475" s="517"/>
      <c r="F475" s="465"/>
      <c r="G475" s="557"/>
      <c r="H475" s="460"/>
      <c r="I475" s="557"/>
      <c r="J475" s="460"/>
      <c r="K475" s="557"/>
      <c r="L475" s="460"/>
      <c r="M475" s="557"/>
      <c r="N475" s="460"/>
      <c r="O475" s="557"/>
      <c r="P475" s="460"/>
      <c r="Q475" s="557"/>
      <c r="R475" s="460"/>
      <c r="S475" s="557"/>
      <c r="T475" s="460"/>
      <c r="U475" s="783"/>
      <c r="V475" s="460"/>
    </row>
    <row r="476" spans="1:22">
      <c r="A476" s="519"/>
      <c r="B476" s="520"/>
      <c r="C476" s="521"/>
      <c r="D476" s="522"/>
      <c r="E476" s="517"/>
      <c r="F476" s="465"/>
      <c r="G476" s="557"/>
      <c r="H476" s="460"/>
      <c r="I476" s="557"/>
      <c r="J476" s="460"/>
      <c r="K476" s="557"/>
      <c r="L476" s="460"/>
      <c r="M476" s="557"/>
      <c r="N476" s="460"/>
      <c r="O476" s="557"/>
      <c r="P476" s="460"/>
      <c r="Q476" s="557"/>
      <c r="R476" s="460"/>
      <c r="S476" s="557"/>
      <c r="T476" s="460"/>
      <c r="U476" s="783"/>
      <c r="V476" s="460"/>
    </row>
    <row r="477" spans="1:22">
      <c r="A477" s="519"/>
      <c r="B477" s="520"/>
      <c r="C477" s="521"/>
      <c r="D477" s="522"/>
      <c r="E477" s="517"/>
      <c r="F477" s="465"/>
      <c r="G477" s="557"/>
      <c r="H477" s="460"/>
      <c r="I477" s="557"/>
      <c r="J477" s="460"/>
      <c r="K477" s="557"/>
      <c r="L477" s="460"/>
      <c r="M477" s="557"/>
      <c r="N477" s="460"/>
      <c r="O477" s="557"/>
      <c r="P477" s="460"/>
      <c r="Q477" s="557"/>
      <c r="R477" s="460"/>
      <c r="S477" s="557"/>
      <c r="T477" s="460"/>
      <c r="U477" s="783"/>
      <c r="V477" s="460"/>
    </row>
    <row r="478" spans="1:22">
      <c r="A478" s="519"/>
      <c r="B478" s="520"/>
      <c r="C478" s="521"/>
      <c r="D478" s="522"/>
      <c r="E478" s="517"/>
      <c r="F478" s="465"/>
      <c r="G478" s="557"/>
      <c r="H478" s="460"/>
      <c r="I478" s="557"/>
      <c r="J478" s="460"/>
      <c r="K478" s="557"/>
      <c r="L478" s="460"/>
      <c r="M478" s="557"/>
      <c r="N478" s="460"/>
      <c r="O478" s="557"/>
      <c r="P478" s="460"/>
      <c r="Q478" s="557"/>
      <c r="R478" s="460"/>
      <c r="S478" s="557"/>
      <c r="T478" s="460"/>
      <c r="U478" s="783"/>
      <c r="V478" s="460"/>
    </row>
    <row r="479" spans="1:22">
      <c r="A479" s="519"/>
      <c r="B479" s="520"/>
      <c r="C479" s="521"/>
      <c r="D479" s="522"/>
      <c r="E479" s="517"/>
      <c r="F479" s="465"/>
      <c r="G479" s="557"/>
      <c r="H479" s="460"/>
      <c r="I479" s="557"/>
      <c r="J479" s="460"/>
      <c r="K479" s="557"/>
      <c r="L479" s="460"/>
      <c r="M479" s="557"/>
      <c r="N479" s="460"/>
      <c r="O479" s="557"/>
      <c r="P479" s="460"/>
      <c r="Q479" s="557"/>
      <c r="R479" s="460"/>
      <c r="S479" s="557"/>
      <c r="T479" s="460"/>
      <c r="U479" s="783"/>
      <c r="V479" s="460"/>
    </row>
    <row r="480" spans="1:22">
      <c r="A480" s="519"/>
      <c r="B480" s="520"/>
      <c r="C480" s="521"/>
      <c r="D480" s="522"/>
      <c r="E480" s="517"/>
      <c r="F480" s="465"/>
      <c r="G480" s="557"/>
      <c r="H480" s="460"/>
      <c r="I480" s="557"/>
      <c r="J480" s="460"/>
      <c r="K480" s="557"/>
      <c r="L480" s="460"/>
      <c r="M480" s="557"/>
      <c r="N480" s="460"/>
      <c r="O480" s="557"/>
      <c r="P480" s="460"/>
      <c r="Q480" s="557"/>
      <c r="R480" s="460"/>
      <c r="S480" s="557"/>
      <c r="T480" s="460"/>
      <c r="U480" s="783"/>
      <c r="V480" s="460"/>
    </row>
    <row r="481" spans="1:22">
      <c r="A481" s="519"/>
      <c r="B481" s="520"/>
      <c r="C481" s="521"/>
      <c r="D481" s="522"/>
      <c r="E481" s="517"/>
      <c r="F481" s="465"/>
      <c r="G481" s="557"/>
      <c r="H481" s="460"/>
      <c r="I481" s="557"/>
      <c r="J481" s="460"/>
      <c r="K481" s="557"/>
      <c r="L481" s="460"/>
      <c r="M481" s="557"/>
      <c r="N481" s="460"/>
      <c r="O481" s="557"/>
      <c r="P481" s="460"/>
      <c r="Q481" s="557"/>
      <c r="R481" s="460"/>
      <c r="S481" s="557"/>
      <c r="T481" s="460"/>
      <c r="U481" s="783"/>
      <c r="V481" s="460"/>
    </row>
    <row r="482" spans="1:22">
      <c r="A482" s="519"/>
      <c r="B482" s="520"/>
      <c r="C482" s="521"/>
      <c r="D482" s="522"/>
      <c r="E482" s="517"/>
      <c r="F482" s="465"/>
      <c r="G482" s="557"/>
      <c r="H482" s="460"/>
      <c r="I482" s="557"/>
      <c r="J482" s="460"/>
      <c r="K482" s="557"/>
      <c r="L482" s="460"/>
      <c r="M482" s="557"/>
      <c r="N482" s="460"/>
      <c r="O482" s="557"/>
      <c r="P482" s="460"/>
      <c r="Q482" s="557"/>
      <c r="R482" s="460"/>
      <c r="S482" s="557"/>
      <c r="T482" s="460"/>
      <c r="U482" s="783"/>
      <c r="V482" s="460"/>
    </row>
    <row r="483" spans="1:22">
      <c r="A483" s="519"/>
      <c r="B483" s="520"/>
      <c r="C483" s="521"/>
      <c r="D483" s="522"/>
      <c r="E483" s="517"/>
      <c r="F483" s="465"/>
      <c r="G483" s="557"/>
      <c r="H483" s="460"/>
      <c r="I483" s="557"/>
      <c r="J483" s="460"/>
      <c r="K483" s="557"/>
      <c r="L483" s="460"/>
      <c r="M483" s="557"/>
      <c r="N483" s="460"/>
      <c r="O483" s="557"/>
      <c r="P483" s="460"/>
      <c r="Q483" s="557"/>
      <c r="R483" s="460"/>
      <c r="S483" s="557"/>
      <c r="T483" s="460"/>
      <c r="U483" s="783"/>
      <c r="V483" s="460"/>
    </row>
    <row r="484" spans="1:22">
      <c r="A484" s="519"/>
      <c r="B484" s="520"/>
      <c r="C484" s="521"/>
      <c r="D484" s="522"/>
      <c r="E484" s="517"/>
      <c r="F484" s="465"/>
      <c r="G484" s="557"/>
      <c r="H484" s="460"/>
      <c r="I484" s="557"/>
      <c r="J484" s="460"/>
      <c r="K484" s="557"/>
      <c r="L484" s="460"/>
      <c r="M484" s="557"/>
      <c r="N484" s="460"/>
      <c r="O484" s="557"/>
      <c r="P484" s="460"/>
      <c r="Q484" s="557"/>
      <c r="R484" s="460"/>
      <c r="S484" s="557"/>
      <c r="T484" s="460"/>
      <c r="U484" s="783"/>
      <c r="V484" s="460"/>
    </row>
    <row r="485" spans="1:22">
      <c r="A485" s="519"/>
      <c r="B485" s="520"/>
      <c r="C485" s="521"/>
      <c r="D485" s="522"/>
      <c r="E485" s="517"/>
      <c r="F485" s="465"/>
      <c r="G485" s="557"/>
      <c r="H485" s="460"/>
      <c r="I485" s="557"/>
      <c r="J485" s="460"/>
      <c r="K485" s="557"/>
      <c r="L485" s="460"/>
      <c r="M485" s="557"/>
      <c r="N485" s="460"/>
      <c r="O485" s="557"/>
      <c r="P485" s="460"/>
      <c r="Q485" s="557"/>
      <c r="R485" s="460"/>
      <c r="S485" s="557"/>
      <c r="T485" s="460"/>
      <c r="U485" s="783"/>
      <c r="V485" s="460"/>
    </row>
    <row r="486" spans="1:22">
      <c r="A486" s="519"/>
      <c r="B486" s="520"/>
      <c r="C486" s="521"/>
      <c r="D486" s="522"/>
      <c r="E486" s="517"/>
      <c r="F486" s="465"/>
      <c r="G486" s="557"/>
      <c r="H486" s="460"/>
      <c r="I486" s="557"/>
      <c r="J486" s="460"/>
      <c r="K486" s="557"/>
      <c r="L486" s="460"/>
      <c r="M486" s="557"/>
      <c r="N486" s="460"/>
      <c r="O486" s="557"/>
      <c r="P486" s="460"/>
      <c r="Q486" s="557"/>
      <c r="R486" s="460"/>
      <c r="S486" s="557"/>
      <c r="T486" s="460"/>
      <c r="U486" s="783"/>
      <c r="V486" s="460"/>
    </row>
    <row r="487" spans="1:22">
      <c r="A487" s="519"/>
      <c r="B487" s="520"/>
      <c r="C487" s="521"/>
      <c r="D487" s="522"/>
      <c r="E487" s="517"/>
      <c r="F487" s="465"/>
      <c r="G487" s="557"/>
      <c r="H487" s="460"/>
      <c r="I487" s="557"/>
      <c r="J487" s="460"/>
      <c r="K487" s="557"/>
      <c r="L487" s="460"/>
      <c r="M487" s="557"/>
      <c r="N487" s="460"/>
      <c r="O487" s="557"/>
      <c r="P487" s="460"/>
      <c r="Q487" s="557"/>
      <c r="R487" s="460"/>
      <c r="S487" s="557"/>
      <c r="T487" s="460"/>
      <c r="U487" s="783"/>
      <c r="V487" s="460"/>
    </row>
    <row r="488" spans="1:22">
      <c r="A488" s="519"/>
      <c r="B488" s="520"/>
      <c r="C488" s="521"/>
      <c r="D488" s="522"/>
      <c r="E488" s="517"/>
      <c r="F488" s="465"/>
      <c r="G488" s="557"/>
      <c r="H488" s="460"/>
      <c r="I488" s="557"/>
      <c r="J488" s="460"/>
      <c r="K488" s="557"/>
      <c r="L488" s="460"/>
      <c r="M488" s="557"/>
      <c r="N488" s="460"/>
      <c r="O488" s="557"/>
      <c r="P488" s="460"/>
      <c r="Q488" s="557"/>
      <c r="R488" s="460"/>
      <c r="S488" s="557"/>
      <c r="T488" s="460"/>
      <c r="U488" s="783"/>
      <c r="V488" s="460"/>
    </row>
    <row r="489" spans="1:22">
      <c r="A489" s="519"/>
      <c r="B489" s="520"/>
      <c r="C489" s="521"/>
      <c r="D489" s="522"/>
      <c r="E489" s="517"/>
      <c r="F489" s="465"/>
      <c r="G489" s="557"/>
      <c r="H489" s="460"/>
      <c r="I489" s="557"/>
      <c r="J489" s="460"/>
      <c r="K489" s="557"/>
      <c r="L489" s="460"/>
      <c r="M489" s="557"/>
      <c r="N489" s="460"/>
      <c r="O489" s="557"/>
      <c r="P489" s="460"/>
      <c r="Q489" s="557"/>
      <c r="R489" s="460"/>
      <c r="S489" s="557"/>
      <c r="T489" s="460"/>
      <c r="U489" s="783"/>
      <c r="V489" s="460"/>
    </row>
    <row r="490" spans="1:22">
      <c r="A490" s="519"/>
      <c r="B490" s="520"/>
      <c r="C490" s="521"/>
      <c r="D490" s="522"/>
      <c r="E490" s="517"/>
      <c r="F490" s="465"/>
      <c r="G490" s="557"/>
      <c r="H490" s="460"/>
      <c r="I490" s="557"/>
      <c r="J490" s="460"/>
      <c r="K490" s="557"/>
      <c r="L490" s="460"/>
      <c r="M490" s="557"/>
      <c r="N490" s="460"/>
      <c r="O490" s="557"/>
      <c r="P490" s="460"/>
      <c r="Q490" s="557"/>
      <c r="R490" s="460"/>
      <c r="S490" s="557"/>
      <c r="T490" s="460"/>
      <c r="U490" s="783"/>
      <c r="V490" s="460"/>
    </row>
    <row r="491" spans="1:22">
      <c r="A491" s="519"/>
      <c r="B491" s="520"/>
      <c r="C491" s="521"/>
      <c r="D491" s="522"/>
      <c r="E491" s="517"/>
      <c r="F491" s="465"/>
      <c r="G491" s="557"/>
      <c r="H491" s="460"/>
      <c r="I491" s="557"/>
      <c r="J491" s="460"/>
      <c r="K491" s="557"/>
      <c r="L491" s="460"/>
      <c r="M491" s="557"/>
      <c r="N491" s="460"/>
      <c r="O491" s="557"/>
      <c r="P491" s="460"/>
      <c r="Q491" s="557"/>
      <c r="R491" s="460"/>
      <c r="S491" s="557"/>
      <c r="T491" s="460"/>
      <c r="U491" s="783"/>
      <c r="V491" s="460"/>
    </row>
    <row r="492" spans="1:22">
      <c r="A492" s="519"/>
      <c r="B492" s="520"/>
      <c r="C492" s="521"/>
      <c r="D492" s="522"/>
      <c r="E492" s="517"/>
      <c r="F492" s="465"/>
      <c r="G492" s="557"/>
      <c r="H492" s="460"/>
      <c r="I492" s="557"/>
      <c r="J492" s="460"/>
      <c r="K492" s="557"/>
      <c r="L492" s="460"/>
      <c r="M492" s="557"/>
      <c r="N492" s="460"/>
      <c r="O492" s="557"/>
      <c r="P492" s="460"/>
      <c r="Q492" s="557"/>
      <c r="R492" s="460"/>
      <c r="S492" s="557"/>
      <c r="T492" s="460"/>
      <c r="U492" s="783"/>
      <c r="V492" s="460"/>
    </row>
    <row r="493" spans="1:22">
      <c r="A493" s="519"/>
      <c r="B493" s="520"/>
      <c r="C493" s="521"/>
      <c r="D493" s="522"/>
      <c r="E493" s="517"/>
      <c r="F493" s="465"/>
      <c r="G493" s="557"/>
      <c r="H493" s="460"/>
      <c r="I493" s="557"/>
      <c r="J493" s="460"/>
      <c r="K493" s="557"/>
      <c r="L493" s="460"/>
      <c r="M493" s="557"/>
      <c r="N493" s="460"/>
      <c r="O493" s="557"/>
      <c r="P493" s="460"/>
      <c r="Q493" s="557"/>
      <c r="R493" s="460"/>
      <c r="S493" s="557"/>
      <c r="T493" s="460"/>
      <c r="U493" s="783"/>
      <c r="V493" s="460"/>
    </row>
    <row r="494" spans="1:22">
      <c r="A494" s="519"/>
      <c r="B494" s="520"/>
      <c r="C494" s="521"/>
      <c r="D494" s="522"/>
      <c r="E494" s="517"/>
      <c r="F494" s="465"/>
      <c r="G494" s="557"/>
      <c r="H494" s="460"/>
      <c r="I494" s="557"/>
      <c r="J494" s="460"/>
      <c r="K494" s="557"/>
      <c r="L494" s="460"/>
      <c r="M494" s="557"/>
      <c r="N494" s="460"/>
      <c r="O494" s="557"/>
      <c r="P494" s="460"/>
      <c r="Q494" s="557"/>
      <c r="R494" s="460"/>
      <c r="S494" s="557"/>
      <c r="T494" s="460"/>
      <c r="U494" s="783"/>
      <c r="V494" s="460"/>
    </row>
    <row r="495" spans="1:22">
      <c r="A495" s="519"/>
      <c r="B495" s="520"/>
      <c r="C495" s="521"/>
      <c r="D495" s="522"/>
      <c r="E495" s="517"/>
      <c r="F495" s="465"/>
      <c r="G495" s="557"/>
      <c r="H495" s="460"/>
      <c r="I495" s="557"/>
      <c r="J495" s="460"/>
      <c r="K495" s="557"/>
      <c r="L495" s="460"/>
      <c r="M495" s="557"/>
      <c r="N495" s="460"/>
      <c r="O495" s="557"/>
      <c r="P495" s="460"/>
      <c r="Q495" s="557"/>
      <c r="R495" s="460"/>
      <c r="S495" s="557"/>
      <c r="T495" s="460"/>
      <c r="U495" s="783"/>
      <c r="V495" s="460"/>
    </row>
    <row r="496" spans="1:22">
      <c r="A496" s="519"/>
      <c r="B496" s="520"/>
      <c r="C496" s="521"/>
      <c r="D496" s="522"/>
      <c r="E496" s="517"/>
      <c r="F496" s="465"/>
      <c r="G496" s="557"/>
      <c r="H496" s="460"/>
      <c r="I496" s="557"/>
      <c r="J496" s="460"/>
      <c r="K496" s="557"/>
      <c r="L496" s="460"/>
      <c r="M496" s="557"/>
      <c r="N496" s="460"/>
      <c r="O496" s="557"/>
      <c r="P496" s="460"/>
      <c r="Q496" s="557"/>
      <c r="R496" s="460"/>
      <c r="S496" s="557"/>
      <c r="T496" s="460"/>
      <c r="U496" s="783"/>
      <c r="V496" s="460"/>
    </row>
    <row r="497" spans="1:22">
      <c r="A497" s="519"/>
      <c r="B497" s="520"/>
      <c r="C497" s="521"/>
      <c r="D497" s="20"/>
      <c r="E497" s="517"/>
      <c r="F497" s="465"/>
      <c r="G497" s="557"/>
      <c r="H497" s="460"/>
      <c r="I497" s="557"/>
      <c r="J497" s="460"/>
      <c r="K497" s="557"/>
      <c r="L497" s="460"/>
      <c r="M497" s="557"/>
      <c r="N497" s="460"/>
      <c r="O497" s="557"/>
      <c r="P497" s="460"/>
      <c r="Q497" s="557"/>
      <c r="R497" s="460"/>
      <c r="S497" s="557"/>
      <c r="T497" s="460"/>
      <c r="U497" s="783"/>
      <c r="V497" s="460"/>
    </row>
    <row r="498" spans="1:22">
      <c r="A498" s="519"/>
      <c r="B498" s="520"/>
      <c r="C498" s="521"/>
      <c r="D498" s="20"/>
      <c r="E498" s="517"/>
      <c r="F498" s="465"/>
      <c r="G498" s="557"/>
      <c r="H498" s="460"/>
      <c r="I498" s="557"/>
      <c r="J498" s="460"/>
      <c r="K498" s="557"/>
      <c r="L498" s="460"/>
      <c r="M498" s="557"/>
      <c r="N498" s="460"/>
      <c r="O498" s="557"/>
      <c r="P498" s="460"/>
      <c r="Q498" s="557"/>
      <c r="R498" s="460"/>
      <c r="S498" s="557"/>
      <c r="T498" s="460"/>
      <c r="U498" s="783"/>
      <c r="V498" s="460"/>
    </row>
    <row r="499" spans="1:22" ht="13.5" thickBot="1">
      <c r="A499" s="21"/>
      <c r="B499" s="22"/>
      <c r="C499" s="23"/>
      <c r="D499" s="24"/>
      <c r="E499" s="37"/>
      <c r="F499" s="25"/>
      <c r="G499" s="558"/>
      <c r="H499" s="559"/>
      <c r="I499" s="558"/>
      <c r="J499" s="559"/>
      <c r="K499" s="558"/>
      <c r="L499" s="559"/>
      <c r="M499" s="558"/>
      <c r="N499" s="559"/>
      <c r="O499" s="558"/>
      <c r="P499" s="559"/>
      <c r="Q499" s="558"/>
      <c r="R499" s="559"/>
      <c r="S499" s="558"/>
      <c r="T499" s="559"/>
      <c r="U499" s="571"/>
      <c r="V499" s="572"/>
    </row>
  </sheetData>
  <sheetProtection sheet="1" objects="1" scenarios="1" formatCells="0" formatColumns="0" formatRows="0" insertColumns="0" insertRows="0" insertHyperlinks="0" deleteColumns="0" deleteRows="0" sort="0" autoFilter="0" pivotTables="0"/>
  <dataConsolidate/>
  <mergeCells count="9">
    <mergeCell ref="U1:V1"/>
    <mergeCell ref="Q1:R1"/>
    <mergeCell ref="S1:T1"/>
    <mergeCell ref="G1:H1"/>
    <mergeCell ref="E3:F3"/>
    <mergeCell ref="I1:J1"/>
    <mergeCell ref="K1:L1"/>
    <mergeCell ref="M1:N1"/>
    <mergeCell ref="O1:P1"/>
  </mergeCells>
  <phoneticPr fontId="14" type="noConversion"/>
  <conditionalFormatting sqref="A1">
    <cfRule type="cellIs" dxfId="10282" priority="9" stopIfTrue="1" operator="equal">
      <formula>"NOK"</formula>
    </cfRule>
  </conditionalFormatting>
  <conditionalFormatting sqref="G5:G499">
    <cfRule type="cellIs" dxfId="10281" priority="8" stopIfTrue="1" operator="notEqual">
      <formula>H5</formula>
    </cfRule>
  </conditionalFormatting>
  <conditionalFormatting sqref="I5:I499">
    <cfRule type="cellIs" dxfId="10280" priority="7" stopIfTrue="1" operator="notEqual">
      <formula>J5</formula>
    </cfRule>
  </conditionalFormatting>
  <conditionalFormatting sqref="K5:K499">
    <cfRule type="cellIs" dxfId="10279" priority="6" stopIfTrue="1" operator="notEqual">
      <formula>L5</formula>
    </cfRule>
  </conditionalFormatting>
  <conditionalFormatting sqref="M5:M499">
    <cfRule type="cellIs" dxfId="10278" priority="5" stopIfTrue="1" operator="notEqual">
      <formula>N5</formula>
    </cfRule>
  </conditionalFormatting>
  <conditionalFormatting sqref="O5:O499">
    <cfRule type="cellIs" dxfId="10277" priority="4" stopIfTrue="1" operator="notEqual">
      <formula>P5</formula>
    </cfRule>
  </conditionalFormatting>
  <conditionalFormatting sqref="Q5:Q499">
    <cfRule type="cellIs" dxfId="10276" priority="3" stopIfTrue="1" operator="notEqual">
      <formula>R5</formula>
    </cfRule>
  </conditionalFormatting>
  <conditionalFormatting sqref="S5:S499">
    <cfRule type="cellIs" dxfId="10275" priority="2" stopIfTrue="1" operator="notEqual">
      <formula>T5</formula>
    </cfRule>
  </conditionalFormatting>
  <conditionalFormatting sqref="U5:U499">
    <cfRule type="cellIs" dxfId="10274" priority="1" stopIfTrue="1" operator="notEqual">
      <formula>V5</formula>
    </cfRule>
  </conditionalFormatting>
  <dataValidations count="1">
    <dataValidation type="list" allowBlank="1" showInputMessage="1" showErrorMessage="1" sqref="G1 I1 K1 M1 O1 Q1 S1">
      <formula1>ScrubberThreePhaseVariablesList</formula1>
    </dataValidation>
  </dataValidations>
  <pageMargins left="0.75" right="0.75" top="1" bottom="1" header="0.5" footer="0.5"/>
  <pageSetup paperSize="9"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sheetPr codeName="Sheet65">
    <tabColor rgb="FF92D050"/>
  </sheetPr>
  <dimension ref="A1:U498"/>
  <sheetViews>
    <sheetView showGridLines="0" zoomScale="85" zoomScaleNormal="85" workbookViewId="0">
      <pane xSplit="6" ySplit="4" topLeftCell="O5" activePane="bottomRight" state="frozenSplit"/>
      <selection activeCell="I6" sqref="I6"/>
      <selection pane="topRight" activeCell="I6" sqref="I6"/>
      <selection pane="bottomLeft" activeCell="I6" sqref="I6"/>
      <selection pane="bottomRight" activeCell="R14" sqref="R14"/>
    </sheetView>
  </sheetViews>
  <sheetFormatPr defaultRowHeight="12.75"/>
  <cols>
    <col min="1" max="1" width="30.625" style="28" customWidth="1"/>
    <col min="2" max="2" width="7.125" style="28" customWidth="1"/>
    <col min="3" max="3" width="8.875" style="29"/>
    <col min="4" max="4" width="16" style="28" customWidth="1"/>
    <col min="5" max="5" width="16.625" style="28" customWidth="1"/>
    <col min="6" max="6" width="16.625" style="30" customWidth="1"/>
    <col min="7" max="7" width="9.75" style="31" customWidth="1"/>
    <col min="8" max="8" width="9.75" style="32" customWidth="1"/>
    <col min="9" max="9" width="9.75" style="31" customWidth="1"/>
    <col min="10" max="10" width="9.75" style="32" customWidth="1"/>
    <col min="11" max="11" width="11.25" style="31" customWidth="1"/>
    <col min="12" max="12" width="9.75" style="32" customWidth="1"/>
    <col min="13" max="13" width="9.75" style="560" customWidth="1"/>
    <col min="14" max="14" width="9.75" style="561" customWidth="1"/>
    <col min="15" max="15" width="9.75" style="573" customWidth="1"/>
    <col min="16" max="16" width="9.75" style="574" customWidth="1"/>
    <col min="17" max="17" width="1.25" style="6" customWidth="1"/>
    <col min="18" max="21" width="12.625" style="6" customWidth="1"/>
    <col min="22" max="264" width="8.875" style="6"/>
    <col min="265" max="265" width="12" style="6" customWidth="1"/>
    <col min="266" max="266" width="7.125" style="6" customWidth="1"/>
    <col min="267" max="267" width="8.875" style="6"/>
    <col min="268" max="268" width="16" style="6" customWidth="1"/>
    <col min="269" max="269" width="13.75" style="6" customWidth="1"/>
    <col min="270" max="271" width="9.75" style="6" customWidth="1"/>
    <col min="272" max="520" width="8.875" style="6"/>
    <col min="521" max="521" width="12" style="6" customWidth="1"/>
    <col min="522" max="522" width="7.125" style="6" customWidth="1"/>
    <col min="523" max="523" width="8.875" style="6"/>
    <col min="524" max="524" width="16" style="6" customWidth="1"/>
    <col min="525" max="525" width="13.75" style="6" customWidth="1"/>
    <col min="526" max="527" width="9.75" style="6" customWidth="1"/>
    <col min="528" max="776" width="8.875" style="6"/>
    <col min="777" max="777" width="12" style="6" customWidth="1"/>
    <col min="778" max="778" width="7.125" style="6" customWidth="1"/>
    <col min="779" max="779" width="8.875" style="6"/>
    <col min="780" max="780" width="16" style="6" customWidth="1"/>
    <col min="781" max="781" width="13.75" style="6" customWidth="1"/>
    <col min="782" max="783" width="9.75" style="6" customWidth="1"/>
    <col min="784" max="1032" width="8.875" style="6"/>
    <col min="1033" max="1033" width="12" style="6" customWidth="1"/>
    <col min="1034" max="1034" width="7.125" style="6" customWidth="1"/>
    <col min="1035" max="1035" width="8.875" style="6"/>
    <col min="1036" max="1036" width="16" style="6" customWidth="1"/>
    <col min="1037" max="1037" width="13.75" style="6" customWidth="1"/>
    <col min="1038" max="1039" width="9.75" style="6" customWidth="1"/>
    <col min="1040" max="1288" width="8.875" style="6"/>
    <col min="1289" max="1289" width="12" style="6" customWidth="1"/>
    <col min="1290" max="1290" width="7.125" style="6" customWidth="1"/>
    <col min="1291" max="1291" width="8.875" style="6"/>
    <col min="1292" max="1292" width="16" style="6" customWidth="1"/>
    <col min="1293" max="1293" width="13.75" style="6" customWidth="1"/>
    <col min="1294" max="1295" width="9.75" style="6" customWidth="1"/>
    <col min="1296" max="1544" width="8.875" style="6"/>
    <col min="1545" max="1545" width="12" style="6" customWidth="1"/>
    <col min="1546" max="1546" width="7.125" style="6" customWidth="1"/>
    <col min="1547" max="1547" width="8.875" style="6"/>
    <col min="1548" max="1548" width="16" style="6" customWidth="1"/>
    <col min="1549" max="1549" width="13.75" style="6" customWidth="1"/>
    <col min="1550" max="1551" width="9.75" style="6" customWidth="1"/>
    <col min="1552" max="1800" width="8.875" style="6"/>
    <col min="1801" max="1801" width="12" style="6" customWidth="1"/>
    <col min="1802" max="1802" width="7.125" style="6" customWidth="1"/>
    <col min="1803" max="1803" width="8.875" style="6"/>
    <col min="1804" max="1804" width="16" style="6" customWidth="1"/>
    <col min="1805" max="1805" width="13.75" style="6" customWidth="1"/>
    <col min="1806" max="1807" width="9.75" style="6" customWidth="1"/>
    <col min="1808" max="2056" width="8.875" style="6"/>
    <col min="2057" max="2057" width="12" style="6" customWidth="1"/>
    <col min="2058" max="2058" width="7.125" style="6" customWidth="1"/>
    <col min="2059" max="2059" width="8.875" style="6"/>
    <col min="2060" max="2060" width="16" style="6" customWidth="1"/>
    <col min="2061" max="2061" width="13.75" style="6" customWidth="1"/>
    <col min="2062" max="2063" width="9.75" style="6" customWidth="1"/>
    <col min="2064" max="2312" width="8.875" style="6"/>
    <col min="2313" max="2313" width="12" style="6" customWidth="1"/>
    <col min="2314" max="2314" width="7.125" style="6" customWidth="1"/>
    <col min="2315" max="2315" width="8.875" style="6"/>
    <col min="2316" max="2316" width="16" style="6" customWidth="1"/>
    <col min="2317" max="2317" width="13.75" style="6" customWidth="1"/>
    <col min="2318" max="2319" width="9.75" style="6" customWidth="1"/>
    <col min="2320" max="2568" width="8.875" style="6"/>
    <col min="2569" max="2569" width="12" style="6" customWidth="1"/>
    <col min="2570" max="2570" width="7.125" style="6" customWidth="1"/>
    <col min="2571" max="2571" width="8.875" style="6"/>
    <col min="2572" max="2572" width="16" style="6" customWidth="1"/>
    <col min="2573" max="2573" width="13.75" style="6" customWidth="1"/>
    <col min="2574" max="2575" width="9.75" style="6" customWidth="1"/>
    <col min="2576" max="2824" width="8.875" style="6"/>
    <col min="2825" max="2825" width="12" style="6" customWidth="1"/>
    <col min="2826" max="2826" width="7.125" style="6" customWidth="1"/>
    <col min="2827" max="2827" width="8.875" style="6"/>
    <col min="2828" max="2828" width="16" style="6" customWidth="1"/>
    <col min="2829" max="2829" width="13.75" style="6" customWidth="1"/>
    <col min="2830" max="2831" width="9.75" style="6" customWidth="1"/>
    <col min="2832" max="3080" width="8.875" style="6"/>
    <col min="3081" max="3081" width="12" style="6" customWidth="1"/>
    <col min="3082" max="3082" width="7.125" style="6" customWidth="1"/>
    <col min="3083" max="3083" width="8.875" style="6"/>
    <col min="3084" max="3084" width="16" style="6" customWidth="1"/>
    <col min="3085" max="3085" width="13.75" style="6" customWidth="1"/>
    <col min="3086" max="3087" width="9.75" style="6" customWidth="1"/>
    <col min="3088" max="3336" width="8.875" style="6"/>
    <col min="3337" max="3337" width="12" style="6" customWidth="1"/>
    <col min="3338" max="3338" width="7.125" style="6" customWidth="1"/>
    <col min="3339" max="3339" width="8.875" style="6"/>
    <col min="3340" max="3340" width="16" style="6" customWidth="1"/>
    <col min="3341" max="3341" width="13.75" style="6" customWidth="1"/>
    <col min="3342" max="3343" width="9.75" style="6" customWidth="1"/>
    <col min="3344" max="3592" width="8.875" style="6"/>
    <col min="3593" max="3593" width="12" style="6" customWidth="1"/>
    <col min="3594" max="3594" width="7.125" style="6" customWidth="1"/>
    <col min="3595" max="3595" width="8.875" style="6"/>
    <col min="3596" max="3596" width="16" style="6" customWidth="1"/>
    <col min="3597" max="3597" width="13.75" style="6" customWidth="1"/>
    <col min="3598" max="3599" width="9.75" style="6" customWidth="1"/>
    <col min="3600" max="3848" width="8.875" style="6"/>
    <col min="3849" max="3849" width="12" style="6" customWidth="1"/>
    <col min="3850" max="3850" width="7.125" style="6" customWidth="1"/>
    <col min="3851" max="3851" width="8.875" style="6"/>
    <col min="3852" max="3852" width="16" style="6" customWidth="1"/>
    <col min="3853" max="3853" width="13.75" style="6" customWidth="1"/>
    <col min="3854" max="3855" width="9.75" style="6" customWidth="1"/>
    <col min="3856" max="4104" width="8.875" style="6"/>
    <col min="4105" max="4105" width="12" style="6" customWidth="1"/>
    <col min="4106" max="4106" width="7.125" style="6" customWidth="1"/>
    <col min="4107" max="4107" width="8.875" style="6"/>
    <col min="4108" max="4108" width="16" style="6" customWidth="1"/>
    <col min="4109" max="4109" width="13.75" style="6" customWidth="1"/>
    <col min="4110" max="4111" width="9.75" style="6" customWidth="1"/>
    <col min="4112" max="4360" width="8.875" style="6"/>
    <col min="4361" max="4361" width="12" style="6" customWidth="1"/>
    <col min="4362" max="4362" width="7.125" style="6" customWidth="1"/>
    <col min="4363" max="4363" width="8.875" style="6"/>
    <col min="4364" max="4364" width="16" style="6" customWidth="1"/>
    <col min="4365" max="4365" width="13.75" style="6" customWidth="1"/>
    <col min="4366" max="4367" width="9.75" style="6" customWidth="1"/>
    <col min="4368" max="4616" width="8.875" style="6"/>
    <col min="4617" max="4617" width="12" style="6" customWidth="1"/>
    <col min="4618" max="4618" width="7.125" style="6" customWidth="1"/>
    <col min="4619" max="4619" width="8.875" style="6"/>
    <col min="4620" max="4620" width="16" style="6" customWidth="1"/>
    <col min="4621" max="4621" width="13.75" style="6" customWidth="1"/>
    <col min="4622" max="4623" width="9.75" style="6" customWidth="1"/>
    <col min="4624" max="4872" width="8.875" style="6"/>
    <col min="4873" max="4873" width="12" style="6" customWidth="1"/>
    <col min="4874" max="4874" width="7.125" style="6" customWidth="1"/>
    <col min="4875" max="4875" width="8.875" style="6"/>
    <col min="4876" max="4876" width="16" style="6" customWidth="1"/>
    <col min="4877" max="4877" width="13.75" style="6" customWidth="1"/>
    <col min="4878" max="4879" width="9.75" style="6" customWidth="1"/>
    <col min="4880" max="5128" width="8.875" style="6"/>
    <col min="5129" max="5129" width="12" style="6" customWidth="1"/>
    <col min="5130" max="5130" width="7.125" style="6" customWidth="1"/>
    <col min="5131" max="5131" width="8.875" style="6"/>
    <col min="5132" max="5132" width="16" style="6" customWidth="1"/>
    <col min="5133" max="5133" width="13.75" style="6" customWidth="1"/>
    <col min="5134" max="5135" width="9.75" style="6" customWidth="1"/>
    <col min="5136" max="5384" width="8.875" style="6"/>
    <col min="5385" max="5385" width="12" style="6" customWidth="1"/>
    <col min="5386" max="5386" width="7.125" style="6" customWidth="1"/>
    <col min="5387" max="5387" width="8.875" style="6"/>
    <col min="5388" max="5388" width="16" style="6" customWidth="1"/>
    <col min="5389" max="5389" width="13.75" style="6" customWidth="1"/>
    <col min="5390" max="5391" width="9.75" style="6" customWidth="1"/>
    <col min="5392" max="5640" width="8.875" style="6"/>
    <col min="5641" max="5641" width="12" style="6" customWidth="1"/>
    <col min="5642" max="5642" width="7.125" style="6" customWidth="1"/>
    <col min="5643" max="5643" width="8.875" style="6"/>
    <col min="5644" max="5644" width="16" style="6" customWidth="1"/>
    <col min="5645" max="5645" width="13.75" style="6" customWidth="1"/>
    <col min="5646" max="5647" width="9.75" style="6" customWidth="1"/>
    <col min="5648" max="5896" width="8.875" style="6"/>
    <col min="5897" max="5897" width="12" style="6" customWidth="1"/>
    <col min="5898" max="5898" width="7.125" style="6" customWidth="1"/>
    <col min="5899" max="5899" width="8.875" style="6"/>
    <col min="5900" max="5900" width="16" style="6" customWidth="1"/>
    <col min="5901" max="5901" width="13.75" style="6" customWidth="1"/>
    <col min="5902" max="5903" width="9.75" style="6" customWidth="1"/>
    <col min="5904" max="6152" width="8.875" style="6"/>
    <col min="6153" max="6153" width="12" style="6" customWidth="1"/>
    <col min="6154" max="6154" width="7.125" style="6" customWidth="1"/>
    <col min="6155" max="6155" width="8.875" style="6"/>
    <col min="6156" max="6156" width="16" style="6" customWidth="1"/>
    <col min="6157" max="6157" width="13.75" style="6" customWidth="1"/>
    <col min="6158" max="6159" width="9.75" style="6" customWidth="1"/>
    <col min="6160" max="6408" width="8.875" style="6"/>
    <col min="6409" max="6409" width="12" style="6" customWidth="1"/>
    <col min="6410" max="6410" width="7.125" style="6" customWidth="1"/>
    <col min="6411" max="6411" width="8.875" style="6"/>
    <col min="6412" max="6412" width="16" style="6" customWidth="1"/>
    <col min="6413" max="6413" width="13.75" style="6" customWidth="1"/>
    <col min="6414" max="6415" width="9.75" style="6" customWidth="1"/>
    <col min="6416" max="6664" width="8.875" style="6"/>
    <col min="6665" max="6665" width="12" style="6" customWidth="1"/>
    <col min="6666" max="6666" width="7.125" style="6" customWidth="1"/>
    <col min="6667" max="6667" width="8.875" style="6"/>
    <col min="6668" max="6668" width="16" style="6" customWidth="1"/>
    <col min="6669" max="6669" width="13.75" style="6" customWidth="1"/>
    <col min="6670" max="6671" width="9.75" style="6" customWidth="1"/>
    <col min="6672" max="6920" width="8.875" style="6"/>
    <col min="6921" max="6921" width="12" style="6" customWidth="1"/>
    <col min="6922" max="6922" width="7.125" style="6" customWidth="1"/>
    <col min="6923" max="6923" width="8.875" style="6"/>
    <col min="6924" max="6924" width="16" style="6" customWidth="1"/>
    <col min="6925" max="6925" width="13.75" style="6" customWidth="1"/>
    <col min="6926" max="6927" width="9.75" style="6" customWidth="1"/>
    <col min="6928" max="7176" width="8.875" style="6"/>
    <col min="7177" max="7177" width="12" style="6" customWidth="1"/>
    <col min="7178" max="7178" width="7.125" style="6" customWidth="1"/>
    <col min="7179" max="7179" width="8.875" style="6"/>
    <col min="7180" max="7180" width="16" style="6" customWidth="1"/>
    <col min="7181" max="7181" width="13.75" style="6" customWidth="1"/>
    <col min="7182" max="7183" width="9.75" style="6" customWidth="1"/>
    <col min="7184" max="7432" width="8.875" style="6"/>
    <col min="7433" max="7433" width="12" style="6" customWidth="1"/>
    <col min="7434" max="7434" width="7.125" style="6" customWidth="1"/>
    <col min="7435" max="7435" width="8.875" style="6"/>
    <col min="7436" max="7436" width="16" style="6" customWidth="1"/>
    <col min="7437" max="7437" width="13.75" style="6" customWidth="1"/>
    <col min="7438" max="7439" width="9.75" style="6" customWidth="1"/>
    <col min="7440" max="7688" width="8.875" style="6"/>
    <col min="7689" max="7689" width="12" style="6" customWidth="1"/>
    <col min="7690" max="7690" width="7.125" style="6" customWidth="1"/>
    <col min="7691" max="7691" width="8.875" style="6"/>
    <col min="7692" max="7692" width="16" style="6" customWidth="1"/>
    <col min="7693" max="7693" width="13.75" style="6" customWidth="1"/>
    <col min="7694" max="7695" width="9.75" style="6" customWidth="1"/>
    <col min="7696" max="7944" width="8.875" style="6"/>
    <col min="7945" max="7945" width="12" style="6" customWidth="1"/>
    <col min="7946" max="7946" width="7.125" style="6" customWidth="1"/>
    <col min="7947" max="7947" width="8.875" style="6"/>
    <col min="7948" max="7948" width="16" style="6" customWidth="1"/>
    <col min="7949" max="7949" width="13.75" style="6" customWidth="1"/>
    <col min="7950" max="7951" width="9.75" style="6" customWidth="1"/>
    <col min="7952" max="8200" width="8.875" style="6"/>
    <col min="8201" max="8201" width="12" style="6" customWidth="1"/>
    <col min="8202" max="8202" width="7.125" style="6" customWidth="1"/>
    <col min="8203" max="8203" width="8.875" style="6"/>
    <col min="8204" max="8204" width="16" style="6" customWidth="1"/>
    <col min="8205" max="8205" width="13.75" style="6" customWidth="1"/>
    <col min="8206" max="8207" width="9.75" style="6" customWidth="1"/>
    <col min="8208" max="8456" width="8.875" style="6"/>
    <col min="8457" max="8457" width="12" style="6" customWidth="1"/>
    <col min="8458" max="8458" width="7.125" style="6" customWidth="1"/>
    <col min="8459" max="8459" width="8.875" style="6"/>
    <col min="8460" max="8460" width="16" style="6" customWidth="1"/>
    <col min="8461" max="8461" width="13.75" style="6" customWidth="1"/>
    <col min="8462" max="8463" width="9.75" style="6" customWidth="1"/>
    <col min="8464" max="8712" width="8.875" style="6"/>
    <col min="8713" max="8713" width="12" style="6" customWidth="1"/>
    <col min="8714" max="8714" width="7.125" style="6" customWidth="1"/>
    <col min="8715" max="8715" width="8.875" style="6"/>
    <col min="8716" max="8716" width="16" style="6" customWidth="1"/>
    <col min="8717" max="8717" width="13.75" style="6" customWidth="1"/>
    <col min="8718" max="8719" width="9.75" style="6" customWidth="1"/>
    <col min="8720" max="8968" width="8.875" style="6"/>
    <col min="8969" max="8969" width="12" style="6" customWidth="1"/>
    <col min="8970" max="8970" width="7.125" style="6" customWidth="1"/>
    <col min="8971" max="8971" width="8.875" style="6"/>
    <col min="8972" max="8972" width="16" style="6" customWidth="1"/>
    <col min="8973" max="8973" width="13.75" style="6" customWidth="1"/>
    <col min="8974" max="8975" width="9.75" style="6" customWidth="1"/>
    <col min="8976" max="9224" width="8.875" style="6"/>
    <col min="9225" max="9225" width="12" style="6" customWidth="1"/>
    <col min="9226" max="9226" width="7.125" style="6" customWidth="1"/>
    <col min="9227" max="9227" width="8.875" style="6"/>
    <col min="9228" max="9228" width="16" style="6" customWidth="1"/>
    <col min="9229" max="9229" width="13.75" style="6" customWidth="1"/>
    <col min="9230" max="9231" width="9.75" style="6" customWidth="1"/>
    <col min="9232" max="9480" width="8.875" style="6"/>
    <col min="9481" max="9481" width="12" style="6" customWidth="1"/>
    <col min="9482" max="9482" width="7.125" style="6" customWidth="1"/>
    <col min="9483" max="9483" width="8.875" style="6"/>
    <col min="9484" max="9484" width="16" style="6" customWidth="1"/>
    <col min="9485" max="9485" width="13.75" style="6" customWidth="1"/>
    <col min="9486" max="9487" width="9.75" style="6" customWidth="1"/>
    <col min="9488" max="9736" width="8.875" style="6"/>
    <col min="9737" max="9737" width="12" style="6" customWidth="1"/>
    <col min="9738" max="9738" width="7.125" style="6" customWidth="1"/>
    <col min="9739" max="9739" width="8.875" style="6"/>
    <col min="9740" max="9740" width="16" style="6" customWidth="1"/>
    <col min="9741" max="9741" width="13.75" style="6" customWidth="1"/>
    <col min="9742" max="9743" width="9.75" style="6" customWidth="1"/>
    <col min="9744" max="9992" width="8.875" style="6"/>
    <col min="9993" max="9993" width="12" style="6" customWidth="1"/>
    <col min="9994" max="9994" width="7.125" style="6" customWidth="1"/>
    <col min="9995" max="9995" width="8.875" style="6"/>
    <col min="9996" max="9996" width="16" style="6" customWidth="1"/>
    <col min="9997" max="9997" width="13.75" style="6" customWidth="1"/>
    <col min="9998" max="9999" width="9.75" style="6" customWidth="1"/>
    <col min="10000" max="10248" width="8.875" style="6"/>
    <col min="10249" max="10249" width="12" style="6" customWidth="1"/>
    <col min="10250" max="10250" width="7.125" style="6" customWidth="1"/>
    <col min="10251" max="10251" width="8.875" style="6"/>
    <col min="10252" max="10252" width="16" style="6" customWidth="1"/>
    <col min="10253" max="10253" width="13.75" style="6" customWidth="1"/>
    <col min="10254" max="10255" width="9.75" style="6" customWidth="1"/>
    <col min="10256" max="10504" width="8.875" style="6"/>
    <col min="10505" max="10505" width="12" style="6" customWidth="1"/>
    <col min="10506" max="10506" width="7.125" style="6" customWidth="1"/>
    <col min="10507" max="10507" width="8.875" style="6"/>
    <col min="10508" max="10508" width="16" style="6" customWidth="1"/>
    <col min="10509" max="10509" width="13.75" style="6" customWidth="1"/>
    <col min="10510" max="10511" width="9.75" style="6" customWidth="1"/>
    <col min="10512" max="10760" width="8.875" style="6"/>
    <col min="10761" max="10761" width="12" style="6" customWidth="1"/>
    <col min="10762" max="10762" width="7.125" style="6" customWidth="1"/>
    <col min="10763" max="10763" width="8.875" style="6"/>
    <col min="10764" max="10764" width="16" style="6" customWidth="1"/>
    <col min="10765" max="10765" width="13.75" style="6" customWidth="1"/>
    <col min="10766" max="10767" width="9.75" style="6" customWidth="1"/>
    <col min="10768" max="11016" width="8.875" style="6"/>
    <col min="11017" max="11017" width="12" style="6" customWidth="1"/>
    <col min="11018" max="11018" width="7.125" style="6" customWidth="1"/>
    <col min="11019" max="11019" width="8.875" style="6"/>
    <col min="11020" max="11020" width="16" style="6" customWidth="1"/>
    <col min="11021" max="11021" width="13.75" style="6" customWidth="1"/>
    <col min="11022" max="11023" width="9.75" style="6" customWidth="1"/>
    <col min="11024" max="11272" width="8.875" style="6"/>
    <col min="11273" max="11273" width="12" style="6" customWidth="1"/>
    <col min="11274" max="11274" width="7.125" style="6" customWidth="1"/>
    <col min="11275" max="11275" width="8.875" style="6"/>
    <col min="11276" max="11276" width="16" style="6" customWidth="1"/>
    <col min="11277" max="11277" width="13.75" style="6" customWidth="1"/>
    <col min="11278" max="11279" width="9.75" style="6" customWidth="1"/>
    <col min="11280" max="11528" width="8.875" style="6"/>
    <col min="11529" max="11529" width="12" style="6" customWidth="1"/>
    <col min="11530" max="11530" width="7.125" style="6" customWidth="1"/>
    <col min="11531" max="11531" width="8.875" style="6"/>
    <col min="11532" max="11532" width="16" style="6" customWidth="1"/>
    <col min="11533" max="11533" width="13.75" style="6" customWidth="1"/>
    <col min="11534" max="11535" width="9.75" style="6" customWidth="1"/>
    <col min="11536" max="11784" width="8.875" style="6"/>
    <col min="11785" max="11785" width="12" style="6" customWidth="1"/>
    <col min="11786" max="11786" width="7.125" style="6" customWidth="1"/>
    <col min="11787" max="11787" width="8.875" style="6"/>
    <col min="11788" max="11788" width="16" style="6" customWidth="1"/>
    <col min="11789" max="11789" width="13.75" style="6" customWidth="1"/>
    <col min="11790" max="11791" width="9.75" style="6" customWidth="1"/>
    <col min="11792" max="12040" width="8.875" style="6"/>
    <col min="12041" max="12041" width="12" style="6" customWidth="1"/>
    <col min="12042" max="12042" width="7.125" style="6" customWidth="1"/>
    <col min="12043" max="12043" width="8.875" style="6"/>
    <col min="12044" max="12044" width="16" style="6" customWidth="1"/>
    <col min="12045" max="12045" width="13.75" style="6" customWidth="1"/>
    <col min="12046" max="12047" width="9.75" style="6" customWidth="1"/>
    <col min="12048" max="12296" width="8.875" style="6"/>
    <col min="12297" max="12297" width="12" style="6" customWidth="1"/>
    <col min="12298" max="12298" width="7.125" style="6" customWidth="1"/>
    <col min="12299" max="12299" width="8.875" style="6"/>
    <col min="12300" max="12300" width="16" style="6" customWidth="1"/>
    <col min="12301" max="12301" width="13.75" style="6" customWidth="1"/>
    <col min="12302" max="12303" width="9.75" style="6" customWidth="1"/>
    <col min="12304" max="12552" width="8.875" style="6"/>
    <col min="12553" max="12553" width="12" style="6" customWidth="1"/>
    <col min="12554" max="12554" width="7.125" style="6" customWidth="1"/>
    <col min="12555" max="12555" width="8.875" style="6"/>
    <col min="12556" max="12556" width="16" style="6" customWidth="1"/>
    <col min="12557" max="12557" width="13.75" style="6" customWidth="1"/>
    <col min="12558" max="12559" width="9.75" style="6" customWidth="1"/>
    <col min="12560" max="12808" width="8.875" style="6"/>
    <col min="12809" max="12809" width="12" style="6" customWidth="1"/>
    <col min="12810" max="12810" width="7.125" style="6" customWidth="1"/>
    <col min="12811" max="12811" width="8.875" style="6"/>
    <col min="12812" max="12812" width="16" style="6" customWidth="1"/>
    <col min="12813" max="12813" width="13.75" style="6" customWidth="1"/>
    <col min="12814" max="12815" width="9.75" style="6" customWidth="1"/>
    <col min="12816" max="13064" width="8.875" style="6"/>
    <col min="13065" max="13065" width="12" style="6" customWidth="1"/>
    <col min="13066" max="13066" width="7.125" style="6" customWidth="1"/>
    <col min="13067" max="13067" width="8.875" style="6"/>
    <col min="13068" max="13068" width="16" style="6" customWidth="1"/>
    <col min="13069" max="13069" width="13.75" style="6" customWidth="1"/>
    <col min="13070" max="13071" width="9.75" style="6" customWidth="1"/>
    <col min="13072" max="13320" width="8.875" style="6"/>
    <col min="13321" max="13321" width="12" style="6" customWidth="1"/>
    <col min="13322" max="13322" width="7.125" style="6" customWidth="1"/>
    <col min="13323" max="13323" width="8.875" style="6"/>
    <col min="13324" max="13324" width="16" style="6" customWidth="1"/>
    <col min="13325" max="13325" width="13.75" style="6" customWidth="1"/>
    <col min="13326" max="13327" width="9.75" style="6" customWidth="1"/>
    <col min="13328" max="13576" width="8.875" style="6"/>
    <col min="13577" max="13577" width="12" style="6" customWidth="1"/>
    <col min="13578" max="13578" width="7.125" style="6" customWidth="1"/>
    <col min="13579" max="13579" width="8.875" style="6"/>
    <col min="13580" max="13580" width="16" style="6" customWidth="1"/>
    <col min="13581" max="13581" width="13.75" style="6" customWidth="1"/>
    <col min="13582" max="13583" width="9.75" style="6" customWidth="1"/>
    <col min="13584" max="13832" width="8.875" style="6"/>
    <col min="13833" max="13833" width="12" style="6" customWidth="1"/>
    <col min="13834" max="13834" width="7.125" style="6" customWidth="1"/>
    <col min="13835" max="13835" width="8.875" style="6"/>
    <col min="13836" max="13836" width="16" style="6" customWidth="1"/>
    <col min="13837" max="13837" width="13.75" style="6" customWidth="1"/>
    <col min="13838" max="13839" width="9.75" style="6" customWidth="1"/>
    <col min="13840" max="14088" width="8.875" style="6"/>
    <col min="14089" max="14089" width="12" style="6" customWidth="1"/>
    <col min="14090" max="14090" width="7.125" style="6" customWidth="1"/>
    <col min="14091" max="14091" width="8.875" style="6"/>
    <col min="14092" max="14092" width="16" style="6" customWidth="1"/>
    <col min="14093" max="14093" width="13.75" style="6" customWidth="1"/>
    <col min="14094" max="14095" width="9.75" style="6" customWidth="1"/>
    <col min="14096" max="14344" width="8.875" style="6"/>
    <col min="14345" max="14345" width="12" style="6" customWidth="1"/>
    <col min="14346" max="14346" width="7.125" style="6" customWidth="1"/>
    <col min="14347" max="14347" width="8.875" style="6"/>
    <col min="14348" max="14348" width="16" style="6" customWidth="1"/>
    <col min="14349" max="14349" width="13.75" style="6" customWidth="1"/>
    <col min="14350" max="14351" width="9.75" style="6" customWidth="1"/>
    <col min="14352" max="14600" width="8.875" style="6"/>
    <col min="14601" max="14601" width="12" style="6" customWidth="1"/>
    <col min="14602" max="14602" width="7.125" style="6" customWidth="1"/>
    <col min="14603" max="14603" width="8.875" style="6"/>
    <col min="14604" max="14604" width="16" style="6" customWidth="1"/>
    <col min="14605" max="14605" width="13.75" style="6" customWidth="1"/>
    <col min="14606" max="14607" width="9.75" style="6" customWidth="1"/>
    <col min="14608" max="14856" width="8.875" style="6"/>
    <col min="14857" max="14857" width="12" style="6" customWidth="1"/>
    <col min="14858" max="14858" width="7.125" style="6" customWidth="1"/>
    <col min="14859" max="14859" width="8.875" style="6"/>
    <col min="14860" max="14860" width="16" style="6" customWidth="1"/>
    <col min="14861" max="14861" width="13.75" style="6" customWidth="1"/>
    <col min="14862" max="14863" width="9.75" style="6" customWidth="1"/>
    <col min="14864" max="15112" width="8.875" style="6"/>
    <col min="15113" max="15113" width="12" style="6" customWidth="1"/>
    <col min="15114" max="15114" width="7.125" style="6" customWidth="1"/>
    <col min="15115" max="15115" width="8.875" style="6"/>
    <col min="15116" max="15116" width="16" style="6" customWidth="1"/>
    <col min="15117" max="15117" width="13.75" style="6" customWidth="1"/>
    <col min="15118" max="15119" width="9.75" style="6" customWidth="1"/>
    <col min="15120" max="15368" width="8.875" style="6"/>
    <col min="15369" max="15369" width="12" style="6" customWidth="1"/>
    <col min="15370" max="15370" width="7.125" style="6" customWidth="1"/>
    <col min="15371" max="15371" width="8.875" style="6"/>
    <col min="15372" max="15372" width="16" style="6" customWidth="1"/>
    <col min="15373" max="15373" width="13.75" style="6" customWidth="1"/>
    <col min="15374" max="15375" width="9.75" style="6" customWidth="1"/>
    <col min="15376" max="15624" width="8.875" style="6"/>
    <col min="15625" max="15625" width="12" style="6" customWidth="1"/>
    <col min="15626" max="15626" width="7.125" style="6" customWidth="1"/>
    <col min="15627" max="15627" width="8.875" style="6"/>
    <col min="15628" max="15628" width="16" style="6" customWidth="1"/>
    <col min="15629" max="15629" width="13.75" style="6" customWidth="1"/>
    <col min="15630" max="15631" width="9.75" style="6" customWidth="1"/>
    <col min="15632" max="15880" width="8.875" style="6"/>
    <col min="15881" max="15881" width="12" style="6" customWidth="1"/>
    <col min="15882" max="15882" width="7.125" style="6" customWidth="1"/>
    <col min="15883" max="15883" width="8.875" style="6"/>
    <col min="15884" max="15884" width="16" style="6" customWidth="1"/>
    <col min="15885" max="15885" width="13.75" style="6" customWidth="1"/>
    <col min="15886" max="15887" width="9.75" style="6" customWidth="1"/>
    <col min="15888" max="16136" width="8.875" style="6"/>
    <col min="16137" max="16137" width="12" style="6" customWidth="1"/>
    <col min="16138" max="16138" width="7.125" style="6" customWidth="1"/>
    <col min="16139" max="16139" width="8.875" style="6"/>
    <col min="16140" max="16140" width="16" style="6" customWidth="1"/>
    <col min="16141" max="16141" width="13.75" style="6" customWidth="1"/>
    <col min="16142" max="16143" width="9.75" style="6" customWidth="1"/>
    <col min="16144" max="16384" width="8.875" style="6"/>
  </cols>
  <sheetData>
    <row r="1" spans="1:21" s="2" customFormat="1" ht="23.25" customHeight="1" thickBot="1">
      <c r="A1" s="1" t="e">
        <f>IF(SUM(2:2)=0,"OK","NOK")</f>
        <v>#DIV/0!</v>
      </c>
      <c r="F1" s="43" t="s">
        <v>4914</v>
      </c>
      <c r="G1" s="1085" t="s">
        <v>355</v>
      </c>
      <c r="H1" s="1086"/>
      <c r="I1" s="1085" t="s">
        <v>4603</v>
      </c>
      <c r="J1" s="1086"/>
      <c r="K1" s="1085" t="s">
        <v>8272</v>
      </c>
      <c r="L1" s="1086"/>
      <c r="M1" s="1085" t="s">
        <v>8279</v>
      </c>
      <c r="N1" s="1086"/>
      <c r="O1" s="1085" t="s">
        <v>8289</v>
      </c>
      <c r="P1" s="1086"/>
      <c r="Q1" s="44"/>
      <c r="R1" s="48" t="s">
        <v>10</v>
      </c>
    </row>
    <row r="2" spans="1:21" ht="13.5" thickBot="1">
      <c r="A2" s="3"/>
      <c r="B2" s="3"/>
      <c r="C2" s="3"/>
      <c r="D2" s="3"/>
      <c r="E2" s="3"/>
      <c r="F2" s="2"/>
      <c r="G2" s="4" t="s">
        <v>0</v>
      </c>
      <c r="H2" s="5">
        <f>SUMX2MY2(G5:G4998,H5:H4998)</f>
        <v>0</v>
      </c>
      <c r="I2" s="4" t="s">
        <v>0</v>
      </c>
      <c r="J2" s="5">
        <f>SUMX2MY2(I5:I4998,J5:J4998)</f>
        <v>9.0568249323297323E-4</v>
      </c>
      <c r="K2" s="4" t="s">
        <v>0</v>
      </c>
      <c r="L2" s="5" t="e">
        <f>SUMX2MY2(K5:K4998,L5:L4998)</f>
        <v>#DIV/0!</v>
      </c>
      <c r="M2" s="552" t="s">
        <v>0</v>
      </c>
      <c r="N2" s="183" t="e">
        <f>SUMX2MY2(M5:M4999,N5:N4999)</f>
        <v>#DIV/0!</v>
      </c>
      <c r="O2" s="567" t="s">
        <v>0</v>
      </c>
      <c r="P2" s="183">
        <f>SUMX2MY2(O5:O4999,P5:P4999)</f>
        <v>-2.1624076868827696E-2</v>
      </c>
    </row>
    <row r="3" spans="1:21" ht="27.75" customHeight="1">
      <c r="A3" s="35" t="s">
        <v>1</v>
      </c>
      <c r="B3" s="36" t="s">
        <v>2</v>
      </c>
      <c r="C3" s="36" t="s">
        <v>3</v>
      </c>
      <c r="D3" s="36" t="s">
        <v>4</v>
      </c>
      <c r="E3" s="1087" t="s">
        <v>7</v>
      </c>
      <c r="F3" s="1088"/>
      <c r="G3" s="7" t="s">
        <v>5</v>
      </c>
      <c r="H3" s="8" t="s">
        <v>6</v>
      </c>
      <c r="I3" s="7" t="s">
        <v>5</v>
      </c>
      <c r="J3" s="8" t="s">
        <v>6</v>
      </c>
      <c r="K3" s="7" t="s">
        <v>5</v>
      </c>
      <c r="L3" s="8" t="s">
        <v>6</v>
      </c>
      <c r="M3" s="553" t="s">
        <v>5</v>
      </c>
      <c r="N3" s="554" t="s">
        <v>6</v>
      </c>
      <c r="O3" s="568" t="s">
        <v>5</v>
      </c>
      <c r="P3" s="569" t="s">
        <v>6</v>
      </c>
    </row>
    <row r="4" spans="1:21" ht="15.75" customHeight="1" thickBot="1">
      <c r="A4" s="34"/>
      <c r="B4" s="33"/>
      <c r="C4" s="33"/>
      <c r="D4" s="33"/>
      <c r="E4" s="41" t="s">
        <v>9</v>
      </c>
      <c r="F4" s="42" t="s">
        <v>8</v>
      </c>
      <c r="G4" s="38">
        <v>0</v>
      </c>
      <c r="H4" s="39">
        <v>0</v>
      </c>
      <c r="I4" s="38">
        <v>0</v>
      </c>
      <c r="J4" s="39">
        <v>0</v>
      </c>
      <c r="K4" s="38">
        <v>0</v>
      </c>
      <c r="L4" s="39">
        <v>0</v>
      </c>
      <c r="M4" s="562">
        <v>0</v>
      </c>
      <c r="N4" s="563">
        <v>0</v>
      </c>
      <c r="O4" s="575">
        <v>0</v>
      </c>
      <c r="P4" s="576">
        <v>0</v>
      </c>
      <c r="R4" s="828" t="s">
        <v>10518</v>
      </c>
      <c r="S4" s="829" t="s">
        <v>10519</v>
      </c>
      <c r="T4" s="829" t="s">
        <v>10520</v>
      </c>
      <c r="U4" s="836" t="s">
        <v>10521</v>
      </c>
    </row>
    <row r="5" spans="1:21" s="471" customFormat="1">
      <c r="A5" s="201" t="str">
        <f>VLOOKUP($F5,Drum_from_BP!$J:$M,2,0)</f>
        <v>0002-05-21-0008-Old.tif</v>
      </c>
      <c r="B5" s="200"/>
      <c r="C5" s="474"/>
      <c r="D5" s="480"/>
      <c r="E5" s="609"/>
      <c r="F5" s="556" t="s">
        <v>7780</v>
      </c>
      <c r="G5" s="783">
        <v>0.95</v>
      </c>
      <c r="H5" s="460">
        <f>VLOOKUP($F5,Drum_from_BP!$J:$M,4,0)</f>
        <v>0.95</v>
      </c>
      <c r="I5" s="783">
        <v>2.96266265256935</v>
      </c>
      <c r="J5" s="460">
        <f>U5</f>
        <v>2.962662652569354</v>
      </c>
      <c r="K5" s="783">
        <v>169657.73989693599</v>
      </c>
      <c r="L5" s="476"/>
      <c r="M5" s="783">
        <v>324.70120343083101</v>
      </c>
      <c r="N5" s="460"/>
      <c r="O5" s="783">
        <v>2.0999995631074002</v>
      </c>
      <c r="P5" s="460">
        <v>2.1</v>
      </c>
      <c r="R5" s="883">
        <v>2.1</v>
      </c>
      <c r="S5" s="831">
        <v>0.95</v>
      </c>
      <c r="T5" s="831">
        <v>2.8</v>
      </c>
      <c r="U5" s="835">
        <f>R5*4/PI()/S5/S5</f>
        <v>2.962662652569354</v>
      </c>
    </row>
    <row r="6" spans="1:21" s="471" customFormat="1">
      <c r="A6" s="201" t="str">
        <f>VLOOKUP($F6,Drum_from_BP!$J:$M,2,0)</f>
        <v>0002-05-21-0026.tif</v>
      </c>
      <c r="B6" s="200"/>
      <c r="C6" s="479"/>
      <c r="D6" s="480"/>
      <c r="E6" s="609"/>
      <c r="F6" s="556" t="s">
        <v>8278</v>
      </c>
      <c r="G6" s="783">
        <v>0.5</v>
      </c>
      <c r="H6" s="460">
        <f>VLOOKUP($F6,Drum_from_BP!$J:$M,4,0)</f>
        <v>0.5</v>
      </c>
      <c r="I6" s="783">
        <v>1.3750987083139801</v>
      </c>
      <c r="J6" s="460">
        <f t="shared" ref="J6:J14" si="0">U6</f>
        <v>1.3750987083139758</v>
      </c>
      <c r="K6" s="783">
        <v>60122.523814195098</v>
      </c>
      <c r="L6" s="555"/>
      <c r="M6" s="783">
        <v>307.13954113351002</v>
      </c>
      <c r="N6" s="460"/>
      <c r="O6" s="783">
        <v>0.269999943828096</v>
      </c>
      <c r="P6" s="460">
        <v>0.27</v>
      </c>
      <c r="R6" s="884">
        <v>0.27</v>
      </c>
      <c r="S6" s="830">
        <v>0.5</v>
      </c>
      <c r="T6" s="830">
        <v>1.25</v>
      </c>
      <c r="U6" s="835">
        <f t="shared" ref="U6:U14" si="1">R6*4/PI()/S6/S6</f>
        <v>1.3750987083139758</v>
      </c>
    </row>
    <row r="7" spans="1:21" s="471" customFormat="1">
      <c r="A7" s="201" t="str">
        <f>VLOOKUP($F7,Drum_from_BP!$J:$M,2,0)</f>
        <v>0002-05-21-0026.tif</v>
      </c>
      <c r="B7" s="200"/>
      <c r="C7" s="479"/>
      <c r="D7" s="480"/>
      <c r="E7" s="609"/>
      <c r="F7" s="556" t="s">
        <v>8277</v>
      </c>
      <c r="G7" s="783">
        <v>0.5</v>
      </c>
      <c r="H7" s="460">
        <f>VLOOKUP($F7,Drum_from_BP!$J:$M,4,0)</f>
        <v>0.5</v>
      </c>
      <c r="I7" s="783">
        <v>1.3750987083139801</v>
      </c>
      <c r="J7" s="460">
        <f t="shared" si="0"/>
        <v>1.3750987083139758</v>
      </c>
      <c r="K7" s="783">
        <v>91708.4126706182</v>
      </c>
      <c r="L7" s="555"/>
      <c r="M7" s="783">
        <v>298.05420580459599</v>
      </c>
      <c r="N7" s="460"/>
      <c r="O7" s="783">
        <v>0.269999943828096</v>
      </c>
      <c r="P7" s="460">
        <v>0.27</v>
      </c>
      <c r="R7" s="884">
        <v>0.27</v>
      </c>
      <c r="S7" s="830">
        <v>0.5</v>
      </c>
      <c r="T7" s="830">
        <v>1.25</v>
      </c>
      <c r="U7" s="835">
        <f t="shared" si="1"/>
        <v>1.3750987083139758</v>
      </c>
    </row>
    <row r="8" spans="1:21">
      <c r="A8" s="201" t="str">
        <f>VLOOKUP($F8,Drum_from_BP!$J:$M,2,0)</f>
        <v>0002-05-11-0026.tif</v>
      </c>
      <c r="B8" s="199"/>
      <c r="C8" s="11"/>
      <c r="D8" s="12"/>
      <c r="E8" s="12"/>
      <c r="F8" s="18" t="s">
        <v>517</v>
      </c>
      <c r="G8" s="783">
        <v>1.4</v>
      </c>
      <c r="H8" s="460">
        <f>VLOOKUP($F8,Drum_from_BP!$J:$M,4,0)</f>
        <v>1.4</v>
      </c>
      <c r="I8" s="783">
        <v>3.8976720757198899</v>
      </c>
      <c r="J8" s="460">
        <f t="shared" si="0"/>
        <v>3.8976720757198859</v>
      </c>
      <c r="K8" s="783">
        <v>2800787.6051532901</v>
      </c>
      <c r="L8" s="13"/>
      <c r="M8" s="783">
        <v>321.08505119082503</v>
      </c>
      <c r="N8" s="460"/>
      <c r="O8" s="783">
        <v>5.9999987517354496</v>
      </c>
      <c r="P8" s="460">
        <v>6</v>
      </c>
      <c r="R8" s="884">
        <v>6</v>
      </c>
      <c r="S8" s="830">
        <v>1.4</v>
      </c>
      <c r="T8" s="830">
        <v>3.7</v>
      </c>
      <c r="U8" s="835">
        <f t="shared" si="1"/>
        <v>3.8976720757198859</v>
      </c>
    </row>
    <row r="9" spans="1:21" s="471" customFormat="1">
      <c r="A9" s="201" t="str">
        <f>VLOOKUP($F9,Drum_from_BP!$J:$M,2,0)</f>
        <v>A-0110172_RFC_REV_1.pdf, page 122</v>
      </c>
      <c r="B9" s="200"/>
      <c r="C9" s="474"/>
      <c r="D9" s="480"/>
      <c r="E9" s="609"/>
      <c r="F9" s="556" t="s">
        <v>2494</v>
      </c>
      <c r="G9" s="783">
        <v>0.50800000000000001</v>
      </c>
      <c r="H9" s="460">
        <f>VLOOKUP($F9,Drum_from_BP!$J:$M,4,0)</f>
        <v>0.50800000000000001</v>
      </c>
      <c r="I9" s="783">
        <v>1</v>
      </c>
      <c r="J9" s="460"/>
      <c r="K9" s="783">
        <v>91751.552692094803</v>
      </c>
      <c r="L9" s="555"/>
      <c r="M9" s="783">
        <v>300.07007810955599</v>
      </c>
      <c r="N9" s="460"/>
      <c r="O9" s="783">
        <v>0.202682949472</v>
      </c>
      <c r="P9" s="460"/>
      <c r="R9" s="884"/>
      <c r="S9" s="830">
        <v>0.50800000000000001</v>
      </c>
      <c r="T9" s="830">
        <v>1.25</v>
      </c>
      <c r="U9" s="835">
        <f t="shared" si="1"/>
        <v>0</v>
      </c>
    </row>
    <row r="10" spans="1:21" s="471" customFormat="1">
      <c r="A10" s="201" t="str">
        <f>VLOOKUP($F10,Drum_from_BP!$J:$M,2,0)</f>
        <v>0002-05-18-0005.tif</v>
      </c>
      <c r="B10" s="200"/>
      <c r="C10" s="474"/>
      <c r="D10" s="480"/>
      <c r="E10" s="475"/>
      <c r="F10" s="481" t="s">
        <v>7777</v>
      </c>
      <c r="G10" s="783">
        <v>0.7</v>
      </c>
      <c r="H10" s="460">
        <f>VLOOKUP($F10,Drum_from_BP!$J:$M,4,0)</f>
        <v>0.7</v>
      </c>
      <c r="I10" s="783">
        <v>2.0787584403839401</v>
      </c>
      <c r="J10" s="460">
        <f t="shared" si="0"/>
        <v>2.0787584403839396</v>
      </c>
      <c r="K10" s="783">
        <v>672867.49896400596</v>
      </c>
      <c r="L10" s="555"/>
      <c r="M10" s="783">
        <v>315.00502908483799</v>
      </c>
      <c r="N10" s="460"/>
      <c r="O10" s="783">
        <v>0.79999983356472604</v>
      </c>
      <c r="P10" s="460">
        <v>0.8</v>
      </c>
      <c r="R10" s="884">
        <v>0.8</v>
      </c>
      <c r="S10" s="830">
        <v>0.7</v>
      </c>
      <c r="T10" s="830">
        <v>1.9330000000000001</v>
      </c>
      <c r="U10" s="835">
        <f t="shared" si="1"/>
        <v>2.0787584403839396</v>
      </c>
    </row>
    <row r="11" spans="1:21" s="471" customFormat="1">
      <c r="A11" s="839" t="s">
        <v>10447</v>
      </c>
      <c r="B11" s="200"/>
      <c r="C11" s="479"/>
      <c r="D11" s="797" t="s">
        <v>10447</v>
      </c>
      <c r="E11" s="782"/>
      <c r="F11" s="481" t="s">
        <v>7778</v>
      </c>
      <c r="G11" s="783">
        <v>0.7</v>
      </c>
      <c r="H11" s="460"/>
      <c r="I11" s="783">
        <v>1.7669999999999999</v>
      </c>
      <c r="J11" s="460"/>
      <c r="K11" s="783">
        <v>661323.86066411599</v>
      </c>
      <c r="L11" s="555"/>
      <c r="M11" s="783">
        <v>320.86655094963402</v>
      </c>
      <c r="N11" s="460"/>
      <c r="O11" s="783">
        <v>0.68002115033999999</v>
      </c>
      <c r="P11" s="460">
        <v>0.68</v>
      </c>
      <c r="R11" s="884">
        <v>0.68</v>
      </c>
      <c r="S11" s="830"/>
      <c r="T11" s="830"/>
      <c r="U11" s="835" t="e">
        <f t="shared" si="1"/>
        <v>#DIV/0!</v>
      </c>
    </row>
    <row r="12" spans="1:21">
      <c r="A12" s="720" t="str">
        <f>VLOOKUP($F12,Drum_from_BP!$J:$M,2,0)</f>
        <v>DZ3002 - 0002-05-30-0001.tif</v>
      </c>
      <c r="B12" s="199"/>
      <c r="C12" s="11"/>
      <c r="D12" s="12"/>
      <c r="E12" s="12"/>
      <c r="F12" s="18" t="s">
        <v>4952</v>
      </c>
      <c r="G12" s="783">
        <v>2.15</v>
      </c>
      <c r="H12" s="13">
        <f>VLOOKUP($F12,Drum_from_BP!$J:$M,4,0)</f>
        <v>2.15</v>
      </c>
      <c r="I12" s="783">
        <v>3.5807710290010002</v>
      </c>
      <c r="J12" s="460">
        <f t="shared" si="0"/>
        <v>3.5807710290009989</v>
      </c>
      <c r="K12" s="783">
        <v>450214.51999864099</v>
      </c>
      <c r="L12" s="13"/>
      <c r="M12" s="783">
        <v>311.04537214880202</v>
      </c>
      <c r="N12" s="460"/>
      <c r="O12" s="783">
        <v>12.9999972954268</v>
      </c>
      <c r="P12" s="460">
        <v>13</v>
      </c>
      <c r="R12" s="884">
        <v>13</v>
      </c>
      <c r="S12" s="830">
        <v>2.15</v>
      </c>
      <c r="T12" s="830">
        <v>3.0350000000000001</v>
      </c>
      <c r="U12" s="835">
        <f t="shared" si="1"/>
        <v>3.5807710290009989</v>
      </c>
    </row>
    <row r="13" spans="1:21">
      <c r="A13" s="201" t="str">
        <f>VLOOKUP($F13,Column_from_BP!$N:$S,2,0)</f>
        <v>Tz2102 2104  0535-05-21-0033.tif</v>
      </c>
      <c r="B13" s="15"/>
      <c r="C13" s="16"/>
      <c r="D13" s="17"/>
      <c r="E13" s="459"/>
      <c r="F13" s="18" t="s">
        <v>1384</v>
      </c>
      <c r="G13" s="783">
        <v>1.976</v>
      </c>
      <c r="H13" s="460">
        <f>VLOOKUP($F13,Column_from_BP!$N:$S,3,0)</f>
        <v>1.976</v>
      </c>
      <c r="I13" s="783">
        <v>10.565</v>
      </c>
      <c r="J13" s="460">
        <f t="shared" si="0"/>
        <v>10.565285769676214</v>
      </c>
      <c r="K13" s="783">
        <v>20186.290666542802</v>
      </c>
      <c r="L13" s="13"/>
      <c r="M13" s="783">
        <v>429.828732235627</v>
      </c>
      <c r="N13" s="460"/>
      <c r="O13" s="783">
        <v>32.399116904885098</v>
      </c>
      <c r="P13" s="460">
        <v>32.4</v>
      </c>
      <c r="Q13" s="471"/>
      <c r="R13" s="885">
        <v>32.4</v>
      </c>
      <c r="S13" s="830">
        <v>1.976</v>
      </c>
      <c r="T13" s="830">
        <v>10.57</v>
      </c>
      <c r="U13" s="835">
        <f t="shared" si="1"/>
        <v>10.565285769676214</v>
      </c>
    </row>
    <row r="14" spans="1:21">
      <c r="A14" s="201" t="str">
        <f>VLOOKUP($F14,Column_from_BP!$N:$S,2,0)</f>
        <v>Tz2103-2105   0535-05-21-0031.tif</v>
      </c>
      <c r="B14" s="15"/>
      <c r="C14" s="16"/>
      <c r="D14" s="17"/>
      <c r="E14" s="459"/>
      <c r="F14" s="18" t="s">
        <v>1385</v>
      </c>
      <c r="G14" s="783">
        <v>1.7</v>
      </c>
      <c r="H14" s="460">
        <f>VLOOKUP($F14,Column_from_BP!$N:$S,3,0)</f>
        <v>1.7</v>
      </c>
      <c r="I14" s="783">
        <v>7.4020000000000001</v>
      </c>
      <c r="J14" s="460">
        <f t="shared" si="0"/>
        <v>7.4015309174916037</v>
      </c>
      <c r="K14" s="783">
        <v>15279.3366172599</v>
      </c>
      <c r="L14" s="13"/>
      <c r="M14" s="783">
        <v>439.31374893840001</v>
      </c>
      <c r="N14" s="460"/>
      <c r="O14" s="783">
        <v>16.801061228439998</v>
      </c>
      <c r="P14" s="460">
        <v>16.8</v>
      </c>
      <c r="Q14" s="471"/>
      <c r="R14" s="885">
        <v>16.8</v>
      </c>
      <c r="S14" s="830">
        <v>1.7</v>
      </c>
      <c r="T14" s="830">
        <v>7.55</v>
      </c>
      <c r="U14" s="835">
        <f t="shared" si="1"/>
        <v>7.4015309174916037</v>
      </c>
    </row>
    <row r="15" spans="1:21" s="471" customFormat="1">
      <c r="A15" s="477"/>
      <c r="B15" s="478"/>
      <c r="C15" s="479"/>
      <c r="D15" s="480"/>
      <c r="E15" s="475"/>
      <c r="F15" s="481"/>
      <c r="G15" s="482"/>
      <c r="H15" s="460"/>
      <c r="I15" s="482"/>
      <c r="J15" s="460"/>
      <c r="K15" s="482"/>
      <c r="L15" s="476"/>
      <c r="M15" s="557"/>
      <c r="N15" s="460"/>
      <c r="O15" s="783"/>
      <c r="P15" s="460"/>
    </row>
    <row r="16" spans="1:21">
      <c r="A16" s="14"/>
      <c r="B16" s="15"/>
      <c r="C16" s="16"/>
      <c r="D16" s="17"/>
      <c r="E16" s="12"/>
      <c r="F16" s="18"/>
      <c r="G16" s="19"/>
      <c r="H16" s="13"/>
      <c r="I16" s="19"/>
      <c r="J16" s="13"/>
      <c r="K16" s="19"/>
      <c r="L16" s="13"/>
      <c r="M16" s="557"/>
      <c r="N16" s="460"/>
      <c r="O16" s="783"/>
      <c r="P16" s="460"/>
      <c r="Q16" s="471"/>
      <c r="R16" s="471"/>
    </row>
    <row r="17" spans="1:16">
      <c r="A17" s="14"/>
      <c r="B17" s="15"/>
      <c r="C17" s="16"/>
      <c r="D17" s="17"/>
      <c r="E17" s="12"/>
      <c r="F17" s="18"/>
      <c r="G17" s="19"/>
      <c r="H17" s="13"/>
      <c r="I17" s="19"/>
      <c r="J17" s="13"/>
      <c r="K17" s="19"/>
      <c r="L17" s="13"/>
      <c r="M17" s="557"/>
      <c r="N17" s="460"/>
      <c r="O17" s="783"/>
      <c r="P17" s="460"/>
    </row>
    <row r="18" spans="1:16">
      <c r="A18" s="14"/>
      <c r="B18" s="15"/>
      <c r="C18" s="16"/>
      <c r="D18" s="17"/>
      <c r="E18" s="12"/>
      <c r="F18" s="18"/>
      <c r="G18" s="19"/>
      <c r="H18" s="13"/>
      <c r="I18" s="19"/>
      <c r="J18" s="13"/>
      <c r="K18" s="19"/>
      <c r="L18" s="13"/>
      <c r="M18" s="557"/>
      <c r="N18" s="460"/>
      <c r="O18" s="783"/>
      <c r="P18" s="460"/>
    </row>
    <row r="19" spans="1:16">
      <c r="A19" s="14"/>
      <c r="B19" s="15"/>
      <c r="C19" s="16"/>
      <c r="D19" s="17"/>
      <c r="E19" s="12"/>
      <c r="F19" s="18"/>
      <c r="G19" s="19"/>
      <c r="H19" s="13"/>
      <c r="I19" s="19"/>
      <c r="J19" s="13"/>
      <c r="K19" s="19"/>
      <c r="L19" s="13"/>
      <c r="M19" s="557"/>
      <c r="N19" s="460"/>
      <c r="O19" s="783"/>
      <c r="P19" s="460"/>
    </row>
    <row r="20" spans="1:16">
      <c r="A20" s="14"/>
      <c r="B20" s="15"/>
      <c r="C20" s="16"/>
      <c r="D20" s="17"/>
      <c r="E20" s="12"/>
      <c r="F20" s="18"/>
      <c r="G20" s="19"/>
      <c r="H20" s="13"/>
      <c r="I20" s="19"/>
      <c r="J20" s="13"/>
      <c r="K20" s="19"/>
      <c r="L20" s="13"/>
      <c r="M20" s="557"/>
      <c r="N20" s="460"/>
      <c r="O20" s="783"/>
      <c r="P20" s="460"/>
    </row>
    <row r="21" spans="1:16">
      <c r="A21" s="14"/>
      <c r="B21" s="15"/>
      <c r="C21" s="16"/>
      <c r="D21" s="17"/>
      <c r="E21" s="12"/>
      <c r="F21" s="18"/>
      <c r="G21" s="19"/>
      <c r="H21" s="13"/>
      <c r="I21" s="19"/>
      <c r="J21" s="13"/>
      <c r="K21" s="19"/>
      <c r="L21" s="13"/>
      <c r="M21" s="557"/>
      <c r="N21" s="460"/>
      <c r="O21" s="783"/>
      <c r="P21" s="460"/>
    </row>
    <row r="22" spans="1:16">
      <c r="A22" s="14"/>
      <c r="B22" s="15"/>
      <c r="C22" s="16"/>
      <c r="D22" s="17"/>
      <c r="E22" s="12"/>
      <c r="F22" s="18"/>
      <c r="G22" s="19"/>
      <c r="H22" s="13"/>
      <c r="I22" s="19"/>
      <c r="J22" s="13"/>
      <c r="K22" s="19"/>
      <c r="L22" s="13"/>
      <c r="M22" s="557"/>
      <c r="N22" s="460"/>
      <c r="O22" s="783"/>
      <c r="P22" s="460"/>
    </row>
    <row r="23" spans="1:16">
      <c r="A23" s="14"/>
      <c r="B23" s="15"/>
      <c r="C23" s="16"/>
      <c r="D23" s="17"/>
      <c r="E23" s="12"/>
      <c r="F23" s="18"/>
      <c r="G23" s="19"/>
      <c r="H23" s="13"/>
      <c r="I23" s="19"/>
      <c r="J23" s="13"/>
      <c r="K23" s="19"/>
      <c r="L23" s="13"/>
      <c r="M23" s="557"/>
      <c r="N23" s="460"/>
      <c r="O23" s="783"/>
      <c r="P23" s="460"/>
    </row>
    <row r="24" spans="1:16">
      <c r="A24" s="14"/>
      <c r="B24" s="15"/>
      <c r="C24" s="16"/>
      <c r="D24" s="17"/>
      <c r="E24" s="12"/>
      <c r="F24" s="18"/>
      <c r="G24" s="19"/>
      <c r="H24" s="13"/>
      <c r="I24" s="19"/>
      <c r="J24" s="13"/>
      <c r="K24" s="19"/>
      <c r="L24" s="13"/>
      <c r="M24" s="557"/>
      <c r="N24" s="460"/>
      <c r="O24" s="783"/>
      <c r="P24" s="460"/>
    </row>
    <row r="25" spans="1:16">
      <c r="A25" s="14"/>
      <c r="B25" s="15"/>
      <c r="C25" s="16"/>
      <c r="D25" s="17"/>
      <c r="E25" s="12"/>
      <c r="F25" s="18"/>
      <c r="G25" s="19"/>
      <c r="H25" s="13"/>
      <c r="I25" s="19"/>
      <c r="J25" s="13"/>
      <c r="K25" s="19"/>
      <c r="L25" s="13"/>
      <c r="M25" s="557"/>
      <c r="N25" s="460"/>
      <c r="O25" s="783"/>
      <c r="P25" s="460"/>
    </row>
    <row r="26" spans="1:16">
      <c r="A26" s="14"/>
      <c r="B26" s="15"/>
      <c r="C26" s="16"/>
      <c r="D26" s="17"/>
      <c r="E26" s="12"/>
      <c r="F26" s="18"/>
      <c r="G26" s="19"/>
      <c r="H26" s="13"/>
      <c r="I26" s="19"/>
      <c r="J26" s="13"/>
      <c r="K26" s="19"/>
      <c r="L26" s="13"/>
      <c r="M26" s="557"/>
      <c r="N26" s="460"/>
      <c r="O26" s="783"/>
      <c r="P26" s="460"/>
    </row>
    <row r="27" spans="1:16">
      <c r="A27" s="14"/>
      <c r="B27" s="15"/>
      <c r="C27" s="16"/>
      <c r="D27" s="17"/>
      <c r="E27" s="12"/>
      <c r="F27" s="18"/>
      <c r="G27" s="19"/>
      <c r="H27" s="13"/>
      <c r="I27" s="19"/>
      <c r="J27" s="13"/>
      <c r="K27" s="19"/>
      <c r="L27" s="13"/>
      <c r="M27" s="557"/>
      <c r="N27" s="460"/>
      <c r="O27" s="783"/>
      <c r="P27" s="460"/>
    </row>
    <row r="28" spans="1:16">
      <c r="A28" s="14"/>
      <c r="B28" s="15"/>
      <c r="C28" s="16"/>
      <c r="D28" s="17"/>
      <c r="E28" s="12"/>
      <c r="F28" s="18"/>
      <c r="G28" s="19"/>
      <c r="H28" s="13"/>
      <c r="I28" s="19"/>
      <c r="J28" s="13"/>
      <c r="K28" s="19"/>
      <c r="L28" s="13"/>
      <c r="M28" s="557"/>
      <c r="N28" s="460"/>
      <c r="O28" s="783"/>
      <c r="P28" s="460"/>
    </row>
    <row r="29" spans="1:16">
      <c r="A29" s="14"/>
      <c r="B29" s="15"/>
      <c r="C29" s="16"/>
      <c r="D29" s="17"/>
      <c r="E29" s="12"/>
      <c r="F29" s="18"/>
      <c r="G29" s="19"/>
      <c r="H29" s="13"/>
      <c r="I29" s="19"/>
      <c r="J29" s="13"/>
      <c r="K29" s="19"/>
      <c r="L29" s="13"/>
      <c r="M29" s="557"/>
      <c r="N29" s="460"/>
      <c r="O29" s="783"/>
      <c r="P29" s="460"/>
    </row>
    <row r="30" spans="1:16">
      <c r="A30" s="14"/>
      <c r="B30" s="15"/>
      <c r="C30" s="16"/>
      <c r="D30" s="17"/>
      <c r="E30" s="12"/>
      <c r="F30" s="18"/>
      <c r="G30" s="19"/>
      <c r="H30" s="13"/>
      <c r="I30" s="19"/>
      <c r="J30" s="13"/>
      <c r="K30" s="19"/>
      <c r="L30" s="13"/>
      <c r="M30" s="557"/>
      <c r="N30" s="460"/>
      <c r="O30" s="783"/>
      <c r="P30" s="460"/>
    </row>
    <row r="31" spans="1:16">
      <c r="A31" s="14"/>
      <c r="B31" s="15"/>
      <c r="C31" s="16"/>
      <c r="D31" s="17"/>
      <c r="E31" s="12"/>
      <c r="F31" s="18"/>
      <c r="G31" s="19"/>
      <c r="H31" s="13"/>
      <c r="I31" s="19"/>
      <c r="J31" s="13"/>
      <c r="K31" s="19"/>
      <c r="L31" s="13"/>
      <c r="M31" s="557"/>
      <c r="N31" s="460"/>
      <c r="O31" s="783"/>
      <c r="P31" s="460"/>
    </row>
    <row r="32" spans="1:16">
      <c r="A32" s="14"/>
      <c r="B32" s="15"/>
      <c r="C32" s="16"/>
      <c r="D32" s="17"/>
      <c r="E32" s="12"/>
      <c r="F32" s="18"/>
      <c r="G32" s="19"/>
      <c r="H32" s="13"/>
      <c r="I32" s="19"/>
      <c r="J32" s="13"/>
      <c r="K32" s="19"/>
      <c r="L32" s="13"/>
      <c r="M32" s="557"/>
      <c r="N32" s="460"/>
      <c r="O32" s="783"/>
      <c r="P32" s="460"/>
    </row>
    <row r="33" spans="1:16">
      <c r="A33" s="14"/>
      <c r="B33" s="15"/>
      <c r="C33" s="16"/>
      <c r="D33" s="17"/>
      <c r="E33" s="12"/>
      <c r="F33" s="18"/>
      <c r="G33" s="19"/>
      <c r="H33" s="13"/>
      <c r="I33" s="19"/>
      <c r="J33" s="13"/>
      <c r="K33" s="19"/>
      <c r="L33" s="13"/>
      <c r="M33" s="557"/>
      <c r="N33" s="460"/>
      <c r="O33" s="783"/>
      <c r="P33" s="460"/>
    </row>
    <row r="34" spans="1:16">
      <c r="A34" s="14"/>
      <c r="B34" s="15"/>
      <c r="C34" s="16"/>
      <c r="D34" s="17"/>
      <c r="E34" s="12"/>
      <c r="F34" s="18"/>
      <c r="G34" s="19"/>
      <c r="H34" s="13"/>
      <c r="I34" s="19"/>
      <c r="J34" s="13"/>
      <c r="K34" s="19"/>
      <c r="L34" s="13"/>
      <c r="M34" s="557"/>
      <c r="N34" s="460"/>
      <c r="O34" s="783"/>
      <c r="P34" s="460"/>
    </row>
    <row r="35" spans="1:16">
      <c r="A35" s="14"/>
      <c r="B35" s="15"/>
      <c r="C35" s="16"/>
      <c r="D35" s="17"/>
      <c r="E35" s="12"/>
      <c r="F35" s="18"/>
      <c r="G35" s="19"/>
      <c r="H35" s="13"/>
      <c r="I35" s="19"/>
      <c r="J35" s="13"/>
      <c r="K35" s="19"/>
      <c r="L35" s="13"/>
      <c r="M35" s="557"/>
      <c r="N35" s="460"/>
      <c r="O35" s="783"/>
      <c r="P35" s="460"/>
    </row>
    <row r="36" spans="1:16">
      <c r="A36" s="14"/>
      <c r="B36" s="15"/>
      <c r="C36" s="16"/>
      <c r="D36" s="17"/>
      <c r="E36" s="12"/>
      <c r="F36" s="18"/>
      <c r="G36" s="19"/>
      <c r="H36" s="13"/>
      <c r="I36" s="19"/>
      <c r="J36" s="13"/>
      <c r="K36" s="19"/>
      <c r="L36" s="13"/>
      <c r="M36" s="557"/>
      <c r="N36" s="460"/>
      <c r="O36" s="783"/>
      <c r="P36" s="460"/>
    </row>
    <row r="37" spans="1:16">
      <c r="A37" s="14"/>
      <c r="B37" s="15"/>
      <c r="C37" s="16"/>
      <c r="D37" s="17"/>
      <c r="E37" s="12"/>
      <c r="F37" s="18"/>
      <c r="G37" s="19"/>
      <c r="H37" s="13"/>
      <c r="I37" s="19"/>
      <c r="J37" s="13"/>
      <c r="K37" s="19"/>
      <c r="L37" s="13"/>
      <c r="M37" s="557"/>
      <c r="N37" s="460"/>
      <c r="O37" s="783"/>
      <c r="P37" s="460"/>
    </row>
    <row r="38" spans="1:16">
      <c r="A38" s="14"/>
      <c r="B38" s="15"/>
      <c r="C38" s="16"/>
      <c r="D38" s="17"/>
      <c r="E38" s="12"/>
      <c r="F38" s="18"/>
      <c r="G38" s="19"/>
      <c r="H38" s="13"/>
      <c r="I38" s="19"/>
      <c r="J38" s="13"/>
      <c r="K38" s="19"/>
      <c r="L38" s="13"/>
      <c r="M38" s="557"/>
      <c r="N38" s="460"/>
      <c r="O38" s="783"/>
      <c r="P38" s="460"/>
    </row>
    <row r="39" spans="1:16">
      <c r="A39" s="14"/>
      <c r="B39" s="15"/>
      <c r="C39" s="16"/>
      <c r="D39" s="17"/>
      <c r="E39" s="12"/>
      <c r="F39" s="18"/>
      <c r="G39" s="19"/>
      <c r="H39" s="13"/>
      <c r="I39" s="19"/>
      <c r="J39" s="13"/>
      <c r="K39" s="19"/>
      <c r="L39" s="13"/>
      <c r="M39" s="557"/>
      <c r="N39" s="460"/>
      <c r="O39" s="783"/>
      <c r="P39" s="460"/>
    </row>
    <row r="40" spans="1:16">
      <c r="A40" s="14"/>
      <c r="B40" s="15"/>
      <c r="C40" s="16"/>
      <c r="D40" s="17"/>
      <c r="E40" s="12"/>
      <c r="F40" s="18"/>
      <c r="G40" s="19"/>
      <c r="H40" s="13"/>
      <c r="I40" s="19"/>
      <c r="J40" s="13"/>
      <c r="K40" s="19"/>
      <c r="L40" s="13"/>
      <c r="M40" s="557"/>
      <c r="N40" s="460"/>
      <c r="O40" s="783"/>
      <c r="P40" s="460"/>
    </row>
    <row r="41" spans="1:16">
      <c r="A41" s="14"/>
      <c r="B41" s="15"/>
      <c r="C41" s="16"/>
      <c r="D41" s="17"/>
      <c r="E41" s="12"/>
      <c r="F41" s="18"/>
      <c r="G41" s="19"/>
      <c r="H41" s="13"/>
      <c r="I41" s="19"/>
      <c r="J41" s="13"/>
      <c r="K41" s="19"/>
      <c r="L41" s="13"/>
      <c r="M41" s="557"/>
      <c r="N41" s="460"/>
      <c r="O41" s="783"/>
      <c r="P41" s="460"/>
    </row>
    <row r="42" spans="1:16">
      <c r="A42" s="14"/>
      <c r="B42" s="15"/>
      <c r="C42" s="16"/>
      <c r="D42" s="17"/>
      <c r="E42" s="12"/>
      <c r="F42" s="18"/>
      <c r="G42" s="19"/>
      <c r="H42" s="13"/>
      <c r="I42" s="19"/>
      <c r="J42" s="13"/>
      <c r="K42" s="19"/>
      <c r="L42" s="13"/>
      <c r="M42" s="557"/>
      <c r="N42" s="460"/>
      <c r="O42" s="783"/>
      <c r="P42" s="460"/>
    </row>
    <row r="43" spans="1:16">
      <c r="A43" s="14"/>
      <c r="B43" s="15"/>
      <c r="C43" s="16"/>
      <c r="D43" s="17"/>
      <c r="E43" s="12"/>
      <c r="F43" s="18"/>
      <c r="G43" s="19"/>
      <c r="H43" s="13"/>
      <c r="I43" s="19"/>
      <c r="J43" s="13"/>
      <c r="K43" s="19"/>
      <c r="L43" s="13"/>
      <c r="M43" s="557"/>
      <c r="N43" s="460"/>
      <c r="O43" s="783"/>
      <c r="P43" s="460"/>
    </row>
    <row r="44" spans="1:16">
      <c r="A44" s="14"/>
      <c r="B44" s="15"/>
      <c r="C44" s="16"/>
      <c r="D44" s="17"/>
      <c r="E44" s="12"/>
      <c r="F44" s="18"/>
      <c r="G44" s="19"/>
      <c r="H44" s="13"/>
      <c r="I44" s="19"/>
      <c r="J44" s="13"/>
      <c r="K44" s="19"/>
      <c r="L44" s="13"/>
      <c r="M44" s="557"/>
      <c r="N44" s="460"/>
      <c r="O44" s="783"/>
      <c r="P44" s="460"/>
    </row>
    <row r="45" spans="1:16">
      <c r="A45" s="14"/>
      <c r="B45" s="15"/>
      <c r="C45" s="16"/>
      <c r="D45" s="17"/>
      <c r="E45" s="12"/>
      <c r="F45" s="18"/>
      <c r="G45" s="19"/>
      <c r="H45" s="13"/>
      <c r="I45" s="19"/>
      <c r="J45" s="13"/>
      <c r="K45" s="19"/>
      <c r="L45" s="13"/>
      <c r="M45" s="557"/>
      <c r="N45" s="460"/>
      <c r="O45" s="783"/>
      <c r="P45" s="460"/>
    </row>
    <row r="46" spans="1:16">
      <c r="A46" s="14"/>
      <c r="B46" s="15"/>
      <c r="C46" s="16"/>
      <c r="D46" s="17"/>
      <c r="E46" s="12"/>
      <c r="F46" s="18"/>
      <c r="G46" s="19"/>
      <c r="H46" s="13"/>
      <c r="I46" s="19"/>
      <c r="J46" s="13"/>
      <c r="K46" s="19"/>
      <c r="L46" s="13"/>
      <c r="M46" s="557"/>
      <c r="N46" s="460"/>
      <c r="O46" s="783"/>
      <c r="P46" s="460"/>
    </row>
    <row r="47" spans="1:16">
      <c r="A47" s="14"/>
      <c r="B47" s="15"/>
      <c r="C47" s="16"/>
      <c r="D47" s="17"/>
      <c r="E47" s="12"/>
      <c r="F47" s="18"/>
      <c r="G47" s="19"/>
      <c r="H47" s="13"/>
      <c r="I47" s="19"/>
      <c r="J47" s="13"/>
      <c r="K47" s="19"/>
      <c r="L47" s="13"/>
      <c r="M47" s="557"/>
      <c r="N47" s="460"/>
      <c r="O47" s="783"/>
      <c r="P47" s="460"/>
    </row>
    <row r="48" spans="1:16">
      <c r="A48" s="14"/>
      <c r="B48" s="15"/>
      <c r="C48" s="16"/>
      <c r="D48" s="17"/>
      <c r="E48" s="12"/>
      <c r="F48" s="18"/>
      <c r="G48" s="19"/>
      <c r="H48" s="13"/>
      <c r="I48" s="19"/>
      <c r="J48" s="13"/>
      <c r="K48" s="19"/>
      <c r="L48" s="13"/>
      <c r="M48" s="557"/>
      <c r="N48" s="460"/>
      <c r="O48" s="783"/>
      <c r="P48" s="460"/>
    </row>
    <row r="49" spans="1:16">
      <c r="A49" s="14"/>
      <c r="B49" s="15"/>
      <c r="C49" s="16"/>
      <c r="D49" s="17"/>
      <c r="E49" s="12"/>
      <c r="F49" s="18"/>
      <c r="G49" s="19"/>
      <c r="H49" s="13"/>
      <c r="I49" s="19"/>
      <c r="J49" s="13"/>
      <c r="K49" s="19"/>
      <c r="L49" s="13"/>
      <c r="M49" s="557"/>
      <c r="N49" s="460"/>
      <c r="O49" s="783"/>
      <c r="P49" s="460"/>
    </row>
    <row r="50" spans="1:16">
      <c r="A50" s="14"/>
      <c r="B50" s="15"/>
      <c r="C50" s="16"/>
      <c r="D50" s="17"/>
      <c r="E50" s="12"/>
      <c r="F50" s="18"/>
      <c r="G50" s="19"/>
      <c r="H50" s="13"/>
      <c r="I50" s="19"/>
      <c r="J50" s="13"/>
      <c r="K50" s="19"/>
      <c r="L50" s="13"/>
      <c r="M50" s="557"/>
      <c r="N50" s="460"/>
      <c r="O50" s="783"/>
      <c r="P50" s="460"/>
    </row>
    <row r="51" spans="1:16">
      <c r="A51" s="14"/>
      <c r="B51" s="15"/>
      <c r="C51" s="16"/>
      <c r="D51" s="17"/>
      <c r="E51" s="12"/>
      <c r="F51" s="18"/>
      <c r="G51" s="19"/>
      <c r="H51" s="13"/>
      <c r="I51" s="19"/>
      <c r="J51" s="13"/>
      <c r="K51" s="19"/>
      <c r="L51" s="13"/>
      <c r="M51" s="557"/>
      <c r="N51" s="460"/>
      <c r="O51" s="783"/>
      <c r="P51" s="460"/>
    </row>
    <row r="52" spans="1:16">
      <c r="A52" s="14"/>
      <c r="B52" s="15"/>
      <c r="C52" s="16"/>
      <c r="D52" s="17"/>
      <c r="E52" s="12"/>
      <c r="F52" s="18"/>
      <c r="G52" s="19"/>
      <c r="H52" s="13"/>
      <c r="I52" s="19"/>
      <c r="J52" s="13"/>
      <c r="K52" s="19"/>
      <c r="L52" s="13"/>
      <c r="M52" s="557"/>
      <c r="N52" s="460"/>
      <c r="O52" s="783"/>
      <c r="P52" s="460"/>
    </row>
    <row r="53" spans="1:16">
      <c r="A53" s="14"/>
      <c r="B53" s="15"/>
      <c r="C53" s="16"/>
      <c r="D53" s="17"/>
      <c r="E53" s="12"/>
      <c r="F53" s="18"/>
      <c r="G53" s="19"/>
      <c r="H53" s="13"/>
      <c r="I53" s="19"/>
      <c r="J53" s="13"/>
      <c r="K53" s="19"/>
      <c r="L53" s="13"/>
      <c r="M53" s="557"/>
      <c r="N53" s="460"/>
      <c r="O53" s="783"/>
      <c r="P53" s="460"/>
    </row>
    <row r="54" spans="1:16">
      <c r="A54" s="14"/>
      <c r="B54" s="15"/>
      <c r="C54" s="16"/>
      <c r="D54" s="17"/>
      <c r="E54" s="12"/>
      <c r="F54" s="18"/>
      <c r="G54" s="19"/>
      <c r="H54" s="13"/>
      <c r="I54" s="19"/>
      <c r="J54" s="13"/>
      <c r="K54" s="19"/>
      <c r="L54" s="13"/>
      <c r="M54" s="557"/>
      <c r="N54" s="460"/>
      <c r="O54" s="783"/>
      <c r="P54" s="460"/>
    </row>
    <row r="55" spans="1:16">
      <c r="A55" s="14"/>
      <c r="B55" s="15"/>
      <c r="C55" s="16"/>
      <c r="D55" s="17"/>
      <c r="E55" s="12"/>
      <c r="F55" s="18"/>
      <c r="G55" s="19"/>
      <c r="H55" s="13"/>
      <c r="I55" s="19"/>
      <c r="J55" s="13"/>
      <c r="K55" s="19"/>
      <c r="L55" s="13"/>
      <c r="M55" s="557"/>
      <c r="N55" s="460"/>
      <c r="O55" s="783"/>
      <c r="P55" s="460"/>
    </row>
    <row r="56" spans="1:16">
      <c r="A56" s="14"/>
      <c r="B56" s="15"/>
      <c r="C56" s="16"/>
      <c r="D56" s="17"/>
      <c r="E56" s="12"/>
      <c r="F56" s="18"/>
      <c r="G56" s="19"/>
      <c r="H56" s="13"/>
      <c r="I56" s="19"/>
      <c r="J56" s="13"/>
      <c r="K56" s="19"/>
      <c r="L56" s="13"/>
      <c r="M56" s="557"/>
      <c r="N56" s="460"/>
      <c r="O56" s="783"/>
      <c r="P56" s="460"/>
    </row>
    <row r="57" spans="1:16">
      <c r="A57" s="14"/>
      <c r="B57" s="15"/>
      <c r="C57" s="16"/>
      <c r="D57" s="17"/>
      <c r="E57" s="12"/>
      <c r="F57" s="18"/>
      <c r="G57" s="19"/>
      <c r="H57" s="13"/>
      <c r="I57" s="19"/>
      <c r="J57" s="13"/>
      <c r="K57" s="19"/>
      <c r="L57" s="13"/>
      <c r="M57" s="557"/>
      <c r="N57" s="460"/>
      <c r="O57" s="783"/>
      <c r="P57" s="460"/>
    </row>
    <row r="58" spans="1:16">
      <c r="A58" s="14"/>
      <c r="B58" s="15"/>
      <c r="C58" s="16"/>
      <c r="D58" s="17"/>
      <c r="E58" s="12"/>
      <c r="F58" s="18"/>
      <c r="G58" s="19"/>
      <c r="H58" s="13"/>
      <c r="I58" s="19"/>
      <c r="J58" s="13"/>
      <c r="K58" s="19"/>
      <c r="L58" s="13"/>
      <c r="M58" s="557"/>
      <c r="N58" s="460"/>
      <c r="O58" s="783"/>
      <c r="P58" s="460"/>
    </row>
    <row r="59" spans="1:16">
      <c r="A59" s="14"/>
      <c r="B59" s="15"/>
      <c r="C59" s="16"/>
      <c r="D59" s="17"/>
      <c r="E59" s="12"/>
      <c r="F59" s="18"/>
      <c r="G59" s="19"/>
      <c r="H59" s="13"/>
      <c r="I59" s="19"/>
      <c r="J59" s="13"/>
      <c r="K59" s="19"/>
      <c r="L59" s="13"/>
      <c r="M59" s="557"/>
      <c r="N59" s="460"/>
      <c r="O59" s="783"/>
      <c r="P59" s="460"/>
    </row>
    <row r="60" spans="1:16">
      <c r="A60" s="14"/>
      <c r="B60" s="15"/>
      <c r="C60" s="16"/>
      <c r="D60" s="17"/>
      <c r="E60" s="12"/>
      <c r="F60" s="18"/>
      <c r="G60" s="19"/>
      <c r="H60" s="13"/>
      <c r="I60" s="19"/>
      <c r="J60" s="13"/>
      <c r="K60" s="19"/>
      <c r="L60" s="13"/>
      <c r="M60" s="557"/>
      <c r="N60" s="460"/>
      <c r="O60" s="783"/>
      <c r="P60" s="460"/>
    </row>
    <row r="61" spans="1:16">
      <c r="A61" s="14"/>
      <c r="B61" s="15"/>
      <c r="C61" s="16"/>
      <c r="D61" s="17"/>
      <c r="E61" s="12"/>
      <c r="F61" s="18"/>
      <c r="G61" s="19"/>
      <c r="H61" s="13"/>
      <c r="I61" s="19"/>
      <c r="J61" s="13"/>
      <c r="K61" s="19"/>
      <c r="L61" s="13"/>
      <c r="M61" s="557"/>
      <c r="N61" s="460"/>
      <c r="O61" s="783"/>
      <c r="P61" s="460"/>
    </row>
    <row r="62" spans="1:16">
      <c r="A62" s="14"/>
      <c r="B62" s="15"/>
      <c r="C62" s="16"/>
      <c r="D62" s="17"/>
      <c r="E62" s="12"/>
      <c r="F62" s="18"/>
      <c r="G62" s="19"/>
      <c r="H62" s="13"/>
      <c r="I62" s="19"/>
      <c r="J62" s="13"/>
      <c r="K62" s="19"/>
      <c r="L62" s="13"/>
      <c r="M62" s="557"/>
      <c r="N62" s="460"/>
      <c r="O62" s="783"/>
      <c r="P62" s="460"/>
    </row>
    <row r="63" spans="1:16">
      <c r="A63" s="14"/>
      <c r="B63" s="15"/>
      <c r="C63" s="16"/>
      <c r="D63" s="17"/>
      <c r="E63" s="12"/>
      <c r="F63" s="18"/>
      <c r="G63" s="19"/>
      <c r="H63" s="13"/>
      <c r="I63" s="19"/>
      <c r="J63" s="13"/>
      <c r="K63" s="19"/>
      <c r="L63" s="13"/>
      <c r="M63" s="557"/>
      <c r="N63" s="460"/>
      <c r="O63" s="783"/>
      <c r="P63" s="460"/>
    </row>
    <row r="64" spans="1:16">
      <c r="A64" s="14"/>
      <c r="B64" s="15"/>
      <c r="C64" s="16"/>
      <c r="D64" s="17"/>
      <c r="E64" s="12"/>
      <c r="F64" s="18"/>
      <c r="G64" s="19"/>
      <c r="H64" s="13"/>
      <c r="I64" s="19"/>
      <c r="J64" s="13"/>
      <c r="K64" s="19"/>
      <c r="L64" s="13"/>
      <c r="M64" s="557"/>
      <c r="N64" s="460"/>
      <c r="O64" s="783"/>
      <c r="P64" s="460"/>
    </row>
    <row r="65" spans="1:16">
      <c r="A65" s="14"/>
      <c r="B65" s="15"/>
      <c r="C65" s="16"/>
      <c r="D65" s="17"/>
      <c r="E65" s="12"/>
      <c r="F65" s="18"/>
      <c r="G65" s="19"/>
      <c r="H65" s="13"/>
      <c r="I65" s="19"/>
      <c r="J65" s="13"/>
      <c r="K65" s="19"/>
      <c r="L65" s="13"/>
      <c r="M65" s="557"/>
      <c r="N65" s="460"/>
      <c r="O65" s="783"/>
      <c r="P65" s="460"/>
    </row>
    <row r="66" spans="1:16">
      <c r="A66" s="14"/>
      <c r="B66" s="15"/>
      <c r="C66" s="16"/>
      <c r="D66" s="17"/>
      <c r="E66" s="12"/>
      <c r="F66" s="18"/>
      <c r="G66" s="19"/>
      <c r="H66" s="13"/>
      <c r="I66" s="19"/>
      <c r="J66" s="13"/>
      <c r="K66" s="19"/>
      <c r="L66" s="13"/>
      <c r="M66" s="557"/>
      <c r="N66" s="460"/>
      <c r="O66" s="783"/>
      <c r="P66" s="460"/>
    </row>
    <row r="67" spans="1:16">
      <c r="A67" s="14"/>
      <c r="B67" s="15"/>
      <c r="C67" s="16"/>
      <c r="D67" s="17"/>
      <c r="E67" s="12"/>
      <c r="F67" s="18"/>
      <c r="G67" s="19"/>
      <c r="H67" s="13"/>
      <c r="I67" s="19"/>
      <c r="J67" s="13"/>
      <c r="K67" s="19"/>
      <c r="L67" s="13"/>
      <c r="M67" s="557"/>
      <c r="N67" s="460"/>
      <c r="O67" s="783"/>
      <c r="P67" s="460"/>
    </row>
    <row r="68" spans="1:16">
      <c r="A68" s="14"/>
      <c r="B68" s="15"/>
      <c r="C68" s="16"/>
      <c r="D68" s="17"/>
      <c r="E68" s="12"/>
      <c r="F68" s="18"/>
      <c r="G68" s="19"/>
      <c r="H68" s="13"/>
      <c r="I68" s="19"/>
      <c r="J68" s="13"/>
      <c r="K68" s="19"/>
      <c r="L68" s="13"/>
      <c r="M68" s="557"/>
      <c r="N68" s="460"/>
      <c r="O68" s="783"/>
      <c r="P68" s="460"/>
    </row>
    <row r="69" spans="1:16">
      <c r="A69" s="14"/>
      <c r="B69" s="15"/>
      <c r="C69" s="16"/>
      <c r="D69" s="17"/>
      <c r="E69" s="12"/>
      <c r="F69" s="18"/>
      <c r="G69" s="19"/>
      <c r="H69" s="13"/>
      <c r="I69" s="19"/>
      <c r="J69" s="13"/>
      <c r="K69" s="19"/>
      <c r="L69" s="13"/>
      <c r="M69" s="557"/>
      <c r="N69" s="460"/>
      <c r="O69" s="783"/>
      <c r="P69" s="460"/>
    </row>
    <row r="70" spans="1:16">
      <c r="A70" s="14"/>
      <c r="B70" s="15"/>
      <c r="C70" s="16"/>
      <c r="D70" s="17"/>
      <c r="E70" s="12"/>
      <c r="F70" s="18"/>
      <c r="G70" s="19"/>
      <c r="H70" s="13"/>
      <c r="I70" s="19"/>
      <c r="J70" s="13"/>
      <c r="K70" s="19"/>
      <c r="L70" s="13"/>
      <c r="M70" s="557"/>
      <c r="N70" s="460"/>
      <c r="O70" s="783"/>
      <c r="P70" s="460"/>
    </row>
    <row r="71" spans="1:16">
      <c r="A71" s="14"/>
      <c r="B71" s="15"/>
      <c r="C71" s="16"/>
      <c r="D71" s="17"/>
      <c r="E71" s="12"/>
      <c r="F71" s="18"/>
      <c r="G71" s="19"/>
      <c r="H71" s="13"/>
      <c r="I71" s="19"/>
      <c r="J71" s="13"/>
      <c r="K71" s="19"/>
      <c r="L71" s="13"/>
      <c r="M71" s="557"/>
      <c r="N71" s="460"/>
      <c r="O71" s="783"/>
      <c r="P71" s="460"/>
    </row>
    <row r="72" spans="1:16">
      <c r="A72" s="14"/>
      <c r="B72" s="15"/>
      <c r="C72" s="16"/>
      <c r="D72" s="17"/>
      <c r="E72" s="12"/>
      <c r="F72" s="18"/>
      <c r="G72" s="19"/>
      <c r="H72" s="13"/>
      <c r="I72" s="19"/>
      <c r="J72" s="13"/>
      <c r="K72" s="19"/>
      <c r="L72" s="13"/>
      <c r="M72" s="557"/>
      <c r="N72" s="460"/>
      <c r="O72" s="783"/>
      <c r="P72" s="460"/>
    </row>
    <row r="73" spans="1:16">
      <c r="A73" s="14"/>
      <c r="B73" s="15"/>
      <c r="C73" s="16"/>
      <c r="D73" s="17"/>
      <c r="E73" s="12"/>
      <c r="F73" s="18"/>
      <c r="G73" s="19"/>
      <c r="H73" s="13"/>
      <c r="I73" s="19"/>
      <c r="J73" s="13"/>
      <c r="K73" s="19"/>
      <c r="L73" s="13"/>
      <c r="M73" s="557"/>
      <c r="N73" s="460"/>
      <c r="O73" s="783"/>
      <c r="P73" s="460"/>
    </row>
    <row r="74" spans="1:16">
      <c r="A74" s="14"/>
      <c r="B74" s="15"/>
      <c r="C74" s="16"/>
      <c r="D74" s="17"/>
      <c r="E74" s="12"/>
      <c r="F74" s="18"/>
      <c r="G74" s="19"/>
      <c r="H74" s="13"/>
      <c r="I74" s="19"/>
      <c r="J74" s="13"/>
      <c r="K74" s="19"/>
      <c r="L74" s="13"/>
      <c r="M74" s="557"/>
      <c r="N74" s="460"/>
      <c r="O74" s="783"/>
      <c r="P74" s="460"/>
    </row>
    <row r="75" spans="1:16">
      <c r="A75" s="14"/>
      <c r="B75" s="15"/>
      <c r="C75" s="16"/>
      <c r="D75" s="17"/>
      <c r="E75" s="12"/>
      <c r="F75" s="18"/>
      <c r="G75" s="19"/>
      <c r="H75" s="13"/>
      <c r="I75" s="19"/>
      <c r="J75" s="13"/>
      <c r="K75" s="19"/>
      <c r="L75" s="13"/>
      <c r="M75" s="557"/>
      <c r="N75" s="460"/>
      <c r="O75" s="783"/>
      <c r="P75" s="460"/>
    </row>
    <row r="76" spans="1:16">
      <c r="A76" s="14"/>
      <c r="B76" s="15"/>
      <c r="C76" s="16"/>
      <c r="D76" s="17"/>
      <c r="E76" s="12"/>
      <c r="F76" s="18"/>
      <c r="G76" s="19"/>
      <c r="H76" s="13"/>
      <c r="I76" s="19"/>
      <c r="J76" s="13"/>
      <c r="K76" s="19"/>
      <c r="L76" s="13"/>
      <c r="M76" s="557"/>
      <c r="N76" s="460"/>
      <c r="O76" s="783"/>
      <c r="P76" s="460"/>
    </row>
    <row r="77" spans="1:16">
      <c r="A77" s="14"/>
      <c r="B77" s="15"/>
      <c r="C77" s="16"/>
      <c r="D77" s="17"/>
      <c r="E77" s="12"/>
      <c r="F77" s="18"/>
      <c r="G77" s="19"/>
      <c r="H77" s="13"/>
      <c r="I77" s="19"/>
      <c r="J77" s="13"/>
      <c r="K77" s="19"/>
      <c r="L77" s="13"/>
      <c r="M77" s="557"/>
      <c r="N77" s="460"/>
      <c r="O77" s="783"/>
      <c r="P77" s="460"/>
    </row>
    <row r="78" spans="1:16">
      <c r="A78" s="14"/>
      <c r="B78" s="15"/>
      <c r="C78" s="16"/>
      <c r="D78" s="17"/>
      <c r="E78" s="12"/>
      <c r="F78" s="18"/>
      <c r="G78" s="19"/>
      <c r="H78" s="13"/>
      <c r="I78" s="19"/>
      <c r="J78" s="13"/>
      <c r="K78" s="19"/>
      <c r="L78" s="13"/>
      <c r="M78" s="557"/>
      <c r="N78" s="460"/>
      <c r="O78" s="783"/>
      <c r="P78" s="460"/>
    </row>
    <row r="79" spans="1:16">
      <c r="A79" s="14"/>
      <c r="B79" s="15"/>
      <c r="C79" s="16"/>
      <c r="D79" s="17"/>
      <c r="E79" s="12"/>
      <c r="F79" s="18"/>
      <c r="G79" s="19"/>
      <c r="H79" s="13"/>
      <c r="I79" s="19"/>
      <c r="J79" s="13"/>
      <c r="K79" s="19"/>
      <c r="L79" s="13"/>
      <c r="M79" s="557"/>
      <c r="N79" s="460"/>
      <c r="O79" s="783"/>
      <c r="P79" s="460"/>
    </row>
    <row r="80" spans="1:16">
      <c r="A80" s="14"/>
      <c r="B80" s="15"/>
      <c r="C80" s="16"/>
      <c r="D80" s="17"/>
      <c r="E80" s="12"/>
      <c r="F80" s="18"/>
      <c r="G80" s="19"/>
      <c r="H80" s="13"/>
      <c r="I80" s="19"/>
      <c r="J80" s="13"/>
      <c r="K80" s="19"/>
      <c r="L80" s="13"/>
      <c r="M80" s="557"/>
      <c r="N80" s="460"/>
      <c r="O80" s="783"/>
      <c r="P80" s="460"/>
    </row>
    <row r="81" spans="1:16">
      <c r="A81" s="14"/>
      <c r="B81" s="15"/>
      <c r="C81" s="16"/>
      <c r="D81" s="17"/>
      <c r="E81" s="12"/>
      <c r="F81" s="18"/>
      <c r="G81" s="19"/>
      <c r="H81" s="13"/>
      <c r="I81" s="19"/>
      <c r="J81" s="13"/>
      <c r="K81" s="19"/>
      <c r="L81" s="13"/>
      <c r="M81" s="557"/>
      <c r="N81" s="460"/>
      <c r="O81" s="783"/>
      <c r="P81" s="460"/>
    </row>
    <row r="82" spans="1:16">
      <c r="A82" s="14"/>
      <c r="B82" s="15"/>
      <c r="C82" s="16"/>
      <c r="D82" s="17"/>
      <c r="E82" s="12"/>
      <c r="F82" s="18"/>
      <c r="G82" s="19"/>
      <c r="H82" s="13"/>
      <c r="I82" s="19"/>
      <c r="J82" s="13"/>
      <c r="K82" s="19"/>
      <c r="L82" s="13"/>
      <c r="M82" s="557"/>
      <c r="N82" s="460"/>
      <c r="O82" s="783"/>
      <c r="P82" s="460"/>
    </row>
    <row r="83" spans="1:16">
      <c r="A83" s="14"/>
      <c r="B83" s="15"/>
      <c r="C83" s="16"/>
      <c r="D83" s="17"/>
      <c r="E83" s="12"/>
      <c r="F83" s="18"/>
      <c r="G83" s="19"/>
      <c r="H83" s="13"/>
      <c r="I83" s="19"/>
      <c r="J83" s="13"/>
      <c r="K83" s="19"/>
      <c r="L83" s="13"/>
      <c r="M83" s="557"/>
      <c r="N83" s="460"/>
      <c r="O83" s="783"/>
      <c r="P83" s="460"/>
    </row>
    <row r="84" spans="1:16">
      <c r="A84" s="14"/>
      <c r="B84" s="15"/>
      <c r="C84" s="16"/>
      <c r="D84" s="17"/>
      <c r="E84" s="12"/>
      <c r="F84" s="18"/>
      <c r="G84" s="19"/>
      <c r="H84" s="13"/>
      <c r="I84" s="19"/>
      <c r="J84" s="13"/>
      <c r="K84" s="19"/>
      <c r="L84" s="13"/>
      <c r="M84" s="557"/>
      <c r="N84" s="460"/>
      <c r="O84" s="783"/>
      <c r="P84" s="460"/>
    </row>
    <row r="85" spans="1:16">
      <c r="A85" s="14"/>
      <c r="B85" s="15"/>
      <c r="C85" s="16"/>
      <c r="D85" s="17"/>
      <c r="E85" s="12"/>
      <c r="F85" s="18"/>
      <c r="G85" s="19"/>
      <c r="H85" s="13"/>
      <c r="I85" s="19"/>
      <c r="J85" s="13"/>
      <c r="K85" s="19"/>
      <c r="L85" s="13"/>
      <c r="M85" s="557"/>
      <c r="N85" s="460"/>
      <c r="O85" s="783"/>
      <c r="P85" s="460"/>
    </row>
    <row r="86" spans="1:16">
      <c r="A86" s="14"/>
      <c r="B86" s="15"/>
      <c r="C86" s="16"/>
      <c r="D86" s="17"/>
      <c r="E86" s="12"/>
      <c r="F86" s="18"/>
      <c r="G86" s="19"/>
      <c r="H86" s="13"/>
      <c r="I86" s="19"/>
      <c r="J86" s="13"/>
      <c r="K86" s="19"/>
      <c r="L86" s="13"/>
      <c r="M86" s="557"/>
      <c r="N86" s="460"/>
      <c r="O86" s="783"/>
      <c r="P86" s="460"/>
    </row>
    <row r="87" spans="1:16">
      <c r="A87" s="14"/>
      <c r="B87" s="15"/>
      <c r="C87" s="16"/>
      <c r="D87" s="17"/>
      <c r="E87" s="12"/>
      <c r="F87" s="18"/>
      <c r="G87" s="19"/>
      <c r="H87" s="13"/>
      <c r="I87" s="19"/>
      <c r="J87" s="13"/>
      <c r="K87" s="19"/>
      <c r="L87" s="13"/>
      <c r="M87" s="557"/>
      <c r="N87" s="460"/>
      <c r="O87" s="783"/>
      <c r="P87" s="460"/>
    </row>
    <row r="88" spans="1:16">
      <c r="A88" s="14"/>
      <c r="B88" s="15"/>
      <c r="C88" s="16"/>
      <c r="D88" s="17"/>
      <c r="E88" s="12"/>
      <c r="F88" s="18"/>
      <c r="G88" s="19"/>
      <c r="H88" s="13"/>
      <c r="I88" s="19"/>
      <c r="J88" s="13"/>
      <c r="K88" s="19"/>
      <c r="L88" s="13"/>
      <c r="M88" s="557"/>
      <c r="N88" s="460"/>
      <c r="O88" s="783"/>
      <c r="P88" s="460"/>
    </row>
    <row r="89" spans="1:16">
      <c r="A89" s="14"/>
      <c r="B89" s="15"/>
      <c r="C89" s="16"/>
      <c r="D89" s="17"/>
      <c r="E89" s="12"/>
      <c r="F89" s="18"/>
      <c r="G89" s="19"/>
      <c r="H89" s="13"/>
      <c r="I89" s="19"/>
      <c r="J89" s="13"/>
      <c r="K89" s="19"/>
      <c r="L89" s="13"/>
      <c r="M89" s="557"/>
      <c r="N89" s="460"/>
      <c r="O89" s="783"/>
      <c r="P89" s="460"/>
    </row>
    <row r="90" spans="1:16">
      <c r="A90" s="14"/>
      <c r="B90" s="15"/>
      <c r="C90" s="16"/>
      <c r="D90" s="17"/>
      <c r="E90" s="12"/>
      <c r="F90" s="18"/>
      <c r="G90" s="19"/>
      <c r="H90" s="13"/>
      <c r="I90" s="19"/>
      <c r="J90" s="13"/>
      <c r="K90" s="19"/>
      <c r="L90" s="13"/>
      <c r="M90" s="557"/>
      <c r="N90" s="460"/>
      <c r="O90" s="783"/>
      <c r="P90" s="460"/>
    </row>
    <row r="91" spans="1:16">
      <c r="A91" s="14"/>
      <c r="B91" s="15"/>
      <c r="C91" s="16"/>
      <c r="D91" s="17"/>
      <c r="E91" s="12"/>
      <c r="F91" s="18"/>
      <c r="G91" s="19"/>
      <c r="H91" s="13"/>
      <c r="I91" s="19"/>
      <c r="J91" s="13"/>
      <c r="K91" s="19"/>
      <c r="L91" s="13"/>
      <c r="M91" s="557"/>
      <c r="N91" s="460"/>
      <c r="O91" s="783"/>
      <c r="P91" s="460"/>
    </row>
    <row r="92" spans="1:16">
      <c r="A92" s="14"/>
      <c r="B92" s="15"/>
      <c r="C92" s="16"/>
      <c r="D92" s="17"/>
      <c r="E92" s="12"/>
      <c r="F92" s="18"/>
      <c r="G92" s="19"/>
      <c r="H92" s="13"/>
      <c r="I92" s="19"/>
      <c r="J92" s="13"/>
      <c r="K92" s="19"/>
      <c r="L92" s="13"/>
      <c r="M92" s="557"/>
      <c r="N92" s="460"/>
      <c r="O92" s="783"/>
      <c r="P92" s="460"/>
    </row>
    <row r="93" spans="1:16">
      <c r="A93" s="14"/>
      <c r="B93" s="15"/>
      <c r="C93" s="16"/>
      <c r="D93" s="17"/>
      <c r="E93" s="12"/>
      <c r="F93" s="18"/>
      <c r="G93" s="19"/>
      <c r="H93" s="13"/>
      <c r="I93" s="19"/>
      <c r="J93" s="13"/>
      <c r="K93" s="19"/>
      <c r="L93" s="13"/>
      <c r="M93" s="557"/>
      <c r="N93" s="460"/>
      <c r="O93" s="783"/>
      <c r="P93" s="460"/>
    </row>
    <row r="94" spans="1:16">
      <c r="A94" s="14"/>
      <c r="B94" s="15"/>
      <c r="C94" s="16"/>
      <c r="D94" s="17"/>
      <c r="E94" s="12"/>
      <c r="F94" s="18"/>
      <c r="G94" s="19"/>
      <c r="H94" s="13"/>
      <c r="I94" s="19"/>
      <c r="J94" s="13"/>
      <c r="K94" s="19"/>
      <c r="L94" s="13"/>
      <c r="M94" s="557"/>
      <c r="N94" s="460"/>
      <c r="O94" s="783"/>
      <c r="P94" s="460"/>
    </row>
    <row r="95" spans="1:16">
      <c r="A95" s="14"/>
      <c r="B95" s="15"/>
      <c r="C95" s="16"/>
      <c r="D95" s="17"/>
      <c r="E95" s="12"/>
      <c r="F95" s="18"/>
      <c r="G95" s="19"/>
      <c r="H95" s="13"/>
      <c r="I95" s="19"/>
      <c r="J95" s="13"/>
      <c r="K95" s="19"/>
      <c r="L95" s="13"/>
      <c r="M95" s="557"/>
      <c r="N95" s="460"/>
      <c r="O95" s="783"/>
      <c r="P95" s="460"/>
    </row>
    <row r="96" spans="1:16">
      <c r="A96" s="14"/>
      <c r="B96" s="15"/>
      <c r="C96" s="16"/>
      <c r="D96" s="17"/>
      <c r="E96" s="12"/>
      <c r="F96" s="18"/>
      <c r="G96" s="19"/>
      <c r="H96" s="13"/>
      <c r="I96" s="19"/>
      <c r="J96" s="13"/>
      <c r="K96" s="19"/>
      <c r="L96" s="13"/>
      <c r="M96" s="557"/>
      <c r="N96" s="460"/>
      <c r="O96" s="783"/>
      <c r="P96" s="460"/>
    </row>
    <row r="97" spans="1:16">
      <c r="A97" s="14"/>
      <c r="B97" s="15"/>
      <c r="C97" s="16"/>
      <c r="D97" s="17"/>
      <c r="E97" s="12"/>
      <c r="F97" s="18"/>
      <c r="G97" s="19"/>
      <c r="H97" s="13"/>
      <c r="I97" s="19"/>
      <c r="J97" s="13"/>
      <c r="K97" s="19"/>
      <c r="L97" s="13"/>
      <c r="M97" s="557"/>
      <c r="N97" s="460"/>
      <c r="O97" s="783"/>
      <c r="P97" s="460"/>
    </row>
    <row r="98" spans="1:16">
      <c r="A98" s="14"/>
      <c r="B98" s="15"/>
      <c r="C98" s="16"/>
      <c r="D98" s="17"/>
      <c r="E98" s="12"/>
      <c r="F98" s="18"/>
      <c r="G98" s="19"/>
      <c r="H98" s="13"/>
      <c r="I98" s="19"/>
      <c r="J98" s="13"/>
      <c r="K98" s="19"/>
      <c r="L98" s="13"/>
      <c r="M98" s="557"/>
      <c r="N98" s="460"/>
      <c r="O98" s="783"/>
      <c r="P98" s="460"/>
    </row>
    <row r="99" spans="1:16">
      <c r="A99" s="14"/>
      <c r="B99" s="15"/>
      <c r="C99" s="16"/>
      <c r="D99" s="17"/>
      <c r="E99" s="12"/>
      <c r="F99" s="18"/>
      <c r="G99" s="19"/>
      <c r="H99" s="13"/>
      <c r="I99" s="19"/>
      <c r="J99" s="13"/>
      <c r="K99" s="19"/>
      <c r="L99" s="13"/>
      <c r="M99" s="557"/>
      <c r="N99" s="460"/>
      <c r="O99" s="783"/>
      <c r="P99" s="460"/>
    </row>
    <row r="100" spans="1:16">
      <c r="A100" s="14"/>
      <c r="B100" s="15"/>
      <c r="C100" s="16"/>
      <c r="D100" s="17"/>
      <c r="E100" s="12"/>
      <c r="F100" s="18"/>
      <c r="G100" s="19"/>
      <c r="H100" s="13"/>
      <c r="I100" s="19"/>
      <c r="J100" s="13"/>
      <c r="K100" s="19"/>
      <c r="L100" s="13"/>
      <c r="M100" s="557"/>
      <c r="N100" s="460"/>
      <c r="O100" s="783"/>
      <c r="P100" s="460"/>
    </row>
    <row r="101" spans="1:16">
      <c r="A101" s="14"/>
      <c r="B101" s="15"/>
      <c r="C101" s="16"/>
      <c r="D101" s="17"/>
      <c r="E101" s="12"/>
      <c r="F101" s="18"/>
      <c r="G101" s="19"/>
      <c r="H101" s="13"/>
      <c r="I101" s="19"/>
      <c r="J101" s="13"/>
      <c r="K101" s="19"/>
      <c r="L101" s="13"/>
      <c r="M101" s="557"/>
      <c r="N101" s="460"/>
      <c r="O101" s="783"/>
      <c r="P101" s="460"/>
    </row>
    <row r="102" spans="1:16">
      <c r="A102" s="14"/>
      <c r="B102" s="15"/>
      <c r="C102" s="16"/>
      <c r="D102" s="17"/>
      <c r="E102" s="12"/>
      <c r="F102" s="18"/>
      <c r="G102" s="19"/>
      <c r="H102" s="13"/>
      <c r="I102" s="19"/>
      <c r="J102" s="13"/>
      <c r="K102" s="19"/>
      <c r="L102" s="13"/>
      <c r="M102" s="557"/>
      <c r="N102" s="460"/>
      <c r="O102" s="783"/>
      <c r="P102" s="460"/>
    </row>
    <row r="103" spans="1:16">
      <c r="A103" s="14"/>
      <c r="B103" s="15"/>
      <c r="C103" s="16"/>
      <c r="D103" s="17"/>
      <c r="E103" s="12"/>
      <c r="F103" s="18"/>
      <c r="G103" s="19"/>
      <c r="H103" s="13"/>
      <c r="I103" s="19"/>
      <c r="J103" s="13"/>
      <c r="K103" s="19"/>
      <c r="L103" s="13"/>
      <c r="M103" s="557"/>
      <c r="N103" s="460"/>
      <c r="O103" s="783"/>
      <c r="P103" s="460"/>
    </row>
    <row r="104" spans="1:16">
      <c r="A104" s="14"/>
      <c r="B104" s="15"/>
      <c r="C104" s="16"/>
      <c r="D104" s="17"/>
      <c r="E104" s="12"/>
      <c r="F104" s="18"/>
      <c r="G104" s="19"/>
      <c r="H104" s="13"/>
      <c r="I104" s="19"/>
      <c r="J104" s="13"/>
      <c r="K104" s="19"/>
      <c r="L104" s="13"/>
      <c r="M104" s="557"/>
      <c r="N104" s="460"/>
      <c r="O104" s="783"/>
      <c r="P104" s="460"/>
    </row>
    <row r="105" spans="1:16">
      <c r="A105" s="14"/>
      <c r="B105" s="15"/>
      <c r="C105" s="16"/>
      <c r="D105" s="17"/>
      <c r="E105" s="12"/>
      <c r="F105" s="18"/>
      <c r="G105" s="19"/>
      <c r="H105" s="13"/>
      <c r="I105" s="19"/>
      <c r="J105" s="13"/>
      <c r="K105" s="19"/>
      <c r="L105" s="13"/>
      <c r="M105" s="557"/>
      <c r="N105" s="460"/>
      <c r="O105" s="783"/>
      <c r="P105" s="460"/>
    </row>
    <row r="106" spans="1:16">
      <c r="A106" s="14"/>
      <c r="B106" s="15"/>
      <c r="C106" s="16"/>
      <c r="D106" s="17"/>
      <c r="E106" s="12"/>
      <c r="F106" s="18"/>
      <c r="G106" s="19"/>
      <c r="H106" s="13"/>
      <c r="I106" s="19"/>
      <c r="J106" s="13"/>
      <c r="K106" s="19"/>
      <c r="L106" s="13"/>
      <c r="M106" s="557"/>
      <c r="N106" s="460"/>
      <c r="O106" s="783"/>
      <c r="P106" s="460"/>
    </row>
    <row r="107" spans="1:16">
      <c r="A107" s="14"/>
      <c r="B107" s="15"/>
      <c r="C107" s="16"/>
      <c r="D107" s="17"/>
      <c r="E107" s="12"/>
      <c r="F107" s="18"/>
      <c r="G107" s="19"/>
      <c r="H107" s="13"/>
      <c r="I107" s="19"/>
      <c r="J107" s="13"/>
      <c r="K107" s="19"/>
      <c r="L107" s="13"/>
      <c r="M107" s="557"/>
      <c r="N107" s="460"/>
      <c r="O107" s="783"/>
      <c r="P107" s="460"/>
    </row>
    <row r="108" spans="1:16">
      <c r="A108" s="14"/>
      <c r="B108" s="15"/>
      <c r="C108" s="16"/>
      <c r="D108" s="17"/>
      <c r="E108" s="12"/>
      <c r="F108" s="18"/>
      <c r="G108" s="19"/>
      <c r="H108" s="13"/>
      <c r="I108" s="19"/>
      <c r="J108" s="13"/>
      <c r="K108" s="19"/>
      <c r="L108" s="13"/>
      <c r="M108" s="557"/>
      <c r="N108" s="460"/>
      <c r="O108" s="783"/>
      <c r="P108" s="460"/>
    </row>
    <row r="109" spans="1:16">
      <c r="A109" s="14"/>
      <c r="B109" s="15"/>
      <c r="C109" s="16"/>
      <c r="D109" s="17"/>
      <c r="E109" s="12"/>
      <c r="F109" s="18"/>
      <c r="G109" s="19"/>
      <c r="H109" s="13"/>
      <c r="I109" s="19"/>
      <c r="J109" s="13"/>
      <c r="K109" s="19"/>
      <c r="L109" s="13"/>
      <c r="M109" s="557"/>
      <c r="N109" s="460"/>
      <c r="O109" s="783"/>
      <c r="P109" s="460"/>
    </row>
    <row r="110" spans="1:16">
      <c r="A110" s="14"/>
      <c r="B110" s="15"/>
      <c r="C110" s="16"/>
      <c r="D110" s="17"/>
      <c r="E110" s="12"/>
      <c r="F110" s="18"/>
      <c r="G110" s="19"/>
      <c r="H110" s="13"/>
      <c r="I110" s="19"/>
      <c r="J110" s="13"/>
      <c r="K110" s="19"/>
      <c r="L110" s="13"/>
      <c r="M110" s="557"/>
      <c r="N110" s="460"/>
      <c r="O110" s="783"/>
      <c r="P110" s="460"/>
    </row>
    <row r="111" spans="1:16">
      <c r="A111" s="14"/>
      <c r="B111" s="15"/>
      <c r="C111" s="16"/>
      <c r="D111" s="17"/>
      <c r="E111" s="12"/>
      <c r="F111" s="18"/>
      <c r="G111" s="19"/>
      <c r="H111" s="13"/>
      <c r="I111" s="19"/>
      <c r="J111" s="13"/>
      <c r="K111" s="19"/>
      <c r="L111" s="13"/>
      <c r="M111" s="557"/>
      <c r="N111" s="460"/>
      <c r="O111" s="783"/>
      <c r="P111" s="460"/>
    </row>
    <row r="112" spans="1:16">
      <c r="A112" s="14"/>
      <c r="B112" s="15"/>
      <c r="C112" s="16"/>
      <c r="D112" s="17"/>
      <c r="E112" s="12"/>
      <c r="F112" s="18"/>
      <c r="G112" s="19"/>
      <c r="H112" s="13"/>
      <c r="I112" s="19"/>
      <c r="J112" s="13"/>
      <c r="K112" s="19"/>
      <c r="L112" s="13"/>
      <c r="M112" s="557"/>
      <c r="N112" s="460"/>
      <c r="O112" s="783"/>
      <c r="P112" s="460"/>
    </row>
    <row r="113" spans="1:16">
      <c r="A113" s="14"/>
      <c r="B113" s="15"/>
      <c r="C113" s="16"/>
      <c r="D113" s="17"/>
      <c r="E113" s="12"/>
      <c r="F113" s="18"/>
      <c r="G113" s="19"/>
      <c r="H113" s="13"/>
      <c r="I113" s="19"/>
      <c r="J113" s="13"/>
      <c r="K113" s="19"/>
      <c r="L113" s="13"/>
      <c r="M113" s="557"/>
      <c r="N113" s="460"/>
      <c r="O113" s="783"/>
      <c r="P113" s="460"/>
    </row>
    <row r="114" spans="1:16">
      <c r="A114" s="14"/>
      <c r="B114" s="15"/>
      <c r="C114" s="16"/>
      <c r="D114" s="17"/>
      <c r="E114" s="12"/>
      <c r="F114" s="18"/>
      <c r="G114" s="19"/>
      <c r="H114" s="13"/>
      <c r="I114" s="19"/>
      <c r="J114" s="13"/>
      <c r="K114" s="19"/>
      <c r="L114" s="13"/>
      <c r="M114" s="557"/>
      <c r="N114" s="460"/>
      <c r="O114" s="783"/>
      <c r="P114" s="460"/>
    </row>
    <row r="115" spans="1:16">
      <c r="A115" s="14"/>
      <c r="B115" s="15"/>
      <c r="C115" s="16"/>
      <c r="D115" s="17"/>
      <c r="E115" s="12"/>
      <c r="F115" s="18"/>
      <c r="G115" s="19"/>
      <c r="H115" s="13"/>
      <c r="I115" s="19"/>
      <c r="J115" s="13"/>
      <c r="K115" s="19"/>
      <c r="L115" s="13"/>
      <c r="M115" s="557"/>
      <c r="N115" s="460"/>
      <c r="O115" s="783"/>
      <c r="P115" s="460"/>
    </row>
    <row r="116" spans="1:16">
      <c r="A116" s="14"/>
      <c r="B116" s="15"/>
      <c r="C116" s="16"/>
      <c r="D116" s="17"/>
      <c r="E116" s="12"/>
      <c r="F116" s="18"/>
      <c r="G116" s="19"/>
      <c r="H116" s="13"/>
      <c r="I116" s="19"/>
      <c r="J116" s="13"/>
      <c r="K116" s="19"/>
      <c r="L116" s="13"/>
      <c r="M116" s="557"/>
      <c r="N116" s="460"/>
      <c r="O116" s="783"/>
      <c r="P116" s="460"/>
    </row>
    <row r="117" spans="1:16">
      <c r="A117" s="14"/>
      <c r="B117" s="15"/>
      <c r="C117" s="16"/>
      <c r="D117" s="17"/>
      <c r="E117" s="12"/>
      <c r="F117" s="18"/>
      <c r="G117" s="19"/>
      <c r="H117" s="13"/>
      <c r="I117" s="19"/>
      <c r="J117" s="13"/>
      <c r="K117" s="19"/>
      <c r="L117" s="13"/>
      <c r="M117" s="557"/>
      <c r="N117" s="460"/>
      <c r="O117" s="783"/>
      <c r="P117" s="460"/>
    </row>
    <row r="118" spans="1:16">
      <c r="A118" s="14"/>
      <c r="B118" s="15"/>
      <c r="C118" s="16"/>
      <c r="D118" s="17"/>
      <c r="E118" s="12"/>
      <c r="F118" s="18"/>
      <c r="G118" s="19"/>
      <c r="H118" s="13"/>
      <c r="I118" s="19"/>
      <c r="J118" s="13"/>
      <c r="K118" s="19"/>
      <c r="L118" s="13"/>
      <c r="M118" s="557"/>
      <c r="N118" s="460"/>
      <c r="O118" s="783"/>
      <c r="P118" s="460"/>
    </row>
    <row r="119" spans="1:16">
      <c r="A119" s="14"/>
      <c r="B119" s="15"/>
      <c r="C119" s="16"/>
      <c r="D119" s="17"/>
      <c r="E119" s="12"/>
      <c r="F119" s="18"/>
      <c r="G119" s="19"/>
      <c r="H119" s="13"/>
      <c r="I119" s="19"/>
      <c r="J119" s="13"/>
      <c r="K119" s="19"/>
      <c r="L119" s="13"/>
      <c r="M119" s="557"/>
      <c r="N119" s="460"/>
      <c r="O119" s="783"/>
      <c r="P119" s="460"/>
    </row>
    <row r="120" spans="1:16">
      <c r="A120" s="14"/>
      <c r="B120" s="15"/>
      <c r="C120" s="16"/>
      <c r="D120" s="17"/>
      <c r="E120" s="12"/>
      <c r="F120" s="18"/>
      <c r="G120" s="19"/>
      <c r="H120" s="13"/>
      <c r="I120" s="19"/>
      <c r="J120" s="13"/>
      <c r="K120" s="19"/>
      <c r="L120" s="13"/>
      <c r="M120" s="557"/>
      <c r="N120" s="460"/>
      <c r="O120" s="783"/>
      <c r="P120" s="460"/>
    </row>
    <row r="121" spans="1:16">
      <c r="A121" s="14"/>
      <c r="B121" s="15"/>
      <c r="C121" s="16"/>
      <c r="D121" s="17"/>
      <c r="E121" s="12"/>
      <c r="F121" s="18"/>
      <c r="G121" s="19"/>
      <c r="H121" s="13"/>
      <c r="I121" s="19"/>
      <c r="J121" s="13"/>
      <c r="K121" s="19"/>
      <c r="L121" s="13"/>
      <c r="M121" s="557"/>
      <c r="N121" s="460"/>
      <c r="O121" s="783"/>
      <c r="P121" s="460"/>
    </row>
    <row r="122" spans="1:16">
      <c r="A122" s="14"/>
      <c r="B122" s="15"/>
      <c r="C122" s="16"/>
      <c r="D122" s="17"/>
      <c r="E122" s="12"/>
      <c r="F122" s="18"/>
      <c r="G122" s="19"/>
      <c r="H122" s="13"/>
      <c r="I122" s="19"/>
      <c r="J122" s="13"/>
      <c r="K122" s="19"/>
      <c r="L122" s="13"/>
      <c r="M122" s="557"/>
      <c r="N122" s="460"/>
      <c r="O122" s="783"/>
      <c r="P122" s="460"/>
    </row>
    <row r="123" spans="1:16">
      <c r="A123" s="14"/>
      <c r="B123" s="15"/>
      <c r="C123" s="16"/>
      <c r="D123" s="17"/>
      <c r="E123" s="12"/>
      <c r="F123" s="18"/>
      <c r="G123" s="19"/>
      <c r="H123" s="13"/>
      <c r="I123" s="19"/>
      <c r="J123" s="13"/>
      <c r="K123" s="19"/>
      <c r="L123" s="13"/>
      <c r="M123" s="557"/>
      <c r="N123" s="460"/>
      <c r="O123" s="783"/>
      <c r="P123" s="460"/>
    </row>
    <row r="124" spans="1:16">
      <c r="A124" s="14"/>
      <c r="B124" s="15"/>
      <c r="C124" s="16"/>
      <c r="D124" s="17"/>
      <c r="E124" s="12"/>
      <c r="F124" s="18"/>
      <c r="G124" s="19"/>
      <c r="H124" s="13"/>
      <c r="I124" s="19"/>
      <c r="J124" s="13"/>
      <c r="K124" s="19"/>
      <c r="L124" s="13"/>
      <c r="M124" s="557"/>
      <c r="N124" s="460"/>
      <c r="O124" s="783"/>
      <c r="P124" s="460"/>
    </row>
    <row r="125" spans="1:16">
      <c r="A125" s="14"/>
      <c r="B125" s="15"/>
      <c r="C125" s="16"/>
      <c r="D125" s="17"/>
      <c r="E125" s="12"/>
      <c r="F125" s="18"/>
      <c r="G125" s="19"/>
      <c r="H125" s="13"/>
      <c r="I125" s="19"/>
      <c r="J125" s="13"/>
      <c r="K125" s="19"/>
      <c r="L125" s="13"/>
      <c r="M125" s="557"/>
      <c r="N125" s="460"/>
      <c r="O125" s="783"/>
      <c r="P125" s="460"/>
    </row>
    <row r="126" spans="1:16">
      <c r="A126" s="14"/>
      <c r="B126" s="15"/>
      <c r="C126" s="16"/>
      <c r="D126" s="17"/>
      <c r="E126" s="12"/>
      <c r="F126" s="18"/>
      <c r="G126" s="19"/>
      <c r="H126" s="13"/>
      <c r="I126" s="19"/>
      <c r="J126" s="13"/>
      <c r="K126" s="19"/>
      <c r="L126" s="13"/>
      <c r="M126" s="557"/>
      <c r="N126" s="460"/>
      <c r="O126" s="783"/>
      <c r="P126" s="460"/>
    </row>
    <row r="127" spans="1:16">
      <c r="A127" s="14"/>
      <c r="B127" s="15"/>
      <c r="C127" s="16"/>
      <c r="D127" s="17"/>
      <c r="E127" s="12"/>
      <c r="F127" s="18"/>
      <c r="G127" s="19"/>
      <c r="H127" s="13"/>
      <c r="I127" s="19"/>
      <c r="J127" s="13"/>
      <c r="K127" s="19"/>
      <c r="L127" s="13"/>
      <c r="M127" s="557"/>
      <c r="N127" s="460"/>
      <c r="O127" s="783"/>
      <c r="P127" s="460"/>
    </row>
    <row r="128" spans="1:16">
      <c r="A128" s="14"/>
      <c r="B128" s="15"/>
      <c r="C128" s="16"/>
      <c r="D128" s="17"/>
      <c r="E128" s="12"/>
      <c r="F128" s="18"/>
      <c r="G128" s="19"/>
      <c r="H128" s="13"/>
      <c r="I128" s="19"/>
      <c r="J128" s="13"/>
      <c r="K128" s="19"/>
      <c r="L128" s="13"/>
      <c r="M128" s="557"/>
      <c r="N128" s="460"/>
      <c r="O128" s="783"/>
      <c r="P128" s="460"/>
    </row>
    <row r="129" spans="1:16">
      <c r="A129" s="14"/>
      <c r="B129" s="15"/>
      <c r="C129" s="16"/>
      <c r="D129" s="17"/>
      <c r="E129" s="12"/>
      <c r="F129" s="18"/>
      <c r="G129" s="19"/>
      <c r="H129" s="13"/>
      <c r="I129" s="19"/>
      <c r="J129" s="13"/>
      <c r="K129" s="19"/>
      <c r="L129" s="13"/>
      <c r="M129" s="557"/>
      <c r="N129" s="460"/>
      <c r="O129" s="783"/>
      <c r="P129" s="460"/>
    </row>
    <row r="130" spans="1:16">
      <c r="A130" s="14"/>
      <c r="B130" s="15"/>
      <c r="C130" s="16"/>
      <c r="D130" s="17"/>
      <c r="E130" s="12"/>
      <c r="F130" s="18"/>
      <c r="G130" s="19"/>
      <c r="H130" s="13"/>
      <c r="I130" s="19"/>
      <c r="J130" s="13"/>
      <c r="K130" s="19"/>
      <c r="L130" s="13"/>
      <c r="M130" s="557"/>
      <c r="N130" s="460"/>
      <c r="O130" s="783"/>
      <c r="P130" s="460"/>
    </row>
    <row r="131" spans="1:16">
      <c r="A131" s="14"/>
      <c r="B131" s="15"/>
      <c r="C131" s="16"/>
      <c r="D131" s="17"/>
      <c r="E131" s="12"/>
      <c r="F131" s="18"/>
      <c r="G131" s="19"/>
      <c r="H131" s="13"/>
      <c r="I131" s="19"/>
      <c r="J131" s="13"/>
      <c r="K131" s="19"/>
      <c r="L131" s="13"/>
      <c r="M131" s="557"/>
      <c r="N131" s="460"/>
      <c r="O131" s="783"/>
      <c r="P131" s="460"/>
    </row>
    <row r="132" spans="1:16">
      <c r="A132" s="14"/>
      <c r="B132" s="15"/>
      <c r="C132" s="16"/>
      <c r="D132" s="17"/>
      <c r="E132" s="12"/>
      <c r="F132" s="18"/>
      <c r="G132" s="19"/>
      <c r="H132" s="13"/>
      <c r="I132" s="19"/>
      <c r="J132" s="13"/>
      <c r="K132" s="19"/>
      <c r="L132" s="13"/>
      <c r="M132" s="557"/>
      <c r="N132" s="460"/>
      <c r="O132" s="783"/>
      <c r="P132" s="460"/>
    </row>
    <row r="133" spans="1:16">
      <c r="A133" s="14"/>
      <c r="B133" s="15"/>
      <c r="C133" s="16"/>
      <c r="D133" s="17"/>
      <c r="E133" s="12"/>
      <c r="F133" s="18"/>
      <c r="G133" s="19"/>
      <c r="H133" s="13"/>
      <c r="I133" s="19"/>
      <c r="J133" s="13"/>
      <c r="K133" s="19"/>
      <c r="L133" s="13"/>
      <c r="M133" s="557"/>
      <c r="N133" s="460"/>
      <c r="O133" s="783"/>
      <c r="P133" s="460"/>
    </row>
    <row r="134" spans="1:16">
      <c r="A134" s="14"/>
      <c r="B134" s="15"/>
      <c r="C134" s="16"/>
      <c r="D134" s="17"/>
      <c r="E134" s="12"/>
      <c r="F134" s="18"/>
      <c r="G134" s="19"/>
      <c r="H134" s="13"/>
      <c r="I134" s="19"/>
      <c r="J134" s="13"/>
      <c r="K134" s="19"/>
      <c r="L134" s="13"/>
      <c r="M134" s="557"/>
      <c r="N134" s="460"/>
      <c r="O134" s="783"/>
      <c r="P134" s="460"/>
    </row>
    <row r="135" spans="1:16">
      <c r="A135" s="14"/>
      <c r="B135" s="15"/>
      <c r="C135" s="16"/>
      <c r="D135" s="17"/>
      <c r="E135" s="12"/>
      <c r="F135" s="18"/>
      <c r="G135" s="19"/>
      <c r="H135" s="13"/>
      <c r="I135" s="19"/>
      <c r="J135" s="13"/>
      <c r="K135" s="19"/>
      <c r="L135" s="13"/>
      <c r="M135" s="557"/>
      <c r="N135" s="460"/>
      <c r="O135" s="783"/>
      <c r="P135" s="460"/>
    </row>
    <row r="136" spans="1:16">
      <c r="A136" s="14"/>
      <c r="B136" s="15"/>
      <c r="C136" s="16"/>
      <c r="D136" s="17"/>
      <c r="E136" s="12"/>
      <c r="F136" s="18"/>
      <c r="G136" s="19"/>
      <c r="H136" s="13"/>
      <c r="I136" s="19"/>
      <c r="J136" s="13"/>
      <c r="K136" s="19"/>
      <c r="L136" s="13"/>
      <c r="M136" s="557"/>
      <c r="N136" s="460"/>
      <c r="O136" s="783"/>
      <c r="P136" s="460"/>
    </row>
    <row r="137" spans="1:16">
      <c r="A137" s="14"/>
      <c r="B137" s="15"/>
      <c r="C137" s="16"/>
      <c r="D137" s="17"/>
      <c r="E137" s="12"/>
      <c r="F137" s="18"/>
      <c r="G137" s="19"/>
      <c r="H137" s="13"/>
      <c r="I137" s="19"/>
      <c r="J137" s="13"/>
      <c r="K137" s="19"/>
      <c r="L137" s="13"/>
      <c r="M137" s="557"/>
      <c r="N137" s="460"/>
      <c r="O137" s="783"/>
      <c r="P137" s="460"/>
    </row>
    <row r="138" spans="1:16">
      <c r="A138" s="14"/>
      <c r="B138" s="15"/>
      <c r="C138" s="16"/>
      <c r="D138" s="17"/>
      <c r="E138" s="12"/>
      <c r="F138" s="18"/>
      <c r="G138" s="19"/>
      <c r="H138" s="13"/>
      <c r="I138" s="19"/>
      <c r="J138" s="13"/>
      <c r="K138" s="19"/>
      <c r="L138" s="13"/>
      <c r="M138" s="557"/>
      <c r="N138" s="460"/>
      <c r="O138" s="783"/>
      <c r="P138" s="460"/>
    </row>
    <row r="139" spans="1:16">
      <c r="A139" s="14"/>
      <c r="B139" s="15"/>
      <c r="C139" s="16"/>
      <c r="D139" s="17"/>
      <c r="E139" s="12"/>
      <c r="F139" s="18"/>
      <c r="G139" s="19"/>
      <c r="H139" s="13"/>
      <c r="I139" s="19"/>
      <c r="J139" s="13"/>
      <c r="K139" s="19"/>
      <c r="L139" s="13"/>
      <c r="M139" s="557"/>
      <c r="N139" s="460"/>
      <c r="O139" s="783"/>
      <c r="P139" s="460"/>
    </row>
    <row r="140" spans="1:16">
      <c r="A140" s="14"/>
      <c r="B140" s="15"/>
      <c r="C140" s="16"/>
      <c r="D140" s="17"/>
      <c r="E140" s="12"/>
      <c r="F140" s="18"/>
      <c r="G140" s="19"/>
      <c r="H140" s="13"/>
      <c r="I140" s="19"/>
      <c r="J140" s="13"/>
      <c r="K140" s="19"/>
      <c r="L140" s="13"/>
      <c r="M140" s="557"/>
      <c r="N140" s="460"/>
      <c r="O140" s="783"/>
      <c r="P140" s="460"/>
    </row>
    <row r="141" spans="1:16">
      <c r="A141" s="14"/>
      <c r="B141" s="15"/>
      <c r="C141" s="16"/>
      <c r="D141" s="17"/>
      <c r="E141" s="12"/>
      <c r="F141" s="18"/>
      <c r="G141" s="19"/>
      <c r="H141" s="13"/>
      <c r="I141" s="19"/>
      <c r="J141" s="13"/>
      <c r="K141" s="19"/>
      <c r="L141" s="13"/>
      <c r="M141" s="557"/>
      <c r="N141" s="460"/>
      <c r="O141" s="783"/>
      <c r="P141" s="460"/>
    </row>
    <row r="142" spans="1:16">
      <c r="A142" s="14"/>
      <c r="B142" s="15"/>
      <c r="C142" s="16"/>
      <c r="D142" s="17"/>
      <c r="E142" s="12"/>
      <c r="F142" s="18"/>
      <c r="G142" s="19"/>
      <c r="H142" s="13"/>
      <c r="I142" s="19"/>
      <c r="J142" s="13"/>
      <c r="K142" s="19"/>
      <c r="L142" s="13"/>
      <c r="M142" s="557"/>
      <c r="N142" s="460"/>
      <c r="O142" s="783"/>
      <c r="P142" s="460"/>
    </row>
    <row r="143" spans="1:16">
      <c r="A143" s="14"/>
      <c r="B143" s="15"/>
      <c r="C143" s="16"/>
      <c r="D143" s="17"/>
      <c r="E143" s="12"/>
      <c r="F143" s="18"/>
      <c r="G143" s="19"/>
      <c r="H143" s="13"/>
      <c r="I143" s="19"/>
      <c r="J143" s="13"/>
      <c r="K143" s="19"/>
      <c r="L143" s="13"/>
      <c r="M143" s="557"/>
      <c r="N143" s="460"/>
      <c r="O143" s="783"/>
      <c r="P143" s="460"/>
    </row>
    <row r="144" spans="1:16">
      <c r="A144" s="14"/>
      <c r="B144" s="15"/>
      <c r="C144" s="16"/>
      <c r="D144" s="17"/>
      <c r="E144" s="12"/>
      <c r="F144" s="18"/>
      <c r="G144" s="19"/>
      <c r="H144" s="13"/>
      <c r="I144" s="19"/>
      <c r="J144" s="13"/>
      <c r="K144" s="19"/>
      <c r="L144" s="13"/>
      <c r="M144" s="557"/>
      <c r="N144" s="460"/>
      <c r="O144" s="783"/>
      <c r="P144" s="460"/>
    </row>
    <row r="145" spans="1:16">
      <c r="A145" s="14"/>
      <c r="B145" s="15"/>
      <c r="C145" s="16"/>
      <c r="D145" s="17"/>
      <c r="E145" s="12"/>
      <c r="F145" s="18"/>
      <c r="G145" s="19"/>
      <c r="H145" s="13"/>
      <c r="I145" s="19"/>
      <c r="J145" s="13"/>
      <c r="K145" s="19"/>
      <c r="L145" s="13"/>
      <c r="M145" s="557"/>
      <c r="N145" s="460"/>
      <c r="O145" s="783"/>
      <c r="P145" s="460"/>
    </row>
    <row r="146" spans="1:16">
      <c r="A146" s="14"/>
      <c r="B146" s="15"/>
      <c r="C146" s="16"/>
      <c r="D146" s="17"/>
      <c r="E146" s="12"/>
      <c r="F146" s="18"/>
      <c r="G146" s="19"/>
      <c r="H146" s="13"/>
      <c r="I146" s="19"/>
      <c r="J146" s="13"/>
      <c r="K146" s="19"/>
      <c r="L146" s="13"/>
      <c r="M146" s="557"/>
      <c r="N146" s="460"/>
      <c r="O146" s="783"/>
      <c r="P146" s="460"/>
    </row>
    <row r="147" spans="1:16">
      <c r="A147" s="14"/>
      <c r="B147" s="15"/>
      <c r="C147" s="16"/>
      <c r="D147" s="17"/>
      <c r="E147" s="12"/>
      <c r="F147" s="18"/>
      <c r="G147" s="19"/>
      <c r="H147" s="13"/>
      <c r="I147" s="19"/>
      <c r="J147" s="13"/>
      <c r="K147" s="19"/>
      <c r="L147" s="13"/>
      <c r="M147" s="557"/>
      <c r="N147" s="460"/>
      <c r="O147" s="783"/>
      <c r="P147" s="460"/>
    </row>
    <row r="148" spans="1:16">
      <c r="A148" s="14"/>
      <c r="B148" s="15"/>
      <c r="C148" s="16"/>
      <c r="D148" s="17"/>
      <c r="E148" s="12"/>
      <c r="F148" s="18"/>
      <c r="G148" s="19"/>
      <c r="H148" s="13"/>
      <c r="I148" s="19"/>
      <c r="J148" s="13"/>
      <c r="K148" s="19"/>
      <c r="L148" s="13"/>
      <c r="M148" s="557"/>
      <c r="N148" s="460"/>
      <c r="O148" s="783"/>
      <c r="P148" s="460"/>
    </row>
    <row r="149" spans="1:16">
      <c r="A149" s="14"/>
      <c r="B149" s="15"/>
      <c r="C149" s="16"/>
      <c r="D149" s="17"/>
      <c r="E149" s="12"/>
      <c r="F149" s="18"/>
      <c r="G149" s="19"/>
      <c r="H149" s="13"/>
      <c r="I149" s="19"/>
      <c r="J149" s="13"/>
      <c r="K149" s="19"/>
      <c r="L149" s="13"/>
      <c r="M149" s="557"/>
      <c r="N149" s="460"/>
      <c r="O149" s="783"/>
      <c r="P149" s="460"/>
    </row>
    <row r="150" spans="1:16">
      <c r="A150" s="14"/>
      <c r="B150" s="15"/>
      <c r="C150" s="16"/>
      <c r="D150" s="17"/>
      <c r="E150" s="12"/>
      <c r="F150" s="18"/>
      <c r="G150" s="19"/>
      <c r="H150" s="13"/>
      <c r="I150" s="19"/>
      <c r="J150" s="13"/>
      <c r="K150" s="19"/>
      <c r="L150" s="13"/>
      <c r="M150" s="557"/>
      <c r="N150" s="460"/>
      <c r="O150" s="783"/>
      <c r="P150" s="460"/>
    </row>
    <row r="151" spans="1:16">
      <c r="A151" s="14"/>
      <c r="B151" s="15"/>
      <c r="C151" s="16"/>
      <c r="D151" s="17"/>
      <c r="E151" s="12"/>
      <c r="F151" s="18"/>
      <c r="G151" s="19"/>
      <c r="H151" s="13"/>
      <c r="I151" s="19"/>
      <c r="J151" s="13"/>
      <c r="K151" s="19"/>
      <c r="L151" s="13"/>
      <c r="M151" s="557"/>
      <c r="N151" s="460"/>
      <c r="O151" s="783"/>
      <c r="P151" s="460"/>
    </row>
    <row r="152" spans="1:16">
      <c r="A152" s="14"/>
      <c r="B152" s="15"/>
      <c r="C152" s="16"/>
      <c r="D152" s="17"/>
      <c r="E152" s="12"/>
      <c r="F152" s="18"/>
      <c r="G152" s="19"/>
      <c r="H152" s="13"/>
      <c r="I152" s="19"/>
      <c r="J152" s="13"/>
      <c r="K152" s="19"/>
      <c r="L152" s="13"/>
      <c r="M152" s="557"/>
      <c r="N152" s="460"/>
      <c r="O152" s="783"/>
      <c r="P152" s="460"/>
    </row>
    <row r="153" spans="1:16">
      <c r="A153" s="14"/>
      <c r="B153" s="15"/>
      <c r="C153" s="16"/>
      <c r="D153" s="17"/>
      <c r="E153" s="12"/>
      <c r="F153" s="18"/>
      <c r="G153" s="19"/>
      <c r="H153" s="13"/>
      <c r="I153" s="19"/>
      <c r="J153" s="13"/>
      <c r="K153" s="19"/>
      <c r="L153" s="13"/>
      <c r="M153" s="557"/>
      <c r="N153" s="460"/>
      <c r="O153" s="783"/>
      <c r="P153" s="460"/>
    </row>
    <row r="154" spans="1:16">
      <c r="A154" s="14"/>
      <c r="B154" s="15"/>
      <c r="C154" s="16"/>
      <c r="D154" s="17"/>
      <c r="E154" s="12"/>
      <c r="F154" s="18"/>
      <c r="G154" s="19"/>
      <c r="H154" s="13"/>
      <c r="I154" s="19"/>
      <c r="J154" s="13"/>
      <c r="K154" s="19"/>
      <c r="L154" s="13"/>
      <c r="M154" s="557"/>
      <c r="N154" s="460"/>
      <c r="O154" s="783"/>
      <c r="P154" s="460"/>
    </row>
    <row r="155" spans="1:16">
      <c r="A155" s="14"/>
      <c r="B155" s="15"/>
      <c r="C155" s="16"/>
      <c r="D155" s="17"/>
      <c r="E155" s="12"/>
      <c r="F155" s="18"/>
      <c r="G155" s="19"/>
      <c r="H155" s="13"/>
      <c r="I155" s="19"/>
      <c r="J155" s="13"/>
      <c r="K155" s="19"/>
      <c r="L155" s="13"/>
      <c r="M155" s="557"/>
      <c r="N155" s="460"/>
      <c r="O155" s="783"/>
      <c r="P155" s="460"/>
    </row>
    <row r="156" spans="1:16">
      <c r="A156" s="14"/>
      <c r="B156" s="15"/>
      <c r="C156" s="16"/>
      <c r="D156" s="17"/>
      <c r="E156" s="12"/>
      <c r="F156" s="18"/>
      <c r="G156" s="19"/>
      <c r="H156" s="13"/>
      <c r="I156" s="19"/>
      <c r="J156" s="13"/>
      <c r="K156" s="19"/>
      <c r="L156" s="13"/>
      <c r="M156" s="557"/>
      <c r="N156" s="460"/>
      <c r="O156" s="783"/>
      <c r="P156" s="460"/>
    </row>
    <row r="157" spans="1:16">
      <c r="A157" s="14"/>
      <c r="B157" s="15"/>
      <c r="C157" s="16"/>
      <c r="D157" s="17"/>
      <c r="E157" s="12"/>
      <c r="F157" s="18"/>
      <c r="G157" s="19"/>
      <c r="H157" s="13"/>
      <c r="I157" s="19"/>
      <c r="J157" s="13"/>
      <c r="K157" s="19"/>
      <c r="L157" s="13"/>
      <c r="M157" s="557"/>
      <c r="N157" s="460"/>
      <c r="O157" s="783"/>
      <c r="P157" s="460"/>
    </row>
    <row r="158" spans="1:16">
      <c r="A158" s="14"/>
      <c r="B158" s="15"/>
      <c r="C158" s="16"/>
      <c r="D158" s="17"/>
      <c r="E158" s="12"/>
      <c r="F158" s="18"/>
      <c r="G158" s="19"/>
      <c r="H158" s="13"/>
      <c r="I158" s="19"/>
      <c r="J158" s="13"/>
      <c r="K158" s="19"/>
      <c r="L158" s="13"/>
      <c r="M158" s="557"/>
      <c r="N158" s="460"/>
      <c r="O158" s="783"/>
      <c r="P158" s="460"/>
    </row>
    <row r="159" spans="1:16">
      <c r="A159" s="14"/>
      <c r="B159" s="15"/>
      <c r="C159" s="16"/>
      <c r="D159" s="17"/>
      <c r="E159" s="12"/>
      <c r="F159" s="18"/>
      <c r="G159" s="19"/>
      <c r="H159" s="13"/>
      <c r="I159" s="19"/>
      <c r="J159" s="13"/>
      <c r="K159" s="19"/>
      <c r="L159" s="13"/>
      <c r="M159" s="557"/>
      <c r="N159" s="460"/>
      <c r="O159" s="783"/>
      <c r="P159" s="460"/>
    </row>
    <row r="160" spans="1:16">
      <c r="A160" s="14"/>
      <c r="B160" s="15"/>
      <c r="C160" s="16"/>
      <c r="D160" s="17"/>
      <c r="E160" s="12"/>
      <c r="F160" s="18"/>
      <c r="G160" s="19"/>
      <c r="H160" s="13"/>
      <c r="I160" s="19"/>
      <c r="J160" s="13"/>
      <c r="K160" s="19"/>
      <c r="L160" s="13"/>
      <c r="M160" s="557"/>
      <c r="N160" s="460"/>
      <c r="O160" s="783"/>
      <c r="P160" s="460"/>
    </row>
    <row r="161" spans="1:16">
      <c r="A161" s="14"/>
      <c r="B161" s="15"/>
      <c r="C161" s="16"/>
      <c r="D161" s="17"/>
      <c r="E161" s="12"/>
      <c r="F161" s="18"/>
      <c r="G161" s="19"/>
      <c r="H161" s="13"/>
      <c r="I161" s="19"/>
      <c r="J161" s="13"/>
      <c r="K161" s="19"/>
      <c r="L161" s="13"/>
      <c r="M161" s="557"/>
      <c r="N161" s="460"/>
      <c r="O161" s="783"/>
      <c r="P161" s="460"/>
    </row>
    <row r="162" spans="1:16">
      <c r="A162" s="14"/>
      <c r="B162" s="15"/>
      <c r="C162" s="16"/>
      <c r="D162" s="17"/>
      <c r="E162" s="12"/>
      <c r="F162" s="18"/>
      <c r="G162" s="19"/>
      <c r="H162" s="13"/>
      <c r="I162" s="19"/>
      <c r="J162" s="13"/>
      <c r="K162" s="19"/>
      <c r="L162" s="13"/>
      <c r="M162" s="557"/>
      <c r="N162" s="460"/>
      <c r="O162" s="783"/>
      <c r="P162" s="460"/>
    </row>
    <row r="163" spans="1:16">
      <c r="A163" s="14"/>
      <c r="B163" s="15"/>
      <c r="C163" s="16"/>
      <c r="D163" s="17"/>
      <c r="E163" s="12"/>
      <c r="F163" s="18"/>
      <c r="G163" s="19"/>
      <c r="H163" s="13"/>
      <c r="I163" s="19"/>
      <c r="J163" s="13"/>
      <c r="K163" s="19"/>
      <c r="L163" s="13"/>
      <c r="M163" s="557"/>
      <c r="N163" s="460"/>
      <c r="O163" s="783"/>
      <c r="P163" s="460"/>
    </row>
    <row r="164" spans="1:16">
      <c r="A164" s="14"/>
      <c r="B164" s="15"/>
      <c r="C164" s="16"/>
      <c r="D164" s="17"/>
      <c r="E164" s="12"/>
      <c r="F164" s="18"/>
      <c r="G164" s="19"/>
      <c r="H164" s="13"/>
      <c r="I164" s="19"/>
      <c r="J164" s="13"/>
      <c r="K164" s="19"/>
      <c r="L164" s="13"/>
      <c r="M164" s="557"/>
      <c r="N164" s="460"/>
      <c r="O164" s="783"/>
      <c r="P164" s="460"/>
    </row>
    <row r="165" spans="1:16">
      <c r="A165" s="14"/>
      <c r="B165" s="15"/>
      <c r="C165" s="16"/>
      <c r="D165" s="17"/>
      <c r="E165" s="12"/>
      <c r="F165" s="18"/>
      <c r="G165" s="19"/>
      <c r="H165" s="13"/>
      <c r="I165" s="19"/>
      <c r="J165" s="13"/>
      <c r="K165" s="19"/>
      <c r="L165" s="13"/>
      <c r="M165" s="557"/>
      <c r="N165" s="460"/>
      <c r="O165" s="783"/>
      <c r="P165" s="460"/>
    </row>
    <row r="166" spans="1:16">
      <c r="A166" s="14"/>
      <c r="B166" s="15"/>
      <c r="C166" s="16"/>
      <c r="D166" s="17"/>
      <c r="E166" s="12"/>
      <c r="F166" s="18"/>
      <c r="G166" s="19"/>
      <c r="H166" s="13"/>
      <c r="I166" s="19"/>
      <c r="J166" s="13"/>
      <c r="K166" s="19"/>
      <c r="L166" s="13"/>
      <c r="M166" s="557"/>
      <c r="N166" s="460"/>
      <c r="O166" s="783"/>
      <c r="P166" s="460"/>
    </row>
    <row r="167" spans="1:16">
      <c r="A167" s="14"/>
      <c r="B167" s="15"/>
      <c r="C167" s="16"/>
      <c r="D167" s="17"/>
      <c r="E167" s="12"/>
      <c r="F167" s="18"/>
      <c r="G167" s="19"/>
      <c r="H167" s="13"/>
      <c r="I167" s="19"/>
      <c r="J167" s="13"/>
      <c r="K167" s="19"/>
      <c r="L167" s="13"/>
      <c r="M167" s="557"/>
      <c r="N167" s="460"/>
      <c r="O167" s="783"/>
      <c r="P167" s="460"/>
    </row>
    <row r="168" spans="1:16">
      <c r="A168" s="14"/>
      <c r="B168" s="15"/>
      <c r="C168" s="16"/>
      <c r="D168" s="17"/>
      <c r="E168" s="12"/>
      <c r="F168" s="18"/>
      <c r="G168" s="19"/>
      <c r="H168" s="13"/>
      <c r="I168" s="19"/>
      <c r="J168" s="13"/>
      <c r="K168" s="19"/>
      <c r="L168" s="13"/>
      <c r="M168" s="557"/>
      <c r="N168" s="460"/>
      <c r="O168" s="783"/>
      <c r="P168" s="460"/>
    </row>
    <row r="169" spans="1:16">
      <c r="A169" s="14"/>
      <c r="B169" s="15"/>
      <c r="C169" s="16"/>
      <c r="D169" s="17"/>
      <c r="E169" s="12"/>
      <c r="F169" s="18"/>
      <c r="G169" s="19"/>
      <c r="H169" s="13"/>
      <c r="I169" s="19"/>
      <c r="J169" s="13"/>
      <c r="K169" s="19"/>
      <c r="L169" s="13"/>
      <c r="M169" s="557"/>
      <c r="N169" s="460"/>
      <c r="O169" s="783"/>
      <c r="P169" s="460"/>
    </row>
    <row r="170" spans="1:16">
      <c r="A170" s="14"/>
      <c r="B170" s="15"/>
      <c r="C170" s="16"/>
      <c r="D170" s="17"/>
      <c r="E170" s="12"/>
      <c r="F170" s="18"/>
      <c r="G170" s="19"/>
      <c r="H170" s="13"/>
      <c r="I170" s="19"/>
      <c r="J170" s="13"/>
      <c r="K170" s="19"/>
      <c r="L170" s="13"/>
      <c r="M170" s="557"/>
      <c r="N170" s="460"/>
      <c r="O170" s="783"/>
      <c r="P170" s="460"/>
    </row>
    <row r="171" spans="1:16">
      <c r="A171" s="14"/>
      <c r="B171" s="15"/>
      <c r="C171" s="16"/>
      <c r="D171" s="17"/>
      <c r="E171" s="12"/>
      <c r="F171" s="18"/>
      <c r="G171" s="19"/>
      <c r="H171" s="13"/>
      <c r="I171" s="19"/>
      <c r="J171" s="13"/>
      <c r="K171" s="19"/>
      <c r="L171" s="13"/>
      <c r="M171" s="557"/>
      <c r="N171" s="460"/>
      <c r="O171" s="783"/>
      <c r="P171" s="460"/>
    </row>
    <row r="172" spans="1:16">
      <c r="A172" s="14"/>
      <c r="B172" s="15"/>
      <c r="C172" s="16"/>
      <c r="D172" s="17"/>
      <c r="E172" s="12"/>
      <c r="F172" s="18"/>
      <c r="G172" s="19"/>
      <c r="H172" s="13"/>
      <c r="I172" s="19"/>
      <c r="J172" s="13"/>
      <c r="K172" s="19"/>
      <c r="L172" s="13"/>
      <c r="M172" s="557"/>
      <c r="N172" s="460"/>
      <c r="O172" s="783"/>
      <c r="P172" s="460"/>
    </row>
    <row r="173" spans="1:16">
      <c r="A173" s="14"/>
      <c r="B173" s="15"/>
      <c r="C173" s="16"/>
      <c r="D173" s="17"/>
      <c r="E173" s="12"/>
      <c r="F173" s="18"/>
      <c r="G173" s="19"/>
      <c r="H173" s="13"/>
      <c r="I173" s="19"/>
      <c r="J173" s="13"/>
      <c r="K173" s="19"/>
      <c r="L173" s="13"/>
      <c r="M173" s="557"/>
      <c r="N173" s="460"/>
      <c r="O173" s="783"/>
      <c r="P173" s="460"/>
    </row>
    <row r="174" spans="1:16">
      <c r="A174" s="14"/>
      <c r="B174" s="15"/>
      <c r="C174" s="16"/>
      <c r="D174" s="17"/>
      <c r="E174" s="12"/>
      <c r="F174" s="18"/>
      <c r="G174" s="19"/>
      <c r="H174" s="13"/>
      <c r="I174" s="19"/>
      <c r="J174" s="13"/>
      <c r="K174" s="19"/>
      <c r="L174" s="13"/>
      <c r="M174" s="557"/>
      <c r="N174" s="460"/>
      <c r="O174" s="783"/>
      <c r="P174" s="460"/>
    </row>
    <row r="175" spans="1:16">
      <c r="A175" s="14"/>
      <c r="B175" s="15"/>
      <c r="C175" s="16"/>
      <c r="D175" s="17"/>
      <c r="E175" s="12"/>
      <c r="F175" s="18"/>
      <c r="G175" s="19"/>
      <c r="H175" s="13"/>
      <c r="I175" s="19"/>
      <c r="J175" s="13"/>
      <c r="K175" s="19"/>
      <c r="L175" s="13"/>
      <c r="M175" s="557"/>
      <c r="N175" s="460"/>
      <c r="O175" s="783"/>
      <c r="P175" s="460"/>
    </row>
    <row r="176" spans="1:16">
      <c r="A176" s="14"/>
      <c r="B176" s="15"/>
      <c r="C176" s="16"/>
      <c r="D176" s="17"/>
      <c r="E176" s="12"/>
      <c r="F176" s="18"/>
      <c r="G176" s="19"/>
      <c r="H176" s="13"/>
      <c r="I176" s="19"/>
      <c r="J176" s="13"/>
      <c r="K176" s="19"/>
      <c r="L176" s="13"/>
      <c r="M176" s="557"/>
      <c r="N176" s="460"/>
      <c r="O176" s="783"/>
      <c r="P176" s="460"/>
    </row>
    <row r="177" spans="1:16">
      <c r="A177" s="14"/>
      <c r="B177" s="15"/>
      <c r="C177" s="16"/>
      <c r="D177" s="17"/>
      <c r="E177" s="12"/>
      <c r="F177" s="18"/>
      <c r="G177" s="19"/>
      <c r="H177" s="13"/>
      <c r="I177" s="19"/>
      <c r="J177" s="13"/>
      <c r="K177" s="19"/>
      <c r="L177" s="13"/>
      <c r="M177" s="557"/>
      <c r="N177" s="460"/>
      <c r="O177" s="783"/>
      <c r="P177" s="460"/>
    </row>
    <row r="178" spans="1:16">
      <c r="A178" s="14"/>
      <c r="B178" s="15"/>
      <c r="C178" s="16"/>
      <c r="D178" s="17"/>
      <c r="E178" s="12"/>
      <c r="F178" s="18"/>
      <c r="G178" s="19"/>
      <c r="H178" s="13"/>
      <c r="I178" s="19"/>
      <c r="J178" s="13"/>
      <c r="K178" s="19"/>
      <c r="L178" s="13"/>
      <c r="M178" s="557"/>
      <c r="N178" s="460"/>
      <c r="O178" s="783"/>
      <c r="P178" s="460"/>
    </row>
    <row r="179" spans="1:16">
      <c r="A179" s="14"/>
      <c r="B179" s="15"/>
      <c r="C179" s="16"/>
      <c r="D179" s="17"/>
      <c r="E179" s="12"/>
      <c r="F179" s="18"/>
      <c r="G179" s="19"/>
      <c r="H179" s="13"/>
      <c r="I179" s="19"/>
      <c r="J179" s="13"/>
      <c r="K179" s="19"/>
      <c r="L179" s="13"/>
      <c r="M179" s="557"/>
      <c r="N179" s="460"/>
      <c r="O179" s="783"/>
      <c r="P179" s="460"/>
    </row>
    <row r="180" spans="1:16">
      <c r="A180" s="14"/>
      <c r="B180" s="15"/>
      <c r="C180" s="16"/>
      <c r="D180" s="17"/>
      <c r="E180" s="12"/>
      <c r="F180" s="18"/>
      <c r="G180" s="19"/>
      <c r="H180" s="13"/>
      <c r="I180" s="19"/>
      <c r="J180" s="13"/>
      <c r="K180" s="19"/>
      <c r="L180" s="13"/>
      <c r="M180" s="557"/>
      <c r="N180" s="460"/>
      <c r="O180" s="783"/>
      <c r="P180" s="460"/>
    </row>
    <row r="181" spans="1:16">
      <c r="A181" s="14"/>
      <c r="B181" s="15"/>
      <c r="C181" s="16"/>
      <c r="D181" s="17"/>
      <c r="E181" s="12"/>
      <c r="F181" s="18"/>
      <c r="G181" s="19"/>
      <c r="H181" s="13"/>
      <c r="I181" s="19"/>
      <c r="J181" s="13"/>
      <c r="K181" s="19"/>
      <c r="L181" s="13"/>
      <c r="M181" s="557"/>
      <c r="N181" s="460"/>
      <c r="O181" s="783"/>
      <c r="P181" s="460"/>
    </row>
    <row r="182" spans="1:16">
      <c r="A182" s="14"/>
      <c r="B182" s="15"/>
      <c r="C182" s="16"/>
      <c r="D182" s="17"/>
      <c r="E182" s="12"/>
      <c r="F182" s="18"/>
      <c r="G182" s="19"/>
      <c r="H182" s="13"/>
      <c r="I182" s="19"/>
      <c r="J182" s="13"/>
      <c r="K182" s="19"/>
      <c r="L182" s="13"/>
      <c r="M182" s="557"/>
      <c r="N182" s="460"/>
      <c r="O182" s="783"/>
      <c r="P182" s="460"/>
    </row>
    <row r="183" spans="1:16">
      <c r="A183" s="14"/>
      <c r="B183" s="15"/>
      <c r="C183" s="16"/>
      <c r="D183" s="17"/>
      <c r="E183" s="12"/>
      <c r="F183" s="18"/>
      <c r="G183" s="19"/>
      <c r="H183" s="13"/>
      <c r="I183" s="19"/>
      <c r="J183" s="13"/>
      <c r="K183" s="19"/>
      <c r="L183" s="13"/>
      <c r="M183" s="557"/>
      <c r="N183" s="460"/>
      <c r="O183" s="783"/>
      <c r="P183" s="460"/>
    </row>
    <row r="184" spans="1:16">
      <c r="A184" s="14"/>
      <c r="B184" s="15"/>
      <c r="C184" s="16"/>
      <c r="D184" s="17"/>
      <c r="E184" s="12"/>
      <c r="F184" s="18"/>
      <c r="G184" s="19"/>
      <c r="H184" s="13"/>
      <c r="I184" s="19"/>
      <c r="J184" s="13"/>
      <c r="K184" s="19"/>
      <c r="L184" s="13"/>
      <c r="M184" s="557"/>
      <c r="N184" s="460"/>
      <c r="O184" s="783"/>
      <c r="P184" s="460"/>
    </row>
    <row r="185" spans="1:16">
      <c r="A185" s="14"/>
      <c r="B185" s="15"/>
      <c r="C185" s="16"/>
      <c r="D185" s="17"/>
      <c r="E185" s="12"/>
      <c r="F185" s="18"/>
      <c r="G185" s="19"/>
      <c r="H185" s="13"/>
      <c r="I185" s="19"/>
      <c r="J185" s="13"/>
      <c r="K185" s="19"/>
      <c r="L185" s="13"/>
      <c r="M185" s="557"/>
      <c r="N185" s="460"/>
      <c r="O185" s="783"/>
      <c r="P185" s="460"/>
    </row>
    <row r="186" spans="1:16">
      <c r="A186" s="14"/>
      <c r="B186" s="15"/>
      <c r="C186" s="16"/>
      <c r="D186" s="17"/>
      <c r="E186" s="12"/>
      <c r="F186" s="18"/>
      <c r="G186" s="19"/>
      <c r="H186" s="13"/>
      <c r="I186" s="19"/>
      <c r="J186" s="13"/>
      <c r="K186" s="19"/>
      <c r="L186" s="13"/>
      <c r="M186" s="557"/>
      <c r="N186" s="460"/>
      <c r="O186" s="783"/>
      <c r="P186" s="460"/>
    </row>
    <row r="187" spans="1:16">
      <c r="A187" s="14"/>
      <c r="B187" s="15"/>
      <c r="C187" s="16"/>
      <c r="D187" s="17"/>
      <c r="E187" s="12"/>
      <c r="F187" s="18"/>
      <c r="G187" s="19"/>
      <c r="H187" s="13"/>
      <c r="I187" s="19"/>
      <c r="J187" s="13"/>
      <c r="K187" s="19"/>
      <c r="L187" s="13"/>
      <c r="M187" s="557"/>
      <c r="N187" s="460"/>
      <c r="O187" s="783"/>
      <c r="P187" s="460"/>
    </row>
    <row r="188" spans="1:16">
      <c r="A188" s="14"/>
      <c r="B188" s="15"/>
      <c r="C188" s="16"/>
      <c r="D188" s="17"/>
      <c r="E188" s="12"/>
      <c r="F188" s="18"/>
      <c r="G188" s="19"/>
      <c r="H188" s="13"/>
      <c r="I188" s="19"/>
      <c r="J188" s="13"/>
      <c r="K188" s="19"/>
      <c r="L188" s="13"/>
      <c r="M188" s="557"/>
      <c r="N188" s="460"/>
      <c r="O188" s="783"/>
      <c r="P188" s="460"/>
    </row>
    <row r="189" spans="1:16">
      <c r="A189" s="14"/>
      <c r="B189" s="15"/>
      <c r="C189" s="16"/>
      <c r="D189" s="17"/>
      <c r="E189" s="12"/>
      <c r="F189" s="18"/>
      <c r="G189" s="19"/>
      <c r="H189" s="13"/>
      <c r="I189" s="19"/>
      <c r="J189" s="13"/>
      <c r="K189" s="19"/>
      <c r="L189" s="13"/>
      <c r="M189" s="557"/>
      <c r="N189" s="460"/>
      <c r="O189" s="783"/>
      <c r="P189" s="460"/>
    </row>
    <row r="190" spans="1:16">
      <c r="A190" s="14"/>
      <c r="B190" s="15"/>
      <c r="C190" s="16"/>
      <c r="D190" s="17"/>
      <c r="E190" s="12"/>
      <c r="F190" s="18"/>
      <c r="G190" s="19"/>
      <c r="H190" s="13"/>
      <c r="I190" s="19"/>
      <c r="J190" s="13"/>
      <c r="K190" s="19"/>
      <c r="L190" s="13"/>
      <c r="M190" s="557"/>
      <c r="N190" s="460"/>
      <c r="O190" s="783"/>
      <c r="P190" s="460"/>
    </row>
    <row r="191" spans="1:16">
      <c r="A191" s="14"/>
      <c r="B191" s="15"/>
      <c r="C191" s="16"/>
      <c r="D191" s="17"/>
      <c r="E191" s="12"/>
      <c r="F191" s="18"/>
      <c r="G191" s="19"/>
      <c r="H191" s="13"/>
      <c r="I191" s="19"/>
      <c r="J191" s="13"/>
      <c r="K191" s="19"/>
      <c r="L191" s="13"/>
      <c r="M191" s="557"/>
      <c r="N191" s="460"/>
      <c r="O191" s="783"/>
      <c r="P191" s="460"/>
    </row>
    <row r="192" spans="1:16">
      <c r="A192" s="14"/>
      <c r="B192" s="15"/>
      <c r="C192" s="16"/>
      <c r="D192" s="17"/>
      <c r="E192" s="12"/>
      <c r="F192" s="18"/>
      <c r="G192" s="19"/>
      <c r="H192" s="13"/>
      <c r="I192" s="19"/>
      <c r="J192" s="13"/>
      <c r="K192" s="19"/>
      <c r="L192" s="13"/>
      <c r="M192" s="557"/>
      <c r="N192" s="460"/>
      <c r="O192" s="783"/>
      <c r="P192" s="460"/>
    </row>
    <row r="193" spans="1:16">
      <c r="A193" s="14"/>
      <c r="B193" s="15"/>
      <c r="C193" s="16"/>
      <c r="D193" s="17"/>
      <c r="E193" s="12"/>
      <c r="F193" s="18"/>
      <c r="G193" s="19"/>
      <c r="H193" s="13"/>
      <c r="I193" s="19"/>
      <c r="J193" s="13"/>
      <c r="K193" s="19"/>
      <c r="L193" s="13"/>
      <c r="M193" s="557"/>
      <c r="N193" s="460"/>
      <c r="O193" s="783"/>
      <c r="P193" s="460"/>
    </row>
    <row r="194" spans="1:16">
      <c r="A194" s="14"/>
      <c r="B194" s="15"/>
      <c r="C194" s="16"/>
      <c r="D194" s="17"/>
      <c r="E194" s="12"/>
      <c r="F194" s="18"/>
      <c r="G194" s="19"/>
      <c r="H194" s="13"/>
      <c r="I194" s="19"/>
      <c r="J194" s="13"/>
      <c r="K194" s="19"/>
      <c r="L194" s="13"/>
      <c r="M194" s="557"/>
      <c r="N194" s="460"/>
      <c r="O194" s="783"/>
      <c r="P194" s="460"/>
    </row>
    <row r="195" spans="1:16">
      <c r="A195" s="14"/>
      <c r="B195" s="15"/>
      <c r="C195" s="16"/>
      <c r="D195" s="17"/>
      <c r="E195" s="12"/>
      <c r="F195" s="18"/>
      <c r="G195" s="19"/>
      <c r="H195" s="13"/>
      <c r="I195" s="19"/>
      <c r="J195" s="13"/>
      <c r="K195" s="19"/>
      <c r="L195" s="13"/>
      <c r="M195" s="557"/>
      <c r="N195" s="460"/>
      <c r="O195" s="783"/>
      <c r="P195" s="460"/>
    </row>
    <row r="196" spans="1:16">
      <c r="A196" s="14"/>
      <c r="B196" s="15"/>
      <c r="C196" s="16"/>
      <c r="D196" s="17"/>
      <c r="E196" s="12"/>
      <c r="F196" s="18"/>
      <c r="G196" s="19"/>
      <c r="H196" s="13"/>
      <c r="I196" s="19"/>
      <c r="J196" s="13"/>
      <c r="K196" s="19"/>
      <c r="L196" s="13"/>
      <c r="M196" s="557"/>
      <c r="N196" s="460"/>
      <c r="O196" s="783"/>
      <c r="P196" s="460"/>
    </row>
    <row r="197" spans="1:16">
      <c r="A197" s="14"/>
      <c r="B197" s="15"/>
      <c r="C197" s="16"/>
      <c r="D197" s="17"/>
      <c r="E197" s="12"/>
      <c r="F197" s="18"/>
      <c r="G197" s="19"/>
      <c r="H197" s="13"/>
      <c r="I197" s="19"/>
      <c r="J197" s="13"/>
      <c r="K197" s="19"/>
      <c r="L197" s="13"/>
      <c r="M197" s="557"/>
      <c r="N197" s="460"/>
      <c r="O197" s="783"/>
      <c r="P197" s="460"/>
    </row>
    <row r="198" spans="1:16">
      <c r="A198" s="14"/>
      <c r="B198" s="15"/>
      <c r="C198" s="16"/>
      <c r="D198" s="17"/>
      <c r="E198" s="12"/>
      <c r="F198" s="18"/>
      <c r="G198" s="19"/>
      <c r="H198" s="13"/>
      <c r="I198" s="19"/>
      <c r="J198" s="13"/>
      <c r="K198" s="19"/>
      <c r="L198" s="13"/>
      <c r="M198" s="557"/>
      <c r="N198" s="460"/>
      <c r="O198" s="783"/>
      <c r="P198" s="460"/>
    </row>
    <row r="199" spans="1:16">
      <c r="A199" s="14"/>
      <c r="B199" s="15"/>
      <c r="C199" s="16"/>
      <c r="D199" s="17"/>
      <c r="E199" s="12"/>
      <c r="F199" s="18"/>
      <c r="G199" s="19"/>
      <c r="H199" s="13"/>
      <c r="I199" s="19"/>
      <c r="J199" s="13"/>
      <c r="K199" s="19"/>
      <c r="L199" s="13"/>
      <c r="M199" s="557"/>
      <c r="N199" s="460"/>
      <c r="O199" s="783"/>
      <c r="P199" s="460"/>
    </row>
    <row r="200" spans="1:16">
      <c r="A200" s="14"/>
      <c r="B200" s="15"/>
      <c r="C200" s="16"/>
      <c r="D200" s="17"/>
      <c r="E200" s="12"/>
      <c r="F200" s="18"/>
      <c r="G200" s="19"/>
      <c r="H200" s="13"/>
      <c r="I200" s="19"/>
      <c r="J200" s="13"/>
      <c r="K200" s="19"/>
      <c r="L200" s="13"/>
      <c r="M200" s="557"/>
      <c r="N200" s="460"/>
      <c r="O200" s="783"/>
      <c r="P200" s="460"/>
    </row>
    <row r="201" spans="1:16">
      <c r="A201" s="14"/>
      <c r="B201" s="15"/>
      <c r="C201" s="16"/>
      <c r="D201" s="17"/>
      <c r="E201" s="12"/>
      <c r="F201" s="18"/>
      <c r="G201" s="19"/>
      <c r="H201" s="13"/>
      <c r="I201" s="19"/>
      <c r="J201" s="13"/>
      <c r="K201" s="19"/>
      <c r="L201" s="13"/>
      <c r="M201" s="557"/>
      <c r="N201" s="460"/>
      <c r="O201" s="783"/>
      <c r="P201" s="460"/>
    </row>
    <row r="202" spans="1:16">
      <c r="A202" s="14"/>
      <c r="B202" s="15"/>
      <c r="C202" s="16"/>
      <c r="D202" s="17"/>
      <c r="E202" s="12"/>
      <c r="F202" s="18"/>
      <c r="G202" s="19"/>
      <c r="H202" s="13"/>
      <c r="I202" s="19"/>
      <c r="J202" s="13"/>
      <c r="K202" s="19"/>
      <c r="L202" s="13"/>
      <c r="M202" s="557"/>
      <c r="N202" s="460"/>
      <c r="O202" s="783"/>
      <c r="P202" s="460"/>
    </row>
    <row r="203" spans="1:16">
      <c r="A203" s="14"/>
      <c r="B203" s="15"/>
      <c r="C203" s="16"/>
      <c r="D203" s="17"/>
      <c r="E203" s="12"/>
      <c r="F203" s="18"/>
      <c r="G203" s="19"/>
      <c r="H203" s="13"/>
      <c r="I203" s="19"/>
      <c r="J203" s="13"/>
      <c r="K203" s="19"/>
      <c r="L203" s="13"/>
      <c r="M203" s="557"/>
      <c r="N203" s="460"/>
      <c r="O203" s="783"/>
      <c r="P203" s="460"/>
    </row>
    <row r="204" spans="1:16">
      <c r="A204" s="14"/>
      <c r="B204" s="15"/>
      <c r="C204" s="16"/>
      <c r="D204" s="17"/>
      <c r="E204" s="12"/>
      <c r="F204" s="18"/>
      <c r="G204" s="19"/>
      <c r="H204" s="13"/>
      <c r="I204" s="19"/>
      <c r="J204" s="13"/>
      <c r="K204" s="19"/>
      <c r="L204" s="13"/>
      <c r="M204" s="557"/>
      <c r="N204" s="460"/>
      <c r="O204" s="783"/>
      <c r="P204" s="460"/>
    </row>
    <row r="205" spans="1:16">
      <c r="A205" s="14"/>
      <c r="B205" s="15"/>
      <c r="C205" s="16"/>
      <c r="D205" s="17"/>
      <c r="E205" s="12"/>
      <c r="F205" s="18"/>
      <c r="G205" s="19"/>
      <c r="H205" s="13"/>
      <c r="I205" s="19"/>
      <c r="J205" s="13"/>
      <c r="K205" s="19"/>
      <c r="L205" s="13"/>
      <c r="M205" s="557"/>
      <c r="N205" s="460"/>
      <c r="O205" s="783"/>
      <c r="P205" s="460"/>
    </row>
    <row r="206" spans="1:16">
      <c r="A206" s="14"/>
      <c r="B206" s="15"/>
      <c r="C206" s="16"/>
      <c r="D206" s="17"/>
      <c r="E206" s="12"/>
      <c r="F206" s="18"/>
      <c r="G206" s="19"/>
      <c r="H206" s="13"/>
      <c r="I206" s="19"/>
      <c r="J206" s="13"/>
      <c r="K206" s="19"/>
      <c r="L206" s="13"/>
      <c r="M206" s="557"/>
      <c r="N206" s="460"/>
      <c r="O206" s="783"/>
      <c r="P206" s="460"/>
    </row>
    <row r="207" spans="1:16">
      <c r="A207" s="14"/>
      <c r="B207" s="15"/>
      <c r="C207" s="16"/>
      <c r="D207" s="17"/>
      <c r="E207" s="12"/>
      <c r="F207" s="18"/>
      <c r="G207" s="19"/>
      <c r="H207" s="13"/>
      <c r="I207" s="19"/>
      <c r="J207" s="13"/>
      <c r="K207" s="19"/>
      <c r="L207" s="13"/>
      <c r="M207" s="557"/>
      <c r="N207" s="460"/>
      <c r="O207" s="783"/>
      <c r="P207" s="460"/>
    </row>
    <row r="208" spans="1:16">
      <c r="A208" s="14"/>
      <c r="B208" s="15"/>
      <c r="C208" s="16"/>
      <c r="D208" s="17"/>
      <c r="E208" s="12"/>
      <c r="F208" s="18"/>
      <c r="G208" s="19"/>
      <c r="H208" s="13"/>
      <c r="I208" s="19"/>
      <c r="J208" s="13"/>
      <c r="K208" s="19"/>
      <c r="L208" s="13"/>
      <c r="M208" s="557"/>
      <c r="N208" s="460"/>
      <c r="O208" s="783"/>
      <c r="P208" s="460"/>
    </row>
    <row r="209" spans="1:16">
      <c r="A209" s="14"/>
      <c r="B209" s="15"/>
      <c r="C209" s="16"/>
      <c r="D209" s="17"/>
      <c r="E209" s="12"/>
      <c r="F209" s="18"/>
      <c r="G209" s="19"/>
      <c r="H209" s="13"/>
      <c r="I209" s="19"/>
      <c r="J209" s="13"/>
      <c r="K209" s="19"/>
      <c r="L209" s="13"/>
      <c r="M209" s="557"/>
      <c r="N209" s="460"/>
      <c r="O209" s="783"/>
      <c r="P209" s="460"/>
    </row>
    <row r="210" spans="1:16">
      <c r="A210" s="14"/>
      <c r="B210" s="15"/>
      <c r="C210" s="16"/>
      <c r="D210" s="17"/>
      <c r="E210" s="12"/>
      <c r="F210" s="18"/>
      <c r="G210" s="19"/>
      <c r="H210" s="13"/>
      <c r="I210" s="19"/>
      <c r="J210" s="13"/>
      <c r="K210" s="19"/>
      <c r="L210" s="13"/>
      <c r="M210" s="557"/>
      <c r="N210" s="460"/>
      <c r="O210" s="783"/>
      <c r="P210" s="460"/>
    </row>
    <row r="211" spans="1:16">
      <c r="A211" s="14"/>
      <c r="B211" s="15"/>
      <c r="C211" s="16"/>
      <c r="D211" s="17"/>
      <c r="E211" s="12"/>
      <c r="F211" s="18"/>
      <c r="G211" s="19"/>
      <c r="H211" s="13"/>
      <c r="I211" s="19"/>
      <c r="J211" s="13"/>
      <c r="K211" s="19"/>
      <c r="L211" s="13"/>
      <c r="M211" s="557"/>
      <c r="N211" s="460"/>
      <c r="O211" s="783"/>
      <c r="P211" s="460"/>
    </row>
    <row r="212" spans="1:16">
      <c r="A212" s="14"/>
      <c r="B212" s="15"/>
      <c r="C212" s="16"/>
      <c r="D212" s="17"/>
      <c r="E212" s="12"/>
      <c r="F212" s="18"/>
      <c r="G212" s="19"/>
      <c r="H212" s="13"/>
      <c r="I212" s="19"/>
      <c r="J212" s="13"/>
      <c r="K212" s="19"/>
      <c r="L212" s="13"/>
      <c r="M212" s="557"/>
      <c r="N212" s="460"/>
      <c r="O212" s="783"/>
      <c r="P212" s="460"/>
    </row>
    <row r="213" spans="1:16">
      <c r="A213" s="14"/>
      <c r="B213" s="15"/>
      <c r="C213" s="16"/>
      <c r="D213" s="17"/>
      <c r="E213" s="12"/>
      <c r="F213" s="18"/>
      <c r="G213" s="19"/>
      <c r="H213" s="13"/>
      <c r="I213" s="19"/>
      <c r="J213" s="13"/>
      <c r="K213" s="19"/>
      <c r="L213" s="13"/>
      <c r="M213" s="557"/>
      <c r="N213" s="460"/>
      <c r="O213" s="783"/>
      <c r="P213" s="460"/>
    </row>
    <row r="214" spans="1:16">
      <c r="A214" s="14"/>
      <c r="B214" s="15"/>
      <c r="C214" s="16"/>
      <c r="D214" s="17"/>
      <c r="E214" s="12"/>
      <c r="F214" s="18"/>
      <c r="G214" s="19"/>
      <c r="H214" s="13"/>
      <c r="I214" s="19"/>
      <c r="J214" s="13"/>
      <c r="K214" s="19"/>
      <c r="L214" s="13"/>
      <c r="M214" s="557"/>
      <c r="N214" s="460"/>
      <c r="O214" s="783"/>
      <c r="P214" s="460"/>
    </row>
    <row r="215" spans="1:16">
      <c r="A215" s="14"/>
      <c r="B215" s="15"/>
      <c r="C215" s="16"/>
      <c r="D215" s="17"/>
      <c r="E215" s="12"/>
      <c r="F215" s="18"/>
      <c r="G215" s="19"/>
      <c r="H215" s="13"/>
      <c r="I215" s="19"/>
      <c r="J215" s="13"/>
      <c r="K215" s="19"/>
      <c r="L215" s="13"/>
      <c r="M215" s="557"/>
      <c r="N215" s="460"/>
      <c r="O215" s="783"/>
      <c r="P215" s="460"/>
    </row>
    <row r="216" spans="1:16">
      <c r="A216" s="14"/>
      <c r="B216" s="15"/>
      <c r="C216" s="16"/>
      <c r="D216" s="17"/>
      <c r="E216" s="12"/>
      <c r="F216" s="18"/>
      <c r="G216" s="19"/>
      <c r="H216" s="13"/>
      <c r="I216" s="19"/>
      <c r="J216" s="13"/>
      <c r="K216" s="19"/>
      <c r="L216" s="13"/>
      <c r="M216" s="557"/>
      <c r="N216" s="460"/>
      <c r="O216" s="783"/>
      <c r="P216" s="460"/>
    </row>
    <row r="217" spans="1:16">
      <c r="A217" s="14"/>
      <c r="B217" s="15"/>
      <c r="C217" s="16"/>
      <c r="D217" s="17"/>
      <c r="E217" s="12"/>
      <c r="F217" s="18"/>
      <c r="G217" s="19"/>
      <c r="H217" s="13"/>
      <c r="I217" s="19"/>
      <c r="J217" s="13"/>
      <c r="K217" s="19"/>
      <c r="L217" s="13"/>
      <c r="M217" s="557"/>
      <c r="N217" s="460"/>
      <c r="O217" s="783"/>
      <c r="P217" s="460"/>
    </row>
    <row r="218" spans="1:16">
      <c r="A218" s="14"/>
      <c r="B218" s="15"/>
      <c r="C218" s="16"/>
      <c r="D218" s="17"/>
      <c r="E218" s="12"/>
      <c r="F218" s="18"/>
      <c r="G218" s="19"/>
      <c r="H218" s="13"/>
      <c r="I218" s="19"/>
      <c r="J218" s="13"/>
      <c r="K218" s="19"/>
      <c r="L218" s="13"/>
      <c r="M218" s="557"/>
      <c r="N218" s="460"/>
      <c r="O218" s="783"/>
      <c r="P218" s="460"/>
    </row>
    <row r="219" spans="1:16">
      <c r="A219" s="14"/>
      <c r="B219" s="15"/>
      <c r="C219" s="16"/>
      <c r="D219" s="17"/>
      <c r="E219" s="12"/>
      <c r="F219" s="18"/>
      <c r="G219" s="19"/>
      <c r="H219" s="13"/>
      <c r="I219" s="19"/>
      <c r="J219" s="13"/>
      <c r="K219" s="19"/>
      <c r="L219" s="13"/>
      <c r="M219" s="557"/>
      <c r="N219" s="460"/>
      <c r="O219" s="783"/>
      <c r="P219" s="460"/>
    </row>
    <row r="220" spans="1:16">
      <c r="A220" s="14"/>
      <c r="B220" s="15"/>
      <c r="C220" s="16"/>
      <c r="D220" s="17"/>
      <c r="E220" s="12"/>
      <c r="F220" s="18"/>
      <c r="G220" s="19"/>
      <c r="H220" s="13"/>
      <c r="I220" s="19"/>
      <c r="J220" s="13"/>
      <c r="K220" s="19"/>
      <c r="L220" s="13"/>
      <c r="M220" s="557"/>
      <c r="N220" s="460"/>
      <c r="O220" s="783"/>
      <c r="P220" s="460"/>
    </row>
    <row r="221" spans="1:16">
      <c r="A221" s="14"/>
      <c r="B221" s="15"/>
      <c r="C221" s="16"/>
      <c r="D221" s="17"/>
      <c r="E221" s="12"/>
      <c r="F221" s="18"/>
      <c r="G221" s="19"/>
      <c r="H221" s="13"/>
      <c r="I221" s="19"/>
      <c r="J221" s="13"/>
      <c r="K221" s="19"/>
      <c r="L221" s="13"/>
      <c r="M221" s="557"/>
      <c r="N221" s="460"/>
      <c r="O221" s="783"/>
      <c r="P221" s="460"/>
    </row>
    <row r="222" spans="1:16">
      <c r="A222" s="14"/>
      <c r="B222" s="15"/>
      <c r="C222" s="16"/>
      <c r="D222" s="17"/>
      <c r="E222" s="12"/>
      <c r="F222" s="18"/>
      <c r="G222" s="19"/>
      <c r="H222" s="13"/>
      <c r="I222" s="19"/>
      <c r="J222" s="13"/>
      <c r="K222" s="19"/>
      <c r="L222" s="13"/>
      <c r="M222" s="557"/>
      <c r="N222" s="460"/>
      <c r="O222" s="783"/>
      <c r="P222" s="460"/>
    </row>
    <row r="223" spans="1:16">
      <c r="A223" s="14"/>
      <c r="B223" s="15"/>
      <c r="C223" s="16"/>
      <c r="D223" s="17"/>
      <c r="E223" s="12"/>
      <c r="F223" s="18"/>
      <c r="G223" s="19"/>
      <c r="H223" s="13"/>
      <c r="I223" s="19"/>
      <c r="J223" s="13"/>
      <c r="K223" s="19"/>
      <c r="L223" s="13"/>
      <c r="M223" s="557"/>
      <c r="N223" s="460"/>
      <c r="O223" s="783"/>
      <c r="P223" s="460"/>
    </row>
    <row r="224" spans="1:16">
      <c r="A224" s="14"/>
      <c r="B224" s="15"/>
      <c r="C224" s="16"/>
      <c r="D224" s="17"/>
      <c r="E224" s="12"/>
      <c r="F224" s="18"/>
      <c r="G224" s="19"/>
      <c r="H224" s="13"/>
      <c r="I224" s="19"/>
      <c r="J224" s="13"/>
      <c r="K224" s="19"/>
      <c r="L224" s="13"/>
      <c r="M224" s="557"/>
      <c r="N224" s="460"/>
      <c r="O224" s="783"/>
      <c r="P224" s="460"/>
    </row>
    <row r="225" spans="1:16">
      <c r="A225" s="14"/>
      <c r="B225" s="15"/>
      <c r="C225" s="16"/>
      <c r="D225" s="17"/>
      <c r="E225" s="12"/>
      <c r="F225" s="18"/>
      <c r="G225" s="19"/>
      <c r="H225" s="13"/>
      <c r="I225" s="19"/>
      <c r="J225" s="13"/>
      <c r="K225" s="19"/>
      <c r="L225" s="13"/>
      <c r="M225" s="557"/>
      <c r="N225" s="460"/>
      <c r="O225" s="783"/>
      <c r="P225" s="460"/>
    </row>
    <row r="226" spans="1:16">
      <c r="A226" s="14"/>
      <c r="B226" s="15"/>
      <c r="C226" s="16"/>
      <c r="D226" s="17"/>
      <c r="E226" s="12"/>
      <c r="F226" s="18"/>
      <c r="G226" s="19"/>
      <c r="H226" s="13"/>
      <c r="I226" s="19"/>
      <c r="J226" s="13"/>
      <c r="K226" s="19"/>
      <c r="L226" s="13"/>
      <c r="M226" s="557"/>
      <c r="N226" s="460"/>
      <c r="O226" s="783"/>
      <c r="P226" s="460"/>
    </row>
    <row r="227" spans="1:16">
      <c r="A227" s="14"/>
      <c r="B227" s="15"/>
      <c r="C227" s="16"/>
      <c r="D227" s="17"/>
      <c r="E227" s="12"/>
      <c r="F227" s="18"/>
      <c r="G227" s="19"/>
      <c r="H227" s="13"/>
      <c r="I227" s="19"/>
      <c r="J227" s="13"/>
      <c r="K227" s="19"/>
      <c r="L227" s="13"/>
      <c r="M227" s="557"/>
      <c r="N227" s="460"/>
      <c r="O227" s="783"/>
      <c r="P227" s="460"/>
    </row>
    <row r="228" spans="1:16">
      <c r="A228" s="14"/>
      <c r="B228" s="15"/>
      <c r="C228" s="16"/>
      <c r="D228" s="17"/>
      <c r="E228" s="12"/>
      <c r="F228" s="18"/>
      <c r="G228" s="19"/>
      <c r="H228" s="13"/>
      <c r="I228" s="19"/>
      <c r="J228" s="13"/>
      <c r="K228" s="19"/>
      <c r="L228" s="13"/>
      <c r="M228" s="557"/>
      <c r="N228" s="460"/>
      <c r="O228" s="783"/>
      <c r="P228" s="460"/>
    </row>
    <row r="229" spans="1:16">
      <c r="A229" s="14"/>
      <c r="B229" s="15"/>
      <c r="C229" s="16"/>
      <c r="D229" s="17"/>
      <c r="E229" s="12"/>
      <c r="F229" s="18"/>
      <c r="G229" s="19"/>
      <c r="H229" s="13"/>
      <c r="I229" s="19"/>
      <c r="J229" s="13"/>
      <c r="K229" s="19"/>
      <c r="L229" s="13"/>
      <c r="M229" s="557"/>
      <c r="N229" s="460"/>
      <c r="O229" s="783"/>
      <c r="P229" s="460"/>
    </row>
    <row r="230" spans="1:16">
      <c r="A230" s="14"/>
      <c r="B230" s="15"/>
      <c r="C230" s="16"/>
      <c r="D230" s="17"/>
      <c r="E230" s="12"/>
      <c r="F230" s="18"/>
      <c r="G230" s="19"/>
      <c r="H230" s="13"/>
      <c r="I230" s="19"/>
      <c r="J230" s="13"/>
      <c r="K230" s="19"/>
      <c r="L230" s="13"/>
      <c r="M230" s="557"/>
      <c r="N230" s="460"/>
      <c r="O230" s="783"/>
      <c r="P230" s="460"/>
    </row>
    <row r="231" spans="1:16">
      <c r="A231" s="14"/>
      <c r="B231" s="15"/>
      <c r="C231" s="16"/>
      <c r="D231" s="17"/>
      <c r="E231" s="12"/>
      <c r="F231" s="18"/>
      <c r="G231" s="19"/>
      <c r="H231" s="13"/>
      <c r="I231" s="19"/>
      <c r="J231" s="13"/>
      <c r="K231" s="19"/>
      <c r="L231" s="13"/>
      <c r="M231" s="557"/>
      <c r="N231" s="460"/>
      <c r="O231" s="783"/>
      <c r="P231" s="460"/>
    </row>
    <row r="232" spans="1:16">
      <c r="A232" s="14"/>
      <c r="B232" s="15"/>
      <c r="C232" s="16"/>
      <c r="D232" s="17"/>
      <c r="E232" s="12"/>
      <c r="F232" s="18"/>
      <c r="G232" s="19"/>
      <c r="H232" s="13"/>
      <c r="I232" s="19"/>
      <c r="J232" s="13"/>
      <c r="K232" s="19"/>
      <c r="L232" s="13"/>
      <c r="M232" s="557"/>
      <c r="N232" s="460"/>
      <c r="O232" s="783"/>
      <c r="P232" s="460"/>
    </row>
    <row r="233" spans="1:16">
      <c r="A233" s="14"/>
      <c r="B233" s="15"/>
      <c r="C233" s="16"/>
      <c r="D233" s="17"/>
      <c r="E233" s="12"/>
      <c r="F233" s="18"/>
      <c r="G233" s="19"/>
      <c r="H233" s="13"/>
      <c r="I233" s="19"/>
      <c r="J233" s="13"/>
      <c r="K233" s="19"/>
      <c r="L233" s="13"/>
      <c r="M233" s="557"/>
      <c r="N233" s="460"/>
      <c r="O233" s="783"/>
      <c r="P233" s="460"/>
    </row>
    <row r="234" spans="1:16">
      <c r="A234" s="14"/>
      <c r="B234" s="15"/>
      <c r="C234" s="16"/>
      <c r="D234" s="17"/>
      <c r="E234" s="12"/>
      <c r="F234" s="18"/>
      <c r="G234" s="19"/>
      <c r="H234" s="13"/>
      <c r="I234" s="19"/>
      <c r="J234" s="13"/>
      <c r="K234" s="19"/>
      <c r="L234" s="13"/>
      <c r="M234" s="557"/>
      <c r="N234" s="460"/>
      <c r="O234" s="783"/>
      <c r="P234" s="460"/>
    </row>
    <row r="235" spans="1:16">
      <c r="A235" s="14"/>
      <c r="B235" s="15"/>
      <c r="C235" s="16"/>
      <c r="D235" s="17"/>
      <c r="E235" s="12"/>
      <c r="F235" s="18"/>
      <c r="G235" s="19"/>
      <c r="H235" s="13"/>
      <c r="I235" s="19"/>
      <c r="J235" s="13"/>
      <c r="K235" s="19"/>
      <c r="L235" s="13"/>
      <c r="M235" s="557"/>
      <c r="N235" s="460"/>
      <c r="O235" s="783"/>
      <c r="P235" s="460"/>
    </row>
    <row r="236" spans="1:16">
      <c r="A236" s="14"/>
      <c r="B236" s="15"/>
      <c r="C236" s="16"/>
      <c r="D236" s="17"/>
      <c r="E236" s="12"/>
      <c r="F236" s="18"/>
      <c r="G236" s="19"/>
      <c r="H236" s="13"/>
      <c r="I236" s="19"/>
      <c r="J236" s="13"/>
      <c r="K236" s="19"/>
      <c r="L236" s="13"/>
      <c r="M236" s="557"/>
      <c r="N236" s="460"/>
      <c r="O236" s="783"/>
      <c r="P236" s="460"/>
    </row>
    <row r="237" spans="1:16">
      <c r="A237" s="14"/>
      <c r="B237" s="15"/>
      <c r="C237" s="16"/>
      <c r="D237" s="17"/>
      <c r="E237" s="12"/>
      <c r="F237" s="18"/>
      <c r="G237" s="19"/>
      <c r="H237" s="13"/>
      <c r="I237" s="19"/>
      <c r="J237" s="13"/>
      <c r="K237" s="19"/>
      <c r="L237" s="13"/>
      <c r="M237" s="557"/>
      <c r="N237" s="460"/>
      <c r="O237" s="783"/>
      <c r="P237" s="460"/>
    </row>
    <row r="238" spans="1:16">
      <c r="A238" s="14"/>
      <c r="B238" s="15"/>
      <c r="C238" s="16"/>
      <c r="D238" s="17"/>
      <c r="E238" s="12"/>
      <c r="F238" s="18"/>
      <c r="G238" s="19"/>
      <c r="H238" s="13"/>
      <c r="I238" s="19"/>
      <c r="J238" s="13"/>
      <c r="K238" s="19"/>
      <c r="L238" s="13"/>
      <c r="M238" s="557"/>
      <c r="N238" s="460"/>
      <c r="O238" s="783"/>
      <c r="P238" s="460"/>
    </row>
    <row r="239" spans="1:16">
      <c r="A239" s="14"/>
      <c r="B239" s="15"/>
      <c r="C239" s="16"/>
      <c r="D239" s="17"/>
      <c r="E239" s="12"/>
      <c r="F239" s="18"/>
      <c r="G239" s="19"/>
      <c r="H239" s="13"/>
      <c r="I239" s="19"/>
      <c r="J239" s="13"/>
      <c r="K239" s="19"/>
      <c r="L239" s="13"/>
      <c r="M239" s="557"/>
      <c r="N239" s="460"/>
      <c r="O239" s="783"/>
      <c r="P239" s="460"/>
    </row>
    <row r="240" spans="1:16">
      <c r="A240" s="14"/>
      <c r="B240" s="15"/>
      <c r="C240" s="16"/>
      <c r="D240" s="17"/>
      <c r="E240" s="12"/>
      <c r="F240" s="18"/>
      <c r="G240" s="19"/>
      <c r="H240" s="13"/>
      <c r="I240" s="19"/>
      <c r="J240" s="13"/>
      <c r="K240" s="19"/>
      <c r="L240" s="13"/>
      <c r="M240" s="557"/>
      <c r="N240" s="460"/>
      <c r="O240" s="783"/>
      <c r="P240" s="460"/>
    </row>
    <row r="241" spans="1:16">
      <c r="A241" s="14"/>
      <c r="B241" s="15"/>
      <c r="C241" s="16"/>
      <c r="D241" s="17"/>
      <c r="E241" s="12"/>
      <c r="F241" s="18"/>
      <c r="G241" s="19"/>
      <c r="H241" s="13"/>
      <c r="I241" s="19"/>
      <c r="J241" s="13"/>
      <c r="K241" s="19"/>
      <c r="L241" s="13"/>
      <c r="M241" s="557"/>
      <c r="N241" s="460"/>
      <c r="O241" s="783"/>
      <c r="P241" s="460"/>
    </row>
    <row r="242" spans="1:16">
      <c r="A242" s="14"/>
      <c r="B242" s="15"/>
      <c r="C242" s="16"/>
      <c r="D242" s="17"/>
      <c r="E242" s="12"/>
      <c r="F242" s="18"/>
      <c r="G242" s="19"/>
      <c r="H242" s="13"/>
      <c r="I242" s="19"/>
      <c r="J242" s="13"/>
      <c r="K242" s="19"/>
      <c r="L242" s="13"/>
      <c r="M242" s="557"/>
      <c r="N242" s="460"/>
      <c r="O242" s="783"/>
      <c r="P242" s="460"/>
    </row>
    <row r="243" spans="1:16">
      <c r="A243" s="14"/>
      <c r="B243" s="15"/>
      <c r="C243" s="16"/>
      <c r="D243" s="17"/>
      <c r="E243" s="12"/>
      <c r="F243" s="18"/>
      <c r="G243" s="19"/>
      <c r="H243" s="13"/>
      <c r="I243" s="19"/>
      <c r="J243" s="13"/>
      <c r="K243" s="19"/>
      <c r="L243" s="13"/>
      <c r="M243" s="557"/>
      <c r="N243" s="460"/>
      <c r="O243" s="783"/>
      <c r="P243" s="460"/>
    </row>
    <row r="244" spans="1:16">
      <c r="A244" s="14"/>
      <c r="B244" s="15"/>
      <c r="C244" s="16"/>
      <c r="D244" s="17"/>
      <c r="E244" s="12"/>
      <c r="F244" s="18"/>
      <c r="G244" s="19"/>
      <c r="H244" s="13"/>
      <c r="I244" s="19"/>
      <c r="J244" s="13"/>
      <c r="K244" s="19"/>
      <c r="L244" s="13"/>
      <c r="M244" s="557"/>
      <c r="N244" s="460"/>
      <c r="O244" s="783"/>
      <c r="P244" s="460"/>
    </row>
    <row r="245" spans="1:16">
      <c r="A245" s="14"/>
      <c r="B245" s="15"/>
      <c r="C245" s="16"/>
      <c r="D245" s="17"/>
      <c r="E245" s="12"/>
      <c r="F245" s="18"/>
      <c r="G245" s="19"/>
      <c r="H245" s="13"/>
      <c r="I245" s="19"/>
      <c r="J245" s="13"/>
      <c r="K245" s="19"/>
      <c r="L245" s="13"/>
      <c r="M245" s="557"/>
      <c r="N245" s="460"/>
      <c r="O245" s="783"/>
      <c r="P245" s="460"/>
    </row>
    <row r="246" spans="1:16">
      <c r="A246" s="14"/>
      <c r="B246" s="15"/>
      <c r="C246" s="16"/>
      <c r="D246" s="17"/>
      <c r="E246" s="12"/>
      <c r="F246" s="18"/>
      <c r="G246" s="19"/>
      <c r="H246" s="13"/>
      <c r="I246" s="19"/>
      <c r="J246" s="13"/>
      <c r="K246" s="19"/>
      <c r="L246" s="13"/>
      <c r="M246" s="557"/>
      <c r="N246" s="460"/>
      <c r="O246" s="783"/>
      <c r="P246" s="460"/>
    </row>
    <row r="247" spans="1:16">
      <c r="A247" s="14"/>
      <c r="B247" s="15"/>
      <c r="C247" s="16"/>
      <c r="D247" s="17"/>
      <c r="E247" s="12"/>
      <c r="F247" s="18"/>
      <c r="G247" s="19"/>
      <c r="H247" s="13"/>
      <c r="I247" s="19"/>
      <c r="J247" s="13"/>
      <c r="K247" s="19"/>
      <c r="L247" s="13"/>
      <c r="M247" s="557"/>
      <c r="N247" s="460"/>
      <c r="O247" s="783"/>
      <c r="P247" s="460"/>
    </row>
    <row r="248" spans="1:16">
      <c r="A248" s="14"/>
      <c r="B248" s="15"/>
      <c r="C248" s="16"/>
      <c r="D248" s="17"/>
      <c r="E248" s="12"/>
      <c r="F248" s="18"/>
      <c r="G248" s="19"/>
      <c r="H248" s="13"/>
      <c r="I248" s="19"/>
      <c r="J248" s="13"/>
      <c r="K248" s="19"/>
      <c r="L248" s="13"/>
      <c r="M248" s="557"/>
      <c r="N248" s="460"/>
      <c r="O248" s="783"/>
      <c r="P248" s="460"/>
    </row>
    <row r="249" spans="1:16">
      <c r="A249" s="14"/>
      <c r="B249" s="15"/>
      <c r="C249" s="16"/>
      <c r="D249" s="17"/>
      <c r="E249" s="12"/>
      <c r="F249" s="18"/>
      <c r="G249" s="19"/>
      <c r="H249" s="13"/>
      <c r="I249" s="19"/>
      <c r="J249" s="13"/>
      <c r="K249" s="19"/>
      <c r="L249" s="13"/>
      <c r="M249" s="557"/>
      <c r="N249" s="460"/>
      <c r="O249" s="783"/>
      <c r="P249" s="460"/>
    </row>
    <row r="250" spans="1:16">
      <c r="A250" s="14"/>
      <c r="B250" s="15"/>
      <c r="C250" s="16"/>
      <c r="D250" s="17"/>
      <c r="E250" s="12"/>
      <c r="F250" s="18"/>
      <c r="G250" s="19"/>
      <c r="H250" s="13"/>
      <c r="I250" s="19"/>
      <c r="J250" s="13"/>
      <c r="K250" s="19"/>
      <c r="L250" s="13"/>
      <c r="M250" s="557"/>
      <c r="N250" s="460"/>
      <c r="O250" s="783"/>
      <c r="P250" s="460"/>
    </row>
    <row r="251" spans="1:16">
      <c r="A251" s="14"/>
      <c r="B251" s="15"/>
      <c r="C251" s="16"/>
      <c r="D251" s="17"/>
      <c r="E251" s="12"/>
      <c r="F251" s="18"/>
      <c r="G251" s="19"/>
      <c r="H251" s="13"/>
      <c r="I251" s="19"/>
      <c r="J251" s="13"/>
      <c r="K251" s="19"/>
      <c r="L251" s="13"/>
      <c r="M251" s="557"/>
      <c r="N251" s="460"/>
      <c r="O251" s="783"/>
      <c r="P251" s="460"/>
    </row>
    <row r="252" spans="1:16">
      <c r="A252" s="14"/>
      <c r="B252" s="15"/>
      <c r="C252" s="16"/>
      <c r="D252" s="17"/>
      <c r="E252" s="12"/>
      <c r="F252" s="18"/>
      <c r="G252" s="19"/>
      <c r="H252" s="13"/>
      <c r="I252" s="19"/>
      <c r="J252" s="13"/>
      <c r="K252" s="19"/>
      <c r="L252" s="13"/>
      <c r="M252" s="557"/>
      <c r="N252" s="460"/>
      <c r="O252" s="783"/>
      <c r="P252" s="460"/>
    </row>
    <row r="253" spans="1:16">
      <c r="A253" s="14"/>
      <c r="B253" s="15"/>
      <c r="C253" s="16"/>
      <c r="D253" s="17"/>
      <c r="E253" s="12"/>
      <c r="F253" s="18"/>
      <c r="G253" s="19"/>
      <c r="H253" s="13"/>
      <c r="I253" s="19"/>
      <c r="J253" s="13"/>
      <c r="K253" s="19"/>
      <c r="L253" s="13"/>
      <c r="M253" s="557"/>
      <c r="N253" s="460"/>
      <c r="O253" s="783"/>
      <c r="P253" s="460"/>
    </row>
    <row r="254" spans="1:16">
      <c r="A254" s="14"/>
      <c r="B254" s="15"/>
      <c r="C254" s="16"/>
      <c r="D254" s="17"/>
      <c r="E254" s="12"/>
      <c r="F254" s="18"/>
      <c r="G254" s="19"/>
      <c r="H254" s="13"/>
      <c r="I254" s="19"/>
      <c r="J254" s="13"/>
      <c r="K254" s="19"/>
      <c r="L254" s="13"/>
      <c r="M254" s="557"/>
      <c r="N254" s="460"/>
      <c r="O254" s="783"/>
      <c r="P254" s="460"/>
    </row>
    <row r="255" spans="1:16">
      <c r="A255" s="14"/>
      <c r="B255" s="15"/>
      <c r="C255" s="16"/>
      <c r="D255" s="17"/>
      <c r="E255" s="12"/>
      <c r="F255" s="18"/>
      <c r="G255" s="19"/>
      <c r="H255" s="13"/>
      <c r="I255" s="19"/>
      <c r="J255" s="13"/>
      <c r="K255" s="19"/>
      <c r="L255" s="13"/>
      <c r="M255" s="557"/>
      <c r="N255" s="460"/>
      <c r="O255" s="783"/>
      <c r="P255" s="460"/>
    </row>
    <row r="256" spans="1:16">
      <c r="A256" s="14"/>
      <c r="B256" s="15"/>
      <c r="C256" s="16"/>
      <c r="D256" s="17"/>
      <c r="E256" s="12"/>
      <c r="F256" s="18"/>
      <c r="G256" s="19"/>
      <c r="H256" s="13"/>
      <c r="I256" s="19"/>
      <c r="J256" s="13"/>
      <c r="K256" s="19"/>
      <c r="L256" s="13"/>
      <c r="M256" s="557"/>
      <c r="N256" s="460"/>
      <c r="O256" s="783"/>
      <c r="P256" s="460"/>
    </row>
    <row r="257" spans="1:16">
      <c r="A257" s="14"/>
      <c r="B257" s="15"/>
      <c r="C257" s="16"/>
      <c r="D257" s="17"/>
      <c r="E257" s="12"/>
      <c r="F257" s="18"/>
      <c r="G257" s="19"/>
      <c r="H257" s="13"/>
      <c r="I257" s="19"/>
      <c r="J257" s="13"/>
      <c r="K257" s="19"/>
      <c r="L257" s="13"/>
      <c r="M257" s="557"/>
      <c r="N257" s="460"/>
      <c r="O257" s="783"/>
      <c r="P257" s="460"/>
    </row>
    <row r="258" spans="1:16">
      <c r="A258" s="14"/>
      <c r="B258" s="15"/>
      <c r="C258" s="16"/>
      <c r="D258" s="17"/>
      <c r="E258" s="12"/>
      <c r="F258" s="18"/>
      <c r="G258" s="19"/>
      <c r="H258" s="13"/>
      <c r="I258" s="19"/>
      <c r="J258" s="13"/>
      <c r="K258" s="19"/>
      <c r="L258" s="13"/>
      <c r="M258" s="557"/>
      <c r="N258" s="460"/>
      <c r="O258" s="783"/>
      <c r="P258" s="460"/>
    </row>
    <row r="259" spans="1:16">
      <c r="A259" s="14"/>
      <c r="B259" s="15"/>
      <c r="C259" s="16"/>
      <c r="D259" s="17"/>
      <c r="E259" s="12"/>
      <c r="F259" s="18"/>
      <c r="G259" s="19"/>
      <c r="H259" s="13"/>
      <c r="I259" s="19"/>
      <c r="J259" s="13"/>
      <c r="K259" s="19"/>
      <c r="L259" s="13"/>
      <c r="M259" s="557"/>
      <c r="N259" s="460"/>
      <c r="O259" s="783"/>
      <c r="P259" s="460"/>
    </row>
    <row r="260" spans="1:16">
      <c r="A260" s="14"/>
      <c r="B260" s="15"/>
      <c r="C260" s="16"/>
      <c r="D260" s="17"/>
      <c r="E260" s="12"/>
      <c r="F260" s="18"/>
      <c r="G260" s="19"/>
      <c r="H260" s="13"/>
      <c r="I260" s="19"/>
      <c r="J260" s="13"/>
      <c r="K260" s="19"/>
      <c r="L260" s="13"/>
      <c r="M260" s="557"/>
      <c r="N260" s="460"/>
      <c r="O260" s="783"/>
      <c r="P260" s="460"/>
    </row>
    <row r="261" spans="1:16">
      <c r="A261" s="14"/>
      <c r="B261" s="15"/>
      <c r="C261" s="16"/>
      <c r="D261" s="17"/>
      <c r="E261" s="12"/>
      <c r="F261" s="18"/>
      <c r="G261" s="19"/>
      <c r="H261" s="13"/>
      <c r="I261" s="19"/>
      <c r="J261" s="13"/>
      <c r="K261" s="19"/>
      <c r="L261" s="13"/>
      <c r="M261" s="557"/>
      <c r="N261" s="460"/>
      <c r="O261" s="783"/>
      <c r="P261" s="460"/>
    </row>
    <row r="262" spans="1:16">
      <c r="A262" s="14"/>
      <c r="B262" s="15"/>
      <c r="C262" s="16"/>
      <c r="D262" s="17"/>
      <c r="E262" s="12"/>
      <c r="F262" s="18"/>
      <c r="G262" s="19"/>
      <c r="H262" s="13"/>
      <c r="I262" s="19"/>
      <c r="J262" s="13"/>
      <c r="K262" s="19"/>
      <c r="L262" s="13"/>
      <c r="M262" s="557"/>
      <c r="N262" s="460"/>
      <c r="O262" s="783"/>
      <c r="P262" s="460"/>
    </row>
    <row r="263" spans="1:16">
      <c r="A263" s="14"/>
      <c r="B263" s="15"/>
      <c r="C263" s="16"/>
      <c r="D263" s="17"/>
      <c r="E263" s="12"/>
      <c r="F263" s="18"/>
      <c r="G263" s="19"/>
      <c r="H263" s="13"/>
      <c r="I263" s="19"/>
      <c r="J263" s="13"/>
      <c r="K263" s="19"/>
      <c r="L263" s="13"/>
      <c r="M263" s="557"/>
      <c r="N263" s="460"/>
      <c r="O263" s="783"/>
      <c r="P263" s="460"/>
    </row>
    <row r="264" spans="1:16">
      <c r="A264" s="14"/>
      <c r="B264" s="15"/>
      <c r="C264" s="16"/>
      <c r="D264" s="17"/>
      <c r="E264" s="12"/>
      <c r="F264" s="18"/>
      <c r="G264" s="19"/>
      <c r="H264" s="13"/>
      <c r="I264" s="19"/>
      <c r="J264" s="13"/>
      <c r="K264" s="19"/>
      <c r="L264" s="13"/>
      <c r="M264" s="557"/>
      <c r="N264" s="460"/>
      <c r="O264" s="783"/>
      <c r="P264" s="460"/>
    </row>
    <row r="265" spans="1:16">
      <c r="A265" s="14"/>
      <c r="B265" s="15"/>
      <c r="C265" s="16"/>
      <c r="D265" s="17"/>
      <c r="E265" s="12"/>
      <c r="F265" s="18"/>
      <c r="G265" s="19"/>
      <c r="H265" s="13"/>
      <c r="I265" s="19"/>
      <c r="J265" s="13"/>
      <c r="K265" s="19"/>
      <c r="L265" s="13"/>
      <c r="M265" s="557"/>
      <c r="N265" s="460"/>
      <c r="O265" s="783"/>
      <c r="P265" s="460"/>
    </row>
    <row r="266" spans="1:16">
      <c r="A266" s="14"/>
      <c r="B266" s="15"/>
      <c r="C266" s="16"/>
      <c r="D266" s="17"/>
      <c r="E266" s="12"/>
      <c r="F266" s="18"/>
      <c r="G266" s="19"/>
      <c r="H266" s="13"/>
      <c r="I266" s="19"/>
      <c r="J266" s="13"/>
      <c r="K266" s="19"/>
      <c r="L266" s="13"/>
      <c r="M266" s="557"/>
      <c r="N266" s="460"/>
      <c r="O266" s="783"/>
      <c r="P266" s="460"/>
    </row>
    <row r="267" spans="1:16">
      <c r="A267" s="14"/>
      <c r="B267" s="15"/>
      <c r="C267" s="16"/>
      <c r="D267" s="17"/>
      <c r="E267" s="12"/>
      <c r="F267" s="18"/>
      <c r="G267" s="19"/>
      <c r="H267" s="13"/>
      <c r="I267" s="19"/>
      <c r="J267" s="13"/>
      <c r="K267" s="19"/>
      <c r="L267" s="13"/>
      <c r="M267" s="557"/>
      <c r="N267" s="460"/>
      <c r="O267" s="783"/>
      <c r="P267" s="460"/>
    </row>
    <row r="268" spans="1:16">
      <c r="A268" s="14"/>
      <c r="B268" s="15"/>
      <c r="C268" s="16"/>
      <c r="D268" s="17"/>
      <c r="E268" s="12"/>
      <c r="F268" s="18"/>
      <c r="G268" s="19"/>
      <c r="H268" s="13"/>
      <c r="I268" s="19"/>
      <c r="J268" s="13"/>
      <c r="K268" s="19"/>
      <c r="L268" s="13"/>
      <c r="M268" s="557"/>
      <c r="N268" s="460"/>
      <c r="O268" s="783"/>
      <c r="P268" s="460"/>
    </row>
    <row r="269" spans="1:16">
      <c r="A269" s="14"/>
      <c r="B269" s="15"/>
      <c r="C269" s="16"/>
      <c r="D269" s="17"/>
      <c r="E269" s="12"/>
      <c r="F269" s="18"/>
      <c r="G269" s="19"/>
      <c r="H269" s="13"/>
      <c r="I269" s="19"/>
      <c r="J269" s="13"/>
      <c r="K269" s="19"/>
      <c r="L269" s="13"/>
      <c r="M269" s="557"/>
      <c r="N269" s="460"/>
      <c r="O269" s="783"/>
      <c r="P269" s="460"/>
    </row>
    <row r="270" spans="1:16">
      <c r="A270" s="14"/>
      <c r="B270" s="15"/>
      <c r="C270" s="16"/>
      <c r="D270" s="17"/>
      <c r="E270" s="12"/>
      <c r="F270" s="18"/>
      <c r="G270" s="19"/>
      <c r="H270" s="13"/>
      <c r="I270" s="19"/>
      <c r="J270" s="13"/>
      <c r="K270" s="19"/>
      <c r="L270" s="13"/>
      <c r="M270" s="557"/>
      <c r="N270" s="460"/>
      <c r="O270" s="783"/>
      <c r="P270" s="460"/>
    </row>
    <row r="271" spans="1:16">
      <c r="A271" s="14"/>
      <c r="B271" s="15"/>
      <c r="C271" s="16"/>
      <c r="D271" s="17"/>
      <c r="E271" s="12"/>
      <c r="F271" s="18"/>
      <c r="G271" s="19"/>
      <c r="H271" s="13"/>
      <c r="I271" s="19"/>
      <c r="J271" s="13"/>
      <c r="K271" s="19"/>
      <c r="L271" s="13"/>
      <c r="M271" s="557"/>
      <c r="N271" s="460"/>
      <c r="O271" s="783"/>
      <c r="P271" s="460"/>
    </row>
    <row r="272" spans="1:16">
      <c r="A272" s="14"/>
      <c r="B272" s="15"/>
      <c r="C272" s="16"/>
      <c r="D272" s="17"/>
      <c r="E272" s="12"/>
      <c r="F272" s="18"/>
      <c r="G272" s="19"/>
      <c r="H272" s="13"/>
      <c r="I272" s="19"/>
      <c r="J272" s="13"/>
      <c r="K272" s="19"/>
      <c r="L272" s="13"/>
      <c r="M272" s="557"/>
      <c r="N272" s="460"/>
      <c r="O272" s="783"/>
      <c r="P272" s="460"/>
    </row>
    <row r="273" spans="1:16">
      <c r="A273" s="14"/>
      <c r="B273" s="15"/>
      <c r="C273" s="16"/>
      <c r="D273" s="17"/>
      <c r="E273" s="12"/>
      <c r="F273" s="18"/>
      <c r="G273" s="19"/>
      <c r="H273" s="13"/>
      <c r="I273" s="19"/>
      <c r="J273" s="13"/>
      <c r="K273" s="19"/>
      <c r="L273" s="13"/>
      <c r="M273" s="557"/>
      <c r="N273" s="460"/>
      <c r="O273" s="783"/>
      <c r="P273" s="460"/>
    </row>
    <row r="274" spans="1:16">
      <c r="A274" s="14"/>
      <c r="B274" s="15"/>
      <c r="C274" s="16"/>
      <c r="D274" s="17"/>
      <c r="E274" s="12"/>
      <c r="F274" s="18"/>
      <c r="G274" s="19"/>
      <c r="H274" s="13"/>
      <c r="I274" s="19"/>
      <c r="J274" s="13"/>
      <c r="K274" s="19"/>
      <c r="L274" s="13"/>
      <c r="M274" s="557"/>
      <c r="N274" s="460"/>
      <c r="O274" s="783"/>
      <c r="P274" s="460"/>
    </row>
    <row r="275" spans="1:16">
      <c r="A275" s="14"/>
      <c r="B275" s="15"/>
      <c r="C275" s="16"/>
      <c r="D275" s="17"/>
      <c r="E275" s="12"/>
      <c r="F275" s="18"/>
      <c r="G275" s="19"/>
      <c r="H275" s="13"/>
      <c r="I275" s="19"/>
      <c r="J275" s="13"/>
      <c r="K275" s="19"/>
      <c r="L275" s="13"/>
      <c r="M275" s="557"/>
      <c r="N275" s="460"/>
      <c r="O275" s="783"/>
      <c r="P275" s="460"/>
    </row>
    <row r="276" spans="1:16">
      <c r="A276" s="14"/>
      <c r="B276" s="15"/>
      <c r="C276" s="16"/>
      <c r="D276" s="17"/>
      <c r="E276" s="12"/>
      <c r="F276" s="18"/>
      <c r="G276" s="19"/>
      <c r="H276" s="13"/>
      <c r="I276" s="19"/>
      <c r="J276" s="13"/>
      <c r="K276" s="19"/>
      <c r="L276" s="13"/>
      <c r="M276" s="557"/>
      <c r="N276" s="460"/>
      <c r="O276" s="783"/>
      <c r="P276" s="460"/>
    </row>
    <row r="277" spans="1:16">
      <c r="A277" s="14"/>
      <c r="B277" s="15"/>
      <c r="C277" s="16"/>
      <c r="D277" s="17"/>
      <c r="E277" s="12"/>
      <c r="F277" s="18"/>
      <c r="G277" s="19"/>
      <c r="H277" s="13"/>
      <c r="I277" s="19"/>
      <c r="J277" s="13"/>
      <c r="K277" s="19"/>
      <c r="L277" s="13"/>
      <c r="M277" s="557"/>
      <c r="N277" s="460"/>
      <c r="O277" s="783"/>
      <c r="P277" s="460"/>
    </row>
    <row r="278" spans="1:16">
      <c r="A278" s="14"/>
      <c r="B278" s="15"/>
      <c r="C278" s="16"/>
      <c r="D278" s="17"/>
      <c r="E278" s="12"/>
      <c r="F278" s="18"/>
      <c r="G278" s="19"/>
      <c r="H278" s="13"/>
      <c r="I278" s="19"/>
      <c r="J278" s="13"/>
      <c r="K278" s="19"/>
      <c r="L278" s="13"/>
      <c r="M278" s="557"/>
      <c r="N278" s="460"/>
      <c r="O278" s="783"/>
      <c r="P278" s="460"/>
    </row>
    <row r="279" spans="1:16">
      <c r="A279" s="14"/>
      <c r="B279" s="15"/>
      <c r="C279" s="16"/>
      <c r="D279" s="17"/>
      <c r="E279" s="12"/>
      <c r="F279" s="18"/>
      <c r="G279" s="19"/>
      <c r="H279" s="13"/>
      <c r="I279" s="19"/>
      <c r="J279" s="13"/>
      <c r="K279" s="19"/>
      <c r="L279" s="13"/>
      <c r="M279" s="557"/>
      <c r="N279" s="460"/>
      <c r="O279" s="783"/>
      <c r="P279" s="460"/>
    </row>
    <row r="280" spans="1:16">
      <c r="A280" s="14"/>
      <c r="B280" s="15"/>
      <c r="C280" s="16"/>
      <c r="D280" s="17"/>
      <c r="E280" s="12"/>
      <c r="F280" s="18"/>
      <c r="G280" s="19"/>
      <c r="H280" s="13"/>
      <c r="I280" s="19"/>
      <c r="J280" s="13"/>
      <c r="K280" s="19"/>
      <c r="L280" s="13"/>
      <c r="M280" s="557"/>
      <c r="N280" s="460"/>
      <c r="O280" s="783"/>
      <c r="P280" s="460"/>
    </row>
    <row r="281" spans="1:16">
      <c r="A281" s="14"/>
      <c r="B281" s="15"/>
      <c r="C281" s="16"/>
      <c r="D281" s="17"/>
      <c r="E281" s="12"/>
      <c r="F281" s="18"/>
      <c r="G281" s="19"/>
      <c r="H281" s="13"/>
      <c r="I281" s="19"/>
      <c r="J281" s="13"/>
      <c r="K281" s="19"/>
      <c r="L281" s="13"/>
      <c r="M281" s="557"/>
      <c r="N281" s="460"/>
      <c r="O281" s="783"/>
      <c r="P281" s="460"/>
    </row>
    <row r="282" spans="1:16">
      <c r="A282" s="14"/>
      <c r="B282" s="15"/>
      <c r="C282" s="16"/>
      <c r="D282" s="17"/>
      <c r="E282" s="12"/>
      <c r="F282" s="18"/>
      <c r="G282" s="19"/>
      <c r="H282" s="13"/>
      <c r="I282" s="19"/>
      <c r="J282" s="13"/>
      <c r="K282" s="19"/>
      <c r="L282" s="13"/>
      <c r="M282" s="557"/>
      <c r="N282" s="460"/>
      <c r="O282" s="783"/>
      <c r="P282" s="460"/>
    </row>
    <row r="283" spans="1:16">
      <c r="A283" s="14"/>
      <c r="B283" s="15"/>
      <c r="C283" s="16"/>
      <c r="D283" s="17"/>
      <c r="E283" s="12"/>
      <c r="F283" s="18"/>
      <c r="G283" s="19"/>
      <c r="H283" s="13"/>
      <c r="I283" s="19"/>
      <c r="J283" s="13"/>
      <c r="K283" s="19"/>
      <c r="L283" s="13"/>
      <c r="M283" s="557"/>
      <c r="N283" s="460"/>
      <c r="O283" s="783"/>
      <c r="P283" s="460"/>
    </row>
    <row r="284" spans="1:16">
      <c r="A284" s="14"/>
      <c r="B284" s="15"/>
      <c r="C284" s="16"/>
      <c r="D284" s="17"/>
      <c r="E284" s="12"/>
      <c r="F284" s="18"/>
      <c r="G284" s="19"/>
      <c r="H284" s="13"/>
      <c r="I284" s="19"/>
      <c r="J284" s="13"/>
      <c r="K284" s="19"/>
      <c r="L284" s="13"/>
      <c r="M284" s="557"/>
      <c r="N284" s="460"/>
      <c r="O284" s="783"/>
      <c r="P284" s="460"/>
    </row>
    <row r="285" spans="1:16">
      <c r="A285" s="14"/>
      <c r="B285" s="15"/>
      <c r="C285" s="16"/>
      <c r="D285" s="17"/>
      <c r="E285" s="12"/>
      <c r="F285" s="18"/>
      <c r="G285" s="19"/>
      <c r="H285" s="13"/>
      <c r="I285" s="19"/>
      <c r="J285" s="13"/>
      <c r="K285" s="19"/>
      <c r="L285" s="13"/>
      <c r="M285" s="557"/>
      <c r="N285" s="460"/>
      <c r="O285" s="783"/>
      <c r="P285" s="460"/>
    </row>
    <row r="286" spans="1:16">
      <c r="A286" s="14"/>
      <c r="B286" s="15"/>
      <c r="C286" s="16"/>
      <c r="D286" s="17"/>
      <c r="E286" s="12"/>
      <c r="F286" s="18"/>
      <c r="G286" s="19"/>
      <c r="H286" s="13"/>
      <c r="I286" s="19"/>
      <c r="J286" s="13"/>
      <c r="K286" s="19"/>
      <c r="L286" s="13"/>
      <c r="M286" s="557"/>
      <c r="N286" s="460"/>
      <c r="O286" s="783"/>
      <c r="P286" s="460"/>
    </row>
    <row r="287" spans="1:16">
      <c r="A287" s="14"/>
      <c r="B287" s="15"/>
      <c r="C287" s="16"/>
      <c r="D287" s="17"/>
      <c r="E287" s="12"/>
      <c r="F287" s="18"/>
      <c r="G287" s="19"/>
      <c r="H287" s="13"/>
      <c r="I287" s="19"/>
      <c r="J287" s="13"/>
      <c r="K287" s="19"/>
      <c r="L287" s="13"/>
      <c r="M287" s="557"/>
      <c r="N287" s="460"/>
      <c r="O287" s="783"/>
      <c r="P287" s="460"/>
    </row>
    <row r="288" spans="1:16">
      <c r="A288" s="14"/>
      <c r="B288" s="15"/>
      <c r="C288" s="16"/>
      <c r="D288" s="17"/>
      <c r="E288" s="12"/>
      <c r="F288" s="18"/>
      <c r="G288" s="19"/>
      <c r="H288" s="13"/>
      <c r="I288" s="19"/>
      <c r="J288" s="13"/>
      <c r="K288" s="19"/>
      <c r="L288" s="13"/>
      <c r="M288" s="557"/>
      <c r="N288" s="460"/>
      <c r="O288" s="783"/>
      <c r="P288" s="460"/>
    </row>
    <row r="289" spans="1:16">
      <c r="A289" s="14"/>
      <c r="B289" s="15"/>
      <c r="C289" s="16"/>
      <c r="D289" s="17"/>
      <c r="E289" s="12"/>
      <c r="F289" s="18"/>
      <c r="G289" s="19"/>
      <c r="H289" s="13"/>
      <c r="I289" s="19"/>
      <c r="J289" s="13"/>
      <c r="K289" s="19"/>
      <c r="L289" s="13"/>
      <c r="M289" s="557"/>
      <c r="N289" s="460"/>
      <c r="O289" s="783"/>
      <c r="P289" s="460"/>
    </row>
    <row r="290" spans="1:16">
      <c r="A290" s="14"/>
      <c r="B290" s="15"/>
      <c r="C290" s="16"/>
      <c r="D290" s="17"/>
      <c r="E290" s="12"/>
      <c r="F290" s="18"/>
      <c r="G290" s="19"/>
      <c r="H290" s="13"/>
      <c r="I290" s="19"/>
      <c r="J290" s="13"/>
      <c r="K290" s="19"/>
      <c r="L290" s="13"/>
      <c r="M290" s="557"/>
      <c r="N290" s="460"/>
      <c r="O290" s="783"/>
      <c r="P290" s="460"/>
    </row>
    <row r="291" spans="1:16">
      <c r="A291" s="14"/>
      <c r="B291" s="15"/>
      <c r="C291" s="16"/>
      <c r="D291" s="17"/>
      <c r="E291" s="12"/>
      <c r="F291" s="18"/>
      <c r="G291" s="19"/>
      <c r="H291" s="13"/>
      <c r="I291" s="19"/>
      <c r="J291" s="13"/>
      <c r="K291" s="19"/>
      <c r="L291" s="13"/>
      <c r="M291" s="557"/>
      <c r="N291" s="460"/>
      <c r="O291" s="783"/>
      <c r="P291" s="460"/>
    </row>
    <row r="292" spans="1:16">
      <c r="A292" s="14"/>
      <c r="B292" s="15"/>
      <c r="C292" s="16"/>
      <c r="D292" s="17"/>
      <c r="E292" s="12"/>
      <c r="F292" s="18"/>
      <c r="G292" s="19"/>
      <c r="H292" s="13"/>
      <c r="I292" s="19"/>
      <c r="J292" s="13"/>
      <c r="K292" s="19"/>
      <c r="L292" s="13"/>
      <c r="M292" s="557"/>
      <c r="N292" s="460"/>
      <c r="O292" s="783"/>
      <c r="P292" s="460"/>
    </row>
    <row r="293" spans="1:16">
      <c r="A293" s="14"/>
      <c r="B293" s="15"/>
      <c r="C293" s="16"/>
      <c r="D293" s="17"/>
      <c r="E293" s="12"/>
      <c r="F293" s="18"/>
      <c r="G293" s="19"/>
      <c r="H293" s="13"/>
      <c r="I293" s="19"/>
      <c r="J293" s="13"/>
      <c r="K293" s="19"/>
      <c r="L293" s="13"/>
      <c r="M293" s="557"/>
      <c r="N293" s="460"/>
      <c r="O293" s="783"/>
      <c r="P293" s="460"/>
    </row>
    <row r="294" spans="1:16">
      <c r="A294" s="14"/>
      <c r="B294" s="15"/>
      <c r="C294" s="16"/>
      <c r="D294" s="17"/>
      <c r="E294" s="12"/>
      <c r="F294" s="18"/>
      <c r="G294" s="19"/>
      <c r="H294" s="13"/>
      <c r="I294" s="19"/>
      <c r="J294" s="13"/>
      <c r="K294" s="19"/>
      <c r="L294" s="13"/>
      <c r="M294" s="557"/>
      <c r="N294" s="460"/>
      <c r="O294" s="783"/>
      <c r="P294" s="460"/>
    </row>
    <row r="295" spans="1:16">
      <c r="A295" s="14"/>
      <c r="B295" s="15"/>
      <c r="C295" s="16"/>
      <c r="D295" s="17"/>
      <c r="E295" s="12"/>
      <c r="F295" s="18"/>
      <c r="G295" s="19"/>
      <c r="H295" s="13"/>
      <c r="I295" s="19"/>
      <c r="J295" s="13"/>
      <c r="K295" s="19"/>
      <c r="L295" s="13"/>
      <c r="M295" s="557"/>
      <c r="N295" s="460"/>
      <c r="O295" s="783"/>
      <c r="P295" s="460"/>
    </row>
    <row r="296" spans="1:16">
      <c r="A296" s="14"/>
      <c r="B296" s="15"/>
      <c r="C296" s="16"/>
      <c r="D296" s="17"/>
      <c r="E296" s="12"/>
      <c r="F296" s="18"/>
      <c r="G296" s="19"/>
      <c r="H296" s="13"/>
      <c r="I296" s="19"/>
      <c r="J296" s="13"/>
      <c r="K296" s="19"/>
      <c r="L296" s="13"/>
      <c r="M296" s="557"/>
      <c r="N296" s="460"/>
      <c r="O296" s="783"/>
      <c r="P296" s="460"/>
    </row>
    <row r="297" spans="1:16">
      <c r="A297" s="14"/>
      <c r="B297" s="15"/>
      <c r="C297" s="16"/>
      <c r="D297" s="17"/>
      <c r="E297" s="12"/>
      <c r="F297" s="18"/>
      <c r="G297" s="19"/>
      <c r="H297" s="13"/>
      <c r="I297" s="19"/>
      <c r="J297" s="13"/>
      <c r="K297" s="19"/>
      <c r="L297" s="13"/>
      <c r="M297" s="557"/>
      <c r="N297" s="460"/>
      <c r="O297" s="783"/>
      <c r="P297" s="460"/>
    </row>
    <row r="298" spans="1:16">
      <c r="A298" s="14"/>
      <c r="B298" s="15"/>
      <c r="C298" s="16"/>
      <c r="D298" s="17"/>
      <c r="E298" s="12"/>
      <c r="F298" s="18"/>
      <c r="G298" s="19"/>
      <c r="H298" s="13"/>
      <c r="I298" s="19"/>
      <c r="J298" s="13"/>
      <c r="K298" s="19"/>
      <c r="L298" s="13"/>
      <c r="M298" s="557"/>
      <c r="N298" s="460"/>
      <c r="O298" s="783"/>
      <c r="P298" s="460"/>
    </row>
    <row r="299" spans="1:16">
      <c r="A299" s="14"/>
      <c r="B299" s="15"/>
      <c r="C299" s="16"/>
      <c r="D299" s="17"/>
      <c r="E299" s="12"/>
      <c r="F299" s="18"/>
      <c r="G299" s="19"/>
      <c r="H299" s="13"/>
      <c r="I299" s="19"/>
      <c r="J299" s="13"/>
      <c r="K299" s="19"/>
      <c r="L299" s="13"/>
      <c r="M299" s="557"/>
      <c r="N299" s="460"/>
      <c r="O299" s="783"/>
      <c r="P299" s="460"/>
    </row>
    <row r="300" spans="1:16">
      <c r="A300" s="14"/>
      <c r="B300" s="15"/>
      <c r="C300" s="16"/>
      <c r="D300" s="17"/>
      <c r="E300" s="12"/>
      <c r="F300" s="18"/>
      <c r="G300" s="19"/>
      <c r="H300" s="13"/>
      <c r="I300" s="19"/>
      <c r="J300" s="13"/>
      <c r="K300" s="19"/>
      <c r="L300" s="13"/>
      <c r="M300" s="557"/>
      <c r="N300" s="460"/>
      <c r="O300" s="783"/>
      <c r="P300" s="460"/>
    </row>
    <row r="301" spans="1:16">
      <c r="A301" s="14"/>
      <c r="B301" s="15"/>
      <c r="C301" s="16"/>
      <c r="D301" s="17"/>
      <c r="E301" s="12"/>
      <c r="F301" s="18"/>
      <c r="G301" s="19"/>
      <c r="H301" s="13"/>
      <c r="I301" s="19"/>
      <c r="J301" s="13"/>
      <c r="K301" s="19"/>
      <c r="L301" s="13"/>
      <c r="M301" s="557"/>
      <c r="N301" s="460"/>
      <c r="O301" s="783"/>
      <c r="P301" s="460"/>
    </row>
    <row r="302" spans="1:16">
      <c r="A302" s="14"/>
      <c r="B302" s="15"/>
      <c r="C302" s="16"/>
      <c r="D302" s="17"/>
      <c r="E302" s="12"/>
      <c r="F302" s="18"/>
      <c r="G302" s="19"/>
      <c r="H302" s="13"/>
      <c r="I302" s="19"/>
      <c r="J302" s="13"/>
      <c r="K302" s="19"/>
      <c r="L302" s="13"/>
      <c r="M302" s="557"/>
      <c r="N302" s="460"/>
      <c r="O302" s="783"/>
      <c r="P302" s="460"/>
    </row>
    <row r="303" spans="1:16">
      <c r="A303" s="14"/>
      <c r="B303" s="15"/>
      <c r="C303" s="16"/>
      <c r="D303" s="17"/>
      <c r="E303" s="12"/>
      <c r="F303" s="18"/>
      <c r="G303" s="19"/>
      <c r="H303" s="13"/>
      <c r="I303" s="19"/>
      <c r="J303" s="13"/>
      <c r="K303" s="19"/>
      <c r="L303" s="13"/>
      <c r="M303" s="557"/>
      <c r="N303" s="460"/>
      <c r="O303" s="783"/>
      <c r="P303" s="460"/>
    </row>
    <row r="304" spans="1:16">
      <c r="A304" s="14"/>
      <c r="B304" s="15"/>
      <c r="C304" s="16"/>
      <c r="D304" s="17"/>
      <c r="E304" s="12"/>
      <c r="F304" s="18"/>
      <c r="G304" s="19"/>
      <c r="H304" s="13"/>
      <c r="I304" s="19"/>
      <c r="J304" s="13"/>
      <c r="K304" s="19"/>
      <c r="L304" s="13"/>
      <c r="M304" s="557"/>
      <c r="N304" s="460"/>
      <c r="O304" s="783"/>
      <c r="P304" s="460"/>
    </row>
    <row r="305" spans="1:16">
      <c r="A305" s="14"/>
      <c r="B305" s="15"/>
      <c r="C305" s="16"/>
      <c r="D305" s="17"/>
      <c r="E305" s="12"/>
      <c r="F305" s="18"/>
      <c r="G305" s="19"/>
      <c r="H305" s="13"/>
      <c r="I305" s="19"/>
      <c r="J305" s="13"/>
      <c r="K305" s="19"/>
      <c r="L305" s="13"/>
      <c r="M305" s="557"/>
      <c r="N305" s="460"/>
      <c r="O305" s="783"/>
      <c r="P305" s="460"/>
    </row>
    <row r="306" spans="1:16">
      <c r="A306" s="14"/>
      <c r="B306" s="15"/>
      <c r="C306" s="16"/>
      <c r="D306" s="17"/>
      <c r="E306" s="12"/>
      <c r="F306" s="18"/>
      <c r="G306" s="19"/>
      <c r="H306" s="13"/>
      <c r="I306" s="19"/>
      <c r="J306" s="13"/>
      <c r="K306" s="19"/>
      <c r="L306" s="13"/>
      <c r="M306" s="557"/>
      <c r="N306" s="460"/>
      <c r="O306" s="783"/>
      <c r="P306" s="460"/>
    </row>
    <row r="307" spans="1:16">
      <c r="A307" s="14"/>
      <c r="B307" s="15"/>
      <c r="C307" s="16"/>
      <c r="D307" s="17"/>
      <c r="E307" s="12"/>
      <c r="F307" s="18"/>
      <c r="G307" s="19"/>
      <c r="H307" s="13"/>
      <c r="I307" s="19"/>
      <c r="J307" s="13"/>
      <c r="K307" s="19"/>
      <c r="L307" s="13"/>
      <c r="M307" s="557"/>
      <c r="N307" s="460"/>
      <c r="O307" s="783"/>
      <c r="P307" s="460"/>
    </row>
    <row r="308" spans="1:16">
      <c r="A308" s="14"/>
      <c r="B308" s="15"/>
      <c r="C308" s="16"/>
      <c r="D308" s="17"/>
      <c r="E308" s="12"/>
      <c r="F308" s="18"/>
      <c r="G308" s="19"/>
      <c r="H308" s="13"/>
      <c r="I308" s="19"/>
      <c r="J308" s="13"/>
      <c r="K308" s="19"/>
      <c r="L308" s="13"/>
      <c r="M308" s="557"/>
      <c r="N308" s="460"/>
      <c r="O308" s="783"/>
      <c r="P308" s="460"/>
    </row>
    <row r="309" spans="1:16">
      <c r="A309" s="14"/>
      <c r="B309" s="15"/>
      <c r="C309" s="16"/>
      <c r="D309" s="17"/>
      <c r="E309" s="12"/>
      <c r="F309" s="18"/>
      <c r="G309" s="19"/>
      <c r="H309" s="13"/>
      <c r="I309" s="19"/>
      <c r="J309" s="13"/>
      <c r="K309" s="19"/>
      <c r="L309" s="13"/>
      <c r="M309" s="557"/>
      <c r="N309" s="460"/>
      <c r="O309" s="783"/>
      <c r="P309" s="460"/>
    </row>
    <row r="310" spans="1:16">
      <c r="A310" s="14"/>
      <c r="B310" s="15"/>
      <c r="C310" s="16"/>
      <c r="D310" s="17"/>
      <c r="E310" s="12"/>
      <c r="F310" s="18"/>
      <c r="G310" s="19"/>
      <c r="H310" s="13"/>
      <c r="I310" s="19"/>
      <c r="J310" s="13"/>
      <c r="K310" s="19"/>
      <c r="L310" s="13"/>
      <c r="M310" s="557"/>
      <c r="N310" s="460"/>
      <c r="O310" s="783"/>
      <c r="P310" s="460"/>
    </row>
    <row r="311" spans="1:16">
      <c r="A311" s="14"/>
      <c r="B311" s="15"/>
      <c r="C311" s="16"/>
      <c r="D311" s="17"/>
      <c r="E311" s="12"/>
      <c r="F311" s="18"/>
      <c r="G311" s="19"/>
      <c r="H311" s="13"/>
      <c r="I311" s="19"/>
      <c r="J311" s="13"/>
      <c r="K311" s="19"/>
      <c r="L311" s="13"/>
      <c r="M311" s="557"/>
      <c r="N311" s="460"/>
      <c r="O311" s="783"/>
      <c r="P311" s="460"/>
    </row>
    <row r="312" spans="1:16">
      <c r="A312" s="14"/>
      <c r="B312" s="15"/>
      <c r="C312" s="16"/>
      <c r="D312" s="17"/>
      <c r="E312" s="12"/>
      <c r="F312" s="18"/>
      <c r="G312" s="19"/>
      <c r="H312" s="13"/>
      <c r="I312" s="19"/>
      <c r="J312" s="13"/>
      <c r="K312" s="19"/>
      <c r="L312" s="13"/>
      <c r="M312" s="557"/>
      <c r="N312" s="460"/>
      <c r="O312" s="783"/>
      <c r="P312" s="460"/>
    </row>
    <row r="313" spans="1:16">
      <c r="A313" s="14"/>
      <c r="B313" s="15"/>
      <c r="C313" s="16"/>
      <c r="D313" s="17"/>
      <c r="E313" s="12"/>
      <c r="F313" s="18"/>
      <c r="G313" s="19"/>
      <c r="H313" s="13"/>
      <c r="I313" s="19"/>
      <c r="J313" s="13"/>
      <c r="K313" s="19"/>
      <c r="L313" s="13"/>
      <c r="M313" s="557"/>
      <c r="N313" s="460"/>
      <c r="O313" s="783"/>
      <c r="P313" s="460"/>
    </row>
    <row r="314" spans="1:16">
      <c r="A314" s="14"/>
      <c r="B314" s="15"/>
      <c r="C314" s="16"/>
      <c r="D314" s="17"/>
      <c r="E314" s="12"/>
      <c r="F314" s="18"/>
      <c r="G314" s="19"/>
      <c r="H314" s="13"/>
      <c r="I314" s="19"/>
      <c r="J314" s="13"/>
      <c r="K314" s="19"/>
      <c r="L314" s="13"/>
      <c r="M314" s="557"/>
      <c r="N314" s="460"/>
      <c r="O314" s="783"/>
      <c r="P314" s="460"/>
    </row>
    <row r="315" spans="1:16">
      <c r="A315" s="14"/>
      <c r="B315" s="15"/>
      <c r="C315" s="16"/>
      <c r="D315" s="17"/>
      <c r="E315" s="12"/>
      <c r="F315" s="18"/>
      <c r="G315" s="19"/>
      <c r="H315" s="13"/>
      <c r="I315" s="19"/>
      <c r="J315" s="13"/>
      <c r="K315" s="19"/>
      <c r="L315" s="13"/>
      <c r="M315" s="557"/>
      <c r="N315" s="460"/>
      <c r="O315" s="783"/>
      <c r="P315" s="460"/>
    </row>
    <row r="316" spans="1:16">
      <c r="A316" s="14"/>
      <c r="B316" s="15"/>
      <c r="C316" s="16"/>
      <c r="D316" s="17"/>
      <c r="E316" s="12"/>
      <c r="F316" s="18"/>
      <c r="G316" s="19"/>
      <c r="H316" s="13"/>
      <c r="I316" s="19"/>
      <c r="J316" s="13"/>
      <c r="K316" s="19"/>
      <c r="L316" s="13"/>
      <c r="M316" s="557"/>
      <c r="N316" s="460"/>
      <c r="O316" s="783"/>
      <c r="P316" s="460"/>
    </row>
    <row r="317" spans="1:16">
      <c r="A317" s="14"/>
      <c r="B317" s="15"/>
      <c r="C317" s="16"/>
      <c r="D317" s="17"/>
      <c r="E317" s="12"/>
      <c r="F317" s="18"/>
      <c r="G317" s="19"/>
      <c r="H317" s="13"/>
      <c r="I317" s="19"/>
      <c r="J317" s="13"/>
      <c r="K317" s="19"/>
      <c r="L317" s="13"/>
      <c r="M317" s="557"/>
      <c r="N317" s="460"/>
      <c r="O317" s="783"/>
      <c r="P317" s="460"/>
    </row>
    <row r="318" spans="1:16">
      <c r="A318" s="14"/>
      <c r="B318" s="15"/>
      <c r="C318" s="16"/>
      <c r="D318" s="17"/>
      <c r="E318" s="12"/>
      <c r="F318" s="18"/>
      <c r="G318" s="19"/>
      <c r="H318" s="13"/>
      <c r="I318" s="19"/>
      <c r="J318" s="13"/>
      <c r="K318" s="19"/>
      <c r="L318" s="13"/>
      <c r="M318" s="557"/>
      <c r="N318" s="460"/>
      <c r="O318" s="783"/>
      <c r="P318" s="460"/>
    </row>
    <row r="319" spans="1:16">
      <c r="A319" s="14"/>
      <c r="B319" s="15"/>
      <c r="C319" s="16"/>
      <c r="D319" s="17"/>
      <c r="E319" s="12"/>
      <c r="F319" s="18"/>
      <c r="G319" s="19"/>
      <c r="H319" s="13"/>
      <c r="I319" s="19"/>
      <c r="J319" s="13"/>
      <c r="K319" s="19"/>
      <c r="L319" s="13"/>
      <c r="M319" s="557"/>
      <c r="N319" s="460"/>
      <c r="O319" s="783"/>
      <c r="P319" s="460"/>
    </row>
    <row r="320" spans="1:16">
      <c r="A320" s="14"/>
      <c r="B320" s="15"/>
      <c r="C320" s="16"/>
      <c r="D320" s="17"/>
      <c r="E320" s="12"/>
      <c r="F320" s="18"/>
      <c r="G320" s="19"/>
      <c r="H320" s="13"/>
      <c r="I320" s="19"/>
      <c r="J320" s="13"/>
      <c r="K320" s="19"/>
      <c r="L320" s="13"/>
      <c r="M320" s="557"/>
      <c r="N320" s="460"/>
      <c r="O320" s="783"/>
      <c r="P320" s="460"/>
    </row>
    <row r="321" spans="1:16">
      <c r="A321" s="14"/>
      <c r="B321" s="15"/>
      <c r="C321" s="16"/>
      <c r="D321" s="17"/>
      <c r="E321" s="12"/>
      <c r="F321" s="18"/>
      <c r="G321" s="19"/>
      <c r="H321" s="13"/>
      <c r="I321" s="19"/>
      <c r="J321" s="13"/>
      <c r="K321" s="19"/>
      <c r="L321" s="13"/>
      <c r="M321" s="557"/>
      <c r="N321" s="460"/>
      <c r="O321" s="783"/>
      <c r="P321" s="460"/>
    </row>
    <row r="322" spans="1:16">
      <c r="A322" s="14"/>
      <c r="B322" s="15"/>
      <c r="C322" s="16"/>
      <c r="D322" s="17"/>
      <c r="E322" s="12"/>
      <c r="F322" s="18"/>
      <c r="G322" s="19"/>
      <c r="H322" s="13"/>
      <c r="I322" s="19"/>
      <c r="J322" s="13"/>
      <c r="K322" s="19"/>
      <c r="L322" s="13"/>
      <c r="M322" s="557"/>
      <c r="N322" s="460"/>
      <c r="O322" s="783"/>
      <c r="P322" s="460"/>
    </row>
    <row r="323" spans="1:16">
      <c r="A323" s="14"/>
      <c r="B323" s="15"/>
      <c r="C323" s="16"/>
      <c r="D323" s="17"/>
      <c r="E323" s="12"/>
      <c r="F323" s="18"/>
      <c r="G323" s="19"/>
      <c r="H323" s="13"/>
      <c r="I323" s="19"/>
      <c r="J323" s="13"/>
      <c r="K323" s="19"/>
      <c r="L323" s="13"/>
      <c r="M323" s="557"/>
      <c r="N323" s="460"/>
      <c r="O323" s="783"/>
      <c r="P323" s="460"/>
    </row>
    <row r="324" spans="1:16">
      <c r="A324" s="14"/>
      <c r="B324" s="15"/>
      <c r="C324" s="16"/>
      <c r="D324" s="17"/>
      <c r="E324" s="12"/>
      <c r="F324" s="18"/>
      <c r="G324" s="19"/>
      <c r="H324" s="13"/>
      <c r="I324" s="19"/>
      <c r="J324" s="13"/>
      <c r="K324" s="19"/>
      <c r="L324" s="13"/>
      <c r="M324" s="557"/>
      <c r="N324" s="460"/>
      <c r="O324" s="783"/>
      <c r="P324" s="460"/>
    </row>
    <row r="325" spans="1:16">
      <c r="A325" s="14"/>
      <c r="B325" s="15"/>
      <c r="C325" s="16"/>
      <c r="D325" s="17"/>
      <c r="E325" s="12"/>
      <c r="F325" s="18"/>
      <c r="G325" s="19"/>
      <c r="H325" s="13"/>
      <c r="I325" s="19"/>
      <c r="J325" s="13"/>
      <c r="K325" s="19"/>
      <c r="L325" s="13"/>
      <c r="M325" s="557"/>
      <c r="N325" s="460"/>
      <c r="O325" s="783"/>
      <c r="P325" s="460"/>
    </row>
    <row r="326" spans="1:16">
      <c r="A326" s="14"/>
      <c r="B326" s="15"/>
      <c r="C326" s="16"/>
      <c r="D326" s="17"/>
      <c r="E326" s="12"/>
      <c r="F326" s="18"/>
      <c r="G326" s="19"/>
      <c r="H326" s="13"/>
      <c r="I326" s="19"/>
      <c r="J326" s="13"/>
      <c r="K326" s="19"/>
      <c r="L326" s="13"/>
      <c r="M326" s="557"/>
      <c r="N326" s="460"/>
      <c r="O326" s="783"/>
      <c r="P326" s="460"/>
    </row>
    <row r="327" spans="1:16">
      <c r="A327" s="14"/>
      <c r="B327" s="15"/>
      <c r="C327" s="16"/>
      <c r="D327" s="17"/>
      <c r="E327" s="12"/>
      <c r="F327" s="18"/>
      <c r="G327" s="19"/>
      <c r="H327" s="13"/>
      <c r="I327" s="19"/>
      <c r="J327" s="13"/>
      <c r="K327" s="19"/>
      <c r="L327" s="13"/>
      <c r="M327" s="557"/>
      <c r="N327" s="460"/>
      <c r="O327" s="783"/>
      <c r="P327" s="460"/>
    </row>
    <row r="328" spans="1:16">
      <c r="A328" s="14"/>
      <c r="B328" s="15"/>
      <c r="C328" s="16"/>
      <c r="D328" s="17"/>
      <c r="E328" s="12"/>
      <c r="F328" s="18"/>
      <c r="G328" s="19"/>
      <c r="H328" s="13"/>
      <c r="I328" s="19"/>
      <c r="J328" s="13"/>
      <c r="K328" s="19"/>
      <c r="L328" s="13"/>
      <c r="M328" s="557"/>
      <c r="N328" s="460"/>
      <c r="O328" s="783"/>
      <c r="P328" s="460"/>
    </row>
    <row r="329" spans="1:16">
      <c r="A329" s="14"/>
      <c r="B329" s="15"/>
      <c r="C329" s="16"/>
      <c r="D329" s="17"/>
      <c r="E329" s="12"/>
      <c r="F329" s="18"/>
      <c r="G329" s="19"/>
      <c r="H329" s="13"/>
      <c r="I329" s="19"/>
      <c r="J329" s="13"/>
      <c r="K329" s="19"/>
      <c r="L329" s="13"/>
      <c r="M329" s="557"/>
      <c r="N329" s="460"/>
      <c r="O329" s="783"/>
      <c r="P329" s="460"/>
    </row>
    <row r="330" spans="1:16">
      <c r="A330" s="14"/>
      <c r="B330" s="15"/>
      <c r="C330" s="16"/>
      <c r="D330" s="17"/>
      <c r="E330" s="12"/>
      <c r="F330" s="18"/>
      <c r="G330" s="19"/>
      <c r="H330" s="13"/>
      <c r="I330" s="19"/>
      <c r="J330" s="13"/>
      <c r="K330" s="19"/>
      <c r="L330" s="13"/>
      <c r="M330" s="557"/>
      <c r="N330" s="460"/>
      <c r="O330" s="783"/>
      <c r="P330" s="460"/>
    </row>
    <row r="331" spans="1:16">
      <c r="A331" s="14"/>
      <c r="B331" s="15"/>
      <c r="C331" s="16"/>
      <c r="D331" s="17"/>
      <c r="E331" s="12"/>
      <c r="F331" s="18"/>
      <c r="G331" s="19"/>
      <c r="H331" s="13"/>
      <c r="I331" s="19"/>
      <c r="J331" s="13"/>
      <c r="K331" s="19"/>
      <c r="L331" s="13"/>
      <c r="M331" s="557"/>
      <c r="N331" s="460"/>
      <c r="O331" s="783"/>
      <c r="P331" s="460"/>
    </row>
    <row r="332" spans="1:16">
      <c r="A332" s="14"/>
      <c r="B332" s="15"/>
      <c r="C332" s="16"/>
      <c r="D332" s="17"/>
      <c r="E332" s="12"/>
      <c r="F332" s="18"/>
      <c r="G332" s="19"/>
      <c r="H332" s="13"/>
      <c r="I332" s="19"/>
      <c r="J332" s="13"/>
      <c r="K332" s="19"/>
      <c r="L332" s="13"/>
      <c r="M332" s="557"/>
      <c r="N332" s="460"/>
      <c r="O332" s="783"/>
      <c r="P332" s="460"/>
    </row>
    <row r="333" spans="1:16">
      <c r="A333" s="14"/>
      <c r="B333" s="15"/>
      <c r="C333" s="16"/>
      <c r="D333" s="17"/>
      <c r="E333" s="12"/>
      <c r="F333" s="18"/>
      <c r="G333" s="19"/>
      <c r="H333" s="13"/>
      <c r="I333" s="19"/>
      <c r="J333" s="13"/>
      <c r="K333" s="19"/>
      <c r="L333" s="13"/>
      <c r="M333" s="557"/>
      <c r="N333" s="460"/>
      <c r="O333" s="783"/>
      <c r="P333" s="460"/>
    </row>
    <row r="334" spans="1:16">
      <c r="A334" s="14"/>
      <c r="B334" s="15"/>
      <c r="C334" s="16"/>
      <c r="D334" s="17"/>
      <c r="E334" s="12"/>
      <c r="F334" s="18"/>
      <c r="G334" s="19"/>
      <c r="H334" s="13"/>
      <c r="I334" s="19"/>
      <c r="J334" s="13"/>
      <c r="K334" s="19"/>
      <c r="L334" s="13"/>
      <c r="M334" s="557"/>
      <c r="N334" s="460"/>
      <c r="O334" s="783"/>
      <c r="P334" s="460"/>
    </row>
    <row r="335" spans="1:16">
      <c r="A335" s="14"/>
      <c r="B335" s="15"/>
      <c r="C335" s="16"/>
      <c r="D335" s="17"/>
      <c r="E335" s="12"/>
      <c r="F335" s="18"/>
      <c r="G335" s="19"/>
      <c r="H335" s="13"/>
      <c r="I335" s="19"/>
      <c r="J335" s="13"/>
      <c r="K335" s="19"/>
      <c r="L335" s="13"/>
      <c r="M335" s="557"/>
      <c r="N335" s="460"/>
      <c r="O335" s="783"/>
      <c r="P335" s="460"/>
    </row>
    <row r="336" spans="1:16">
      <c r="A336" s="14"/>
      <c r="B336" s="15"/>
      <c r="C336" s="16"/>
      <c r="D336" s="17"/>
      <c r="E336" s="12"/>
      <c r="F336" s="18"/>
      <c r="G336" s="19"/>
      <c r="H336" s="13"/>
      <c r="I336" s="19"/>
      <c r="J336" s="13"/>
      <c r="K336" s="19"/>
      <c r="L336" s="13"/>
      <c r="M336" s="557"/>
      <c r="N336" s="460"/>
      <c r="O336" s="783"/>
      <c r="P336" s="460"/>
    </row>
    <row r="337" spans="1:16">
      <c r="A337" s="14"/>
      <c r="B337" s="15"/>
      <c r="C337" s="16"/>
      <c r="D337" s="17"/>
      <c r="E337" s="12"/>
      <c r="F337" s="18"/>
      <c r="G337" s="19"/>
      <c r="H337" s="13"/>
      <c r="I337" s="19"/>
      <c r="J337" s="13"/>
      <c r="K337" s="19"/>
      <c r="L337" s="13"/>
      <c r="M337" s="557"/>
      <c r="N337" s="460"/>
      <c r="O337" s="783"/>
      <c r="P337" s="460"/>
    </row>
    <row r="338" spans="1:16">
      <c r="A338" s="14"/>
      <c r="B338" s="15"/>
      <c r="C338" s="16"/>
      <c r="D338" s="17"/>
      <c r="E338" s="12"/>
      <c r="F338" s="18"/>
      <c r="G338" s="19"/>
      <c r="H338" s="13"/>
      <c r="I338" s="19"/>
      <c r="J338" s="13"/>
      <c r="K338" s="19"/>
      <c r="L338" s="13"/>
      <c r="M338" s="557"/>
      <c r="N338" s="460"/>
      <c r="O338" s="783"/>
      <c r="P338" s="460"/>
    </row>
    <row r="339" spans="1:16">
      <c r="A339" s="14"/>
      <c r="B339" s="15"/>
      <c r="C339" s="16"/>
      <c r="D339" s="17"/>
      <c r="E339" s="12"/>
      <c r="F339" s="18"/>
      <c r="G339" s="19"/>
      <c r="H339" s="13"/>
      <c r="I339" s="19"/>
      <c r="J339" s="13"/>
      <c r="K339" s="19"/>
      <c r="L339" s="13"/>
      <c r="M339" s="557"/>
      <c r="N339" s="460"/>
      <c r="O339" s="783"/>
      <c r="P339" s="460"/>
    </row>
    <row r="340" spans="1:16">
      <c r="A340" s="14"/>
      <c r="B340" s="15"/>
      <c r="C340" s="16"/>
      <c r="D340" s="17"/>
      <c r="E340" s="12"/>
      <c r="F340" s="18"/>
      <c r="G340" s="19"/>
      <c r="H340" s="13"/>
      <c r="I340" s="19"/>
      <c r="J340" s="13"/>
      <c r="K340" s="19"/>
      <c r="L340" s="13"/>
      <c r="M340" s="557"/>
      <c r="N340" s="460"/>
      <c r="O340" s="783"/>
      <c r="P340" s="460"/>
    </row>
    <row r="341" spans="1:16">
      <c r="A341" s="14"/>
      <c r="B341" s="15"/>
      <c r="C341" s="16"/>
      <c r="D341" s="17"/>
      <c r="E341" s="12"/>
      <c r="F341" s="18"/>
      <c r="G341" s="19"/>
      <c r="H341" s="13"/>
      <c r="I341" s="19"/>
      <c r="J341" s="13"/>
      <c r="K341" s="19"/>
      <c r="L341" s="13"/>
      <c r="M341" s="557"/>
      <c r="N341" s="460"/>
      <c r="O341" s="783"/>
      <c r="P341" s="460"/>
    </row>
    <row r="342" spans="1:16">
      <c r="A342" s="14"/>
      <c r="B342" s="15"/>
      <c r="C342" s="16"/>
      <c r="D342" s="17"/>
      <c r="E342" s="12"/>
      <c r="F342" s="18"/>
      <c r="G342" s="19"/>
      <c r="H342" s="13"/>
      <c r="I342" s="19"/>
      <c r="J342" s="13"/>
      <c r="K342" s="19"/>
      <c r="L342" s="13"/>
      <c r="M342" s="557"/>
      <c r="N342" s="460"/>
      <c r="O342" s="783"/>
      <c r="P342" s="460"/>
    </row>
    <row r="343" spans="1:16">
      <c r="A343" s="14"/>
      <c r="B343" s="15"/>
      <c r="C343" s="16"/>
      <c r="D343" s="17"/>
      <c r="E343" s="12"/>
      <c r="F343" s="18"/>
      <c r="G343" s="19"/>
      <c r="H343" s="13"/>
      <c r="I343" s="19"/>
      <c r="J343" s="13"/>
      <c r="K343" s="19"/>
      <c r="L343" s="13"/>
      <c r="M343" s="557"/>
      <c r="N343" s="460"/>
      <c r="O343" s="783"/>
      <c r="P343" s="460"/>
    </row>
    <row r="344" spans="1:16">
      <c r="A344" s="14"/>
      <c r="B344" s="15"/>
      <c r="C344" s="16"/>
      <c r="D344" s="17"/>
      <c r="E344" s="12"/>
      <c r="F344" s="18"/>
      <c r="G344" s="19"/>
      <c r="H344" s="13"/>
      <c r="I344" s="19"/>
      <c r="J344" s="13"/>
      <c r="K344" s="19"/>
      <c r="L344" s="13"/>
      <c r="M344" s="557"/>
      <c r="N344" s="460"/>
      <c r="O344" s="783"/>
      <c r="P344" s="460"/>
    </row>
    <row r="345" spans="1:16">
      <c r="A345" s="14"/>
      <c r="B345" s="15"/>
      <c r="C345" s="16"/>
      <c r="D345" s="17"/>
      <c r="E345" s="12"/>
      <c r="F345" s="18"/>
      <c r="G345" s="19"/>
      <c r="H345" s="13"/>
      <c r="I345" s="19"/>
      <c r="J345" s="13"/>
      <c r="K345" s="19"/>
      <c r="L345" s="13"/>
      <c r="M345" s="557"/>
      <c r="N345" s="460"/>
      <c r="O345" s="783"/>
      <c r="P345" s="460"/>
    </row>
    <row r="346" spans="1:16">
      <c r="A346" s="14"/>
      <c r="B346" s="15"/>
      <c r="C346" s="16"/>
      <c r="D346" s="17"/>
      <c r="E346" s="12"/>
      <c r="F346" s="18"/>
      <c r="G346" s="19"/>
      <c r="H346" s="13"/>
      <c r="I346" s="19"/>
      <c r="J346" s="13"/>
      <c r="K346" s="19"/>
      <c r="L346" s="13"/>
      <c r="M346" s="557"/>
      <c r="N346" s="460"/>
      <c r="O346" s="783"/>
      <c r="P346" s="460"/>
    </row>
    <row r="347" spans="1:16">
      <c r="A347" s="14"/>
      <c r="B347" s="15"/>
      <c r="C347" s="16"/>
      <c r="D347" s="17"/>
      <c r="E347" s="12"/>
      <c r="F347" s="18"/>
      <c r="G347" s="19"/>
      <c r="H347" s="13"/>
      <c r="I347" s="19"/>
      <c r="J347" s="13"/>
      <c r="K347" s="19"/>
      <c r="L347" s="13"/>
      <c r="M347" s="557"/>
      <c r="N347" s="460"/>
      <c r="O347" s="783"/>
      <c r="P347" s="460"/>
    </row>
    <row r="348" spans="1:16">
      <c r="A348" s="14"/>
      <c r="B348" s="15"/>
      <c r="C348" s="16"/>
      <c r="D348" s="17"/>
      <c r="E348" s="12"/>
      <c r="F348" s="18"/>
      <c r="G348" s="19"/>
      <c r="H348" s="13"/>
      <c r="I348" s="19"/>
      <c r="J348" s="13"/>
      <c r="K348" s="19"/>
      <c r="L348" s="13"/>
      <c r="M348" s="557"/>
      <c r="N348" s="460"/>
      <c r="O348" s="783"/>
      <c r="P348" s="460"/>
    </row>
    <row r="349" spans="1:16">
      <c r="A349" s="14"/>
      <c r="B349" s="15"/>
      <c r="C349" s="16"/>
      <c r="D349" s="17"/>
      <c r="E349" s="12"/>
      <c r="F349" s="18"/>
      <c r="G349" s="19"/>
      <c r="H349" s="13"/>
      <c r="I349" s="19"/>
      <c r="J349" s="13"/>
      <c r="K349" s="19"/>
      <c r="L349" s="13"/>
      <c r="M349" s="557"/>
      <c r="N349" s="460"/>
      <c r="O349" s="783"/>
      <c r="P349" s="460"/>
    </row>
    <row r="350" spans="1:16">
      <c r="A350" s="14"/>
      <c r="B350" s="15"/>
      <c r="C350" s="16"/>
      <c r="D350" s="17"/>
      <c r="E350" s="12"/>
      <c r="F350" s="18"/>
      <c r="G350" s="19"/>
      <c r="H350" s="13"/>
      <c r="I350" s="19"/>
      <c r="J350" s="13"/>
      <c r="K350" s="19"/>
      <c r="L350" s="13"/>
      <c r="M350" s="557"/>
      <c r="N350" s="460"/>
      <c r="O350" s="783"/>
      <c r="P350" s="460"/>
    </row>
    <row r="351" spans="1:16">
      <c r="A351" s="14"/>
      <c r="B351" s="15"/>
      <c r="C351" s="16"/>
      <c r="D351" s="17"/>
      <c r="E351" s="12"/>
      <c r="F351" s="18"/>
      <c r="G351" s="19"/>
      <c r="H351" s="13"/>
      <c r="I351" s="19"/>
      <c r="J351" s="13"/>
      <c r="K351" s="19"/>
      <c r="L351" s="13"/>
      <c r="M351" s="557"/>
      <c r="N351" s="460"/>
      <c r="O351" s="783"/>
      <c r="P351" s="460"/>
    </row>
    <row r="352" spans="1:16">
      <c r="A352" s="14"/>
      <c r="B352" s="15"/>
      <c r="C352" s="16"/>
      <c r="D352" s="17"/>
      <c r="E352" s="12"/>
      <c r="F352" s="18"/>
      <c r="G352" s="19"/>
      <c r="H352" s="13"/>
      <c r="I352" s="19"/>
      <c r="J352" s="13"/>
      <c r="K352" s="19"/>
      <c r="L352" s="13"/>
      <c r="M352" s="557"/>
      <c r="N352" s="460"/>
      <c r="O352" s="783"/>
      <c r="P352" s="460"/>
    </row>
    <row r="353" spans="1:16">
      <c r="A353" s="14"/>
      <c r="B353" s="15"/>
      <c r="C353" s="16"/>
      <c r="D353" s="17"/>
      <c r="E353" s="12"/>
      <c r="F353" s="18"/>
      <c r="G353" s="19"/>
      <c r="H353" s="13"/>
      <c r="I353" s="19"/>
      <c r="J353" s="13"/>
      <c r="K353" s="19"/>
      <c r="L353" s="13"/>
      <c r="M353" s="557"/>
      <c r="N353" s="460"/>
      <c r="O353" s="783"/>
      <c r="P353" s="460"/>
    </row>
    <row r="354" spans="1:16">
      <c r="A354" s="14"/>
      <c r="B354" s="15"/>
      <c r="C354" s="16"/>
      <c r="D354" s="17"/>
      <c r="E354" s="12"/>
      <c r="F354" s="18"/>
      <c r="G354" s="19"/>
      <c r="H354" s="13"/>
      <c r="I354" s="19"/>
      <c r="J354" s="13"/>
      <c r="K354" s="19"/>
      <c r="L354" s="13"/>
      <c r="M354" s="557"/>
      <c r="N354" s="460"/>
      <c r="O354" s="783"/>
      <c r="P354" s="460"/>
    </row>
    <row r="355" spans="1:16">
      <c r="A355" s="14"/>
      <c r="B355" s="15"/>
      <c r="C355" s="16"/>
      <c r="D355" s="17"/>
      <c r="E355" s="12"/>
      <c r="F355" s="18"/>
      <c r="G355" s="19"/>
      <c r="H355" s="13"/>
      <c r="I355" s="19"/>
      <c r="J355" s="13"/>
      <c r="K355" s="19"/>
      <c r="L355" s="13"/>
      <c r="M355" s="557"/>
      <c r="N355" s="460"/>
      <c r="O355" s="783"/>
      <c r="P355" s="460"/>
    </row>
    <row r="356" spans="1:16">
      <c r="A356" s="14"/>
      <c r="B356" s="15"/>
      <c r="C356" s="16"/>
      <c r="D356" s="17"/>
      <c r="E356" s="12"/>
      <c r="F356" s="18"/>
      <c r="G356" s="19"/>
      <c r="H356" s="13"/>
      <c r="I356" s="19"/>
      <c r="J356" s="13"/>
      <c r="K356" s="19"/>
      <c r="L356" s="13"/>
      <c r="M356" s="557"/>
      <c r="N356" s="460"/>
      <c r="O356" s="783"/>
      <c r="P356" s="460"/>
    </row>
    <row r="357" spans="1:16">
      <c r="A357" s="14"/>
      <c r="B357" s="15"/>
      <c r="C357" s="16"/>
      <c r="D357" s="17"/>
      <c r="E357" s="12"/>
      <c r="F357" s="18"/>
      <c r="G357" s="19"/>
      <c r="H357" s="13"/>
      <c r="I357" s="19"/>
      <c r="J357" s="13"/>
      <c r="K357" s="19"/>
      <c r="L357" s="13"/>
      <c r="M357" s="557"/>
      <c r="N357" s="460"/>
      <c r="O357" s="783"/>
      <c r="P357" s="460"/>
    </row>
    <row r="358" spans="1:16">
      <c r="A358" s="14"/>
      <c r="B358" s="15"/>
      <c r="C358" s="16"/>
      <c r="D358" s="17"/>
      <c r="E358" s="12"/>
      <c r="F358" s="18"/>
      <c r="G358" s="19"/>
      <c r="H358" s="13"/>
      <c r="I358" s="19"/>
      <c r="J358" s="13"/>
      <c r="K358" s="19"/>
      <c r="L358" s="13"/>
      <c r="M358" s="557"/>
      <c r="N358" s="460"/>
      <c r="O358" s="783"/>
      <c r="P358" s="460"/>
    </row>
    <row r="359" spans="1:16">
      <c r="A359" s="14"/>
      <c r="B359" s="15"/>
      <c r="C359" s="16"/>
      <c r="D359" s="17"/>
      <c r="E359" s="12"/>
      <c r="F359" s="18"/>
      <c r="G359" s="19"/>
      <c r="H359" s="13"/>
      <c r="I359" s="19"/>
      <c r="J359" s="13"/>
      <c r="K359" s="19"/>
      <c r="L359" s="13"/>
      <c r="M359" s="557"/>
      <c r="N359" s="460"/>
      <c r="O359" s="783"/>
      <c r="P359" s="460"/>
    </row>
    <row r="360" spans="1:16">
      <c r="A360" s="14"/>
      <c r="B360" s="15"/>
      <c r="C360" s="16"/>
      <c r="D360" s="17"/>
      <c r="E360" s="12"/>
      <c r="F360" s="18"/>
      <c r="G360" s="19"/>
      <c r="H360" s="13"/>
      <c r="I360" s="19"/>
      <c r="J360" s="13"/>
      <c r="K360" s="19"/>
      <c r="L360" s="13"/>
      <c r="M360" s="557"/>
      <c r="N360" s="460"/>
      <c r="O360" s="783"/>
      <c r="P360" s="460"/>
    </row>
    <row r="361" spans="1:16">
      <c r="A361" s="14"/>
      <c r="B361" s="15"/>
      <c r="C361" s="16"/>
      <c r="D361" s="17"/>
      <c r="E361" s="12"/>
      <c r="F361" s="18"/>
      <c r="G361" s="19"/>
      <c r="H361" s="13"/>
      <c r="I361" s="19"/>
      <c r="J361" s="13"/>
      <c r="K361" s="19"/>
      <c r="L361" s="13"/>
      <c r="M361" s="557"/>
      <c r="N361" s="460"/>
      <c r="O361" s="783"/>
      <c r="P361" s="460"/>
    </row>
    <row r="362" spans="1:16">
      <c r="A362" s="14"/>
      <c r="B362" s="15"/>
      <c r="C362" s="16"/>
      <c r="D362" s="17"/>
      <c r="E362" s="12"/>
      <c r="F362" s="18"/>
      <c r="G362" s="19"/>
      <c r="H362" s="13"/>
      <c r="I362" s="19"/>
      <c r="J362" s="13"/>
      <c r="K362" s="19"/>
      <c r="L362" s="13"/>
      <c r="M362" s="557"/>
      <c r="N362" s="460"/>
      <c r="O362" s="783"/>
      <c r="P362" s="460"/>
    </row>
    <row r="363" spans="1:16">
      <c r="A363" s="14"/>
      <c r="B363" s="15"/>
      <c r="C363" s="16"/>
      <c r="D363" s="17"/>
      <c r="E363" s="12"/>
      <c r="F363" s="18"/>
      <c r="G363" s="19"/>
      <c r="H363" s="13"/>
      <c r="I363" s="19"/>
      <c r="J363" s="13"/>
      <c r="K363" s="19"/>
      <c r="L363" s="13"/>
      <c r="M363" s="557"/>
      <c r="N363" s="460"/>
      <c r="O363" s="783"/>
      <c r="P363" s="460"/>
    </row>
    <row r="364" spans="1:16">
      <c r="A364" s="14"/>
      <c r="B364" s="15"/>
      <c r="C364" s="16"/>
      <c r="D364" s="17"/>
      <c r="E364" s="12"/>
      <c r="F364" s="18"/>
      <c r="G364" s="19"/>
      <c r="H364" s="13"/>
      <c r="I364" s="19"/>
      <c r="J364" s="13"/>
      <c r="K364" s="19"/>
      <c r="L364" s="13"/>
      <c r="M364" s="557"/>
      <c r="N364" s="460"/>
      <c r="O364" s="783"/>
      <c r="P364" s="460"/>
    </row>
    <row r="365" spans="1:16">
      <c r="A365" s="14"/>
      <c r="B365" s="15"/>
      <c r="C365" s="16"/>
      <c r="D365" s="17"/>
      <c r="E365" s="12"/>
      <c r="F365" s="18"/>
      <c r="G365" s="19"/>
      <c r="H365" s="13"/>
      <c r="I365" s="19"/>
      <c r="J365" s="13"/>
      <c r="K365" s="19"/>
      <c r="L365" s="13"/>
      <c r="M365" s="557"/>
      <c r="N365" s="460"/>
      <c r="O365" s="783"/>
      <c r="P365" s="460"/>
    </row>
    <row r="366" spans="1:16">
      <c r="A366" s="14"/>
      <c r="B366" s="15"/>
      <c r="C366" s="16"/>
      <c r="D366" s="17"/>
      <c r="E366" s="12"/>
      <c r="F366" s="18"/>
      <c r="G366" s="19"/>
      <c r="H366" s="13"/>
      <c r="I366" s="19"/>
      <c r="J366" s="13"/>
      <c r="K366" s="19"/>
      <c r="L366" s="13"/>
      <c r="M366" s="557"/>
      <c r="N366" s="460"/>
      <c r="O366" s="783"/>
      <c r="P366" s="460"/>
    </row>
    <row r="367" spans="1:16">
      <c r="A367" s="14"/>
      <c r="B367" s="15"/>
      <c r="C367" s="16"/>
      <c r="D367" s="17"/>
      <c r="E367" s="12"/>
      <c r="F367" s="18"/>
      <c r="G367" s="19"/>
      <c r="H367" s="13"/>
      <c r="I367" s="19"/>
      <c r="J367" s="13"/>
      <c r="K367" s="19"/>
      <c r="L367" s="13"/>
      <c r="M367" s="557"/>
      <c r="N367" s="460"/>
      <c r="O367" s="783"/>
      <c r="P367" s="460"/>
    </row>
    <row r="368" spans="1:16">
      <c r="A368" s="14"/>
      <c r="B368" s="15"/>
      <c r="C368" s="16"/>
      <c r="D368" s="17"/>
      <c r="E368" s="12"/>
      <c r="F368" s="18"/>
      <c r="G368" s="19"/>
      <c r="H368" s="13"/>
      <c r="I368" s="19"/>
      <c r="J368" s="13"/>
      <c r="K368" s="19"/>
      <c r="L368" s="13"/>
      <c r="M368" s="557"/>
      <c r="N368" s="460"/>
      <c r="O368" s="783"/>
      <c r="P368" s="460"/>
    </row>
    <row r="369" spans="1:16">
      <c r="A369" s="14"/>
      <c r="B369" s="15"/>
      <c r="C369" s="16"/>
      <c r="D369" s="17"/>
      <c r="E369" s="12"/>
      <c r="F369" s="18"/>
      <c r="G369" s="19"/>
      <c r="H369" s="13"/>
      <c r="I369" s="19"/>
      <c r="J369" s="13"/>
      <c r="K369" s="19"/>
      <c r="L369" s="13"/>
      <c r="M369" s="557"/>
      <c r="N369" s="460"/>
      <c r="O369" s="783"/>
      <c r="P369" s="460"/>
    </row>
    <row r="370" spans="1:16">
      <c r="A370" s="14"/>
      <c r="B370" s="15"/>
      <c r="C370" s="16"/>
      <c r="D370" s="17"/>
      <c r="E370" s="12"/>
      <c r="F370" s="18"/>
      <c r="G370" s="19"/>
      <c r="H370" s="13"/>
      <c r="I370" s="19"/>
      <c r="J370" s="13"/>
      <c r="K370" s="19"/>
      <c r="L370" s="13"/>
      <c r="M370" s="557"/>
      <c r="N370" s="460"/>
      <c r="O370" s="783"/>
      <c r="P370" s="460"/>
    </row>
    <row r="371" spans="1:16">
      <c r="A371" s="14"/>
      <c r="B371" s="15"/>
      <c r="C371" s="16"/>
      <c r="D371" s="17"/>
      <c r="E371" s="12"/>
      <c r="F371" s="18"/>
      <c r="G371" s="19"/>
      <c r="H371" s="13"/>
      <c r="I371" s="19"/>
      <c r="J371" s="13"/>
      <c r="K371" s="19"/>
      <c r="L371" s="13"/>
      <c r="M371" s="557"/>
      <c r="N371" s="460"/>
      <c r="O371" s="783"/>
      <c r="P371" s="460"/>
    </row>
    <row r="372" spans="1:16">
      <c r="A372" s="14"/>
      <c r="B372" s="15"/>
      <c r="C372" s="16"/>
      <c r="D372" s="17"/>
      <c r="E372" s="12"/>
      <c r="F372" s="18"/>
      <c r="G372" s="19"/>
      <c r="H372" s="13"/>
      <c r="I372" s="19"/>
      <c r="J372" s="13"/>
      <c r="K372" s="19"/>
      <c r="L372" s="13"/>
      <c r="M372" s="557"/>
      <c r="N372" s="460"/>
      <c r="O372" s="783"/>
      <c r="P372" s="460"/>
    </row>
    <row r="373" spans="1:16">
      <c r="A373" s="14"/>
      <c r="B373" s="15"/>
      <c r="C373" s="16"/>
      <c r="D373" s="17"/>
      <c r="E373" s="12"/>
      <c r="F373" s="18"/>
      <c r="G373" s="19"/>
      <c r="H373" s="13"/>
      <c r="I373" s="19"/>
      <c r="J373" s="13"/>
      <c r="K373" s="19"/>
      <c r="L373" s="13"/>
      <c r="M373" s="557"/>
      <c r="N373" s="460"/>
      <c r="O373" s="783"/>
      <c r="P373" s="460"/>
    </row>
    <row r="374" spans="1:16">
      <c r="A374" s="14"/>
      <c r="B374" s="15"/>
      <c r="C374" s="16"/>
      <c r="D374" s="17"/>
      <c r="E374" s="12"/>
      <c r="F374" s="18"/>
      <c r="G374" s="19"/>
      <c r="H374" s="13"/>
      <c r="I374" s="19"/>
      <c r="J374" s="13"/>
      <c r="K374" s="19"/>
      <c r="L374" s="13"/>
      <c r="M374" s="557"/>
      <c r="N374" s="460"/>
      <c r="O374" s="783"/>
      <c r="P374" s="460"/>
    </row>
    <row r="375" spans="1:16">
      <c r="A375" s="14"/>
      <c r="B375" s="15"/>
      <c r="C375" s="16"/>
      <c r="D375" s="17"/>
      <c r="E375" s="12"/>
      <c r="F375" s="18"/>
      <c r="G375" s="19"/>
      <c r="H375" s="13"/>
      <c r="I375" s="19"/>
      <c r="J375" s="13"/>
      <c r="K375" s="19"/>
      <c r="L375" s="13"/>
      <c r="M375" s="557"/>
      <c r="N375" s="460"/>
      <c r="O375" s="783"/>
      <c r="P375" s="460"/>
    </row>
    <row r="376" spans="1:16">
      <c r="A376" s="14"/>
      <c r="B376" s="15"/>
      <c r="C376" s="16"/>
      <c r="D376" s="17"/>
      <c r="E376" s="12"/>
      <c r="F376" s="18"/>
      <c r="G376" s="19"/>
      <c r="H376" s="13"/>
      <c r="I376" s="19"/>
      <c r="J376" s="13"/>
      <c r="K376" s="19"/>
      <c r="L376" s="13"/>
      <c r="M376" s="557"/>
      <c r="N376" s="460"/>
      <c r="O376" s="783"/>
      <c r="P376" s="460"/>
    </row>
    <row r="377" spans="1:16">
      <c r="A377" s="14"/>
      <c r="B377" s="15"/>
      <c r="C377" s="16"/>
      <c r="D377" s="17"/>
      <c r="E377" s="12"/>
      <c r="F377" s="18"/>
      <c r="G377" s="19"/>
      <c r="H377" s="13"/>
      <c r="I377" s="19"/>
      <c r="J377" s="13"/>
      <c r="K377" s="19"/>
      <c r="L377" s="13"/>
      <c r="M377" s="557"/>
      <c r="N377" s="460"/>
      <c r="O377" s="783"/>
      <c r="P377" s="460"/>
    </row>
    <row r="378" spans="1:16">
      <c r="A378" s="14"/>
      <c r="B378" s="15"/>
      <c r="C378" s="16"/>
      <c r="D378" s="17"/>
      <c r="E378" s="12"/>
      <c r="F378" s="18"/>
      <c r="G378" s="19"/>
      <c r="H378" s="13"/>
      <c r="I378" s="19"/>
      <c r="J378" s="13"/>
      <c r="K378" s="19"/>
      <c r="L378" s="13"/>
      <c r="M378" s="557"/>
      <c r="N378" s="460"/>
      <c r="O378" s="783"/>
      <c r="P378" s="460"/>
    </row>
    <row r="379" spans="1:16">
      <c r="A379" s="14"/>
      <c r="B379" s="15"/>
      <c r="C379" s="16"/>
      <c r="D379" s="17"/>
      <c r="E379" s="12"/>
      <c r="F379" s="18"/>
      <c r="G379" s="19"/>
      <c r="H379" s="13"/>
      <c r="I379" s="19"/>
      <c r="J379" s="13"/>
      <c r="K379" s="19"/>
      <c r="L379" s="13"/>
      <c r="M379" s="557"/>
      <c r="N379" s="460"/>
      <c r="O379" s="783"/>
      <c r="P379" s="460"/>
    </row>
    <row r="380" spans="1:16">
      <c r="A380" s="14"/>
      <c r="B380" s="15"/>
      <c r="C380" s="16"/>
      <c r="D380" s="17"/>
      <c r="E380" s="12"/>
      <c r="F380" s="18"/>
      <c r="G380" s="19"/>
      <c r="H380" s="13"/>
      <c r="I380" s="19"/>
      <c r="J380" s="13"/>
      <c r="K380" s="19"/>
      <c r="L380" s="13"/>
      <c r="M380" s="557"/>
      <c r="N380" s="460"/>
      <c r="O380" s="783"/>
      <c r="P380" s="460"/>
    </row>
    <row r="381" spans="1:16">
      <c r="A381" s="14"/>
      <c r="B381" s="15"/>
      <c r="C381" s="16"/>
      <c r="D381" s="17"/>
      <c r="E381" s="12"/>
      <c r="F381" s="18"/>
      <c r="G381" s="19"/>
      <c r="H381" s="13"/>
      <c r="I381" s="19"/>
      <c r="J381" s="13"/>
      <c r="K381" s="19"/>
      <c r="L381" s="13"/>
      <c r="M381" s="557"/>
      <c r="N381" s="460"/>
      <c r="O381" s="783"/>
      <c r="P381" s="460"/>
    </row>
    <row r="382" spans="1:16">
      <c r="A382" s="14"/>
      <c r="B382" s="15"/>
      <c r="C382" s="16"/>
      <c r="D382" s="17"/>
      <c r="E382" s="12"/>
      <c r="F382" s="18"/>
      <c r="G382" s="19"/>
      <c r="H382" s="13"/>
      <c r="I382" s="19"/>
      <c r="J382" s="13"/>
      <c r="K382" s="19"/>
      <c r="L382" s="13"/>
      <c r="M382" s="557"/>
      <c r="N382" s="460"/>
      <c r="O382" s="783"/>
      <c r="P382" s="460"/>
    </row>
    <row r="383" spans="1:16">
      <c r="A383" s="14"/>
      <c r="B383" s="15"/>
      <c r="C383" s="16"/>
      <c r="D383" s="17"/>
      <c r="E383" s="12"/>
      <c r="F383" s="18"/>
      <c r="G383" s="19"/>
      <c r="H383" s="13"/>
      <c r="I383" s="19"/>
      <c r="J383" s="13"/>
      <c r="K383" s="19"/>
      <c r="L383" s="13"/>
      <c r="M383" s="557"/>
      <c r="N383" s="460"/>
      <c r="O383" s="783"/>
      <c r="P383" s="460"/>
    </row>
    <row r="384" spans="1:16">
      <c r="A384" s="14"/>
      <c r="B384" s="15"/>
      <c r="C384" s="16"/>
      <c r="D384" s="17"/>
      <c r="E384" s="12"/>
      <c r="F384" s="18"/>
      <c r="G384" s="19"/>
      <c r="H384" s="13"/>
      <c r="I384" s="19"/>
      <c r="J384" s="13"/>
      <c r="K384" s="19"/>
      <c r="L384" s="13"/>
      <c r="M384" s="557"/>
      <c r="N384" s="460"/>
      <c r="O384" s="783"/>
      <c r="P384" s="460"/>
    </row>
    <row r="385" spans="1:16">
      <c r="A385" s="14"/>
      <c r="B385" s="15"/>
      <c r="C385" s="16"/>
      <c r="D385" s="17"/>
      <c r="E385" s="12"/>
      <c r="F385" s="18"/>
      <c r="G385" s="19"/>
      <c r="H385" s="13"/>
      <c r="I385" s="19"/>
      <c r="J385" s="13"/>
      <c r="K385" s="19"/>
      <c r="L385" s="13"/>
      <c r="M385" s="557"/>
      <c r="N385" s="460"/>
      <c r="O385" s="783"/>
      <c r="P385" s="460"/>
    </row>
    <row r="386" spans="1:16">
      <c r="A386" s="14"/>
      <c r="B386" s="15"/>
      <c r="C386" s="16"/>
      <c r="D386" s="17"/>
      <c r="E386" s="12"/>
      <c r="F386" s="18"/>
      <c r="G386" s="19"/>
      <c r="H386" s="13"/>
      <c r="I386" s="19"/>
      <c r="J386" s="13"/>
      <c r="K386" s="19"/>
      <c r="L386" s="13"/>
      <c r="M386" s="557"/>
      <c r="N386" s="460"/>
      <c r="O386" s="783"/>
      <c r="P386" s="460"/>
    </row>
    <row r="387" spans="1:16">
      <c r="A387" s="14"/>
      <c r="B387" s="15"/>
      <c r="C387" s="16"/>
      <c r="D387" s="17"/>
      <c r="E387" s="12"/>
      <c r="F387" s="18"/>
      <c r="G387" s="19"/>
      <c r="H387" s="13"/>
      <c r="I387" s="19"/>
      <c r="J387" s="13"/>
      <c r="K387" s="19"/>
      <c r="L387" s="13"/>
      <c r="M387" s="557"/>
      <c r="N387" s="460"/>
      <c r="O387" s="783"/>
      <c r="P387" s="460"/>
    </row>
    <row r="388" spans="1:16">
      <c r="A388" s="14"/>
      <c r="B388" s="15"/>
      <c r="C388" s="16"/>
      <c r="D388" s="17"/>
      <c r="E388" s="12"/>
      <c r="F388" s="18"/>
      <c r="G388" s="19"/>
      <c r="H388" s="13"/>
      <c r="I388" s="19"/>
      <c r="J388" s="13"/>
      <c r="K388" s="19"/>
      <c r="L388" s="13"/>
      <c r="M388" s="557"/>
      <c r="N388" s="460"/>
      <c r="O388" s="783"/>
      <c r="P388" s="460"/>
    </row>
    <row r="389" spans="1:16">
      <c r="A389" s="14"/>
      <c r="B389" s="15"/>
      <c r="C389" s="16"/>
      <c r="D389" s="17"/>
      <c r="E389" s="12"/>
      <c r="F389" s="18"/>
      <c r="G389" s="19"/>
      <c r="H389" s="13"/>
      <c r="I389" s="19"/>
      <c r="J389" s="13"/>
      <c r="K389" s="19"/>
      <c r="L389" s="13"/>
      <c r="M389" s="557"/>
      <c r="N389" s="460"/>
      <c r="O389" s="783"/>
      <c r="P389" s="460"/>
    </row>
    <row r="390" spans="1:16">
      <c r="A390" s="14"/>
      <c r="B390" s="15"/>
      <c r="C390" s="16"/>
      <c r="D390" s="17"/>
      <c r="E390" s="12"/>
      <c r="F390" s="18"/>
      <c r="G390" s="19"/>
      <c r="H390" s="13"/>
      <c r="I390" s="19"/>
      <c r="J390" s="13"/>
      <c r="K390" s="19"/>
      <c r="L390" s="13"/>
      <c r="M390" s="557"/>
      <c r="N390" s="460"/>
      <c r="O390" s="783"/>
      <c r="P390" s="460"/>
    </row>
    <row r="391" spans="1:16">
      <c r="A391" s="14"/>
      <c r="B391" s="15"/>
      <c r="C391" s="16"/>
      <c r="D391" s="17"/>
      <c r="E391" s="12"/>
      <c r="F391" s="18"/>
      <c r="G391" s="19"/>
      <c r="H391" s="13"/>
      <c r="I391" s="19"/>
      <c r="J391" s="13"/>
      <c r="K391" s="19"/>
      <c r="L391" s="13"/>
      <c r="M391" s="557"/>
      <c r="N391" s="460"/>
      <c r="O391" s="783"/>
      <c r="P391" s="460"/>
    </row>
    <row r="392" spans="1:16">
      <c r="A392" s="14"/>
      <c r="B392" s="15"/>
      <c r="C392" s="16"/>
      <c r="D392" s="17"/>
      <c r="E392" s="12"/>
      <c r="F392" s="18"/>
      <c r="G392" s="19"/>
      <c r="H392" s="13"/>
      <c r="I392" s="19"/>
      <c r="J392" s="13"/>
      <c r="K392" s="19"/>
      <c r="L392" s="13"/>
      <c r="M392" s="557"/>
      <c r="N392" s="460"/>
      <c r="O392" s="783"/>
      <c r="P392" s="460"/>
    </row>
    <row r="393" spans="1:16">
      <c r="A393" s="14"/>
      <c r="B393" s="15"/>
      <c r="C393" s="16"/>
      <c r="D393" s="17"/>
      <c r="E393" s="12"/>
      <c r="F393" s="18"/>
      <c r="G393" s="19"/>
      <c r="H393" s="13"/>
      <c r="I393" s="19"/>
      <c r="J393" s="13"/>
      <c r="K393" s="19"/>
      <c r="L393" s="13"/>
      <c r="M393" s="557"/>
      <c r="N393" s="460"/>
      <c r="O393" s="783"/>
      <c r="P393" s="460"/>
    </row>
    <row r="394" spans="1:16">
      <c r="A394" s="14"/>
      <c r="B394" s="15"/>
      <c r="C394" s="16"/>
      <c r="D394" s="17"/>
      <c r="E394" s="12"/>
      <c r="F394" s="18"/>
      <c r="G394" s="19"/>
      <c r="H394" s="13"/>
      <c r="I394" s="19"/>
      <c r="J394" s="13"/>
      <c r="K394" s="19"/>
      <c r="L394" s="13"/>
      <c r="M394" s="557"/>
      <c r="N394" s="460"/>
      <c r="O394" s="783"/>
      <c r="P394" s="460"/>
    </row>
    <row r="395" spans="1:16">
      <c r="A395" s="14"/>
      <c r="B395" s="15"/>
      <c r="C395" s="16"/>
      <c r="D395" s="17"/>
      <c r="E395" s="12"/>
      <c r="F395" s="18"/>
      <c r="G395" s="19"/>
      <c r="H395" s="13"/>
      <c r="I395" s="19"/>
      <c r="J395" s="13"/>
      <c r="K395" s="19"/>
      <c r="L395" s="13"/>
      <c r="M395" s="557"/>
      <c r="N395" s="460"/>
      <c r="O395" s="783"/>
      <c r="P395" s="460"/>
    </row>
    <row r="396" spans="1:16">
      <c r="A396" s="14"/>
      <c r="B396" s="15"/>
      <c r="C396" s="16"/>
      <c r="D396" s="17"/>
      <c r="E396" s="12"/>
      <c r="F396" s="18"/>
      <c r="G396" s="19"/>
      <c r="H396" s="13"/>
      <c r="I396" s="19"/>
      <c r="J396" s="13"/>
      <c r="K396" s="19"/>
      <c r="L396" s="13"/>
      <c r="M396" s="557"/>
      <c r="N396" s="460"/>
      <c r="O396" s="783"/>
      <c r="P396" s="460"/>
    </row>
    <row r="397" spans="1:16">
      <c r="A397" s="14"/>
      <c r="B397" s="15"/>
      <c r="C397" s="16"/>
      <c r="D397" s="17"/>
      <c r="E397" s="12"/>
      <c r="F397" s="18"/>
      <c r="G397" s="19"/>
      <c r="H397" s="13"/>
      <c r="I397" s="19"/>
      <c r="J397" s="13"/>
      <c r="K397" s="19"/>
      <c r="L397" s="13"/>
      <c r="M397" s="557"/>
      <c r="N397" s="460"/>
      <c r="O397" s="783"/>
      <c r="P397" s="460"/>
    </row>
    <row r="398" spans="1:16">
      <c r="A398" s="14"/>
      <c r="B398" s="15"/>
      <c r="C398" s="16"/>
      <c r="D398" s="17"/>
      <c r="E398" s="12"/>
      <c r="F398" s="18"/>
      <c r="G398" s="19"/>
      <c r="H398" s="13"/>
      <c r="I398" s="19"/>
      <c r="J398" s="13"/>
      <c r="K398" s="19"/>
      <c r="L398" s="13"/>
      <c r="M398" s="557"/>
      <c r="N398" s="460"/>
      <c r="O398" s="783"/>
      <c r="P398" s="460"/>
    </row>
    <row r="399" spans="1:16">
      <c r="A399" s="14"/>
      <c r="B399" s="15"/>
      <c r="C399" s="16"/>
      <c r="D399" s="17"/>
      <c r="E399" s="12"/>
      <c r="F399" s="18"/>
      <c r="G399" s="19"/>
      <c r="H399" s="13"/>
      <c r="I399" s="19"/>
      <c r="J399" s="13"/>
      <c r="K399" s="19"/>
      <c r="L399" s="13"/>
      <c r="M399" s="557"/>
      <c r="N399" s="460"/>
      <c r="O399" s="783"/>
      <c r="P399" s="460"/>
    </row>
    <row r="400" spans="1:16">
      <c r="A400" s="14"/>
      <c r="B400" s="15"/>
      <c r="C400" s="16"/>
      <c r="D400" s="17"/>
      <c r="E400" s="12"/>
      <c r="F400" s="18"/>
      <c r="G400" s="19"/>
      <c r="H400" s="13"/>
      <c r="I400" s="19"/>
      <c r="J400" s="13"/>
      <c r="K400" s="19"/>
      <c r="L400" s="13"/>
      <c r="M400" s="557"/>
      <c r="N400" s="460"/>
      <c r="O400" s="783"/>
      <c r="P400" s="460"/>
    </row>
    <row r="401" spans="1:16">
      <c r="A401" s="14"/>
      <c r="B401" s="15"/>
      <c r="C401" s="16"/>
      <c r="D401" s="17"/>
      <c r="E401" s="12"/>
      <c r="F401" s="18"/>
      <c r="G401" s="19"/>
      <c r="H401" s="13"/>
      <c r="I401" s="19"/>
      <c r="J401" s="13"/>
      <c r="K401" s="19"/>
      <c r="L401" s="13"/>
      <c r="M401" s="557"/>
      <c r="N401" s="460"/>
      <c r="O401" s="783"/>
      <c r="P401" s="460"/>
    </row>
    <row r="402" spans="1:16">
      <c r="A402" s="14"/>
      <c r="B402" s="15"/>
      <c r="C402" s="16"/>
      <c r="D402" s="17"/>
      <c r="E402" s="12"/>
      <c r="F402" s="18"/>
      <c r="G402" s="19"/>
      <c r="H402" s="13"/>
      <c r="I402" s="19"/>
      <c r="J402" s="13"/>
      <c r="K402" s="19"/>
      <c r="L402" s="13"/>
      <c r="M402" s="557"/>
      <c r="N402" s="460"/>
      <c r="O402" s="783"/>
      <c r="P402" s="460"/>
    </row>
    <row r="403" spans="1:16">
      <c r="A403" s="14"/>
      <c r="B403" s="15"/>
      <c r="C403" s="16"/>
      <c r="D403" s="17"/>
      <c r="E403" s="12"/>
      <c r="F403" s="18"/>
      <c r="G403" s="19"/>
      <c r="H403" s="13"/>
      <c r="I403" s="19"/>
      <c r="J403" s="13"/>
      <c r="K403" s="19"/>
      <c r="L403" s="13"/>
      <c r="M403" s="557"/>
      <c r="N403" s="460"/>
      <c r="O403" s="783"/>
      <c r="P403" s="460"/>
    </row>
    <row r="404" spans="1:16">
      <c r="A404" s="14"/>
      <c r="B404" s="15"/>
      <c r="C404" s="16"/>
      <c r="D404" s="17"/>
      <c r="E404" s="12"/>
      <c r="F404" s="18"/>
      <c r="G404" s="19"/>
      <c r="H404" s="13"/>
      <c r="I404" s="19"/>
      <c r="J404" s="13"/>
      <c r="K404" s="19"/>
      <c r="L404" s="13"/>
      <c r="M404" s="557"/>
      <c r="N404" s="460"/>
      <c r="O404" s="783"/>
      <c r="P404" s="460"/>
    </row>
    <row r="405" spans="1:16">
      <c r="A405" s="14"/>
      <c r="B405" s="15"/>
      <c r="C405" s="16"/>
      <c r="D405" s="17"/>
      <c r="E405" s="12"/>
      <c r="F405" s="18"/>
      <c r="G405" s="19"/>
      <c r="H405" s="13"/>
      <c r="I405" s="19"/>
      <c r="J405" s="13"/>
      <c r="K405" s="19"/>
      <c r="L405" s="13"/>
      <c r="M405" s="557"/>
      <c r="N405" s="460"/>
      <c r="O405" s="783"/>
      <c r="P405" s="460"/>
    </row>
    <row r="406" spans="1:16">
      <c r="A406" s="14"/>
      <c r="B406" s="15"/>
      <c r="C406" s="16"/>
      <c r="D406" s="17"/>
      <c r="E406" s="12"/>
      <c r="F406" s="18"/>
      <c r="G406" s="19"/>
      <c r="H406" s="13"/>
      <c r="I406" s="19"/>
      <c r="J406" s="13"/>
      <c r="K406" s="19"/>
      <c r="L406" s="13"/>
      <c r="M406" s="557"/>
      <c r="N406" s="460"/>
      <c r="O406" s="783"/>
      <c r="P406" s="460"/>
    </row>
    <row r="407" spans="1:16">
      <c r="A407" s="14"/>
      <c r="B407" s="15"/>
      <c r="C407" s="16"/>
      <c r="D407" s="17"/>
      <c r="E407" s="12"/>
      <c r="F407" s="18"/>
      <c r="G407" s="19"/>
      <c r="H407" s="13"/>
      <c r="I407" s="19"/>
      <c r="J407" s="13"/>
      <c r="K407" s="19"/>
      <c r="L407" s="13"/>
      <c r="M407" s="557"/>
      <c r="N407" s="460"/>
      <c r="O407" s="783"/>
      <c r="P407" s="460"/>
    </row>
    <row r="408" spans="1:16">
      <c r="A408" s="14"/>
      <c r="B408" s="15"/>
      <c r="C408" s="16"/>
      <c r="D408" s="17"/>
      <c r="E408" s="12"/>
      <c r="F408" s="18"/>
      <c r="G408" s="19"/>
      <c r="H408" s="13"/>
      <c r="I408" s="19"/>
      <c r="J408" s="13"/>
      <c r="K408" s="19"/>
      <c r="L408" s="13"/>
      <c r="M408" s="557"/>
      <c r="N408" s="460"/>
      <c r="O408" s="783"/>
      <c r="P408" s="460"/>
    </row>
    <row r="409" spans="1:16">
      <c r="A409" s="14"/>
      <c r="B409" s="15"/>
      <c r="C409" s="16"/>
      <c r="D409" s="17"/>
      <c r="E409" s="12"/>
      <c r="F409" s="18"/>
      <c r="G409" s="19"/>
      <c r="H409" s="13"/>
      <c r="I409" s="19"/>
      <c r="J409" s="13"/>
      <c r="K409" s="19"/>
      <c r="L409" s="13"/>
      <c r="M409" s="557"/>
      <c r="N409" s="460"/>
      <c r="O409" s="783"/>
      <c r="P409" s="460"/>
    </row>
    <row r="410" spans="1:16">
      <c r="A410" s="14"/>
      <c r="B410" s="15"/>
      <c r="C410" s="16"/>
      <c r="D410" s="17"/>
      <c r="E410" s="12"/>
      <c r="F410" s="18"/>
      <c r="G410" s="19"/>
      <c r="H410" s="13"/>
      <c r="I410" s="19"/>
      <c r="J410" s="13"/>
      <c r="K410" s="19"/>
      <c r="L410" s="13"/>
      <c r="M410" s="557"/>
      <c r="N410" s="460"/>
      <c r="O410" s="783"/>
      <c r="P410" s="460"/>
    </row>
    <row r="411" spans="1:16">
      <c r="A411" s="14"/>
      <c r="B411" s="15"/>
      <c r="C411" s="16"/>
      <c r="D411" s="17"/>
      <c r="E411" s="12"/>
      <c r="F411" s="18"/>
      <c r="G411" s="19"/>
      <c r="H411" s="13"/>
      <c r="I411" s="19"/>
      <c r="J411" s="13"/>
      <c r="K411" s="19"/>
      <c r="L411" s="13"/>
      <c r="M411" s="557"/>
      <c r="N411" s="460"/>
      <c r="O411" s="783"/>
      <c r="P411" s="460"/>
    </row>
    <row r="412" spans="1:16">
      <c r="A412" s="14"/>
      <c r="B412" s="15"/>
      <c r="C412" s="16"/>
      <c r="D412" s="17"/>
      <c r="E412" s="12"/>
      <c r="F412" s="18"/>
      <c r="G412" s="19"/>
      <c r="H412" s="13"/>
      <c r="I412" s="19"/>
      <c r="J412" s="13"/>
      <c r="K412" s="19"/>
      <c r="L412" s="13"/>
      <c r="M412" s="557"/>
      <c r="N412" s="460"/>
      <c r="O412" s="783"/>
      <c r="P412" s="460"/>
    </row>
    <row r="413" spans="1:16">
      <c r="A413" s="14"/>
      <c r="B413" s="15"/>
      <c r="C413" s="16"/>
      <c r="D413" s="17"/>
      <c r="E413" s="12"/>
      <c r="F413" s="18"/>
      <c r="G413" s="19"/>
      <c r="H413" s="13"/>
      <c r="I413" s="19"/>
      <c r="J413" s="13"/>
      <c r="K413" s="19"/>
      <c r="L413" s="13"/>
      <c r="M413" s="557"/>
      <c r="N413" s="460"/>
      <c r="O413" s="783"/>
      <c r="P413" s="460"/>
    </row>
    <row r="414" spans="1:16">
      <c r="A414" s="14"/>
      <c r="B414" s="15"/>
      <c r="C414" s="16"/>
      <c r="D414" s="17"/>
      <c r="E414" s="12"/>
      <c r="F414" s="18"/>
      <c r="G414" s="19"/>
      <c r="H414" s="13"/>
      <c r="I414" s="19"/>
      <c r="J414" s="13"/>
      <c r="K414" s="19"/>
      <c r="L414" s="13"/>
      <c r="M414" s="557"/>
      <c r="N414" s="460"/>
      <c r="O414" s="783"/>
      <c r="P414" s="460"/>
    </row>
    <row r="415" spans="1:16">
      <c r="A415" s="14"/>
      <c r="B415" s="15"/>
      <c r="C415" s="16"/>
      <c r="D415" s="17"/>
      <c r="E415" s="12"/>
      <c r="F415" s="18"/>
      <c r="G415" s="19"/>
      <c r="H415" s="13"/>
      <c r="I415" s="19"/>
      <c r="J415" s="13"/>
      <c r="K415" s="19"/>
      <c r="L415" s="13"/>
      <c r="M415" s="557"/>
      <c r="N415" s="460"/>
      <c r="O415" s="783"/>
      <c r="P415" s="460"/>
    </row>
    <row r="416" spans="1:16">
      <c r="A416" s="14"/>
      <c r="B416" s="15"/>
      <c r="C416" s="16"/>
      <c r="D416" s="17"/>
      <c r="E416" s="12"/>
      <c r="F416" s="18"/>
      <c r="G416" s="19"/>
      <c r="H416" s="13"/>
      <c r="I416" s="19"/>
      <c r="J416" s="13"/>
      <c r="K416" s="19"/>
      <c r="L416" s="13"/>
      <c r="M416" s="557"/>
      <c r="N416" s="460"/>
      <c r="O416" s="783"/>
      <c r="P416" s="460"/>
    </row>
    <row r="417" spans="1:16">
      <c r="A417" s="14"/>
      <c r="B417" s="15"/>
      <c r="C417" s="16"/>
      <c r="D417" s="17"/>
      <c r="E417" s="12"/>
      <c r="F417" s="18"/>
      <c r="G417" s="19"/>
      <c r="H417" s="13"/>
      <c r="I417" s="19"/>
      <c r="J417" s="13"/>
      <c r="K417" s="19"/>
      <c r="L417" s="13"/>
      <c r="M417" s="557"/>
      <c r="N417" s="460"/>
      <c r="O417" s="783"/>
      <c r="P417" s="460"/>
    </row>
    <row r="418" spans="1:16">
      <c r="A418" s="14"/>
      <c r="B418" s="15"/>
      <c r="C418" s="16"/>
      <c r="D418" s="17"/>
      <c r="E418" s="12"/>
      <c r="F418" s="18"/>
      <c r="G418" s="19"/>
      <c r="H418" s="13"/>
      <c r="I418" s="19"/>
      <c r="J418" s="13"/>
      <c r="K418" s="19"/>
      <c r="L418" s="13"/>
      <c r="M418" s="557"/>
      <c r="N418" s="460"/>
      <c r="O418" s="783"/>
      <c r="P418" s="460"/>
    </row>
    <row r="419" spans="1:16">
      <c r="A419" s="14"/>
      <c r="B419" s="15"/>
      <c r="C419" s="16"/>
      <c r="D419" s="17"/>
      <c r="E419" s="12"/>
      <c r="F419" s="18"/>
      <c r="G419" s="19"/>
      <c r="H419" s="13"/>
      <c r="I419" s="19"/>
      <c r="J419" s="13"/>
      <c r="K419" s="19"/>
      <c r="L419" s="13"/>
      <c r="M419" s="557"/>
      <c r="N419" s="460"/>
      <c r="O419" s="783"/>
      <c r="P419" s="460"/>
    </row>
    <row r="420" spans="1:16">
      <c r="A420" s="14"/>
      <c r="B420" s="15"/>
      <c r="C420" s="16"/>
      <c r="D420" s="17"/>
      <c r="E420" s="12"/>
      <c r="F420" s="18"/>
      <c r="G420" s="19"/>
      <c r="H420" s="13"/>
      <c r="I420" s="19"/>
      <c r="J420" s="13"/>
      <c r="K420" s="19"/>
      <c r="L420" s="13"/>
      <c r="M420" s="557"/>
      <c r="N420" s="460"/>
      <c r="O420" s="783"/>
      <c r="P420" s="460"/>
    </row>
    <row r="421" spans="1:16">
      <c r="A421" s="14"/>
      <c r="B421" s="15"/>
      <c r="C421" s="16"/>
      <c r="D421" s="17"/>
      <c r="E421" s="12"/>
      <c r="F421" s="18"/>
      <c r="G421" s="19"/>
      <c r="H421" s="13"/>
      <c r="I421" s="19"/>
      <c r="J421" s="13"/>
      <c r="K421" s="19"/>
      <c r="L421" s="13"/>
      <c r="M421" s="557"/>
      <c r="N421" s="460"/>
      <c r="O421" s="783"/>
      <c r="P421" s="460"/>
    </row>
    <row r="422" spans="1:16">
      <c r="A422" s="14"/>
      <c r="B422" s="15"/>
      <c r="C422" s="16"/>
      <c r="D422" s="17"/>
      <c r="E422" s="12"/>
      <c r="F422" s="18"/>
      <c r="G422" s="19"/>
      <c r="H422" s="13"/>
      <c r="I422" s="19"/>
      <c r="J422" s="13"/>
      <c r="K422" s="19"/>
      <c r="L422" s="13"/>
      <c r="M422" s="557"/>
      <c r="N422" s="460"/>
      <c r="O422" s="783"/>
      <c r="P422" s="460"/>
    </row>
    <row r="423" spans="1:16">
      <c r="A423" s="14"/>
      <c r="B423" s="15"/>
      <c r="C423" s="16"/>
      <c r="D423" s="17"/>
      <c r="E423" s="12"/>
      <c r="F423" s="18"/>
      <c r="G423" s="19"/>
      <c r="H423" s="13"/>
      <c r="I423" s="19"/>
      <c r="J423" s="13"/>
      <c r="K423" s="19"/>
      <c r="L423" s="13"/>
      <c r="M423" s="557"/>
      <c r="N423" s="460"/>
      <c r="O423" s="783"/>
      <c r="P423" s="460"/>
    </row>
    <row r="424" spans="1:16">
      <c r="A424" s="14"/>
      <c r="B424" s="15"/>
      <c r="C424" s="16"/>
      <c r="D424" s="17"/>
      <c r="E424" s="12"/>
      <c r="F424" s="18"/>
      <c r="G424" s="19"/>
      <c r="H424" s="13"/>
      <c r="I424" s="19"/>
      <c r="J424" s="13"/>
      <c r="K424" s="19"/>
      <c r="L424" s="13"/>
      <c r="M424" s="557"/>
      <c r="N424" s="460"/>
      <c r="O424" s="783"/>
      <c r="P424" s="460"/>
    </row>
    <row r="425" spans="1:16">
      <c r="A425" s="14"/>
      <c r="B425" s="15"/>
      <c r="C425" s="16"/>
      <c r="D425" s="17"/>
      <c r="E425" s="12"/>
      <c r="F425" s="18"/>
      <c r="G425" s="19"/>
      <c r="H425" s="13"/>
      <c r="I425" s="19"/>
      <c r="J425" s="13"/>
      <c r="K425" s="19"/>
      <c r="L425" s="13"/>
      <c r="M425" s="557"/>
      <c r="N425" s="460"/>
      <c r="O425" s="783"/>
      <c r="P425" s="460"/>
    </row>
    <row r="426" spans="1:16">
      <c r="A426" s="14"/>
      <c r="B426" s="15"/>
      <c r="C426" s="16"/>
      <c r="D426" s="17"/>
      <c r="E426" s="12"/>
      <c r="F426" s="18"/>
      <c r="G426" s="19"/>
      <c r="H426" s="13"/>
      <c r="I426" s="19"/>
      <c r="J426" s="13"/>
      <c r="K426" s="19"/>
      <c r="L426" s="13"/>
      <c r="M426" s="557"/>
      <c r="N426" s="460"/>
      <c r="O426" s="783"/>
      <c r="P426" s="460"/>
    </row>
    <row r="427" spans="1:16">
      <c r="A427" s="14"/>
      <c r="B427" s="15"/>
      <c r="C427" s="16"/>
      <c r="D427" s="17"/>
      <c r="E427" s="12"/>
      <c r="F427" s="18"/>
      <c r="G427" s="19"/>
      <c r="H427" s="13"/>
      <c r="I427" s="19"/>
      <c r="J427" s="13"/>
      <c r="K427" s="19"/>
      <c r="L427" s="13"/>
      <c r="M427" s="557"/>
      <c r="N427" s="460"/>
      <c r="O427" s="783"/>
      <c r="P427" s="460"/>
    </row>
    <row r="428" spans="1:16">
      <c r="A428" s="14"/>
      <c r="B428" s="15"/>
      <c r="C428" s="16"/>
      <c r="D428" s="17"/>
      <c r="E428" s="12"/>
      <c r="F428" s="18"/>
      <c r="G428" s="19"/>
      <c r="H428" s="13"/>
      <c r="I428" s="19"/>
      <c r="J428" s="13"/>
      <c r="K428" s="19"/>
      <c r="L428" s="13"/>
      <c r="M428" s="557"/>
      <c r="N428" s="460"/>
      <c r="O428" s="783"/>
      <c r="P428" s="460"/>
    </row>
    <row r="429" spans="1:16">
      <c r="A429" s="14"/>
      <c r="B429" s="15"/>
      <c r="C429" s="16"/>
      <c r="D429" s="17"/>
      <c r="E429" s="12"/>
      <c r="F429" s="18"/>
      <c r="G429" s="19"/>
      <c r="H429" s="13"/>
      <c r="I429" s="19"/>
      <c r="J429" s="13"/>
      <c r="K429" s="19"/>
      <c r="L429" s="13"/>
      <c r="M429" s="557"/>
      <c r="N429" s="460"/>
      <c r="O429" s="783"/>
      <c r="P429" s="460"/>
    </row>
    <row r="430" spans="1:16">
      <c r="A430" s="14"/>
      <c r="B430" s="15"/>
      <c r="C430" s="16"/>
      <c r="D430" s="17"/>
      <c r="E430" s="12"/>
      <c r="F430" s="18"/>
      <c r="G430" s="19"/>
      <c r="H430" s="13"/>
      <c r="I430" s="19"/>
      <c r="J430" s="13"/>
      <c r="K430" s="19"/>
      <c r="L430" s="13"/>
      <c r="M430" s="557"/>
      <c r="N430" s="460"/>
      <c r="O430" s="783"/>
      <c r="P430" s="460"/>
    </row>
    <row r="431" spans="1:16">
      <c r="A431" s="14"/>
      <c r="B431" s="15"/>
      <c r="C431" s="16"/>
      <c r="D431" s="17"/>
      <c r="E431" s="12"/>
      <c r="F431" s="18"/>
      <c r="G431" s="19"/>
      <c r="H431" s="13"/>
      <c r="I431" s="19"/>
      <c r="J431" s="13"/>
      <c r="K431" s="19"/>
      <c r="L431" s="13"/>
      <c r="M431" s="557"/>
      <c r="N431" s="460"/>
      <c r="O431" s="783"/>
      <c r="P431" s="460"/>
    </row>
    <row r="432" spans="1:16">
      <c r="A432" s="14"/>
      <c r="B432" s="15"/>
      <c r="C432" s="16"/>
      <c r="D432" s="17"/>
      <c r="E432" s="12"/>
      <c r="F432" s="18"/>
      <c r="G432" s="19"/>
      <c r="H432" s="13"/>
      <c r="I432" s="19"/>
      <c r="J432" s="13"/>
      <c r="K432" s="19"/>
      <c r="L432" s="13"/>
      <c r="M432" s="557"/>
      <c r="N432" s="460"/>
      <c r="O432" s="783"/>
      <c r="P432" s="460"/>
    </row>
    <row r="433" spans="1:16">
      <c r="A433" s="14"/>
      <c r="B433" s="15"/>
      <c r="C433" s="16"/>
      <c r="D433" s="17"/>
      <c r="E433" s="12"/>
      <c r="F433" s="18"/>
      <c r="G433" s="19"/>
      <c r="H433" s="13"/>
      <c r="I433" s="19"/>
      <c r="J433" s="13"/>
      <c r="K433" s="19"/>
      <c r="L433" s="13"/>
      <c r="M433" s="557"/>
      <c r="N433" s="460"/>
      <c r="O433" s="783"/>
      <c r="P433" s="460"/>
    </row>
    <row r="434" spans="1:16">
      <c r="A434" s="14"/>
      <c r="B434" s="15"/>
      <c r="C434" s="16"/>
      <c r="D434" s="17"/>
      <c r="E434" s="12"/>
      <c r="F434" s="18"/>
      <c r="G434" s="19"/>
      <c r="H434" s="13"/>
      <c r="I434" s="19"/>
      <c r="J434" s="13"/>
      <c r="K434" s="19"/>
      <c r="L434" s="13"/>
      <c r="M434" s="557"/>
      <c r="N434" s="460"/>
      <c r="O434" s="783"/>
      <c r="P434" s="460"/>
    </row>
    <row r="435" spans="1:16">
      <c r="A435" s="14"/>
      <c r="B435" s="15"/>
      <c r="C435" s="16"/>
      <c r="D435" s="17"/>
      <c r="E435" s="12"/>
      <c r="F435" s="18"/>
      <c r="G435" s="19"/>
      <c r="H435" s="13"/>
      <c r="I435" s="19"/>
      <c r="J435" s="13"/>
      <c r="K435" s="19"/>
      <c r="L435" s="13"/>
      <c r="M435" s="557"/>
      <c r="N435" s="460"/>
      <c r="O435" s="783"/>
      <c r="P435" s="460"/>
    </row>
    <row r="436" spans="1:16">
      <c r="A436" s="14"/>
      <c r="B436" s="15"/>
      <c r="C436" s="16"/>
      <c r="D436" s="17"/>
      <c r="E436" s="12"/>
      <c r="F436" s="18"/>
      <c r="G436" s="19"/>
      <c r="H436" s="13"/>
      <c r="I436" s="19"/>
      <c r="J436" s="13"/>
      <c r="K436" s="19"/>
      <c r="L436" s="13"/>
      <c r="M436" s="557"/>
      <c r="N436" s="460"/>
      <c r="O436" s="783"/>
      <c r="P436" s="460"/>
    </row>
    <row r="437" spans="1:16">
      <c r="A437" s="14"/>
      <c r="B437" s="15"/>
      <c r="C437" s="16"/>
      <c r="D437" s="17"/>
      <c r="E437" s="12"/>
      <c r="F437" s="18"/>
      <c r="G437" s="19"/>
      <c r="H437" s="13"/>
      <c r="I437" s="19"/>
      <c r="J437" s="13"/>
      <c r="K437" s="19"/>
      <c r="L437" s="13"/>
      <c r="M437" s="557"/>
      <c r="N437" s="460"/>
      <c r="O437" s="783"/>
      <c r="P437" s="460"/>
    </row>
    <row r="438" spans="1:16">
      <c r="A438" s="14"/>
      <c r="B438" s="15"/>
      <c r="C438" s="16"/>
      <c r="D438" s="17"/>
      <c r="E438" s="12"/>
      <c r="F438" s="18"/>
      <c r="G438" s="19"/>
      <c r="H438" s="13"/>
      <c r="I438" s="19"/>
      <c r="J438" s="13"/>
      <c r="K438" s="19"/>
      <c r="L438" s="13"/>
      <c r="M438" s="557"/>
      <c r="N438" s="460"/>
      <c r="O438" s="783"/>
      <c r="P438" s="460"/>
    </row>
    <row r="439" spans="1:16">
      <c r="A439" s="14"/>
      <c r="B439" s="15"/>
      <c r="C439" s="16"/>
      <c r="D439" s="17"/>
      <c r="E439" s="12"/>
      <c r="F439" s="18"/>
      <c r="G439" s="19"/>
      <c r="H439" s="13"/>
      <c r="I439" s="19"/>
      <c r="J439" s="13"/>
      <c r="K439" s="19"/>
      <c r="L439" s="13"/>
      <c r="M439" s="557"/>
      <c r="N439" s="460"/>
      <c r="O439" s="783"/>
      <c r="P439" s="460"/>
    </row>
    <row r="440" spans="1:16">
      <c r="A440" s="14"/>
      <c r="B440" s="15"/>
      <c r="C440" s="16"/>
      <c r="D440" s="17"/>
      <c r="E440" s="12"/>
      <c r="F440" s="18"/>
      <c r="G440" s="19"/>
      <c r="H440" s="13"/>
      <c r="I440" s="19"/>
      <c r="J440" s="13"/>
      <c r="K440" s="19"/>
      <c r="L440" s="13"/>
      <c r="M440" s="557"/>
      <c r="N440" s="460"/>
      <c r="O440" s="783"/>
      <c r="P440" s="460"/>
    </row>
    <row r="441" spans="1:16">
      <c r="A441" s="14"/>
      <c r="B441" s="15"/>
      <c r="C441" s="16"/>
      <c r="D441" s="17"/>
      <c r="E441" s="12"/>
      <c r="F441" s="18"/>
      <c r="G441" s="19"/>
      <c r="H441" s="13"/>
      <c r="I441" s="19"/>
      <c r="J441" s="13"/>
      <c r="K441" s="19"/>
      <c r="L441" s="13"/>
      <c r="M441" s="557"/>
      <c r="N441" s="460"/>
      <c r="O441" s="783"/>
      <c r="P441" s="460"/>
    </row>
    <row r="442" spans="1:16">
      <c r="A442" s="14"/>
      <c r="B442" s="15"/>
      <c r="C442" s="16"/>
      <c r="D442" s="17"/>
      <c r="E442" s="12"/>
      <c r="F442" s="18"/>
      <c r="G442" s="19"/>
      <c r="H442" s="13"/>
      <c r="I442" s="19"/>
      <c r="J442" s="13"/>
      <c r="K442" s="19"/>
      <c r="L442" s="13"/>
      <c r="M442" s="557"/>
      <c r="N442" s="460"/>
      <c r="O442" s="783"/>
      <c r="P442" s="460"/>
    </row>
    <row r="443" spans="1:16">
      <c r="A443" s="14"/>
      <c r="B443" s="15"/>
      <c r="C443" s="16"/>
      <c r="D443" s="17"/>
      <c r="E443" s="12"/>
      <c r="F443" s="18"/>
      <c r="G443" s="19"/>
      <c r="H443" s="13"/>
      <c r="I443" s="19"/>
      <c r="J443" s="13"/>
      <c r="K443" s="19"/>
      <c r="L443" s="13"/>
      <c r="M443" s="557"/>
      <c r="N443" s="460"/>
      <c r="O443" s="783"/>
      <c r="P443" s="460"/>
    </row>
    <row r="444" spans="1:16">
      <c r="A444" s="14"/>
      <c r="B444" s="15"/>
      <c r="C444" s="16"/>
      <c r="D444" s="17"/>
      <c r="E444" s="12"/>
      <c r="F444" s="18"/>
      <c r="G444" s="19"/>
      <c r="H444" s="13"/>
      <c r="I444" s="19"/>
      <c r="J444" s="13"/>
      <c r="K444" s="19"/>
      <c r="L444" s="13"/>
      <c r="M444" s="557"/>
      <c r="N444" s="460"/>
      <c r="O444" s="783"/>
      <c r="P444" s="460"/>
    </row>
    <row r="445" spans="1:16">
      <c r="A445" s="14"/>
      <c r="B445" s="15"/>
      <c r="C445" s="16"/>
      <c r="D445" s="17"/>
      <c r="E445" s="12"/>
      <c r="F445" s="18"/>
      <c r="G445" s="19"/>
      <c r="H445" s="13"/>
      <c r="I445" s="19"/>
      <c r="J445" s="13"/>
      <c r="K445" s="19"/>
      <c r="L445" s="13"/>
      <c r="M445" s="557"/>
      <c r="N445" s="460"/>
      <c r="O445" s="783"/>
      <c r="P445" s="460"/>
    </row>
    <row r="446" spans="1:16">
      <c r="A446" s="14"/>
      <c r="B446" s="15"/>
      <c r="C446" s="16"/>
      <c r="D446" s="17"/>
      <c r="E446" s="12"/>
      <c r="F446" s="18"/>
      <c r="G446" s="19"/>
      <c r="H446" s="13"/>
      <c r="I446" s="19"/>
      <c r="J446" s="13"/>
      <c r="K446" s="19"/>
      <c r="L446" s="13"/>
      <c r="M446" s="557"/>
      <c r="N446" s="460"/>
      <c r="O446" s="783"/>
      <c r="P446" s="460"/>
    </row>
    <row r="447" spans="1:16">
      <c r="A447" s="14"/>
      <c r="B447" s="15"/>
      <c r="C447" s="16"/>
      <c r="D447" s="17"/>
      <c r="E447" s="12"/>
      <c r="F447" s="18"/>
      <c r="G447" s="19"/>
      <c r="H447" s="13"/>
      <c r="I447" s="19"/>
      <c r="J447" s="13"/>
      <c r="K447" s="19"/>
      <c r="L447" s="13"/>
      <c r="M447" s="557"/>
      <c r="N447" s="460"/>
      <c r="O447" s="783"/>
      <c r="P447" s="460"/>
    </row>
    <row r="448" spans="1:16">
      <c r="A448" s="14"/>
      <c r="B448" s="15"/>
      <c r="C448" s="16"/>
      <c r="D448" s="17"/>
      <c r="E448" s="12"/>
      <c r="F448" s="18"/>
      <c r="G448" s="19"/>
      <c r="H448" s="13"/>
      <c r="I448" s="19"/>
      <c r="J448" s="13"/>
      <c r="K448" s="19"/>
      <c r="L448" s="13"/>
      <c r="M448" s="557"/>
      <c r="N448" s="460"/>
      <c r="O448" s="783"/>
      <c r="P448" s="460"/>
    </row>
    <row r="449" spans="1:16">
      <c r="A449" s="14"/>
      <c r="B449" s="15"/>
      <c r="C449" s="16"/>
      <c r="D449" s="17"/>
      <c r="E449" s="12"/>
      <c r="F449" s="18"/>
      <c r="G449" s="19"/>
      <c r="H449" s="13"/>
      <c r="I449" s="19"/>
      <c r="J449" s="13"/>
      <c r="K449" s="19"/>
      <c r="L449" s="13"/>
      <c r="M449" s="557"/>
      <c r="N449" s="460"/>
      <c r="O449" s="783"/>
      <c r="P449" s="460"/>
    </row>
    <row r="450" spans="1:16">
      <c r="A450" s="14"/>
      <c r="B450" s="15"/>
      <c r="C450" s="16"/>
      <c r="D450" s="17"/>
      <c r="E450" s="12"/>
      <c r="F450" s="18"/>
      <c r="G450" s="19"/>
      <c r="H450" s="13"/>
      <c r="I450" s="19"/>
      <c r="J450" s="13"/>
      <c r="K450" s="19"/>
      <c r="L450" s="13"/>
      <c r="M450" s="557"/>
      <c r="N450" s="460"/>
      <c r="O450" s="783"/>
      <c r="P450" s="460"/>
    </row>
    <row r="451" spans="1:16">
      <c r="A451" s="14"/>
      <c r="B451" s="15"/>
      <c r="C451" s="16"/>
      <c r="D451" s="17"/>
      <c r="E451" s="12"/>
      <c r="F451" s="18"/>
      <c r="G451" s="19"/>
      <c r="H451" s="13"/>
      <c r="I451" s="19"/>
      <c r="J451" s="13"/>
      <c r="K451" s="19"/>
      <c r="L451" s="13"/>
      <c r="M451" s="557"/>
      <c r="N451" s="460"/>
      <c r="O451" s="783"/>
      <c r="P451" s="460"/>
    </row>
    <row r="452" spans="1:16">
      <c r="A452" s="14"/>
      <c r="B452" s="15"/>
      <c r="C452" s="16"/>
      <c r="D452" s="17"/>
      <c r="E452" s="12"/>
      <c r="F452" s="18"/>
      <c r="G452" s="19"/>
      <c r="H452" s="13"/>
      <c r="I452" s="19"/>
      <c r="J452" s="13"/>
      <c r="K452" s="19"/>
      <c r="L452" s="13"/>
      <c r="M452" s="557"/>
      <c r="N452" s="460"/>
      <c r="O452" s="783"/>
      <c r="P452" s="460"/>
    </row>
    <row r="453" spans="1:16">
      <c r="A453" s="14"/>
      <c r="B453" s="15"/>
      <c r="C453" s="16"/>
      <c r="D453" s="17"/>
      <c r="E453" s="12"/>
      <c r="F453" s="18"/>
      <c r="G453" s="19"/>
      <c r="H453" s="13"/>
      <c r="I453" s="19"/>
      <c r="J453" s="13"/>
      <c r="K453" s="19"/>
      <c r="L453" s="13"/>
      <c r="M453" s="557"/>
      <c r="N453" s="460"/>
      <c r="O453" s="783"/>
      <c r="P453" s="460"/>
    </row>
    <row r="454" spans="1:16">
      <c r="A454" s="14"/>
      <c r="B454" s="15"/>
      <c r="C454" s="16"/>
      <c r="D454" s="17"/>
      <c r="E454" s="12"/>
      <c r="F454" s="18"/>
      <c r="G454" s="19"/>
      <c r="H454" s="13"/>
      <c r="I454" s="19"/>
      <c r="J454" s="13"/>
      <c r="K454" s="19"/>
      <c r="L454" s="13"/>
      <c r="M454" s="557"/>
      <c r="N454" s="460"/>
      <c r="O454" s="783"/>
      <c r="P454" s="460"/>
    </row>
    <row r="455" spans="1:16">
      <c r="A455" s="14"/>
      <c r="B455" s="15"/>
      <c r="C455" s="16"/>
      <c r="D455" s="17"/>
      <c r="E455" s="12"/>
      <c r="F455" s="18"/>
      <c r="G455" s="19"/>
      <c r="H455" s="13"/>
      <c r="I455" s="19"/>
      <c r="J455" s="13"/>
      <c r="K455" s="19"/>
      <c r="L455" s="13"/>
      <c r="M455" s="557"/>
      <c r="N455" s="460"/>
      <c r="O455" s="783"/>
      <c r="P455" s="460"/>
    </row>
    <row r="456" spans="1:16">
      <c r="A456" s="14"/>
      <c r="B456" s="15"/>
      <c r="C456" s="16"/>
      <c r="D456" s="17"/>
      <c r="E456" s="12"/>
      <c r="F456" s="18"/>
      <c r="G456" s="19"/>
      <c r="H456" s="13"/>
      <c r="I456" s="19"/>
      <c r="J456" s="13"/>
      <c r="K456" s="19"/>
      <c r="L456" s="13"/>
      <c r="M456" s="557"/>
      <c r="N456" s="460"/>
      <c r="O456" s="783"/>
      <c r="P456" s="460"/>
    </row>
    <row r="457" spans="1:16">
      <c r="A457" s="14"/>
      <c r="B457" s="15"/>
      <c r="C457" s="16"/>
      <c r="D457" s="17"/>
      <c r="E457" s="12"/>
      <c r="F457" s="18"/>
      <c r="G457" s="19"/>
      <c r="H457" s="13"/>
      <c r="I457" s="19"/>
      <c r="J457" s="13"/>
      <c r="K457" s="19"/>
      <c r="L457" s="13"/>
      <c r="M457" s="557"/>
      <c r="N457" s="460"/>
      <c r="O457" s="783"/>
      <c r="P457" s="460"/>
    </row>
    <row r="458" spans="1:16">
      <c r="A458" s="14"/>
      <c r="B458" s="15"/>
      <c r="C458" s="16"/>
      <c r="D458" s="17"/>
      <c r="E458" s="12"/>
      <c r="F458" s="18"/>
      <c r="G458" s="19"/>
      <c r="H458" s="13"/>
      <c r="I458" s="19"/>
      <c r="J458" s="13"/>
      <c r="K458" s="19"/>
      <c r="L458" s="13"/>
      <c r="M458" s="557"/>
      <c r="N458" s="460"/>
      <c r="O458" s="783"/>
      <c r="P458" s="460"/>
    </row>
    <row r="459" spans="1:16">
      <c r="A459" s="14"/>
      <c r="B459" s="15"/>
      <c r="C459" s="16"/>
      <c r="D459" s="17"/>
      <c r="E459" s="12"/>
      <c r="F459" s="18"/>
      <c r="G459" s="19"/>
      <c r="H459" s="13"/>
      <c r="I459" s="19"/>
      <c r="J459" s="13"/>
      <c r="K459" s="19"/>
      <c r="L459" s="13"/>
      <c r="M459" s="557"/>
      <c r="N459" s="460"/>
      <c r="O459" s="783"/>
      <c r="P459" s="460"/>
    </row>
    <row r="460" spans="1:16">
      <c r="A460" s="14"/>
      <c r="B460" s="15"/>
      <c r="C460" s="16"/>
      <c r="D460" s="17"/>
      <c r="E460" s="12"/>
      <c r="F460" s="18"/>
      <c r="G460" s="19"/>
      <c r="H460" s="13"/>
      <c r="I460" s="19"/>
      <c r="J460" s="13"/>
      <c r="K460" s="19"/>
      <c r="L460" s="13"/>
      <c r="M460" s="557"/>
      <c r="N460" s="460"/>
      <c r="O460" s="783"/>
      <c r="P460" s="460"/>
    </row>
    <row r="461" spans="1:16">
      <c r="A461" s="14"/>
      <c r="B461" s="15"/>
      <c r="C461" s="16"/>
      <c r="D461" s="17"/>
      <c r="E461" s="12"/>
      <c r="F461" s="18"/>
      <c r="G461" s="19"/>
      <c r="H461" s="13"/>
      <c r="I461" s="19"/>
      <c r="J461" s="13"/>
      <c r="K461" s="19"/>
      <c r="L461" s="13"/>
      <c r="M461" s="557"/>
      <c r="N461" s="460"/>
      <c r="O461" s="783"/>
      <c r="P461" s="460"/>
    </row>
    <row r="462" spans="1:16">
      <c r="A462" s="14"/>
      <c r="B462" s="15"/>
      <c r="C462" s="16"/>
      <c r="D462" s="17"/>
      <c r="E462" s="12"/>
      <c r="F462" s="18"/>
      <c r="G462" s="19"/>
      <c r="H462" s="13"/>
      <c r="I462" s="19"/>
      <c r="J462" s="13"/>
      <c r="K462" s="19"/>
      <c r="L462" s="13"/>
      <c r="M462" s="557"/>
      <c r="N462" s="460"/>
      <c r="O462" s="783"/>
      <c r="P462" s="460"/>
    </row>
    <row r="463" spans="1:16">
      <c r="A463" s="14"/>
      <c r="B463" s="15"/>
      <c r="C463" s="16"/>
      <c r="D463" s="17"/>
      <c r="E463" s="12"/>
      <c r="F463" s="18"/>
      <c r="G463" s="19"/>
      <c r="H463" s="13"/>
      <c r="I463" s="19"/>
      <c r="J463" s="13"/>
      <c r="K463" s="19"/>
      <c r="L463" s="13"/>
      <c r="M463" s="557"/>
      <c r="N463" s="460"/>
      <c r="O463" s="783"/>
      <c r="P463" s="460"/>
    </row>
    <row r="464" spans="1:16">
      <c r="A464" s="14"/>
      <c r="B464" s="15"/>
      <c r="C464" s="16"/>
      <c r="D464" s="17"/>
      <c r="E464" s="12"/>
      <c r="F464" s="18"/>
      <c r="G464" s="19"/>
      <c r="H464" s="13"/>
      <c r="I464" s="19"/>
      <c r="J464" s="13"/>
      <c r="K464" s="19"/>
      <c r="L464" s="13"/>
      <c r="M464" s="557"/>
      <c r="N464" s="460"/>
      <c r="O464" s="783"/>
      <c r="P464" s="460"/>
    </row>
    <row r="465" spans="1:16">
      <c r="A465" s="14"/>
      <c r="B465" s="15"/>
      <c r="C465" s="16"/>
      <c r="D465" s="17"/>
      <c r="E465" s="12"/>
      <c r="F465" s="18"/>
      <c r="G465" s="19"/>
      <c r="H465" s="13"/>
      <c r="I465" s="19"/>
      <c r="J465" s="13"/>
      <c r="K465" s="19"/>
      <c r="L465" s="13"/>
      <c r="M465" s="557"/>
      <c r="N465" s="460"/>
      <c r="O465" s="783"/>
      <c r="P465" s="460"/>
    </row>
    <row r="466" spans="1:16">
      <c r="A466" s="14"/>
      <c r="B466" s="15"/>
      <c r="C466" s="16"/>
      <c r="D466" s="17"/>
      <c r="E466" s="12"/>
      <c r="F466" s="18"/>
      <c r="G466" s="19"/>
      <c r="H466" s="13"/>
      <c r="I466" s="19"/>
      <c r="J466" s="13"/>
      <c r="K466" s="19"/>
      <c r="L466" s="13"/>
      <c r="M466" s="557"/>
      <c r="N466" s="460"/>
      <c r="O466" s="783"/>
      <c r="P466" s="460"/>
    </row>
    <row r="467" spans="1:16">
      <c r="A467" s="14"/>
      <c r="B467" s="15"/>
      <c r="C467" s="16"/>
      <c r="D467" s="17"/>
      <c r="E467" s="12"/>
      <c r="F467" s="18"/>
      <c r="G467" s="19"/>
      <c r="H467" s="13"/>
      <c r="I467" s="19"/>
      <c r="J467" s="13"/>
      <c r="K467" s="19"/>
      <c r="L467" s="13"/>
      <c r="M467" s="557"/>
      <c r="N467" s="460"/>
      <c r="O467" s="783"/>
      <c r="P467" s="460"/>
    </row>
    <row r="468" spans="1:16">
      <c r="A468" s="14"/>
      <c r="B468" s="15"/>
      <c r="C468" s="16"/>
      <c r="D468" s="17"/>
      <c r="E468" s="12"/>
      <c r="F468" s="18"/>
      <c r="G468" s="19"/>
      <c r="H468" s="13"/>
      <c r="I468" s="19"/>
      <c r="J468" s="13"/>
      <c r="K468" s="19"/>
      <c r="L468" s="13"/>
      <c r="M468" s="557"/>
      <c r="N468" s="460"/>
      <c r="O468" s="783"/>
      <c r="P468" s="460"/>
    </row>
    <row r="469" spans="1:16">
      <c r="A469" s="14"/>
      <c r="B469" s="15"/>
      <c r="C469" s="16"/>
      <c r="D469" s="17"/>
      <c r="E469" s="12"/>
      <c r="F469" s="18"/>
      <c r="G469" s="19"/>
      <c r="H469" s="13"/>
      <c r="I469" s="19"/>
      <c r="J469" s="13"/>
      <c r="K469" s="19"/>
      <c r="L469" s="13"/>
      <c r="M469" s="557"/>
      <c r="N469" s="460"/>
      <c r="O469" s="783"/>
      <c r="P469" s="460"/>
    </row>
    <row r="470" spans="1:16">
      <c r="A470" s="14"/>
      <c r="B470" s="15"/>
      <c r="C470" s="16"/>
      <c r="D470" s="17"/>
      <c r="E470" s="12"/>
      <c r="F470" s="18"/>
      <c r="G470" s="19"/>
      <c r="H470" s="13"/>
      <c r="I470" s="19"/>
      <c r="J470" s="13"/>
      <c r="K470" s="19"/>
      <c r="L470" s="13"/>
      <c r="M470" s="557"/>
      <c r="N470" s="460"/>
      <c r="O470" s="783"/>
      <c r="P470" s="460"/>
    </row>
    <row r="471" spans="1:16">
      <c r="A471" s="14"/>
      <c r="B471" s="15"/>
      <c r="C471" s="16"/>
      <c r="D471" s="17"/>
      <c r="E471" s="12"/>
      <c r="F471" s="18"/>
      <c r="G471" s="19"/>
      <c r="H471" s="13"/>
      <c r="I471" s="19"/>
      <c r="J471" s="13"/>
      <c r="K471" s="19"/>
      <c r="L471" s="13"/>
      <c r="M471" s="557"/>
      <c r="N471" s="460"/>
      <c r="O471" s="783"/>
      <c r="P471" s="460"/>
    </row>
    <row r="472" spans="1:16">
      <c r="A472" s="14"/>
      <c r="B472" s="15"/>
      <c r="C472" s="16"/>
      <c r="D472" s="17"/>
      <c r="E472" s="12"/>
      <c r="F472" s="18"/>
      <c r="G472" s="19"/>
      <c r="H472" s="13"/>
      <c r="I472" s="19"/>
      <c r="J472" s="13"/>
      <c r="K472" s="19"/>
      <c r="L472" s="13"/>
      <c r="M472" s="557"/>
      <c r="N472" s="460"/>
      <c r="O472" s="783"/>
      <c r="P472" s="460"/>
    </row>
    <row r="473" spans="1:16">
      <c r="A473" s="14"/>
      <c r="B473" s="15"/>
      <c r="C473" s="16"/>
      <c r="D473" s="17"/>
      <c r="E473" s="12"/>
      <c r="F473" s="18"/>
      <c r="G473" s="19"/>
      <c r="H473" s="13"/>
      <c r="I473" s="19"/>
      <c r="J473" s="13"/>
      <c r="K473" s="19"/>
      <c r="L473" s="13"/>
      <c r="M473" s="557"/>
      <c r="N473" s="460"/>
      <c r="O473" s="783"/>
      <c r="P473" s="460"/>
    </row>
    <row r="474" spans="1:16">
      <c r="A474" s="14"/>
      <c r="B474" s="15"/>
      <c r="C474" s="16"/>
      <c r="D474" s="17"/>
      <c r="E474" s="12"/>
      <c r="F474" s="18"/>
      <c r="G474" s="19"/>
      <c r="H474" s="13"/>
      <c r="I474" s="19"/>
      <c r="J474" s="13"/>
      <c r="K474" s="19"/>
      <c r="L474" s="13"/>
      <c r="M474" s="557"/>
      <c r="N474" s="460"/>
      <c r="O474" s="783"/>
      <c r="P474" s="460"/>
    </row>
    <row r="475" spans="1:16">
      <c r="A475" s="14"/>
      <c r="B475" s="15"/>
      <c r="C475" s="16"/>
      <c r="D475" s="17"/>
      <c r="E475" s="12"/>
      <c r="F475" s="18"/>
      <c r="G475" s="19"/>
      <c r="H475" s="13"/>
      <c r="I475" s="19"/>
      <c r="J475" s="13"/>
      <c r="K475" s="19"/>
      <c r="L475" s="13"/>
      <c r="M475" s="557"/>
      <c r="N475" s="460"/>
      <c r="O475" s="783"/>
      <c r="P475" s="460"/>
    </row>
    <row r="476" spans="1:16">
      <c r="A476" s="14"/>
      <c r="B476" s="15"/>
      <c r="C476" s="16"/>
      <c r="D476" s="17"/>
      <c r="E476" s="12"/>
      <c r="F476" s="18"/>
      <c r="G476" s="19"/>
      <c r="H476" s="13"/>
      <c r="I476" s="19"/>
      <c r="J476" s="13"/>
      <c r="K476" s="19"/>
      <c r="L476" s="13"/>
      <c r="M476" s="557"/>
      <c r="N476" s="460"/>
      <c r="O476" s="783"/>
      <c r="P476" s="460"/>
    </row>
    <row r="477" spans="1:16">
      <c r="A477" s="14"/>
      <c r="B477" s="15"/>
      <c r="C477" s="16"/>
      <c r="D477" s="17"/>
      <c r="E477" s="12"/>
      <c r="F477" s="18"/>
      <c r="G477" s="19"/>
      <c r="H477" s="13"/>
      <c r="I477" s="19"/>
      <c r="J477" s="13"/>
      <c r="K477" s="19"/>
      <c r="L477" s="13"/>
      <c r="M477" s="557"/>
      <c r="N477" s="460"/>
      <c r="O477" s="783"/>
      <c r="P477" s="460"/>
    </row>
    <row r="478" spans="1:16">
      <c r="A478" s="14"/>
      <c r="B478" s="15"/>
      <c r="C478" s="16"/>
      <c r="D478" s="17"/>
      <c r="E478" s="12"/>
      <c r="F478" s="18"/>
      <c r="G478" s="19"/>
      <c r="H478" s="13"/>
      <c r="I478" s="19"/>
      <c r="J478" s="13"/>
      <c r="K478" s="19"/>
      <c r="L478" s="13"/>
      <c r="M478" s="557"/>
      <c r="N478" s="460"/>
      <c r="O478" s="783"/>
      <c r="P478" s="460"/>
    </row>
    <row r="479" spans="1:16">
      <c r="A479" s="14"/>
      <c r="B479" s="15"/>
      <c r="C479" s="16"/>
      <c r="D479" s="17"/>
      <c r="E479" s="12"/>
      <c r="F479" s="18"/>
      <c r="G479" s="19"/>
      <c r="H479" s="13"/>
      <c r="I479" s="19"/>
      <c r="J479" s="13"/>
      <c r="K479" s="19"/>
      <c r="L479" s="13"/>
      <c r="M479" s="557"/>
      <c r="N479" s="460"/>
      <c r="O479" s="783"/>
      <c r="P479" s="460"/>
    </row>
    <row r="480" spans="1:16">
      <c r="A480" s="14"/>
      <c r="B480" s="15"/>
      <c r="C480" s="16"/>
      <c r="D480" s="17"/>
      <c r="E480" s="12"/>
      <c r="F480" s="18"/>
      <c r="G480" s="19"/>
      <c r="H480" s="13"/>
      <c r="I480" s="19"/>
      <c r="J480" s="13"/>
      <c r="K480" s="19"/>
      <c r="L480" s="13"/>
      <c r="M480" s="557"/>
      <c r="N480" s="460"/>
      <c r="O480" s="783"/>
      <c r="P480" s="460"/>
    </row>
    <row r="481" spans="1:16">
      <c r="A481" s="14"/>
      <c r="B481" s="15"/>
      <c r="C481" s="16"/>
      <c r="D481" s="17"/>
      <c r="E481" s="12"/>
      <c r="F481" s="18"/>
      <c r="G481" s="19"/>
      <c r="H481" s="13"/>
      <c r="I481" s="19"/>
      <c r="J481" s="13"/>
      <c r="K481" s="19"/>
      <c r="L481" s="13"/>
      <c r="M481" s="557"/>
      <c r="N481" s="460"/>
      <c r="O481" s="783"/>
      <c r="P481" s="460"/>
    </row>
    <row r="482" spans="1:16">
      <c r="A482" s="14"/>
      <c r="B482" s="15"/>
      <c r="C482" s="16"/>
      <c r="D482" s="17"/>
      <c r="E482" s="12"/>
      <c r="F482" s="18"/>
      <c r="G482" s="19"/>
      <c r="H482" s="13"/>
      <c r="I482" s="19"/>
      <c r="J482" s="13"/>
      <c r="K482" s="19"/>
      <c r="L482" s="13"/>
      <c r="M482" s="557"/>
      <c r="N482" s="460"/>
      <c r="O482" s="783"/>
      <c r="P482" s="460"/>
    </row>
    <row r="483" spans="1:16">
      <c r="A483" s="14"/>
      <c r="B483" s="15"/>
      <c r="C483" s="16"/>
      <c r="D483" s="17"/>
      <c r="E483" s="12"/>
      <c r="F483" s="18"/>
      <c r="G483" s="19"/>
      <c r="H483" s="13"/>
      <c r="I483" s="19"/>
      <c r="J483" s="13"/>
      <c r="K483" s="19"/>
      <c r="L483" s="13"/>
      <c r="M483" s="557"/>
      <c r="N483" s="460"/>
      <c r="O483" s="783"/>
      <c r="P483" s="460"/>
    </row>
    <row r="484" spans="1:16">
      <c r="A484" s="14"/>
      <c r="B484" s="15"/>
      <c r="C484" s="16"/>
      <c r="D484" s="17"/>
      <c r="E484" s="12"/>
      <c r="F484" s="18"/>
      <c r="G484" s="19"/>
      <c r="H484" s="13"/>
      <c r="I484" s="19"/>
      <c r="J484" s="13"/>
      <c r="K484" s="19"/>
      <c r="L484" s="13"/>
      <c r="M484" s="557"/>
      <c r="N484" s="460"/>
      <c r="O484" s="783"/>
      <c r="P484" s="460"/>
    </row>
    <row r="485" spans="1:16">
      <c r="A485" s="14"/>
      <c r="B485" s="15"/>
      <c r="C485" s="16"/>
      <c r="D485" s="17"/>
      <c r="E485" s="12"/>
      <c r="F485" s="18"/>
      <c r="G485" s="19"/>
      <c r="H485" s="13"/>
      <c r="I485" s="19"/>
      <c r="J485" s="13"/>
      <c r="K485" s="19"/>
      <c r="L485" s="13"/>
      <c r="M485" s="557"/>
      <c r="N485" s="460"/>
      <c r="O485" s="783"/>
      <c r="P485" s="460"/>
    </row>
    <row r="486" spans="1:16">
      <c r="A486" s="14"/>
      <c r="B486" s="15"/>
      <c r="C486" s="16"/>
      <c r="D486" s="17"/>
      <c r="E486" s="12"/>
      <c r="F486" s="18"/>
      <c r="G486" s="19"/>
      <c r="H486" s="13"/>
      <c r="I486" s="19"/>
      <c r="J486" s="13"/>
      <c r="K486" s="19"/>
      <c r="L486" s="13"/>
      <c r="M486" s="557"/>
      <c r="N486" s="460"/>
      <c r="O486" s="783"/>
      <c r="P486" s="460"/>
    </row>
    <row r="487" spans="1:16">
      <c r="A487" s="14"/>
      <c r="B487" s="15"/>
      <c r="C487" s="16"/>
      <c r="D487" s="17"/>
      <c r="E487" s="12"/>
      <c r="F487" s="18"/>
      <c r="G487" s="19"/>
      <c r="H487" s="13"/>
      <c r="I487" s="19"/>
      <c r="J487" s="13"/>
      <c r="K487" s="19"/>
      <c r="L487" s="13"/>
      <c r="M487" s="557"/>
      <c r="N487" s="460"/>
      <c r="O487" s="783"/>
      <c r="P487" s="460"/>
    </row>
    <row r="488" spans="1:16">
      <c r="A488" s="14"/>
      <c r="B488" s="15"/>
      <c r="C488" s="16"/>
      <c r="D488" s="17"/>
      <c r="E488" s="12"/>
      <c r="F488" s="18"/>
      <c r="G488" s="19"/>
      <c r="H488" s="13"/>
      <c r="I488" s="19"/>
      <c r="J488" s="13"/>
      <c r="K488" s="19"/>
      <c r="L488" s="13"/>
      <c r="M488" s="557"/>
      <c r="N488" s="460"/>
      <c r="O488" s="783"/>
      <c r="P488" s="460"/>
    </row>
    <row r="489" spans="1:16">
      <c r="A489" s="14"/>
      <c r="B489" s="15"/>
      <c r="C489" s="16"/>
      <c r="D489" s="17"/>
      <c r="E489" s="12"/>
      <c r="F489" s="18"/>
      <c r="G489" s="19"/>
      <c r="H489" s="13"/>
      <c r="I489" s="19"/>
      <c r="J489" s="13"/>
      <c r="K489" s="19"/>
      <c r="L489" s="13"/>
      <c r="M489" s="557"/>
      <c r="N489" s="460"/>
      <c r="O489" s="783"/>
      <c r="P489" s="460"/>
    </row>
    <row r="490" spans="1:16">
      <c r="A490" s="14"/>
      <c r="B490" s="15"/>
      <c r="C490" s="16"/>
      <c r="D490" s="17"/>
      <c r="E490" s="12"/>
      <c r="F490" s="18"/>
      <c r="G490" s="19"/>
      <c r="H490" s="13"/>
      <c r="I490" s="19"/>
      <c r="J490" s="13"/>
      <c r="K490" s="19"/>
      <c r="L490" s="13"/>
      <c r="M490" s="557"/>
      <c r="N490" s="460"/>
      <c r="O490" s="783"/>
      <c r="P490" s="460"/>
    </row>
    <row r="491" spans="1:16">
      <c r="A491" s="14"/>
      <c r="B491" s="15"/>
      <c r="C491" s="16"/>
      <c r="D491" s="17"/>
      <c r="E491" s="12"/>
      <c r="F491" s="18"/>
      <c r="G491" s="19"/>
      <c r="H491" s="13"/>
      <c r="I491" s="19"/>
      <c r="J491" s="13"/>
      <c r="K491" s="19"/>
      <c r="L491" s="13"/>
      <c r="M491" s="557"/>
      <c r="N491" s="460"/>
      <c r="O491" s="783"/>
      <c r="P491" s="460"/>
    </row>
    <row r="492" spans="1:16">
      <c r="A492" s="14"/>
      <c r="B492" s="15"/>
      <c r="C492" s="16"/>
      <c r="D492" s="17"/>
      <c r="E492" s="12"/>
      <c r="F492" s="18"/>
      <c r="G492" s="19"/>
      <c r="H492" s="13"/>
      <c r="I492" s="19"/>
      <c r="J492" s="13"/>
      <c r="K492" s="19"/>
      <c r="L492" s="13"/>
      <c r="M492" s="557"/>
      <c r="N492" s="460"/>
      <c r="O492" s="783"/>
      <c r="P492" s="460"/>
    </row>
    <row r="493" spans="1:16">
      <c r="A493" s="14"/>
      <c r="B493" s="15"/>
      <c r="C493" s="16"/>
      <c r="D493" s="17"/>
      <c r="E493" s="12"/>
      <c r="F493" s="18"/>
      <c r="G493" s="19"/>
      <c r="H493" s="13"/>
      <c r="I493" s="19"/>
      <c r="J493" s="13"/>
      <c r="K493" s="19"/>
      <c r="L493" s="13"/>
      <c r="M493" s="557"/>
      <c r="N493" s="460"/>
      <c r="O493" s="783"/>
      <c r="P493" s="460"/>
    </row>
    <row r="494" spans="1:16">
      <c r="A494" s="14"/>
      <c r="B494" s="15"/>
      <c r="C494" s="16"/>
      <c r="D494" s="17"/>
      <c r="E494" s="12"/>
      <c r="F494" s="18"/>
      <c r="G494" s="19"/>
      <c r="H494" s="13"/>
      <c r="I494" s="19"/>
      <c r="J494" s="13"/>
      <c r="K494" s="19"/>
      <c r="L494" s="13"/>
      <c r="M494" s="557"/>
      <c r="N494" s="460"/>
      <c r="O494" s="783"/>
      <c r="P494" s="460"/>
    </row>
    <row r="495" spans="1:16">
      <c r="A495" s="14"/>
      <c r="B495" s="15"/>
      <c r="C495" s="16"/>
      <c r="D495" s="20"/>
      <c r="E495" s="12"/>
      <c r="F495" s="18"/>
      <c r="G495" s="19"/>
      <c r="H495" s="13"/>
      <c r="I495" s="19"/>
      <c r="J495" s="13"/>
      <c r="K495" s="19"/>
      <c r="L495" s="13"/>
      <c r="M495" s="557"/>
      <c r="N495" s="460"/>
      <c r="O495" s="783"/>
      <c r="P495" s="460"/>
    </row>
    <row r="496" spans="1:16">
      <c r="A496" s="14"/>
      <c r="B496" s="15"/>
      <c r="C496" s="16"/>
      <c r="D496" s="20"/>
      <c r="E496" s="12"/>
      <c r="F496" s="18"/>
      <c r="G496" s="19"/>
      <c r="H496" s="13"/>
      <c r="I496" s="19"/>
      <c r="J496" s="13"/>
      <c r="K496" s="19"/>
      <c r="L496" s="13"/>
      <c r="M496" s="557"/>
      <c r="N496" s="460"/>
      <c r="O496" s="783"/>
      <c r="P496" s="460"/>
    </row>
    <row r="497" spans="1:16" ht="13.5" thickBot="1">
      <c r="A497" s="21"/>
      <c r="B497" s="22"/>
      <c r="C497" s="23"/>
      <c r="D497" s="24"/>
      <c r="E497" s="37"/>
      <c r="F497" s="25"/>
      <c r="G497" s="26"/>
      <c r="H497" s="27"/>
      <c r="I497" s="26"/>
      <c r="J497" s="27"/>
      <c r="K497" s="26"/>
      <c r="L497" s="27"/>
      <c r="M497" s="557"/>
      <c r="N497" s="460"/>
      <c r="O497" s="783"/>
      <c r="P497" s="460"/>
    </row>
    <row r="498" spans="1:16" ht="13.5" thickBot="1">
      <c r="M498" s="558"/>
      <c r="N498" s="559"/>
      <c r="O498" s="571"/>
      <c r="P498" s="572"/>
    </row>
  </sheetData>
  <sheetProtection sheet="1" objects="1" scenarios="1" formatCells="0" formatColumns="0" formatRows="0" insertColumns="0" insertRows="0" insertHyperlinks="0" deleteColumns="0" deleteRows="0" sort="0" autoFilter="0" pivotTables="0"/>
  <dataConsolidate/>
  <mergeCells count="6">
    <mergeCell ref="O1:P1"/>
    <mergeCell ref="G1:H1"/>
    <mergeCell ref="E3:F3"/>
    <mergeCell ref="I1:J1"/>
    <mergeCell ref="K1:L1"/>
    <mergeCell ref="M1:N1"/>
  </mergeCells>
  <phoneticPr fontId="14" type="noConversion"/>
  <conditionalFormatting sqref="A1">
    <cfRule type="cellIs" dxfId="10273" priority="10" stopIfTrue="1" operator="equal">
      <formula>"NOK"</formula>
    </cfRule>
  </conditionalFormatting>
  <conditionalFormatting sqref="I5:I497 G5:G497 M5:M498 K5:K497">
    <cfRule type="cellIs" dxfId="10272" priority="9" stopIfTrue="1" operator="notEqual">
      <formula>H5</formula>
    </cfRule>
  </conditionalFormatting>
  <conditionalFormatting sqref="O5:O498">
    <cfRule type="cellIs" dxfId="10271" priority="1" stopIfTrue="1" operator="notEqual">
      <formula>P5</formula>
    </cfRule>
  </conditionalFormatting>
  <dataValidations count="1">
    <dataValidation type="list" allowBlank="1" showInputMessage="1" showErrorMessage="1" sqref="M1">
      <formula1>ScrubberVariablesList</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sheetPr codeName="Sheet60">
    <tabColor rgb="FF92D050"/>
  </sheetPr>
  <dimension ref="A1:U499"/>
  <sheetViews>
    <sheetView showGridLines="0" zoomScale="85" zoomScaleNormal="85" workbookViewId="0">
      <pane xSplit="6" ySplit="4" topLeftCell="O5" activePane="bottomRight" state="frozenSplit"/>
      <selection activeCell="I6" sqref="I6"/>
      <selection pane="topRight" activeCell="I6" sqref="I6"/>
      <selection pane="bottomLeft" activeCell="I6" sqref="I6"/>
      <selection pane="bottomRight" activeCell="R10" sqref="R10"/>
    </sheetView>
  </sheetViews>
  <sheetFormatPr defaultRowHeight="12.75"/>
  <cols>
    <col min="1" max="1" width="20.625" style="28" customWidth="1"/>
    <col min="2" max="2" width="7.125" style="28" customWidth="1"/>
    <col min="3" max="3" width="8.875" style="29"/>
    <col min="4" max="4" width="16" style="28" customWidth="1"/>
    <col min="5" max="5" width="16.625" style="28" customWidth="1"/>
    <col min="6" max="6" width="16.625" style="30" customWidth="1"/>
    <col min="7" max="7" width="9.75" style="31" customWidth="1"/>
    <col min="8" max="8" width="9.75" style="32" customWidth="1"/>
    <col min="9" max="9" width="9.75" style="31" customWidth="1"/>
    <col min="10" max="10" width="9.75" style="32" customWidth="1"/>
    <col min="11" max="11" width="9.75" style="31" customWidth="1"/>
    <col min="12" max="12" width="9.75" style="32" customWidth="1"/>
    <col min="13" max="13" width="9.75" style="560" customWidth="1"/>
    <col min="14" max="14" width="9.75" style="561" customWidth="1"/>
    <col min="15" max="15" width="9.75" style="573" customWidth="1"/>
    <col min="16" max="16" width="9.75" style="574" customWidth="1"/>
    <col min="17" max="17" width="1.25" style="6" customWidth="1"/>
    <col min="18" max="21" width="12.625" style="6" customWidth="1"/>
    <col min="22" max="264" width="8.875" style="6"/>
    <col min="265" max="265" width="12" style="6" customWidth="1"/>
    <col min="266" max="266" width="7.125" style="6" customWidth="1"/>
    <col min="267" max="267" width="8.875" style="6"/>
    <col min="268" max="268" width="16" style="6" customWidth="1"/>
    <col min="269" max="269" width="13.75" style="6" customWidth="1"/>
    <col min="270" max="271" width="9.75" style="6" customWidth="1"/>
    <col min="272" max="520" width="8.875" style="6"/>
    <col min="521" max="521" width="12" style="6" customWidth="1"/>
    <col min="522" max="522" width="7.125" style="6" customWidth="1"/>
    <col min="523" max="523" width="8.875" style="6"/>
    <col min="524" max="524" width="16" style="6" customWidth="1"/>
    <col min="525" max="525" width="13.75" style="6" customWidth="1"/>
    <col min="526" max="527" width="9.75" style="6" customWidth="1"/>
    <col min="528" max="776" width="8.875" style="6"/>
    <col min="777" max="777" width="12" style="6" customWidth="1"/>
    <col min="778" max="778" width="7.125" style="6" customWidth="1"/>
    <col min="779" max="779" width="8.875" style="6"/>
    <col min="780" max="780" width="16" style="6" customWidth="1"/>
    <col min="781" max="781" width="13.75" style="6" customWidth="1"/>
    <col min="782" max="783" width="9.75" style="6" customWidth="1"/>
    <col min="784" max="1032" width="8.875" style="6"/>
    <col min="1033" max="1033" width="12" style="6" customWidth="1"/>
    <col min="1034" max="1034" width="7.125" style="6" customWidth="1"/>
    <col min="1035" max="1035" width="8.875" style="6"/>
    <col min="1036" max="1036" width="16" style="6" customWidth="1"/>
    <col min="1037" max="1037" width="13.75" style="6" customWidth="1"/>
    <col min="1038" max="1039" width="9.75" style="6" customWidth="1"/>
    <col min="1040" max="1288" width="8.875" style="6"/>
    <col min="1289" max="1289" width="12" style="6" customWidth="1"/>
    <col min="1290" max="1290" width="7.125" style="6" customWidth="1"/>
    <col min="1291" max="1291" width="8.875" style="6"/>
    <col min="1292" max="1292" width="16" style="6" customWidth="1"/>
    <col min="1293" max="1293" width="13.75" style="6" customWidth="1"/>
    <col min="1294" max="1295" width="9.75" style="6" customWidth="1"/>
    <col min="1296" max="1544" width="8.875" style="6"/>
    <col min="1545" max="1545" width="12" style="6" customWidth="1"/>
    <col min="1546" max="1546" width="7.125" style="6" customWidth="1"/>
    <col min="1547" max="1547" width="8.875" style="6"/>
    <col min="1548" max="1548" width="16" style="6" customWidth="1"/>
    <col min="1549" max="1549" width="13.75" style="6" customWidth="1"/>
    <col min="1550" max="1551" width="9.75" style="6" customWidth="1"/>
    <col min="1552" max="1800" width="8.875" style="6"/>
    <col min="1801" max="1801" width="12" style="6" customWidth="1"/>
    <col min="1802" max="1802" width="7.125" style="6" customWidth="1"/>
    <col min="1803" max="1803" width="8.875" style="6"/>
    <col min="1804" max="1804" width="16" style="6" customWidth="1"/>
    <col min="1805" max="1805" width="13.75" style="6" customWidth="1"/>
    <col min="1806" max="1807" width="9.75" style="6" customWidth="1"/>
    <col min="1808" max="2056" width="8.875" style="6"/>
    <col min="2057" max="2057" width="12" style="6" customWidth="1"/>
    <col min="2058" max="2058" width="7.125" style="6" customWidth="1"/>
    <col min="2059" max="2059" width="8.875" style="6"/>
    <col min="2060" max="2060" width="16" style="6" customWidth="1"/>
    <col min="2061" max="2061" width="13.75" style="6" customWidth="1"/>
    <col min="2062" max="2063" width="9.75" style="6" customWidth="1"/>
    <col min="2064" max="2312" width="8.875" style="6"/>
    <col min="2313" max="2313" width="12" style="6" customWidth="1"/>
    <col min="2314" max="2314" width="7.125" style="6" customWidth="1"/>
    <col min="2315" max="2315" width="8.875" style="6"/>
    <col min="2316" max="2316" width="16" style="6" customWidth="1"/>
    <col min="2317" max="2317" width="13.75" style="6" customWidth="1"/>
    <col min="2318" max="2319" width="9.75" style="6" customWidth="1"/>
    <col min="2320" max="2568" width="8.875" style="6"/>
    <col min="2569" max="2569" width="12" style="6" customWidth="1"/>
    <col min="2570" max="2570" width="7.125" style="6" customWidth="1"/>
    <col min="2571" max="2571" width="8.875" style="6"/>
    <col min="2572" max="2572" width="16" style="6" customWidth="1"/>
    <col min="2573" max="2573" width="13.75" style="6" customWidth="1"/>
    <col min="2574" max="2575" width="9.75" style="6" customWidth="1"/>
    <col min="2576" max="2824" width="8.875" style="6"/>
    <col min="2825" max="2825" width="12" style="6" customWidth="1"/>
    <col min="2826" max="2826" width="7.125" style="6" customWidth="1"/>
    <col min="2827" max="2827" width="8.875" style="6"/>
    <col min="2828" max="2828" width="16" style="6" customWidth="1"/>
    <col min="2829" max="2829" width="13.75" style="6" customWidth="1"/>
    <col min="2830" max="2831" width="9.75" style="6" customWidth="1"/>
    <col min="2832" max="3080" width="8.875" style="6"/>
    <col min="3081" max="3081" width="12" style="6" customWidth="1"/>
    <col min="3082" max="3082" width="7.125" style="6" customWidth="1"/>
    <col min="3083" max="3083" width="8.875" style="6"/>
    <col min="3084" max="3084" width="16" style="6" customWidth="1"/>
    <col min="3085" max="3085" width="13.75" style="6" customWidth="1"/>
    <col min="3086" max="3087" width="9.75" style="6" customWidth="1"/>
    <col min="3088" max="3336" width="8.875" style="6"/>
    <col min="3337" max="3337" width="12" style="6" customWidth="1"/>
    <col min="3338" max="3338" width="7.125" style="6" customWidth="1"/>
    <col min="3339" max="3339" width="8.875" style="6"/>
    <col min="3340" max="3340" width="16" style="6" customWidth="1"/>
    <col min="3341" max="3341" width="13.75" style="6" customWidth="1"/>
    <col min="3342" max="3343" width="9.75" style="6" customWidth="1"/>
    <col min="3344" max="3592" width="8.875" style="6"/>
    <col min="3593" max="3593" width="12" style="6" customWidth="1"/>
    <col min="3594" max="3594" width="7.125" style="6" customWidth="1"/>
    <col min="3595" max="3595" width="8.875" style="6"/>
    <col min="3596" max="3596" width="16" style="6" customWidth="1"/>
    <col min="3597" max="3597" width="13.75" style="6" customWidth="1"/>
    <col min="3598" max="3599" width="9.75" style="6" customWidth="1"/>
    <col min="3600" max="3848" width="8.875" style="6"/>
    <col min="3849" max="3849" width="12" style="6" customWidth="1"/>
    <col min="3850" max="3850" width="7.125" style="6" customWidth="1"/>
    <col min="3851" max="3851" width="8.875" style="6"/>
    <col min="3852" max="3852" width="16" style="6" customWidth="1"/>
    <col min="3853" max="3853" width="13.75" style="6" customWidth="1"/>
    <col min="3854" max="3855" width="9.75" style="6" customWidth="1"/>
    <col min="3856" max="4104" width="8.875" style="6"/>
    <col min="4105" max="4105" width="12" style="6" customWidth="1"/>
    <col min="4106" max="4106" width="7.125" style="6" customWidth="1"/>
    <col min="4107" max="4107" width="8.875" style="6"/>
    <col min="4108" max="4108" width="16" style="6" customWidth="1"/>
    <col min="4109" max="4109" width="13.75" style="6" customWidth="1"/>
    <col min="4110" max="4111" width="9.75" style="6" customWidth="1"/>
    <col min="4112" max="4360" width="8.875" style="6"/>
    <col min="4361" max="4361" width="12" style="6" customWidth="1"/>
    <col min="4362" max="4362" width="7.125" style="6" customWidth="1"/>
    <col min="4363" max="4363" width="8.875" style="6"/>
    <col min="4364" max="4364" width="16" style="6" customWidth="1"/>
    <col min="4365" max="4365" width="13.75" style="6" customWidth="1"/>
    <col min="4366" max="4367" width="9.75" style="6" customWidth="1"/>
    <col min="4368" max="4616" width="8.875" style="6"/>
    <col min="4617" max="4617" width="12" style="6" customWidth="1"/>
    <col min="4618" max="4618" width="7.125" style="6" customWidth="1"/>
    <col min="4619" max="4619" width="8.875" style="6"/>
    <col min="4620" max="4620" width="16" style="6" customWidth="1"/>
    <col min="4621" max="4621" width="13.75" style="6" customWidth="1"/>
    <col min="4622" max="4623" width="9.75" style="6" customWidth="1"/>
    <col min="4624" max="4872" width="8.875" style="6"/>
    <col min="4873" max="4873" width="12" style="6" customWidth="1"/>
    <col min="4874" max="4874" width="7.125" style="6" customWidth="1"/>
    <col min="4875" max="4875" width="8.875" style="6"/>
    <col min="4876" max="4876" width="16" style="6" customWidth="1"/>
    <col min="4877" max="4877" width="13.75" style="6" customWidth="1"/>
    <col min="4878" max="4879" width="9.75" style="6" customWidth="1"/>
    <col min="4880" max="5128" width="8.875" style="6"/>
    <col min="5129" max="5129" width="12" style="6" customWidth="1"/>
    <col min="5130" max="5130" width="7.125" style="6" customWidth="1"/>
    <col min="5131" max="5131" width="8.875" style="6"/>
    <col min="5132" max="5132" width="16" style="6" customWidth="1"/>
    <col min="5133" max="5133" width="13.75" style="6" customWidth="1"/>
    <col min="5134" max="5135" width="9.75" style="6" customWidth="1"/>
    <col min="5136" max="5384" width="8.875" style="6"/>
    <col min="5385" max="5385" width="12" style="6" customWidth="1"/>
    <col min="5386" max="5386" width="7.125" style="6" customWidth="1"/>
    <col min="5387" max="5387" width="8.875" style="6"/>
    <col min="5388" max="5388" width="16" style="6" customWidth="1"/>
    <col min="5389" max="5389" width="13.75" style="6" customWidth="1"/>
    <col min="5390" max="5391" width="9.75" style="6" customWidth="1"/>
    <col min="5392" max="5640" width="8.875" style="6"/>
    <col min="5641" max="5641" width="12" style="6" customWidth="1"/>
    <col min="5642" max="5642" width="7.125" style="6" customWidth="1"/>
    <col min="5643" max="5643" width="8.875" style="6"/>
    <col min="5644" max="5644" width="16" style="6" customWidth="1"/>
    <col min="5645" max="5645" width="13.75" style="6" customWidth="1"/>
    <col min="5646" max="5647" width="9.75" style="6" customWidth="1"/>
    <col min="5648" max="5896" width="8.875" style="6"/>
    <col min="5897" max="5897" width="12" style="6" customWidth="1"/>
    <col min="5898" max="5898" width="7.125" style="6" customWidth="1"/>
    <col min="5899" max="5899" width="8.875" style="6"/>
    <col min="5900" max="5900" width="16" style="6" customWidth="1"/>
    <col min="5901" max="5901" width="13.75" style="6" customWidth="1"/>
    <col min="5902" max="5903" width="9.75" style="6" customWidth="1"/>
    <col min="5904" max="6152" width="8.875" style="6"/>
    <col min="6153" max="6153" width="12" style="6" customWidth="1"/>
    <col min="6154" max="6154" width="7.125" style="6" customWidth="1"/>
    <col min="6155" max="6155" width="8.875" style="6"/>
    <col min="6156" max="6156" width="16" style="6" customWidth="1"/>
    <col min="6157" max="6157" width="13.75" style="6" customWidth="1"/>
    <col min="6158" max="6159" width="9.75" style="6" customWidth="1"/>
    <col min="6160" max="6408" width="8.875" style="6"/>
    <col min="6409" max="6409" width="12" style="6" customWidth="1"/>
    <col min="6410" max="6410" width="7.125" style="6" customWidth="1"/>
    <col min="6411" max="6411" width="8.875" style="6"/>
    <col min="6412" max="6412" width="16" style="6" customWidth="1"/>
    <col min="6413" max="6413" width="13.75" style="6" customWidth="1"/>
    <col min="6414" max="6415" width="9.75" style="6" customWidth="1"/>
    <col min="6416" max="6664" width="8.875" style="6"/>
    <col min="6665" max="6665" width="12" style="6" customWidth="1"/>
    <col min="6666" max="6666" width="7.125" style="6" customWidth="1"/>
    <col min="6667" max="6667" width="8.875" style="6"/>
    <col min="6668" max="6668" width="16" style="6" customWidth="1"/>
    <col min="6669" max="6669" width="13.75" style="6" customWidth="1"/>
    <col min="6670" max="6671" width="9.75" style="6" customWidth="1"/>
    <col min="6672" max="6920" width="8.875" style="6"/>
    <col min="6921" max="6921" width="12" style="6" customWidth="1"/>
    <col min="6922" max="6922" width="7.125" style="6" customWidth="1"/>
    <col min="6923" max="6923" width="8.875" style="6"/>
    <col min="6924" max="6924" width="16" style="6" customWidth="1"/>
    <col min="6925" max="6925" width="13.75" style="6" customWidth="1"/>
    <col min="6926" max="6927" width="9.75" style="6" customWidth="1"/>
    <col min="6928" max="7176" width="8.875" style="6"/>
    <col min="7177" max="7177" width="12" style="6" customWidth="1"/>
    <col min="7178" max="7178" width="7.125" style="6" customWidth="1"/>
    <col min="7179" max="7179" width="8.875" style="6"/>
    <col min="7180" max="7180" width="16" style="6" customWidth="1"/>
    <col min="7181" max="7181" width="13.75" style="6" customWidth="1"/>
    <col min="7182" max="7183" width="9.75" style="6" customWidth="1"/>
    <col min="7184" max="7432" width="8.875" style="6"/>
    <col min="7433" max="7433" width="12" style="6" customWidth="1"/>
    <col min="7434" max="7434" width="7.125" style="6" customWidth="1"/>
    <col min="7435" max="7435" width="8.875" style="6"/>
    <col min="7436" max="7436" width="16" style="6" customWidth="1"/>
    <col min="7437" max="7437" width="13.75" style="6" customWidth="1"/>
    <col min="7438" max="7439" width="9.75" style="6" customWidth="1"/>
    <col min="7440" max="7688" width="8.875" style="6"/>
    <col min="7689" max="7689" width="12" style="6" customWidth="1"/>
    <col min="7690" max="7690" width="7.125" style="6" customWidth="1"/>
    <col min="7691" max="7691" width="8.875" style="6"/>
    <col min="7692" max="7692" width="16" style="6" customWidth="1"/>
    <col min="7693" max="7693" width="13.75" style="6" customWidth="1"/>
    <col min="7694" max="7695" width="9.75" style="6" customWidth="1"/>
    <col min="7696" max="7944" width="8.875" style="6"/>
    <col min="7945" max="7945" width="12" style="6" customWidth="1"/>
    <col min="7946" max="7946" width="7.125" style="6" customWidth="1"/>
    <col min="7947" max="7947" width="8.875" style="6"/>
    <col min="7948" max="7948" width="16" style="6" customWidth="1"/>
    <col min="7949" max="7949" width="13.75" style="6" customWidth="1"/>
    <col min="7950" max="7951" width="9.75" style="6" customWidth="1"/>
    <col min="7952" max="8200" width="8.875" style="6"/>
    <col min="8201" max="8201" width="12" style="6" customWidth="1"/>
    <col min="8202" max="8202" width="7.125" style="6" customWidth="1"/>
    <col min="8203" max="8203" width="8.875" style="6"/>
    <col min="8204" max="8204" width="16" style="6" customWidth="1"/>
    <col min="8205" max="8205" width="13.75" style="6" customWidth="1"/>
    <col min="8206" max="8207" width="9.75" style="6" customWidth="1"/>
    <col min="8208" max="8456" width="8.875" style="6"/>
    <col min="8457" max="8457" width="12" style="6" customWidth="1"/>
    <col min="8458" max="8458" width="7.125" style="6" customWidth="1"/>
    <col min="8459" max="8459" width="8.875" style="6"/>
    <col min="8460" max="8460" width="16" style="6" customWidth="1"/>
    <col min="8461" max="8461" width="13.75" style="6" customWidth="1"/>
    <col min="8462" max="8463" width="9.75" style="6" customWidth="1"/>
    <col min="8464" max="8712" width="8.875" style="6"/>
    <col min="8713" max="8713" width="12" style="6" customWidth="1"/>
    <col min="8714" max="8714" width="7.125" style="6" customWidth="1"/>
    <col min="8715" max="8715" width="8.875" style="6"/>
    <col min="8716" max="8716" width="16" style="6" customWidth="1"/>
    <col min="8717" max="8717" width="13.75" style="6" customWidth="1"/>
    <col min="8718" max="8719" width="9.75" style="6" customWidth="1"/>
    <col min="8720" max="8968" width="8.875" style="6"/>
    <col min="8969" max="8969" width="12" style="6" customWidth="1"/>
    <col min="8970" max="8970" width="7.125" style="6" customWidth="1"/>
    <col min="8971" max="8971" width="8.875" style="6"/>
    <col min="8972" max="8972" width="16" style="6" customWidth="1"/>
    <col min="8973" max="8973" width="13.75" style="6" customWidth="1"/>
    <col min="8974" max="8975" width="9.75" style="6" customWidth="1"/>
    <col min="8976" max="9224" width="8.875" style="6"/>
    <col min="9225" max="9225" width="12" style="6" customWidth="1"/>
    <col min="9226" max="9226" width="7.125" style="6" customWidth="1"/>
    <col min="9227" max="9227" width="8.875" style="6"/>
    <col min="9228" max="9228" width="16" style="6" customWidth="1"/>
    <col min="9229" max="9229" width="13.75" style="6" customWidth="1"/>
    <col min="9230" max="9231" width="9.75" style="6" customWidth="1"/>
    <col min="9232" max="9480" width="8.875" style="6"/>
    <col min="9481" max="9481" width="12" style="6" customWidth="1"/>
    <col min="9482" max="9482" width="7.125" style="6" customWidth="1"/>
    <col min="9483" max="9483" width="8.875" style="6"/>
    <col min="9484" max="9484" width="16" style="6" customWidth="1"/>
    <col min="9485" max="9485" width="13.75" style="6" customWidth="1"/>
    <col min="9486" max="9487" width="9.75" style="6" customWidth="1"/>
    <col min="9488" max="9736" width="8.875" style="6"/>
    <col min="9737" max="9737" width="12" style="6" customWidth="1"/>
    <col min="9738" max="9738" width="7.125" style="6" customWidth="1"/>
    <col min="9739" max="9739" width="8.875" style="6"/>
    <col min="9740" max="9740" width="16" style="6" customWidth="1"/>
    <col min="9741" max="9741" width="13.75" style="6" customWidth="1"/>
    <col min="9742" max="9743" width="9.75" style="6" customWidth="1"/>
    <col min="9744" max="9992" width="8.875" style="6"/>
    <col min="9993" max="9993" width="12" style="6" customWidth="1"/>
    <col min="9994" max="9994" width="7.125" style="6" customWidth="1"/>
    <col min="9995" max="9995" width="8.875" style="6"/>
    <col min="9996" max="9996" width="16" style="6" customWidth="1"/>
    <col min="9997" max="9997" width="13.75" style="6" customWidth="1"/>
    <col min="9998" max="9999" width="9.75" style="6" customWidth="1"/>
    <col min="10000" max="10248" width="8.875" style="6"/>
    <col min="10249" max="10249" width="12" style="6" customWidth="1"/>
    <col min="10250" max="10250" width="7.125" style="6" customWidth="1"/>
    <col min="10251" max="10251" width="8.875" style="6"/>
    <col min="10252" max="10252" width="16" style="6" customWidth="1"/>
    <col min="10253" max="10253" width="13.75" style="6" customWidth="1"/>
    <col min="10254" max="10255" width="9.75" style="6" customWidth="1"/>
    <col min="10256" max="10504" width="8.875" style="6"/>
    <col min="10505" max="10505" width="12" style="6" customWidth="1"/>
    <col min="10506" max="10506" width="7.125" style="6" customWidth="1"/>
    <col min="10507" max="10507" width="8.875" style="6"/>
    <col min="10508" max="10508" width="16" style="6" customWidth="1"/>
    <col min="10509" max="10509" width="13.75" style="6" customWidth="1"/>
    <col min="10510" max="10511" width="9.75" style="6" customWidth="1"/>
    <col min="10512" max="10760" width="8.875" style="6"/>
    <col min="10761" max="10761" width="12" style="6" customWidth="1"/>
    <col min="10762" max="10762" width="7.125" style="6" customWidth="1"/>
    <col min="10763" max="10763" width="8.875" style="6"/>
    <col min="10764" max="10764" width="16" style="6" customWidth="1"/>
    <col min="10765" max="10765" width="13.75" style="6" customWidth="1"/>
    <col min="10766" max="10767" width="9.75" style="6" customWidth="1"/>
    <col min="10768" max="11016" width="8.875" style="6"/>
    <col min="11017" max="11017" width="12" style="6" customWidth="1"/>
    <col min="11018" max="11018" width="7.125" style="6" customWidth="1"/>
    <col min="11019" max="11019" width="8.875" style="6"/>
    <col min="11020" max="11020" width="16" style="6" customWidth="1"/>
    <col min="11021" max="11021" width="13.75" style="6" customWidth="1"/>
    <col min="11022" max="11023" width="9.75" style="6" customWidth="1"/>
    <col min="11024" max="11272" width="8.875" style="6"/>
    <col min="11273" max="11273" width="12" style="6" customWidth="1"/>
    <col min="11274" max="11274" width="7.125" style="6" customWidth="1"/>
    <col min="11275" max="11275" width="8.875" style="6"/>
    <col min="11276" max="11276" width="16" style="6" customWidth="1"/>
    <col min="11277" max="11277" width="13.75" style="6" customWidth="1"/>
    <col min="11278" max="11279" width="9.75" style="6" customWidth="1"/>
    <col min="11280" max="11528" width="8.875" style="6"/>
    <col min="11529" max="11529" width="12" style="6" customWidth="1"/>
    <col min="11530" max="11530" width="7.125" style="6" customWidth="1"/>
    <col min="11531" max="11531" width="8.875" style="6"/>
    <col min="11532" max="11532" width="16" style="6" customWidth="1"/>
    <col min="11533" max="11533" width="13.75" style="6" customWidth="1"/>
    <col min="11534" max="11535" width="9.75" style="6" customWidth="1"/>
    <col min="11536" max="11784" width="8.875" style="6"/>
    <col min="11785" max="11785" width="12" style="6" customWidth="1"/>
    <col min="11786" max="11786" width="7.125" style="6" customWidth="1"/>
    <col min="11787" max="11787" width="8.875" style="6"/>
    <col min="11788" max="11788" width="16" style="6" customWidth="1"/>
    <col min="11789" max="11789" width="13.75" style="6" customWidth="1"/>
    <col min="11790" max="11791" width="9.75" style="6" customWidth="1"/>
    <col min="11792" max="12040" width="8.875" style="6"/>
    <col min="12041" max="12041" width="12" style="6" customWidth="1"/>
    <col min="12042" max="12042" width="7.125" style="6" customWidth="1"/>
    <col min="12043" max="12043" width="8.875" style="6"/>
    <col min="12044" max="12044" width="16" style="6" customWidth="1"/>
    <col min="12045" max="12045" width="13.75" style="6" customWidth="1"/>
    <col min="12046" max="12047" width="9.75" style="6" customWidth="1"/>
    <col min="12048" max="12296" width="8.875" style="6"/>
    <col min="12297" max="12297" width="12" style="6" customWidth="1"/>
    <col min="12298" max="12298" width="7.125" style="6" customWidth="1"/>
    <col min="12299" max="12299" width="8.875" style="6"/>
    <col min="12300" max="12300" width="16" style="6" customWidth="1"/>
    <col min="12301" max="12301" width="13.75" style="6" customWidth="1"/>
    <col min="12302" max="12303" width="9.75" style="6" customWidth="1"/>
    <col min="12304" max="12552" width="8.875" style="6"/>
    <col min="12553" max="12553" width="12" style="6" customWidth="1"/>
    <col min="12554" max="12554" width="7.125" style="6" customWidth="1"/>
    <col min="12555" max="12555" width="8.875" style="6"/>
    <col min="12556" max="12556" width="16" style="6" customWidth="1"/>
    <col min="12557" max="12557" width="13.75" style="6" customWidth="1"/>
    <col min="12558" max="12559" width="9.75" style="6" customWidth="1"/>
    <col min="12560" max="12808" width="8.875" style="6"/>
    <col min="12809" max="12809" width="12" style="6" customWidth="1"/>
    <col min="12810" max="12810" width="7.125" style="6" customWidth="1"/>
    <col min="12811" max="12811" width="8.875" style="6"/>
    <col min="12812" max="12812" width="16" style="6" customWidth="1"/>
    <col min="12813" max="12813" width="13.75" style="6" customWidth="1"/>
    <col min="12814" max="12815" width="9.75" style="6" customWidth="1"/>
    <col min="12816" max="13064" width="8.875" style="6"/>
    <col min="13065" max="13065" width="12" style="6" customWidth="1"/>
    <col min="13066" max="13066" width="7.125" style="6" customWidth="1"/>
    <col min="13067" max="13067" width="8.875" style="6"/>
    <col min="13068" max="13068" width="16" style="6" customWidth="1"/>
    <col min="13069" max="13069" width="13.75" style="6" customWidth="1"/>
    <col min="13070" max="13071" width="9.75" style="6" customWidth="1"/>
    <col min="13072" max="13320" width="8.875" style="6"/>
    <col min="13321" max="13321" width="12" style="6" customWidth="1"/>
    <col min="13322" max="13322" width="7.125" style="6" customWidth="1"/>
    <col min="13323" max="13323" width="8.875" style="6"/>
    <col min="13324" max="13324" width="16" style="6" customWidth="1"/>
    <col min="13325" max="13325" width="13.75" style="6" customWidth="1"/>
    <col min="13326" max="13327" width="9.75" style="6" customWidth="1"/>
    <col min="13328" max="13576" width="8.875" style="6"/>
    <col min="13577" max="13577" width="12" style="6" customWidth="1"/>
    <col min="13578" max="13578" width="7.125" style="6" customWidth="1"/>
    <col min="13579" max="13579" width="8.875" style="6"/>
    <col min="13580" max="13580" width="16" style="6" customWidth="1"/>
    <col min="13581" max="13581" width="13.75" style="6" customWidth="1"/>
    <col min="13582" max="13583" width="9.75" style="6" customWidth="1"/>
    <col min="13584" max="13832" width="8.875" style="6"/>
    <col min="13833" max="13833" width="12" style="6" customWidth="1"/>
    <col min="13834" max="13834" width="7.125" style="6" customWidth="1"/>
    <col min="13835" max="13835" width="8.875" style="6"/>
    <col min="13836" max="13836" width="16" style="6" customWidth="1"/>
    <col min="13837" max="13837" width="13.75" style="6" customWidth="1"/>
    <col min="13838" max="13839" width="9.75" style="6" customWidth="1"/>
    <col min="13840" max="14088" width="8.875" style="6"/>
    <col min="14089" max="14089" width="12" style="6" customWidth="1"/>
    <col min="14090" max="14090" width="7.125" style="6" customWidth="1"/>
    <col min="14091" max="14091" width="8.875" style="6"/>
    <col min="14092" max="14092" width="16" style="6" customWidth="1"/>
    <col min="14093" max="14093" width="13.75" style="6" customWidth="1"/>
    <col min="14094" max="14095" width="9.75" style="6" customWidth="1"/>
    <col min="14096" max="14344" width="8.875" style="6"/>
    <col min="14345" max="14345" width="12" style="6" customWidth="1"/>
    <col min="14346" max="14346" width="7.125" style="6" customWidth="1"/>
    <col min="14347" max="14347" width="8.875" style="6"/>
    <col min="14348" max="14348" width="16" style="6" customWidth="1"/>
    <col min="14349" max="14349" width="13.75" style="6" customWidth="1"/>
    <col min="14350" max="14351" width="9.75" style="6" customWidth="1"/>
    <col min="14352" max="14600" width="8.875" style="6"/>
    <col min="14601" max="14601" width="12" style="6" customWidth="1"/>
    <col min="14602" max="14602" width="7.125" style="6" customWidth="1"/>
    <col min="14603" max="14603" width="8.875" style="6"/>
    <col min="14604" max="14604" width="16" style="6" customWidth="1"/>
    <col min="14605" max="14605" width="13.75" style="6" customWidth="1"/>
    <col min="14606" max="14607" width="9.75" style="6" customWidth="1"/>
    <col min="14608" max="14856" width="8.875" style="6"/>
    <col min="14857" max="14857" width="12" style="6" customWidth="1"/>
    <col min="14858" max="14858" width="7.125" style="6" customWidth="1"/>
    <col min="14859" max="14859" width="8.875" style="6"/>
    <col min="14860" max="14860" width="16" style="6" customWidth="1"/>
    <col min="14861" max="14861" width="13.75" style="6" customWidth="1"/>
    <col min="14862" max="14863" width="9.75" style="6" customWidth="1"/>
    <col min="14864" max="15112" width="8.875" style="6"/>
    <col min="15113" max="15113" width="12" style="6" customWidth="1"/>
    <col min="15114" max="15114" width="7.125" style="6" customWidth="1"/>
    <col min="15115" max="15115" width="8.875" style="6"/>
    <col min="15116" max="15116" width="16" style="6" customWidth="1"/>
    <col min="15117" max="15117" width="13.75" style="6" customWidth="1"/>
    <col min="15118" max="15119" width="9.75" style="6" customWidth="1"/>
    <col min="15120" max="15368" width="8.875" style="6"/>
    <col min="15369" max="15369" width="12" style="6" customWidth="1"/>
    <col min="15370" max="15370" width="7.125" style="6" customWidth="1"/>
    <col min="15371" max="15371" width="8.875" style="6"/>
    <col min="15372" max="15372" width="16" style="6" customWidth="1"/>
    <col min="15373" max="15373" width="13.75" style="6" customWidth="1"/>
    <col min="15374" max="15375" width="9.75" style="6" customWidth="1"/>
    <col min="15376" max="15624" width="8.875" style="6"/>
    <col min="15625" max="15625" width="12" style="6" customWidth="1"/>
    <col min="15626" max="15626" width="7.125" style="6" customWidth="1"/>
    <col min="15627" max="15627" width="8.875" style="6"/>
    <col min="15628" max="15628" width="16" style="6" customWidth="1"/>
    <col min="15629" max="15629" width="13.75" style="6" customWidth="1"/>
    <col min="15630" max="15631" width="9.75" style="6" customWidth="1"/>
    <col min="15632" max="15880" width="8.875" style="6"/>
    <col min="15881" max="15881" width="12" style="6" customWidth="1"/>
    <col min="15882" max="15882" width="7.125" style="6" customWidth="1"/>
    <col min="15883" max="15883" width="8.875" style="6"/>
    <col min="15884" max="15884" width="16" style="6" customWidth="1"/>
    <col min="15885" max="15885" width="13.75" style="6" customWidth="1"/>
    <col min="15886" max="15887" width="9.75" style="6" customWidth="1"/>
    <col min="15888" max="16136" width="8.875" style="6"/>
    <col min="16137" max="16137" width="12" style="6" customWidth="1"/>
    <col min="16138" max="16138" width="7.125" style="6" customWidth="1"/>
    <col min="16139" max="16139" width="8.875" style="6"/>
    <col min="16140" max="16140" width="16" style="6" customWidth="1"/>
    <col min="16141" max="16141" width="13.75" style="6" customWidth="1"/>
    <col min="16142" max="16143" width="9.75" style="6" customWidth="1"/>
    <col min="16144" max="16384" width="8.875" style="6"/>
  </cols>
  <sheetData>
    <row r="1" spans="1:21" s="2" customFormat="1" ht="23.25" customHeight="1" thickBot="1">
      <c r="A1" s="1" t="e">
        <f>IF(SUM(2:2)=0,"OK","NOK")</f>
        <v>#DIV/0!</v>
      </c>
      <c r="F1" s="43" t="s">
        <v>4590</v>
      </c>
      <c r="G1" s="1085" t="s">
        <v>4603</v>
      </c>
      <c r="H1" s="1086"/>
      <c r="I1" s="1085" t="s">
        <v>355</v>
      </c>
      <c r="J1" s="1086"/>
      <c r="K1" s="1085" t="s">
        <v>8279</v>
      </c>
      <c r="L1" s="1086"/>
      <c r="M1" s="1085" t="s">
        <v>8285</v>
      </c>
      <c r="N1" s="1086"/>
      <c r="O1" s="1085" t="s">
        <v>8289</v>
      </c>
      <c r="P1" s="1086"/>
      <c r="Q1" s="44"/>
      <c r="R1" s="48" t="s">
        <v>10</v>
      </c>
    </row>
    <row r="2" spans="1:21" ht="13.5" thickBot="1">
      <c r="A2" s="3"/>
      <c r="B2" s="3"/>
      <c r="C2" s="3"/>
      <c r="D2" s="3"/>
      <c r="E2" s="3"/>
      <c r="F2" s="2"/>
      <c r="G2" s="4" t="s">
        <v>0</v>
      </c>
      <c r="H2" s="5">
        <f>SUMX2MY2(G5:G5000,H5:H5000)</f>
        <v>-1.5452517945186983E-3</v>
      </c>
      <c r="I2" s="4" t="s">
        <v>0</v>
      </c>
      <c r="J2" s="5">
        <f>SUMX2MY2(I5:I5000,J5:J5000)</f>
        <v>0</v>
      </c>
      <c r="K2" s="4" t="s">
        <v>0</v>
      </c>
      <c r="L2" s="5" t="e">
        <f>SUMX2MY2(K5:K5000,L5:L5000)</f>
        <v>#DIV/0!</v>
      </c>
      <c r="M2" s="552" t="s">
        <v>0</v>
      </c>
      <c r="N2" s="183" t="e">
        <f>SUMX2MY2(M5:M5000,N5:N5000)</f>
        <v>#DIV/0!</v>
      </c>
      <c r="O2" s="567" t="s">
        <v>0</v>
      </c>
      <c r="P2" s="183">
        <f>SUMX2MY2(O5:O5000,P5:P5000)</f>
        <v>1.1457980849845839E-2</v>
      </c>
    </row>
    <row r="3" spans="1:21" ht="27.75" customHeight="1">
      <c r="A3" s="35" t="s">
        <v>1</v>
      </c>
      <c r="B3" s="36" t="s">
        <v>2</v>
      </c>
      <c r="C3" s="36" t="s">
        <v>3</v>
      </c>
      <c r="D3" s="36" t="s">
        <v>4</v>
      </c>
      <c r="E3" s="1087" t="s">
        <v>7</v>
      </c>
      <c r="F3" s="1088"/>
      <c r="G3" s="7" t="s">
        <v>5</v>
      </c>
      <c r="H3" s="8" t="s">
        <v>6</v>
      </c>
      <c r="I3" s="7" t="s">
        <v>5</v>
      </c>
      <c r="J3" s="8" t="s">
        <v>6</v>
      </c>
      <c r="K3" s="7" t="s">
        <v>5</v>
      </c>
      <c r="L3" s="8" t="s">
        <v>6</v>
      </c>
      <c r="M3" s="553" t="s">
        <v>5</v>
      </c>
      <c r="N3" s="554" t="s">
        <v>6</v>
      </c>
      <c r="O3" s="568" t="s">
        <v>5</v>
      </c>
      <c r="P3" s="569" t="s">
        <v>6</v>
      </c>
    </row>
    <row r="4" spans="1:21" ht="15.75" customHeight="1" thickBot="1">
      <c r="A4" s="34"/>
      <c r="B4" s="33"/>
      <c r="C4" s="33"/>
      <c r="D4" s="33"/>
      <c r="E4" s="41" t="s">
        <v>9</v>
      </c>
      <c r="F4" s="42" t="s">
        <v>8</v>
      </c>
      <c r="G4" s="38">
        <v>0</v>
      </c>
      <c r="H4" s="39">
        <v>0</v>
      </c>
      <c r="I4" s="38">
        <v>0</v>
      </c>
      <c r="J4" s="39">
        <v>0</v>
      </c>
      <c r="K4" s="38">
        <v>0</v>
      </c>
      <c r="L4" s="39">
        <v>0</v>
      </c>
      <c r="M4" s="562">
        <v>0</v>
      </c>
      <c r="N4" s="563">
        <v>0</v>
      </c>
      <c r="O4" s="575">
        <v>0</v>
      </c>
      <c r="P4" s="576">
        <v>0</v>
      </c>
      <c r="R4" s="828" t="s">
        <v>10518</v>
      </c>
      <c r="S4" s="829" t="s">
        <v>10519</v>
      </c>
      <c r="T4" s="829" t="s">
        <v>10520</v>
      </c>
      <c r="U4" s="836" t="s">
        <v>10521</v>
      </c>
    </row>
    <row r="5" spans="1:21" s="471" customFormat="1">
      <c r="A5" s="201" t="str">
        <f>VLOOKUP($F5,Drum_from_BP!$J:$M,2,0)</f>
        <v>DZ2103-Win.pdf; 0002-05-21-0001.tif</v>
      </c>
      <c r="B5" s="200"/>
      <c r="C5" s="474"/>
      <c r="D5" s="480"/>
      <c r="E5" s="475"/>
      <c r="F5" s="481" t="s">
        <v>494</v>
      </c>
      <c r="G5" s="482">
        <v>2.6890000000000001</v>
      </c>
      <c r="H5" s="460">
        <f>U5</f>
        <v>2.6890819184806634</v>
      </c>
      <c r="I5" s="482">
        <v>1.25</v>
      </c>
      <c r="J5" s="460">
        <f>VLOOKUP($F5,Drum_from_BP!$J:$M,4,0)</f>
        <v>1.25</v>
      </c>
      <c r="K5" s="482">
        <v>324.61547904869701</v>
      </c>
      <c r="L5" s="476"/>
      <c r="M5" s="557">
        <v>170337.946804857</v>
      </c>
      <c r="N5" s="460"/>
      <c r="O5" s="783">
        <v>3.2998994708998102</v>
      </c>
      <c r="P5" s="460">
        <v>3.3</v>
      </c>
      <c r="R5" s="832">
        <v>3.3</v>
      </c>
      <c r="S5" s="831">
        <v>1.25</v>
      </c>
      <c r="T5" s="831">
        <v>3.246</v>
      </c>
      <c r="U5" s="835">
        <f>R5*4/PI()/S5/S5</f>
        <v>2.6890819184806634</v>
      </c>
    </row>
    <row r="6" spans="1:21">
      <c r="A6" s="201" t="str">
        <f>VLOOKUP($F6,Drum_from_BP!$J:$M,2,0)</f>
        <v>0107-05-11-10005</v>
      </c>
      <c r="B6" s="200"/>
      <c r="C6" s="474"/>
      <c r="D6" s="480"/>
      <c r="E6" s="475"/>
      <c r="F6" s="481" t="s">
        <v>496</v>
      </c>
      <c r="G6" s="482">
        <v>6.9829999999999997</v>
      </c>
      <c r="H6" s="460">
        <f t="shared" ref="H6:H9" si="0">U6</f>
        <v>6.9833291356647962</v>
      </c>
      <c r="I6" s="482">
        <v>2.8</v>
      </c>
      <c r="J6" s="460">
        <f>VLOOKUP($F6,Drum_from_BP!$J:$M,4,0)</f>
        <v>2.8</v>
      </c>
      <c r="K6" s="19">
        <v>323.43134891785502</v>
      </c>
      <c r="L6" s="13"/>
      <c r="M6" s="557">
        <v>111350.448110438</v>
      </c>
      <c r="N6" s="460"/>
      <c r="O6" s="783">
        <v>42.997973340037198</v>
      </c>
      <c r="P6" s="460">
        <v>43</v>
      </c>
      <c r="R6" s="834">
        <v>43</v>
      </c>
      <c r="S6" s="830">
        <v>2.8</v>
      </c>
      <c r="T6" s="830">
        <v>6.2</v>
      </c>
      <c r="U6" s="835">
        <f t="shared" ref="U6:U10" si="1">R6*4/PI()/S6/S6</f>
        <v>6.9833291356647962</v>
      </c>
    </row>
    <row r="7" spans="1:21" s="471" customFormat="1">
      <c r="A7" s="201" t="str">
        <f>VLOOKUP($F7,Drum_from_BP!$J:$M,2,0)</f>
        <v>Dz2108  Pages from 0662-11562.pdf</v>
      </c>
      <c r="B7" s="200"/>
      <c r="C7" s="474"/>
      <c r="D7" s="480"/>
      <c r="E7" s="609"/>
      <c r="F7" s="556" t="s">
        <v>7776</v>
      </c>
      <c r="G7" s="482">
        <v>6.28760269005019</v>
      </c>
      <c r="H7" s="460">
        <f t="shared" si="0"/>
        <v>6.2876026900501865</v>
      </c>
      <c r="I7" s="482">
        <v>4.5</v>
      </c>
      <c r="J7" s="460">
        <f>VLOOKUP($F7,Drum_from_BP!$J:$M,4,0)</f>
        <v>4.5</v>
      </c>
      <c r="K7" s="482">
        <v>348.914214809562</v>
      </c>
      <c r="L7" s="476"/>
      <c r="M7" s="557">
        <v>101325</v>
      </c>
      <c r="N7" s="460"/>
      <c r="O7" s="783">
        <v>100.00000000000701</v>
      </c>
      <c r="P7" s="460">
        <v>100</v>
      </c>
      <c r="R7" s="833">
        <v>100</v>
      </c>
      <c r="S7" s="830">
        <v>4.5</v>
      </c>
      <c r="T7" s="830">
        <v>6.5</v>
      </c>
      <c r="U7" s="835">
        <f t="shared" si="1"/>
        <v>6.2876026900501865</v>
      </c>
    </row>
    <row r="8" spans="1:21">
      <c r="A8" s="201" t="str">
        <f>VLOOKUP($F8,Drum_from_BP!$J:$M,2,0)</f>
        <v>Dz2113A Pages from 0662-11558.pdf</v>
      </c>
      <c r="B8" s="200"/>
      <c r="C8" s="16"/>
      <c r="D8" s="17"/>
      <c r="E8" s="609"/>
      <c r="F8" s="465" t="s">
        <v>9013</v>
      </c>
      <c r="G8" s="614">
        <v>3.641</v>
      </c>
      <c r="H8" s="460">
        <f t="shared" si="0"/>
        <v>3.6407602139161872</v>
      </c>
      <c r="I8" s="614">
        <v>3.05</v>
      </c>
      <c r="J8" s="460">
        <f>VLOOKUP($F8,Drum_from_BP!$J:$M,4,0)</f>
        <v>3.05</v>
      </c>
      <c r="K8" s="614">
        <v>293.21553717189101</v>
      </c>
      <c r="L8" s="460"/>
      <c r="M8" s="614">
        <v>101325</v>
      </c>
      <c r="N8" s="460"/>
      <c r="O8" s="783">
        <v>26.6017519170341</v>
      </c>
      <c r="P8" s="460">
        <v>26.6</v>
      </c>
      <c r="R8" s="833">
        <v>26.6</v>
      </c>
      <c r="S8" s="830">
        <v>3.05</v>
      </c>
      <c r="T8" s="830">
        <v>3.65</v>
      </c>
      <c r="U8" s="835">
        <f t="shared" si="1"/>
        <v>3.6407602139161872</v>
      </c>
    </row>
    <row r="9" spans="1:21">
      <c r="A9" s="201" t="str">
        <f>VLOOKUP($F9,Drum_from_BP!$J:$M,2,0)</f>
        <v>Dz2113B Pages from 0662-11559.pdf</v>
      </c>
      <c r="B9" s="200"/>
      <c r="C9" s="16"/>
      <c r="D9" s="17"/>
      <c r="E9" s="609"/>
      <c r="F9" s="465" t="s">
        <v>9014</v>
      </c>
      <c r="G9" s="614">
        <v>3.641</v>
      </c>
      <c r="H9" s="460">
        <f t="shared" si="0"/>
        <v>3.6407602139161872</v>
      </c>
      <c r="I9" s="614">
        <v>3.05</v>
      </c>
      <c r="J9" s="460">
        <f>VLOOKUP($F9,Drum_from_BP!$J:$M,4,0)</f>
        <v>3.05</v>
      </c>
      <c r="K9" s="614">
        <v>293.21556086009701</v>
      </c>
      <c r="L9" s="460"/>
      <c r="M9" s="614">
        <v>101325</v>
      </c>
      <c r="N9" s="460"/>
      <c r="O9" s="783">
        <v>26.6017519170341</v>
      </c>
      <c r="P9" s="460">
        <v>26.6</v>
      </c>
      <c r="R9" s="833">
        <v>26.6</v>
      </c>
      <c r="S9" s="830">
        <v>3.05</v>
      </c>
      <c r="T9" s="830">
        <v>3.65</v>
      </c>
      <c r="U9" s="835">
        <f t="shared" si="1"/>
        <v>3.6407602139161872</v>
      </c>
    </row>
    <row r="10" spans="1:21">
      <c r="A10" s="837" t="s">
        <v>10447</v>
      </c>
      <c r="B10" s="10"/>
      <c r="C10" s="11"/>
      <c r="D10" s="797" t="s">
        <v>10447</v>
      </c>
      <c r="E10" s="838"/>
      <c r="F10" s="18" t="s">
        <v>5380</v>
      </c>
      <c r="G10" s="783">
        <v>2</v>
      </c>
      <c r="H10" s="13"/>
      <c r="I10" s="783">
        <v>1</v>
      </c>
      <c r="J10" s="13"/>
      <c r="K10" s="783">
        <v>357.36530388601199</v>
      </c>
      <c r="L10" s="13"/>
      <c r="M10" s="783">
        <v>101325</v>
      </c>
      <c r="N10" s="460"/>
      <c r="O10" s="783">
        <v>1.570796326795</v>
      </c>
      <c r="P10" s="460"/>
      <c r="R10" s="833"/>
      <c r="S10" s="830"/>
      <c r="T10" s="830"/>
      <c r="U10" s="835" t="e">
        <f t="shared" si="1"/>
        <v>#DIV/0!</v>
      </c>
    </row>
    <row r="11" spans="1:21">
      <c r="A11" s="201"/>
      <c r="B11" s="200"/>
      <c r="C11" s="16"/>
      <c r="D11" s="17"/>
      <c r="E11" s="609"/>
      <c r="F11" s="465"/>
      <c r="G11" s="557"/>
      <c r="H11" s="460"/>
      <c r="I11" s="557"/>
      <c r="J11" s="460"/>
      <c r="K11" s="557"/>
      <c r="L11" s="460"/>
      <c r="M11" s="557"/>
      <c r="N11" s="460"/>
      <c r="O11" s="783"/>
      <c r="P11" s="460"/>
      <c r="R11" s="833"/>
      <c r="S11" s="830"/>
      <c r="T11" s="830"/>
      <c r="U11" s="831"/>
    </row>
    <row r="12" spans="1:21">
      <c r="A12" s="201"/>
      <c r="B12" s="200"/>
      <c r="C12" s="16"/>
      <c r="D12" s="17"/>
      <c r="E12" s="609"/>
      <c r="F12" s="465"/>
      <c r="G12" s="557"/>
      <c r="H12" s="460"/>
      <c r="I12" s="557"/>
      <c r="J12" s="460"/>
      <c r="K12" s="557"/>
      <c r="L12" s="460"/>
      <c r="M12" s="557"/>
      <c r="N12" s="460"/>
      <c r="O12" s="783"/>
      <c r="P12" s="460"/>
    </row>
    <row r="13" spans="1:21">
      <c r="A13" s="201"/>
      <c r="B13" s="200"/>
      <c r="C13" s="16"/>
      <c r="D13" s="17"/>
      <c r="E13" s="609"/>
      <c r="F13" s="465"/>
      <c r="G13" s="557"/>
      <c r="H13" s="460"/>
      <c r="I13" s="557"/>
      <c r="J13" s="460"/>
      <c r="K13" s="557"/>
      <c r="L13" s="460"/>
      <c r="M13" s="557"/>
      <c r="N13" s="460"/>
      <c r="O13" s="783"/>
      <c r="P13" s="460"/>
    </row>
    <row r="14" spans="1:21">
      <c r="A14" s="201"/>
      <c r="B14" s="200"/>
      <c r="C14" s="16"/>
      <c r="D14" s="17"/>
      <c r="E14" s="609"/>
      <c r="F14" s="465"/>
      <c r="G14" s="557"/>
      <c r="H14" s="460"/>
      <c r="I14" s="557"/>
      <c r="J14" s="460"/>
      <c r="K14" s="557"/>
      <c r="L14" s="460"/>
      <c r="M14" s="557"/>
      <c r="N14" s="460"/>
      <c r="O14" s="783"/>
      <c r="P14" s="460"/>
    </row>
    <row r="15" spans="1:21" s="753" customFormat="1">
      <c r="A15" s="745"/>
      <c r="B15" s="757"/>
      <c r="C15" s="758"/>
      <c r="D15" s="759"/>
      <c r="E15" s="754"/>
      <c r="F15" s="760"/>
      <c r="G15" s="761"/>
      <c r="H15" s="765"/>
      <c r="I15" s="761"/>
      <c r="J15" s="765"/>
      <c r="K15" s="761"/>
      <c r="L15" s="765"/>
      <c r="M15" s="761"/>
      <c r="N15" s="765"/>
      <c r="O15" s="783"/>
      <c r="P15" s="772"/>
    </row>
    <row r="16" spans="1:21">
      <c r="A16" s="14"/>
      <c r="B16" s="15"/>
      <c r="C16" s="16"/>
      <c r="D16" s="17"/>
      <c r="E16" s="12"/>
      <c r="F16" s="18"/>
      <c r="G16" s="19"/>
      <c r="H16" s="13"/>
      <c r="I16" s="19"/>
      <c r="J16" s="13"/>
      <c r="K16" s="19"/>
      <c r="L16" s="13"/>
      <c r="M16" s="557"/>
      <c r="N16" s="460"/>
      <c r="O16" s="783"/>
      <c r="P16" s="460"/>
    </row>
    <row r="17" spans="1:16">
      <c r="A17" s="14"/>
      <c r="B17" s="15"/>
      <c r="C17" s="16"/>
      <c r="D17" s="17"/>
      <c r="E17" s="12"/>
      <c r="F17" s="18"/>
      <c r="G17" s="19"/>
      <c r="H17" s="13"/>
      <c r="I17" s="19"/>
      <c r="J17" s="13"/>
      <c r="K17" s="19"/>
      <c r="L17" s="13"/>
      <c r="M17" s="557"/>
      <c r="N17" s="460"/>
      <c r="O17" s="783"/>
      <c r="P17" s="460"/>
    </row>
    <row r="18" spans="1:16">
      <c r="A18" s="14"/>
      <c r="B18" s="15"/>
      <c r="C18" s="16"/>
      <c r="D18" s="17"/>
      <c r="E18" s="12"/>
      <c r="F18" s="18"/>
      <c r="G18" s="19"/>
      <c r="H18" s="13"/>
      <c r="I18" s="19"/>
      <c r="J18" s="13"/>
      <c r="K18" s="19"/>
      <c r="L18" s="13"/>
      <c r="M18" s="557"/>
      <c r="N18" s="460"/>
      <c r="O18" s="783"/>
      <c r="P18" s="460"/>
    </row>
    <row r="19" spans="1:16">
      <c r="A19" s="14"/>
      <c r="B19" s="15"/>
      <c r="C19" s="16"/>
      <c r="D19" s="17"/>
      <c r="E19" s="12"/>
      <c r="F19" s="18"/>
      <c r="G19" s="19"/>
      <c r="H19" s="13"/>
      <c r="I19" s="19"/>
      <c r="J19" s="13"/>
      <c r="K19" s="19"/>
      <c r="L19" s="13"/>
      <c r="M19" s="557"/>
      <c r="N19" s="460"/>
      <c r="O19" s="783"/>
      <c r="P19" s="460"/>
    </row>
    <row r="20" spans="1:16">
      <c r="A20" s="14"/>
      <c r="B20" s="15"/>
      <c r="C20" s="16"/>
      <c r="D20" s="17"/>
      <c r="E20" s="12"/>
      <c r="F20" s="18"/>
      <c r="G20" s="19"/>
      <c r="H20" s="13"/>
      <c r="I20" s="19"/>
      <c r="J20" s="13"/>
      <c r="K20" s="19"/>
      <c r="L20" s="13"/>
      <c r="M20" s="557"/>
      <c r="N20" s="460"/>
      <c r="O20" s="783"/>
      <c r="P20" s="460"/>
    </row>
    <row r="21" spans="1:16">
      <c r="A21" s="14"/>
      <c r="B21" s="15"/>
      <c r="C21" s="16"/>
      <c r="D21" s="17"/>
      <c r="E21" s="12"/>
      <c r="F21" s="18"/>
      <c r="G21" s="19"/>
      <c r="H21" s="13"/>
      <c r="I21" s="19"/>
      <c r="J21" s="13"/>
      <c r="K21" s="19"/>
      <c r="L21" s="13"/>
      <c r="M21" s="557"/>
      <c r="N21" s="460"/>
      <c r="O21" s="783"/>
      <c r="P21" s="460"/>
    </row>
    <row r="22" spans="1:16">
      <c r="A22" s="14"/>
      <c r="B22" s="15"/>
      <c r="C22" s="16"/>
      <c r="D22" s="17"/>
      <c r="E22" s="12"/>
      <c r="F22" s="18"/>
      <c r="G22" s="19"/>
      <c r="H22" s="13"/>
      <c r="I22" s="19"/>
      <c r="J22" s="13"/>
      <c r="K22" s="19"/>
      <c r="L22" s="13"/>
      <c r="M22" s="557"/>
      <c r="N22" s="460"/>
      <c r="O22" s="783"/>
      <c r="P22" s="460"/>
    </row>
    <row r="23" spans="1:16">
      <c r="A23" s="14"/>
      <c r="B23" s="15"/>
      <c r="C23" s="16"/>
      <c r="D23" s="17"/>
      <c r="E23" s="12"/>
      <c r="F23" s="18"/>
      <c r="G23" s="19"/>
      <c r="H23" s="13"/>
      <c r="I23" s="19"/>
      <c r="J23" s="13"/>
      <c r="K23" s="19"/>
      <c r="L23" s="13"/>
      <c r="M23" s="557"/>
      <c r="N23" s="460"/>
      <c r="O23" s="783"/>
      <c r="P23" s="460"/>
    </row>
    <row r="24" spans="1:16">
      <c r="A24" s="14"/>
      <c r="B24" s="15"/>
      <c r="C24" s="16"/>
      <c r="D24" s="17"/>
      <c r="E24" s="12"/>
      <c r="F24" s="18"/>
      <c r="G24" s="19"/>
      <c r="H24" s="13"/>
      <c r="I24" s="19"/>
      <c r="J24" s="13"/>
      <c r="K24" s="19"/>
      <c r="L24" s="13"/>
      <c r="M24" s="557"/>
      <c r="N24" s="460"/>
      <c r="O24" s="783"/>
      <c r="P24" s="460"/>
    </row>
    <row r="25" spans="1:16">
      <c r="A25" s="14"/>
      <c r="B25" s="15"/>
      <c r="C25" s="16"/>
      <c r="D25" s="17"/>
      <c r="E25" s="12"/>
      <c r="F25" s="18"/>
      <c r="G25" s="19"/>
      <c r="H25" s="13"/>
      <c r="I25" s="19"/>
      <c r="J25" s="13"/>
      <c r="K25" s="19"/>
      <c r="L25" s="13"/>
      <c r="M25" s="557"/>
      <c r="N25" s="460"/>
      <c r="O25" s="783"/>
      <c r="P25" s="460"/>
    </row>
    <row r="26" spans="1:16">
      <c r="A26" s="14"/>
      <c r="B26" s="15"/>
      <c r="C26" s="16"/>
      <c r="D26" s="17"/>
      <c r="E26" s="12"/>
      <c r="F26" s="18"/>
      <c r="G26" s="19"/>
      <c r="H26" s="13"/>
      <c r="I26" s="19"/>
      <c r="J26" s="13"/>
      <c r="K26" s="19"/>
      <c r="L26" s="13"/>
      <c r="M26" s="557"/>
      <c r="N26" s="460"/>
      <c r="O26" s="783"/>
      <c r="P26" s="460"/>
    </row>
    <row r="27" spans="1:16">
      <c r="A27" s="14"/>
      <c r="B27" s="15"/>
      <c r="C27" s="16"/>
      <c r="D27" s="17"/>
      <c r="E27" s="12"/>
      <c r="F27" s="18"/>
      <c r="G27" s="19"/>
      <c r="H27" s="13"/>
      <c r="I27" s="19"/>
      <c r="J27" s="13"/>
      <c r="K27" s="19"/>
      <c r="L27" s="13"/>
      <c r="M27" s="557"/>
      <c r="N27" s="460"/>
      <c r="O27" s="783"/>
      <c r="P27" s="460"/>
    </row>
    <row r="28" spans="1:16">
      <c r="A28" s="14"/>
      <c r="B28" s="15"/>
      <c r="C28" s="16"/>
      <c r="D28" s="17"/>
      <c r="E28" s="12"/>
      <c r="F28" s="18"/>
      <c r="G28" s="19"/>
      <c r="H28" s="13"/>
      <c r="I28" s="19"/>
      <c r="J28" s="13"/>
      <c r="K28" s="19"/>
      <c r="L28" s="13"/>
      <c r="M28" s="557"/>
      <c r="N28" s="460"/>
      <c r="O28" s="783"/>
      <c r="P28" s="460"/>
    </row>
    <row r="29" spans="1:16">
      <c r="A29" s="14"/>
      <c r="B29" s="15"/>
      <c r="C29" s="16"/>
      <c r="D29" s="17"/>
      <c r="E29" s="12"/>
      <c r="F29" s="18"/>
      <c r="G29" s="19"/>
      <c r="H29" s="13"/>
      <c r="I29" s="19"/>
      <c r="J29" s="13"/>
      <c r="K29" s="19"/>
      <c r="L29" s="13"/>
      <c r="M29" s="557"/>
      <c r="N29" s="460"/>
      <c r="O29" s="783"/>
      <c r="P29" s="460"/>
    </row>
    <row r="30" spans="1:16">
      <c r="A30" s="14"/>
      <c r="B30" s="15"/>
      <c r="C30" s="16"/>
      <c r="D30" s="17"/>
      <c r="E30" s="12"/>
      <c r="F30" s="18"/>
      <c r="G30" s="19"/>
      <c r="H30" s="13"/>
      <c r="I30" s="19"/>
      <c r="J30" s="13"/>
      <c r="K30" s="19"/>
      <c r="L30" s="13"/>
      <c r="M30" s="557"/>
      <c r="N30" s="460"/>
      <c r="O30" s="783"/>
      <c r="P30" s="460"/>
    </row>
    <row r="31" spans="1:16">
      <c r="A31" s="14"/>
      <c r="B31" s="15"/>
      <c r="C31" s="16"/>
      <c r="D31" s="17"/>
      <c r="E31" s="12"/>
      <c r="F31" s="18"/>
      <c r="G31" s="19"/>
      <c r="H31" s="13"/>
      <c r="I31" s="19"/>
      <c r="J31" s="13"/>
      <c r="K31" s="19"/>
      <c r="L31" s="13"/>
      <c r="M31" s="557"/>
      <c r="N31" s="460"/>
      <c r="O31" s="783"/>
      <c r="P31" s="460"/>
    </row>
    <row r="32" spans="1:16">
      <c r="A32" s="14"/>
      <c r="B32" s="15"/>
      <c r="C32" s="16"/>
      <c r="D32" s="17"/>
      <c r="E32" s="12"/>
      <c r="F32" s="18"/>
      <c r="G32" s="19"/>
      <c r="H32" s="13"/>
      <c r="I32" s="19"/>
      <c r="J32" s="13"/>
      <c r="K32" s="19"/>
      <c r="L32" s="13"/>
      <c r="M32" s="557"/>
      <c r="N32" s="460"/>
      <c r="O32" s="783"/>
      <c r="P32" s="460"/>
    </row>
    <row r="33" spans="1:16">
      <c r="A33" s="14"/>
      <c r="B33" s="15"/>
      <c r="C33" s="16"/>
      <c r="D33" s="17"/>
      <c r="E33" s="12"/>
      <c r="F33" s="18"/>
      <c r="G33" s="19"/>
      <c r="H33" s="13"/>
      <c r="I33" s="19"/>
      <c r="J33" s="13"/>
      <c r="K33" s="19"/>
      <c r="L33" s="13"/>
      <c r="M33" s="557"/>
      <c r="N33" s="460"/>
      <c r="O33" s="783"/>
      <c r="P33" s="460"/>
    </row>
    <row r="34" spans="1:16">
      <c r="A34" s="14"/>
      <c r="B34" s="15"/>
      <c r="C34" s="16"/>
      <c r="D34" s="17"/>
      <c r="E34" s="12"/>
      <c r="F34" s="18"/>
      <c r="G34" s="19"/>
      <c r="H34" s="13"/>
      <c r="I34" s="19"/>
      <c r="J34" s="13"/>
      <c r="K34" s="19"/>
      <c r="L34" s="13"/>
      <c r="M34" s="557"/>
      <c r="N34" s="460"/>
      <c r="O34" s="783"/>
      <c r="P34" s="460"/>
    </row>
    <row r="35" spans="1:16">
      <c r="A35" s="14"/>
      <c r="B35" s="15"/>
      <c r="C35" s="16"/>
      <c r="D35" s="17"/>
      <c r="E35" s="12"/>
      <c r="F35" s="18"/>
      <c r="G35" s="19"/>
      <c r="H35" s="13"/>
      <c r="I35" s="19"/>
      <c r="J35" s="13"/>
      <c r="K35" s="19"/>
      <c r="L35" s="13"/>
      <c r="M35" s="557"/>
      <c r="N35" s="460"/>
      <c r="O35" s="783"/>
      <c r="P35" s="460"/>
    </row>
    <row r="36" spans="1:16">
      <c r="A36" s="14"/>
      <c r="B36" s="15"/>
      <c r="C36" s="16"/>
      <c r="D36" s="17"/>
      <c r="E36" s="12"/>
      <c r="F36" s="18"/>
      <c r="G36" s="19"/>
      <c r="H36" s="13"/>
      <c r="I36" s="19"/>
      <c r="J36" s="13"/>
      <c r="K36" s="19"/>
      <c r="L36" s="13"/>
      <c r="M36" s="557"/>
      <c r="N36" s="460"/>
      <c r="O36" s="783"/>
      <c r="P36" s="460"/>
    </row>
    <row r="37" spans="1:16">
      <c r="A37" s="14"/>
      <c r="B37" s="15"/>
      <c r="C37" s="16"/>
      <c r="D37" s="17"/>
      <c r="E37" s="12"/>
      <c r="F37" s="18"/>
      <c r="G37" s="19"/>
      <c r="H37" s="13"/>
      <c r="I37" s="19"/>
      <c r="J37" s="13"/>
      <c r="K37" s="19"/>
      <c r="L37" s="13"/>
      <c r="M37" s="557"/>
      <c r="N37" s="460"/>
      <c r="O37" s="783"/>
      <c r="P37" s="460"/>
    </row>
    <row r="38" spans="1:16">
      <c r="A38" s="14"/>
      <c r="B38" s="15"/>
      <c r="C38" s="16"/>
      <c r="D38" s="17"/>
      <c r="E38" s="12"/>
      <c r="F38" s="18"/>
      <c r="G38" s="19"/>
      <c r="H38" s="13"/>
      <c r="I38" s="19"/>
      <c r="J38" s="13"/>
      <c r="K38" s="19"/>
      <c r="L38" s="13"/>
      <c r="M38" s="557"/>
      <c r="N38" s="460"/>
      <c r="O38" s="783"/>
      <c r="P38" s="460"/>
    </row>
    <row r="39" spans="1:16">
      <c r="A39" s="14"/>
      <c r="B39" s="15"/>
      <c r="C39" s="16"/>
      <c r="D39" s="17"/>
      <c r="E39" s="12"/>
      <c r="F39" s="18"/>
      <c r="G39" s="19"/>
      <c r="H39" s="13"/>
      <c r="I39" s="19"/>
      <c r="J39" s="13"/>
      <c r="K39" s="19"/>
      <c r="L39" s="13"/>
      <c r="M39" s="557"/>
      <c r="N39" s="460"/>
      <c r="O39" s="783"/>
      <c r="P39" s="460"/>
    </row>
    <row r="40" spans="1:16">
      <c r="A40" s="14"/>
      <c r="B40" s="15"/>
      <c r="C40" s="16"/>
      <c r="D40" s="17"/>
      <c r="E40" s="12"/>
      <c r="F40" s="18"/>
      <c r="G40" s="19"/>
      <c r="H40" s="13"/>
      <c r="I40" s="19"/>
      <c r="J40" s="13"/>
      <c r="K40" s="19"/>
      <c r="L40" s="13"/>
      <c r="M40" s="557"/>
      <c r="N40" s="460"/>
      <c r="O40" s="783"/>
      <c r="P40" s="460"/>
    </row>
    <row r="41" spans="1:16">
      <c r="A41" s="14"/>
      <c r="B41" s="15"/>
      <c r="C41" s="16"/>
      <c r="D41" s="17"/>
      <c r="E41" s="12"/>
      <c r="F41" s="18"/>
      <c r="G41" s="19"/>
      <c r="H41" s="13"/>
      <c r="I41" s="19"/>
      <c r="J41" s="13"/>
      <c r="K41" s="19"/>
      <c r="L41" s="13"/>
      <c r="M41" s="557"/>
      <c r="N41" s="460"/>
      <c r="O41" s="783"/>
      <c r="P41" s="460"/>
    </row>
    <row r="42" spans="1:16">
      <c r="A42" s="14"/>
      <c r="B42" s="15"/>
      <c r="C42" s="16"/>
      <c r="D42" s="17"/>
      <c r="E42" s="12"/>
      <c r="F42" s="18"/>
      <c r="G42" s="19"/>
      <c r="H42" s="13"/>
      <c r="I42" s="19"/>
      <c r="J42" s="13"/>
      <c r="K42" s="19"/>
      <c r="L42" s="13"/>
      <c r="M42" s="557"/>
      <c r="N42" s="460"/>
      <c r="O42" s="783"/>
      <c r="P42" s="460"/>
    </row>
    <row r="43" spans="1:16">
      <c r="A43" s="14"/>
      <c r="B43" s="15"/>
      <c r="C43" s="16"/>
      <c r="D43" s="17"/>
      <c r="E43" s="12"/>
      <c r="F43" s="18"/>
      <c r="G43" s="19"/>
      <c r="H43" s="13"/>
      <c r="I43" s="19"/>
      <c r="J43" s="13"/>
      <c r="K43" s="19"/>
      <c r="L43" s="13"/>
      <c r="M43" s="557"/>
      <c r="N43" s="460"/>
      <c r="O43" s="783"/>
      <c r="P43" s="460"/>
    </row>
    <row r="44" spans="1:16">
      <c r="A44" s="14"/>
      <c r="B44" s="15"/>
      <c r="C44" s="16"/>
      <c r="D44" s="17"/>
      <c r="E44" s="12"/>
      <c r="F44" s="18"/>
      <c r="G44" s="19"/>
      <c r="H44" s="13"/>
      <c r="I44" s="19"/>
      <c r="J44" s="13"/>
      <c r="K44" s="19"/>
      <c r="L44" s="13"/>
      <c r="M44" s="557"/>
      <c r="N44" s="460"/>
      <c r="O44" s="783"/>
      <c r="P44" s="460"/>
    </row>
    <row r="45" spans="1:16">
      <c r="A45" s="14"/>
      <c r="B45" s="15"/>
      <c r="C45" s="16"/>
      <c r="D45" s="17"/>
      <c r="E45" s="12"/>
      <c r="F45" s="18"/>
      <c r="G45" s="19"/>
      <c r="H45" s="13"/>
      <c r="I45" s="19"/>
      <c r="J45" s="13"/>
      <c r="K45" s="19"/>
      <c r="L45" s="13"/>
      <c r="M45" s="557"/>
      <c r="N45" s="460"/>
      <c r="O45" s="783"/>
      <c r="P45" s="460"/>
    </row>
    <row r="46" spans="1:16">
      <c r="A46" s="14"/>
      <c r="B46" s="15"/>
      <c r="C46" s="16"/>
      <c r="D46" s="17"/>
      <c r="E46" s="12"/>
      <c r="F46" s="18"/>
      <c r="G46" s="19"/>
      <c r="H46" s="13"/>
      <c r="I46" s="19"/>
      <c r="J46" s="13"/>
      <c r="K46" s="19"/>
      <c r="L46" s="13"/>
      <c r="M46" s="557"/>
      <c r="N46" s="460"/>
      <c r="O46" s="783"/>
      <c r="P46" s="460"/>
    </row>
    <row r="47" spans="1:16">
      <c r="A47" s="14"/>
      <c r="B47" s="15"/>
      <c r="C47" s="16"/>
      <c r="D47" s="17"/>
      <c r="E47" s="12"/>
      <c r="F47" s="18"/>
      <c r="G47" s="19"/>
      <c r="H47" s="13"/>
      <c r="I47" s="19"/>
      <c r="J47" s="13"/>
      <c r="K47" s="19"/>
      <c r="L47" s="13"/>
      <c r="M47" s="557"/>
      <c r="N47" s="460"/>
      <c r="O47" s="783"/>
      <c r="P47" s="460"/>
    </row>
    <row r="48" spans="1:16">
      <c r="A48" s="14"/>
      <c r="B48" s="15"/>
      <c r="C48" s="16"/>
      <c r="D48" s="17"/>
      <c r="E48" s="12"/>
      <c r="F48" s="18"/>
      <c r="G48" s="19"/>
      <c r="H48" s="13"/>
      <c r="I48" s="19"/>
      <c r="J48" s="13"/>
      <c r="K48" s="19"/>
      <c r="L48" s="13"/>
      <c r="M48" s="557"/>
      <c r="N48" s="460"/>
      <c r="O48" s="783"/>
      <c r="P48" s="460"/>
    </row>
    <row r="49" spans="1:16">
      <c r="A49" s="14"/>
      <c r="B49" s="15"/>
      <c r="C49" s="16"/>
      <c r="D49" s="17"/>
      <c r="E49" s="12"/>
      <c r="F49" s="18"/>
      <c r="G49" s="19"/>
      <c r="H49" s="13"/>
      <c r="I49" s="19"/>
      <c r="J49" s="13"/>
      <c r="K49" s="19"/>
      <c r="L49" s="13"/>
      <c r="M49" s="557"/>
      <c r="N49" s="460"/>
      <c r="O49" s="783"/>
      <c r="P49" s="460"/>
    </row>
    <row r="50" spans="1:16">
      <c r="A50" s="14"/>
      <c r="B50" s="15"/>
      <c r="C50" s="16"/>
      <c r="D50" s="17"/>
      <c r="E50" s="12"/>
      <c r="F50" s="18"/>
      <c r="G50" s="19"/>
      <c r="H50" s="13"/>
      <c r="I50" s="19"/>
      <c r="J50" s="13"/>
      <c r="K50" s="19"/>
      <c r="L50" s="13"/>
      <c r="M50" s="557"/>
      <c r="N50" s="460"/>
      <c r="O50" s="783"/>
      <c r="P50" s="460"/>
    </row>
    <row r="51" spans="1:16">
      <c r="A51" s="14"/>
      <c r="B51" s="15"/>
      <c r="C51" s="16"/>
      <c r="D51" s="17"/>
      <c r="E51" s="12"/>
      <c r="F51" s="18"/>
      <c r="G51" s="19"/>
      <c r="H51" s="13"/>
      <c r="I51" s="19"/>
      <c r="J51" s="13"/>
      <c r="K51" s="19"/>
      <c r="L51" s="13"/>
      <c r="M51" s="557"/>
      <c r="N51" s="460"/>
      <c r="O51" s="783"/>
      <c r="P51" s="460"/>
    </row>
    <row r="52" spans="1:16">
      <c r="A52" s="14"/>
      <c r="B52" s="15"/>
      <c r="C52" s="16"/>
      <c r="D52" s="17"/>
      <c r="E52" s="12"/>
      <c r="F52" s="18"/>
      <c r="G52" s="19"/>
      <c r="H52" s="13"/>
      <c r="I52" s="19"/>
      <c r="J52" s="13"/>
      <c r="K52" s="19"/>
      <c r="L52" s="13"/>
      <c r="M52" s="557"/>
      <c r="N52" s="460"/>
      <c r="O52" s="783"/>
      <c r="P52" s="460"/>
    </row>
    <row r="53" spans="1:16">
      <c r="A53" s="14"/>
      <c r="B53" s="15"/>
      <c r="C53" s="16"/>
      <c r="D53" s="17"/>
      <c r="E53" s="12"/>
      <c r="F53" s="18"/>
      <c r="G53" s="19"/>
      <c r="H53" s="13"/>
      <c r="I53" s="19"/>
      <c r="J53" s="13"/>
      <c r="K53" s="19"/>
      <c r="L53" s="13"/>
      <c r="M53" s="557"/>
      <c r="N53" s="460"/>
      <c r="O53" s="783"/>
      <c r="P53" s="460"/>
    </row>
    <row r="54" spans="1:16">
      <c r="A54" s="14"/>
      <c r="B54" s="15"/>
      <c r="C54" s="16"/>
      <c r="D54" s="17"/>
      <c r="E54" s="12"/>
      <c r="F54" s="18"/>
      <c r="G54" s="19"/>
      <c r="H54" s="13"/>
      <c r="I54" s="19"/>
      <c r="J54" s="13"/>
      <c r="K54" s="19"/>
      <c r="L54" s="13"/>
      <c r="M54" s="557"/>
      <c r="N54" s="460"/>
      <c r="O54" s="783"/>
      <c r="P54" s="460"/>
    </row>
    <row r="55" spans="1:16">
      <c r="A55" s="14"/>
      <c r="B55" s="15"/>
      <c r="C55" s="16"/>
      <c r="D55" s="17"/>
      <c r="E55" s="12"/>
      <c r="F55" s="18"/>
      <c r="G55" s="19"/>
      <c r="H55" s="13"/>
      <c r="I55" s="19"/>
      <c r="J55" s="13"/>
      <c r="K55" s="19"/>
      <c r="L55" s="13"/>
      <c r="M55" s="557"/>
      <c r="N55" s="460"/>
      <c r="O55" s="783"/>
      <c r="P55" s="460"/>
    </row>
    <row r="56" spans="1:16">
      <c r="A56" s="14"/>
      <c r="B56" s="15"/>
      <c r="C56" s="16"/>
      <c r="D56" s="17"/>
      <c r="E56" s="12"/>
      <c r="F56" s="18"/>
      <c r="G56" s="19"/>
      <c r="H56" s="13"/>
      <c r="I56" s="19"/>
      <c r="J56" s="13"/>
      <c r="K56" s="19"/>
      <c r="L56" s="13"/>
      <c r="M56" s="557"/>
      <c r="N56" s="460"/>
      <c r="O56" s="783"/>
      <c r="P56" s="460"/>
    </row>
    <row r="57" spans="1:16">
      <c r="A57" s="14"/>
      <c r="B57" s="15"/>
      <c r="C57" s="16"/>
      <c r="D57" s="17"/>
      <c r="E57" s="12"/>
      <c r="F57" s="18"/>
      <c r="G57" s="19"/>
      <c r="H57" s="13"/>
      <c r="I57" s="19"/>
      <c r="J57" s="13"/>
      <c r="K57" s="19"/>
      <c r="L57" s="13"/>
      <c r="M57" s="557"/>
      <c r="N57" s="460"/>
      <c r="O57" s="783"/>
      <c r="P57" s="460"/>
    </row>
    <row r="58" spans="1:16">
      <c r="A58" s="14"/>
      <c r="B58" s="15"/>
      <c r="C58" s="16"/>
      <c r="D58" s="17"/>
      <c r="E58" s="12"/>
      <c r="F58" s="18"/>
      <c r="G58" s="19"/>
      <c r="H58" s="13"/>
      <c r="I58" s="19"/>
      <c r="J58" s="13"/>
      <c r="K58" s="19"/>
      <c r="L58" s="13"/>
      <c r="M58" s="557"/>
      <c r="N58" s="460"/>
      <c r="O58" s="783"/>
      <c r="P58" s="460"/>
    </row>
    <row r="59" spans="1:16">
      <c r="A59" s="14"/>
      <c r="B59" s="15"/>
      <c r="C59" s="16"/>
      <c r="D59" s="17"/>
      <c r="E59" s="12"/>
      <c r="F59" s="18"/>
      <c r="G59" s="19"/>
      <c r="H59" s="13"/>
      <c r="I59" s="19"/>
      <c r="J59" s="13"/>
      <c r="K59" s="19"/>
      <c r="L59" s="13"/>
      <c r="M59" s="557"/>
      <c r="N59" s="460"/>
      <c r="O59" s="783"/>
      <c r="P59" s="460"/>
    </row>
    <row r="60" spans="1:16">
      <c r="A60" s="14"/>
      <c r="B60" s="15"/>
      <c r="C60" s="16"/>
      <c r="D60" s="17"/>
      <c r="E60" s="12"/>
      <c r="F60" s="18"/>
      <c r="G60" s="19"/>
      <c r="H60" s="13"/>
      <c r="I60" s="19"/>
      <c r="J60" s="13"/>
      <c r="K60" s="19"/>
      <c r="L60" s="13"/>
      <c r="M60" s="557"/>
      <c r="N60" s="460"/>
      <c r="O60" s="783"/>
      <c r="P60" s="460"/>
    </row>
    <row r="61" spans="1:16">
      <c r="A61" s="14"/>
      <c r="B61" s="15"/>
      <c r="C61" s="16"/>
      <c r="D61" s="17"/>
      <c r="E61" s="12"/>
      <c r="F61" s="18"/>
      <c r="G61" s="19"/>
      <c r="H61" s="13"/>
      <c r="I61" s="19"/>
      <c r="J61" s="13"/>
      <c r="K61" s="19"/>
      <c r="L61" s="13"/>
      <c r="M61" s="557"/>
      <c r="N61" s="460"/>
      <c r="O61" s="783"/>
      <c r="P61" s="460"/>
    </row>
    <row r="62" spans="1:16">
      <c r="A62" s="14"/>
      <c r="B62" s="15"/>
      <c r="C62" s="16"/>
      <c r="D62" s="17"/>
      <c r="E62" s="12"/>
      <c r="F62" s="18"/>
      <c r="G62" s="19"/>
      <c r="H62" s="13"/>
      <c r="I62" s="19"/>
      <c r="J62" s="13"/>
      <c r="K62" s="19"/>
      <c r="L62" s="13"/>
      <c r="M62" s="557"/>
      <c r="N62" s="460"/>
      <c r="O62" s="783"/>
      <c r="P62" s="460"/>
    </row>
    <row r="63" spans="1:16">
      <c r="A63" s="14"/>
      <c r="B63" s="15"/>
      <c r="C63" s="16"/>
      <c r="D63" s="17"/>
      <c r="E63" s="12"/>
      <c r="F63" s="18"/>
      <c r="G63" s="19"/>
      <c r="H63" s="13"/>
      <c r="I63" s="19"/>
      <c r="J63" s="13"/>
      <c r="K63" s="19"/>
      <c r="L63" s="13"/>
      <c r="M63" s="557"/>
      <c r="N63" s="460"/>
      <c r="O63" s="783"/>
      <c r="P63" s="460"/>
    </row>
    <row r="64" spans="1:16">
      <c r="A64" s="14"/>
      <c r="B64" s="15"/>
      <c r="C64" s="16"/>
      <c r="D64" s="17"/>
      <c r="E64" s="12"/>
      <c r="F64" s="18"/>
      <c r="G64" s="19"/>
      <c r="H64" s="13"/>
      <c r="I64" s="19"/>
      <c r="J64" s="13"/>
      <c r="K64" s="19"/>
      <c r="L64" s="13"/>
      <c r="M64" s="557"/>
      <c r="N64" s="460"/>
      <c r="O64" s="783"/>
      <c r="P64" s="460"/>
    </row>
    <row r="65" spans="1:16">
      <c r="A65" s="14"/>
      <c r="B65" s="15"/>
      <c r="C65" s="16"/>
      <c r="D65" s="17"/>
      <c r="E65" s="12"/>
      <c r="F65" s="18"/>
      <c r="G65" s="19"/>
      <c r="H65" s="13"/>
      <c r="I65" s="19"/>
      <c r="J65" s="13"/>
      <c r="K65" s="19"/>
      <c r="L65" s="13"/>
      <c r="M65" s="557"/>
      <c r="N65" s="460"/>
      <c r="O65" s="783"/>
      <c r="P65" s="460"/>
    </row>
    <row r="66" spans="1:16">
      <c r="A66" s="14"/>
      <c r="B66" s="15"/>
      <c r="C66" s="16"/>
      <c r="D66" s="17"/>
      <c r="E66" s="12"/>
      <c r="F66" s="18"/>
      <c r="G66" s="19"/>
      <c r="H66" s="13"/>
      <c r="I66" s="19"/>
      <c r="J66" s="13"/>
      <c r="K66" s="19"/>
      <c r="L66" s="13"/>
      <c r="M66" s="557"/>
      <c r="N66" s="460"/>
      <c r="O66" s="783"/>
      <c r="P66" s="460"/>
    </row>
    <row r="67" spans="1:16">
      <c r="A67" s="14"/>
      <c r="B67" s="15"/>
      <c r="C67" s="16"/>
      <c r="D67" s="17"/>
      <c r="E67" s="12"/>
      <c r="F67" s="18"/>
      <c r="G67" s="19"/>
      <c r="H67" s="13"/>
      <c r="I67" s="19"/>
      <c r="J67" s="13"/>
      <c r="K67" s="19"/>
      <c r="L67" s="13"/>
      <c r="M67" s="557"/>
      <c r="N67" s="460"/>
      <c r="O67" s="783"/>
      <c r="P67" s="460"/>
    </row>
    <row r="68" spans="1:16">
      <c r="A68" s="14"/>
      <c r="B68" s="15"/>
      <c r="C68" s="16"/>
      <c r="D68" s="17"/>
      <c r="E68" s="12"/>
      <c r="F68" s="18"/>
      <c r="G68" s="19"/>
      <c r="H68" s="13"/>
      <c r="I68" s="19"/>
      <c r="J68" s="13"/>
      <c r="K68" s="19"/>
      <c r="L68" s="13"/>
      <c r="M68" s="557"/>
      <c r="N68" s="460"/>
      <c r="O68" s="783"/>
      <c r="P68" s="460"/>
    </row>
    <row r="69" spans="1:16">
      <c r="A69" s="14"/>
      <c r="B69" s="15"/>
      <c r="C69" s="16"/>
      <c r="D69" s="17"/>
      <c r="E69" s="12"/>
      <c r="F69" s="18"/>
      <c r="G69" s="19"/>
      <c r="H69" s="13"/>
      <c r="I69" s="19"/>
      <c r="J69" s="13"/>
      <c r="K69" s="19"/>
      <c r="L69" s="13"/>
      <c r="M69" s="557"/>
      <c r="N69" s="460"/>
      <c r="O69" s="783"/>
      <c r="P69" s="460"/>
    </row>
    <row r="70" spans="1:16">
      <c r="A70" s="14"/>
      <c r="B70" s="15"/>
      <c r="C70" s="16"/>
      <c r="D70" s="17"/>
      <c r="E70" s="12"/>
      <c r="F70" s="18"/>
      <c r="G70" s="19"/>
      <c r="H70" s="13"/>
      <c r="I70" s="19"/>
      <c r="J70" s="13"/>
      <c r="K70" s="19"/>
      <c r="L70" s="13"/>
      <c r="M70" s="557"/>
      <c r="N70" s="460"/>
      <c r="O70" s="783"/>
      <c r="P70" s="460"/>
    </row>
    <row r="71" spans="1:16">
      <c r="A71" s="14"/>
      <c r="B71" s="15"/>
      <c r="C71" s="16"/>
      <c r="D71" s="17"/>
      <c r="E71" s="12"/>
      <c r="F71" s="18"/>
      <c r="G71" s="19"/>
      <c r="H71" s="13"/>
      <c r="I71" s="19"/>
      <c r="J71" s="13"/>
      <c r="K71" s="19"/>
      <c r="L71" s="13"/>
      <c r="M71" s="557"/>
      <c r="N71" s="460"/>
      <c r="O71" s="783"/>
      <c r="P71" s="460"/>
    </row>
    <row r="72" spans="1:16">
      <c r="A72" s="14"/>
      <c r="B72" s="15"/>
      <c r="C72" s="16"/>
      <c r="D72" s="17"/>
      <c r="E72" s="12"/>
      <c r="F72" s="18"/>
      <c r="G72" s="19"/>
      <c r="H72" s="13"/>
      <c r="I72" s="19"/>
      <c r="J72" s="13"/>
      <c r="K72" s="19"/>
      <c r="L72" s="13"/>
      <c r="M72" s="557"/>
      <c r="N72" s="460"/>
      <c r="O72" s="783"/>
      <c r="P72" s="460"/>
    </row>
    <row r="73" spans="1:16">
      <c r="A73" s="14"/>
      <c r="B73" s="15"/>
      <c r="C73" s="16"/>
      <c r="D73" s="17"/>
      <c r="E73" s="12"/>
      <c r="F73" s="18"/>
      <c r="G73" s="19"/>
      <c r="H73" s="13"/>
      <c r="I73" s="19"/>
      <c r="J73" s="13"/>
      <c r="K73" s="19"/>
      <c r="L73" s="13"/>
      <c r="M73" s="557"/>
      <c r="N73" s="460"/>
      <c r="O73" s="783"/>
      <c r="P73" s="460"/>
    </row>
    <row r="74" spans="1:16">
      <c r="A74" s="14"/>
      <c r="B74" s="15"/>
      <c r="C74" s="16"/>
      <c r="D74" s="17"/>
      <c r="E74" s="12"/>
      <c r="F74" s="18"/>
      <c r="G74" s="19"/>
      <c r="H74" s="13"/>
      <c r="I74" s="19"/>
      <c r="J74" s="13"/>
      <c r="K74" s="19"/>
      <c r="L74" s="13"/>
      <c r="M74" s="557"/>
      <c r="N74" s="460"/>
      <c r="O74" s="783"/>
      <c r="P74" s="460"/>
    </row>
    <row r="75" spans="1:16">
      <c r="A75" s="14"/>
      <c r="B75" s="15"/>
      <c r="C75" s="16"/>
      <c r="D75" s="17"/>
      <c r="E75" s="12"/>
      <c r="F75" s="18"/>
      <c r="G75" s="19"/>
      <c r="H75" s="13"/>
      <c r="I75" s="19"/>
      <c r="J75" s="13"/>
      <c r="K75" s="19"/>
      <c r="L75" s="13"/>
      <c r="M75" s="557"/>
      <c r="N75" s="460"/>
      <c r="O75" s="783"/>
      <c r="P75" s="460"/>
    </row>
    <row r="76" spans="1:16">
      <c r="A76" s="14"/>
      <c r="B76" s="15"/>
      <c r="C76" s="16"/>
      <c r="D76" s="17"/>
      <c r="E76" s="12"/>
      <c r="F76" s="18"/>
      <c r="G76" s="19"/>
      <c r="H76" s="13"/>
      <c r="I76" s="19"/>
      <c r="J76" s="13"/>
      <c r="K76" s="19"/>
      <c r="L76" s="13"/>
      <c r="M76" s="557"/>
      <c r="N76" s="460"/>
      <c r="O76" s="783"/>
      <c r="P76" s="460"/>
    </row>
    <row r="77" spans="1:16">
      <c r="A77" s="14"/>
      <c r="B77" s="15"/>
      <c r="C77" s="16"/>
      <c r="D77" s="17"/>
      <c r="E77" s="12"/>
      <c r="F77" s="18"/>
      <c r="G77" s="19"/>
      <c r="H77" s="13"/>
      <c r="I77" s="19"/>
      <c r="J77" s="13"/>
      <c r="K77" s="19"/>
      <c r="L77" s="13"/>
      <c r="M77" s="557"/>
      <c r="N77" s="460"/>
      <c r="O77" s="783"/>
      <c r="P77" s="460"/>
    </row>
    <row r="78" spans="1:16">
      <c r="A78" s="14"/>
      <c r="B78" s="15"/>
      <c r="C78" s="16"/>
      <c r="D78" s="17"/>
      <c r="E78" s="12"/>
      <c r="F78" s="18"/>
      <c r="G78" s="19"/>
      <c r="H78" s="13"/>
      <c r="I78" s="19"/>
      <c r="J78" s="13"/>
      <c r="K78" s="19"/>
      <c r="L78" s="13"/>
      <c r="M78" s="557"/>
      <c r="N78" s="460"/>
      <c r="O78" s="783"/>
      <c r="P78" s="460"/>
    </row>
    <row r="79" spans="1:16">
      <c r="A79" s="14"/>
      <c r="B79" s="15"/>
      <c r="C79" s="16"/>
      <c r="D79" s="17"/>
      <c r="E79" s="12"/>
      <c r="F79" s="18"/>
      <c r="G79" s="19"/>
      <c r="H79" s="13"/>
      <c r="I79" s="19"/>
      <c r="J79" s="13"/>
      <c r="K79" s="19"/>
      <c r="L79" s="13"/>
      <c r="M79" s="557"/>
      <c r="N79" s="460"/>
      <c r="O79" s="783"/>
      <c r="P79" s="460"/>
    </row>
    <row r="80" spans="1:16">
      <c r="A80" s="14"/>
      <c r="B80" s="15"/>
      <c r="C80" s="16"/>
      <c r="D80" s="17"/>
      <c r="E80" s="12"/>
      <c r="F80" s="18"/>
      <c r="G80" s="19"/>
      <c r="H80" s="13"/>
      <c r="I80" s="19"/>
      <c r="J80" s="13"/>
      <c r="K80" s="19"/>
      <c r="L80" s="13"/>
      <c r="M80" s="557"/>
      <c r="N80" s="460"/>
      <c r="O80" s="783"/>
      <c r="P80" s="460"/>
    </row>
    <row r="81" spans="1:16">
      <c r="A81" s="14"/>
      <c r="B81" s="15"/>
      <c r="C81" s="16"/>
      <c r="D81" s="17"/>
      <c r="E81" s="12"/>
      <c r="F81" s="18"/>
      <c r="G81" s="19"/>
      <c r="H81" s="13"/>
      <c r="I81" s="19"/>
      <c r="J81" s="13"/>
      <c r="K81" s="19"/>
      <c r="L81" s="13"/>
      <c r="M81" s="557"/>
      <c r="N81" s="460"/>
      <c r="O81" s="783"/>
      <c r="P81" s="460"/>
    </row>
    <row r="82" spans="1:16">
      <c r="A82" s="14"/>
      <c r="B82" s="15"/>
      <c r="C82" s="16"/>
      <c r="D82" s="17"/>
      <c r="E82" s="12"/>
      <c r="F82" s="18"/>
      <c r="G82" s="19"/>
      <c r="H82" s="13"/>
      <c r="I82" s="19"/>
      <c r="J82" s="13"/>
      <c r="K82" s="19"/>
      <c r="L82" s="13"/>
      <c r="M82" s="557"/>
      <c r="N82" s="460"/>
      <c r="O82" s="783"/>
      <c r="P82" s="460"/>
    </row>
    <row r="83" spans="1:16">
      <c r="A83" s="14"/>
      <c r="B83" s="15"/>
      <c r="C83" s="16"/>
      <c r="D83" s="17"/>
      <c r="E83" s="12"/>
      <c r="F83" s="18"/>
      <c r="G83" s="19"/>
      <c r="H83" s="13"/>
      <c r="I83" s="19"/>
      <c r="J83" s="13"/>
      <c r="K83" s="19"/>
      <c r="L83" s="13"/>
      <c r="M83" s="557"/>
      <c r="N83" s="460"/>
      <c r="O83" s="783"/>
      <c r="P83" s="460"/>
    </row>
    <row r="84" spans="1:16">
      <c r="A84" s="14"/>
      <c r="B84" s="15"/>
      <c r="C84" s="16"/>
      <c r="D84" s="17"/>
      <c r="E84" s="12"/>
      <c r="F84" s="18"/>
      <c r="G84" s="19"/>
      <c r="H84" s="13"/>
      <c r="I84" s="19"/>
      <c r="J84" s="13"/>
      <c r="K84" s="19"/>
      <c r="L84" s="13"/>
      <c r="M84" s="557"/>
      <c r="N84" s="460"/>
      <c r="O84" s="783"/>
      <c r="P84" s="460"/>
    </row>
    <row r="85" spans="1:16">
      <c r="A85" s="14"/>
      <c r="B85" s="15"/>
      <c r="C85" s="16"/>
      <c r="D85" s="17"/>
      <c r="E85" s="12"/>
      <c r="F85" s="18"/>
      <c r="G85" s="19"/>
      <c r="H85" s="13"/>
      <c r="I85" s="19"/>
      <c r="J85" s="13"/>
      <c r="K85" s="19"/>
      <c r="L85" s="13"/>
      <c r="M85" s="557"/>
      <c r="N85" s="460"/>
      <c r="O85" s="783"/>
      <c r="P85" s="460"/>
    </row>
    <row r="86" spans="1:16">
      <c r="A86" s="14"/>
      <c r="B86" s="15"/>
      <c r="C86" s="16"/>
      <c r="D86" s="17"/>
      <c r="E86" s="12"/>
      <c r="F86" s="18"/>
      <c r="G86" s="19"/>
      <c r="H86" s="13"/>
      <c r="I86" s="19"/>
      <c r="J86" s="13"/>
      <c r="K86" s="19"/>
      <c r="L86" s="13"/>
      <c r="M86" s="557"/>
      <c r="N86" s="460"/>
      <c r="O86" s="783"/>
      <c r="P86" s="460"/>
    </row>
    <row r="87" spans="1:16">
      <c r="A87" s="14"/>
      <c r="B87" s="15"/>
      <c r="C87" s="16"/>
      <c r="D87" s="17"/>
      <c r="E87" s="12"/>
      <c r="F87" s="18"/>
      <c r="G87" s="19"/>
      <c r="H87" s="13"/>
      <c r="I87" s="19"/>
      <c r="J87" s="13"/>
      <c r="K87" s="19"/>
      <c r="L87" s="13"/>
      <c r="M87" s="557"/>
      <c r="N87" s="460"/>
      <c r="O87" s="783"/>
      <c r="P87" s="460"/>
    </row>
    <row r="88" spans="1:16">
      <c r="A88" s="14"/>
      <c r="B88" s="15"/>
      <c r="C88" s="16"/>
      <c r="D88" s="17"/>
      <c r="E88" s="12"/>
      <c r="F88" s="18"/>
      <c r="G88" s="19"/>
      <c r="H88" s="13"/>
      <c r="I88" s="19"/>
      <c r="J88" s="13"/>
      <c r="K88" s="19"/>
      <c r="L88" s="13"/>
      <c r="M88" s="557"/>
      <c r="N88" s="460"/>
      <c r="O88" s="783"/>
      <c r="P88" s="460"/>
    </row>
    <row r="89" spans="1:16">
      <c r="A89" s="14"/>
      <c r="B89" s="15"/>
      <c r="C89" s="16"/>
      <c r="D89" s="17"/>
      <c r="E89" s="12"/>
      <c r="F89" s="18"/>
      <c r="G89" s="19"/>
      <c r="H89" s="13"/>
      <c r="I89" s="19"/>
      <c r="J89" s="13"/>
      <c r="K89" s="19"/>
      <c r="L89" s="13"/>
      <c r="M89" s="557"/>
      <c r="N89" s="460"/>
      <c r="O89" s="783"/>
      <c r="P89" s="460"/>
    </row>
    <row r="90" spans="1:16">
      <c r="A90" s="14"/>
      <c r="B90" s="15"/>
      <c r="C90" s="16"/>
      <c r="D90" s="17"/>
      <c r="E90" s="12"/>
      <c r="F90" s="18"/>
      <c r="G90" s="19"/>
      <c r="H90" s="13"/>
      <c r="I90" s="19"/>
      <c r="J90" s="13"/>
      <c r="K90" s="19"/>
      <c r="L90" s="13"/>
      <c r="M90" s="557"/>
      <c r="N90" s="460"/>
      <c r="O90" s="783"/>
      <c r="P90" s="460"/>
    </row>
    <row r="91" spans="1:16">
      <c r="A91" s="14"/>
      <c r="B91" s="15"/>
      <c r="C91" s="16"/>
      <c r="D91" s="17"/>
      <c r="E91" s="12"/>
      <c r="F91" s="18"/>
      <c r="G91" s="19"/>
      <c r="H91" s="13"/>
      <c r="I91" s="19"/>
      <c r="J91" s="13"/>
      <c r="K91" s="19"/>
      <c r="L91" s="13"/>
      <c r="M91" s="557"/>
      <c r="N91" s="460"/>
      <c r="O91" s="783"/>
      <c r="P91" s="460"/>
    </row>
    <row r="92" spans="1:16">
      <c r="A92" s="14"/>
      <c r="B92" s="15"/>
      <c r="C92" s="16"/>
      <c r="D92" s="17"/>
      <c r="E92" s="12"/>
      <c r="F92" s="18"/>
      <c r="G92" s="19"/>
      <c r="H92" s="13"/>
      <c r="I92" s="19"/>
      <c r="J92" s="13"/>
      <c r="K92" s="19"/>
      <c r="L92" s="13"/>
      <c r="M92" s="557"/>
      <c r="N92" s="460"/>
      <c r="O92" s="783"/>
      <c r="P92" s="460"/>
    </row>
    <row r="93" spans="1:16">
      <c r="A93" s="14"/>
      <c r="B93" s="15"/>
      <c r="C93" s="16"/>
      <c r="D93" s="17"/>
      <c r="E93" s="12"/>
      <c r="F93" s="18"/>
      <c r="G93" s="19"/>
      <c r="H93" s="13"/>
      <c r="I93" s="19"/>
      <c r="J93" s="13"/>
      <c r="K93" s="19"/>
      <c r="L93" s="13"/>
      <c r="M93" s="557"/>
      <c r="N93" s="460"/>
      <c r="O93" s="783"/>
      <c r="P93" s="460"/>
    </row>
    <row r="94" spans="1:16">
      <c r="A94" s="14"/>
      <c r="B94" s="15"/>
      <c r="C94" s="16"/>
      <c r="D94" s="17"/>
      <c r="E94" s="12"/>
      <c r="F94" s="18"/>
      <c r="G94" s="19"/>
      <c r="H94" s="13"/>
      <c r="I94" s="19"/>
      <c r="J94" s="13"/>
      <c r="K94" s="19"/>
      <c r="L94" s="13"/>
      <c r="M94" s="557"/>
      <c r="N94" s="460"/>
      <c r="O94" s="783"/>
      <c r="P94" s="460"/>
    </row>
    <row r="95" spans="1:16">
      <c r="A95" s="14"/>
      <c r="B95" s="15"/>
      <c r="C95" s="16"/>
      <c r="D95" s="17"/>
      <c r="E95" s="12"/>
      <c r="F95" s="18"/>
      <c r="G95" s="19"/>
      <c r="H95" s="13"/>
      <c r="I95" s="19"/>
      <c r="J95" s="13"/>
      <c r="K95" s="19"/>
      <c r="L95" s="13"/>
      <c r="M95" s="557"/>
      <c r="N95" s="460"/>
      <c r="O95" s="783"/>
      <c r="P95" s="460"/>
    </row>
    <row r="96" spans="1:16">
      <c r="A96" s="14"/>
      <c r="B96" s="15"/>
      <c r="C96" s="16"/>
      <c r="D96" s="17"/>
      <c r="E96" s="12"/>
      <c r="F96" s="18"/>
      <c r="G96" s="19"/>
      <c r="H96" s="13"/>
      <c r="I96" s="19"/>
      <c r="J96" s="13"/>
      <c r="K96" s="19"/>
      <c r="L96" s="13"/>
      <c r="M96" s="557"/>
      <c r="N96" s="460"/>
      <c r="O96" s="783"/>
      <c r="P96" s="460"/>
    </row>
    <row r="97" spans="1:16">
      <c r="A97" s="14"/>
      <c r="B97" s="15"/>
      <c r="C97" s="16"/>
      <c r="D97" s="17"/>
      <c r="E97" s="12"/>
      <c r="F97" s="18"/>
      <c r="G97" s="19"/>
      <c r="H97" s="13"/>
      <c r="I97" s="19"/>
      <c r="J97" s="13"/>
      <c r="K97" s="19"/>
      <c r="L97" s="13"/>
      <c r="M97" s="557"/>
      <c r="N97" s="460"/>
      <c r="O97" s="783"/>
      <c r="P97" s="460"/>
    </row>
    <row r="98" spans="1:16">
      <c r="A98" s="14"/>
      <c r="B98" s="15"/>
      <c r="C98" s="16"/>
      <c r="D98" s="17"/>
      <c r="E98" s="12"/>
      <c r="F98" s="18"/>
      <c r="G98" s="19"/>
      <c r="H98" s="13"/>
      <c r="I98" s="19"/>
      <c r="J98" s="13"/>
      <c r="K98" s="19"/>
      <c r="L98" s="13"/>
      <c r="M98" s="557"/>
      <c r="N98" s="460"/>
      <c r="O98" s="783"/>
      <c r="P98" s="460"/>
    </row>
    <row r="99" spans="1:16">
      <c r="A99" s="14"/>
      <c r="B99" s="15"/>
      <c r="C99" s="16"/>
      <c r="D99" s="17"/>
      <c r="E99" s="12"/>
      <c r="F99" s="18"/>
      <c r="G99" s="19"/>
      <c r="H99" s="13"/>
      <c r="I99" s="19"/>
      <c r="J99" s="13"/>
      <c r="K99" s="19"/>
      <c r="L99" s="13"/>
      <c r="M99" s="557"/>
      <c r="N99" s="460"/>
      <c r="O99" s="783"/>
      <c r="P99" s="460"/>
    </row>
    <row r="100" spans="1:16">
      <c r="A100" s="14"/>
      <c r="B100" s="15"/>
      <c r="C100" s="16"/>
      <c r="D100" s="17"/>
      <c r="E100" s="12"/>
      <c r="F100" s="18"/>
      <c r="G100" s="19"/>
      <c r="H100" s="13"/>
      <c r="I100" s="19"/>
      <c r="J100" s="13"/>
      <c r="K100" s="19"/>
      <c r="L100" s="13"/>
      <c r="M100" s="557"/>
      <c r="N100" s="460"/>
      <c r="O100" s="783"/>
      <c r="P100" s="460"/>
    </row>
    <row r="101" spans="1:16">
      <c r="A101" s="14"/>
      <c r="B101" s="15"/>
      <c r="C101" s="16"/>
      <c r="D101" s="17"/>
      <c r="E101" s="12"/>
      <c r="F101" s="18"/>
      <c r="G101" s="19"/>
      <c r="H101" s="13"/>
      <c r="I101" s="19"/>
      <c r="J101" s="13"/>
      <c r="K101" s="19"/>
      <c r="L101" s="13"/>
      <c r="M101" s="557"/>
      <c r="N101" s="460"/>
      <c r="O101" s="783"/>
      <c r="P101" s="460"/>
    </row>
    <row r="102" spans="1:16">
      <c r="A102" s="14"/>
      <c r="B102" s="15"/>
      <c r="C102" s="16"/>
      <c r="D102" s="17"/>
      <c r="E102" s="12"/>
      <c r="F102" s="18"/>
      <c r="G102" s="19"/>
      <c r="H102" s="13"/>
      <c r="I102" s="19"/>
      <c r="J102" s="13"/>
      <c r="K102" s="19"/>
      <c r="L102" s="13"/>
      <c r="M102" s="557"/>
      <c r="N102" s="460"/>
      <c r="O102" s="783"/>
      <c r="P102" s="460"/>
    </row>
    <row r="103" spans="1:16">
      <c r="A103" s="14"/>
      <c r="B103" s="15"/>
      <c r="C103" s="16"/>
      <c r="D103" s="17"/>
      <c r="E103" s="12"/>
      <c r="F103" s="18"/>
      <c r="G103" s="19"/>
      <c r="H103" s="13"/>
      <c r="I103" s="19"/>
      <c r="J103" s="13"/>
      <c r="K103" s="19"/>
      <c r="L103" s="13"/>
      <c r="M103" s="557"/>
      <c r="N103" s="460"/>
      <c r="O103" s="783"/>
      <c r="P103" s="460"/>
    </row>
    <row r="104" spans="1:16">
      <c r="A104" s="14"/>
      <c r="B104" s="15"/>
      <c r="C104" s="16"/>
      <c r="D104" s="17"/>
      <c r="E104" s="12"/>
      <c r="F104" s="18"/>
      <c r="G104" s="19"/>
      <c r="H104" s="13"/>
      <c r="I104" s="19"/>
      <c r="J104" s="13"/>
      <c r="K104" s="19"/>
      <c r="L104" s="13"/>
      <c r="M104" s="557"/>
      <c r="N104" s="460"/>
      <c r="O104" s="783"/>
      <c r="P104" s="460"/>
    </row>
    <row r="105" spans="1:16">
      <c r="A105" s="14"/>
      <c r="B105" s="15"/>
      <c r="C105" s="16"/>
      <c r="D105" s="17"/>
      <c r="E105" s="12"/>
      <c r="F105" s="18"/>
      <c r="G105" s="19"/>
      <c r="H105" s="13"/>
      <c r="I105" s="19"/>
      <c r="J105" s="13"/>
      <c r="K105" s="19"/>
      <c r="L105" s="13"/>
      <c r="M105" s="557"/>
      <c r="N105" s="460"/>
      <c r="O105" s="783"/>
      <c r="P105" s="460"/>
    </row>
    <row r="106" spans="1:16">
      <c r="A106" s="14"/>
      <c r="B106" s="15"/>
      <c r="C106" s="16"/>
      <c r="D106" s="17"/>
      <c r="E106" s="12"/>
      <c r="F106" s="18"/>
      <c r="G106" s="19"/>
      <c r="H106" s="13"/>
      <c r="I106" s="19"/>
      <c r="J106" s="13"/>
      <c r="K106" s="19"/>
      <c r="L106" s="13"/>
      <c r="M106" s="557"/>
      <c r="N106" s="460"/>
      <c r="O106" s="783"/>
      <c r="P106" s="460"/>
    </row>
    <row r="107" spans="1:16">
      <c r="A107" s="14"/>
      <c r="B107" s="15"/>
      <c r="C107" s="16"/>
      <c r="D107" s="17"/>
      <c r="E107" s="12"/>
      <c r="F107" s="18"/>
      <c r="G107" s="19"/>
      <c r="H107" s="13"/>
      <c r="I107" s="19"/>
      <c r="J107" s="13"/>
      <c r="K107" s="19"/>
      <c r="L107" s="13"/>
      <c r="M107" s="557"/>
      <c r="N107" s="460"/>
      <c r="O107" s="783"/>
      <c r="P107" s="460"/>
    </row>
    <row r="108" spans="1:16">
      <c r="A108" s="14"/>
      <c r="B108" s="15"/>
      <c r="C108" s="16"/>
      <c r="D108" s="17"/>
      <c r="E108" s="12"/>
      <c r="F108" s="18"/>
      <c r="G108" s="19"/>
      <c r="H108" s="13"/>
      <c r="I108" s="19"/>
      <c r="J108" s="13"/>
      <c r="K108" s="19"/>
      <c r="L108" s="13"/>
      <c r="M108" s="557"/>
      <c r="N108" s="460"/>
      <c r="O108" s="783"/>
      <c r="P108" s="460"/>
    </row>
    <row r="109" spans="1:16">
      <c r="A109" s="14"/>
      <c r="B109" s="15"/>
      <c r="C109" s="16"/>
      <c r="D109" s="17"/>
      <c r="E109" s="12"/>
      <c r="F109" s="18"/>
      <c r="G109" s="19"/>
      <c r="H109" s="13"/>
      <c r="I109" s="19"/>
      <c r="J109" s="13"/>
      <c r="K109" s="19"/>
      <c r="L109" s="13"/>
      <c r="M109" s="557"/>
      <c r="N109" s="460"/>
      <c r="O109" s="783"/>
      <c r="P109" s="460"/>
    </row>
    <row r="110" spans="1:16">
      <c r="A110" s="14"/>
      <c r="B110" s="15"/>
      <c r="C110" s="16"/>
      <c r="D110" s="17"/>
      <c r="E110" s="12"/>
      <c r="F110" s="18"/>
      <c r="G110" s="19"/>
      <c r="H110" s="13"/>
      <c r="I110" s="19"/>
      <c r="J110" s="13"/>
      <c r="K110" s="19"/>
      <c r="L110" s="13"/>
      <c r="M110" s="557"/>
      <c r="N110" s="460"/>
      <c r="O110" s="783"/>
      <c r="P110" s="460"/>
    </row>
    <row r="111" spans="1:16">
      <c r="A111" s="14"/>
      <c r="B111" s="15"/>
      <c r="C111" s="16"/>
      <c r="D111" s="17"/>
      <c r="E111" s="12"/>
      <c r="F111" s="18"/>
      <c r="G111" s="19"/>
      <c r="H111" s="13"/>
      <c r="I111" s="19"/>
      <c r="J111" s="13"/>
      <c r="K111" s="19"/>
      <c r="L111" s="13"/>
      <c r="M111" s="557"/>
      <c r="N111" s="460"/>
      <c r="O111" s="783"/>
      <c r="P111" s="460"/>
    </row>
    <row r="112" spans="1:16">
      <c r="A112" s="14"/>
      <c r="B112" s="15"/>
      <c r="C112" s="16"/>
      <c r="D112" s="17"/>
      <c r="E112" s="12"/>
      <c r="F112" s="18"/>
      <c r="G112" s="19"/>
      <c r="H112" s="13"/>
      <c r="I112" s="19"/>
      <c r="J112" s="13"/>
      <c r="K112" s="19"/>
      <c r="L112" s="13"/>
      <c r="M112" s="557"/>
      <c r="N112" s="460"/>
      <c r="O112" s="783"/>
      <c r="P112" s="460"/>
    </row>
    <row r="113" spans="1:16">
      <c r="A113" s="14"/>
      <c r="B113" s="15"/>
      <c r="C113" s="16"/>
      <c r="D113" s="17"/>
      <c r="E113" s="12"/>
      <c r="F113" s="18"/>
      <c r="G113" s="19"/>
      <c r="H113" s="13"/>
      <c r="I113" s="19"/>
      <c r="J113" s="13"/>
      <c r="K113" s="19"/>
      <c r="L113" s="13"/>
      <c r="M113" s="557"/>
      <c r="N113" s="460"/>
      <c r="O113" s="783"/>
      <c r="P113" s="460"/>
    </row>
    <row r="114" spans="1:16">
      <c r="A114" s="14"/>
      <c r="B114" s="15"/>
      <c r="C114" s="16"/>
      <c r="D114" s="17"/>
      <c r="E114" s="12"/>
      <c r="F114" s="18"/>
      <c r="G114" s="19"/>
      <c r="H114" s="13"/>
      <c r="I114" s="19"/>
      <c r="J114" s="13"/>
      <c r="K114" s="19"/>
      <c r="L114" s="13"/>
      <c r="M114" s="557"/>
      <c r="N114" s="460"/>
      <c r="O114" s="783"/>
      <c r="P114" s="460"/>
    </row>
    <row r="115" spans="1:16">
      <c r="A115" s="14"/>
      <c r="B115" s="15"/>
      <c r="C115" s="16"/>
      <c r="D115" s="17"/>
      <c r="E115" s="12"/>
      <c r="F115" s="18"/>
      <c r="G115" s="19"/>
      <c r="H115" s="13"/>
      <c r="I115" s="19"/>
      <c r="J115" s="13"/>
      <c r="K115" s="19"/>
      <c r="L115" s="13"/>
      <c r="M115" s="557"/>
      <c r="N115" s="460"/>
      <c r="O115" s="783"/>
      <c r="P115" s="460"/>
    </row>
    <row r="116" spans="1:16">
      <c r="A116" s="14"/>
      <c r="B116" s="15"/>
      <c r="C116" s="16"/>
      <c r="D116" s="17"/>
      <c r="E116" s="12"/>
      <c r="F116" s="18"/>
      <c r="G116" s="19"/>
      <c r="H116" s="13"/>
      <c r="I116" s="19"/>
      <c r="J116" s="13"/>
      <c r="K116" s="19"/>
      <c r="L116" s="13"/>
      <c r="M116" s="557"/>
      <c r="N116" s="460"/>
      <c r="O116" s="783"/>
      <c r="P116" s="460"/>
    </row>
    <row r="117" spans="1:16">
      <c r="A117" s="14"/>
      <c r="B117" s="15"/>
      <c r="C117" s="16"/>
      <c r="D117" s="17"/>
      <c r="E117" s="12"/>
      <c r="F117" s="18"/>
      <c r="G117" s="19"/>
      <c r="H117" s="13"/>
      <c r="I117" s="19"/>
      <c r="J117" s="13"/>
      <c r="K117" s="19"/>
      <c r="L117" s="13"/>
      <c r="M117" s="557"/>
      <c r="N117" s="460"/>
      <c r="O117" s="783"/>
      <c r="P117" s="460"/>
    </row>
    <row r="118" spans="1:16">
      <c r="A118" s="14"/>
      <c r="B118" s="15"/>
      <c r="C118" s="16"/>
      <c r="D118" s="17"/>
      <c r="E118" s="12"/>
      <c r="F118" s="18"/>
      <c r="G118" s="19"/>
      <c r="H118" s="13"/>
      <c r="I118" s="19"/>
      <c r="J118" s="13"/>
      <c r="K118" s="19"/>
      <c r="L118" s="13"/>
      <c r="M118" s="557"/>
      <c r="N118" s="460"/>
      <c r="O118" s="783"/>
      <c r="P118" s="460"/>
    </row>
    <row r="119" spans="1:16">
      <c r="A119" s="14"/>
      <c r="B119" s="15"/>
      <c r="C119" s="16"/>
      <c r="D119" s="17"/>
      <c r="E119" s="12"/>
      <c r="F119" s="18"/>
      <c r="G119" s="19"/>
      <c r="H119" s="13"/>
      <c r="I119" s="19"/>
      <c r="J119" s="13"/>
      <c r="K119" s="19"/>
      <c r="L119" s="13"/>
      <c r="M119" s="557"/>
      <c r="N119" s="460"/>
      <c r="O119" s="783"/>
      <c r="P119" s="460"/>
    </row>
    <row r="120" spans="1:16">
      <c r="A120" s="14"/>
      <c r="B120" s="15"/>
      <c r="C120" s="16"/>
      <c r="D120" s="17"/>
      <c r="E120" s="12"/>
      <c r="F120" s="18"/>
      <c r="G120" s="19"/>
      <c r="H120" s="13"/>
      <c r="I120" s="19"/>
      <c r="J120" s="13"/>
      <c r="K120" s="19"/>
      <c r="L120" s="13"/>
      <c r="M120" s="557"/>
      <c r="N120" s="460"/>
      <c r="O120" s="783"/>
      <c r="P120" s="460"/>
    </row>
    <row r="121" spans="1:16">
      <c r="A121" s="14"/>
      <c r="B121" s="15"/>
      <c r="C121" s="16"/>
      <c r="D121" s="17"/>
      <c r="E121" s="12"/>
      <c r="F121" s="18"/>
      <c r="G121" s="19"/>
      <c r="H121" s="13"/>
      <c r="I121" s="19"/>
      <c r="J121" s="13"/>
      <c r="K121" s="19"/>
      <c r="L121" s="13"/>
      <c r="M121" s="557"/>
      <c r="N121" s="460"/>
      <c r="O121" s="783"/>
      <c r="P121" s="460"/>
    </row>
    <row r="122" spans="1:16">
      <c r="A122" s="14"/>
      <c r="B122" s="15"/>
      <c r="C122" s="16"/>
      <c r="D122" s="17"/>
      <c r="E122" s="12"/>
      <c r="F122" s="18"/>
      <c r="G122" s="19"/>
      <c r="H122" s="13"/>
      <c r="I122" s="19"/>
      <c r="J122" s="13"/>
      <c r="K122" s="19"/>
      <c r="L122" s="13"/>
      <c r="M122" s="557"/>
      <c r="N122" s="460"/>
      <c r="O122" s="783"/>
      <c r="P122" s="460"/>
    </row>
    <row r="123" spans="1:16">
      <c r="A123" s="14"/>
      <c r="B123" s="15"/>
      <c r="C123" s="16"/>
      <c r="D123" s="17"/>
      <c r="E123" s="12"/>
      <c r="F123" s="18"/>
      <c r="G123" s="19"/>
      <c r="H123" s="13"/>
      <c r="I123" s="19"/>
      <c r="J123" s="13"/>
      <c r="K123" s="19"/>
      <c r="L123" s="13"/>
      <c r="M123" s="557"/>
      <c r="N123" s="460"/>
      <c r="O123" s="783"/>
      <c r="P123" s="460"/>
    </row>
    <row r="124" spans="1:16">
      <c r="A124" s="14"/>
      <c r="B124" s="15"/>
      <c r="C124" s="16"/>
      <c r="D124" s="17"/>
      <c r="E124" s="12"/>
      <c r="F124" s="18"/>
      <c r="G124" s="19"/>
      <c r="H124" s="13"/>
      <c r="I124" s="19"/>
      <c r="J124" s="13"/>
      <c r="K124" s="19"/>
      <c r="L124" s="13"/>
      <c r="M124" s="557"/>
      <c r="N124" s="460"/>
      <c r="O124" s="783"/>
      <c r="P124" s="460"/>
    </row>
    <row r="125" spans="1:16">
      <c r="A125" s="14"/>
      <c r="B125" s="15"/>
      <c r="C125" s="16"/>
      <c r="D125" s="17"/>
      <c r="E125" s="12"/>
      <c r="F125" s="18"/>
      <c r="G125" s="19"/>
      <c r="H125" s="13"/>
      <c r="I125" s="19"/>
      <c r="J125" s="13"/>
      <c r="K125" s="19"/>
      <c r="L125" s="13"/>
      <c r="M125" s="557"/>
      <c r="N125" s="460"/>
      <c r="O125" s="783"/>
      <c r="P125" s="460"/>
    </row>
    <row r="126" spans="1:16">
      <c r="A126" s="14"/>
      <c r="B126" s="15"/>
      <c r="C126" s="16"/>
      <c r="D126" s="17"/>
      <c r="E126" s="12"/>
      <c r="F126" s="18"/>
      <c r="G126" s="19"/>
      <c r="H126" s="13"/>
      <c r="I126" s="19"/>
      <c r="J126" s="13"/>
      <c r="K126" s="19"/>
      <c r="L126" s="13"/>
      <c r="M126" s="557"/>
      <c r="N126" s="460"/>
      <c r="O126" s="783"/>
      <c r="P126" s="460"/>
    </row>
    <row r="127" spans="1:16">
      <c r="A127" s="14"/>
      <c r="B127" s="15"/>
      <c r="C127" s="16"/>
      <c r="D127" s="17"/>
      <c r="E127" s="12"/>
      <c r="F127" s="18"/>
      <c r="G127" s="19"/>
      <c r="H127" s="13"/>
      <c r="I127" s="19"/>
      <c r="J127" s="13"/>
      <c r="K127" s="19"/>
      <c r="L127" s="13"/>
      <c r="M127" s="557"/>
      <c r="N127" s="460"/>
      <c r="O127" s="783"/>
      <c r="P127" s="460"/>
    </row>
    <row r="128" spans="1:16">
      <c r="A128" s="14"/>
      <c r="B128" s="15"/>
      <c r="C128" s="16"/>
      <c r="D128" s="17"/>
      <c r="E128" s="12"/>
      <c r="F128" s="18"/>
      <c r="G128" s="19"/>
      <c r="H128" s="13"/>
      <c r="I128" s="19"/>
      <c r="J128" s="13"/>
      <c r="K128" s="19"/>
      <c r="L128" s="13"/>
      <c r="M128" s="557"/>
      <c r="N128" s="460"/>
      <c r="O128" s="783"/>
      <c r="P128" s="460"/>
    </row>
    <row r="129" spans="1:16">
      <c r="A129" s="14"/>
      <c r="B129" s="15"/>
      <c r="C129" s="16"/>
      <c r="D129" s="17"/>
      <c r="E129" s="12"/>
      <c r="F129" s="18"/>
      <c r="G129" s="19"/>
      <c r="H129" s="13"/>
      <c r="I129" s="19"/>
      <c r="J129" s="13"/>
      <c r="K129" s="19"/>
      <c r="L129" s="13"/>
      <c r="M129" s="557"/>
      <c r="N129" s="460"/>
      <c r="O129" s="783"/>
      <c r="P129" s="460"/>
    </row>
    <row r="130" spans="1:16">
      <c r="A130" s="14"/>
      <c r="B130" s="15"/>
      <c r="C130" s="16"/>
      <c r="D130" s="17"/>
      <c r="E130" s="12"/>
      <c r="F130" s="18"/>
      <c r="G130" s="19"/>
      <c r="H130" s="13"/>
      <c r="I130" s="19"/>
      <c r="J130" s="13"/>
      <c r="K130" s="19"/>
      <c r="L130" s="13"/>
      <c r="M130" s="557"/>
      <c r="N130" s="460"/>
      <c r="O130" s="783"/>
      <c r="P130" s="460"/>
    </row>
    <row r="131" spans="1:16">
      <c r="A131" s="14"/>
      <c r="B131" s="15"/>
      <c r="C131" s="16"/>
      <c r="D131" s="17"/>
      <c r="E131" s="12"/>
      <c r="F131" s="18"/>
      <c r="G131" s="19"/>
      <c r="H131" s="13"/>
      <c r="I131" s="19"/>
      <c r="J131" s="13"/>
      <c r="K131" s="19"/>
      <c r="L131" s="13"/>
      <c r="M131" s="557"/>
      <c r="N131" s="460"/>
      <c r="O131" s="783"/>
      <c r="P131" s="460"/>
    </row>
    <row r="132" spans="1:16">
      <c r="A132" s="14"/>
      <c r="B132" s="15"/>
      <c r="C132" s="16"/>
      <c r="D132" s="17"/>
      <c r="E132" s="12"/>
      <c r="F132" s="18"/>
      <c r="G132" s="19"/>
      <c r="H132" s="13"/>
      <c r="I132" s="19"/>
      <c r="J132" s="13"/>
      <c r="K132" s="19"/>
      <c r="L132" s="13"/>
      <c r="M132" s="557"/>
      <c r="N132" s="460"/>
      <c r="O132" s="783"/>
      <c r="P132" s="460"/>
    </row>
    <row r="133" spans="1:16">
      <c r="A133" s="14"/>
      <c r="B133" s="15"/>
      <c r="C133" s="16"/>
      <c r="D133" s="17"/>
      <c r="E133" s="12"/>
      <c r="F133" s="18"/>
      <c r="G133" s="19"/>
      <c r="H133" s="13"/>
      <c r="I133" s="19"/>
      <c r="J133" s="13"/>
      <c r="K133" s="19"/>
      <c r="L133" s="13"/>
      <c r="M133" s="557"/>
      <c r="N133" s="460"/>
      <c r="O133" s="783"/>
      <c r="P133" s="460"/>
    </row>
    <row r="134" spans="1:16">
      <c r="A134" s="14"/>
      <c r="B134" s="15"/>
      <c r="C134" s="16"/>
      <c r="D134" s="17"/>
      <c r="E134" s="12"/>
      <c r="F134" s="18"/>
      <c r="G134" s="19"/>
      <c r="H134" s="13"/>
      <c r="I134" s="19"/>
      <c r="J134" s="13"/>
      <c r="K134" s="19"/>
      <c r="L134" s="13"/>
      <c r="M134" s="557"/>
      <c r="N134" s="460"/>
      <c r="O134" s="783"/>
      <c r="P134" s="460"/>
    </row>
    <row r="135" spans="1:16">
      <c r="A135" s="14"/>
      <c r="B135" s="15"/>
      <c r="C135" s="16"/>
      <c r="D135" s="17"/>
      <c r="E135" s="12"/>
      <c r="F135" s="18"/>
      <c r="G135" s="19"/>
      <c r="H135" s="13"/>
      <c r="I135" s="19"/>
      <c r="J135" s="13"/>
      <c r="K135" s="19"/>
      <c r="L135" s="13"/>
      <c r="M135" s="557"/>
      <c r="N135" s="460"/>
      <c r="O135" s="783"/>
      <c r="P135" s="460"/>
    </row>
    <row r="136" spans="1:16">
      <c r="A136" s="14"/>
      <c r="B136" s="15"/>
      <c r="C136" s="16"/>
      <c r="D136" s="17"/>
      <c r="E136" s="12"/>
      <c r="F136" s="18"/>
      <c r="G136" s="19"/>
      <c r="H136" s="13"/>
      <c r="I136" s="19"/>
      <c r="J136" s="13"/>
      <c r="K136" s="19"/>
      <c r="L136" s="13"/>
      <c r="M136" s="557"/>
      <c r="N136" s="460"/>
      <c r="O136" s="783"/>
      <c r="P136" s="460"/>
    </row>
    <row r="137" spans="1:16">
      <c r="A137" s="14"/>
      <c r="B137" s="15"/>
      <c r="C137" s="16"/>
      <c r="D137" s="17"/>
      <c r="E137" s="12"/>
      <c r="F137" s="18"/>
      <c r="G137" s="19"/>
      <c r="H137" s="13"/>
      <c r="I137" s="19"/>
      <c r="J137" s="13"/>
      <c r="K137" s="19"/>
      <c r="L137" s="13"/>
      <c r="M137" s="557"/>
      <c r="N137" s="460"/>
      <c r="O137" s="783"/>
      <c r="P137" s="460"/>
    </row>
    <row r="138" spans="1:16">
      <c r="A138" s="14"/>
      <c r="B138" s="15"/>
      <c r="C138" s="16"/>
      <c r="D138" s="17"/>
      <c r="E138" s="12"/>
      <c r="F138" s="18"/>
      <c r="G138" s="19"/>
      <c r="H138" s="13"/>
      <c r="I138" s="19"/>
      <c r="J138" s="13"/>
      <c r="K138" s="19"/>
      <c r="L138" s="13"/>
      <c r="M138" s="557"/>
      <c r="N138" s="460"/>
      <c r="O138" s="783"/>
      <c r="P138" s="460"/>
    </row>
    <row r="139" spans="1:16">
      <c r="A139" s="14"/>
      <c r="B139" s="15"/>
      <c r="C139" s="16"/>
      <c r="D139" s="17"/>
      <c r="E139" s="12"/>
      <c r="F139" s="18"/>
      <c r="G139" s="19"/>
      <c r="H139" s="13"/>
      <c r="I139" s="19"/>
      <c r="J139" s="13"/>
      <c r="K139" s="19"/>
      <c r="L139" s="13"/>
      <c r="M139" s="557"/>
      <c r="N139" s="460"/>
      <c r="O139" s="783"/>
      <c r="P139" s="460"/>
    </row>
    <row r="140" spans="1:16">
      <c r="A140" s="14"/>
      <c r="B140" s="15"/>
      <c r="C140" s="16"/>
      <c r="D140" s="17"/>
      <c r="E140" s="12"/>
      <c r="F140" s="18"/>
      <c r="G140" s="19"/>
      <c r="H140" s="13"/>
      <c r="I140" s="19"/>
      <c r="J140" s="13"/>
      <c r="K140" s="19"/>
      <c r="L140" s="13"/>
      <c r="M140" s="557"/>
      <c r="N140" s="460"/>
      <c r="O140" s="783"/>
      <c r="P140" s="460"/>
    </row>
    <row r="141" spans="1:16">
      <c r="A141" s="14"/>
      <c r="B141" s="15"/>
      <c r="C141" s="16"/>
      <c r="D141" s="17"/>
      <c r="E141" s="12"/>
      <c r="F141" s="18"/>
      <c r="G141" s="19"/>
      <c r="H141" s="13"/>
      <c r="I141" s="19"/>
      <c r="J141" s="13"/>
      <c r="K141" s="19"/>
      <c r="L141" s="13"/>
      <c r="M141" s="557"/>
      <c r="N141" s="460"/>
      <c r="O141" s="783"/>
      <c r="P141" s="460"/>
    </row>
    <row r="142" spans="1:16">
      <c r="A142" s="14"/>
      <c r="B142" s="15"/>
      <c r="C142" s="16"/>
      <c r="D142" s="17"/>
      <c r="E142" s="12"/>
      <c r="F142" s="18"/>
      <c r="G142" s="19"/>
      <c r="H142" s="13"/>
      <c r="I142" s="19"/>
      <c r="J142" s="13"/>
      <c r="K142" s="19"/>
      <c r="L142" s="13"/>
      <c r="M142" s="557"/>
      <c r="N142" s="460"/>
      <c r="O142" s="783"/>
      <c r="P142" s="460"/>
    </row>
    <row r="143" spans="1:16">
      <c r="A143" s="14"/>
      <c r="B143" s="15"/>
      <c r="C143" s="16"/>
      <c r="D143" s="17"/>
      <c r="E143" s="12"/>
      <c r="F143" s="18"/>
      <c r="G143" s="19"/>
      <c r="H143" s="13"/>
      <c r="I143" s="19"/>
      <c r="J143" s="13"/>
      <c r="K143" s="19"/>
      <c r="L143" s="13"/>
      <c r="M143" s="557"/>
      <c r="N143" s="460"/>
      <c r="O143" s="783"/>
      <c r="P143" s="460"/>
    </row>
    <row r="144" spans="1:16">
      <c r="A144" s="14"/>
      <c r="B144" s="15"/>
      <c r="C144" s="16"/>
      <c r="D144" s="17"/>
      <c r="E144" s="12"/>
      <c r="F144" s="18"/>
      <c r="G144" s="19"/>
      <c r="H144" s="13"/>
      <c r="I144" s="19"/>
      <c r="J144" s="13"/>
      <c r="K144" s="19"/>
      <c r="L144" s="13"/>
      <c r="M144" s="557"/>
      <c r="N144" s="460"/>
      <c r="O144" s="783"/>
      <c r="P144" s="460"/>
    </row>
    <row r="145" spans="1:16">
      <c r="A145" s="14"/>
      <c r="B145" s="15"/>
      <c r="C145" s="16"/>
      <c r="D145" s="17"/>
      <c r="E145" s="12"/>
      <c r="F145" s="18"/>
      <c r="G145" s="19"/>
      <c r="H145" s="13"/>
      <c r="I145" s="19"/>
      <c r="J145" s="13"/>
      <c r="K145" s="19"/>
      <c r="L145" s="13"/>
      <c r="M145" s="557"/>
      <c r="N145" s="460"/>
      <c r="O145" s="783"/>
      <c r="P145" s="460"/>
    </row>
    <row r="146" spans="1:16">
      <c r="A146" s="14"/>
      <c r="B146" s="15"/>
      <c r="C146" s="16"/>
      <c r="D146" s="17"/>
      <c r="E146" s="12"/>
      <c r="F146" s="18"/>
      <c r="G146" s="19"/>
      <c r="H146" s="13"/>
      <c r="I146" s="19"/>
      <c r="J146" s="13"/>
      <c r="K146" s="19"/>
      <c r="L146" s="13"/>
      <c r="M146" s="557"/>
      <c r="N146" s="460"/>
      <c r="O146" s="783"/>
      <c r="P146" s="460"/>
    </row>
    <row r="147" spans="1:16">
      <c r="A147" s="14"/>
      <c r="B147" s="15"/>
      <c r="C147" s="16"/>
      <c r="D147" s="17"/>
      <c r="E147" s="12"/>
      <c r="F147" s="18"/>
      <c r="G147" s="19"/>
      <c r="H147" s="13"/>
      <c r="I147" s="19"/>
      <c r="J147" s="13"/>
      <c r="K147" s="19"/>
      <c r="L147" s="13"/>
      <c r="M147" s="557"/>
      <c r="N147" s="460"/>
      <c r="O147" s="783"/>
      <c r="P147" s="460"/>
    </row>
    <row r="148" spans="1:16">
      <c r="A148" s="14"/>
      <c r="B148" s="15"/>
      <c r="C148" s="16"/>
      <c r="D148" s="17"/>
      <c r="E148" s="12"/>
      <c r="F148" s="18"/>
      <c r="G148" s="19"/>
      <c r="H148" s="13"/>
      <c r="I148" s="19"/>
      <c r="J148" s="13"/>
      <c r="K148" s="19"/>
      <c r="L148" s="13"/>
      <c r="M148" s="557"/>
      <c r="N148" s="460"/>
      <c r="O148" s="783"/>
      <c r="P148" s="460"/>
    </row>
    <row r="149" spans="1:16">
      <c r="A149" s="14"/>
      <c r="B149" s="15"/>
      <c r="C149" s="16"/>
      <c r="D149" s="17"/>
      <c r="E149" s="12"/>
      <c r="F149" s="18"/>
      <c r="G149" s="19"/>
      <c r="H149" s="13"/>
      <c r="I149" s="19"/>
      <c r="J149" s="13"/>
      <c r="K149" s="19"/>
      <c r="L149" s="13"/>
      <c r="M149" s="557"/>
      <c r="N149" s="460"/>
      <c r="O149" s="783"/>
      <c r="P149" s="460"/>
    </row>
    <row r="150" spans="1:16">
      <c r="A150" s="14"/>
      <c r="B150" s="15"/>
      <c r="C150" s="16"/>
      <c r="D150" s="17"/>
      <c r="E150" s="12"/>
      <c r="F150" s="18"/>
      <c r="G150" s="19"/>
      <c r="H150" s="13"/>
      <c r="I150" s="19"/>
      <c r="J150" s="13"/>
      <c r="K150" s="19"/>
      <c r="L150" s="13"/>
      <c r="M150" s="557"/>
      <c r="N150" s="460"/>
      <c r="O150" s="783"/>
      <c r="P150" s="460"/>
    </row>
    <row r="151" spans="1:16">
      <c r="A151" s="14"/>
      <c r="B151" s="15"/>
      <c r="C151" s="16"/>
      <c r="D151" s="17"/>
      <c r="E151" s="12"/>
      <c r="F151" s="18"/>
      <c r="G151" s="19"/>
      <c r="H151" s="13"/>
      <c r="I151" s="19"/>
      <c r="J151" s="13"/>
      <c r="K151" s="19"/>
      <c r="L151" s="13"/>
      <c r="M151" s="557"/>
      <c r="N151" s="460"/>
      <c r="O151" s="783"/>
      <c r="P151" s="460"/>
    </row>
    <row r="152" spans="1:16">
      <c r="A152" s="14"/>
      <c r="B152" s="15"/>
      <c r="C152" s="16"/>
      <c r="D152" s="17"/>
      <c r="E152" s="12"/>
      <c r="F152" s="18"/>
      <c r="G152" s="19"/>
      <c r="H152" s="13"/>
      <c r="I152" s="19"/>
      <c r="J152" s="13"/>
      <c r="K152" s="19"/>
      <c r="L152" s="13"/>
      <c r="M152" s="557"/>
      <c r="N152" s="460"/>
      <c r="O152" s="783"/>
      <c r="P152" s="460"/>
    </row>
    <row r="153" spans="1:16">
      <c r="A153" s="14"/>
      <c r="B153" s="15"/>
      <c r="C153" s="16"/>
      <c r="D153" s="17"/>
      <c r="E153" s="12"/>
      <c r="F153" s="18"/>
      <c r="G153" s="19"/>
      <c r="H153" s="13"/>
      <c r="I153" s="19"/>
      <c r="J153" s="13"/>
      <c r="K153" s="19"/>
      <c r="L153" s="13"/>
      <c r="M153" s="557"/>
      <c r="N153" s="460"/>
      <c r="O153" s="783"/>
      <c r="P153" s="460"/>
    </row>
    <row r="154" spans="1:16">
      <c r="A154" s="14"/>
      <c r="B154" s="15"/>
      <c r="C154" s="16"/>
      <c r="D154" s="17"/>
      <c r="E154" s="12"/>
      <c r="F154" s="18"/>
      <c r="G154" s="19"/>
      <c r="H154" s="13"/>
      <c r="I154" s="19"/>
      <c r="J154" s="13"/>
      <c r="K154" s="19"/>
      <c r="L154" s="13"/>
      <c r="M154" s="557"/>
      <c r="N154" s="460"/>
      <c r="O154" s="783"/>
      <c r="P154" s="460"/>
    </row>
    <row r="155" spans="1:16">
      <c r="A155" s="14"/>
      <c r="B155" s="15"/>
      <c r="C155" s="16"/>
      <c r="D155" s="17"/>
      <c r="E155" s="12"/>
      <c r="F155" s="18"/>
      <c r="G155" s="19"/>
      <c r="H155" s="13"/>
      <c r="I155" s="19"/>
      <c r="J155" s="13"/>
      <c r="K155" s="19"/>
      <c r="L155" s="13"/>
      <c r="M155" s="557"/>
      <c r="N155" s="460"/>
      <c r="O155" s="783"/>
      <c r="P155" s="460"/>
    </row>
    <row r="156" spans="1:16">
      <c r="A156" s="14"/>
      <c r="B156" s="15"/>
      <c r="C156" s="16"/>
      <c r="D156" s="17"/>
      <c r="E156" s="12"/>
      <c r="F156" s="18"/>
      <c r="G156" s="19"/>
      <c r="H156" s="13"/>
      <c r="I156" s="19"/>
      <c r="J156" s="13"/>
      <c r="K156" s="19"/>
      <c r="L156" s="13"/>
      <c r="M156" s="557"/>
      <c r="N156" s="460"/>
      <c r="O156" s="783"/>
      <c r="P156" s="460"/>
    </row>
    <row r="157" spans="1:16">
      <c r="A157" s="14"/>
      <c r="B157" s="15"/>
      <c r="C157" s="16"/>
      <c r="D157" s="17"/>
      <c r="E157" s="12"/>
      <c r="F157" s="18"/>
      <c r="G157" s="19"/>
      <c r="H157" s="13"/>
      <c r="I157" s="19"/>
      <c r="J157" s="13"/>
      <c r="K157" s="19"/>
      <c r="L157" s="13"/>
      <c r="M157" s="557"/>
      <c r="N157" s="460"/>
      <c r="O157" s="783"/>
      <c r="P157" s="460"/>
    </row>
    <row r="158" spans="1:16">
      <c r="A158" s="14"/>
      <c r="B158" s="15"/>
      <c r="C158" s="16"/>
      <c r="D158" s="17"/>
      <c r="E158" s="12"/>
      <c r="F158" s="18"/>
      <c r="G158" s="19"/>
      <c r="H158" s="13"/>
      <c r="I158" s="19"/>
      <c r="J158" s="13"/>
      <c r="K158" s="19"/>
      <c r="L158" s="13"/>
      <c r="M158" s="557"/>
      <c r="N158" s="460"/>
      <c r="O158" s="783"/>
      <c r="P158" s="460"/>
    </row>
    <row r="159" spans="1:16">
      <c r="A159" s="14"/>
      <c r="B159" s="15"/>
      <c r="C159" s="16"/>
      <c r="D159" s="17"/>
      <c r="E159" s="12"/>
      <c r="F159" s="18"/>
      <c r="G159" s="19"/>
      <c r="H159" s="13"/>
      <c r="I159" s="19"/>
      <c r="J159" s="13"/>
      <c r="K159" s="19"/>
      <c r="L159" s="13"/>
      <c r="M159" s="557"/>
      <c r="N159" s="460"/>
      <c r="O159" s="783"/>
      <c r="P159" s="460"/>
    </row>
    <row r="160" spans="1:16">
      <c r="A160" s="14"/>
      <c r="B160" s="15"/>
      <c r="C160" s="16"/>
      <c r="D160" s="17"/>
      <c r="E160" s="12"/>
      <c r="F160" s="18"/>
      <c r="G160" s="19"/>
      <c r="H160" s="13"/>
      <c r="I160" s="19"/>
      <c r="J160" s="13"/>
      <c r="K160" s="19"/>
      <c r="L160" s="13"/>
      <c r="M160" s="557"/>
      <c r="N160" s="460"/>
      <c r="O160" s="783"/>
      <c r="P160" s="460"/>
    </row>
    <row r="161" spans="1:16">
      <c r="A161" s="14"/>
      <c r="B161" s="15"/>
      <c r="C161" s="16"/>
      <c r="D161" s="17"/>
      <c r="E161" s="12"/>
      <c r="F161" s="18"/>
      <c r="G161" s="19"/>
      <c r="H161" s="13"/>
      <c r="I161" s="19"/>
      <c r="J161" s="13"/>
      <c r="K161" s="19"/>
      <c r="L161" s="13"/>
      <c r="M161" s="557"/>
      <c r="N161" s="460"/>
      <c r="O161" s="783"/>
      <c r="P161" s="460"/>
    </row>
    <row r="162" spans="1:16">
      <c r="A162" s="14"/>
      <c r="B162" s="15"/>
      <c r="C162" s="16"/>
      <c r="D162" s="17"/>
      <c r="E162" s="12"/>
      <c r="F162" s="18"/>
      <c r="G162" s="19"/>
      <c r="H162" s="13"/>
      <c r="I162" s="19"/>
      <c r="J162" s="13"/>
      <c r="K162" s="19"/>
      <c r="L162" s="13"/>
      <c r="M162" s="557"/>
      <c r="N162" s="460"/>
      <c r="O162" s="783"/>
      <c r="P162" s="460"/>
    </row>
    <row r="163" spans="1:16">
      <c r="A163" s="14"/>
      <c r="B163" s="15"/>
      <c r="C163" s="16"/>
      <c r="D163" s="17"/>
      <c r="E163" s="12"/>
      <c r="F163" s="18"/>
      <c r="G163" s="19"/>
      <c r="H163" s="13"/>
      <c r="I163" s="19"/>
      <c r="J163" s="13"/>
      <c r="K163" s="19"/>
      <c r="L163" s="13"/>
      <c r="M163" s="557"/>
      <c r="N163" s="460"/>
      <c r="O163" s="783"/>
      <c r="P163" s="460"/>
    </row>
    <row r="164" spans="1:16">
      <c r="A164" s="14"/>
      <c r="B164" s="15"/>
      <c r="C164" s="16"/>
      <c r="D164" s="17"/>
      <c r="E164" s="12"/>
      <c r="F164" s="18"/>
      <c r="G164" s="19"/>
      <c r="H164" s="13"/>
      <c r="I164" s="19"/>
      <c r="J164" s="13"/>
      <c r="K164" s="19"/>
      <c r="L164" s="13"/>
      <c r="M164" s="557"/>
      <c r="N164" s="460"/>
      <c r="O164" s="783"/>
      <c r="P164" s="460"/>
    </row>
    <row r="165" spans="1:16">
      <c r="A165" s="14"/>
      <c r="B165" s="15"/>
      <c r="C165" s="16"/>
      <c r="D165" s="17"/>
      <c r="E165" s="12"/>
      <c r="F165" s="18"/>
      <c r="G165" s="19"/>
      <c r="H165" s="13"/>
      <c r="I165" s="19"/>
      <c r="J165" s="13"/>
      <c r="K165" s="19"/>
      <c r="L165" s="13"/>
      <c r="M165" s="557"/>
      <c r="N165" s="460"/>
      <c r="O165" s="783"/>
      <c r="P165" s="460"/>
    </row>
    <row r="166" spans="1:16">
      <c r="A166" s="14"/>
      <c r="B166" s="15"/>
      <c r="C166" s="16"/>
      <c r="D166" s="17"/>
      <c r="E166" s="12"/>
      <c r="F166" s="18"/>
      <c r="G166" s="19"/>
      <c r="H166" s="13"/>
      <c r="I166" s="19"/>
      <c r="J166" s="13"/>
      <c r="K166" s="19"/>
      <c r="L166" s="13"/>
      <c r="M166" s="557"/>
      <c r="N166" s="460"/>
      <c r="O166" s="783"/>
      <c r="P166" s="460"/>
    </row>
    <row r="167" spans="1:16">
      <c r="A167" s="14"/>
      <c r="B167" s="15"/>
      <c r="C167" s="16"/>
      <c r="D167" s="17"/>
      <c r="E167" s="12"/>
      <c r="F167" s="18"/>
      <c r="G167" s="19"/>
      <c r="H167" s="13"/>
      <c r="I167" s="19"/>
      <c r="J167" s="13"/>
      <c r="K167" s="19"/>
      <c r="L167" s="13"/>
      <c r="M167" s="557"/>
      <c r="N167" s="460"/>
      <c r="O167" s="783"/>
      <c r="P167" s="460"/>
    </row>
    <row r="168" spans="1:16">
      <c r="A168" s="14"/>
      <c r="B168" s="15"/>
      <c r="C168" s="16"/>
      <c r="D168" s="17"/>
      <c r="E168" s="12"/>
      <c r="F168" s="18"/>
      <c r="G168" s="19"/>
      <c r="H168" s="13"/>
      <c r="I168" s="19"/>
      <c r="J168" s="13"/>
      <c r="K168" s="19"/>
      <c r="L168" s="13"/>
      <c r="M168" s="557"/>
      <c r="N168" s="460"/>
      <c r="O168" s="783"/>
      <c r="P168" s="460"/>
    </row>
    <row r="169" spans="1:16">
      <c r="A169" s="14"/>
      <c r="B169" s="15"/>
      <c r="C169" s="16"/>
      <c r="D169" s="17"/>
      <c r="E169" s="12"/>
      <c r="F169" s="18"/>
      <c r="G169" s="19"/>
      <c r="H169" s="13"/>
      <c r="I169" s="19"/>
      <c r="J169" s="13"/>
      <c r="K169" s="19"/>
      <c r="L169" s="13"/>
      <c r="M169" s="557"/>
      <c r="N169" s="460"/>
      <c r="O169" s="783"/>
      <c r="P169" s="460"/>
    </row>
    <row r="170" spans="1:16">
      <c r="A170" s="14"/>
      <c r="B170" s="15"/>
      <c r="C170" s="16"/>
      <c r="D170" s="17"/>
      <c r="E170" s="12"/>
      <c r="F170" s="18"/>
      <c r="G170" s="19"/>
      <c r="H170" s="13"/>
      <c r="I170" s="19"/>
      <c r="J170" s="13"/>
      <c r="K170" s="19"/>
      <c r="L170" s="13"/>
      <c r="M170" s="557"/>
      <c r="N170" s="460"/>
      <c r="O170" s="783"/>
      <c r="P170" s="460"/>
    </row>
    <row r="171" spans="1:16">
      <c r="A171" s="14"/>
      <c r="B171" s="15"/>
      <c r="C171" s="16"/>
      <c r="D171" s="17"/>
      <c r="E171" s="12"/>
      <c r="F171" s="18"/>
      <c r="G171" s="19"/>
      <c r="H171" s="13"/>
      <c r="I171" s="19"/>
      <c r="J171" s="13"/>
      <c r="K171" s="19"/>
      <c r="L171" s="13"/>
      <c r="M171" s="557"/>
      <c r="N171" s="460"/>
      <c r="O171" s="783"/>
      <c r="P171" s="460"/>
    </row>
    <row r="172" spans="1:16">
      <c r="A172" s="14"/>
      <c r="B172" s="15"/>
      <c r="C172" s="16"/>
      <c r="D172" s="17"/>
      <c r="E172" s="12"/>
      <c r="F172" s="18"/>
      <c r="G172" s="19"/>
      <c r="H172" s="13"/>
      <c r="I172" s="19"/>
      <c r="J172" s="13"/>
      <c r="K172" s="19"/>
      <c r="L172" s="13"/>
      <c r="M172" s="557"/>
      <c r="N172" s="460"/>
      <c r="O172" s="783"/>
      <c r="P172" s="460"/>
    </row>
    <row r="173" spans="1:16">
      <c r="A173" s="14"/>
      <c r="B173" s="15"/>
      <c r="C173" s="16"/>
      <c r="D173" s="17"/>
      <c r="E173" s="12"/>
      <c r="F173" s="18"/>
      <c r="G173" s="19"/>
      <c r="H173" s="13"/>
      <c r="I173" s="19"/>
      <c r="J173" s="13"/>
      <c r="K173" s="19"/>
      <c r="L173" s="13"/>
      <c r="M173" s="557"/>
      <c r="N173" s="460"/>
      <c r="O173" s="783"/>
      <c r="P173" s="460"/>
    </row>
    <row r="174" spans="1:16">
      <c r="A174" s="14"/>
      <c r="B174" s="15"/>
      <c r="C174" s="16"/>
      <c r="D174" s="17"/>
      <c r="E174" s="12"/>
      <c r="F174" s="18"/>
      <c r="G174" s="19"/>
      <c r="H174" s="13"/>
      <c r="I174" s="19"/>
      <c r="J174" s="13"/>
      <c r="K174" s="19"/>
      <c r="L174" s="13"/>
      <c r="M174" s="557"/>
      <c r="N174" s="460"/>
      <c r="O174" s="783"/>
      <c r="P174" s="460"/>
    </row>
    <row r="175" spans="1:16">
      <c r="A175" s="14"/>
      <c r="B175" s="15"/>
      <c r="C175" s="16"/>
      <c r="D175" s="17"/>
      <c r="E175" s="12"/>
      <c r="F175" s="18"/>
      <c r="G175" s="19"/>
      <c r="H175" s="13"/>
      <c r="I175" s="19"/>
      <c r="J175" s="13"/>
      <c r="K175" s="19"/>
      <c r="L175" s="13"/>
      <c r="M175" s="557"/>
      <c r="N175" s="460"/>
      <c r="O175" s="783"/>
      <c r="P175" s="460"/>
    </row>
    <row r="176" spans="1:16">
      <c r="A176" s="14"/>
      <c r="B176" s="15"/>
      <c r="C176" s="16"/>
      <c r="D176" s="17"/>
      <c r="E176" s="12"/>
      <c r="F176" s="18"/>
      <c r="G176" s="19"/>
      <c r="H176" s="13"/>
      <c r="I176" s="19"/>
      <c r="J176" s="13"/>
      <c r="K176" s="19"/>
      <c r="L176" s="13"/>
      <c r="M176" s="557"/>
      <c r="N176" s="460"/>
      <c r="O176" s="783"/>
      <c r="P176" s="460"/>
    </row>
    <row r="177" spans="1:16">
      <c r="A177" s="14"/>
      <c r="B177" s="15"/>
      <c r="C177" s="16"/>
      <c r="D177" s="17"/>
      <c r="E177" s="12"/>
      <c r="F177" s="18"/>
      <c r="G177" s="19"/>
      <c r="H177" s="13"/>
      <c r="I177" s="19"/>
      <c r="J177" s="13"/>
      <c r="K177" s="19"/>
      <c r="L177" s="13"/>
      <c r="M177" s="557"/>
      <c r="N177" s="460"/>
      <c r="O177" s="783"/>
      <c r="P177" s="460"/>
    </row>
    <row r="178" spans="1:16">
      <c r="A178" s="14"/>
      <c r="B178" s="15"/>
      <c r="C178" s="16"/>
      <c r="D178" s="17"/>
      <c r="E178" s="12"/>
      <c r="F178" s="18"/>
      <c r="G178" s="19"/>
      <c r="H178" s="13"/>
      <c r="I178" s="19"/>
      <c r="J178" s="13"/>
      <c r="K178" s="19"/>
      <c r="L178" s="13"/>
      <c r="M178" s="557"/>
      <c r="N178" s="460"/>
      <c r="O178" s="783"/>
      <c r="P178" s="460"/>
    </row>
    <row r="179" spans="1:16">
      <c r="A179" s="14"/>
      <c r="B179" s="15"/>
      <c r="C179" s="16"/>
      <c r="D179" s="17"/>
      <c r="E179" s="12"/>
      <c r="F179" s="18"/>
      <c r="G179" s="19"/>
      <c r="H179" s="13"/>
      <c r="I179" s="19"/>
      <c r="J179" s="13"/>
      <c r="K179" s="19"/>
      <c r="L179" s="13"/>
      <c r="M179" s="557"/>
      <c r="N179" s="460"/>
      <c r="O179" s="783"/>
      <c r="P179" s="460"/>
    </row>
    <row r="180" spans="1:16">
      <c r="A180" s="14"/>
      <c r="B180" s="15"/>
      <c r="C180" s="16"/>
      <c r="D180" s="17"/>
      <c r="E180" s="12"/>
      <c r="F180" s="18"/>
      <c r="G180" s="19"/>
      <c r="H180" s="13"/>
      <c r="I180" s="19"/>
      <c r="J180" s="13"/>
      <c r="K180" s="19"/>
      <c r="L180" s="13"/>
      <c r="M180" s="557"/>
      <c r="N180" s="460"/>
      <c r="O180" s="783"/>
      <c r="P180" s="460"/>
    </row>
    <row r="181" spans="1:16">
      <c r="A181" s="14"/>
      <c r="B181" s="15"/>
      <c r="C181" s="16"/>
      <c r="D181" s="17"/>
      <c r="E181" s="12"/>
      <c r="F181" s="18"/>
      <c r="G181" s="19"/>
      <c r="H181" s="13"/>
      <c r="I181" s="19"/>
      <c r="J181" s="13"/>
      <c r="K181" s="19"/>
      <c r="L181" s="13"/>
      <c r="M181" s="557"/>
      <c r="N181" s="460"/>
      <c r="O181" s="783"/>
      <c r="P181" s="460"/>
    </row>
    <row r="182" spans="1:16">
      <c r="A182" s="14"/>
      <c r="B182" s="15"/>
      <c r="C182" s="16"/>
      <c r="D182" s="17"/>
      <c r="E182" s="12"/>
      <c r="F182" s="18"/>
      <c r="G182" s="19"/>
      <c r="H182" s="13"/>
      <c r="I182" s="19"/>
      <c r="J182" s="13"/>
      <c r="K182" s="19"/>
      <c r="L182" s="13"/>
      <c r="M182" s="557"/>
      <c r="N182" s="460"/>
      <c r="O182" s="783"/>
      <c r="P182" s="460"/>
    </row>
    <row r="183" spans="1:16">
      <c r="A183" s="14"/>
      <c r="B183" s="15"/>
      <c r="C183" s="16"/>
      <c r="D183" s="17"/>
      <c r="E183" s="12"/>
      <c r="F183" s="18"/>
      <c r="G183" s="19"/>
      <c r="H183" s="13"/>
      <c r="I183" s="19"/>
      <c r="J183" s="13"/>
      <c r="K183" s="19"/>
      <c r="L183" s="13"/>
      <c r="M183" s="557"/>
      <c r="N183" s="460"/>
      <c r="O183" s="783"/>
      <c r="P183" s="460"/>
    </row>
    <row r="184" spans="1:16">
      <c r="A184" s="14"/>
      <c r="B184" s="15"/>
      <c r="C184" s="16"/>
      <c r="D184" s="17"/>
      <c r="E184" s="12"/>
      <c r="F184" s="18"/>
      <c r="G184" s="19"/>
      <c r="H184" s="13"/>
      <c r="I184" s="19"/>
      <c r="J184" s="13"/>
      <c r="K184" s="19"/>
      <c r="L184" s="13"/>
      <c r="M184" s="557"/>
      <c r="N184" s="460"/>
      <c r="O184" s="783"/>
      <c r="P184" s="460"/>
    </row>
    <row r="185" spans="1:16">
      <c r="A185" s="14"/>
      <c r="B185" s="15"/>
      <c r="C185" s="16"/>
      <c r="D185" s="17"/>
      <c r="E185" s="12"/>
      <c r="F185" s="18"/>
      <c r="G185" s="19"/>
      <c r="H185" s="13"/>
      <c r="I185" s="19"/>
      <c r="J185" s="13"/>
      <c r="K185" s="19"/>
      <c r="L185" s="13"/>
      <c r="M185" s="557"/>
      <c r="N185" s="460"/>
      <c r="O185" s="783"/>
      <c r="P185" s="460"/>
    </row>
    <row r="186" spans="1:16">
      <c r="A186" s="14"/>
      <c r="B186" s="15"/>
      <c r="C186" s="16"/>
      <c r="D186" s="17"/>
      <c r="E186" s="12"/>
      <c r="F186" s="18"/>
      <c r="G186" s="19"/>
      <c r="H186" s="13"/>
      <c r="I186" s="19"/>
      <c r="J186" s="13"/>
      <c r="K186" s="19"/>
      <c r="L186" s="13"/>
      <c r="M186" s="557"/>
      <c r="N186" s="460"/>
      <c r="O186" s="783"/>
      <c r="P186" s="460"/>
    </row>
    <row r="187" spans="1:16">
      <c r="A187" s="14"/>
      <c r="B187" s="15"/>
      <c r="C187" s="16"/>
      <c r="D187" s="17"/>
      <c r="E187" s="12"/>
      <c r="F187" s="18"/>
      <c r="G187" s="19"/>
      <c r="H187" s="13"/>
      <c r="I187" s="19"/>
      <c r="J187" s="13"/>
      <c r="K187" s="19"/>
      <c r="L187" s="13"/>
      <c r="M187" s="557"/>
      <c r="N187" s="460"/>
      <c r="O187" s="783"/>
      <c r="P187" s="460"/>
    </row>
    <row r="188" spans="1:16">
      <c r="A188" s="14"/>
      <c r="B188" s="15"/>
      <c r="C188" s="16"/>
      <c r="D188" s="17"/>
      <c r="E188" s="12"/>
      <c r="F188" s="18"/>
      <c r="G188" s="19"/>
      <c r="H188" s="13"/>
      <c r="I188" s="19"/>
      <c r="J188" s="13"/>
      <c r="K188" s="19"/>
      <c r="L188" s="13"/>
      <c r="M188" s="557"/>
      <c r="N188" s="460"/>
      <c r="O188" s="783"/>
      <c r="P188" s="460"/>
    </row>
    <row r="189" spans="1:16">
      <c r="A189" s="14"/>
      <c r="B189" s="15"/>
      <c r="C189" s="16"/>
      <c r="D189" s="17"/>
      <c r="E189" s="12"/>
      <c r="F189" s="18"/>
      <c r="G189" s="19"/>
      <c r="H189" s="13"/>
      <c r="I189" s="19"/>
      <c r="J189" s="13"/>
      <c r="K189" s="19"/>
      <c r="L189" s="13"/>
      <c r="M189" s="557"/>
      <c r="N189" s="460"/>
      <c r="O189" s="783"/>
      <c r="P189" s="460"/>
    </row>
    <row r="190" spans="1:16">
      <c r="A190" s="14"/>
      <c r="B190" s="15"/>
      <c r="C190" s="16"/>
      <c r="D190" s="17"/>
      <c r="E190" s="12"/>
      <c r="F190" s="18"/>
      <c r="G190" s="19"/>
      <c r="H190" s="13"/>
      <c r="I190" s="19"/>
      <c r="J190" s="13"/>
      <c r="K190" s="19"/>
      <c r="L190" s="13"/>
      <c r="M190" s="557"/>
      <c r="N190" s="460"/>
      <c r="O190" s="783"/>
      <c r="P190" s="460"/>
    </row>
    <row r="191" spans="1:16">
      <c r="A191" s="14"/>
      <c r="B191" s="15"/>
      <c r="C191" s="16"/>
      <c r="D191" s="17"/>
      <c r="E191" s="12"/>
      <c r="F191" s="18"/>
      <c r="G191" s="19"/>
      <c r="H191" s="13"/>
      <c r="I191" s="19"/>
      <c r="J191" s="13"/>
      <c r="K191" s="19"/>
      <c r="L191" s="13"/>
      <c r="M191" s="557"/>
      <c r="N191" s="460"/>
      <c r="O191" s="783"/>
      <c r="P191" s="460"/>
    </row>
    <row r="192" spans="1:16">
      <c r="A192" s="14"/>
      <c r="B192" s="15"/>
      <c r="C192" s="16"/>
      <c r="D192" s="17"/>
      <c r="E192" s="12"/>
      <c r="F192" s="18"/>
      <c r="G192" s="19"/>
      <c r="H192" s="13"/>
      <c r="I192" s="19"/>
      <c r="J192" s="13"/>
      <c r="K192" s="19"/>
      <c r="L192" s="13"/>
      <c r="M192" s="557"/>
      <c r="N192" s="460"/>
      <c r="O192" s="783"/>
      <c r="P192" s="460"/>
    </row>
    <row r="193" spans="1:16">
      <c r="A193" s="14"/>
      <c r="B193" s="15"/>
      <c r="C193" s="16"/>
      <c r="D193" s="17"/>
      <c r="E193" s="12"/>
      <c r="F193" s="18"/>
      <c r="G193" s="19"/>
      <c r="H193" s="13"/>
      <c r="I193" s="19"/>
      <c r="J193" s="13"/>
      <c r="K193" s="19"/>
      <c r="L193" s="13"/>
      <c r="M193" s="557"/>
      <c r="N193" s="460"/>
      <c r="O193" s="783"/>
      <c r="P193" s="460"/>
    </row>
    <row r="194" spans="1:16">
      <c r="A194" s="14"/>
      <c r="B194" s="15"/>
      <c r="C194" s="16"/>
      <c r="D194" s="17"/>
      <c r="E194" s="12"/>
      <c r="F194" s="18"/>
      <c r="G194" s="19"/>
      <c r="H194" s="13"/>
      <c r="I194" s="19"/>
      <c r="J194" s="13"/>
      <c r="K194" s="19"/>
      <c r="L194" s="13"/>
      <c r="M194" s="557"/>
      <c r="N194" s="460"/>
      <c r="O194" s="783"/>
      <c r="P194" s="460"/>
    </row>
    <row r="195" spans="1:16">
      <c r="A195" s="14"/>
      <c r="B195" s="15"/>
      <c r="C195" s="16"/>
      <c r="D195" s="17"/>
      <c r="E195" s="12"/>
      <c r="F195" s="18"/>
      <c r="G195" s="19"/>
      <c r="H195" s="13"/>
      <c r="I195" s="19"/>
      <c r="J195" s="13"/>
      <c r="K195" s="19"/>
      <c r="L195" s="13"/>
      <c r="M195" s="557"/>
      <c r="N195" s="460"/>
      <c r="O195" s="783"/>
      <c r="P195" s="460"/>
    </row>
    <row r="196" spans="1:16">
      <c r="A196" s="14"/>
      <c r="B196" s="15"/>
      <c r="C196" s="16"/>
      <c r="D196" s="17"/>
      <c r="E196" s="12"/>
      <c r="F196" s="18"/>
      <c r="G196" s="19"/>
      <c r="H196" s="13"/>
      <c r="I196" s="19"/>
      <c r="J196" s="13"/>
      <c r="K196" s="19"/>
      <c r="L196" s="13"/>
      <c r="M196" s="557"/>
      <c r="N196" s="460"/>
      <c r="O196" s="783"/>
      <c r="P196" s="460"/>
    </row>
    <row r="197" spans="1:16">
      <c r="A197" s="14"/>
      <c r="B197" s="15"/>
      <c r="C197" s="16"/>
      <c r="D197" s="17"/>
      <c r="E197" s="12"/>
      <c r="F197" s="18"/>
      <c r="G197" s="19"/>
      <c r="H197" s="13"/>
      <c r="I197" s="19"/>
      <c r="J197" s="13"/>
      <c r="K197" s="19"/>
      <c r="L197" s="13"/>
      <c r="M197" s="557"/>
      <c r="N197" s="460"/>
      <c r="O197" s="783"/>
      <c r="P197" s="460"/>
    </row>
    <row r="198" spans="1:16">
      <c r="A198" s="14"/>
      <c r="B198" s="15"/>
      <c r="C198" s="16"/>
      <c r="D198" s="17"/>
      <c r="E198" s="12"/>
      <c r="F198" s="18"/>
      <c r="G198" s="19"/>
      <c r="H198" s="13"/>
      <c r="I198" s="19"/>
      <c r="J198" s="13"/>
      <c r="K198" s="19"/>
      <c r="L198" s="13"/>
      <c r="M198" s="557"/>
      <c r="N198" s="460"/>
      <c r="O198" s="783"/>
      <c r="P198" s="460"/>
    </row>
    <row r="199" spans="1:16">
      <c r="A199" s="14"/>
      <c r="B199" s="15"/>
      <c r="C199" s="16"/>
      <c r="D199" s="17"/>
      <c r="E199" s="12"/>
      <c r="F199" s="18"/>
      <c r="G199" s="19"/>
      <c r="H199" s="13"/>
      <c r="I199" s="19"/>
      <c r="J199" s="13"/>
      <c r="K199" s="19"/>
      <c r="L199" s="13"/>
      <c r="M199" s="557"/>
      <c r="N199" s="460"/>
      <c r="O199" s="783"/>
      <c r="P199" s="460"/>
    </row>
    <row r="200" spans="1:16">
      <c r="A200" s="14"/>
      <c r="B200" s="15"/>
      <c r="C200" s="16"/>
      <c r="D200" s="17"/>
      <c r="E200" s="12"/>
      <c r="F200" s="18"/>
      <c r="G200" s="19"/>
      <c r="H200" s="13"/>
      <c r="I200" s="19"/>
      <c r="J200" s="13"/>
      <c r="K200" s="19"/>
      <c r="L200" s="13"/>
      <c r="M200" s="557"/>
      <c r="N200" s="460"/>
      <c r="O200" s="783"/>
      <c r="P200" s="460"/>
    </row>
    <row r="201" spans="1:16">
      <c r="A201" s="14"/>
      <c r="B201" s="15"/>
      <c r="C201" s="16"/>
      <c r="D201" s="17"/>
      <c r="E201" s="12"/>
      <c r="F201" s="18"/>
      <c r="G201" s="19"/>
      <c r="H201" s="13"/>
      <c r="I201" s="19"/>
      <c r="J201" s="13"/>
      <c r="K201" s="19"/>
      <c r="L201" s="13"/>
      <c r="M201" s="557"/>
      <c r="N201" s="460"/>
      <c r="O201" s="783"/>
      <c r="P201" s="460"/>
    </row>
    <row r="202" spans="1:16">
      <c r="A202" s="14"/>
      <c r="B202" s="15"/>
      <c r="C202" s="16"/>
      <c r="D202" s="17"/>
      <c r="E202" s="12"/>
      <c r="F202" s="18"/>
      <c r="G202" s="19"/>
      <c r="H202" s="13"/>
      <c r="I202" s="19"/>
      <c r="J202" s="13"/>
      <c r="K202" s="19"/>
      <c r="L202" s="13"/>
      <c r="M202" s="557"/>
      <c r="N202" s="460"/>
      <c r="O202" s="783"/>
      <c r="P202" s="460"/>
    </row>
    <row r="203" spans="1:16">
      <c r="A203" s="14"/>
      <c r="B203" s="15"/>
      <c r="C203" s="16"/>
      <c r="D203" s="17"/>
      <c r="E203" s="12"/>
      <c r="F203" s="18"/>
      <c r="G203" s="19"/>
      <c r="H203" s="13"/>
      <c r="I203" s="19"/>
      <c r="J203" s="13"/>
      <c r="K203" s="19"/>
      <c r="L203" s="13"/>
      <c r="M203" s="557"/>
      <c r="N203" s="460"/>
      <c r="O203" s="783"/>
      <c r="P203" s="460"/>
    </row>
    <row r="204" spans="1:16">
      <c r="A204" s="14"/>
      <c r="B204" s="15"/>
      <c r="C204" s="16"/>
      <c r="D204" s="17"/>
      <c r="E204" s="12"/>
      <c r="F204" s="18"/>
      <c r="G204" s="19"/>
      <c r="H204" s="13"/>
      <c r="I204" s="19"/>
      <c r="J204" s="13"/>
      <c r="K204" s="19"/>
      <c r="L204" s="13"/>
      <c r="M204" s="557"/>
      <c r="N204" s="460"/>
      <c r="O204" s="783"/>
      <c r="P204" s="460"/>
    </row>
    <row r="205" spans="1:16">
      <c r="A205" s="14"/>
      <c r="B205" s="15"/>
      <c r="C205" s="16"/>
      <c r="D205" s="17"/>
      <c r="E205" s="12"/>
      <c r="F205" s="18"/>
      <c r="G205" s="19"/>
      <c r="H205" s="13"/>
      <c r="I205" s="19"/>
      <c r="J205" s="13"/>
      <c r="K205" s="19"/>
      <c r="L205" s="13"/>
      <c r="M205" s="557"/>
      <c r="N205" s="460"/>
      <c r="O205" s="783"/>
      <c r="P205" s="460"/>
    </row>
    <row r="206" spans="1:16">
      <c r="A206" s="14"/>
      <c r="B206" s="15"/>
      <c r="C206" s="16"/>
      <c r="D206" s="17"/>
      <c r="E206" s="12"/>
      <c r="F206" s="18"/>
      <c r="G206" s="19"/>
      <c r="H206" s="13"/>
      <c r="I206" s="19"/>
      <c r="J206" s="13"/>
      <c r="K206" s="19"/>
      <c r="L206" s="13"/>
      <c r="M206" s="557"/>
      <c r="N206" s="460"/>
      <c r="O206" s="783"/>
      <c r="P206" s="460"/>
    </row>
    <row r="207" spans="1:16">
      <c r="A207" s="14"/>
      <c r="B207" s="15"/>
      <c r="C207" s="16"/>
      <c r="D207" s="17"/>
      <c r="E207" s="12"/>
      <c r="F207" s="18"/>
      <c r="G207" s="19"/>
      <c r="H207" s="13"/>
      <c r="I207" s="19"/>
      <c r="J207" s="13"/>
      <c r="K207" s="19"/>
      <c r="L207" s="13"/>
      <c r="M207" s="557"/>
      <c r="N207" s="460"/>
      <c r="O207" s="783"/>
      <c r="P207" s="460"/>
    </row>
    <row r="208" spans="1:16">
      <c r="A208" s="14"/>
      <c r="B208" s="15"/>
      <c r="C208" s="16"/>
      <c r="D208" s="17"/>
      <c r="E208" s="12"/>
      <c r="F208" s="18"/>
      <c r="G208" s="19"/>
      <c r="H208" s="13"/>
      <c r="I208" s="19"/>
      <c r="J208" s="13"/>
      <c r="K208" s="19"/>
      <c r="L208" s="13"/>
      <c r="M208" s="557"/>
      <c r="N208" s="460"/>
      <c r="O208" s="783"/>
      <c r="P208" s="460"/>
    </row>
    <row r="209" spans="1:16">
      <c r="A209" s="14"/>
      <c r="B209" s="15"/>
      <c r="C209" s="16"/>
      <c r="D209" s="17"/>
      <c r="E209" s="12"/>
      <c r="F209" s="18"/>
      <c r="G209" s="19"/>
      <c r="H209" s="13"/>
      <c r="I209" s="19"/>
      <c r="J209" s="13"/>
      <c r="K209" s="19"/>
      <c r="L209" s="13"/>
      <c r="M209" s="557"/>
      <c r="N209" s="460"/>
      <c r="O209" s="783"/>
      <c r="P209" s="460"/>
    </row>
    <row r="210" spans="1:16">
      <c r="A210" s="14"/>
      <c r="B210" s="15"/>
      <c r="C210" s="16"/>
      <c r="D210" s="17"/>
      <c r="E210" s="12"/>
      <c r="F210" s="18"/>
      <c r="G210" s="19"/>
      <c r="H210" s="13"/>
      <c r="I210" s="19"/>
      <c r="J210" s="13"/>
      <c r="K210" s="19"/>
      <c r="L210" s="13"/>
      <c r="M210" s="557"/>
      <c r="N210" s="460"/>
      <c r="O210" s="783"/>
      <c r="P210" s="460"/>
    </row>
    <row r="211" spans="1:16">
      <c r="A211" s="14"/>
      <c r="B211" s="15"/>
      <c r="C211" s="16"/>
      <c r="D211" s="17"/>
      <c r="E211" s="12"/>
      <c r="F211" s="18"/>
      <c r="G211" s="19"/>
      <c r="H211" s="13"/>
      <c r="I211" s="19"/>
      <c r="J211" s="13"/>
      <c r="K211" s="19"/>
      <c r="L211" s="13"/>
      <c r="M211" s="557"/>
      <c r="N211" s="460"/>
      <c r="O211" s="783"/>
      <c r="P211" s="460"/>
    </row>
    <row r="212" spans="1:16">
      <c r="A212" s="14"/>
      <c r="B212" s="15"/>
      <c r="C212" s="16"/>
      <c r="D212" s="17"/>
      <c r="E212" s="12"/>
      <c r="F212" s="18"/>
      <c r="G212" s="19"/>
      <c r="H212" s="13"/>
      <c r="I212" s="19"/>
      <c r="J212" s="13"/>
      <c r="K212" s="19"/>
      <c r="L212" s="13"/>
      <c r="M212" s="557"/>
      <c r="N212" s="460"/>
      <c r="O212" s="783"/>
      <c r="P212" s="460"/>
    </row>
    <row r="213" spans="1:16">
      <c r="A213" s="14"/>
      <c r="B213" s="15"/>
      <c r="C213" s="16"/>
      <c r="D213" s="17"/>
      <c r="E213" s="12"/>
      <c r="F213" s="18"/>
      <c r="G213" s="19"/>
      <c r="H213" s="13"/>
      <c r="I213" s="19"/>
      <c r="J213" s="13"/>
      <c r="K213" s="19"/>
      <c r="L213" s="13"/>
      <c r="M213" s="557"/>
      <c r="N213" s="460"/>
      <c r="O213" s="783"/>
      <c r="P213" s="460"/>
    </row>
    <row r="214" spans="1:16">
      <c r="A214" s="14"/>
      <c r="B214" s="15"/>
      <c r="C214" s="16"/>
      <c r="D214" s="17"/>
      <c r="E214" s="12"/>
      <c r="F214" s="18"/>
      <c r="G214" s="19"/>
      <c r="H214" s="13"/>
      <c r="I214" s="19"/>
      <c r="J214" s="13"/>
      <c r="K214" s="19"/>
      <c r="L214" s="13"/>
      <c r="M214" s="557"/>
      <c r="N214" s="460"/>
      <c r="O214" s="783"/>
      <c r="P214" s="460"/>
    </row>
    <row r="215" spans="1:16">
      <c r="A215" s="14"/>
      <c r="B215" s="15"/>
      <c r="C215" s="16"/>
      <c r="D215" s="17"/>
      <c r="E215" s="12"/>
      <c r="F215" s="18"/>
      <c r="G215" s="19"/>
      <c r="H215" s="13"/>
      <c r="I215" s="19"/>
      <c r="J215" s="13"/>
      <c r="K215" s="19"/>
      <c r="L215" s="13"/>
      <c r="M215" s="557"/>
      <c r="N215" s="460"/>
      <c r="O215" s="783"/>
      <c r="P215" s="460"/>
    </row>
    <row r="216" spans="1:16">
      <c r="A216" s="14"/>
      <c r="B216" s="15"/>
      <c r="C216" s="16"/>
      <c r="D216" s="17"/>
      <c r="E216" s="12"/>
      <c r="F216" s="18"/>
      <c r="G216" s="19"/>
      <c r="H216" s="13"/>
      <c r="I216" s="19"/>
      <c r="J216" s="13"/>
      <c r="K216" s="19"/>
      <c r="L216" s="13"/>
      <c r="M216" s="557"/>
      <c r="N216" s="460"/>
      <c r="O216" s="783"/>
      <c r="P216" s="460"/>
    </row>
    <row r="217" spans="1:16">
      <c r="A217" s="14"/>
      <c r="B217" s="15"/>
      <c r="C217" s="16"/>
      <c r="D217" s="17"/>
      <c r="E217" s="12"/>
      <c r="F217" s="18"/>
      <c r="G217" s="19"/>
      <c r="H217" s="13"/>
      <c r="I217" s="19"/>
      <c r="J217" s="13"/>
      <c r="K217" s="19"/>
      <c r="L217" s="13"/>
      <c r="M217" s="557"/>
      <c r="N217" s="460"/>
      <c r="O217" s="783"/>
      <c r="P217" s="460"/>
    </row>
    <row r="218" spans="1:16">
      <c r="A218" s="14"/>
      <c r="B218" s="15"/>
      <c r="C218" s="16"/>
      <c r="D218" s="17"/>
      <c r="E218" s="12"/>
      <c r="F218" s="18"/>
      <c r="G218" s="19"/>
      <c r="H218" s="13"/>
      <c r="I218" s="19"/>
      <c r="J218" s="13"/>
      <c r="K218" s="19"/>
      <c r="L218" s="13"/>
      <c r="M218" s="557"/>
      <c r="N218" s="460"/>
      <c r="O218" s="783"/>
      <c r="P218" s="460"/>
    </row>
    <row r="219" spans="1:16">
      <c r="A219" s="14"/>
      <c r="B219" s="15"/>
      <c r="C219" s="16"/>
      <c r="D219" s="17"/>
      <c r="E219" s="12"/>
      <c r="F219" s="18"/>
      <c r="G219" s="19"/>
      <c r="H219" s="13"/>
      <c r="I219" s="19"/>
      <c r="J219" s="13"/>
      <c r="K219" s="19"/>
      <c r="L219" s="13"/>
      <c r="M219" s="557"/>
      <c r="N219" s="460"/>
      <c r="O219" s="783"/>
      <c r="P219" s="460"/>
    </row>
    <row r="220" spans="1:16">
      <c r="A220" s="14"/>
      <c r="B220" s="15"/>
      <c r="C220" s="16"/>
      <c r="D220" s="17"/>
      <c r="E220" s="12"/>
      <c r="F220" s="18"/>
      <c r="G220" s="19"/>
      <c r="H220" s="13"/>
      <c r="I220" s="19"/>
      <c r="J220" s="13"/>
      <c r="K220" s="19"/>
      <c r="L220" s="13"/>
      <c r="M220" s="557"/>
      <c r="N220" s="460"/>
      <c r="O220" s="783"/>
      <c r="P220" s="460"/>
    </row>
    <row r="221" spans="1:16">
      <c r="A221" s="14"/>
      <c r="B221" s="15"/>
      <c r="C221" s="16"/>
      <c r="D221" s="17"/>
      <c r="E221" s="12"/>
      <c r="F221" s="18"/>
      <c r="G221" s="19"/>
      <c r="H221" s="13"/>
      <c r="I221" s="19"/>
      <c r="J221" s="13"/>
      <c r="K221" s="19"/>
      <c r="L221" s="13"/>
      <c r="M221" s="557"/>
      <c r="N221" s="460"/>
      <c r="O221" s="783"/>
      <c r="P221" s="460"/>
    </row>
    <row r="222" spans="1:16">
      <c r="A222" s="14"/>
      <c r="B222" s="15"/>
      <c r="C222" s="16"/>
      <c r="D222" s="17"/>
      <c r="E222" s="12"/>
      <c r="F222" s="18"/>
      <c r="G222" s="19"/>
      <c r="H222" s="13"/>
      <c r="I222" s="19"/>
      <c r="J222" s="13"/>
      <c r="K222" s="19"/>
      <c r="L222" s="13"/>
      <c r="M222" s="557"/>
      <c r="N222" s="460"/>
      <c r="O222" s="783"/>
      <c r="P222" s="460"/>
    </row>
    <row r="223" spans="1:16">
      <c r="A223" s="14"/>
      <c r="B223" s="15"/>
      <c r="C223" s="16"/>
      <c r="D223" s="17"/>
      <c r="E223" s="12"/>
      <c r="F223" s="18"/>
      <c r="G223" s="19"/>
      <c r="H223" s="13"/>
      <c r="I223" s="19"/>
      <c r="J223" s="13"/>
      <c r="K223" s="19"/>
      <c r="L223" s="13"/>
      <c r="M223" s="557"/>
      <c r="N223" s="460"/>
      <c r="O223" s="783"/>
      <c r="P223" s="460"/>
    </row>
    <row r="224" spans="1:16">
      <c r="A224" s="14"/>
      <c r="B224" s="15"/>
      <c r="C224" s="16"/>
      <c r="D224" s="17"/>
      <c r="E224" s="12"/>
      <c r="F224" s="18"/>
      <c r="G224" s="19"/>
      <c r="H224" s="13"/>
      <c r="I224" s="19"/>
      <c r="J224" s="13"/>
      <c r="K224" s="19"/>
      <c r="L224" s="13"/>
      <c r="M224" s="557"/>
      <c r="N224" s="460"/>
      <c r="O224" s="783"/>
      <c r="P224" s="460"/>
    </row>
    <row r="225" spans="1:16">
      <c r="A225" s="14"/>
      <c r="B225" s="15"/>
      <c r="C225" s="16"/>
      <c r="D225" s="17"/>
      <c r="E225" s="12"/>
      <c r="F225" s="18"/>
      <c r="G225" s="19"/>
      <c r="H225" s="13"/>
      <c r="I225" s="19"/>
      <c r="J225" s="13"/>
      <c r="K225" s="19"/>
      <c r="L225" s="13"/>
      <c r="M225" s="557"/>
      <c r="N225" s="460"/>
      <c r="O225" s="783"/>
      <c r="P225" s="460"/>
    </row>
    <row r="226" spans="1:16">
      <c r="A226" s="14"/>
      <c r="B226" s="15"/>
      <c r="C226" s="16"/>
      <c r="D226" s="17"/>
      <c r="E226" s="12"/>
      <c r="F226" s="18"/>
      <c r="G226" s="19"/>
      <c r="H226" s="13"/>
      <c r="I226" s="19"/>
      <c r="J226" s="13"/>
      <c r="K226" s="19"/>
      <c r="L226" s="13"/>
      <c r="M226" s="557"/>
      <c r="N226" s="460"/>
      <c r="O226" s="783"/>
      <c r="P226" s="460"/>
    </row>
    <row r="227" spans="1:16">
      <c r="A227" s="14"/>
      <c r="B227" s="15"/>
      <c r="C227" s="16"/>
      <c r="D227" s="17"/>
      <c r="E227" s="12"/>
      <c r="F227" s="18"/>
      <c r="G227" s="19"/>
      <c r="H227" s="13"/>
      <c r="I227" s="19"/>
      <c r="J227" s="13"/>
      <c r="K227" s="19"/>
      <c r="L227" s="13"/>
      <c r="M227" s="557"/>
      <c r="N227" s="460"/>
      <c r="O227" s="783"/>
      <c r="P227" s="460"/>
    </row>
    <row r="228" spans="1:16">
      <c r="A228" s="14"/>
      <c r="B228" s="15"/>
      <c r="C228" s="16"/>
      <c r="D228" s="17"/>
      <c r="E228" s="12"/>
      <c r="F228" s="18"/>
      <c r="G228" s="19"/>
      <c r="H228" s="13"/>
      <c r="I228" s="19"/>
      <c r="J228" s="13"/>
      <c r="K228" s="19"/>
      <c r="L228" s="13"/>
      <c r="M228" s="557"/>
      <c r="N228" s="460"/>
      <c r="O228" s="783"/>
      <c r="P228" s="460"/>
    </row>
    <row r="229" spans="1:16">
      <c r="A229" s="14"/>
      <c r="B229" s="15"/>
      <c r="C229" s="16"/>
      <c r="D229" s="17"/>
      <c r="E229" s="12"/>
      <c r="F229" s="18"/>
      <c r="G229" s="19"/>
      <c r="H229" s="13"/>
      <c r="I229" s="19"/>
      <c r="J229" s="13"/>
      <c r="K229" s="19"/>
      <c r="L229" s="13"/>
      <c r="M229" s="557"/>
      <c r="N229" s="460"/>
      <c r="O229" s="783"/>
      <c r="P229" s="460"/>
    </row>
    <row r="230" spans="1:16">
      <c r="A230" s="14"/>
      <c r="B230" s="15"/>
      <c r="C230" s="16"/>
      <c r="D230" s="17"/>
      <c r="E230" s="12"/>
      <c r="F230" s="18"/>
      <c r="G230" s="19"/>
      <c r="H230" s="13"/>
      <c r="I230" s="19"/>
      <c r="J230" s="13"/>
      <c r="K230" s="19"/>
      <c r="L230" s="13"/>
      <c r="M230" s="557"/>
      <c r="N230" s="460"/>
      <c r="O230" s="783"/>
      <c r="P230" s="460"/>
    </row>
    <row r="231" spans="1:16">
      <c r="A231" s="14"/>
      <c r="B231" s="15"/>
      <c r="C231" s="16"/>
      <c r="D231" s="17"/>
      <c r="E231" s="12"/>
      <c r="F231" s="18"/>
      <c r="G231" s="19"/>
      <c r="H231" s="13"/>
      <c r="I231" s="19"/>
      <c r="J231" s="13"/>
      <c r="K231" s="19"/>
      <c r="L231" s="13"/>
      <c r="M231" s="557"/>
      <c r="N231" s="460"/>
      <c r="O231" s="783"/>
      <c r="P231" s="460"/>
    </row>
    <row r="232" spans="1:16">
      <c r="A232" s="14"/>
      <c r="B232" s="15"/>
      <c r="C232" s="16"/>
      <c r="D232" s="17"/>
      <c r="E232" s="12"/>
      <c r="F232" s="18"/>
      <c r="G232" s="19"/>
      <c r="H232" s="13"/>
      <c r="I232" s="19"/>
      <c r="J232" s="13"/>
      <c r="K232" s="19"/>
      <c r="L232" s="13"/>
      <c r="M232" s="557"/>
      <c r="N232" s="460"/>
      <c r="O232" s="783"/>
      <c r="P232" s="460"/>
    </row>
    <row r="233" spans="1:16">
      <c r="A233" s="14"/>
      <c r="B233" s="15"/>
      <c r="C233" s="16"/>
      <c r="D233" s="17"/>
      <c r="E233" s="12"/>
      <c r="F233" s="18"/>
      <c r="G233" s="19"/>
      <c r="H233" s="13"/>
      <c r="I233" s="19"/>
      <c r="J233" s="13"/>
      <c r="K233" s="19"/>
      <c r="L233" s="13"/>
      <c r="M233" s="557"/>
      <c r="N233" s="460"/>
      <c r="O233" s="783"/>
      <c r="P233" s="460"/>
    </row>
    <row r="234" spans="1:16">
      <c r="A234" s="14"/>
      <c r="B234" s="15"/>
      <c r="C234" s="16"/>
      <c r="D234" s="17"/>
      <c r="E234" s="12"/>
      <c r="F234" s="18"/>
      <c r="G234" s="19"/>
      <c r="H234" s="13"/>
      <c r="I234" s="19"/>
      <c r="J234" s="13"/>
      <c r="K234" s="19"/>
      <c r="L234" s="13"/>
      <c r="M234" s="557"/>
      <c r="N234" s="460"/>
      <c r="O234" s="783"/>
      <c r="P234" s="460"/>
    </row>
    <row r="235" spans="1:16">
      <c r="A235" s="14"/>
      <c r="B235" s="15"/>
      <c r="C235" s="16"/>
      <c r="D235" s="17"/>
      <c r="E235" s="12"/>
      <c r="F235" s="18"/>
      <c r="G235" s="19"/>
      <c r="H235" s="13"/>
      <c r="I235" s="19"/>
      <c r="J235" s="13"/>
      <c r="K235" s="19"/>
      <c r="L235" s="13"/>
      <c r="M235" s="557"/>
      <c r="N235" s="460"/>
      <c r="O235" s="783"/>
      <c r="P235" s="460"/>
    </row>
    <row r="236" spans="1:16">
      <c r="A236" s="14"/>
      <c r="B236" s="15"/>
      <c r="C236" s="16"/>
      <c r="D236" s="17"/>
      <c r="E236" s="12"/>
      <c r="F236" s="18"/>
      <c r="G236" s="19"/>
      <c r="H236" s="13"/>
      <c r="I236" s="19"/>
      <c r="J236" s="13"/>
      <c r="K236" s="19"/>
      <c r="L236" s="13"/>
      <c r="M236" s="557"/>
      <c r="N236" s="460"/>
      <c r="O236" s="783"/>
      <c r="P236" s="460"/>
    </row>
    <row r="237" spans="1:16">
      <c r="A237" s="14"/>
      <c r="B237" s="15"/>
      <c r="C237" s="16"/>
      <c r="D237" s="17"/>
      <c r="E237" s="12"/>
      <c r="F237" s="18"/>
      <c r="G237" s="19"/>
      <c r="H237" s="13"/>
      <c r="I237" s="19"/>
      <c r="J237" s="13"/>
      <c r="K237" s="19"/>
      <c r="L237" s="13"/>
      <c r="M237" s="557"/>
      <c r="N237" s="460"/>
      <c r="O237" s="783"/>
      <c r="P237" s="460"/>
    </row>
    <row r="238" spans="1:16">
      <c r="A238" s="14"/>
      <c r="B238" s="15"/>
      <c r="C238" s="16"/>
      <c r="D238" s="17"/>
      <c r="E238" s="12"/>
      <c r="F238" s="18"/>
      <c r="G238" s="19"/>
      <c r="H238" s="13"/>
      <c r="I238" s="19"/>
      <c r="J238" s="13"/>
      <c r="K238" s="19"/>
      <c r="L238" s="13"/>
      <c r="M238" s="557"/>
      <c r="N238" s="460"/>
      <c r="O238" s="783"/>
      <c r="P238" s="460"/>
    </row>
    <row r="239" spans="1:16">
      <c r="A239" s="14"/>
      <c r="B239" s="15"/>
      <c r="C239" s="16"/>
      <c r="D239" s="17"/>
      <c r="E239" s="12"/>
      <c r="F239" s="18"/>
      <c r="G239" s="19"/>
      <c r="H239" s="13"/>
      <c r="I239" s="19"/>
      <c r="J239" s="13"/>
      <c r="K239" s="19"/>
      <c r="L239" s="13"/>
      <c r="M239" s="557"/>
      <c r="N239" s="460"/>
      <c r="O239" s="783"/>
      <c r="P239" s="460"/>
    </row>
    <row r="240" spans="1:16">
      <c r="A240" s="14"/>
      <c r="B240" s="15"/>
      <c r="C240" s="16"/>
      <c r="D240" s="17"/>
      <c r="E240" s="12"/>
      <c r="F240" s="18"/>
      <c r="G240" s="19"/>
      <c r="H240" s="13"/>
      <c r="I240" s="19"/>
      <c r="J240" s="13"/>
      <c r="K240" s="19"/>
      <c r="L240" s="13"/>
      <c r="M240" s="557"/>
      <c r="N240" s="460"/>
      <c r="O240" s="783"/>
      <c r="P240" s="460"/>
    </row>
    <row r="241" spans="1:16">
      <c r="A241" s="14"/>
      <c r="B241" s="15"/>
      <c r="C241" s="16"/>
      <c r="D241" s="17"/>
      <c r="E241" s="12"/>
      <c r="F241" s="18"/>
      <c r="G241" s="19"/>
      <c r="H241" s="13"/>
      <c r="I241" s="19"/>
      <c r="J241" s="13"/>
      <c r="K241" s="19"/>
      <c r="L241" s="13"/>
      <c r="M241" s="557"/>
      <c r="N241" s="460"/>
      <c r="O241" s="783"/>
      <c r="P241" s="460"/>
    </row>
    <row r="242" spans="1:16">
      <c r="A242" s="14"/>
      <c r="B242" s="15"/>
      <c r="C242" s="16"/>
      <c r="D242" s="17"/>
      <c r="E242" s="12"/>
      <c r="F242" s="18"/>
      <c r="G242" s="19"/>
      <c r="H242" s="13"/>
      <c r="I242" s="19"/>
      <c r="J242" s="13"/>
      <c r="K242" s="19"/>
      <c r="L242" s="13"/>
      <c r="M242" s="557"/>
      <c r="N242" s="460"/>
      <c r="O242" s="783"/>
      <c r="P242" s="460"/>
    </row>
    <row r="243" spans="1:16">
      <c r="A243" s="14"/>
      <c r="B243" s="15"/>
      <c r="C243" s="16"/>
      <c r="D243" s="17"/>
      <c r="E243" s="12"/>
      <c r="F243" s="18"/>
      <c r="G243" s="19"/>
      <c r="H243" s="13"/>
      <c r="I243" s="19"/>
      <c r="J243" s="13"/>
      <c r="K243" s="19"/>
      <c r="L243" s="13"/>
      <c r="M243" s="557"/>
      <c r="N243" s="460"/>
      <c r="O243" s="783"/>
      <c r="P243" s="460"/>
    </row>
    <row r="244" spans="1:16">
      <c r="A244" s="14"/>
      <c r="B244" s="15"/>
      <c r="C244" s="16"/>
      <c r="D244" s="17"/>
      <c r="E244" s="12"/>
      <c r="F244" s="18"/>
      <c r="G244" s="19"/>
      <c r="H244" s="13"/>
      <c r="I244" s="19"/>
      <c r="J244" s="13"/>
      <c r="K244" s="19"/>
      <c r="L244" s="13"/>
      <c r="M244" s="557"/>
      <c r="N244" s="460"/>
      <c r="O244" s="783"/>
      <c r="P244" s="460"/>
    </row>
    <row r="245" spans="1:16">
      <c r="A245" s="14"/>
      <c r="B245" s="15"/>
      <c r="C245" s="16"/>
      <c r="D245" s="17"/>
      <c r="E245" s="12"/>
      <c r="F245" s="18"/>
      <c r="G245" s="19"/>
      <c r="H245" s="13"/>
      <c r="I245" s="19"/>
      <c r="J245" s="13"/>
      <c r="K245" s="19"/>
      <c r="L245" s="13"/>
      <c r="M245" s="557"/>
      <c r="N245" s="460"/>
      <c r="O245" s="783"/>
      <c r="P245" s="460"/>
    </row>
    <row r="246" spans="1:16">
      <c r="A246" s="14"/>
      <c r="B246" s="15"/>
      <c r="C246" s="16"/>
      <c r="D246" s="17"/>
      <c r="E246" s="12"/>
      <c r="F246" s="18"/>
      <c r="G246" s="19"/>
      <c r="H246" s="13"/>
      <c r="I246" s="19"/>
      <c r="J246" s="13"/>
      <c r="K246" s="19"/>
      <c r="L246" s="13"/>
      <c r="M246" s="557"/>
      <c r="N246" s="460"/>
      <c r="O246" s="783"/>
      <c r="P246" s="460"/>
    </row>
    <row r="247" spans="1:16">
      <c r="A247" s="14"/>
      <c r="B247" s="15"/>
      <c r="C247" s="16"/>
      <c r="D247" s="17"/>
      <c r="E247" s="12"/>
      <c r="F247" s="18"/>
      <c r="G247" s="19"/>
      <c r="H247" s="13"/>
      <c r="I247" s="19"/>
      <c r="J247" s="13"/>
      <c r="K247" s="19"/>
      <c r="L247" s="13"/>
      <c r="M247" s="557"/>
      <c r="N247" s="460"/>
      <c r="O247" s="783"/>
      <c r="P247" s="460"/>
    </row>
    <row r="248" spans="1:16">
      <c r="A248" s="14"/>
      <c r="B248" s="15"/>
      <c r="C248" s="16"/>
      <c r="D248" s="17"/>
      <c r="E248" s="12"/>
      <c r="F248" s="18"/>
      <c r="G248" s="19"/>
      <c r="H248" s="13"/>
      <c r="I248" s="19"/>
      <c r="J248" s="13"/>
      <c r="K248" s="19"/>
      <c r="L248" s="13"/>
      <c r="M248" s="557"/>
      <c r="N248" s="460"/>
      <c r="O248" s="783"/>
      <c r="P248" s="460"/>
    </row>
    <row r="249" spans="1:16">
      <c r="A249" s="14"/>
      <c r="B249" s="15"/>
      <c r="C249" s="16"/>
      <c r="D249" s="17"/>
      <c r="E249" s="12"/>
      <c r="F249" s="18"/>
      <c r="G249" s="19"/>
      <c r="H249" s="13"/>
      <c r="I249" s="19"/>
      <c r="J249" s="13"/>
      <c r="K249" s="19"/>
      <c r="L249" s="13"/>
      <c r="M249" s="557"/>
      <c r="N249" s="460"/>
      <c r="O249" s="783"/>
      <c r="P249" s="460"/>
    </row>
    <row r="250" spans="1:16">
      <c r="A250" s="14"/>
      <c r="B250" s="15"/>
      <c r="C250" s="16"/>
      <c r="D250" s="17"/>
      <c r="E250" s="12"/>
      <c r="F250" s="18"/>
      <c r="G250" s="19"/>
      <c r="H250" s="13"/>
      <c r="I250" s="19"/>
      <c r="J250" s="13"/>
      <c r="K250" s="19"/>
      <c r="L250" s="13"/>
      <c r="M250" s="557"/>
      <c r="N250" s="460"/>
      <c r="O250" s="783"/>
      <c r="P250" s="460"/>
    </row>
    <row r="251" spans="1:16">
      <c r="A251" s="14"/>
      <c r="B251" s="15"/>
      <c r="C251" s="16"/>
      <c r="D251" s="17"/>
      <c r="E251" s="12"/>
      <c r="F251" s="18"/>
      <c r="G251" s="19"/>
      <c r="H251" s="13"/>
      <c r="I251" s="19"/>
      <c r="J251" s="13"/>
      <c r="K251" s="19"/>
      <c r="L251" s="13"/>
      <c r="M251" s="557"/>
      <c r="N251" s="460"/>
      <c r="O251" s="783"/>
      <c r="P251" s="460"/>
    </row>
    <row r="252" spans="1:16">
      <c r="A252" s="14"/>
      <c r="B252" s="15"/>
      <c r="C252" s="16"/>
      <c r="D252" s="17"/>
      <c r="E252" s="12"/>
      <c r="F252" s="18"/>
      <c r="G252" s="19"/>
      <c r="H252" s="13"/>
      <c r="I252" s="19"/>
      <c r="J252" s="13"/>
      <c r="K252" s="19"/>
      <c r="L252" s="13"/>
      <c r="M252" s="557"/>
      <c r="N252" s="460"/>
      <c r="O252" s="783"/>
      <c r="P252" s="460"/>
    </row>
    <row r="253" spans="1:16">
      <c r="A253" s="14"/>
      <c r="B253" s="15"/>
      <c r="C253" s="16"/>
      <c r="D253" s="17"/>
      <c r="E253" s="12"/>
      <c r="F253" s="18"/>
      <c r="G253" s="19"/>
      <c r="H253" s="13"/>
      <c r="I253" s="19"/>
      <c r="J253" s="13"/>
      <c r="K253" s="19"/>
      <c r="L253" s="13"/>
      <c r="M253" s="557"/>
      <c r="N253" s="460"/>
      <c r="O253" s="783"/>
      <c r="P253" s="460"/>
    </row>
    <row r="254" spans="1:16">
      <c r="A254" s="14"/>
      <c r="B254" s="15"/>
      <c r="C254" s="16"/>
      <c r="D254" s="17"/>
      <c r="E254" s="12"/>
      <c r="F254" s="18"/>
      <c r="G254" s="19"/>
      <c r="H254" s="13"/>
      <c r="I254" s="19"/>
      <c r="J254" s="13"/>
      <c r="K254" s="19"/>
      <c r="L254" s="13"/>
      <c r="M254" s="557"/>
      <c r="N254" s="460"/>
      <c r="O254" s="783"/>
      <c r="P254" s="460"/>
    </row>
    <row r="255" spans="1:16">
      <c r="A255" s="14"/>
      <c r="B255" s="15"/>
      <c r="C255" s="16"/>
      <c r="D255" s="17"/>
      <c r="E255" s="12"/>
      <c r="F255" s="18"/>
      <c r="G255" s="19"/>
      <c r="H255" s="13"/>
      <c r="I255" s="19"/>
      <c r="J255" s="13"/>
      <c r="K255" s="19"/>
      <c r="L255" s="13"/>
      <c r="M255" s="557"/>
      <c r="N255" s="460"/>
      <c r="O255" s="783"/>
      <c r="P255" s="460"/>
    </row>
    <row r="256" spans="1:16">
      <c r="A256" s="14"/>
      <c r="B256" s="15"/>
      <c r="C256" s="16"/>
      <c r="D256" s="17"/>
      <c r="E256" s="12"/>
      <c r="F256" s="18"/>
      <c r="G256" s="19"/>
      <c r="H256" s="13"/>
      <c r="I256" s="19"/>
      <c r="J256" s="13"/>
      <c r="K256" s="19"/>
      <c r="L256" s="13"/>
      <c r="M256" s="557"/>
      <c r="N256" s="460"/>
      <c r="O256" s="783"/>
      <c r="P256" s="460"/>
    </row>
    <row r="257" spans="1:16">
      <c r="A257" s="14"/>
      <c r="B257" s="15"/>
      <c r="C257" s="16"/>
      <c r="D257" s="17"/>
      <c r="E257" s="12"/>
      <c r="F257" s="18"/>
      <c r="G257" s="19"/>
      <c r="H257" s="13"/>
      <c r="I257" s="19"/>
      <c r="J257" s="13"/>
      <c r="K257" s="19"/>
      <c r="L257" s="13"/>
      <c r="M257" s="557"/>
      <c r="N257" s="460"/>
      <c r="O257" s="783"/>
      <c r="P257" s="460"/>
    </row>
    <row r="258" spans="1:16">
      <c r="A258" s="14"/>
      <c r="B258" s="15"/>
      <c r="C258" s="16"/>
      <c r="D258" s="17"/>
      <c r="E258" s="12"/>
      <c r="F258" s="18"/>
      <c r="G258" s="19"/>
      <c r="H258" s="13"/>
      <c r="I258" s="19"/>
      <c r="J258" s="13"/>
      <c r="K258" s="19"/>
      <c r="L258" s="13"/>
      <c r="M258" s="557"/>
      <c r="N258" s="460"/>
      <c r="O258" s="783"/>
      <c r="P258" s="460"/>
    </row>
    <row r="259" spans="1:16">
      <c r="A259" s="14"/>
      <c r="B259" s="15"/>
      <c r="C259" s="16"/>
      <c r="D259" s="17"/>
      <c r="E259" s="12"/>
      <c r="F259" s="18"/>
      <c r="G259" s="19"/>
      <c r="H259" s="13"/>
      <c r="I259" s="19"/>
      <c r="J259" s="13"/>
      <c r="K259" s="19"/>
      <c r="L259" s="13"/>
      <c r="M259" s="557"/>
      <c r="N259" s="460"/>
      <c r="O259" s="783"/>
      <c r="P259" s="460"/>
    </row>
    <row r="260" spans="1:16">
      <c r="A260" s="14"/>
      <c r="B260" s="15"/>
      <c r="C260" s="16"/>
      <c r="D260" s="17"/>
      <c r="E260" s="12"/>
      <c r="F260" s="18"/>
      <c r="G260" s="19"/>
      <c r="H260" s="13"/>
      <c r="I260" s="19"/>
      <c r="J260" s="13"/>
      <c r="K260" s="19"/>
      <c r="L260" s="13"/>
      <c r="M260" s="557"/>
      <c r="N260" s="460"/>
      <c r="O260" s="783"/>
      <c r="P260" s="460"/>
    </row>
    <row r="261" spans="1:16">
      <c r="A261" s="14"/>
      <c r="B261" s="15"/>
      <c r="C261" s="16"/>
      <c r="D261" s="17"/>
      <c r="E261" s="12"/>
      <c r="F261" s="18"/>
      <c r="G261" s="19"/>
      <c r="H261" s="13"/>
      <c r="I261" s="19"/>
      <c r="J261" s="13"/>
      <c r="K261" s="19"/>
      <c r="L261" s="13"/>
      <c r="M261" s="557"/>
      <c r="N261" s="460"/>
      <c r="O261" s="783"/>
      <c r="P261" s="460"/>
    </row>
    <row r="262" spans="1:16">
      <c r="A262" s="14"/>
      <c r="B262" s="15"/>
      <c r="C262" s="16"/>
      <c r="D262" s="17"/>
      <c r="E262" s="12"/>
      <c r="F262" s="18"/>
      <c r="G262" s="19"/>
      <c r="H262" s="13"/>
      <c r="I262" s="19"/>
      <c r="J262" s="13"/>
      <c r="K262" s="19"/>
      <c r="L262" s="13"/>
      <c r="M262" s="557"/>
      <c r="N262" s="460"/>
      <c r="O262" s="783"/>
      <c r="P262" s="460"/>
    </row>
    <row r="263" spans="1:16">
      <c r="A263" s="14"/>
      <c r="B263" s="15"/>
      <c r="C263" s="16"/>
      <c r="D263" s="17"/>
      <c r="E263" s="12"/>
      <c r="F263" s="18"/>
      <c r="G263" s="19"/>
      <c r="H263" s="13"/>
      <c r="I263" s="19"/>
      <c r="J263" s="13"/>
      <c r="K263" s="19"/>
      <c r="L263" s="13"/>
      <c r="M263" s="557"/>
      <c r="N263" s="460"/>
      <c r="O263" s="783"/>
      <c r="P263" s="460"/>
    </row>
    <row r="264" spans="1:16">
      <c r="A264" s="14"/>
      <c r="B264" s="15"/>
      <c r="C264" s="16"/>
      <c r="D264" s="17"/>
      <c r="E264" s="12"/>
      <c r="F264" s="18"/>
      <c r="G264" s="19"/>
      <c r="H264" s="13"/>
      <c r="I264" s="19"/>
      <c r="J264" s="13"/>
      <c r="K264" s="19"/>
      <c r="L264" s="13"/>
      <c r="M264" s="557"/>
      <c r="N264" s="460"/>
      <c r="O264" s="783"/>
      <c r="P264" s="460"/>
    </row>
    <row r="265" spans="1:16">
      <c r="A265" s="14"/>
      <c r="B265" s="15"/>
      <c r="C265" s="16"/>
      <c r="D265" s="17"/>
      <c r="E265" s="12"/>
      <c r="F265" s="18"/>
      <c r="G265" s="19"/>
      <c r="H265" s="13"/>
      <c r="I265" s="19"/>
      <c r="J265" s="13"/>
      <c r="K265" s="19"/>
      <c r="L265" s="13"/>
      <c r="M265" s="557"/>
      <c r="N265" s="460"/>
      <c r="O265" s="783"/>
      <c r="P265" s="460"/>
    </row>
    <row r="266" spans="1:16">
      <c r="A266" s="14"/>
      <c r="B266" s="15"/>
      <c r="C266" s="16"/>
      <c r="D266" s="17"/>
      <c r="E266" s="12"/>
      <c r="F266" s="18"/>
      <c r="G266" s="19"/>
      <c r="H266" s="13"/>
      <c r="I266" s="19"/>
      <c r="J266" s="13"/>
      <c r="K266" s="19"/>
      <c r="L266" s="13"/>
      <c r="M266" s="557"/>
      <c r="N266" s="460"/>
      <c r="O266" s="783"/>
      <c r="P266" s="460"/>
    </row>
    <row r="267" spans="1:16">
      <c r="A267" s="14"/>
      <c r="B267" s="15"/>
      <c r="C267" s="16"/>
      <c r="D267" s="17"/>
      <c r="E267" s="12"/>
      <c r="F267" s="18"/>
      <c r="G267" s="19"/>
      <c r="H267" s="13"/>
      <c r="I267" s="19"/>
      <c r="J267" s="13"/>
      <c r="K267" s="19"/>
      <c r="L267" s="13"/>
      <c r="M267" s="557"/>
      <c r="N267" s="460"/>
      <c r="O267" s="783"/>
      <c r="P267" s="460"/>
    </row>
    <row r="268" spans="1:16">
      <c r="A268" s="14"/>
      <c r="B268" s="15"/>
      <c r="C268" s="16"/>
      <c r="D268" s="17"/>
      <c r="E268" s="12"/>
      <c r="F268" s="18"/>
      <c r="G268" s="19"/>
      <c r="H268" s="13"/>
      <c r="I268" s="19"/>
      <c r="J268" s="13"/>
      <c r="K268" s="19"/>
      <c r="L268" s="13"/>
      <c r="M268" s="557"/>
      <c r="N268" s="460"/>
      <c r="O268" s="783"/>
      <c r="P268" s="460"/>
    </row>
    <row r="269" spans="1:16">
      <c r="A269" s="14"/>
      <c r="B269" s="15"/>
      <c r="C269" s="16"/>
      <c r="D269" s="17"/>
      <c r="E269" s="12"/>
      <c r="F269" s="18"/>
      <c r="G269" s="19"/>
      <c r="H269" s="13"/>
      <c r="I269" s="19"/>
      <c r="J269" s="13"/>
      <c r="K269" s="19"/>
      <c r="L269" s="13"/>
      <c r="M269" s="557"/>
      <c r="N269" s="460"/>
      <c r="O269" s="783"/>
      <c r="P269" s="460"/>
    </row>
    <row r="270" spans="1:16">
      <c r="A270" s="14"/>
      <c r="B270" s="15"/>
      <c r="C270" s="16"/>
      <c r="D270" s="17"/>
      <c r="E270" s="12"/>
      <c r="F270" s="18"/>
      <c r="G270" s="19"/>
      <c r="H270" s="13"/>
      <c r="I270" s="19"/>
      <c r="J270" s="13"/>
      <c r="K270" s="19"/>
      <c r="L270" s="13"/>
      <c r="M270" s="557"/>
      <c r="N270" s="460"/>
      <c r="O270" s="783"/>
      <c r="P270" s="460"/>
    </row>
    <row r="271" spans="1:16">
      <c r="A271" s="14"/>
      <c r="B271" s="15"/>
      <c r="C271" s="16"/>
      <c r="D271" s="17"/>
      <c r="E271" s="12"/>
      <c r="F271" s="18"/>
      <c r="G271" s="19"/>
      <c r="H271" s="13"/>
      <c r="I271" s="19"/>
      <c r="J271" s="13"/>
      <c r="K271" s="19"/>
      <c r="L271" s="13"/>
      <c r="M271" s="557"/>
      <c r="N271" s="460"/>
      <c r="O271" s="783"/>
      <c r="P271" s="460"/>
    </row>
    <row r="272" spans="1:16">
      <c r="A272" s="14"/>
      <c r="B272" s="15"/>
      <c r="C272" s="16"/>
      <c r="D272" s="17"/>
      <c r="E272" s="12"/>
      <c r="F272" s="18"/>
      <c r="G272" s="19"/>
      <c r="H272" s="13"/>
      <c r="I272" s="19"/>
      <c r="J272" s="13"/>
      <c r="K272" s="19"/>
      <c r="L272" s="13"/>
      <c r="M272" s="557"/>
      <c r="N272" s="460"/>
      <c r="O272" s="783"/>
      <c r="P272" s="460"/>
    </row>
    <row r="273" spans="1:16">
      <c r="A273" s="14"/>
      <c r="B273" s="15"/>
      <c r="C273" s="16"/>
      <c r="D273" s="17"/>
      <c r="E273" s="12"/>
      <c r="F273" s="18"/>
      <c r="G273" s="19"/>
      <c r="H273" s="13"/>
      <c r="I273" s="19"/>
      <c r="J273" s="13"/>
      <c r="K273" s="19"/>
      <c r="L273" s="13"/>
      <c r="M273" s="557"/>
      <c r="N273" s="460"/>
      <c r="O273" s="783"/>
      <c r="P273" s="460"/>
    </row>
    <row r="274" spans="1:16">
      <c r="A274" s="14"/>
      <c r="B274" s="15"/>
      <c r="C274" s="16"/>
      <c r="D274" s="17"/>
      <c r="E274" s="12"/>
      <c r="F274" s="18"/>
      <c r="G274" s="19"/>
      <c r="H274" s="13"/>
      <c r="I274" s="19"/>
      <c r="J274" s="13"/>
      <c r="K274" s="19"/>
      <c r="L274" s="13"/>
      <c r="M274" s="557"/>
      <c r="N274" s="460"/>
      <c r="O274" s="783"/>
      <c r="P274" s="460"/>
    </row>
    <row r="275" spans="1:16">
      <c r="A275" s="14"/>
      <c r="B275" s="15"/>
      <c r="C275" s="16"/>
      <c r="D275" s="17"/>
      <c r="E275" s="12"/>
      <c r="F275" s="18"/>
      <c r="G275" s="19"/>
      <c r="H275" s="13"/>
      <c r="I275" s="19"/>
      <c r="J275" s="13"/>
      <c r="K275" s="19"/>
      <c r="L275" s="13"/>
      <c r="M275" s="557"/>
      <c r="N275" s="460"/>
      <c r="O275" s="783"/>
      <c r="P275" s="460"/>
    </row>
    <row r="276" spans="1:16">
      <c r="A276" s="14"/>
      <c r="B276" s="15"/>
      <c r="C276" s="16"/>
      <c r="D276" s="17"/>
      <c r="E276" s="12"/>
      <c r="F276" s="18"/>
      <c r="G276" s="19"/>
      <c r="H276" s="13"/>
      <c r="I276" s="19"/>
      <c r="J276" s="13"/>
      <c r="K276" s="19"/>
      <c r="L276" s="13"/>
      <c r="M276" s="557"/>
      <c r="N276" s="460"/>
      <c r="O276" s="783"/>
      <c r="P276" s="460"/>
    </row>
    <row r="277" spans="1:16">
      <c r="A277" s="14"/>
      <c r="B277" s="15"/>
      <c r="C277" s="16"/>
      <c r="D277" s="17"/>
      <c r="E277" s="12"/>
      <c r="F277" s="18"/>
      <c r="G277" s="19"/>
      <c r="H277" s="13"/>
      <c r="I277" s="19"/>
      <c r="J277" s="13"/>
      <c r="K277" s="19"/>
      <c r="L277" s="13"/>
      <c r="M277" s="557"/>
      <c r="N277" s="460"/>
      <c r="O277" s="783"/>
      <c r="P277" s="460"/>
    </row>
    <row r="278" spans="1:16">
      <c r="A278" s="14"/>
      <c r="B278" s="15"/>
      <c r="C278" s="16"/>
      <c r="D278" s="17"/>
      <c r="E278" s="12"/>
      <c r="F278" s="18"/>
      <c r="G278" s="19"/>
      <c r="H278" s="13"/>
      <c r="I278" s="19"/>
      <c r="J278" s="13"/>
      <c r="K278" s="19"/>
      <c r="L278" s="13"/>
      <c r="M278" s="557"/>
      <c r="N278" s="460"/>
      <c r="O278" s="783"/>
      <c r="P278" s="460"/>
    </row>
    <row r="279" spans="1:16">
      <c r="A279" s="14"/>
      <c r="B279" s="15"/>
      <c r="C279" s="16"/>
      <c r="D279" s="17"/>
      <c r="E279" s="12"/>
      <c r="F279" s="18"/>
      <c r="G279" s="19"/>
      <c r="H279" s="13"/>
      <c r="I279" s="19"/>
      <c r="J279" s="13"/>
      <c r="K279" s="19"/>
      <c r="L279" s="13"/>
      <c r="M279" s="557"/>
      <c r="N279" s="460"/>
      <c r="O279" s="783"/>
      <c r="P279" s="460"/>
    </row>
    <row r="280" spans="1:16">
      <c r="A280" s="14"/>
      <c r="B280" s="15"/>
      <c r="C280" s="16"/>
      <c r="D280" s="17"/>
      <c r="E280" s="12"/>
      <c r="F280" s="18"/>
      <c r="G280" s="19"/>
      <c r="H280" s="13"/>
      <c r="I280" s="19"/>
      <c r="J280" s="13"/>
      <c r="K280" s="19"/>
      <c r="L280" s="13"/>
      <c r="M280" s="557"/>
      <c r="N280" s="460"/>
      <c r="O280" s="783"/>
      <c r="P280" s="460"/>
    </row>
    <row r="281" spans="1:16">
      <c r="A281" s="14"/>
      <c r="B281" s="15"/>
      <c r="C281" s="16"/>
      <c r="D281" s="17"/>
      <c r="E281" s="12"/>
      <c r="F281" s="18"/>
      <c r="G281" s="19"/>
      <c r="H281" s="13"/>
      <c r="I281" s="19"/>
      <c r="J281" s="13"/>
      <c r="K281" s="19"/>
      <c r="L281" s="13"/>
      <c r="M281" s="557"/>
      <c r="N281" s="460"/>
      <c r="O281" s="783"/>
      <c r="P281" s="460"/>
    </row>
    <row r="282" spans="1:16">
      <c r="A282" s="14"/>
      <c r="B282" s="15"/>
      <c r="C282" s="16"/>
      <c r="D282" s="17"/>
      <c r="E282" s="12"/>
      <c r="F282" s="18"/>
      <c r="G282" s="19"/>
      <c r="H282" s="13"/>
      <c r="I282" s="19"/>
      <c r="J282" s="13"/>
      <c r="K282" s="19"/>
      <c r="L282" s="13"/>
      <c r="M282" s="557"/>
      <c r="N282" s="460"/>
      <c r="O282" s="783"/>
      <c r="P282" s="460"/>
    </row>
    <row r="283" spans="1:16">
      <c r="A283" s="14"/>
      <c r="B283" s="15"/>
      <c r="C283" s="16"/>
      <c r="D283" s="17"/>
      <c r="E283" s="12"/>
      <c r="F283" s="18"/>
      <c r="G283" s="19"/>
      <c r="H283" s="13"/>
      <c r="I283" s="19"/>
      <c r="J283" s="13"/>
      <c r="K283" s="19"/>
      <c r="L283" s="13"/>
      <c r="M283" s="557"/>
      <c r="N283" s="460"/>
      <c r="O283" s="783"/>
      <c r="P283" s="460"/>
    </row>
    <row r="284" spans="1:16">
      <c r="A284" s="14"/>
      <c r="B284" s="15"/>
      <c r="C284" s="16"/>
      <c r="D284" s="17"/>
      <c r="E284" s="12"/>
      <c r="F284" s="18"/>
      <c r="G284" s="19"/>
      <c r="H284" s="13"/>
      <c r="I284" s="19"/>
      <c r="J284" s="13"/>
      <c r="K284" s="19"/>
      <c r="L284" s="13"/>
      <c r="M284" s="557"/>
      <c r="N284" s="460"/>
      <c r="O284" s="783"/>
      <c r="P284" s="460"/>
    </row>
    <row r="285" spans="1:16">
      <c r="A285" s="14"/>
      <c r="B285" s="15"/>
      <c r="C285" s="16"/>
      <c r="D285" s="17"/>
      <c r="E285" s="12"/>
      <c r="F285" s="18"/>
      <c r="G285" s="19"/>
      <c r="H285" s="13"/>
      <c r="I285" s="19"/>
      <c r="J285" s="13"/>
      <c r="K285" s="19"/>
      <c r="L285" s="13"/>
      <c r="M285" s="557"/>
      <c r="N285" s="460"/>
      <c r="O285" s="783"/>
      <c r="P285" s="460"/>
    </row>
    <row r="286" spans="1:16">
      <c r="A286" s="14"/>
      <c r="B286" s="15"/>
      <c r="C286" s="16"/>
      <c r="D286" s="17"/>
      <c r="E286" s="12"/>
      <c r="F286" s="18"/>
      <c r="G286" s="19"/>
      <c r="H286" s="13"/>
      <c r="I286" s="19"/>
      <c r="J286" s="13"/>
      <c r="K286" s="19"/>
      <c r="L286" s="13"/>
      <c r="M286" s="557"/>
      <c r="N286" s="460"/>
      <c r="O286" s="783"/>
      <c r="P286" s="460"/>
    </row>
    <row r="287" spans="1:16">
      <c r="A287" s="14"/>
      <c r="B287" s="15"/>
      <c r="C287" s="16"/>
      <c r="D287" s="17"/>
      <c r="E287" s="12"/>
      <c r="F287" s="18"/>
      <c r="G287" s="19"/>
      <c r="H287" s="13"/>
      <c r="I287" s="19"/>
      <c r="J287" s="13"/>
      <c r="K287" s="19"/>
      <c r="L287" s="13"/>
      <c r="M287" s="557"/>
      <c r="N287" s="460"/>
      <c r="O287" s="783"/>
      <c r="P287" s="460"/>
    </row>
    <row r="288" spans="1:16">
      <c r="A288" s="14"/>
      <c r="B288" s="15"/>
      <c r="C288" s="16"/>
      <c r="D288" s="17"/>
      <c r="E288" s="12"/>
      <c r="F288" s="18"/>
      <c r="G288" s="19"/>
      <c r="H288" s="13"/>
      <c r="I288" s="19"/>
      <c r="J288" s="13"/>
      <c r="K288" s="19"/>
      <c r="L288" s="13"/>
      <c r="M288" s="557"/>
      <c r="N288" s="460"/>
      <c r="O288" s="783"/>
      <c r="P288" s="460"/>
    </row>
    <row r="289" spans="1:16">
      <c r="A289" s="14"/>
      <c r="B289" s="15"/>
      <c r="C289" s="16"/>
      <c r="D289" s="17"/>
      <c r="E289" s="12"/>
      <c r="F289" s="18"/>
      <c r="G289" s="19"/>
      <c r="H289" s="13"/>
      <c r="I289" s="19"/>
      <c r="J289" s="13"/>
      <c r="K289" s="19"/>
      <c r="L289" s="13"/>
      <c r="M289" s="557"/>
      <c r="N289" s="460"/>
      <c r="O289" s="783"/>
      <c r="P289" s="460"/>
    </row>
    <row r="290" spans="1:16">
      <c r="A290" s="14"/>
      <c r="B290" s="15"/>
      <c r="C290" s="16"/>
      <c r="D290" s="17"/>
      <c r="E290" s="12"/>
      <c r="F290" s="18"/>
      <c r="G290" s="19"/>
      <c r="H290" s="13"/>
      <c r="I290" s="19"/>
      <c r="J290" s="13"/>
      <c r="K290" s="19"/>
      <c r="L290" s="13"/>
      <c r="M290" s="557"/>
      <c r="N290" s="460"/>
      <c r="O290" s="783"/>
      <c r="P290" s="460"/>
    </row>
    <row r="291" spans="1:16">
      <c r="A291" s="14"/>
      <c r="B291" s="15"/>
      <c r="C291" s="16"/>
      <c r="D291" s="17"/>
      <c r="E291" s="12"/>
      <c r="F291" s="18"/>
      <c r="G291" s="19"/>
      <c r="H291" s="13"/>
      <c r="I291" s="19"/>
      <c r="J291" s="13"/>
      <c r="K291" s="19"/>
      <c r="L291" s="13"/>
      <c r="M291" s="557"/>
      <c r="N291" s="460"/>
      <c r="O291" s="783"/>
      <c r="P291" s="460"/>
    </row>
    <row r="292" spans="1:16">
      <c r="A292" s="14"/>
      <c r="B292" s="15"/>
      <c r="C292" s="16"/>
      <c r="D292" s="17"/>
      <c r="E292" s="12"/>
      <c r="F292" s="18"/>
      <c r="G292" s="19"/>
      <c r="H292" s="13"/>
      <c r="I292" s="19"/>
      <c r="J292" s="13"/>
      <c r="K292" s="19"/>
      <c r="L292" s="13"/>
      <c r="M292" s="557"/>
      <c r="N292" s="460"/>
      <c r="O292" s="783"/>
      <c r="P292" s="460"/>
    </row>
    <row r="293" spans="1:16">
      <c r="A293" s="14"/>
      <c r="B293" s="15"/>
      <c r="C293" s="16"/>
      <c r="D293" s="17"/>
      <c r="E293" s="12"/>
      <c r="F293" s="18"/>
      <c r="G293" s="19"/>
      <c r="H293" s="13"/>
      <c r="I293" s="19"/>
      <c r="J293" s="13"/>
      <c r="K293" s="19"/>
      <c r="L293" s="13"/>
      <c r="M293" s="557"/>
      <c r="N293" s="460"/>
      <c r="O293" s="783"/>
      <c r="P293" s="460"/>
    </row>
    <row r="294" spans="1:16">
      <c r="A294" s="14"/>
      <c r="B294" s="15"/>
      <c r="C294" s="16"/>
      <c r="D294" s="17"/>
      <c r="E294" s="12"/>
      <c r="F294" s="18"/>
      <c r="G294" s="19"/>
      <c r="H294" s="13"/>
      <c r="I294" s="19"/>
      <c r="J294" s="13"/>
      <c r="K294" s="19"/>
      <c r="L294" s="13"/>
      <c r="M294" s="557"/>
      <c r="N294" s="460"/>
      <c r="O294" s="783"/>
      <c r="P294" s="460"/>
    </row>
    <row r="295" spans="1:16">
      <c r="A295" s="14"/>
      <c r="B295" s="15"/>
      <c r="C295" s="16"/>
      <c r="D295" s="17"/>
      <c r="E295" s="12"/>
      <c r="F295" s="18"/>
      <c r="G295" s="19"/>
      <c r="H295" s="13"/>
      <c r="I295" s="19"/>
      <c r="J295" s="13"/>
      <c r="K295" s="19"/>
      <c r="L295" s="13"/>
      <c r="M295" s="557"/>
      <c r="N295" s="460"/>
      <c r="O295" s="783"/>
      <c r="P295" s="460"/>
    </row>
    <row r="296" spans="1:16">
      <c r="A296" s="14"/>
      <c r="B296" s="15"/>
      <c r="C296" s="16"/>
      <c r="D296" s="17"/>
      <c r="E296" s="12"/>
      <c r="F296" s="18"/>
      <c r="G296" s="19"/>
      <c r="H296" s="13"/>
      <c r="I296" s="19"/>
      <c r="J296" s="13"/>
      <c r="K296" s="19"/>
      <c r="L296" s="13"/>
      <c r="M296" s="557"/>
      <c r="N296" s="460"/>
      <c r="O296" s="783"/>
      <c r="P296" s="460"/>
    </row>
    <row r="297" spans="1:16">
      <c r="A297" s="14"/>
      <c r="B297" s="15"/>
      <c r="C297" s="16"/>
      <c r="D297" s="17"/>
      <c r="E297" s="12"/>
      <c r="F297" s="18"/>
      <c r="G297" s="19"/>
      <c r="H297" s="13"/>
      <c r="I297" s="19"/>
      <c r="J297" s="13"/>
      <c r="K297" s="19"/>
      <c r="L297" s="13"/>
      <c r="M297" s="557"/>
      <c r="N297" s="460"/>
      <c r="O297" s="783"/>
      <c r="P297" s="460"/>
    </row>
    <row r="298" spans="1:16">
      <c r="A298" s="14"/>
      <c r="B298" s="15"/>
      <c r="C298" s="16"/>
      <c r="D298" s="17"/>
      <c r="E298" s="12"/>
      <c r="F298" s="18"/>
      <c r="G298" s="19"/>
      <c r="H298" s="13"/>
      <c r="I298" s="19"/>
      <c r="J298" s="13"/>
      <c r="K298" s="19"/>
      <c r="L298" s="13"/>
      <c r="M298" s="557"/>
      <c r="N298" s="460"/>
      <c r="O298" s="783"/>
      <c r="P298" s="460"/>
    </row>
    <row r="299" spans="1:16">
      <c r="A299" s="14"/>
      <c r="B299" s="15"/>
      <c r="C299" s="16"/>
      <c r="D299" s="17"/>
      <c r="E299" s="12"/>
      <c r="F299" s="18"/>
      <c r="G299" s="19"/>
      <c r="H299" s="13"/>
      <c r="I299" s="19"/>
      <c r="J299" s="13"/>
      <c r="K299" s="19"/>
      <c r="L299" s="13"/>
      <c r="M299" s="557"/>
      <c r="N299" s="460"/>
      <c r="O299" s="783"/>
      <c r="P299" s="460"/>
    </row>
    <row r="300" spans="1:16">
      <c r="A300" s="14"/>
      <c r="B300" s="15"/>
      <c r="C300" s="16"/>
      <c r="D300" s="17"/>
      <c r="E300" s="12"/>
      <c r="F300" s="18"/>
      <c r="G300" s="19"/>
      <c r="H300" s="13"/>
      <c r="I300" s="19"/>
      <c r="J300" s="13"/>
      <c r="K300" s="19"/>
      <c r="L300" s="13"/>
      <c r="M300" s="557"/>
      <c r="N300" s="460"/>
      <c r="O300" s="783"/>
      <c r="P300" s="460"/>
    </row>
    <row r="301" spans="1:16">
      <c r="A301" s="14"/>
      <c r="B301" s="15"/>
      <c r="C301" s="16"/>
      <c r="D301" s="17"/>
      <c r="E301" s="12"/>
      <c r="F301" s="18"/>
      <c r="G301" s="19"/>
      <c r="H301" s="13"/>
      <c r="I301" s="19"/>
      <c r="J301" s="13"/>
      <c r="K301" s="19"/>
      <c r="L301" s="13"/>
      <c r="M301" s="557"/>
      <c r="N301" s="460"/>
      <c r="O301" s="783"/>
      <c r="P301" s="460"/>
    </row>
    <row r="302" spans="1:16">
      <c r="A302" s="14"/>
      <c r="B302" s="15"/>
      <c r="C302" s="16"/>
      <c r="D302" s="17"/>
      <c r="E302" s="12"/>
      <c r="F302" s="18"/>
      <c r="G302" s="19"/>
      <c r="H302" s="13"/>
      <c r="I302" s="19"/>
      <c r="J302" s="13"/>
      <c r="K302" s="19"/>
      <c r="L302" s="13"/>
      <c r="M302" s="557"/>
      <c r="N302" s="460"/>
      <c r="O302" s="783"/>
      <c r="P302" s="460"/>
    </row>
    <row r="303" spans="1:16">
      <c r="A303" s="14"/>
      <c r="B303" s="15"/>
      <c r="C303" s="16"/>
      <c r="D303" s="17"/>
      <c r="E303" s="12"/>
      <c r="F303" s="18"/>
      <c r="G303" s="19"/>
      <c r="H303" s="13"/>
      <c r="I303" s="19"/>
      <c r="J303" s="13"/>
      <c r="K303" s="19"/>
      <c r="L303" s="13"/>
      <c r="M303" s="557"/>
      <c r="N303" s="460"/>
      <c r="O303" s="783"/>
      <c r="P303" s="460"/>
    </row>
    <row r="304" spans="1:16">
      <c r="A304" s="14"/>
      <c r="B304" s="15"/>
      <c r="C304" s="16"/>
      <c r="D304" s="17"/>
      <c r="E304" s="12"/>
      <c r="F304" s="18"/>
      <c r="G304" s="19"/>
      <c r="H304" s="13"/>
      <c r="I304" s="19"/>
      <c r="J304" s="13"/>
      <c r="K304" s="19"/>
      <c r="L304" s="13"/>
      <c r="M304" s="557"/>
      <c r="N304" s="460"/>
      <c r="O304" s="783"/>
      <c r="P304" s="460"/>
    </row>
    <row r="305" spans="1:16">
      <c r="A305" s="14"/>
      <c r="B305" s="15"/>
      <c r="C305" s="16"/>
      <c r="D305" s="17"/>
      <c r="E305" s="12"/>
      <c r="F305" s="18"/>
      <c r="G305" s="19"/>
      <c r="H305" s="13"/>
      <c r="I305" s="19"/>
      <c r="J305" s="13"/>
      <c r="K305" s="19"/>
      <c r="L305" s="13"/>
      <c r="M305" s="557"/>
      <c r="N305" s="460"/>
      <c r="O305" s="783"/>
      <c r="P305" s="460"/>
    </row>
    <row r="306" spans="1:16">
      <c r="A306" s="14"/>
      <c r="B306" s="15"/>
      <c r="C306" s="16"/>
      <c r="D306" s="17"/>
      <c r="E306" s="12"/>
      <c r="F306" s="18"/>
      <c r="G306" s="19"/>
      <c r="H306" s="13"/>
      <c r="I306" s="19"/>
      <c r="J306" s="13"/>
      <c r="K306" s="19"/>
      <c r="L306" s="13"/>
      <c r="M306" s="557"/>
      <c r="N306" s="460"/>
      <c r="O306" s="783"/>
      <c r="P306" s="460"/>
    </row>
    <row r="307" spans="1:16">
      <c r="A307" s="14"/>
      <c r="B307" s="15"/>
      <c r="C307" s="16"/>
      <c r="D307" s="17"/>
      <c r="E307" s="12"/>
      <c r="F307" s="18"/>
      <c r="G307" s="19"/>
      <c r="H307" s="13"/>
      <c r="I307" s="19"/>
      <c r="J307" s="13"/>
      <c r="K307" s="19"/>
      <c r="L307" s="13"/>
      <c r="M307" s="557"/>
      <c r="N307" s="460"/>
      <c r="O307" s="783"/>
      <c r="P307" s="460"/>
    </row>
    <row r="308" spans="1:16">
      <c r="A308" s="14"/>
      <c r="B308" s="15"/>
      <c r="C308" s="16"/>
      <c r="D308" s="17"/>
      <c r="E308" s="12"/>
      <c r="F308" s="18"/>
      <c r="G308" s="19"/>
      <c r="H308" s="13"/>
      <c r="I308" s="19"/>
      <c r="J308" s="13"/>
      <c r="K308" s="19"/>
      <c r="L308" s="13"/>
      <c r="M308" s="557"/>
      <c r="N308" s="460"/>
      <c r="O308" s="783"/>
      <c r="P308" s="460"/>
    </row>
    <row r="309" spans="1:16">
      <c r="A309" s="14"/>
      <c r="B309" s="15"/>
      <c r="C309" s="16"/>
      <c r="D309" s="17"/>
      <c r="E309" s="12"/>
      <c r="F309" s="18"/>
      <c r="G309" s="19"/>
      <c r="H309" s="13"/>
      <c r="I309" s="19"/>
      <c r="J309" s="13"/>
      <c r="K309" s="19"/>
      <c r="L309" s="13"/>
      <c r="M309" s="557"/>
      <c r="N309" s="460"/>
      <c r="O309" s="783"/>
      <c r="P309" s="460"/>
    </row>
    <row r="310" spans="1:16">
      <c r="A310" s="14"/>
      <c r="B310" s="15"/>
      <c r="C310" s="16"/>
      <c r="D310" s="17"/>
      <c r="E310" s="12"/>
      <c r="F310" s="18"/>
      <c r="G310" s="19"/>
      <c r="H310" s="13"/>
      <c r="I310" s="19"/>
      <c r="J310" s="13"/>
      <c r="K310" s="19"/>
      <c r="L310" s="13"/>
      <c r="M310" s="557"/>
      <c r="N310" s="460"/>
      <c r="O310" s="783"/>
      <c r="P310" s="460"/>
    </row>
    <row r="311" spans="1:16">
      <c r="A311" s="14"/>
      <c r="B311" s="15"/>
      <c r="C311" s="16"/>
      <c r="D311" s="17"/>
      <c r="E311" s="12"/>
      <c r="F311" s="18"/>
      <c r="G311" s="19"/>
      <c r="H311" s="13"/>
      <c r="I311" s="19"/>
      <c r="J311" s="13"/>
      <c r="K311" s="19"/>
      <c r="L311" s="13"/>
      <c r="M311" s="557"/>
      <c r="N311" s="460"/>
      <c r="O311" s="783"/>
      <c r="P311" s="460"/>
    </row>
    <row r="312" spans="1:16">
      <c r="A312" s="14"/>
      <c r="B312" s="15"/>
      <c r="C312" s="16"/>
      <c r="D312" s="17"/>
      <c r="E312" s="12"/>
      <c r="F312" s="18"/>
      <c r="G312" s="19"/>
      <c r="H312" s="13"/>
      <c r="I312" s="19"/>
      <c r="J312" s="13"/>
      <c r="K312" s="19"/>
      <c r="L312" s="13"/>
      <c r="M312" s="557"/>
      <c r="N312" s="460"/>
      <c r="O312" s="783"/>
      <c r="P312" s="460"/>
    </row>
    <row r="313" spans="1:16">
      <c r="A313" s="14"/>
      <c r="B313" s="15"/>
      <c r="C313" s="16"/>
      <c r="D313" s="17"/>
      <c r="E313" s="12"/>
      <c r="F313" s="18"/>
      <c r="G313" s="19"/>
      <c r="H313" s="13"/>
      <c r="I313" s="19"/>
      <c r="J313" s="13"/>
      <c r="K313" s="19"/>
      <c r="L313" s="13"/>
      <c r="M313" s="557"/>
      <c r="N313" s="460"/>
      <c r="O313" s="783"/>
      <c r="P313" s="460"/>
    </row>
    <row r="314" spans="1:16">
      <c r="A314" s="14"/>
      <c r="B314" s="15"/>
      <c r="C314" s="16"/>
      <c r="D314" s="17"/>
      <c r="E314" s="12"/>
      <c r="F314" s="18"/>
      <c r="G314" s="19"/>
      <c r="H314" s="13"/>
      <c r="I314" s="19"/>
      <c r="J314" s="13"/>
      <c r="K314" s="19"/>
      <c r="L314" s="13"/>
      <c r="M314" s="557"/>
      <c r="N314" s="460"/>
      <c r="O314" s="783"/>
      <c r="P314" s="460"/>
    </row>
    <row r="315" spans="1:16">
      <c r="A315" s="14"/>
      <c r="B315" s="15"/>
      <c r="C315" s="16"/>
      <c r="D315" s="17"/>
      <c r="E315" s="12"/>
      <c r="F315" s="18"/>
      <c r="G315" s="19"/>
      <c r="H315" s="13"/>
      <c r="I315" s="19"/>
      <c r="J315" s="13"/>
      <c r="K315" s="19"/>
      <c r="L315" s="13"/>
      <c r="M315" s="557"/>
      <c r="N315" s="460"/>
      <c r="O315" s="783"/>
      <c r="P315" s="460"/>
    </row>
    <row r="316" spans="1:16">
      <c r="A316" s="14"/>
      <c r="B316" s="15"/>
      <c r="C316" s="16"/>
      <c r="D316" s="17"/>
      <c r="E316" s="12"/>
      <c r="F316" s="18"/>
      <c r="G316" s="19"/>
      <c r="H316" s="13"/>
      <c r="I316" s="19"/>
      <c r="J316" s="13"/>
      <c r="K316" s="19"/>
      <c r="L316" s="13"/>
      <c r="M316" s="557"/>
      <c r="N316" s="460"/>
      <c r="O316" s="783"/>
      <c r="P316" s="460"/>
    </row>
    <row r="317" spans="1:16">
      <c r="A317" s="14"/>
      <c r="B317" s="15"/>
      <c r="C317" s="16"/>
      <c r="D317" s="17"/>
      <c r="E317" s="12"/>
      <c r="F317" s="18"/>
      <c r="G317" s="19"/>
      <c r="H317" s="13"/>
      <c r="I317" s="19"/>
      <c r="J317" s="13"/>
      <c r="K317" s="19"/>
      <c r="L317" s="13"/>
      <c r="M317" s="557"/>
      <c r="N317" s="460"/>
      <c r="O317" s="783"/>
      <c r="P317" s="460"/>
    </row>
    <row r="318" spans="1:16">
      <c r="A318" s="14"/>
      <c r="B318" s="15"/>
      <c r="C318" s="16"/>
      <c r="D318" s="17"/>
      <c r="E318" s="12"/>
      <c r="F318" s="18"/>
      <c r="G318" s="19"/>
      <c r="H318" s="13"/>
      <c r="I318" s="19"/>
      <c r="J318" s="13"/>
      <c r="K318" s="19"/>
      <c r="L318" s="13"/>
      <c r="M318" s="557"/>
      <c r="N318" s="460"/>
      <c r="O318" s="783"/>
      <c r="P318" s="460"/>
    </row>
    <row r="319" spans="1:16">
      <c r="A319" s="14"/>
      <c r="B319" s="15"/>
      <c r="C319" s="16"/>
      <c r="D319" s="17"/>
      <c r="E319" s="12"/>
      <c r="F319" s="18"/>
      <c r="G319" s="19"/>
      <c r="H319" s="13"/>
      <c r="I319" s="19"/>
      <c r="J319" s="13"/>
      <c r="K319" s="19"/>
      <c r="L319" s="13"/>
      <c r="M319" s="557"/>
      <c r="N319" s="460"/>
      <c r="O319" s="783"/>
      <c r="P319" s="460"/>
    </row>
    <row r="320" spans="1:16">
      <c r="A320" s="14"/>
      <c r="B320" s="15"/>
      <c r="C320" s="16"/>
      <c r="D320" s="17"/>
      <c r="E320" s="12"/>
      <c r="F320" s="18"/>
      <c r="G320" s="19"/>
      <c r="H320" s="13"/>
      <c r="I320" s="19"/>
      <c r="J320" s="13"/>
      <c r="K320" s="19"/>
      <c r="L320" s="13"/>
      <c r="M320" s="557"/>
      <c r="N320" s="460"/>
      <c r="O320" s="783"/>
      <c r="P320" s="460"/>
    </row>
    <row r="321" spans="1:16">
      <c r="A321" s="14"/>
      <c r="B321" s="15"/>
      <c r="C321" s="16"/>
      <c r="D321" s="17"/>
      <c r="E321" s="12"/>
      <c r="F321" s="18"/>
      <c r="G321" s="19"/>
      <c r="H321" s="13"/>
      <c r="I321" s="19"/>
      <c r="J321" s="13"/>
      <c r="K321" s="19"/>
      <c r="L321" s="13"/>
      <c r="M321" s="557"/>
      <c r="N321" s="460"/>
      <c r="O321" s="783"/>
      <c r="P321" s="460"/>
    </row>
    <row r="322" spans="1:16">
      <c r="A322" s="14"/>
      <c r="B322" s="15"/>
      <c r="C322" s="16"/>
      <c r="D322" s="17"/>
      <c r="E322" s="12"/>
      <c r="F322" s="18"/>
      <c r="G322" s="19"/>
      <c r="H322" s="13"/>
      <c r="I322" s="19"/>
      <c r="J322" s="13"/>
      <c r="K322" s="19"/>
      <c r="L322" s="13"/>
      <c r="M322" s="557"/>
      <c r="N322" s="460"/>
      <c r="O322" s="783"/>
      <c r="P322" s="460"/>
    </row>
    <row r="323" spans="1:16">
      <c r="A323" s="14"/>
      <c r="B323" s="15"/>
      <c r="C323" s="16"/>
      <c r="D323" s="17"/>
      <c r="E323" s="12"/>
      <c r="F323" s="18"/>
      <c r="G323" s="19"/>
      <c r="H323" s="13"/>
      <c r="I323" s="19"/>
      <c r="J323" s="13"/>
      <c r="K323" s="19"/>
      <c r="L323" s="13"/>
      <c r="M323" s="557"/>
      <c r="N323" s="460"/>
      <c r="O323" s="783"/>
      <c r="P323" s="460"/>
    </row>
    <row r="324" spans="1:16">
      <c r="A324" s="14"/>
      <c r="B324" s="15"/>
      <c r="C324" s="16"/>
      <c r="D324" s="17"/>
      <c r="E324" s="12"/>
      <c r="F324" s="18"/>
      <c r="G324" s="19"/>
      <c r="H324" s="13"/>
      <c r="I324" s="19"/>
      <c r="J324" s="13"/>
      <c r="K324" s="19"/>
      <c r="L324" s="13"/>
      <c r="M324" s="557"/>
      <c r="N324" s="460"/>
      <c r="O324" s="783"/>
      <c r="P324" s="460"/>
    </row>
    <row r="325" spans="1:16">
      <c r="A325" s="14"/>
      <c r="B325" s="15"/>
      <c r="C325" s="16"/>
      <c r="D325" s="17"/>
      <c r="E325" s="12"/>
      <c r="F325" s="18"/>
      <c r="G325" s="19"/>
      <c r="H325" s="13"/>
      <c r="I325" s="19"/>
      <c r="J325" s="13"/>
      <c r="K325" s="19"/>
      <c r="L325" s="13"/>
      <c r="M325" s="557"/>
      <c r="N325" s="460"/>
      <c r="O325" s="783"/>
      <c r="P325" s="460"/>
    </row>
    <row r="326" spans="1:16">
      <c r="A326" s="14"/>
      <c r="B326" s="15"/>
      <c r="C326" s="16"/>
      <c r="D326" s="17"/>
      <c r="E326" s="12"/>
      <c r="F326" s="18"/>
      <c r="G326" s="19"/>
      <c r="H326" s="13"/>
      <c r="I326" s="19"/>
      <c r="J326" s="13"/>
      <c r="K326" s="19"/>
      <c r="L326" s="13"/>
      <c r="M326" s="557"/>
      <c r="N326" s="460"/>
      <c r="O326" s="783"/>
      <c r="P326" s="460"/>
    </row>
    <row r="327" spans="1:16">
      <c r="A327" s="14"/>
      <c r="B327" s="15"/>
      <c r="C327" s="16"/>
      <c r="D327" s="17"/>
      <c r="E327" s="12"/>
      <c r="F327" s="18"/>
      <c r="G327" s="19"/>
      <c r="H327" s="13"/>
      <c r="I327" s="19"/>
      <c r="J327" s="13"/>
      <c r="K327" s="19"/>
      <c r="L327" s="13"/>
      <c r="M327" s="557"/>
      <c r="N327" s="460"/>
      <c r="O327" s="783"/>
      <c r="P327" s="460"/>
    </row>
    <row r="328" spans="1:16">
      <c r="A328" s="14"/>
      <c r="B328" s="15"/>
      <c r="C328" s="16"/>
      <c r="D328" s="17"/>
      <c r="E328" s="12"/>
      <c r="F328" s="18"/>
      <c r="G328" s="19"/>
      <c r="H328" s="13"/>
      <c r="I328" s="19"/>
      <c r="J328" s="13"/>
      <c r="K328" s="19"/>
      <c r="L328" s="13"/>
      <c r="M328" s="557"/>
      <c r="N328" s="460"/>
      <c r="O328" s="783"/>
      <c r="P328" s="460"/>
    </row>
    <row r="329" spans="1:16">
      <c r="A329" s="14"/>
      <c r="B329" s="15"/>
      <c r="C329" s="16"/>
      <c r="D329" s="17"/>
      <c r="E329" s="12"/>
      <c r="F329" s="18"/>
      <c r="G329" s="19"/>
      <c r="H329" s="13"/>
      <c r="I329" s="19"/>
      <c r="J329" s="13"/>
      <c r="K329" s="19"/>
      <c r="L329" s="13"/>
      <c r="M329" s="557"/>
      <c r="N329" s="460"/>
      <c r="O329" s="783"/>
      <c r="P329" s="460"/>
    </row>
    <row r="330" spans="1:16">
      <c r="A330" s="14"/>
      <c r="B330" s="15"/>
      <c r="C330" s="16"/>
      <c r="D330" s="17"/>
      <c r="E330" s="12"/>
      <c r="F330" s="18"/>
      <c r="G330" s="19"/>
      <c r="H330" s="13"/>
      <c r="I330" s="19"/>
      <c r="J330" s="13"/>
      <c r="K330" s="19"/>
      <c r="L330" s="13"/>
      <c r="M330" s="557"/>
      <c r="N330" s="460"/>
      <c r="O330" s="783"/>
      <c r="P330" s="460"/>
    </row>
    <row r="331" spans="1:16">
      <c r="A331" s="14"/>
      <c r="B331" s="15"/>
      <c r="C331" s="16"/>
      <c r="D331" s="17"/>
      <c r="E331" s="12"/>
      <c r="F331" s="18"/>
      <c r="G331" s="19"/>
      <c r="H331" s="13"/>
      <c r="I331" s="19"/>
      <c r="J331" s="13"/>
      <c r="K331" s="19"/>
      <c r="L331" s="13"/>
      <c r="M331" s="557"/>
      <c r="N331" s="460"/>
      <c r="O331" s="783"/>
      <c r="P331" s="460"/>
    </row>
    <row r="332" spans="1:16">
      <c r="A332" s="14"/>
      <c r="B332" s="15"/>
      <c r="C332" s="16"/>
      <c r="D332" s="17"/>
      <c r="E332" s="12"/>
      <c r="F332" s="18"/>
      <c r="G332" s="19"/>
      <c r="H332" s="13"/>
      <c r="I332" s="19"/>
      <c r="J332" s="13"/>
      <c r="K332" s="19"/>
      <c r="L332" s="13"/>
      <c r="M332" s="557"/>
      <c r="N332" s="460"/>
      <c r="O332" s="783"/>
      <c r="P332" s="460"/>
    </row>
    <row r="333" spans="1:16">
      <c r="A333" s="14"/>
      <c r="B333" s="15"/>
      <c r="C333" s="16"/>
      <c r="D333" s="17"/>
      <c r="E333" s="12"/>
      <c r="F333" s="18"/>
      <c r="G333" s="19"/>
      <c r="H333" s="13"/>
      <c r="I333" s="19"/>
      <c r="J333" s="13"/>
      <c r="K333" s="19"/>
      <c r="L333" s="13"/>
      <c r="M333" s="557"/>
      <c r="N333" s="460"/>
      <c r="O333" s="783"/>
      <c r="P333" s="460"/>
    </row>
    <row r="334" spans="1:16">
      <c r="A334" s="14"/>
      <c r="B334" s="15"/>
      <c r="C334" s="16"/>
      <c r="D334" s="17"/>
      <c r="E334" s="12"/>
      <c r="F334" s="18"/>
      <c r="G334" s="19"/>
      <c r="H334" s="13"/>
      <c r="I334" s="19"/>
      <c r="J334" s="13"/>
      <c r="K334" s="19"/>
      <c r="L334" s="13"/>
      <c r="M334" s="557"/>
      <c r="N334" s="460"/>
      <c r="O334" s="783"/>
      <c r="P334" s="460"/>
    </row>
    <row r="335" spans="1:16">
      <c r="A335" s="14"/>
      <c r="B335" s="15"/>
      <c r="C335" s="16"/>
      <c r="D335" s="17"/>
      <c r="E335" s="12"/>
      <c r="F335" s="18"/>
      <c r="G335" s="19"/>
      <c r="H335" s="13"/>
      <c r="I335" s="19"/>
      <c r="J335" s="13"/>
      <c r="K335" s="19"/>
      <c r="L335" s="13"/>
      <c r="M335" s="557"/>
      <c r="N335" s="460"/>
      <c r="O335" s="783"/>
      <c r="P335" s="460"/>
    </row>
    <row r="336" spans="1:16">
      <c r="A336" s="14"/>
      <c r="B336" s="15"/>
      <c r="C336" s="16"/>
      <c r="D336" s="17"/>
      <c r="E336" s="12"/>
      <c r="F336" s="18"/>
      <c r="G336" s="19"/>
      <c r="H336" s="13"/>
      <c r="I336" s="19"/>
      <c r="J336" s="13"/>
      <c r="K336" s="19"/>
      <c r="L336" s="13"/>
      <c r="M336" s="557"/>
      <c r="N336" s="460"/>
      <c r="O336" s="783"/>
      <c r="P336" s="460"/>
    </row>
    <row r="337" spans="1:16">
      <c r="A337" s="14"/>
      <c r="B337" s="15"/>
      <c r="C337" s="16"/>
      <c r="D337" s="17"/>
      <c r="E337" s="12"/>
      <c r="F337" s="18"/>
      <c r="G337" s="19"/>
      <c r="H337" s="13"/>
      <c r="I337" s="19"/>
      <c r="J337" s="13"/>
      <c r="K337" s="19"/>
      <c r="L337" s="13"/>
      <c r="M337" s="557"/>
      <c r="N337" s="460"/>
      <c r="O337" s="783"/>
      <c r="P337" s="460"/>
    </row>
    <row r="338" spans="1:16">
      <c r="A338" s="14"/>
      <c r="B338" s="15"/>
      <c r="C338" s="16"/>
      <c r="D338" s="17"/>
      <c r="E338" s="12"/>
      <c r="F338" s="18"/>
      <c r="G338" s="19"/>
      <c r="H338" s="13"/>
      <c r="I338" s="19"/>
      <c r="J338" s="13"/>
      <c r="K338" s="19"/>
      <c r="L338" s="13"/>
      <c r="M338" s="557"/>
      <c r="N338" s="460"/>
      <c r="O338" s="783"/>
      <c r="P338" s="460"/>
    </row>
    <row r="339" spans="1:16">
      <c r="A339" s="14"/>
      <c r="B339" s="15"/>
      <c r="C339" s="16"/>
      <c r="D339" s="17"/>
      <c r="E339" s="12"/>
      <c r="F339" s="18"/>
      <c r="G339" s="19"/>
      <c r="H339" s="13"/>
      <c r="I339" s="19"/>
      <c r="J339" s="13"/>
      <c r="K339" s="19"/>
      <c r="L339" s="13"/>
      <c r="M339" s="557"/>
      <c r="N339" s="460"/>
      <c r="O339" s="783"/>
      <c r="P339" s="460"/>
    </row>
    <row r="340" spans="1:16">
      <c r="A340" s="14"/>
      <c r="B340" s="15"/>
      <c r="C340" s="16"/>
      <c r="D340" s="17"/>
      <c r="E340" s="12"/>
      <c r="F340" s="18"/>
      <c r="G340" s="19"/>
      <c r="H340" s="13"/>
      <c r="I340" s="19"/>
      <c r="J340" s="13"/>
      <c r="K340" s="19"/>
      <c r="L340" s="13"/>
      <c r="M340" s="557"/>
      <c r="N340" s="460"/>
      <c r="O340" s="783"/>
      <c r="P340" s="460"/>
    </row>
    <row r="341" spans="1:16">
      <c r="A341" s="14"/>
      <c r="B341" s="15"/>
      <c r="C341" s="16"/>
      <c r="D341" s="17"/>
      <c r="E341" s="12"/>
      <c r="F341" s="18"/>
      <c r="G341" s="19"/>
      <c r="H341" s="13"/>
      <c r="I341" s="19"/>
      <c r="J341" s="13"/>
      <c r="K341" s="19"/>
      <c r="L341" s="13"/>
      <c r="M341" s="557"/>
      <c r="N341" s="460"/>
      <c r="O341" s="783"/>
      <c r="P341" s="460"/>
    </row>
    <row r="342" spans="1:16">
      <c r="A342" s="14"/>
      <c r="B342" s="15"/>
      <c r="C342" s="16"/>
      <c r="D342" s="17"/>
      <c r="E342" s="12"/>
      <c r="F342" s="18"/>
      <c r="G342" s="19"/>
      <c r="H342" s="13"/>
      <c r="I342" s="19"/>
      <c r="J342" s="13"/>
      <c r="K342" s="19"/>
      <c r="L342" s="13"/>
      <c r="M342" s="557"/>
      <c r="N342" s="460"/>
      <c r="O342" s="783"/>
      <c r="P342" s="460"/>
    </row>
    <row r="343" spans="1:16">
      <c r="A343" s="14"/>
      <c r="B343" s="15"/>
      <c r="C343" s="16"/>
      <c r="D343" s="17"/>
      <c r="E343" s="12"/>
      <c r="F343" s="18"/>
      <c r="G343" s="19"/>
      <c r="H343" s="13"/>
      <c r="I343" s="19"/>
      <c r="J343" s="13"/>
      <c r="K343" s="19"/>
      <c r="L343" s="13"/>
      <c r="M343" s="557"/>
      <c r="N343" s="460"/>
      <c r="O343" s="783"/>
      <c r="P343" s="460"/>
    </row>
    <row r="344" spans="1:16">
      <c r="A344" s="14"/>
      <c r="B344" s="15"/>
      <c r="C344" s="16"/>
      <c r="D344" s="17"/>
      <c r="E344" s="12"/>
      <c r="F344" s="18"/>
      <c r="G344" s="19"/>
      <c r="H344" s="13"/>
      <c r="I344" s="19"/>
      <c r="J344" s="13"/>
      <c r="K344" s="19"/>
      <c r="L344" s="13"/>
      <c r="M344" s="557"/>
      <c r="N344" s="460"/>
      <c r="O344" s="783"/>
      <c r="P344" s="460"/>
    </row>
    <row r="345" spans="1:16">
      <c r="A345" s="14"/>
      <c r="B345" s="15"/>
      <c r="C345" s="16"/>
      <c r="D345" s="17"/>
      <c r="E345" s="12"/>
      <c r="F345" s="18"/>
      <c r="G345" s="19"/>
      <c r="H345" s="13"/>
      <c r="I345" s="19"/>
      <c r="J345" s="13"/>
      <c r="K345" s="19"/>
      <c r="L345" s="13"/>
      <c r="M345" s="557"/>
      <c r="N345" s="460"/>
      <c r="O345" s="783"/>
      <c r="P345" s="460"/>
    </row>
    <row r="346" spans="1:16">
      <c r="A346" s="14"/>
      <c r="B346" s="15"/>
      <c r="C346" s="16"/>
      <c r="D346" s="17"/>
      <c r="E346" s="12"/>
      <c r="F346" s="18"/>
      <c r="G346" s="19"/>
      <c r="H346" s="13"/>
      <c r="I346" s="19"/>
      <c r="J346" s="13"/>
      <c r="K346" s="19"/>
      <c r="L346" s="13"/>
      <c r="M346" s="557"/>
      <c r="N346" s="460"/>
      <c r="O346" s="783"/>
      <c r="P346" s="460"/>
    </row>
    <row r="347" spans="1:16">
      <c r="A347" s="14"/>
      <c r="B347" s="15"/>
      <c r="C347" s="16"/>
      <c r="D347" s="17"/>
      <c r="E347" s="12"/>
      <c r="F347" s="18"/>
      <c r="G347" s="19"/>
      <c r="H347" s="13"/>
      <c r="I347" s="19"/>
      <c r="J347" s="13"/>
      <c r="K347" s="19"/>
      <c r="L347" s="13"/>
      <c r="M347" s="557"/>
      <c r="N347" s="460"/>
      <c r="O347" s="783"/>
      <c r="P347" s="460"/>
    </row>
    <row r="348" spans="1:16">
      <c r="A348" s="14"/>
      <c r="B348" s="15"/>
      <c r="C348" s="16"/>
      <c r="D348" s="17"/>
      <c r="E348" s="12"/>
      <c r="F348" s="18"/>
      <c r="G348" s="19"/>
      <c r="H348" s="13"/>
      <c r="I348" s="19"/>
      <c r="J348" s="13"/>
      <c r="K348" s="19"/>
      <c r="L348" s="13"/>
      <c r="M348" s="557"/>
      <c r="N348" s="460"/>
      <c r="O348" s="783"/>
      <c r="P348" s="460"/>
    </row>
    <row r="349" spans="1:16">
      <c r="A349" s="14"/>
      <c r="B349" s="15"/>
      <c r="C349" s="16"/>
      <c r="D349" s="17"/>
      <c r="E349" s="12"/>
      <c r="F349" s="18"/>
      <c r="G349" s="19"/>
      <c r="H349" s="13"/>
      <c r="I349" s="19"/>
      <c r="J349" s="13"/>
      <c r="K349" s="19"/>
      <c r="L349" s="13"/>
      <c r="M349" s="557"/>
      <c r="N349" s="460"/>
      <c r="O349" s="783"/>
      <c r="P349" s="460"/>
    </row>
    <row r="350" spans="1:16">
      <c r="A350" s="14"/>
      <c r="B350" s="15"/>
      <c r="C350" s="16"/>
      <c r="D350" s="17"/>
      <c r="E350" s="12"/>
      <c r="F350" s="18"/>
      <c r="G350" s="19"/>
      <c r="H350" s="13"/>
      <c r="I350" s="19"/>
      <c r="J350" s="13"/>
      <c r="K350" s="19"/>
      <c r="L350" s="13"/>
      <c r="M350" s="557"/>
      <c r="N350" s="460"/>
      <c r="O350" s="783"/>
      <c r="P350" s="460"/>
    </row>
    <row r="351" spans="1:16">
      <c r="A351" s="14"/>
      <c r="B351" s="15"/>
      <c r="C351" s="16"/>
      <c r="D351" s="17"/>
      <c r="E351" s="12"/>
      <c r="F351" s="18"/>
      <c r="G351" s="19"/>
      <c r="H351" s="13"/>
      <c r="I351" s="19"/>
      <c r="J351" s="13"/>
      <c r="K351" s="19"/>
      <c r="L351" s="13"/>
      <c r="M351" s="557"/>
      <c r="N351" s="460"/>
      <c r="O351" s="783"/>
      <c r="P351" s="460"/>
    </row>
    <row r="352" spans="1:16">
      <c r="A352" s="14"/>
      <c r="B352" s="15"/>
      <c r="C352" s="16"/>
      <c r="D352" s="17"/>
      <c r="E352" s="12"/>
      <c r="F352" s="18"/>
      <c r="G352" s="19"/>
      <c r="H352" s="13"/>
      <c r="I352" s="19"/>
      <c r="J352" s="13"/>
      <c r="K352" s="19"/>
      <c r="L352" s="13"/>
      <c r="M352" s="557"/>
      <c r="N352" s="460"/>
      <c r="O352" s="783"/>
      <c r="P352" s="460"/>
    </row>
    <row r="353" spans="1:16">
      <c r="A353" s="14"/>
      <c r="B353" s="15"/>
      <c r="C353" s="16"/>
      <c r="D353" s="17"/>
      <c r="E353" s="12"/>
      <c r="F353" s="18"/>
      <c r="G353" s="19"/>
      <c r="H353" s="13"/>
      <c r="I353" s="19"/>
      <c r="J353" s="13"/>
      <c r="K353" s="19"/>
      <c r="L353" s="13"/>
      <c r="M353" s="557"/>
      <c r="N353" s="460"/>
      <c r="O353" s="783"/>
      <c r="P353" s="460"/>
    </row>
    <row r="354" spans="1:16">
      <c r="A354" s="14"/>
      <c r="B354" s="15"/>
      <c r="C354" s="16"/>
      <c r="D354" s="17"/>
      <c r="E354" s="12"/>
      <c r="F354" s="18"/>
      <c r="G354" s="19"/>
      <c r="H354" s="13"/>
      <c r="I354" s="19"/>
      <c r="J354" s="13"/>
      <c r="K354" s="19"/>
      <c r="L354" s="13"/>
      <c r="M354" s="557"/>
      <c r="N354" s="460"/>
      <c r="O354" s="783"/>
      <c r="P354" s="460"/>
    </row>
    <row r="355" spans="1:16">
      <c r="A355" s="14"/>
      <c r="B355" s="15"/>
      <c r="C355" s="16"/>
      <c r="D355" s="17"/>
      <c r="E355" s="12"/>
      <c r="F355" s="18"/>
      <c r="G355" s="19"/>
      <c r="H355" s="13"/>
      <c r="I355" s="19"/>
      <c r="J355" s="13"/>
      <c r="K355" s="19"/>
      <c r="L355" s="13"/>
      <c r="M355" s="557"/>
      <c r="N355" s="460"/>
      <c r="O355" s="783"/>
      <c r="P355" s="460"/>
    </row>
    <row r="356" spans="1:16">
      <c r="A356" s="14"/>
      <c r="B356" s="15"/>
      <c r="C356" s="16"/>
      <c r="D356" s="17"/>
      <c r="E356" s="12"/>
      <c r="F356" s="18"/>
      <c r="G356" s="19"/>
      <c r="H356" s="13"/>
      <c r="I356" s="19"/>
      <c r="J356" s="13"/>
      <c r="K356" s="19"/>
      <c r="L356" s="13"/>
      <c r="M356" s="557"/>
      <c r="N356" s="460"/>
      <c r="O356" s="783"/>
      <c r="P356" s="460"/>
    </row>
    <row r="357" spans="1:16">
      <c r="A357" s="14"/>
      <c r="B357" s="15"/>
      <c r="C357" s="16"/>
      <c r="D357" s="17"/>
      <c r="E357" s="12"/>
      <c r="F357" s="18"/>
      <c r="G357" s="19"/>
      <c r="H357" s="13"/>
      <c r="I357" s="19"/>
      <c r="J357" s="13"/>
      <c r="K357" s="19"/>
      <c r="L357" s="13"/>
      <c r="M357" s="557"/>
      <c r="N357" s="460"/>
      <c r="O357" s="783"/>
      <c r="P357" s="460"/>
    </row>
    <row r="358" spans="1:16">
      <c r="A358" s="14"/>
      <c r="B358" s="15"/>
      <c r="C358" s="16"/>
      <c r="D358" s="17"/>
      <c r="E358" s="12"/>
      <c r="F358" s="18"/>
      <c r="G358" s="19"/>
      <c r="H358" s="13"/>
      <c r="I358" s="19"/>
      <c r="J358" s="13"/>
      <c r="K358" s="19"/>
      <c r="L358" s="13"/>
      <c r="M358" s="557"/>
      <c r="N358" s="460"/>
      <c r="O358" s="783"/>
      <c r="P358" s="460"/>
    </row>
    <row r="359" spans="1:16">
      <c r="A359" s="14"/>
      <c r="B359" s="15"/>
      <c r="C359" s="16"/>
      <c r="D359" s="17"/>
      <c r="E359" s="12"/>
      <c r="F359" s="18"/>
      <c r="G359" s="19"/>
      <c r="H359" s="13"/>
      <c r="I359" s="19"/>
      <c r="J359" s="13"/>
      <c r="K359" s="19"/>
      <c r="L359" s="13"/>
      <c r="M359" s="557"/>
      <c r="N359" s="460"/>
      <c r="O359" s="783"/>
      <c r="P359" s="460"/>
    </row>
    <row r="360" spans="1:16">
      <c r="A360" s="14"/>
      <c r="B360" s="15"/>
      <c r="C360" s="16"/>
      <c r="D360" s="17"/>
      <c r="E360" s="12"/>
      <c r="F360" s="18"/>
      <c r="G360" s="19"/>
      <c r="H360" s="13"/>
      <c r="I360" s="19"/>
      <c r="J360" s="13"/>
      <c r="K360" s="19"/>
      <c r="L360" s="13"/>
      <c r="M360" s="557"/>
      <c r="N360" s="460"/>
      <c r="O360" s="783"/>
      <c r="P360" s="460"/>
    </row>
    <row r="361" spans="1:16">
      <c r="A361" s="14"/>
      <c r="B361" s="15"/>
      <c r="C361" s="16"/>
      <c r="D361" s="17"/>
      <c r="E361" s="12"/>
      <c r="F361" s="18"/>
      <c r="G361" s="19"/>
      <c r="H361" s="13"/>
      <c r="I361" s="19"/>
      <c r="J361" s="13"/>
      <c r="K361" s="19"/>
      <c r="L361" s="13"/>
      <c r="M361" s="557"/>
      <c r="N361" s="460"/>
      <c r="O361" s="783"/>
      <c r="P361" s="460"/>
    </row>
    <row r="362" spans="1:16">
      <c r="A362" s="14"/>
      <c r="B362" s="15"/>
      <c r="C362" s="16"/>
      <c r="D362" s="17"/>
      <c r="E362" s="12"/>
      <c r="F362" s="18"/>
      <c r="G362" s="19"/>
      <c r="H362" s="13"/>
      <c r="I362" s="19"/>
      <c r="J362" s="13"/>
      <c r="K362" s="19"/>
      <c r="L362" s="13"/>
      <c r="M362" s="557"/>
      <c r="N362" s="460"/>
      <c r="O362" s="783"/>
      <c r="P362" s="460"/>
    </row>
    <row r="363" spans="1:16">
      <c r="A363" s="14"/>
      <c r="B363" s="15"/>
      <c r="C363" s="16"/>
      <c r="D363" s="17"/>
      <c r="E363" s="12"/>
      <c r="F363" s="18"/>
      <c r="G363" s="19"/>
      <c r="H363" s="13"/>
      <c r="I363" s="19"/>
      <c r="J363" s="13"/>
      <c r="K363" s="19"/>
      <c r="L363" s="13"/>
      <c r="M363" s="557"/>
      <c r="N363" s="460"/>
      <c r="O363" s="783"/>
      <c r="P363" s="460"/>
    </row>
    <row r="364" spans="1:16">
      <c r="A364" s="14"/>
      <c r="B364" s="15"/>
      <c r="C364" s="16"/>
      <c r="D364" s="17"/>
      <c r="E364" s="12"/>
      <c r="F364" s="18"/>
      <c r="G364" s="19"/>
      <c r="H364" s="13"/>
      <c r="I364" s="19"/>
      <c r="J364" s="13"/>
      <c r="K364" s="19"/>
      <c r="L364" s="13"/>
      <c r="M364" s="557"/>
      <c r="N364" s="460"/>
      <c r="O364" s="783"/>
      <c r="P364" s="460"/>
    </row>
    <row r="365" spans="1:16">
      <c r="A365" s="14"/>
      <c r="B365" s="15"/>
      <c r="C365" s="16"/>
      <c r="D365" s="17"/>
      <c r="E365" s="12"/>
      <c r="F365" s="18"/>
      <c r="G365" s="19"/>
      <c r="H365" s="13"/>
      <c r="I365" s="19"/>
      <c r="J365" s="13"/>
      <c r="K365" s="19"/>
      <c r="L365" s="13"/>
      <c r="M365" s="557"/>
      <c r="N365" s="460"/>
      <c r="O365" s="783"/>
      <c r="P365" s="460"/>
    </row>
    <row r="366" spans="1:16">
      <c r="A366" s="14"/>
      <c r="B366" s="15"/>
      <c r="C366" s="16"/>
      <c r="D366" s="17"/>
      <c r="E366" s="12"/>
      <c r="F366" s="18"/>
      <c r="G366" s="19"/>
      <c r="H366" s="13"/>
      <c r="I366" s="19"/>
      <c r="J366" s="13"/>
      <c r="K366" s="19"/>
      <c r="L366" s="13"/>
      <c r="M366" s="557"/>
      <c r="N366" s="460"/>
      <c r="O366" s="783"/>
      <c r="P366" s="460"/>
    </row>
    <row r="367" spans="1:16">
      <c r="A367" s="14"/>
      <c r="B367" s="15"/>
      <c r="C367" s="16"/>
      <c r="D367" s="17"/>
      <c r="E367" s="12"/>
      <c r="F367" s="18"/>
      <c r="G367" s="19"/>
      <c r="H367" s="13"/>
      <c r="I367" s="19"/>
      <c r="J367" s="13"/>
      <c r="K367" s="19"/>
      <c r="L367" s="13"/>
      <c r="M367" s="557"/>
      <c r="N367" s="460"/>
      <c r="O367" s="783"/>
      <c r="P367" s="460"/>
    </row>
    <row r="368" spans="1:16">
      <c r="A368" s="14"/>
      <c r="B368" s="15"/>
      <c r="C368" s="16"/>
      <c r="D368" s="17"/>
      <c r="E368" s="12"/>
      <c r="F368" s="18"/>
      <c r="G368" s="19"/>
      <c r="H368" s="13"/>
      <c r="I368" s="19"/>
      <c r="J368" s="13"/>
      <c r="K368" s="19"/>
      <c r="L368" s="13"/>
      <c r="M368" s="557"/>
      <c r="N368" s="460"/>
      <c r="O368" s="783"/>
      <c r="P368" s="460"/>
    </row>
    <row r="369" spans="1:16">
      <c r="A369" s="14"/>
      <c r="B369" s="15"/>
      <c r="C369" s="16"/>
      <c r="D369" s="17"/>
      <c r="E369" s="12"/>
      <c r="F369" s="18"/>
      <c r="G369" s="19"/>
      <c r="H369" s="13"/>
      <c r="I369" s="19"/>
      <c r="J369" s="13"/>
      <c r="K369" s="19"/>
      <c r="L369" s="13"/>
      <c r="M369" s="557"/>
      <c r="N369" s="460"/>
      <c r="O369" s="783"/>
      <c r="P369" s="460"/>
    </row>
    <row r="370" spans="1:16">
      <c r="A370" s="14"/>
      <c r="B370" s="15"/>
      <c r="C370" s="16"/>
      <c r="D370" s="17"/>
      <c r="E370" s="12"/>
      <c r="F370" s="18"/>
      <c r="G370" s="19"/>
      <c r="H370" s="13"/>
      <c r="I370" s="19"/>
      <c r="J370" s="13"/>
      <c r="K370" s="19"/>
      <c r="L370" s="13"/>
      <c r="M370" s="557"/>
      <c r="N370" s="460"/>
      <c r="O370" s="783"/>
      <c r="P370" s="460"/>
    </row>
    <row r="371" spans="1:16">
      <c r="A371" s="14"/>
      <c r="B371" s="15"/>
      <c r="C371" s="16"/>
      <c r="D371" s="17"/>
      <c r="E371" s="12"/>
      <c r="F371" s="18"/>
      <c r="G371" s="19"/>
      <c r="H371" s="13"/>
      <c r="I371" s="19"/>
      <c r="J371" s="13"/>
      <c r="K371" s="19"/>
      <c r="L371" s="13"/>
      <c r="M371" s="557"/>
      <c r="N371" s="460"/>
      <c r="O371" s="783"/>
      <c r="P371" s="460"/>
    </row>
    <row r="372" spans="1:16">
      <c r="A372" s="14"/>
      <c r="B372" s="15"/>
      <c r="C372" s="16"/>
      <c r="D372" s="17"/>
      <c r="E372" s="12"/>
      <c r="F372" s="18"/>
      <c r="G372" s="19"/>
      <c r="H372" s="13"/>
      <c r="I372" s="19"/>
      <c r="J372" s="13"/>
      <c r="K372" s="19"/>
      <c r="L372" s="13"/>
      <c r="M372" s="557"/>
      <c r="N372" s="460"/>
      <c r="O372" s="783"/>
      <c r="P372" s="460"/>
    </row>
    <row r="373" spans="1:16">
      <c r="A373" s="14"/>
      <c r="B373" s="15"/>
      <c r="C373" s="16"/>
      <c r="D373" s="17"/>
      <c r="E373" s="12"/>
      <c r="F373" s="18"/>
      <c r="G373" s="19"/>
      <c r="H373" s="13"/>
      <c r="I373" s="19"/>
      <c r="J373" s="13"/>
      <c r="K373" s="19"/>
      <c r="L373" s="13"/>
      <c r="M373" s="557"/>
      <c r="N373" s="460"/>
      <c r="O373" s="783"/>
      <c r="P373" s="460"/>
    </row>
    <row r="374" spans="1:16">
      <c r="A374" s="14"/>
      <c r="B374" s="15"/>
      <c r="C374" s="16"/>
      <c r="D374" s="17"/>
      <c r="E374" s="12"/>
      <c r="F374" s="18"/>
      <c r="G374" s="19"/>
      <c r="H374" s="13"/>
      <c r="I374" s="19"/>
      <c r="J374" s="13"/>
      <c r="K374" s="19"/>
      <c r="L374" s="13"/>
      <c r="M374" s="557"/>
      <c r="N374" s="460"/>
      <c r="O374" s="783"/>
      <c r="P374" s="460"/>
    </row>
    <row r="375" spans="1:16">
      <c r="A375" s="14"/>
      <c r="B375" s="15"/>
      <c r="C375" s="16"/>
      <c r="D375" s="17"/>
      <c r="E375" s="12"/>
      <c r="F375" s="18"/>
      <c r="G375" s="19"/>
      <c r="H375" s="13"/>
      <c r="I375" s="19"/>
      <c r="J375" s="13"/>
      <c r="K375" s="19"/>
      <c r="L375" s="13"/>
      <c r="M375" s="557"/>
      <c r="N375" s="460"/>
      <c r="O375" s="783"/>
      <c r="P375" s="460"/>
    </row>
    <row r="376" spans="1:16">
      <c r="A376" s="14"/>
      <c r="B376" s="15"/>
      <c r="C376" s="16"/>
      <c r="D376" s="17"/>
      <c r="E376" s="12"/>
      <c r="F376" s="18"/>
      <c r="G376" s="19"/>
      <c r="H376" s="13"/>
      <c r="I376" s="19"/>
      <c r="J376" s="13"/>
      <c r="K376" s="19"/>
      <c r="L376" s="13"/>
      <c r="M376" s="557"/>
      <c r="N376" s="460"/>
      <c r="O376" s="783"/>
      <c r="P376" s="460"/>
    </row>
    <row r="377" spans="1:16">
      <c r="A377" s="14"/>
      <c r="B377" s="15"/>
      <c r="C377" s="16"/>
      <c r="D377" s="17"/>
      <c r="E377" s="12"/>
      <c r="F377" s="18"/>
      <c r="G377" s="19"/>
      <c r="H377" s="13"/>
      <c r="I377" s="19"/>
      <c r="J377" s="13"/>
      <c r="K377" s="19"/>
      <c r="L377" s="13"/>
      <c r="M377" s="557"/>
      <c r="N377" s="460"/>
      <c r="O377" s="783"/>
      <c r="P377" s="460"/>
    </row>
    <row r="378" spans="1:16">
      <c r="A378" s="14"/>
      <c r="B378" s="15"/>
      <c r="C378" s="16"/>
      <c r="D378" s="17"/>
      <c r="E378" s="12"/>
      <c r="F378" s="18"/>
      <c r="G378" s="19"/>
      <c r="H378" s="13"/>
      <c r="I378" s="19"/>
      <c r="J378" s="13"/>
      <c r="K378" s="19"/>
      <c r="L378" s="13"/>
      <c r="M378" s="557"/>
      <c r="N378" s="460"/>
      <c r="O378" s="783"/>
      <c r="P378" s="460"/>
    </row>
    <row r="379" spans="1:16">
      <c r="A379" s="14"/>
      <c r="B379" s="15"/>
      <c r="C379" s="16"/>
      <c r="D379" s="17"/>
      <c r="E379" s="12"/>
      <c r="F379" s="18"/>
      <c r="G379" s="19"/>
      <c r="H379" s="13"/>
      <c r="I379" s="19"/>
      <c r="J379" s="13"/>
      <c r="K379" s="19"/>
      <c r="L379" s="13"/>
      <c r="M379" s="557"/>
      <c r="N379" s="460"/>
      <c r="O379" s="783"/>
      <c r="P379" s="460"/>
    </row>
    <row r="380" spans="1:16">
      <c r="A380" s="14"/>
      <c r="B380" s="15"/>
      <c r="C380" s="16"/>
      <c r="D380" s="17"/>
      <c r="E380" s="12"/>
      <c r="F380" s="18"/>
      <c r="G380" s="19"/>
      <c r="H380" s="13"/>
      <c r="I380" s="19"/>
      <c r="J380" s="13"/>
      <c r="K380" s="19"/>
      <c r="L380" s="13"/>
      <c r="M380" s="557"/>
      <c r="N380" s="460"/>
      <c r="O380" s="783"/>
      <c r="P380" s="460"/>
    </row>
    <row r="381" spans="1:16">
      <c r="A381" s="14"/>
      <c r="B381" s="15"/>
      <c r="C381" s="16"/>
      <c r="D381" s="17"/>
      <c r="E381" s="12"/>
      <c r="F381" s="18"/>
      <c r="G381" s="19"/>
      <c r="H381" s="13"/>
      <c r="I381" s="19"/>
      <c r="J381" s="13"/>
      <c r="K381" s="19"/>
      <c r="L381" s="13"/>
      <c r="M381" s="557"/>
      <c r="N381" s="460"/>
      <c r="O381" s="783"/>
      <c r="P381" s="460"/>
    </row>
    <row r="382" spans="1:16">
      <c r="A382" s="14"/>
      <c r="B382" s="15"/>
      <c r="C382" s="16"/>
      <c r="D382" s="17"/>
      <c r="E382" s="12"/>
      <c r="F382" s="18"/>
      <c r="G382" s="19"/>
      <c r="H382" s="13"/>
      <c r="I382" s="19"/>
      <c r="J382" s="13"/>
      <c r="K382" s="19"/>
      <c r="L382" s="13"/>
      <c r="M382" s="557"/>
      <c r="N382" s="460"/>
      <c r="O382" s="783"/>
      <c r="P382" s="460"/>
    </row>
    <row r="383" spans="1:16">
      <c r="A383" s="14"/>
      <c r="B383" s="15"/>
      <c r="C383" s="16"/>
      <c r="D383" s="17"/>
      <c r="E383" s="12"/>
      <c r="F383" s="18"/>
      <c r="G383" s="19"/>
      <c r="H383" s="13"/>
      <c r="I383" s="19"/>
      <c r="J383" s="13"/>
      <c r="K383" s="19"/>
      <c r="L383" s="13"/>
      <c r="M383" s="557"/>
      <c r="N383" s="460"/>
      <c r="O383" s="783"/>
      <c r="P383" s="460"/>
    </row>
    <row r="384" spans="1:16">
      <c r="A384" s="14"/>
      <c r="B384" s="15"/>
      <c r="C384" s="16"/>
      <c r="D384" s="17"/>
      <c r="E384" s="12"/>
      <c r="F384" s="18"/>
      <c r="G384" s="19"/>
      <c r="H384" s="13"/>
      <c r="I384" s="19"/>
      <c r="J384" s="13"/>
      <c r="K384" s="19"/>
      <c r="L384" s="13"/>
      <c r="M384" s="557"/>
      <c r="N384" s="460"/>
      <c r="O384" s="783"/>
      <c r="P384" s="460"/>
    </row>
    <row r="385" spans="1:16">
      <c r="A385" s="14"/>
      <c r="B385" s="15"/>
      <c r="C385" s="16"/>
      <c r="D385" s="17"/>
      <c r="E385" s="12"/>
      <c r="F385" s="18"/>
      <c r="G385" s="19"/>
      <c r="H385" s="13"/>
      <c r="I385" s="19"/>
      <c r="J385" s="13"/>
      <c r="K385" s="19"/>
      <c r="L385" s="13"/>
      <c r="M385" s="557"/>
      <c r="N385" s="460"/>
      <c r="O385" s="783"/>
      <c r="P385" s="460"/>
    </row>
    <row r="386" spans="1:16">
      <c r="A386" s="14"/>
      <c r="B386" s="15"/>
      <c r="C386" s="16"/>
      <c r="D386" s="17"/>
      <c r="E386" s="12"/>
      <c r="F386" s="18"/>
      <c r="G386" s="19"/>
      <c r="H386" s="13"/>
      <c r="I386" s="19"/>
      <c r="J386" s="13"/>
      <c r="K386" s="19"/>
      <c r="L386" s="13"/>
      <c r="M386" s="557"/>
      <c r="N386" s="460"/>
      <c r="O386" s="783"/>
      <c r="P386" s="460"/>
    </row>
    <row r="387" spans="1:16">
      <c r="A387" s="14"/>
      <c r="B387" s="15"/>
      <c r="C387" s="16"/>
      <c r="D387" s="17"/>
      <c r="E387" s="12"/>
      <c r="F387" s="18"/>
      <c r="G387" s="19"/>
      <c r="H387" s="13"/>
      <c r="I387" s="19"/>
      <c r="J387" s="13"/>
      <c r="K387" s="19"/>
      <c r="L387" s="13"/>
      <c r="M387" s="557"/>
      <c r="N387" s="460"/>
      <c r="O387" s="783"/>
      <c r="P387" s="460"/>
    </row>
    <row r="388" spans="1:16">
      <c r="A388" s="14"/>
      <c r="B388" s="15"/>
      <c r="C388" s="16"/>
      <c r="D388" s="17"/>
      <c r="E388" s="12"/>
      <c r="F388" s="18"/>
      <c r="G388" s="19"/>
      <c r="H388" s="13"/>
      <c r="I388" s="19"/>
      <c r="J388" s="13"/>
      <c r="K388" s="19"/>
      <c r="L388" s="13"/>
      <c r="M388" s="557"/>
      <c r="N388" s="460"/>
      <c r="O388" s="783"/>
      <c r="P388" s="460"/>
    </row>
    <row r="389" spans="1:16">
      <c r="A389" s="14"/>
      <c r="B389" s="15"/>
      <c r="C389" s="16"/>
      <c r="D389" s="17"/>
      <c r="E389" s="12"/>
      <c r="F389" s="18"/>
      <c r="G389" s="19"/>
      <c r="H389" s="13"/>
      <c r="I389" s="19"/>
      <c r="J389" s="13"/>
      <c r="K389" s="19"/>
      <c r="L389" s="13"/>
      <c r="M389" s="557"/>
      <c r="N389" s="460"/>
      <c r="O389" s="783"/>
      <c r="P389" s="460"/>
    </row>
    <row r="390" spans="1:16">
      <c r="A390" s="14"/>
      <c r="B390" s="15"/>
      <c r="C390" s="16"/>
      <c r="D390" s="17"/>
      <c r="E390" s="12"/>
      <c r="F390" s="18"/>
      <c r="G390" s="19"/>
      <c r="H390" s="13"/>
      <c r="I390" s="19"/>
      <c r="J390" s="13"/>
      <c r="K390" s="19"/>
      <c r="L390" s="13"/>
      <c r="M390" s="557"/>
      <c r="N390" s="460"/>
      <c r="O390" s="783"/>
      <c r="P390" s="460"/>
    </row>
    <row r="391" spans="1:16">
      <c r="A391" s="14"/>
      <c r="B391" s="15"/>
      <c r="C391" s="16"/>
      <c r="D391" s="17"/>
      <c r="E391" s="12"/>
      <c r="F391" s="18"/>
      <c r="G391" s="19"/>
      <c r="H391" s="13"/>
      <c r="I391" s="19"/>
      <c r="J391" s="13"/>
      <c r="K391" s="19"/>
      <c r="L391" s="13"/>
      <c r="M391" s="557"/>
      <c r="N391" s="460"/>
      <c r="O391" s="783"/>
      <c r="P391" s="460"/>
    </row>
    <row r="392" spans="1:16">
      <c r="A392" s="14"/>
      <c r="B392" s="15"/>
      <c r="C392" s="16"/>
      <c r="D392" s="17"/>
      <c r="E392" s="12"/>
      <c r="F392" s="18"/>
      <c r="G392" s="19"/>
      <c r="H392" s="13"/>
      <c r="I392" s="19"/>
      <c r="J392" s="13"/>
      <c r="K392" s="19"/>
      <c r="L392" s="13"/>
      <c r="M392" s="557"/>
      <c r="N392" s="460"/>
      <c r="O392" s="783"/>
      <c r="P392" s="460"/>
    </row>
    <row r="393" spans="1:16">
      <c r="A393" s="14"/>
      <c r="B393" s="15"/>
      <c r="C393" s="16"/>
      <c r="D393" s="17"/>
      <c r="E393" s="12"/>
      <c r="F393" s="18"/>
      <c r="G393" s="19"/>
      <c r="H393" s="13"/>
      <c r="I393" s="19"/>
      <c r="J393" s="13"/>
      <c r="K393" s="19"/>
      <c r="L393" s="13"/>
      <c r="M393" s="557"/>
      <c r="N393" s="460"/>
      <c r="O393" s="783"/>
      <c r="P393" s="460"/>
    </row>
    <row r="394" spans="1:16">
      <c r="A394" s="14"/>
      <c r="B394" s="15"/>
      <c r="C394" s="16"/>
      <c r="D394" s="17"/>
      <c r="E394" s="12"/>
      <c r="F394" s="18"/>
      <c r="G394" s="19"/>
      <c r="H394" s="13"/>
      <c r="I394" s="19"/>
      <c r="J394" s="13"/>
      <c r="K394" s="19"/>
      <c r="L394" s="13"/>
      <c r="M394" s="557"/>
      <c r="N394" s="460"/>
      <c r="O394" s="783"/>
      <c r="P394" s="460"/>
    </row>
    <row r="395" spans="1:16">
      <c r="A395" s="14"/>
      <c r="B395" s="15"/>
      <c r="C395" s="16"/>
      <c r="D395" s="17"/>
      <c r="E395" s="12"/>
      <c r="F395" s="18"/>
      <c r="G395" s="19"/>
      <c r="H395" s="13"/>
      <c r="I395" s="19"/>
      <c r="J395" s="13"/>
      <c r="K395" s="19"/>
      <c r="L395" s="13"/>
      <c r="M395" s="557"/>
      <c r="N395" s="460"/>
      <c r="O395" s="783"/>
      <c r="P395" s="460"/>
    </row>
    <row r="396" spans="1:16">
      <c r="A396" s="14"/>
      <c r="B396" s="15"/>
      <c r="C396" s="16"/>
      <c r="D396" s="17"/>
      <c r="E396" s="12"/>
      <c r="F396" s="18"/>
      <c r="G396" s="19"/>
      <c r="H396" s="13"/>
      <c r="I396" s="19"/>
      <c r="J396" s="13"/>
      <c r="K396" s="19"/>
      <c r="L396" s="13"/>
      <c r="M396" s="557"/>
      <c r="N396" s="460"/>
      <c r="O396" s="783"/>
      <c r="P396" s="460"/>
    </row>
    <row r="397" spans="1:16">
      <c r="A397" s="14"/>
      <c r="B397" s="15"/>
      <c r="C397" s="16"/>
      <c r="D397" s="17"/>
      <c r="E397" s="12"/>
      <c r="F397" s="18"/>
      <c r="G397" s="19"/>
      <c r="H397" s="13"/>
      <c r="I397" s="19"/>
      <c r="J397" s="13"/>
      <c r="K397" s="19"/>
      <c r="L397" s="13"/>
      <c r="M397" s="557"/>
      <c r="N397" s="460"/>
      <c r="O397" s="783"/>
      <c r="P397" s="460"/>
    </row>
    <row r="398" spans="1:16">
      <c r="A398" s="14"/>
      <c r="B398" s="15"/>
      <c r="C398" s="16"/>
      <c r="D398" s="17"/>
      <c r="E398" s="12"/>
      <c r="F398" s="18"/>
      <c r="G398" s="19"/>
      <c r="H398" s="13"/>
      <c r="I398" s="19"/>
      <c r="J398" s="13"/>
      <c r="K398" s="19"/>
      <c r="L398" s="13"/>
      <c r="M398" s="557"/>
      <c r="N398" s="460"/>
      <c r="O398" s="783"/>
      <c r="P398" s="460"/>
    </row>
    <row r="399" spans="1:16">
      <c r="A399" s="14"/>
      <c r="B399" s="15"/>
      <c r="C399" s="16"/>
      <c r="D399" s="17"/>
      <c r="E399" s="12"/>
      <c r="F399" s="18"/>
      <c r="G399" s="19"/>
      <c r="H399" s="13"/>
      <c r="I399" s="19"/>
      <c r="J399" s="13"/>
      <c r="K399" s="19"/>
      <c r="L399" s="13"/>
      <c r="M399" s="557"/>
      <c r="N399" s="460"/>
      <c r="O399" s="783"/>
      <c r="P399" s="460"/>
    </row>
    <row r="400" spans="1:16">
      <c r="A400" s="14"/>
      <c r="B400" s="15"/>
      <c r="C400" s="16"/>
      <c r="D400" s="17"/>
      <c r="E400" s="12"/>
      <c r="F400" s="18"/>
      <c r="G400" s="19"/>
      <c r="H400" s="13"/>
      <c r="I400" s="19"/>
      <c r="J400" s="13"/>
      <c r="K400" s="19"/>
      <c r="L400" s="13"/>
      <c r="M400" s="557"/>
      <c r="N400" s="460"/>
      <c r="O400" s="783"/>
      <c r="P400" s="460"/>
    </row>
    <row r="401" spans="1:16">
      <c r="A401" s="14"/>
      <c r="B401" s="15"/>
      <c r="C401" s="16"/>
      <c r="D401" s="17"/>
      <c r="E401" s="12"/>
      <c r="F401" s="18"/>
      <c r="G401" s="19"/>
      <c r="H401" s="13"/>
      <c r="I401" s="19"/>
      <c r="J401" s="13"/>
      <c r="K401" s="19"/>
      <c r="L401" s="13"/>
      <c r="M401" s="557"/>
      <c r="N401" s="460"/>
      <c r="O401" s="783"/>
      <c r="P401" s="460"/>
    </row>
    <row r="402" spans="1:16">
      <c r="A402" s="14"/>
      <c r="B402" s="15"/>
      <c r="C402" s="16"/>
      <c r="D402" s="17"/>
      <c r="E402" s="12"/>
      <c r="F402" s="18"/>
      <c r="G402" s="19"/>
      <c r="H402" s="13"/>
      <c r="I402" s="19"/>
      <c r="J402" s="13"/>
      <c r="K402" s="19"/>
      <c r="L402" s="13"/>
      <c r="M402" s="557"/>
      <c r="N402" s="460"/>
      <c r="O402" s="783"/>
      <c r="P402" s="460"/>
    </row>
    <row r="403" spans="1:16">
      <c r="A403" s="14"/>
      <c r="B403" s="15"/>
      <c r="C403" s="16"/>
      <c r="D403" s="17"/>
      <c r="E403" s="12"/>
      <c r="F403" s="18"/>
      <c r="G403" s="19"/>
      <c r="H403" s="13"/>
      <c r="I403" s="19"/>
      <c r="J403" s="13"/>
      <c r="K403" s="19"/>
      <c r="L403" s="13"/>
      <c r="M403" s="557"/>
      <c r="N403" s="460"/>
      <c r="O403" s="783"/>
      <c r="P403" s="460"/>
    </row>
    <row r="404" spans="1:16">
      <c r="A404" s="14"/>
      <c r="B404" s="15"/>
      <c r="C404" s="16"/>
      <c r="D404" s="17"/>
      <c r="E404" s="12"/>
      <c r="F404" s="18"/>
      <c r="G404" s="19"/>
      <c r="H404" s="13"/>
      <c r="I404" s="19"/>
      <c r="J404" s="13"/>
      <c r="K404" s="19"/>
      <c r="L404" s="13"/>
      <c r="M404" s="557"/>
      <c r="N404" s="460"/>
      <c r="O404" s="783"/>
      <c r="P404" s="460"/>
    </row>
    <row r="405" spans="1:16">
      <c r="A405" s="14"/>
      <c r="B405" s="15"/>
      <c r="C405" s="16"/>
      <c r="D405" s="17"/>
      <c r="E405" s="12"/>
      <c r="F405" s="18"/>
      <c r="G405" s="19"/>
      <c r="H405" s="13"/>
      <c r="I405" s="19"/>
      <c r="J405" s="13"/>
      <c r="K405" s="19"/>
      <c r="L405" s="13"/>
      <c r="M405" s="557"/>
      <c r="N405" s="460"/>
      <c r="O405" s="783"/>
      <c r="P405" s="460"/>
    </row>
    <row r="406" spans="1:16">
      <c r="A406" s="14"/>
      <c r="B406" s="15"/>
      <c r="C406" s="16"/>
      <c r="D406" s="17"/>
      <c r="E406" s="12"/>
      <c r="F406" s="18"/>
      <c r="G406" s="19"/>
      <c r="H406" s="13"/>
      <c r="I406" s="19"/>
      <c r="J406" s="13"/>
      <c r="K406" s="19"/>
      <c r="L406" s="13"/>
      <c r="M406" s="557"/>
      <c r="N406" s="460"/>
      <c r="O406" s="783"/>
      <c r="P406" s="460"/>
    </row>
    <row r="407" spans="1:16">
      <c r="A407" s="14"/>
      <c r="B407" s="15"/>
      <c r="C407" s="16"/>
      <c r="D407" s="17"/>
      <c r="E407" s="12"/>
      <c r="F407" s="18"/>
      <c r="G407" s="19"/>
      <c r="H407" s="13"/>
      <c r="I407" s="19"/>
      <c r="J407" s="13"/>
      <c r="K407" s="19"/>
      <c r="L407" s="13"/>
      <c r="M407" s="557"/>
      <c r="N407" s="460"/>
      <c r="O407" s="783"/>
      <c r="P407" s="460"/>
    </row>
    <row r="408" spans="1:16">
      <c r="A408" s="14"/>
      <c r="B408" s="15"/>
      <c r="C408" s="16"/>
      <c r="D408" s="17"/>
      <c r="E408" s="12"/>
      <c r="F408" s="18"/>
      <c r="G408" s="19"/>
      <c r="H408" s="13"/>
      <c r="I408" s="19"/>
      <c r="J408" s="13"/>
      <c r="K408" s="19"/>
      <c r="L408" s="13"/>
      <c r="M408" s="557"/>
      <c r="N408" s="460"/>
      <c r="O408" s="783"/>
      <c r="P408" s="460"/>
    </row>
    <row r="409" spans="1:16">
      <c r="A409" s="14"/>
      <c r="B409" s="15"/>
      <c r="C409" s="16"/>
      <c r="D409" s="17"/>
      <c r="E409" s="12"/>
      <c r="F409" s="18"/>
      <c r="G409" s="19"/>
      <c r="H409" s="13"/>
      <c r="I409" s="19"/>
      <c r="J409" s="13"/>
      <c r="K409" s="19"/>
      <c r="L409" s="13"/>
      <c r="M409" s="557"/>
      <c r="N409" s="460"/>
      <c r="O409" s="783"/>
      <c r="P409" s="460"/>
    </row>
    <row r="410" spans="1:16">
      <c r="A410" s="14"/>
      <c r="B410" s="15"/>
      <c r="C410" s="16"/>
      <c r="D410" s="17"/>
      <c r="E410" s="12"/>
      <c r="F410" s="18"/>
      <c r="G410" s="19"/>
      <c r="H410" s="13"/>
      <c r="I410" s="19"/>
      <c r="J410" s="13"/>
      <c r="K410" s="19"/>
      <c r="L410" s="13"/>
      <c r="M410" s="557"/>
      <c r="N410" s="460"/>
      <c r="O410" s="783"/>
      <c r="P410" s="460"/>
    </row>
    <row r="411" spans="1:16">
      <c r="A411" s="14"/>
      <c r="B411" s="15"/>
      <c r="C411" s="16"/>
      <c r="D411" s="17"/>
      <c r="E411" s="12"/>
      <c r="F411" s="18"/>
      <c r="G411" s="19"/>
      <c r="H411" s="13"/>
      <c r="I411" s="19"/>
      <c r="J411" s="13"/>
      <c r="K411" s="19"/>
      <c r="L411" s="13"/>
      <c r="M411" s="557"/>
      <c r="N411" s="460"/>
      <c r="O411" s="783"/>
      <c r="P411" s="460"/>
    </row>
    <row r="412" spans="1:16">
      <c r="A412" s="14"/>
      <c r="B412" s="15"/>
      <c r="C412" s="16"/>
      <c r="D412" s="17"/>
      <c r="E412" s="12"/>
      <c r="F412" s="18"/>
      <c r="G412" s="19"/>
      <c r="H412" s="13"/>
      <c r="I412" s="19"/>
      <c r="J412" s="13"/>
      <c r="K412" s="19"/>
      <c r="L412" s="13"/>
      <c r="M412" s="557"/>
      <c r="N412" s="460"/>
      <c r="O412" s="783"/>
      <c r="P412" s="460"/>
    </row>
    <row r="413" spans="1:16">
      <c r="A413" s="14"/>
      <c r="B413" s="15"/>
      <c r="C413" s="16"/>
      <c r="D413" s="17"/>
      <c r="E413" s="12"/>
      <c r="F413" s="18"/>
      <c r="G413" s="19"/>
      <c r="H413" s="13"/>
      <c r="I413" s="19"/>
      <c r="J413" s="13"/>
      <c r="K413" s="19"/>
      <c r="L413" s="13"/>
      <c r="M413" s="557"/>
      <c r="N413" s="460"/>
      <c r="O413" s="783"/>
      <c r="P413" s="460"/>
    </row>
    <row r="414" spans="1:16">
      <c r="A414" s="14"/>
      <c r="B414" s="15"/>
      <c r="C414" s="16"/>
      <c r="D414" s="17"/>
      <c r="E414" s="12"/>
      <c r="F414" s="18"/>
      <c r="G414" s="19"/>
      <c r="H414" s="13"/>
      <c r="I414" s="19"/>
      <c r="J414" s="13"/>
      <c r="K414" s="19"/>
      <c r="L414" s="13"/>
      <c r="M414" s="557"/>
      <c r="N414" s="460"/>
      <c r="O414" s="783"/>
      <c r="P414" s="460"/>
    </row>
    <row r="415" spans="1:16">
      <c r="A415" s="14"/>
      <c r="B415" s="15"/>
      <c r="C415" s="16"/>
      <c r="D415" s="17"/>
      <c r="E415" s="12"/>
      <c r="F415" s="18"/>
      <c r="G415" s="19"/>
      <c r="H415" s="13"/>
      <c r="I415" s="19"/>
      <c r="J415" s="13"/>
      <c r="K415" s="19"/>
      <c r="L415" s="13"/>
      <c r="M415" s="557"/>
      <c r="N415" s="460"/>
      <c r="O415" s="783"/>
      <c r="P415" s="460"/>
    </row>
    <row r="416" spans="1:16">
      <c r="A416" s="14"/>
      <c r="B416" s="15"/>
      <c r="C416" s="16"/>
      <c r="D416" s="17"/>
      <c r="E416" s="12"/>
      <c r="F416" s="18"/>
      <c r="G416" s="19"/>
      <c r="H416" s="13"/>
      <c r="I416" s="19"/>
      <c r="J416" s="13"/>
      <c r="K416" s="19"/>
      <c r="L416" s="13"/>
      <c r="M416" s="557"/>
      <c r="N416" s="460"/>
      <c r="O416" s="783"/>
      <c r="P416" s="460"/>
    </row>
    <row r="417" spans="1:16">
      <c r="A417" s="14"/>
      <c r="B417" s="15"/>
      <c r="C417" s="16"/>
      <c r="D417" s="17"/>
      <c r="E417" s="12"/>
      <c r="F417" s="18"/>
      <c r="G417" s="19"/>
      <c r="H417" s="13"/>
      <c r="I417" s="19"/>
      <c r="J417" s="13"/>
      <c r="K417" s="19"/>
      <c r="L417" s="13"/>
      <c r="M417" s="557"/>
      <c r="N417" s="460"/>
      <c r="O417" s="783"/>
      <c r="P417" s="460"/>
    </row>
    <row r="418" spans="1:16">
      <c r="A418" s="14"/>
      <c r="B418" s="15"/>
      <c r="C418" s="16"/>
      <c r="D418" s="17"/>
      <c r="E418" s="12"/>
      <c r="F418" s="18"/>
      <c r="G418" s="19"/>
      <c r="H418" s="13"/>
      <c r="I418" s="19"/>
      <c r="J418" s="13"/>
      <c r="K418" s="19"/>
      <c r="L418" s="13"/>
      <c r="M418" s="557"/>
      <c r="N418" s="460"/>
      <c r="O418" s="783"/>
      <c r="P418" s="460"/>
    </row>
    <row r="419" spans="1:16">
      <c r="A419" s="14"/>
      <c r="B419" s="15"/>
      <c r="C419" s="16"/>
      <c r="D419" s="17"/>
      <c r="E419" s="12"/>
      <c r="F419" s="18"/>
      <c r="G419" s="19"/>
      <c r="H419" s="13"/>
      <c r="I419" s="19"/>
      <c r="J419" s="13"/>
      <c r="K419" s="19"/>
      <c r="L419" s="13"/>
      <c r="M419" s="557"/>
      <c r="N419" s="460"/>
      <c r="O419" s="783"/>
      <c r="P419" s="460"/>
    </row>
    <row r="420" spans="1:16">
      <c r="A420" s="14"/>
      <c r="B420" s="15"/>
      <c r="C420" s="16"/>
      <c r="D420" s="17"/>
      <c r="E420" s="12"/>
      <c r="F420" s="18"/>
      <c r="G420" s="19"/>
      <c r="H420" s="13"/>
      <c r="I420" s="19"/>
      <c r="J420" s="13"/>
      <c r="K420" s="19"/>
      <c r="L420" s="13"/>
      <c r="M420" s="557"/>
      <c r="N420" s="460"/>
      <c r="O420" s="783"/>
      <c r="P420" s="460"/>
    </row>
    <row r="421" spans="1:16">
      <c r="A421" s="14"/>
      <c r="B421" s="15"/>
      <c r="C421" s="16"/>
      <c r="D421" s="17"/>
      <c r="E421" s="12"/>
      <c r="F421" s="18"/>
      <c r="G421" s="19"/>
      <c r="H421" s="13"/>
      <c r="I421" s="19"/>
      <c r="J421" s="13"/>
      <c r="K421" s="19"/>
      <c r="L421" s="13"/>
      <c r="M421" s="557"/>
      <c r="N421" s="460"/>
      <c r="O421" s="783"/>
      <c r="P421" s="460"/>
    </row>
    <row r="422" spans="1:16">
      <c r="A422" s="14"/>
      <c r="B422" s="15"/>
      <c r="C422" s="16"/>
      <c r="D422" s="17"/>
      <c r="E422" s="12"/>
      <c r="F422" s="18"/>
      <c r="G422" s="19"/>
      <c r="H422" s="13"/>
      <c r="I422" s="19"/>
      <c r="J422" s="13"/>
      <c r="K422" s="19"/>
      <c r="L422" s="13"/>
      <c r="M422" s="557"/>
      <c r="N422" s="460"/>
      <c r="O422" s="783"/>
      <c r="P422" s="460"/>
    </row>
    <row r="423" spans="1:16">
      <c r="A423" s="14"/>
      <c r="B423" s="15"/>
      <c r="C423" s="16"/>
      <c r="D423" s="17"/>
      <c r="E423" s="12"/>
      <c r="F423" s="18"/>
      <c r="G423" s="19"/>
      <c r="H423" s="13"/>
      <c r="I423" s="19"/>
      <c r="J423" s="13"/>
      <c r="K423" s="19"/>
      <c r="L423" s="13"/>
      <c r="M423" s="557"/>
      <c r="N423" s="460"/>
      <c r="O423" s="783"/>
      <c r="P423" s="460"/>
    </row>
    <row r="424" spans="1:16">
      <c r="A424" s="14"/>
      <c r="B424" s="15"/>
      <c r="C424" s="16"/>
      <c r="D424" s="17"/>
      <c r="E424" s="12"/>
      <c r="F424" s="18"/>
      <c r="G424" s="19"/>
      <c r="H424" s="13"/>
      <c r="I424" s="19"/>
      <c r="J424" s="13"/>
      <c r="K424" s="19"/>
      <c r="L424" s="13"/>
      <c r="M424" s="557"/>
      <c r="N424" s="460"/>
      <c r="O424" s="783"/>
      <c r="P424" s="460"/>
    </row>
    <row r="425" spans="1:16">
      <c r="A425" s="14"/>
      <c r="B425" s="15"/>
      <c r="C425" s="16"/>
      <c r="D425" s="17"/>
      <c r="E425" s="12"/>
      <c r="F425" s="18"/>
      <c r="G425" s="19"/>
      <c r="H425" s="13"/>
      <c r="I425" s="19"/>
      <c r="J425" s="13"/>
      <c r="K425" s="19"/>
      <c r="L425" s="13"/>
      <c r="M425" s="557"/>
      <c r="N425" s="460"/>
      <c r="O425" s="783"/>
      <c r="P425" s="460"/>
    </row>
    <row r="426" spans="1:16">
      <c r="A426" s="14"/>
      <c r="B426" s="15"/>
      <c r="C426" s="16"/>
      <c r="D426" s="17"/>
      <c r="E426" s="12"/>
      <c r="F426" s="18"/>
      <c r="G426" s="19"/>
      <c r="H426" s="13"/>
      <c r="I426" s="19"/>
      <c r="J426" s="13"/>
      <c r="K426" s="19"/>
      <c r="L426" s="13"/>
      <c r="M426" s="557"/>
      <c r="N426" s="460"/>
      <c r="O426" s="783"/>
      <c r="P426" s="460"/>
    </row>
    <row r="427" spans="1:16">
      <c r="A427" s="14"/>
      <c r="B427" s="15"/>
      <c r="C427" s="16"/>
      <c r="D427" s="17"/>
      <c r="E427" s="12"/>
      <c r="F427" s="18"/>
      <c r="G427" s="19"/>
      <c r="H427" s="13"/>
      <c r="I427" s="19"/>
      <c r="J427" s="13"/>
      <c r="K427" s="19"/>
      <c r="L427" s="13"/>
      <c r="M427" s="557"/>
      <c r="N427" s="460"/>
      <c r="O427" s="783"/>
      <c r="P427" s="460"/>
    </row>
    <row r="428" spans="1:16">
      <c r="A428" s="14"/>
      <c r="B428" s="15"/>
      <c r="C428" s="16"/>
      <c r="D428" s="17"/>
      <c r="E428" s="12"/>
      <c r="F428" s="18"/>
      <c r="G428" s="19"/>
      <c r="H428" s="13"/>
      <c r="I428" s="19"/>
      <c r="J428" s="13"/>
      <c r="K428" s="19"/>
      <c r="L428" s="13"/>
      <c r="M428" s="557"/>
      <c r="N428" s="460"/>
      <c r="O428" s="783"/>
      <c r="P428" s="460"/>
    </row>
    <row r="429" spans="1:16">
      <c r="A429" s="14"/>
      <c r="B429" s="15"/>
      <c r="C429" s="16"/>
      <c r="D429" s="17"/>
      <c r="E429" s="12"/>
      <c r="F429" s="18"/>
      <c r="G429" s="19"/>
      <c r="H429" s="13"/>
      <c r="I429" s="19"/>
      <c r="J429" s="13"/>
      <c r="K429" s="19"/>
      <c r="L429" s="13"/>
      <c r="M429" s="557"/>
      <c r="N429" s="460"/>
      <c r="O429" s="783"/>
      <c r="P429" s="460"/>
    </row>
    <row r="430" spans="1:16">
      <c r="A430" s="14"/>
      <c r="B430" s="15"/>
      <c r="C430" s="16"/>
      <c r="D430" s="17"/>
      <c r="E430" s="12"/>
      <c r="F430" s="18"/>
      <c r="G430" s="19"/>
      <c r="H430" s="13"/>
      <c r="I430" s="19"/>
      <c r="J430" s="13"/>
      <c r="K430" s="19"/>
      <c r="L430" s="13"/>
      <c r="M430" s="557"/>
      <c r="N430" s="460"/>
      <c r="O430" s="783"/>
      <c r="P430" s="460"/>
    </row>
    <row r="431" spans="1:16">
      <c r="A431" s="14"/>
      <c r="B431" s="15"/>
      <c r="C431" s="16"/>
      <c r="D431" s="17"/>
      <c r="E431" s="12"/>
      <c r="F431" s="18"/>
      <c r="G431" s="19"/>
      <c r="H431" s="13"/>
      <c r="I431" s="19"/>
      <c r="J431" s="13"/>
      <c r="K431" s="19"/>
      <c r="L431" s="13"/>
      <c r="M431" s="557"/>
      <c r="N431" s="460"/>
      <c r="O431" s="783"/>
      <c r="P431" s="460"/>
    </row>
    <row r="432" spans="1:16">
      <c r="A432" s="14"/>
      <c r="B432" s="15"/>
      <c r="C432" s="16"/>
      <c r="D432" s="17"/>
      <c r="E432" s="12"/>
      <c r="F432" s="18"/>
      <c r="G432" s="19"/>
      <c r="H432" s="13"/>
      <c r="I432" s="19"/>
      <c r="J432" s="13"/>
      <c r="K432" s="19"/>
      <c r="L432" s="13"/>
      <c r="M432" s="557"/>
      <c r="N432" s="460"/>
      <c r="O432" s="783"/>
      <c r="P432" s="460"/>
    </row>
    <row r="433" spans="1:16">
      <c r="A433" s="14"/>
      <c r="B433" s="15"/>
      <c r="C433" s="16"/>
      <c r="D433" s="17"/>
      <c r="E433" s="12"/>
      <c r="F433" s="18"/>
      <c r="G433" s="19"/>
      <c r="H433" s="13"/>
      <c r="I433" s="19"/>
      <c r="J433" s="13"/>
      <c r="K433" s="19"/>
      <c r="L433" s="13"/>
      <c r="M433" s="557"/>
      <c r="N433" s="460"/>
      <c r="O433" s="783"/>
      <c r="P433" s="460"/>
    </row>
    <row r="434" spans="1:16">
      <c r="A434" s="14"/>
      <c r="B434" s="15"/>
      <c r="C434" s="16"/>
      <c r="D434" s="17"/>
      <c r="E434" s="12"/>
      <c r="F434" s="18"/>
      <c r="G434" s="19"/>
      <c r="H434" s="13"/>
      <c r="I434" s="19"/>
      <c r="J434" s="13"/>
      <c r="K434" s="19"/>
      <c r="L434" s="13"/>
      <c r="M434" s="557"/>
      <c r="N434" s="460"/>
      <c r="O434" s="783"/>
      <c r="P434" s="460"/>
    </row>
    <row r="435" spans="1:16">
      <c r="A435" s="14"/>
      <c r="B435" s="15"/>
      <c r="C435" s="16"/>
      <c r="D435" s="17"/>
      <c r="E435" s="12"/>
      <c r="F435" s="18"/>
      <c r="G435" s="19"/>
      <c r="H435" s="13"/>
      <c r="I435" s="19"/>
      <c r="J435" s="13"/>
      <c r="K435" s="19"/>
      <c r="L435" s="13"/>
      <c r="M435" s="557"/>
      <c r="N435" s="460"/>
      <c r="O435" s="783"/>
      <c r="P435" s="460"/>
    </row>
    <row r="436" spans="1:16">
      <c r="A436" s="14"/>
      <c r="B436" s="15"/>
      <c r="C436" s="16"/>
      <c r="D436" s="17"/>
      <c r="E436" s="12"/>
      <c r="F436" s="18"/>
      <c r="G436" s="19"/>
      <c r="H436" s="13"/>
      <c r="I436" s="19"/>
      <c r="J436" s="13"/>
      <c r="K436" s="19"/>
      <c r="L436" s="13"/>
      <c r="M436" s="557"/>
      <c r="N436" s="460"/>
      <c r="O436" s="783"/>
      <c r="P436" s="460"/>
    </row>
    <row r="437" spans="1:16">
      <c r="A437" s="14"/>
      <c r="B437" s="15"/>
      <c r="C437" s="16"/>
      <c r="D437" s="17"/>
      <c r="E437" s="12"/>
      <c r="F437" s="18"/>
      <c r="G437" s="19"/>
      <c r="H437" s="13"/>
      <c r="I437" s="19"/>
      <c r="J437" s="13"/>
      <c r="K437" s="19"/>
      <c r="L437" s="13"/>
      <c r="M437" s="557"/>
      <c r="N437" s="460"/>
      <c r="O437" s="783"/>
      <c r="P437" s="460"/>
    </row>
    <row r="438" spans="1:16">
      <c r="A438" s="14"/>
      <c r="B438" s="15"/>
      <c r="C438" s="16"/>
      <c r="D438" s="17"/>
      <c r="E438" s="12"/>
      <c r="F438" s="18"/>
      <c r="G438" s="19"/>
      <c r="H438" s="13"/>
      <c r="I438" s="19"/>
      <c r="J438" s="13"/>
      <c r="K438" s="19"/>
      <c r="L438" s="13"/>
      <c r="M438" s="557"/>
      <c r="N438" s="460"/>
      <c r="O438" s="783"/>
      <c r="P438" s="460"/>
    </row>
    <row r="439" spans="1:16">
      <c r="A439" s="14"/>
      <c r="B439" s="15"/>
      <c r="C439" s="16"/>
      <c r="D439" s="17"/>
      <c r="E439" s="12"/>
      <c r="F439" s="18"/>
      <c r="G439" s="19"/>
      <c r="H439" s="13"/>
      <c r="I439" s="19"/>
      <c r="J439" s="13"/>
      <c r="K439" s="19"/>
      <c r="L439" s="13"/>
      <c r="M439" s="557"/>
      <c r="N439" s="460"/>
      <c r="O439" s="783"/>
      <c r="P439" s="460"/>
    </row>
    <row r="440" spans="1:16">
      <c r="A440" s="14"/>
      <c r="B440" s="15"/>
      <c r="C440" s="16"/>
      <c r="D440" s="17"/>
      <c r="E440" s="12"/>
      <c r="F440" s="18"/>
      <c r="G440" s="19"/>
      <c r="H440" s="13"/>
      <c r="I440" s="19"/>
      <c r="J440" s="13"/>
      <c r="K440" s="19"/>
      <c r="L440" s="13"/>
      <c r="M440" s="557"/>
      <c r="N440" s="460"/>
      <c r="O440" s="783"/>
      <c r="P440" s="460"/>
    </row>
    <row r="441" spans="1:16">
      <c r="A441" s="14"/>
      <c r="B441" s="15"/>
      <c r="C441" s="16"/>
      <c r="D441" s="17"/>
      <c r="E441" s="12"/>
      <c r="F441" s="18"/>
      <c r="G441" s="19"/>
      <c r="H441" s="13"/>
      <c r="I441" s="19"/>
      <c r="J441" s="13"/>
      <c r="K441" s="19"/>
      <c r="L441" s="13"/>
      <c r="M441" s="557"/>
      <c r="N441" s="460"/>
      <c r="O441" s="783"/>
      <c r="P441" s="460"/>
    </row>
    <row r="442" spans="1:16">
      <c r="A442" s="14"/>
      <c r="B442" s="15"/>
      <c r="C442" s="16"/>
      <c r="D442" s="17"/>
      <c r="E442" s="12"/>
      <c r="F442" s="18"/>
      <c r="G442" s="19"/>
      <c r="H442" s="13"/>
      <c r="I442" s="19"/>
      <c r="J442" s="13"/>
      <c r="K442" s="19"/>
      <c r="L442" s="13"/>
      <c r="M442" s="557"/>
      <c r="N442" s="460"/>
      <c r="O442" s="783"/>
      <c r="P442" s="460"/>
    </row>
    <row r="443" spans="1:16">
      <c r="A443" s="14"/>
      <c r="B443" s="15"/>
      <c r="C443" s="16"/>
      <c r="D443" s="17"/>
      <c r="E443" s="12"/>
      <c r="F443" s="18"/>
      <c r="G443" s="19"/>
      <c r="H443" s="13"/>
      <c r="I443" s="19"/>
      <c r="J443" s="13"/>
      <c r="K443" s="19"/>
      <c r="L443" s="13"/>
      <c r="M443" s="557"/>
      <c r="N443" s="460"/>
      <c r="O443" s="783"/>
      <c r="P443" s="460"/>
    </row>
    <row r="444" spans="1:16">
      <c r="A444" s="14"/>
      <c r="B444" s="15"/>
      <c r="C444" s="16"/>
      <c r="D444" s="17"/>
      <c r="E444" s="12"/>
      <c r="F444" s="18"/>
      <c r="G444" s="19"/>
      <c r="H444" s="13"/>
      <c r="I444" s="19"/>
      <c r="J444" s="13"/>
      <c r="K444" s="19"/>
      <c r="L444" s="13"/>
      <c r="M444" s="557"/>
      <c r="N444" s="460"/>
      <c r="O444" s="783"/>
      <c r="P444" s="460"/>
    </row>
    <row r="445" spans="1:16">
      <c r="A445" s="14"/>
      <c r="B445" s="15"/>
      <c r="C445" s="16"/>
      <c r="D445" s="17"/>
      <c r="E445" s="12"/>
      <c r="F445" s="18"/>
      <c r="G445" s="19"/>
      <c r="H445" s="13"/>
      <c r="I445" s="19"/>
      <c r="J445" s="13"/>
      <c r="K445" s="19"/>
      <c r="L445" s="13"/>
      <c r="M445" s="557"/>
      <c r="N445" s="460"/>
      <c r="O445" s="783"/>
      <c r="P445" s="460"/>
    </row>
    <row r="446" spans="1:16">
      <c r="A446" s="14"/>
      <c r="B446" s="15"/>
      <c r="C446" s="16"/>
      <c r="D446" s="17"/>
      <c r="E446" s="12"/>
      <c r="F446" s="18"/>
      <c r="G446" s="19"/>
      <c r="H446" s="13"/>
      <c r="I446" s="19"/>
      <c r="J446" s="13"/>
      <c r="K446" s="19"/>
      <c r="L446" s="13"/>
      <c r="M446" s="557"/>
      <c r="N446" s="460"/>
      <c r="O446" s="783"/>
      <c r="P446" s="460"/>
    </row>
    <row r="447" spans="1:16">
      <c r="A447" s="14"/>
      <c r="B447" s="15"/>
      <c r="C447" s="16"/>
      <c r="D447" s="17"/>
      <c r="E447" s="12"/>
      <c r="F447" s="18"/>
      <c r="G447" s="19"/>
      <c r="H447" s="13"/>
      <c r="I447" s="19"/>
      <c r="J447" s="13"/>
      <c r="K447" s="19"/>
      <c r="L447" s="13"/>
      <c r="M447" s="557"/>
      <c r="N447" s="460"/>
      <c r="O447" s="783"/>
      <c r="P447" s="460"/>
    </row>
    <row r="448" spans="1:16">
      <c r="A448" s="14"/>
      <c r="B448" s="15"/>
      <c r="C448" s="16"/>
      <c r="D448" s="17"/>
      <c r="E448" s="12"/>
      <c r="F448" s="18"/>
      <c r="G448" s="19"/>
      <c r="H448" s="13"/>
      <c r="I448" s="19"/>
      <c r="J448" s="13"/>
      <c r="K448" s="19"/>
      <c r="L448" s="13"/>
      <c r="M448" s="557"/>
      <c r="N448" s="460"/>
      <c r="O448" s="783"/>
      <c r="P448" s="460"/>
    </row>
    <row r="449" spans="1:16">
      <c r="A449" s="14"/>
      <c r="B449" s="15"/>
      <c r="C449" s="16"/>
      <c r="D449" s="17"/>
      <c r="E449" s="12"/>
      <c r="F449" s="18"/>
      <c r="G449" s="19"/>
      <c r="H449" s="13"/>
      <c r="I449" s="19"/>
      <c r="J449" s="13"/>
      <c r="K449" s="19"/>
      <c r="L449" s="13"/>
      <c r="M449" s="557"/>
      <c r="N449" s="460"/>
      <c r="O449" s="783"/>
      <c r="P449" s="460"/>
    </row>
    <row r="450" spans="1:16">
      <c r="A450" s="14"/>
      <c r="B450" s="15"/>
      <c r="C450" s="16"/>
      <c r="D450" s="17"/>
      <c r="E450" s="12"/>
      <c r="F450" s="18"/>
      <c r="G450" s="19"/>
      <c r="H450" s="13"/>
      <c r="I450" s="19"/>
      <c r="J450" s="13"/>
      <c r="K450" s="19"/>
      <c r="L450" s="13"/>
      <c r="M450" s="557"/>
      <c r="N450" s="460"/>
      <c r="O450" s="783"/>
      <c r="P450" s="460"/>
    </row>
    <row r="451" spans="1:16">
      <c r="A451" s="14"/>
      <c r="B451" s="15"/>
      <c r="C451" s="16"/>
      <c r="D451" s="17"/>
      <c r="E451" s="12"/>
      <c r="F451" s="18"/>
      <c r="G451" s="19"/>
      <c r="H451" s="13"/>
      <c r="I451" s="19"/>
      <c r="J451" s="13"/>
      <c r="K451" s="19"/>
      <c r="L451" s="13"/>
      <c r="M451" s="557"/>
      <c r="N451" s="460"/>
      <c r="O451" s="783"/>
      <c r="P451" s="460"/>
    </row>
    <row r="452" spans="1:16">
      <c r="A452" s="14"/>
      <c r="B452" s="15"/>
      <c r="C452" s="16"/>
      <c r="D452" s="17"/>
      <c r="E452" s="12"/>
      <c r="F452" s="18"/>
      <c r="G452" s="19"/>
      <c r="H452" s="13"/>
      <c r="I452" s="19"/>
      <c r="J452" s="13"/>
      <c r="K452" s="19"/>
      <c r="L452" s="13"/>
      <c r="M452" s="557"/>
      <c r="N452" s="460"/>
      <c r="O452" s="783"/>
      <c r="P452" s="460"/>
    </row>
    <row r="453" spans="1:16">
      <c r="A453" s="14"/>
      <c r="B453" s="15"/>
      <c r="C453" s="16"/>
      <c r="D453" s="17"/>
      <c r="E453" s="12"/>
      <c r="F453" s="18"/>
      <c r="G453" s="19"/>
      <c r="H453" s="13"/>
      <c r="I453" s="19"/>
      <c r="J453" s="13"/>
      <c r="K453" s="19"/>
      <c r="L453" s="13"/>
      <c r="M453" s="557"/>
      <c r="N453" s="460"/>
      <c r="O453" s="783"/>
      <c r="P453" s="460"/>
    </row>
    <row r="454" spans="1:16">
      <c r="A454" s="14"/>
      <c r="B454" s="15"/>
      <c r="C454" s="16"/>
      <c r="D454" s="17"/>
      <c r="E454" s="12"/>
      <c r="F454" s="18"/>
      <c r="G454" s="19"/>
      <c r="H454" s="13"/>
      <c r="I454" s="19"/>
      <c r="J454" s="13"/>
      <c r="K454" s="19"/>
      <c r="L454" s="13"/>
      <c r="M454" s="557"/>
      <c r="N454" s="460"/>
      <c r="O454" s="783"/>
      <c r="P454" s="460"/>
    </row>
    <row r="455" spans="1:16">
      <c r="A455" s="14"/>
      <c r="B455" s="15"/>
      <c r="C455" s="16"/>
      <c r="D455" s="17"/>
      <c r="E455" s="12"/>
      <c r="F455" s="18"/>
      <c r="G455" s="19"/>
      <c r="H455" s="13"/>
      <c r="I455" s="19"/>
      <c r="J455" s="13"/>
      <c r="K455" s="19"/>
      <c r="L455" s="13"/>
      <c r="M455" s="557"/>
      <c r="N455" s="460"/>
      <c r="O455" s="783"/>
      <c r="P455" s="460"/>
    </row>
    <row r="456" spans="1:16">
      <c r="A456" s="14"/>
      <c r="B456" s="15"/>
      <c r="C456" s="16"/>
      <c r="D456" s="17"/>
      <c r="E456" s="12"/>
      <c r="F456" s="18"/>
      <c r="G456" s="19"/>
      <c r="H456" s="13"/>
      <c r="I456" s="19"/>
      <c r="J456" s="13"/>
      <c r="K456" s="19"/>
      <c r="L456" s="13"/>
      <c r="M456" s="557"/>
      <c r="N456" s="460"/>
      <c r="O456" s="783"/>
      <c r="P456" s="460"/>
    </row>
    <row r="457" spans="1:16">
      <c r="A457" s="14"/>
      <c r="B457" s="15"/>
      <c r="C457" s="16"/>
      <c r="D457" s="17"/>
      <c r="E457" s="12"/>
      <c r="F457" s="18"/>
      <c r="G457" s="19"/>
      <c r="H457" s="13"/>
      <c r="I457" s="19"/>
      <c r="J457" s="13"/>
      <c r="K457" s="19"/>
      <c r="L457" s="13"/>
      <c r="M457" s="557"/>
      <c r="N457" s="460"/>
      <c r="O457" s="783"/>
      <c r="P457" s="460"/>
    </row>
    <row r="458" spans="1:16">
      <c r="A458" s="14"/>
      <c r="B458" s="15"/>
      <c r="C458" s="16"/>
      <c r="D458" s="17"/>
      <c r="E458" s="12"/>
      <c r="F458" s="18"/>
      <c r="G458" s="19"/>
      <c r="H458" s="13"/>
      <c r="I458" s="19"/>
      <c r="J458" s="13"/>
      <c r="K458" s="19"/>
      <c r="L458" s="13"/>
      <c r="M458" s="557"/>
      <c r="N458" s="460"/>
      <c r="O458" s="783"/>
      <c r="P458" s="460"/>
    </row>
    <row r="459" spans="1:16">
      <c r="A459" s="14"/>
      <c r="B459" s="15"/>
      <c r="C459" s="16"/>
      <c r="D459" s="17"/>
      <c r="E459" s="12"/>
      <c r="F459" s="18"/>
      <c r="G459" s="19"/>
      <c r="H459" s="13"/>
      <c r="I459" s="19"/>
      <c r="J459" s="13"/>
      <c r="K459" s="19"/>
      <c r="L459" s="13"/>
      <c r="M459" s="557"/>
      <c r="N459" s="460"/>
      <c r="O459" s="783"/>
      <c r="P459" s="460"/>
    </row>
    <row r="460" spans="1:16">
      <c r="A460" s="14"/>
      <c r="B460" s="15"/>
      <c r="C460" s="16"/>
      <c r="D460" s="17"/>
      <c r="E460" s="12"/>
      <c r="F460" s="18"/>
      <c r="G460" s="19"/>
      <c r="H460" s="13"/>
      <c r="I460" s="19"/>
      <c r="J460" s="13"/>
      <c r="K460" s="19"/>
      <c r="L460" s="13"/>
      <c r="M460" s="557"/>
      <c r="N460" s="460"/>
      <c r="O460" s="783"/>
      <c r="P460" s="460"/>
    </row>
    <row r="461" spans="1:16">
      <c r="A461" s="14"/>
      <c r="B461" s="15"/>
      <c r="C461" s="16"/>
      <c r="D461" s="17"/>
      <c r="E461" s="12"/>
      <c r="F461" s="18"/>
      <c r="G461" s="19"/>
      <c r="H461" s="13"/>
      <c r="I461" s="19"/>
      <c r="J461" s="13"/>
      <c r="K461" s="19"/>
      <c r="L461" s="13"/>
      <c r="M461" s="557"/>
      <c r="N461" s="460"/>
      <c r="O461" s="783"/>
      <c r="P461" s="460"/>
    </row>
    <row r="462" spans="1:16">
      <c r="A462" s="14"/>
      <c r="B462" s="15"/>
      <c r="C462" s="16"/>
      <c r="D462" s="17"/>
      <c r="E462" s="12"/>
      <c r="F462" s="18"/>
      <c r="G462" s="19"/>
      <c r="H462" s="13"/>
      <c r="I462" s="19"/>
      <c r="J462" s="13"/>
      <c r="K462" s="19"/>
      <c r="L462" s="13"/>
      <c r="M462" s="557"/>
      <c r="N462" s="460"/>
      <c r="O462" s="783"/>
      <c r="P462" s="460"/>
    </row>
    <row r="463" spans="1:16">
      <c r="A463" s="14"/>
      <c r="B463" s="15"/>
      <c r="C463" s="16"/>
      <c r="D463" s="17"/>
      <c r="E463" s="12"/>
      <c r="F463" s="18"/>
      <c r="G463" s="19"/>
      <c r="H463" s="13"/>
      <c r="I463" s="19"/>
      <c r="J463" s="13"/>
      <c r="K463" s="19"/>
      <c r="L463" s="13"/>
      <c r="M463" s="557"/>
      <c r="N463" s="460"/>
      <c r="O463" s="783"/>
      <c r="P463" s="460"/>
    </row>
    <row r="464" spans="1:16">
      <c r="A464" s="14"/>
      <c r="B464" s="15"/>
      <c r="C464" s="16"/>
      <c r="D464" s="17"/>
      <c r="E464" s="12"/>
      <c r="F464" s="18"/>
      <c r="G464" s="19"/>
      <c r="H464" s="13"/>
      <c r="I464" s="19"/>
      <c r="J464" s="13"/>
      <c r="K464" s="19"/>
      <c r="L464" s="13"/>
      <c r="M464" s="557"/>
      <c r="N464" s="460"/>
      <c r="O464" s="783"/>
      <c r="P464" s="460"/>
    </row>
    <row r="465" spans="1:16">
      <c r="A465" s="14"/>
      <c r="B465" s="15"/>
      <c r="C465" s="16"/>
      <c r="D465" s="17"/>
      <c r="E465" s="12"/>
      <c r="F465" s="18"/>
      <c r="G465" s="19"/>
      <c r="H465" s="13"/>
      <c r="I465" s="19"/>
      <c r="J465" s="13"/>
      <c r="K465" s="19"/>
      <c r="L465" s="13"/>
      <c r="M465" s="557"/>
      <c r="N465" s="460"/>
      <c r="O465" s="783"/>
      <c r="P465" s="460"/>
    </row>
    <row r="466" spans="1:16">
      <c r="A466" s="14"/>
      <c r="B466" s="15"/>
      <c r="C466" s="16"/>
      <c r="D466" s="17"/>
      <c r="E466" s="12"/>
      <c r="F466" s="18"/>
      <c r="G466" s="19"/>
      <c r="H466" s="13"/>
      <c r="I466" s="19"/>
      <c r="J466" s="13"/>
      <c r="K466" s="19"/>
      <c r="L466" s="13"/>
      <c r="M466" s="557"/>
      <c r="N466" s="460"/>
      <c r="O466" s="783"/>
      <c r="P466" s="460"/>
    </row>
    <row r="467" spans="1:16">
      <c r="A467" s="14"/>
      <c r="B467" s="15"/>
      <c r="C467" s="16"/>
      <c r="D467" s="17"/>
      <c r="E467" s="12"/>
      <c r="F467" s="18"/>
      <c r="G467" s="19"/>
      <c r="H467" s="13"/>
      <c r="I467" s="19"/>
      <c r="J467" s="13"/>
      <c r="K467" s="19"/>
      <c r="L467" s="13"/>
      <c r="M467" s="557"/>
      <c r="N467" s="460"/>
      <c r="O467" s="783"/>
      <c r="P467" s="460"/>
    </row>
    <row r="468" spans="1:16">
      <c r="A468" s="14"/>
      <c r="B468" s="15"/>
      <c r="C468" s="16"/>
      <c r="D468" s="17"/>
      <c r="E468" s="12"/>
      <c r="F468" s="18"/>
      <c r="G468" s="19"/>
      <c r="H468" s="13"/>
      <c r="I468" s="19"/>
      <c r="J468" s="13"/>
      <c r="K468" s="19"/>
      <c r="L468" s="13"/>
      <c r="M468" s="557"/>
      <c r="N468" s="460"/>
      <c r="O468" s="783"/>
      <c r="P468" s="460"/>
    </row>
    <row r="469" spans="1:16">
      <c r="A469" s="14"/>
      <c r="B469" s="15"/>
      <c r="C469" s="16"/>
      <c r="D469" s="17"/>
      <c r="E469" s="12"/>
      <c r="F469" s="18"/>
      <c r="G469" s="19"/>
      <c r="H469" s="13"/>
      <c r="I469" s="19"/>
      <c r="J469" s="13"/>
      <c r="K469" s="19"/>
      <c r="L469" s="13"/>
      <c r="M469" s="557"/>
      <c r="N469" s="460"/>
      <c r="O469" s="783"/>
      <c r="P469" s="460"/>
    </row>
    <row r="470" spans="1:16">
      <c r="A470" s="14"/>
      <c r="B470" s="15"/>
      <c r="C470" s="16"/>
      <c r="D470" s="17"/>
      <c r="E470" s="12"/>
      <c r="F470" s="18"/>
      <c r="G470" s="19"/>
      <c r="H470" s="13"/>
      <c r="I470" s="19"/>
      <c r="J470" s="13"/>
      <c r="K470" s="19"/>
      <c r="L470" s="13"/>
      <c r="M470" s="557"/>
      <c r="N470" s="460"/>
      <c r="O470" s="783"/>
      <c r="P470" s="460"/>
    </row>
    <row r="471" spans="1:16">
      <c r="A471" s="14"/>
      <c r="B471" s="15"/>
      <c r="C471" s="16"/>
      <c r="D471" s="17"/>
      <c r="E471" s="12"/>
      <c r="F471" s="18"/>
      <c r="G471" s="19"/>
      <c r="H471" s="13"/>
      <c r="I471" s="19"/>
      <c r="J471" s="13"/>
      <c r="K471" s="19"/>
      <c r="L471" s="13"/>
      <c r="M471" s="557"/>
      <c r="N471" s="460"/>
      <c r="O471" s="783"/>
      <c r="P471" s="460"/>
    </row>
    <row r="472" spans="1:16">
      <c r="A472" s="14"/>
      <c r="B472" s="15"/>
      <c r="C472" s="16"/>
      <c r="D472" s="17"/>
      <c r="E472" s="12"/>
      <c r="F472" s="18"/>
      <c r="G472" s="19"/>
      <c r="H472" s="13"/>
      <c r="I472" s="19"/>
      <c r="J472" s="13"/>
      <c r="K472" s="19"/>
      <c r="L472" s="13"/>
      <c r="M472" s="557"/>
      <c r="N472" s="460"/>
      <c r="O472" s="783"/>
      <c r="P472" s="460"/>
    </row>
    <row r="473" spans="1:16">
      <c r="A473" s="14"/>
      <c r="B473" s="15"/>
      <c r="C473" s="16"/>
      <c r="D473" s="17"/>
      <c r="E473" s="12"/>
      <c r="F473" s="18"/>
      <c r="G473" s="19"/>
      <c r="H473" s="13"/>
      <c r="I473" s="19"/>
      <c r="J473" s="13"/>
      <c r="K473" s="19"/>
      <c r="L473" s="13"/>
      <c r="M473" s="557"/>
      <c r="N473" s="460"/>
      <c r="O473" s="783"/>
      <c r="P473" s="460"/>
    </row>
    <row r="474" spans="1:16">
      <c r="A474" s="14"/>
      <c r="B474" s="15"/>
      <c r="C474" s="16"/>
      <c r="D474" s="17"/>
      <c r="E474" s="12"/>
      <c r="F474" s="18"/>
      <c r="G474" s="19"/>
      <c r="H474" s="13"/>
      <c r="I474" s="19"/>
      <c r="J474" s="13"/>
      <c r="K474" s="19"/>
      <c r="L474" s="13"/>
      <c r="M474" s="557"/>
      <c r="N474" s="460"/>
      <c r="O474" s="783"/>
      <c r="P474" s="460"/>
    </row>
    <row r="475" spans="1:16">
      <c r="A475" s="14"/>
      <c r="B475" s="15"/>
      <c r="C475" s="16"/>
      <c r="D475" s="17"/>
      <c r="E475" s="12"/>
      <c r="F475" s="18"/>
      <c r="G475" s="19"/>
      <c r="H475" s="13"/>
      <c r="I475" s="19"/>
      <c r="J475" s="13"/>
      <c r="K475" s="19"/>
      <c r="L475" s="13"/>
      <c r="M475" s="557"/>
      <c r="N475" s="460"/>
      <c r="O475" s="783"/>
      <c r="P475" s="460"/>
    </row>
    <row r="476" spans="1:16">
      <c r="A476" s="14"/>
      <c r="B476" s="15"/>
      <c r="C476" s="16"/>
      <c r="D476" s="17"/>
      <c r="E476" s="12"/>
      <c r="F476" s="18"/>
      <c r="G476" s="19"/>
      <c r="H476" s="13"/>
      <c r="I476" s="19"/>
      <c r="J476" s="13"/>
      <c r="K476" s="19"/>
      <c r="L476" s="13"/>
      <c r="M476" s="557"/>
      <c r="N476" s="460"/>
      <c r="O476" s="783"/>
      <c r="P476" s="460"/>
    </row>
    <row r="477" spans="1:16">
      <c r="A477" s="14"/>
      <c r="B477" s="15"/>
      <c r="C477" s="16"/>
      <c r="D477" s="17"/>
      <c r="E477" s="12"/>
      <c r="F477" s="18"/>
      <c r="G477" s="19"/>
      <c r="H477" s="13"/>
      <c r="I477" s="19"/>
      <c r="J477" s="13"/>
      <c r="K477" s="19"/>
      <c r="L477" s="13"/>
      <c r="M477" s="557"/>
      <c r="N477" s="460"/>
      <c r="O477" s="783"/>
      <c r="P477" s="460"/>
    </row>
    <row r="478" spans="1:16">
      <c r="A478" s="14"/>
      <c r="B478" s="15"/>
      <c r="C478" s="16"/>
      <c r="D478" s="17"/>
      <c r="E478" s="12"/>
      <c r="F478" s="18"/>
      <c r="G478" s="19"/>
      <c r="H478" s="13"/>
      <c r="I478" s="19"/>
      <c r="J478" s="13"/>
      <c r="K478" s="19"/>
      <c r="L478" s="13"/>
      <c r="M478" s="557"/>
      <c r="N478" s="460"/>
      <c r="O478" s="783"/>
      <c r="P478" s="460"/>
    </row>
    <row r="479" spans="1:16">
      <c r="A479" s="14"/>
      <c r="B479" s="15"/>
      <c r="C479" s="16"/>
      <c r="D479" s="17"/>
      <c r="E479" s="12"/>
      <c r="F479" s="18"/>
      <c r="G479" s="19"/>
      <c r="H479" s="13"/>
      <c r="I479" s="19"/>
      <c r="J479" s="13"/>
      <c r="K479" s="19"/>
      <c r="L479" s="13"/>
      <c r="M479" s="557"/>
      <c r="N479" s="460"/>
      <c r="O479" s="783"/>
      <c r="P479" s="460"/>
    </row>
    <row r="480" spans="1:16">
      <c r="A480" s="14"/>
      <c r="B480" s="15"/>
      <c r="C480" s="16"/>
      <c r="D480" s="17"/>
      <c r="E480" s="12"/>
      <c r="F480" s="18"/>
      <c r="G480" s="19"/>
      <c r="H480" s="13"/>
      <c r="I480" s="19"/>
      <c r="J480" s="13"/>
      <c r="K480" s="19"/>
      <c r="L480" s="13"/>
      <c r="M480" s="557"/>
      <c r="N480" s="460"/>
      <c r="O480" s="783"/>
      <c r="P480" s="460"/>
    </row>
    <row r="481" spans="1:16">
      <c r="A481" s="14"/>
      <c r="B481" s="15"/>
      <c r="C481" s="16"/>
      <c r="D481" s="17"/>
      <c r="E481" s="12"/>
      <c r="F481" s="18"/>
      <c r="G481" s="19"/>
      <c r="H481" s="13"/>
      <c r="I481" s="19"/>
      <c r="J481" s="13"/>
      <c r="K481" s="19"/>
      <c r="L481" s="13"/>
      <c r="M481" s="557"/>
      <c r="N481" s="460"/>
      <c r="O481" s="783"/>
      <c r="P481" s="460"/>
    </row>
    <row r="482" spans="1:16">
      <c r="A482" s="14"/>
      <c r="B482" s="15"/>
      <c r="C482" s="16"/>
      <c r="D482" s="17"/>
      <c r="E482" s="12"/>
      <c r="F482" s="18"/>
      <c r="G482" s="19"/>
      <c r="H482" s="13"/>
      <c r="I482" s="19"/>
      <c r="J482" s="13"/>
      <c r="K482" s="19"/>
      <c r="L482" s="13"/>
      <c r="M482" s="557"/>
      <c r="N482" s="460"/>
      <c r="O482" s="783"/>
      <c r="P482" s="460"/>
    </row>
    <row r="483" spans="1:16">
      <c r="A483" s="14"/>
      <c r="B483" s="15"/>
      <c r="C483" s="16"/>
      <c r="D483" s="17"/>
      <c r="E483" s="12"/>
      <c r="F483" s="18"/>
      <c r="G483" s="19"/>
      <c r="H483" s="13"/>
      <c r="I483" s="19"/>
      <c r="J483" s="13"/>
      <c r="K483" s="19"/>
      <c r="L483" s="13"/>
      <c r="M483" s="557"/>
      <c r="N483" s="460"/>
      <c r="O483" s="783"/>
      <c r="P483" s="460"/>
    </row>
    <row r="484" spans="1:16">
      <c r="A484" s="14"/>
      <c r="B484" s="15"/>
      <c r="C484" s="16"/>
      <c r="D484" s="17"/>
      <c r="E484" s="12"/>
      <c r="F484" s="18"/>
      <c r="G484" s="19"/>
      <c r="H484" s="13"/>
      <c r="I484" s="19"/>
      <c r="J484" s="13"/>
      <c r="K484" s="19"/>
      <c r="L484" s="13"/>
      <c r="M484" s="557"/>
      <c r="N484" s="460"/>
      <c r="O484" s="783"/>
      <c r="P484" s="460"/>
    </row>
    <row r="485" spans="1:16">
      <c r="A485" s="14"/>
      <c r="B485" s="15"/>
      <c r="C485" s="16"/>
      <c r="D485" s="17"/>
      <c r="E485" s="12"/>
      <c r="F485" s="18"/>
      <c r="G485" s="19"/>
      <c r="H485" s="13"/>
      <c r="I485" s="19"/>
      <c r="J485" s="13"/>
      <c r="K485" s="19"/>
      <c r="L485" s="13"/>
      <c r="M485" s="557"/>
      <c r="N485" s="460"/>
      <c r="O485" s="783"/>
      <c r="P485" s="460"/>
    </row>
    <row r="486" spans="1:16">
      <c r="A486" s="14"/>
      <c r="B486" s="15"/>
      <c r="C486" s="16"/>
      <c r="D486" s="17"/>
      <c r="E486" s="12"/>
      <c r="F486" s="18"/>
      <c r="G486" s="19"/>
      <c r="H486" s="13"/>
      <c r="I486" s="19"/>
      <c r="J486" s="13"/>
      <c r="K486" s="19"/>
      <c r="L486" s="13"/>
      <c r="M486" s="557"/>
      <c r="N486" s="460"/>
      <c r="O486" s="783"/>
      <c r="P486" s="460"/>
    </row>
    <row r="487" spans="1:16">
      <c r="A487" s="14"/>
      <c r="B487" s="15"/>
      <c r="C487" s="16"/>
      <c r="D487" s="17"/>
      <c r="E487" s="12"/>
      <c r="F487" s="18"/>
      <c r="G487" s="19"/>
      <c r="H487" s="13"/>
      <c r="I487" s="19"/>
      <c r="J487" s="13"/>
      <c r="K487" s="19"/>
      <c r="L487" s="13"/>
      <c r="M487" s="557"/>
      <c r="N487" s="460"/>
      <c r="O487" s="783"/>
      <c r="P487" s="460"/>
    </row>
    <row r="488" spans="1:16">
      <c r="A488" s="14"/>
      <c r="B488" s="15"/>
      <c r="C488" s="16"/>
      <c r="D488" s="17"/>
      <c r="E488" s="12"/>
      <c r="F488" s="18"/>
      <c r="G488" s="19"/>
      <c r="H488" s="13"/>
      <c r="I488" s="19"/>
      <c r="J488" s="13"/>
      <c r="K488" s="19"/>
      <c r="L488" s="13"/>
      <c r="M488" s="557"/>
      <c r="N488" s="460"/>
      <c r="O488" s="783"/>
      <c r="P488" s="460"/>
    </row>
    <row r="489" spans="1:16">
      <c r="A489" s="14"/>
      <c r="B489" s="15"/>
      <c r="C489" s="16"/>
      <c r="D489" s="17"/>
      <c r="E489" s="12"/>
      <c r="F489" s="18"/>
      <c r="G489" s="19"/>
      <c r="H489" s="13"/>
      <c r="I489" s="19"/>
      <c r="J489" s="13"/>
      <c r="K489" s="19"/>
      <c r="L489" s="13"/>
      <c r="M489" s="557"/>
      <c r="N489" s="460"/>
      <c r="O489" s="783"/>
      <c r="P489" s="460"/>
    </row>
    <row r="490" spans="1:16">
      <c r="A490" s="14"/>
      <c r="B490" s="15"/>
      <c r="C490" s="16"/>
      <c r="D490" s="17"/>
      <c r="E490" s="12"/>
      <c r="F490" s="18"/>
      <c r="G490" s="19"/>
      <c r="H490" s="13"/>
      <c r="I490" s="19"/>
      <c r="J490" s="13"/>
      <c r="K490" s="19"/>
      <c r="L490" s="13"/>
      <c r="M490" s="557"/>
      <c r="N490" s="460"/>
      <c r="O490" s="783"/>
      <c r="P490" s="460"/>
    </row>
    <row r="491" spans="1:16">
      <c r="A491" s="14"/>
      <c r="B491" s="15"/>
      <c r="C491" s="16"/>
      <c r="D491" s="17"/>
      <c r="E491" s="12"/>
      <c r="F491" s="18"/>
      <c r="G491" s="19"/>
      <c r="H491" s="13"/>
      <c r="I491" s="19"/>
      <c r="J491" s="13"/>
      <c r="K491" s="19"/>
      <c r="L491" s="13"/>
      <c r="M491" s="557"/>
      <c r="N491" s="460"/>
      <c r="O491" s="783"/>
      <c r="P491" s="460"/>
    </row>
    <row r="492" spans="1:16">
      <c r="A492" s="14"/>
      <c r="B492" s="15"/>
      <c r="C492" s="16"/>
      <c r="D492" s="17"/>
      <c r="E492" s="12"/>
      <c r="F492" s="18"/>
      <c r="G492" s="19"/>
      <c r="H492" s="13"/>
      <c r="I492" s="19"/>
      <c r="J492" s="13"/>
      <c r="K492" s="19"/>
      <c r="L492" s="13"/>
      <c r="M492" s="557"/>
      <c r="N492" s="460"/>
      <c r="O492" s="783"/>
      <c r="P492" s="460"/>
    </row>
    <row r="493" spans="1:16">
      <c r="A493" s="14"/>
      <c r="B493" s="15"/>
      <c r="C493" s="16"/>
      <c r="D493" s="17"/>
      <c r="E493" s="12"/>
      <c r="F493" s="18"/>
      <c r="G493" s="19"/>
      <c r="H493" s="13"/>
      <c r="I493" s="19"/>
      <c r="J493" s="13"/>
      <c r="K493" s="19"/>
      <c r="L493" s="13"/>
      <c r="M493" s="557"/>
      <c r="N493" s="460"/>
      <c r="O493" s="783"/>
      <c r="P493" s="460"/>
    </row>
    <row r="494" spans="1:16">
      <c r="A494" s="14"/>
      <c r="B494" s="15"/>
      <c r="C494" s="16"/>
      <c r="D494" s="17"/>
      <c r="E494" s="12"/>
      <c r="F494" s="18"/>
      <c r="G494" s="19"/>
      <c r="H494" s="13"/>
      <c r="I494" s="19"/>
      <c r="J494" s="13"/>
      <c r="K494" s="19"/>
      <c r="L494" s="13"/>
      <c r="M494" s="557"/>
      <c r="N494" s="460"/>
      <c r="O494" s="783"/>
      <c r="P494" s="460"/>
    </row>
    <row r="495" spans="1:16">
      <c r="A495" s="14"/>
      <c r="B495" s="15"/>
      <c r="C495" s="16"/>
      <c r="D495" s="17"/>
      <c r="E495" s="12"/>
      <c r="F495" s="18"/>
      <c r="G495" s="19"/>
      <c r="H495" s="13"/>
      <c r="I495" s="19"/>
      <c r="J495" s="13"/>
      <c r="K495" s="19"/>
      <c r="L495" s="13"/>
      <c r="M495" s="557"/>
      <c r="N495" s="460"/>
      <c r="O495" s="783"/>
      <c r="P495" s="460"/>
    </row>
    <row r="496" spans="1:16">
      <c r="A496" s="14"/>
      <c r="B496" s="15"/>
      <c r="C496" s="16"/>
      <c r="D496" s="17"/>
      <c r="E496" s="12"/>
      <c r="F496" s="18"/>
      <c r="G496" s="19"/>
      <c r="H496" s="13"/>
      <c r="I496" s="19"/>
      <c r="J496" s="13"/>
      <c r="K496" s="19"/>
      <c r="L496" s="13"/>
      <c r="M496" s="557"/>
      <c r="N496" s="460"/>
      <c r="O496" s="783"/>
      <c r="P496" s="460"/>
    </row>
    <row r="497" spans="1:16">
      <c r="A497" s="14"/>
      <c r="B497" s="15"/>
      <c r="C497" s="16"/>
      <c r="D497" s="20"/>
      <c r="E497" s="12"/>
      <c r="F497" s="18"/>
      <c r="G497" s="19"/>
      <c r="H497" s="13"/>
      <c r="I497" s="19"/>
      <c r="J497" s="13"/>
      <c r="K497" s="19"/>
      <c r="L497" s="13"/>
      <c r="M497" s="557"/>
      <c r="N497" s="460"/>
      <c r="O497" s="783"/>
      <c r="P497" s="460"/>
    </row>
    <row r="498" spans="1:16">
      <c r="A498" s="14"/>
      <c r="B498" s="15"/>
      <c r="C498" s="16"/>
      <c r="D498" s="20"/>
      <c r="E498" s="12"/>
      <c r="F498" s="18"/>
      <c r="G498" s="19"/>
      <c r="H498" s="13"/>
      <c r="I498" s="19"/>
      <c r="J498" s="13"/>
      <c r="K498" s="19"/>
      <c r="L498" s="13"/>
      <c r="M498" s="557"/>
      <c r="N498" s="460"/>
      <c r="O498" s="783"/>
      <c r="P498" s="460"/>
    </row>
    <row r="499" spans="1:16" ht="13.5" thickBot="1">
      <c r="A499" s="21"/>
      <c r="B499" s="22"/>
      <c r="C499" s="23"/>
      <c r="D499" s="24"/>
      <c r="E499" s="37"/>
      <c r="F499" s="25"/>
      <c r="G499" s="26"/>
      <c r="H499" s="27"/>
      <c r="I499" s="26"/>
      <c r="J499" s="27"/>
      <c r="K499" s="26"/>
      <c r="L499" s="27"/>
      <c r="M499" s="558"/>
      <c r="N499" s="559"/>
      <c r="O499" s="571"/>
      <c r="P499" s="572"/>
    </row>
  </sheetData>
  <sheetProtection sheet="1" objects="1" scenarios="1" formatCells="0" formatColumns="0" formatRows="0" insertColumns="0" insertRows="0" insertHyperlinks="0" deleteColumns="0" deleteRows="0" sort="0" autoFilter="0" pivotTables="0"/>
  <dataConsolidate/>
  <mergeCells count="6">
    <mergeCell ref="O1:P1"/>
    <mergeCell ref="G1:H1"/>
    <mergeCell ref="E3:F3"/>
    <mergeCell ref="I1:J1"/>
    <mergeCell ref="K1:L1"/>
    <mergeCell ref="M1:N1"/>
  </mergeCells>
  <phoneticPr fontId="14" type="noConversion"/>
  <conditionalFormatting sqref="A1">
    <cfRule type="cellIs" dxfId="10270" priority="12" stopIfTrue="1" operator="equal">
      <formula>"NOK"</formula>
    </cfRule>
  </conditionalFormatting>
  <conditionalFormatting sqref="G5:G499 M5:M499 K5:K499 I5:I499">
    <cfRule type="cellIs" dxfId="10269" priority="11" stopIfTrue="1" operator="notEqual">
      <formula>H5</formula>
    </cfRule>
  </conditionalFormatting>
  <conditionalFormatting sqref="G7 I7 K7">
    <cfRule type="cellIs" dxfId="10268" priority="8" stopIfTrue="1" operator="notEqual">
      <formula>H7</formula>
    </cfRule>
  </conditionalFormatting>
  <conditionalFormatting sqref="G5 I5 K5">
    <cfRule type="cellIs" dxfId="10267" priority="7" stopIfTrue="1" operator="notEqual">
      <formula>H5</formula>
    </cfRule>
  </conditionalFormatting>
  <conditionalFormatting sqref="G5 I5">
    <cfRule type="cellIs" dxfId="10266" priority="6" stopIfTrue="1" operator="notEqual">
      <formula>H5</formula>
    </cfRule>
  </conditionalFormatting>
  <conditionalFormatting sqref="I6 G6">
    <cfRule type="cellIs" dxfId="10265" priority="5" stopIfTrue="1" operator="notEqual">
      <formula>H6</formula>
    </cfRule>
  </conditionalFormatting>
  <conditionalFormatting sqref="G15 M15 K15 I15">
    <cfRule type="cellIs" dxfId="10264" priority="3" stopIfTrue="1" operator="notEqual">
      <formula>H15</formula>
    </cfRule>
  </conditionalFormatting>
  <conditionalFormatting sqref="O5:O499">
    <cfRule type="cellIs" dxfId="10263" priority="2" stopIfTrue="1" operator="notEqual">
      <formula>P5</formula>
    </cfRule>
  </conditionalFormatting>
  <conditionalFormatting sqref="O15">
    <cfRule type="cellIs" dxfId="10262" priority="1" stopIfTrue="1" operator="notEqual">
      <formula>P15</formula>
    </cfRule>
  </conditionalFormatting>
  <dataValidations count="1">
    <dataValidation type="list" allowBlank="1" showInputMessage="1" showErrorMessage="1" sqref="M1">
      <formula1>AtmosphericTankVariablesList</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sheetPr codeName="Sheet67">
    <tabColor rgb="FF92D050"/>
  </sheetPr>
  <dimension ref="A1:AG499"/>
  <sheetViews>
    <sheetView showGridLines="0" zoomScale="85" zoomScaleNormal="85" workbookViewId="0">
      <pane xSplit="6" ySplit="4" topLeftCell="AA5" activePane="bottomRight" state="frozenSplit"/>
      <selection activeCell="I6" sqref="I6"/>
      <selection pane="topRight" activeCell="I6" sqref="I6"/>
      <selection pane="bottomLeft" activeCell="I6" sqref="I6"/>
      <selection pane="bottomRight" activeCell="AD10" sqref="AD10"/>
    </sheetView>
  </sheetViews>
  <sheetFormatPr defaultRowHeight="12.75"/>
  <cols>
    <col min="1" max="1" width="24" style="28" customWidth="1"/>
    <col min="2" max="2" width="8.625" style="28" customWidth="1"/>
    <col min="3" max="3" width="8.625" style="29" customWidth="1"/>
    <col min="4" max="4" width="8.625" style="28" customWidth="1"/>
    <col min="5" max="5" width="16.625" style="28" customWidth="1"/>
    <col min="6" max="6" width="16.625" style="30" customWidth="1"/>
    <col min="7" max="7" width="9.75" style="31" customWidth="1"/>
    <col min="8" max="8" width="9.75" style="32" customWidth="1"/>
    <col min="9" max="9" width="9.75" style="31" customWidth="1"/>
    <col min="10" max="10" width="9.75" style="32" customWidth="1"/>
    <col min="11" max="11" width="9.75" style="31" customWidth="1"/>
    <col min="12" max="12" width="9.75" style="32" customWidth="1"/>
    <col min="13" max="13" width="9.75" style="31" customWidth="1"/>
    <col min="14" max="14" width="9.75" style="32" customWidth="1"/>
    <col min="15" max="15" width="9.75" style="31" customWidth="1"/>
    <col min="16" max="16" width="9.75" style="32" customWidth="1"/>
    <col min="17" max="17" width="9.75" style="31" customWidth="1"/>
    <col min="18" max="18" width="9.75" style="32" customWidth="1"/>
    <col min="19" max="19" width="9.75" style="31" customWidth="1"/>
    <col min="20" max="20" width="9.75" style="32" customWidth="1"/>
    <col min="21" max="21" width="9.75" style="31" customWidth="1"/>
    <col min="22" max="22" width="9.75" style="32" customWidth="1"/>
    <col min="23" max="23" width="9.75" style="31" customWidth="1"/>
    <col min="24" max="24" width="9.75" style="32" customWidth="1"/>
    <col min="25" max="25" width="9.75" style="560" customWidth="1"/>
    <col min="26" max="26" width="9.75" style="561" customWidth="1"/>
    <col min="27" max="27" width="9.75" style="573" customWidth="1"/>
    <col min="28" max="28" width="9.75" style="574" customWidth="1"/>
    <col min="29" max="29" width="1.25" style="6" customWidth="1"/>
    <col min="30" max="33" width="12.625" style="6" customWidth="1"/>
    <col min="34" max="276" width="8.875" style="6"/>
    <col min="277" max="277" width="12" style="6" customWidth="1"/>
    <col min="278" max="278" width="7.125" style="6" customWidth="1"/>
    <col min="279" max="279" width="8.875" style="6"/>
    <col min="280" max="280" width="16" style="6" customWidth="1"/>
    <col min="281" max="281" width="13.75" style="6" customWidth="1"/>
    <col min="282" max="283" width="9.75" style="6" customWidth="1"/>
    <col min="284" max="532" width="8.875" style="6"/>
    <col min="533" max="533" width="12" style="6" customWidth="1"/>
    <col min="534" max="534" width="7.125" style="6" customWidth="1"/>
    <col min="535" max="535" width="8.875" style="6"/>
    <col min="536" max="536" width="16" style="6" customWidth="1"/>
    <col min="537" max="537" width="13.75" style="6" customWidth="1"/>
    <col min="538" max="539" width="9.75" style="6" customWidth="1"/>
    <col min="540" max="788" width="8.875" style="6"/>
    <col min="789" max="789" width="12" style="6" customWidth="1"/>
    <col min="790" max="790" width="7.125" style="6" customWidth="1"/>
    <col min="791" max="791" width="8.875" style="6"/>
    <col min="792" max="792" width="16" style="6" customWidth="1"/>
    <col min="793" max="793" width="13.75" style="6" customWidth="1"/>
    <col min="794" max="795" width="9.75" style="6" customWidth="1"/>
    <col min="796" max="1044" width="8.875" style="6"/>
    <col min="1045" max="1045" width="12" style="6" customWidth="1"/>
    <col min="1046" max="1046" width="7.125" style="6" customWidth="1"/>
    <col min="1047" max="1047" width="8.875" style="6"/>
    <col min="1048" max="1048" width="16" style="6" customWidth="1"/>
    <col min="1049" max="1049" width="13.75" style="6" customWidth="1"/>
    <col min="1050" max="1051" width="9.75" style="6" customWidth="1"/>
    <col min="1052" max="1300" width="8.875" style="6"/>
    <col min="1301" max="1301" width="12" style="6" customWidth="1"/>
    <col min="1302" max="1302" width="7.125" style="6" customWidth="1"/>
    <col min="1303" max="1303" width="8.875" style="6"/>
    <col min="1304" max="1304" width="16" style="6" customWidth="1"/>
    <col min="1305" max="1305" width="13.75" style="6" customWidth="1"/>
    <col min="1306" max="1307" width="9.75" style="6" customWidth="1"/>
    <col min="1308" max="1556" width="8.875" style="6"/>
    <col min="1557" max="1557" width="12" style="6" customWidth="1"/>
    <col min="1558" max="1558" width="7.125" style="6" customWidth="1"/>
    <col min="1559" max="1559" width="8.875" style="6"/>
    <col min="1560" max="1560" width="16" style="6" customWidth="1"/>
    <col min="1561" max="1561" width="13.75" style="6" customWidth="1"/>
    <col min="1562" max="1563" width="9.75" style="6" customWidth="1"/>
    <col min="1564" max="1812" width="8.875" style="6"/>
    <col min="1813" max="1813" width="12" style="6" customWidth="1"/>
    <col min="1814" max="1814" width="7.125" style="6" customWidth="1"/>
    <col min="1815" max="1815" width="8.875" style="6"/>
    <col min="1816" max="1816" width="16" style="6" customWidth="1"/>
    <col min="1817" max="1817" width="13.75" style="6" customWidth="1"/>
    <col min="1818" max="1819" width="9.75" style="6" customWidth="1"/>
    <col min="1820" max="2068" width="8.875" style="6"/>
    <col min="2069" max="2069" width="12" style="6" customWidth="1"/>
    <col min="2070" max="2070" width="7.125" style="6" customWidth="1"/>
    <col min="2071" max="2071" width="8.875" style="6"/>
    <col min="2072" max="2072" width="16" style="6" customWidth="1"/>
    <col min="2073" max="2073" width="13.75" style="6" customWidth="1"/>
    <col min="2074" max="2075" width="9.75" style="6" customWidth="1"/>
    <col min="2076" max="2324" width="8.875" style="6"/>
    <col min="2325" max="2325" width="12" style="6" customWidth="1"/>
    <col min="2326" max="2326" width="7.125" style="6" customWidth="1"/>
    <col min="2327" max="2327" width="8.875" style="6"/>
    <col min="2328" max="2328" width="16" style="6" customWidth="1"/>
    <col min="2329" max="2329" width="13.75" style="6" customWidth="1"/>
    <col min="2330" max="2331" width="9.75" style="6" customWidth="1"/>
    <col min="2332" max="2580" width="8.875" style="6"/>
    <col min="2581" max="2581" width="12" style="6" customWidth="1"/>
    <col min="2582" max="2582" width="7.125" style="6" customWidth="1"/>
    <col min="2583" max="2583" width="8.875" style="6"/>
    <col min="2584" max="2584" width="16" style="6" customWidth="1"/>
    <col min="2585" max="2585" width="13.75" style="6" customWidth="1"/>
    <col min="2586" max="2587" width="9.75" style="6" customWidth="1"/>
    <col min="2588" max="2836" width="8.875" style="6"/>
    <col min="2837" max="2837" width="12" style="6" customWidth="1"/>
    <col min="2838" max="2838" width="7.125" style="6" customWidth="1"/>
    <col min="2839" max="2839" width="8.875" style="6"/>
    <col min="2840" max="2840" width="16" style="6" customWidth="1"/>
    <col min="2841" max="2841" width="13.75" style="6" customWidth="1"/>
    <col min="2842" max="2843" width="9.75" style="6" customWidth="1"/>
    <col min="2844" max="3092" width="8.875" style="6"/>
    <col min="3093" max="3093" width="12" style="6" customWidth="1"/>
    <col min="3094" max="3094" width="7.125" style="6" customWidth="1"/>
    <col min="3095" max="3095" width="8.875" style="6"/>
    <col min="3096" max="3096" width="16" style="6" customWidth="1"/>
    <col min="3097" max="3097" width="13.75" style="6" customWidth="1"/>
    <col min="3098" max="3099" width="9.75" style="6" customWidth="1"/>
    <col min="3100" max="3348" width="8.875" style="6"/>
    <col min="3349" max="3349" width="12" style="6" customWidth="1"/>
    <col min="3350" max="3350" width="7.125" style="6" customWidth="1"/>
    <col min="3351" max="3351" width="8.875" style="6"/>
    <col min="3352" max="3352" width="16" style="6" customWidth="1"/>
    <col min="3353" max="3353" width="13.75" style="6" customWidth="1"/>
    <col min="3354" max="3355" width="9.75" style="6" customWidth="1"/>
    <col min="3356" max="3604" width="8.875" style="6"/>
    <col min="3605" max="3605" width="12" style="6" customWidth="1"/>
    <col min="3606" max="3606" width="7.125" style="6" customWidth="1"/>
    <col min="3607" max="3607" width="8.875" style="6"/>
    <col min="3608" max="3608" width="16" style="6" customWidth="1"/>
    <col min="3609" max="3609" width="13.75" style="6" customWidth="1"/>
    <col min="3610" max="3611" width="9.75" style="6" customWidth="1"/>
    <col min="3612" max="3860" width="8.875" style="6"/>
    <col min="3861" max="3861" width="12" style="6" customWidth="1"/>
    <col min="3862" max="3862" width="7.125" style="6" customWidth="1"/>
    <col min="3863" max="3863" width="8.875" style="6"/>
    <col min="3864" max="3864" width="16" style="6" customWidth="1"/>
    <col min="3865" max="3865" width="13.75" style="6" customWidth="1"/>
    <col min="3866" max="3867" width="9.75" style="6" customWidth="1"/>
    <col min="3868" max="4116" width="8.875" style="6"/>
    <col min="4117" max="4117" width="12" style="6" customWidth="1"/>
    <col min="4118" max="4118" width="7.125" style="6" customWidth="1"/>
    <col min="4119" max="4119" width="8.875" style="6"/>
    <col min="4120" max="4120" width="16" style="6" customWidth="1"/>
    <col min="4121" max="4121" width="13.75" style="6" customWidth="1"/>
    <col min="4122" max="4123" width="9.75" style="6" customWidth="1"/>
    <col min="4124" max="4372" width="8.875" style="6"/>
    <col min="4373" max="4373" width="12" style="6" customWidth="1"/>
    <col min="4374" max="4374" width="7.125" style="6" customWidth="1"/>
    <col min="4375" max="4375" width="8.875" style="6"/>
    <col min="4376" max="4376" width="16" style="6" customWidth="1"/>
    <col min="4377" max="4377" width="13.75" style="6" customWidth="1"/>
    <col min="4378" max="4379" width="9.75" style="6" customWidth="1"/>
    <col min="4380" max="4628" width="8.875" style="6"/>
    <col min="4629" max="4629" width="12" style="6" customWidth="1"/>
    <col min="4630" max="4630" width="7.125" style="6" customWidth="1"/>
    <col min="4631" max="4631" width="8.875" style="6"/>
    <col min="4632" max="4632" width="16" style="6" customWidth="1"/>
    <col min="4633" max="4633" width="13.75" style="6" customWidth="1"/>
    <col min="4634" max="4635" width="9.75" style="6" customWidth="1"/>
    <col min="4636" max="4884" width="8.875" style="6"/>
    <col min="4885" max="4885" width="12" style="6" customWidth="1"/>
    <col min="4886" max="4886" width="7.125" style="6" customWidth="1"/>
    <col min="4887" max="4887" width="8.875" style="6"/>
    <col min="4888" max="4888" width="16" style="6" customWidth="1"/>
    <col min="4889" max="4889" width="13.75" style="6" customWidth="1"/>
    <col min="4890" max="4891" width="9.75" style="6" customWidth="1"/>
    <col min="4892" max="5140" width="8.875" style="6"/>
    <col min="5141" max="5141" width="12" style="6" customWidth="1"/>
    <col min="5142" max="5142" width="7.125" style="6" customWidth="1"/>
    <col min="5143" max="5143" width="8.875" style="6"/>
    <col min="5144" max="5144" width="16" style="6" customWidth="1"/>
    <col min="5145" max="5145" width="13.75" style="6" customWidth="1"/>
    <col min="5146" max="5147" width="9.75" style="6" customWidth="1"/>
    <col min="5148" max="5396" width="8.875" style="6"/>
    <col min="5397" max="5397" width="12" style="6" customWidth="1"/>
    <col min="5398" max="5398" width="7.125" style="6" customWidth="1"/>
    <col min="5399" max="5399" width="8.875" style="6"/>
    <col min="5400" max="5400" width="16" style="6" customWidth="1"/>
    <col min="5401" max="5401" width="13.75" style="6" customWidth="1"/>
    <col min="5402" max="5403" width="9.75" style="6" customWidth="1"/>
    <col min="5404" max="5652" width="8.875" style="6"/>
    <col min="5653" max="5653" width="12" style="6" customWidth="1"/>
    <col min="5654" max="5654" width="7.125" style="6" customWidth="1"/>
    <col min="5655" max="5655" width="8.875" style="6"/>
    <col min="5656" max="5656" width="16" style="6" customWidth="1"/>
    <col min="5657" max="5657" width="13.75" style="6" customWidth="1"/>
    <col min="5658" max="5659" width="9.75" style="6" customWidth="1"/>
    <col min="5660" max="5908" width="8.875" style="6"/>
    <col min="5909" max="5909" width="12" style="6" customWidth="1"/>
    <col min="5910" max="5910" width="7.125" style="6" customWidth="1"/>
    <col min="5911" max="5911" width="8.875" style="6"/>
    <col min="5912" max="5912" width="16" style="6" customWidth="1"/>
    <col min="5913" max="5913" width="13.75" style="6" customWidth="1"/>
    <col min="5914" max="5915" width="9.75" style="6" customWidth="1"/>
    <col min="5916" max="6164" width="8.875" style="6"/>
    <col min="6165" max="6165" width="12" style="6" customWidth="1"/>
    <col min="6166" max="6166" width="7.125" style="6" customWidth="1"/>
    <col min="6167" max="6167" width="8.875" style="6"/>
    <col min="6168" max="6168" width="16" style="6" customWidth="1"/>
    <col min="6169" max="6169" width="13.75" style="6" customWidth="1"/>
    <col min="6170" max="6171" width="9.75" style="6" customWidth="1"/>
    <col min="6172" max="6420" width="8.875" style="6"/>
    <col min="6421" max="6421" width="12" style="6" customWidth="1"/>
    <col min="6422" max="6422" width="7.125" style="6" customWidth="1"/>
    <col min="6423" max="6423" width="8.875" style="6"/>
    <col min="6424" max="6424" width="16" style="6" customWidth="1"/>
    <col min="6425" max="6425" width="13.75" style="6" customWidth="1"/>
    <col min="6426" max="6427" width="9.75" style="6" customWidth="1"/>
    <col min="6428" max="6676" width="8.875" style="6"/>
    <col min="6677" max="6677" width="12" style="6" customWidth="1"/>
    <col min="6678" max="6678" width="7.125" style="6" customWidth="1"/>
    <col min="6679" max="6679" width="8.875" style="6"/>
    <col min="6680" max="6680" width="16" style="6" customWidth="1"/>
    <col min="6681" max="6681" width="13.75" style="6" customWidth="1"/>
    <col min="6682" max="6683" width="9.75" style="6" customWidth="1"/>
    <col min="6684" max="6932" width="8.875" style="6"/>
    <col min="6933" max="6933" width="12" style="6" customWidth="1"/>
    <col min="6934" max="6934" width="7.125" style="6" customWidth="1"/>
    <col min="6935" max="6935" width="8.875" style="6"/>
    <col min="6936" max="6936" width="16" style="6" customWidth="1"/>
    <col min="6937" max="6937" width="13.75" style="6" customWidth="1"/>
    <col min="6938" max="6939" width="9.75" style="6" customWidth="1"/>
    <col min="6940" max="7188" width="8.875" style="6"/>
    <col min="7189" max="7189" width="12" style="6" customWidth="1"/>
    <col min="7190" max="7190" width="7.125" style="6" customWidth="1"/>
    <col min="7191" max="7191" width="8.875" style="6"/>
    <col min="7192" max="7192" width="16" style="6" customWidth="1"/>
    <col min="7193" max="7193" width="13.75" style="6" customWidth="1"/>
    <col min="7194" max="7195" width="9.75" style="6" customWidth="1"/>
    <col min="7196" max="7444" width="8.875" style="6"/>
    <col min="7445" max="7445" width="12" style="6" customWidth="1"/>
    <col min="7446" max="7446" width="7.125" style="6" customWidth="1"/>
    <col min="7447" max="7447" width="8.875" style="6"/>
    <col min="7448" max="7448" width="16" style="6" customWidth="1"/>
    <col min="7449" max="7449" width="13.75" style="6" customWidth="1"/>
    <col min="7450" max="7451" width="9.75" style="6" customWidth="1"/>
    <col min="7452" max="7700" width="8.875" style="6"/>
    <col min="7701" max="7701" width="12" style="6" customWidth="1"/>
    <col min="7702" max="7702" width="7.125" style="6" customWidth="1"/>
    <col min="7703" max="7703" width="8.875" style="6"/>
    <col min="7704" max="7704" width="16" style="6" customWidth="1"/>
    <col min="7705" max="7705" width="13.75" style="6" customWidth="1"/>
    <col min="7706" max="7707" width="9.75" style="6" customWidth="1"/>
    <col min="7708" max="7956" width="8.875" style="6"/>
    <col min="7957" max="7957" width="12" style="6" customWidth="1"/>
    <col min="7958" max="7958" width="7.125" style="6" customWidth="1"/>
    <col min="7959" max="7959" width="8.875" style="6"/>
    <col min="7960" max="7960" width="16" style="6" customWidth="1"/>
    <col min="7961" max="7961" width="13.75" style="6" customWidth="1"/>
    <col min="7962" max="7963" width="9.75" style="6" customWidth="1"/>
    <col min="7964" max="8212" width="8.875" style="6"/>
    <col min="8213" max="8213" width="12" style="6" customWidth="1"/>
    <col min="8214" max="8214" width="7.125" style="6" customWidth="1"/>
    <col min="8215" max="8215" width="8.875" style="6"/>
    <col min="8216" max="8216" width="16" style="6" customWidth="1"/>
    <col min="8217" max="8217" width="13.75" style="6" customWidth="1"/>
    <col min="8218" max="8219" width="9.75" style="6" customWidth="1"/>
    <col min="8220" max="8468" width="8.875" style="6"/>
    <col min="8469" max="8469" width="12" style="6" customWidth="1"/>
    <col min="8470" max="8470" width="7.125" style="6" customWidth="1"/>
    <col min="8471" max="8471" width="8.875" style="6"/>
    <col min="8472" max="8472" width="16" style="6" customWidth="1"/>
    <col min="8473" max="8473" width="13.75" style="6" customWidth="1"/>
    <col min="8474" max="8475" width="9.75" style="6" customWidth="1"/>
    <col min="8476" max="8724" width="8.875" style="6"/>
    <col min="8725" max="8725" width="12" style="6" customWidth="1"/>
    <col min="8726" max="8726" width="7.125" style="6" customWidth="1"/>
    <col min="8727" max="8727" width="8.875" style="6"/>
    <col min="8728" max="8728" width="16" style="6" customWidth="1"/>
    <col min="8729" max="8729" width="13.75" style="6" customWidth="1"/>
    <col min="8730" max="8731" width="9.75" style="6" customWidth="1"/>
    <col min="8732" max="8980" width="8.875" style="6"/>
    <col min="8981" max="8981" width="12" style="6" customWidth="1"/>
    <col min="8982" max="8982" width="7.125" style="6" customWidth="1"/>
    <col min="8983" max="8983" width="8.875" style="6"/>
    <col min="8984" max="8984" width="16" style="6" customWidth="1"/>
    <col min="8985" max="8985" width="13.75" style="6" customWidth="1"/>
    <col min="8986" max="8987" width="9.75" style="6" customWidth="1"/>
    <col min="8988" max="9236" width="8.875" style="6"/>
    <col min="9237" max="9237" width="12" style="6" customWidth="1"/>
    <col min="9238" max="9238" width="7.125" style="6" customWidth="1"/>
    <col min="9239" max="9239" width="8.875" style="6"/>
    <col min="9240" max="9240" width="16" style="6" customWidth="1"/>
    <col min="9241" max="9241" width="13.75" style="6" customWidth="1"/>
    <col min="9242" max="9243" width="9.75" style="6" customWidth="1"/>
    <col min="9244" max="9492" width="8.875" style="6"/>
    <col min="9493" max="9493" width="12" style="6" customWidth="1"/>
    <col min="9494" max="9494" width="7.125" style="6" customWidth="1"/>
    <col min="9495" max="9495" width="8.875" style="6"/>
    <col min="9496" max="9496" width="16" style="6" customWidth="1"/>
    <col min="9497" max="9497" width="13.75" style="6" customWidth="1"/>
    <col min="9498" max="9499" width="9.75" style="6" customWidth="1"/>
    <col min="9500" max="9748" width="8.875" style="6"/>
    <col min="9749" max="9749" width="12" style="6" customWidth="1"/>
    <col min="9750" max="9750" width="7.125" style="6" customWidth="1"/>
    <col min="9751" max="9751" width="8.875" style="6"/>
    <col min="9752" max="9752" width="16" style="6" customWidth="1"/>
    <col min="9753" max="9753" width="13.75" style="6" customWidth="1"/>
    <col min="9754" max="9755" width="9.75" style="6" customWidth="1"/>
    <col min="9756" max="10004" width="8.875" style="6"/>
    <col min="10005" max="10005" width="12" style="6" customWidth="1"/>
    <col min="10006" max="10006" width="7.125" style="6" customWidth="1"/>
    <col min="10007" max="10007" width="8.875" style="6"/>
    <col min="10008" max="10008" width="16" style="6" customWidth="1"/>
    <col min="10009" max="10009" width="13.75" style="6" customWidth="1"/>
    <col min="10010" max="10011" width="9.75" style="6" customWidth="1"/>
    <col min="10012" max="10260" width="8.875" style="6"/>
    <col min="10261" max="10261" width="12" style="6" customWidth="1"/>
    <col min="10262" max="10262" width="7.125" style="6" customWidth="1"/>
    <col min="10263" max="10263" width="8.875" style="6"/>
    <col min="10264" max="10264" width="16" style="6" customWidth="1"/>
    <col min="10265" max="10265" width="13.75" style="6" customWidth="1"/>
    <col min="10266" max="10267" width="9.75" style="6" customWidth="1"/>
    <col min="10268" max="10516" width="8.875" style="6"/>
    <col min="10517" max="10517" width="12" style="6" customWidth="1"/>
    <col min="10518" max="10518" width="7.125" style="6" customWidth="1"/>
    <col min="10519" max="10519" width="8.875" style="6"/>
    <col min="10520" max="10520" width="16" style="6" customWidth="1"/>
    <col min="10521" max="10521" width="13.75" style="6" customWidth="1"/>
    <col min="10522" max="10523" width="9.75" style="6" customWidth="1"/>
    <col min="10524" max="10772" width="8.875" style="6"/>
    <col min="10773" max="10773" width="12" style="6" customWidth="1"/>
    <col min="10774" max="10774" width="7.125" style="6" customWidth="1"/>
    <col min="10775" max="10775" width="8.875" style="6"/>
    <col min="10776" max="10776" width="16" style="6" customWidth="1"/>
    <col min="10777" max="10777" width="13.75" style="6" customWidth="1"/>
    <col min="10778" max="10779" width="9.75" style="6" customWidth="1"/>
    <col min="10780" max="11028" width="8.875" style="6"/>
    <col min="11029" max="11029" width="12" style="6" customWidth="1"/>
    <col min="11030" max="11030" width="7.125" style="6" customWidth="1"/>
    <col min="11031" max="11031" width="8.875" style="6"/>
    <col min="11032" max="11032" width="16" style="6" customWidth="1"/>
    <col min="11033" max="11033" width="13.75" style="6" customWidth="1"/>
    <col min="11034" max="11035" width="9.75" style="6" customWidth="1"/>
    <col min="11036" max="11284" width="8.875" style="6"/>
    <col min="11285" max="11285" width="12" style="6" customWidth="1"/>
    <col min="11286" max="11286" width="7.125" style="6" customWidth="1"/>
    <col min="11287" max="11287" width="8.875" style="6"/>
    <col min="11288" max="11288" width="16" style="6" customWidth="1"/>
    <col min="11289" max="11289" width="13.75" style="6" customWidth="1"/>
    <col min="11290" max="11291" width="9.75" style="6" customWidth="1"/>
    <col min="11292" max="11540" width="8.875" style="6"/>
    <col min="11541" max="11541" width="12" style="6" customWidth="1"/>
    <col min="11542" max="11542" width="7.125" style="6" customWidth="1"/>
    <col min="11543" max="11543" width="8.875" style="6"/>
    <col min="11544" max="11544" width="16" style="6" customWidth="1"/>
    <col min="11545" max="11545" width="13.75" style="6" customWidth="1"/>
    <col min="11546" max="11547" width="9.75" style="6" customWidth="1"/>
    <col min="11548" max="11796" width="8.875" style="6"/>
    <col min="11797" max="11797" width="12" style="6" customWidth="1"/>
    <col min="11798" max="11798" width="7.125" style="6" customWidth="1"/>
    <col min="11799" max="11799" width="8.875" style="6"/>
    <col min="11800" max="11800" width="16" style="6" customWidth="1"/>
    <col min="11801" max="11801" width="13.75" style="6" customWidth="1"/>
    <col min="11802" max="11803" width="9.75" style="6" customWidth="1"/>
    <col min="11804" max="12052" width="8.875" style="6"/>
    <col min="12053" max="12053" width="12" style="6" customWidth="1"/>
    <col min="12054" max="12054" width="7.125" style="6" customWidth="1"/>
    <col min="12055" max="12055" width="8.875" style="6"/>
    <col min="12056" max="12056" width="16" style="6" customWidth="1"/>
    <col min="12057" max="12057" width="13.75" style="6" customWidth="1"/>
    <col min="12058" max="12059" width="9.75" style="6" customWidth="1"/>
    <col min="12060" max="12308" width="8.875" style="6"/>
    <col min="12309" max="12309" width="12" style="6" customWidth="1"/>
    <col min="12310" max="12310" width="7.125" style="6" customWidth="1"/>
    <col min="12311" max="12311" width="8.875" style="6"/>
    <col min="12312" max="12312" width="16" style="6" customWidth="1"/>
    <col min="12313" max="12313" width="13.75" style="6" customWidth="1"/>
    <col min="12314" max="12315" width="9.75" style="6" customWidth="1"/>
    <col min="12316" max="12564" width="8.875" style="6"/>
    <col min="12565" max="12565" width="12" style="6" customWidth="1"/>
    <col min="12566" max="12566" width="7.125" style="6" customWidth="1"/>
    <col min="12567" max="12567" width="8.875" style="6"/>
    <col min="12568" max="12568" width="16" style="6" customWidth="1"/>
    <col min="12569" max="12569" width="13.75" style="6" customWidth="1"/>
    <col min="12570" max="12571" width="9.75" style="6" customWidth="1"/>
    <col min="12572" max="12820" width="8.875" style="6"/>
    <col min="12821" max="12821" width="12" style="6" customWidth="1"/>
    <col min="12822" max="12822" width="7.125" style="6" customWidth="1"/>
    <col min="12823" max="12823" width="8.875" style="6"/>
    <col min="12824" max="12824" width="16" style="6" customWidth="1"/>
    <col min="12825" max="12825" width="13.75" style="6" customWidth="1"/>
    <col min="12826" max="12827" width="9.75" style="6" customWidth="1"/>
    <col min="12828" max="13076" width="8.875" style="6"/>
    <col min="13077" max="13077" width="12" style="6" customWidth="1"/>
    <col min="13078" max="13078" width="7.125" style="6" customWidth="1"/>
    <col min="13079" max="13079" width="8.875" style="6"/>
    <col min="13080" max="13080" width="16" style="6" customWidth="1"/>
    <col min="13081" max="13081" width="13.75" style="6" customWidth="1"/>
    <col min="13082" max="13083" width="9.75" style="6" customWidth="1"/>
    <col min="13084" max="13332" width="8.875" style="6"/>
    <col min="13333" max="13333" width="12" style="6" customWidth="1"/>
    <col min="13334" max="13334" width="7.125" style="6" customWidth="1"/>
    <col min="13335" max="13335" width="8.875" style="6"/>
    <col min="13336" max="13336" width="16" style="6" customWidth="1"/>
    <col min="13337" max="13337" width="13.75" style="6" customWidth="1"/>
    <col min="13338" max="13339" width="9.75" style="6" customWidth="1"/>
    <col min="13340" max="13588" width="8.875" style="6"/>
    <col min="13589" max="13589" width="12" style="6" customWidth="1"/>
    <col min="13590" max="13590" width="7.125" style="6" customWidth="1"/>
    <col min="13591" max="13591" width="8.875" style="6"/>
    <col min="13592" max="13592" width="16" style="6" customWidth="1"/>
    <col min="13593" max="13593" width="13.75" style="6" customWidth="1"/>
    <col min="13594" max="13595" width="9.75" style="6" customWidth="1"/>
    <col min="13596" max="13844" width="8.875" style="6"/>
    <col min="13845" max="13845" width="12" style="6" customWidth="1"/>
    <col min="13846" max="13846" width="7.125" style="6" customWidth="1"/>
    <col min="13847" max="13847" width="8.875" style="6"/>
    <col min="13848" max="13848" width="16" style="6" customWidth="1"/>
    <col min="13849" max="13849" width="13.75" style="6" customWidth="1"/>
    <col min="13850" max="13851" width="9.75" style="6" customWidth="1"/>
    <col min="13852" max="14100" width="8.875" style="6"/>
    <col min="14101" max="14101" width="12" style="6" customWidth="1"/>
    <col min="14102" max="14102" width="7.125" style="6" customWidth="1"/>
    <col min="14103" max="14103" width="8.875" style="6"/>
    <col min="14104" max="14104" width="16" style="6" customWidth="1"/>
    <col min="14105" max="14105" width="13.75" style="6" customWidth="1"/>
    <col min="14106" max="14107" width="9.75" style="6" customWidth="1"/>
    <col min="14108" max="14356" width="8.875" style="6"/>
    <col min="14357" max="14357" width="12" style="6" customWidth="1"/>
    <col min="14358" max="14358" width="7.125" style="6" customWidth="1"/>
    <col min="14359" max="14359" width="8.875" style="6"/>
    <col min="14360" max="14360" width="16" style="6" customWidth="1"/>
    <col min="14361" max="14361" width="13.75" style="6" customWidth="1"/>
    <col min="14362" max="14363" width="9.75" style="6" customWidth="1"/>
    <col min="14364" max="14612" width="8.875" style="6"/>
    <col min="14613" max="14613" width="12" style="6" customWidth="1"/>
    <col min="14614" max="14614" width="7.125" style="6" customWidth="1"/>
    <col min="14615" max="14615" width="8.875" style="6"/>
    <col min="14616" max="14616" width="16" style="6" customWidth="1"/>
    <col min="14617" max="14617" width="13.75" style="6" customWidth="1"/>
    <col min="14618" max="14619" width="9.75" style="6" customWidth="1"/>
    <col min="14620" max="14868" width="8.875" style="6"/>
    <col min="14869" max="14869" width="12" style="6" customWidth="1"/>
    <col min="14870" max="14870" width="7.125" style="6" customWidth="1"/>
    <col min="14871" max="14871" width="8.875" style="6"/>
    <col min="14872" max="14872" width="16" style="6" customWidth="1"/>
    <col min="14873" max="14873" width="13.75" style="6" customWidth="1"/>
    <col min="14874" max="14875" width="9.75" style="6" customWidth="1"/>
    <col min="14876" max="15124" width="8.875" style="6"/>
    <col min="15125" max="15125" width="12" style="6" customWidth="1"/>
    <col min="15126" max="15126" width="7.125" style="6" customWidth="1"/>
    <col min="15127" max="15127" width="8.875" style="6"/>
    <col min="15128" max="15128" width="16" style="6" customWidth="1"/>
    <col min="15129" max="15129" width="13.75" style="6" customWidth="1"/>
    <col min="15130" max="15131" width="9.75" style="6" customWidth="1"/>
    <col min="15132" max="15380" width="8.875" style="6"/>
    <col min="15381" max="15381" width="12" style="6" customWidth="1"/>
    <col min="15382" max="15382" width="7.125" style="6" customWidth="1"/>
    <col min="15383" max="15383" width="8.875" style="6"/>
    <col min="15384" max="15384" width="16" style="6" customWidth="1"/>
    <col min="15385" max="15385" width="13.75" style="6" customWidth="1"/>
    <col min="15386" max="15387" width="9.75" style="6" customWidth="1"/>
    <col min="15388" max="15636" width="8.875" style="6"/>
    <col min="15637" max="15637" width="12" style="6" customWidth="1"/>
    <col min="15638" max="15638" width="7.125" style="6" customWidth="1"/>
    <col min="15639" max="15639" width="8.875" style="6"/>
    <col min="15640" max="15640" width="16" style="6" customWidth="1"/>
    <col min="15641" max="15641" width="13.75" style="6" customWidth="1"/>
    <col min="15642" max="15643" width="9.75" style="6" customWidth="1"/>
    <col min="15644" max="15892" width="8.875" style="6"/>
    <col min="15893" max="15893" width="12" style="6" customWidth="1"/>
    <col min="15894" max="15894" width="7.125" style="6" customWidth="1"/>
    <col min="15895" max="15895" width="8.875" style="6"/>
    <col min="15896" max="15896" width="16" style="6" customWidth="1"/>
    <col min="15897" max="15897" width="13.75" style="6" customWidth="1"/>
    <col min="15898" max="15899" width="9.75" style="6" customWidth="1"/>
    <col min="15900" max="16148" width="8.875" style="6"/>
    <col min="16149" max="16149" width="12" style="6" customWidth="1"/>
    <col min="16150" max="16150" width="7.125" style="6" customWidth="1"/>
    <col min="16151" max="16151" width="8.875" style="6"/>
    <col min="16152" max="16152" width="16" style="6" customWidth="1"/>
    <col min="16153" max="16153" width="13.75" style="6" customWidth="1"/>
    <col min="16154" max="16155" width="9.75" style="6" customWidth="1"/>
    <col min="16156" max="16384" width="8.875" style="6"/>
  </cols>
  <sheetData>
    <row r="1" spans="1:33" s="2" customFormat="1" ht="23.25" customHeight="1" thickBot="1">
      <c r="A1" s="1" t="e">
        <f>IF(SUM(2:2)=0,"OK","NOK")</f>
        <v>#DIV/0!</v>
      </c>
      <c r="F1" s="43" t="s">
        <v>4960</v>
      </c>
      <c r="G1" s="1085" t="s">
        <v>355</v>
      </c>
      <c r="H1" s="1086"/>
      <c r="I1" s="1085" t="s">
        <v>356</v>
      </c>
      <c r="J1" s="1086"/>
      <c r="K1" s="1085" t="s">
        <v>358</v>
      </c>
      <c r="L1" s="1086"/>
      <c r="M1" s="1085" t="s">
        <v>357</v>
      </c>
      <c r="N1" s="1086"/>
      <c r="O1" s="1085" t="s">
        <v>4967</v>
      </c>
      <c r="P1" s="1086"/>
      <c r="Q1" s="1085" t="s">
        <v>4968</v>
      </c>
      <c r="R1" s="1086"/>
      <c r="S1" s="1085" t="s">
        <v>4969</v>
      </c>
      <c r="T1" s="1086"/>
      <c r="U1" s="1085" t="s">
        <v>4970</v>
      </c>
      <c r="V1" s="1086"/>
      <c r="W1" s="1085" t="s">
        <v>8272</v>
      </c>
      <c r="X1" s="1086"/>
      <c r="Y1" s="1085" t="s">
        <v>8273</v>
      </c>
      <c r="Z1" s="1086"/>
      <c r="AA1" s="1085" t="s">
        <v>8289</v>
      </c>
      <c r="AB1" s="1086"/>
      <c r="AC1" s="44"/>
      <c r="AD1" s="48" t="s">
        <v>10</v>
      </c>
    </row>
    <row r="2" spans="1:33" ht="13.5" thickBot="1">
      <c r="A2" s="3"/>
      <c r="B2" s="3"/>
      <c r="C2" s="3"/>
      <c r="D2" s="3"/>
      <c r="E2" s="3"/>
      <c r="F2" s="2"/>
      <c r="G2" s="4" t="s">
        <v>0</v>
      </c>
      <c r="H2" s="5">
        <f>SUMX2MY2(G5:G5000,H5:H5000)</f>
        <v>0</v>
      </c>
      <c r="I2" s="4" t="s">
        <v>0</v>
      </c>
      <c r="J2" s="5">
        <f>SUMX2MY2(I5:I5000,J5:J5000)</f>
        <v>15.472128021092558</v>
      </c>
      <c r="K2" s="4" t="s">
        <v>0</v>
      </c>
      <c r="L2" s="5">
        <f>SUMX2MY2(K5:K5000,L5:L5000)</f>
        <v>0</v>
      </c>
      <c r="M2" s="4" t="s">
        <v>0</v>
      </c>
      <c r="N2" s="5">
        <f>SUMX2MY2(M5:M5000,N5:N5000)</f>
        <v>0</v>
      </c>
      <c r="O2" s="4" t="s">
        <v>0</v>
      </c>
      <c r="P2" s="5">
        <f>SUMX2MY2(O5:O5000,P5:P5000)</f>
        <v>0</v>
      </c>
      <c r="Q2" s="4" t="s">
        <v>0</v>
      </c>
      <c r="R2" s="5">
        <f>SUMX2MY2(Q5:Q5000,R5:R5000)</f>
        <v>0</v>
      </c>
      <c r="S2" s="4" t="s">
        <v>0</v>
      </c>
      <c r="T2" s="5">
        <f>SUMX2MY2(S5:S5000,T5:T5000)</f>
        <v>0</v>
      </c>
      <c r="U2" s="4" t="s">
        <v>0</v>
      </c>
      <c r="V2" s="5">
        <f>SUMX2MY2(U5:U5000,V5:V5000)</f>
        <v>0</v>
      </c>
      <c r="W2" s="4" t="s">
        <v>0</v>
      </c>
      <c r="X2" s="5" t="e">
        <f>SUMX2MY2(W5:W5000,X5:X5000)</f>
        <v>#DIV/0!</v>
      </c>
      <c r="Y2" s="552" t="s">
        <v>0</v>
      </c>
      <c r="Z2" s="183" t="e">
        <f>SUMX2MY2(Y5:Y5000,Z5:Z5000)</f>
        <v>#DIV/0!</v>
      </c>
      <c r="AA2" s="567" t="s">
        <v>0</v>
      </c>
      <c r="AB2" s="183">
        <f>SUMX2MY2(AA5:AA5000,AB5:AB5000)</f>
        <v>2.2124011286869063</v>
      </c>
    </row>
    <row r="3" spans="1:33" ht="27.75" customHeight="1">
      <c r="A3" s="35" t="s">
        <v>1</v>
      </c>
      <c r="B3" s="36" t="s">
        <v>2</v>
      </c>
      <c r="C3" s="36" t="s">
        <v>3</v>
      </c>
      <c r="D3" s="36" t="s">
        <v>4</v>
      </c>
      <c r="E3" s="1087" t="s">
        <v>7</v>
      </c>
      <c r="F3" s="1088"/>
      <c r="G3" s="7" t="s">
        <v>5</v>
      </c>
      <c r="H3" s="8" t="s">
        <v>6</v>
      </c>
      <c r="I3" s="7" t="s">
        <v>5</v>
      </c>
      <c r="J3" s="8" t="s">
        <v>6</v>
      </c>
      <c r="K3" s="7" t="s">
        <v>5</v>
      </c>
      <c r="L3" s="8" t="s">
        <v>6</v>
      </c>
      <c r="M3" s="7" t="s">
        <v>5</v>
      </c>
      <c r="N3" s="8" t="s">
        <v>6</v>
      </c>
      <c r="O3" s="7" t="s">
        <v>5</v>
      </c>
      <c r="P3" s="8" t="s">
        <v>6</v>
      </c>
      <c r="Q3" s="7" t="s">
        <v>5</v>
      </c>
      <c r="R3" s="8" t="s">
        <v>6</v>
      </c>
      <c r="S3" s="7" t="s">
        <v>5</v>
      </c>
      <c r="T3" s="8" t="s">
        <v>6</v>
      </c>
      <c r="U3" s="7" t="s">
        <v>5</v>
      </c>
      <c r="V3" s="8" t="s">
        <v>6</v>
      </c>
      <c r="W3" s="7" t="s">
        <v>5</v>
      </c>
      <c r="X3" s="8" t="s">
        <v>6</v>
      </c>
      <c r="Y3" s="553" t="s">
        <v>5</v>
      </c>
      <c r="Z3" s="554" t="s">
        <v>6</v>
      </c>
      <c r="AA3" s="568" t="s">
        <v>5</v>
      </c>
      <c r="AB3" s="569" t="s">
        <v>6</v>
      </c>
    </row>
    <row r="4" spans="1:33" ht="15.75" customHeight="1" thickBot="1">
      <c r="A4" s="34"/>
      <c r="B4" s="33"/>
      <c r="C4" s="33"/>
      <c r="D4" s="33"/>
      <c r="E4" s="41" t="s">
        <v>9</v>
      </c>
      <c r="F4" s="42" t="s">
        <v>8</v>
      </c>
      <c r="G4" s="38">
        <v>0</v>
      </c>
      <c r="H4" s="39">
        <v>0</v>
      </c>
      <c r="I4" s="38">
        <v>0</v>
      </c>
      <c r="J4" s="39">
        <v>0</v>
      </c>
      <c r="K4" s="38">
        <v>0</v>
      </c>
      <c r="L4" s="39">
        <v>0</v>
      </c>
      <c r="M4" s="38">
        <v>0</v>
      </c>
      <c r="N4" s="39">
        <v>0</v>
      </c>
      <c r="O4" s="38">
        <v>0</v>
      </c>
      <c r="P4" s="39">
        <v>0</v>
      </c>
      <c r="Q4" s="38">
        <v>0</v>
      </c>
      <c r="R4" s="39">
        <v>0</v>
      </c>
      <c r="S4" s="38">
        <v>0</v>
      </c>
      <c r="T4" s="39">
        <v>0</v>
      </c>
      <c r="U4" s="38">
        <v>0</v>
      </c>
      <c r="V4" s="39">
        <v>0</v>
      </c>
      <c r="W4" s="38">
        <v>0</v>
      </c>
      <c r="X4" s="39">
        <v>0</v>
      </c>
      <c r="Y4" s="562">
        <v>0</v>
      </c>
      <c r="Z4" s="563">
        <v>0</v>
      </c>
      <c r="AA4" s="575">
        <v>0</v>
      </c>
      <c r="AB4" s="576">
        <v>0</v>
      </c>
      <c r="AD4" s="828" t="s">
        <v>10518</v>
      </c>
      <c r="AE4" s="829" t="s">
        <v>10519</v>
      </c>
      <c r="AF4" s="829" t="s">
        <v>10520</v>
      </c>
      <c r="AG4" s="835" t="s">
        <v>10521</v>
      </c>
    </row>
    <row r="5" spans="1:33">
      <c r="A5" s="201" t="str">
        <f>VLOOKUP($F5,Drum_from_BP!$J:$M,2,0)</f>
        <v>DZ2102-Win.pdf; 0002-05-21-0011.tif</v>
      </c>
      <c r="B5" s="612"/>
      <c r="C5" s="489"/>
      <c r="D5" s="599"/>
      <c r="E5" s="609"/>
      <c r="F5" s="556" t="s">
        <v>7779</v>
      </c>
      <c r="G5" s="783">
        <v>4.5999999999999996</v>
      </c>
      <c r="H5" s="460">
        <f>VLOOKUP($F5,Drum_from_BP!$J:$M,4,0)</f>
        <v>4.5999999999999996</v>
      </c>
      <c r="I5" s="853">
        <v>17.716000000000001</v>
      </c>
      <c r="J5" s="460">
        <f>AG5</f>
        <v>17.716394387599632</v>
      </c>
      <c r="K5" s="783">
        <v>1</v>
      </c>
      <c r="L5" s="460">
        <v>1</v>
      </c>
      <c r="M5" s="783">
        <v>2</v>
      </c>
      <c r="N5" s="460">
        <v>2</v>
      </c>
      <c r="O5" s="783">
        <v>-2</v>
      </c>
      <c r="P5" s="13">
        <f t="shared" ref="P5:P10" si="0">-M5</f>
        <v>-2</v>
      </c>
      <c r="Q5" s="783">
        <v>4.5999999999999996</v>
      </c>
      <c r="R5" s="13">
        <f t="shared" ref="R5:R10" si="1">H5</f>
        <v>4.5999999999999996</v>
      </c>
      <c r="S5" s="783">
        <v>-2</v>
      </c>
      <c r="T5" s="460">
        <f t="shared" ref="T5:T10" si="2">P5</f>
        <v>-2</v>
      </c>
      <c r="U5" s="783">
        <v>4.5999999999999996</v>
      </c>
      <c r="V5" s="13">
        <f t="shared" ref="V5:V10" si="3">R5</f>
        <v>4.5999999999999996</v>
      </c>
      <c r="W5" s="783">
        <v>170337.91895497401</v>
      </c>
      <c r="X5" s="13"/>
      <c r="Y5" s="783">
        <v>324.70645198546703</v>
      </c>
      <c r="Z5" s="460"/>
      <c r="AA5" s="783">
        <v>295.99344566258702</v>
      </c>
      <c r="AB5" s="460">
        <v>296</v>
      </c>
      <c r="AD5" s="832">
        <v>296</v>
      </c>
      <c r="AE5" s="831">
        <v>4.5999999999999996</v>
      </c>
      <c r="AF5" s="831">
        <v>16.8</v>
      </c>
      <c r="AG5" s="835">
        <f>(AD5-PI()*L5*L5/4*N5)*4/PI()/AE5/AE5</f>
        <v>17.716394387599632</v>
      </c>
    </row>
    <row r="6" spans="1:33">
      <c r="A6" s="201" t="str">
        <f>VLOOKUP($F6,Drum_from_BP!$J:$M,2,0)</f>
        <v>0002-05-11-0024.tif</v>
      </c>
      <c r="B6" s="446"/>
      <c r="C6" s="489"/>
      <c r="D6" s="412"/>
      <c r="E6" s="412"/>
      <c r="F6" s="414" t="s">
        <v>6255</v>
      </c>
      <c r="G6" s="783">
        <v>2.94</v>
      </c>
      <c r="H6" s="413">
        <f>VLOOKUP($F6,Drum_from_BP!$J:$M,4,0)</f>
        <v>2.94</v>
      </c>
      <c r="I6" s="783">
        <v>11.614000000000001</v>
      </c>
      <c r="J6" s="460">
        <f t="shared" ref="J6:J9" si="4">AG6</f>
        <v>11.613938593218048</v>
      </c>
      <c r="K6" s="783">
        <v>1.1599999999999999</v>
      </c>
      <c r="L6" s="460">
        <f>VLOOKUP($F6,Drum_from_BP!$J:$O,6,0)</f>
        <v>1.1599999999999999</v>
      </c>
      <c r="M6" s="783">
        <v>1</v>
      </c>
      <c r="N6" s="460">
        <f>VLOOKUP($F6,Drum_from_BP!$J:$O,5,0)</f>
        <v>1</v>
      </c>
      <c r="O6" s="783">
        <v>-1</v>
      </c>
      <c r="P6" s="460">
        <f t="shared" si="0"/>
        <v>-1</v>
      </c>
      <c r="Q6" s="783">
        <v>2.94</v>
      </c>
      <c r="R6" s="460">
        <f t="shared" si="1"/>
        <v>2.94</v>
      </c>
      <c r="S6" s="783">
        <v>-1</v>
      </c>
      <c r="T6" s="460">
        <f t="shared" si="2"/>
        <v>-1</v>
      </c>
      <c r="U6" s="783">
        <v>2.94</v>
      </c>
      <c r="V6" s="460">
        <f t="shared" si="3"/>
        <v>2.94</v>
      </c>
      <c r="W6" s="783">
        <v>2809601.0602526902</v>
      </c>
      <c r="X6" s="13"/>
      <c r="Y6" s="783">
        <v>326.28011425017201</v>
      </c>
      <c r="Z6" s="460"/>
      <c r="AA6" s="783">
        <v>79.900416870234196</v>
      </c>
      <c r="AB6" s="460">
        <v>79.900000000000006</v>
      </c>
      <c r="AD6" s="832">
        <v>79.900000000000006</v>
      </c>
      <c r="AE6" s="831">
        <v>2.94</v>
      </c>
      <c r="AF6" s="831">
        <v>11.9</v>
      </c>
      <c r="AG6" s="835">
        <f>(AD6-PI()*L6*L6/4*N6)*4/PI()/AE6/AE6</f>
        <v>11.613938593218048</v>
      </c>
    </row>
    <row r="7" spans="1:33">
      <c r="A7" s="201" t="str">
        <f>VLOOKUP($F7,Drum_from_BP!$J:$M,2,0)</f>
        <v>0107-05-11-10004.tif; 0120-05-11-10018.tif;0120-05-11-10018.tif</v>
      </c>
      <c r="B7" s="446"/>
      <c r="C7" s="489"/>
      <c r="D7" s="412"/>
      <c r="E7" s="412"/>
      <c r="F7" s="414" t="s">
        <v>515</v>
      </c>
      <c r="G7" s="783">
        <v>3.05</v>
      </c>
      <c r="H7" s="413">
        <f>VLOOKUP($F7,Drum_from_BP!$J:$M,4,0)</f>
        <v>3.05</v>
      </c>
      <c r="I7" s="783">
        <v>11.723000000000001</v>
      </c>
      <c r="J7" s="460">
        <f t="shared" si="4"/>
        <v>11.72341117796422</v>
      </c>
      <c r="K7" s="783">
        <v>1.04</v>
      </c>
      <c r="L7" s="460">
        <f>VLOOKUP($F7,Drum_from_BP!$J:$O,6,0)</f>
        <v>1.04</v>
      </c>
      <c r="M7" s="783">
        <v>1.35</v>
      </c>
      <c r="N7" s="460">
        <f>VLOOKUP($F7,Drum_from_BP!$J:$O,5,0)</f>
        <v>1.35</v>
      </c>
      <c r="O7" s="783">
        <v>-1.35</v>
      </c>
      <c r="P7" s="460">
        <f t="shared" si="0"/>
        <v>-1.35</v>
      </c>
      <c r="Q7" s="783">
        <v>3.05</v>
      </c>
      <c r="R7" s="460">
        <f t="shared" si="1"/>
        <v>3.05</v>
      </c>
      <c r="S7" s="783">
        <v>-1.35</v>
      </c>
      <c r="T7" s="460">
        <f t="shared" si="2"/>
        <v>-1.35</v>
      </c>
      <c r="U7" s="783">
        <v>3.05</v>
      </c>
      <c r="V7" s="460">
        <f t="shared" si="3"/>
        <v>3.05</v>
      </c>
      <c r="W7" s="783">
        <v>765197.74174693599</v>
      </c>
      <c r="X7" s="13"/>
      <c r="Y7" s="783">
        <v>326.895648925876</v>
      </c>
      <c r="Z7" s="460"/>
      <c r="AA7" s="783">
        <v>86.796995865373006</v>
      </c>
      <c r="AB7" s="460">
        <v>86.8</v>
      </c>
      <c r="AD7" s="832">
        <v>86.8</v>
      </c>
      <c r="AE7" s="831">
        <v>3.05</v>
      </c>
      <c r="AF7" s="831">
        <v>11.9</v>
      </c>
      <c r="AG7" s="835">
        <f t="shared" ref="AG7:AG8" si="5">(AD7-PI()*L7*L7/4*N7)*4/PI()/AE7/AE7</f>
        <v>11.72341117796422</v>
      </c>
    </row>
    <row r="8" spans="1:33">
      <c r="A8" s="201" t="str">
        <f>VLOOKUP($F8,Drum_from_BP!$J:$M,2,0)</f>
        <v>0107-05-22-0000.tif</v>
      </c>
      <c r="B8" s="722"/>
      <c r="C8" s="717"/>
      <c r="D8" s="17"/>
      <c r="E8" s="609"/>
      <c r="F8" s="465" t="s">
        <v>8271</v>
      </c>
      <c r="G8" s="783">
        <v>2.5030000000000001</v>
      </c>
      <c r="H8" s="460">
        <f>VLOOKUP($F8,Drum_from_BP!$J:$M,4,0)</f>
        <v>2.5030000000000001</v>
      </c>
      <c r="I8" s="783">
        <v>9.8260000000000005</v>
      </c>
      <c r="J8" s="460">
        <f t="shared" si="4"/>
        <v>9.8263491446863718</v>
      </c>
      <c r="K8" s="783">
        <v>0.6</v>
      </c>
      <c r="L8" s="460">
        <f>VLOOKUP($F8,Drum_from_BP!$J:$O,6,0)</f>
        <v>0.6</v>
      </c>
      <c r="M8" s="783">
        <v>1.2350000000000001</v>
      </c>
      <c r="N8" s="460">
        <f>VLOOKUP($F8,Drum_from_BP!$J:$O,5,0)</f>
        <v>1.2350000000000001</v>
      </c>
      <c r="O8" s="783">
        <v>-1.2350000000000001</v>
      </c>
      <c r="P8" s="460">
        <f t="shared" si="0"/>
        <v>-1.2350000000000001</v>
      </c>
      <c r="Q8" s="783">
        <v>2.5030000000000001</v>
      </c>
      <c r="R8" s="460">
        <f t="shared" si="1"/>
        <v>2.5030000000000001</v>
      </c>
      <c r="S8" s="783">
        <v>-1.2350000000000001</v>
      </c>
      <c r="T8" s="460">
        <f t="shared" si="2"/>
        <v>-1.2350000000000001</v>
      </c>
      <c r="U8" s="783">
        <v>2.5030000000000001</v>
      </c>
      <c r="V8" s="460">
        <f t="shared" si="3"/>
        <v>2.5030000000000001</v>
      </c>
      <c r="W8" s="783">
        <v>916548.72802252602</v>
      </c>
      <c r="X8" s="460"/>
      <c r="Y8" s="783">
        <v>315.02708577849</v>
      </c>
      <c r="Z8" s="460"/>
      <c r="AA8" s="783">
        <v>48.6982820242998</v>
      </c>
      <c r="AB8" s="460">
        <v>48.7</v>
      </c>
      <c r="AD8" s="832">
        <v>48.7</v>
      </c>
      <c r="AE8" s="831">
        <v>2.5030000000000001</v>
      </c>
      <c r="AF8" s="831">
        <v>9.35</v>
      </c>
      <c r="AG8" s="835">
        <f t="shared" si="5"/>
        <v>9.8263491446863718</v>
      </c>
    </row>
    <row r="9" spans="1:33">
      <c r="A9" s="201" t="str">
        <f>VLOOKUP($F9,Drum_from_BP!$J:$M,2,0)</f>
        <v>0002-05-22-0019.tif</v>
      </c>
      <c r="B9" s="446"/>
      <c r="C9" s="489"/>
      <c r="D9" s="12"/>
      <c r="E9" s="609"/>
      <c r="F9" s="465" t="s">
        <v>6250</v>
      </c>
      <c r="G9" s="783">
        <v>3.7</v>
      </c>
      <c r="H9" s="13">
        <f>VLOOKUP($F9,Drum_from_BP!$J:$M,4,0)</f>
        <v>3.7</v>
      </c>
      <c r="I9" s="783">
        <v>14.509</v>
      </c>
      <c r="J9" s="460">
        <f t="shared" si="4"/>
        <v>14.508792474703094</v>
      </c>
      <c r="K9" s="783">
        <v>0.75</v>
      </c>
      <c r="L9" s="13">
        <v>0.75</v>
      </c>
      <c r="M9" s="783">
        <v>0</v>
      </c>
      <c r="N9" s="460">
        <f>VLOOKUP($F9,Drum_from_BP!$J:$O,5,0)</f>
        <v>0</v>
      </c>
      <c r="O9" s="783">
        <v>0</v>
      </c>
      <c r="P9" s="460">
        <f t="shared" si="0"/>
        <v>0</v>
      </c>
      <c r="Q9" s="783">
        <v>3.7</v>
      </c>
      <c r="R9" s="460">
        <f t="shared" si="1"/>
        <v>3.7</v>
      </c>
      <c r="S9" s="783">
        <v>0</v>
      </c>
      <c r="T9" s="460">
        <f t="shared" si="2"/>
        <v>0</v>
      </c>
      <c r="U9" s="783">
        <v>3.7</v>
      </c>
      <c r="V9" s="460">
        <f t="shared" si="3"/>
        <v>3.7</v>
      </c>
      <c r="W9" s="783">
        <v>166309.98841083801</v>
      </c>
      <c r="X9" s="13"/>
      <c r="Y9" s="783">
        <v>335.61474306897799</v>
      </c>
      <c r="Z9" s="460"/>
      <c r="AA9" s="783">
        <v>156.00223133293301</v>
      </c>
      <c r="AB9" s="460">
        <v>156</v>
      </c>
      <c r="AD9" s="832">
        <v>156</v>
      </c>
      <c r="AE9" s="831">
        <v>3.7</v>
      </c>
      <c r="AF9" s="831">
        <v>13.75</v>
      </c>
      <c r="AG9" s="835">
        <f t="shared" ref="AG9:AG10" si="6">AD9*4/PI()/AE9/AE9</f>
        <v>14.508792474703094</v>
      </c>
    </row>
    <row r="10" spans="1:33">
      <c r="A10" s="201" t="str">
        <f>VLOOKUP($F10,Drum_from_BP!$J:$M,2,0)</f>
        <v>0120-05-10-10007.tif</v>
      </c>
      <c r="B10" s="612"/>
      <c r="C10" s="613"/>
      <c r="D10" s="17"/>
      <c r="E10" s="609"/>
      <c r="F10" s="465" t="s">
        <v>8270</v>
      </c>
      <c r="G10" s="783">
        <v>5.65</v>
      </c>
      <c r="H10" s="460">
        <f>VLOOKUP($F10,Drum_from_BP!$J:$M,4,0)</f>
        <v>5.65</v>
      </c>
      <c r="I10" s="783">
        <v>11.965999999999999</v>
      </c>
      <c r="J10" s="460">
        <f>VLOOKUP($F10,Drum_from_BP!$J:$M,3,0)</f>
        <v>11.3</v>
      </c>
      <c r="K10" s="783">
        <v>0.75</v>
      </c>
      <c r="L10" s="460">
        <v>0.75</v>
      </c>
      <c r="M10" s="783">
        <v>0</v>
      </c>
      <c r="N10" s="460">
        <f>VLOOKUP($F10,Drum_from_BP!$J:$O,5,0)</f>
        <v>0</v>
      </c>
      <c r="O10" s="783">
        <v>0</v>
      </c>
      <c r="P10" s="460">
        <f t="shared" si="0"/>
        <v>0</v>
      </c>
      <c r="Q10" s="783">
        <v>5.65</v>
      </c>
      <c r="R10" s="460">
        <f t="shared" si="1"/>
        <v>5.65</v>
      </c>
      <c r="S10" s="783">
        <v>0</v>
      </c>
      <c r="T10" s="460">
        <f t="shared" si="2"/>
        <v>0</v>
      </c>
      <c r="U10" s="783">
        <v>5.65</v>
      </c>
      <c r="V10" s="460">
        <f t="shared" si="3"/>
        <v>5.65</v>
      </c>
      <c r="W10" s="783">
        <v>111350.44789682901</v>
      </c>
      <c r="X10" s="460"/>
      <c r="Y10" s="783">
        <v>338.028577239193</v>
      </c>
      <c r="Z10" s="460"/>
      <c r="AA10" s="783">
        <v>300.01003077506402</v>
      </c>
      <c r="AB10" s="460">
        <v>300</v>
      </c>
      <c r="AD10" s="832">
        <v>300</v>
      </c>
      <c r="AE10" s="831">
        <v>5.65</v>
      </c>
      <c r="AF10" s="831">
        <v>11.3</v>
      </c>
      <c r="AG10" s="835">
        <f t="shared" si="6"/>
        <v>11.965599919196451</v>
      </c>
    </row>
    <row r="11" spans="1:33">
      <c r="A11" s="14"/>
      <c r="B11" s="15"/>
      <c r="C11" s="16"/>
      <c r="D11" s="17"/>
      <c r="E11" s="12"/>
      <c r="F11" s="610"/>
      <c r="G11" s="557"/>
      <c r="H11" s="460"/>
      <c r="I11" s="557"/>
      <c r="J11" s="460"/>
      <c r="K11" s="557"/>
      <c r="L11" s="460"/>
      <c r="M11" s="557"/>
      <c r="N11" s="460"/>
      <c r="O11" s="557"/>
      <c r="P11" s="460"/>
      <c r="Q11" s="557"/>
      <c r="R11" s="460"/>
      <c r="S11" s="557"/>
      <c r="T11" s="460"/>
      <c r="U11" s="557"/>
      <c r="V11" s="460"/>
      <c r="W11" s="557"/>
      <c r="X11" s="460"/>
      <c r="Y11" s="557"/>
      <c r="Z11" s="460"/>
      <c r="AA11" s="783"/>
      <c r="AB11" s="460"/>
    </row>
    <row r="12" spans="1:33">
      <c r="A12" s="14"/>
      <c r="B12" s="15"/>
      <c r="C12" s="16"/>
      <c r="D12" s="17"/>
      <c r="E12" s="12"/>
      <c r="F12" s="18"/>
      <c r="G12" s="19"/>
      <c r="H12" s="13"/>
      <c r="I12" s="19"/>
      <c r="J12" s="13"/>
      <c r="K12" s="19"/>
      <c r="L12" s="13"/>
      <c r="M12" s="19"/>
      <c r="N12" s="13"/>
      <c r="O12" s="19"/>
      <c r="P12" s="13"/>
      <c r="Q12" s="19"/>
      <c r="R12" s="13"/>
      <c r="S12" s="19"/>
      <c r="T12" s="13"/>
      <c r="U12" s="19"/>
      <c r="V12" s="13"/>
      <c r="W12" s="19"/>
      <c r="X12" s="13"/>
      <c r="Y12" s="557"/>
      <c r="Z12" s="460"/>
      <c r="AA12" s="783"/>
      <c r="AB12" s="460"/>
    </row>
    <row r="13" spans="1:33">
      <c r="A13" s="14"/>
      <c r="B13" s="15"/>
      <c r="C13" s="16"/>
      <c r="D13" s="17"/>
      <c r="E13" s="12"/>
      <c r="F13" s="18"/>
      <c r="G13" s="19"/>
      <c r="H13" s="13"/>
      <c r="I13" s="19"/>
      <c r="J13" s="13"/>
      <c r="K13" s="19"/>
      <c r="L13" s="13"/>
      <c r="M13" s="19"/>
      <c r="N13" s="13"/>
      <c r="O13" s="19"/>
      <c r="P13" s="13"/>
      <c r="Q13" s="19"/>
      <c r="R13" s="13"/>
      <c r="S13" s="19"/>
      <c r="T13" s="13"/>
      <c r="U13" s="19"/>
      <c r="V13" s="13"/>
      <c r="W13" s="19"/>
      <c r="X13" s="13"/>
      <c r="Y13" s="557"/>
      <c r="Z13" s="460"/>
      <c r="AA13" s="783"/>
      <c r="AB13" s="460"/>
    </row>
    <row r="14" spans="1:33">
      <c r="A14" s="14"/>
      <c r="B14" s="15"/>
      <c r="C14" s="16"/>
      <c r="D14" s="17"/>
      <c r="E14" s="12"/>
      <c r="F14" s="18"/>
      <c r="G14" s="19"/>
      <c r="H14" s="13"/>
      <c r="I14" s="19"/>
      <c r="J14" s="13"/>
      <c r="K14" s="19"/>
      <c r="L14" s="13"/>
      <c r="M14" s="19"/>
      <c r="N14" s="13"/>
      <c r="O14" s="19"/>
      <c r="P14" s="13"/>
      <c r="Q14" s="19"/>
      <c r="R14" s="13"/>
      <c r="S14" s="19"/>
      <c r="T14" s="13"/>
      <c r="U14" s="19"/>
      <c r="V14" s="13"/>
      <c r="W14" s="19"/>
      <c r="X14" s="13"/>
      <c r="Y14" s="557"/>
      <c r="Z14" s="460"/>
      <c r="AA14" s="783"/>
      <c r="AB14" s="460"/>
    </row>
    <row r="15" spans="1:33">
      <c r="A15" s="14"/>
      <c r="B15" s="15"/>
      <c r="C15" s="16"/>
      <c r="D15" s="17"/>
      <c r="E15" s="12"/>
      <c r="F15" s="18"/>
      <c r="G15" s="19"/>
      <c r="H15" s="13"/>
      <c r="I15" s="19"/>
      <c r="J15" s="13"/>
      <c r="K15" s="19"/>
      <c r="L15" s="13"/>
      <c r="M15" s="19"/>
      <c r="N15" s="13"/>
      <c r="O15" s="19"/>
      <c r="P15" s="13"/>
      <c r="Q15" s="19"/>
      <c r="R15" s="13"/>
      <c r="S15" s="19"/>
      <c r="T15" s="13"/>
      <c r="U15" s="19"/>
      <c r="V15" s="13"/>
      <c r="W15" s="19"/>
      <c r="X15" s="13"/>
      <c r="Y15" s="557"/>
      <c r="Z15" s="460"/>
      <c r="AA15" s="783"/>
      <c r="AB15" s="460"/>
    </row>
    <row r="16" spans="1:33">
      <c r="A16" s="14"/>
      <c r="B16" s="15"/>
      <c r="C16" s="16"/>
      <c r="D16" s="17"/>
      <c r="E16" s="12"/>
      <c r="F16" s="18"/>
      <c r="G16" s="19"/>
      <c r="H16" s="13"/>
      <c r="I16" s="19"/>
      <c r="J16" s="13"/>
      <c r="K16" s="19"/>
      <c r="L16" s="13"/>
      <c r="M16" s="19"/>
      <c r="N16" s="13"/>
      <c r="O16" s="19"/>
      <c r="P16" s="13"/>
      <c r="Q16" s="19"/>
      <c r="R16" s="13"/>
      <c r="S16" s="19"/>
      <c r="T16" s="13"/>
      <c r="U16" s="19"/>
      <c r="V16" s="13"/>
      <c r="W16" s="19"/>
      <c r="X16" s="13"/>
      <c r="Y16" s="557"/>
      <c r="Z16" s="460"/>
      <c r="AA16" s="783"/>
      <c r="AB16" s="460"/>
    </row>
    <row r="17" spans="1:28">
      <c r="A17" s="14"/>
      <c r="B17" s="15"/>
      <c r="C17" s="16"/>
      <c r="D17" s="17"/>
      <c r="E17" s="12"/>
      <c r="F17" s="18"/>
      <c r="G17" s="19"/>
      <c r="H17" s="13"/>
      <c r="I17" s="19"/>
      <c r="J17" s="13"/>
      <c r="K17" s="19"/>
      <c r="L17" s="13"/>
      <c r="M17" s="19"/>
      <c r="N17" s="13"/>
      <c r="O17" s="19"/>
      <c r="P17" s="13"/>
      <c r="Q17" s="19"/>
      <c r="R17" s="13"/>
      <c r="S17" s="19"/>
      <c r="T17" s="13"/>
      <c r="U17" s="19"/>
      <c r="V17" s="13"/>
      <c r="W17" s="19"/>
      <c r="X17" s="13"/>
      <c r="Y17" s="557"/>
      <c r="Z17" s="460"/>
      <c r="AA17" s="783"/>
      <c r="AB17" s="460"/>
    </row>
    <row r="18" spans="1:28">
      <c r="A18" s="14"/>
      <c r="B18" s="15"/>
      <c r="C18" s="16"/>
      <c r="D18" s="17"/>
      <c r="E18" s="12"/>
      <c r="F18" s="18"/>
      <c r="G18" s="19"/>
      <c r="H18" s="13"/>
      <c r="I18" s="19"/>
      <c r="J18" s="13"/>
      <c r="K18" s="19"/>
      <c r="L18" s="13"/>
      <c r="M18" s="19"/>
      <c r="N18" s="13"/>
      <c r="O18" s="19"/>
      <c r="P18" s="13"/>
      <c r="Q18" s="19"/>
      <c r="R18" s="13"/>
      <c r="S18" s="19"/>
      <c r="T18" s="13"/>
      <c r="U18" s="19"/>
      <c r="V18" s="13"/>
      <c r="W18" s="19"/>
      <c r="X18" s="13"/>
      <c r="Y18" s="557"/>
      <c r="Z18" s="460"/>
      <c r="AA18" s="783"/>
      <c r="AB18" s="460"/>
    </row>
    <row r="19" spans="1:28">
      <c r="A19" s="14"/>
      <c r="B19" s="15"/>
      <c r="C19" s="16"/>
      <c r="D19" s="17"/>
      <c r="E19" s="12"/>
      <c r="F19" s="18"/>
      <c r="G19" s="19"/>
      <c r="H19" s="13"/>
      <c r="I19" s="19"/>
      <c r="J19" s="13"/>
      <c r="K19" s="19"/>
      <c r="L19" s="13"/>
      <c r="M19" s="19"/>
      <c r="N19" s="13"/>
      <c r="O19" s="19"/>
      <c r="P19" s="13"/>
      <c r="Q19" s="19"/>
      <c r="R19" s="13"/>
      <c r="S19" s="19"/>
      <c r="T19" s="13"/>
      <c r="U19" s="19"/>
      <c r="V19" s="13"/>
      <c r="W19" s="19"/>
      <c r="X19" s="13"/>
      <c r="Y19" s="557"/>
      <c r="Z19" s="460"/>
      <c r="AA19" s="783"/>
      <c r="AB19" s="460"/>
    </row>
    <row r="20" spans="1:28">
      <c r="A20" s="14"/>
      <c r="B20" s="15"/>
      <c r="C20" s="16"/>
      <c r="D20" s="17"/>
      <c r="E20" s="12"/>
      <c r="F20" s="18"/>
      <c r="G20" s="19"/>
      <c r="H20" s="13"/>
      <c r="I20" s="19"/>
      <c r="J20" s="13"/>
      <c r="K20" s="19"/>
      <c r="L20" s="13"/>
      <c r="M20" s="19"/>
      <c r="N20" s="13"/>
      <c r="O20" s="19"/>
      <c r="P20" s="13"/>
      <c r="Q20" s="19"/>
      <c r="R20" s="13"/>
      <c r="S20" s="19"/>
      <c r="T20" s="13"/>
      <c r="U20" s="19"/>
      <c r="V20" s="13"/>
      <c r="W20" s="19"/>
      <c r="X20" s="13"/>
      <c r="Y20" s="557"/>
      <c r="Z20" s="460"/>
      <c r="AA20" s="783"/>
      <c r="AB20" s="460"/>
    </row>
    <row r="21" spans="1:28">
      <c r="A21" s="14"/>
      <c r="B21" s="15"/>
      <c r="C21" s="16"/>
      <c r="D21" s="17"/>
      <c r="E21" s="12"/>
      <c r="F21" s="18"/>
      <c r="G21" s="19"/>
      <c r="H21" s="13"/>
      <c r="I21" s="19"/>
      <c r="J21" s="13"/>
      <c r="K21" s="19"/>
      <c r="L21" s="13"/>
      <c r="M21" s="19"/>
      <c r="N21" s="13"/>
      <c r="O21" s="19"/>
      <c r="P21" s="13"/>
      <c r="Q21" s="19"/>
      <c r="R21" s="13"/>
      <c r="S21" s="19"/>
      <c r="T21" s="13"/>
      <c r="U21" s="19"/>
      <c r="V21" s="13"/>
      <c r="W21" s="19"/>
      <c r="X21" s="13"/>
      <c r="Y21" s="557"/>
      <c r="Z21" s="460"/>
      <c r="AA21" s="783"/>
      <c r="AB21" s="460"/>
    </row>
    <row r="22" spans="1:28">
      <c r="A22" s="14"/>
      <c r="B22" s="15"/>
      <c r="C22" s="16"/>
      <c r="D22" s="17"/>
      <c r="E22" s="12"/>
      <c r="F22" s="18"/>
      <c r="G22" s="19"/>
      <c r="H22" s="13"/>
      <c r="I22" s="19"/>
      <c r="J22" s="13"/>
      <c r="K22" s="19"/>
      <c r="L22" s="13"/>
      <c r="M22" s="19"/>
      <c r="N22" s="13"/>
      <c r="O22" s="19"/>
      <c r="P22" s="13"/>
      <c r="Q22" s="19"/>
      <c r="R22" s="13"/>
      <c r="S22" s="19"/>
      <c r="T22" s="13"/>
      <c r="U22" s="19"/>
      <c r="V22" s="13"/>
      <c r="W22" s="19"/>
      <c r="X22" s="13"/>
      <c r="Y22" s="557"/>
      <c r="Z22" s="460"/>
      <c r="AA22" s="783"/>
      <c r="AB22" s="460"/>
    </row>
    <row r="23" spans="1:28">
      <c r="A23" s="14"/>
      <c r="B23" s="15"/>
      <c r="C23" s="16"/>
      <c r="D23" s="17"/>
      <c r="E23" s="12"/>
      <c r="F23" s="18"/>
      <c r="G23" s="19"/>
      <c r="H23" s="13"/>
      <c r="I23" s="19"/>
      <c r="J23" s="13"/>
      <c r="K23" s="19"/>
      <c r="L23" s="13"/>
      <c r="M23" s="19"/>
      <c r="N23" s="13"/>
      <c r="O23" s="19"/>
      <c r="P23" s="13"/>
      <c r="Q23" s="19"/>
      <c r="R23" s="13"/>
      <c r="S23" s="19"/>
      <c r="T23" s="13"/>
      <c r="U23" s="19"/>
      <c r="V23" s="13"/>
      <c r="W23" s="19"/>
      <c r="X23" s="13"/>
      <c r="Y23" s="557"/>
      <c r="Z23" s="460"/>
      <c r="AA23" s="783"/>
      <c r="AB23" s="460"/>
    </row>
    <row r="24" spans="1:28">
      <c r="A24" s="14"/>
      <c r="B24" s="15"/>
      <c r="C24" s="16"/>
      <c r="D24" s="17"/>
      <c r="E24" s="12"/>
      <c r="F24" s="18"/>
      <c r="G24" s="19"/>
      <c r="H24" s="13"/>
      <c r="I24" s="19"/>
      <c r="J24" s="13"/>
      <c r="K24" s="19"/>
      <c r="L24" s="13"/>
      <c r="M24" s="19"/>
      <c r="N24" s="13"/>
      <c r="O24" s="19"/>
      <c r="P24" s="13"/>
      <c r="Q24" s="19"/>
      <c r="R24" s="13"/>
      <c r="S24" s="19"/>
      <c r="T24" s="13"/>
      <c r="U24" s="19"/>
      <c r="V24" s="13"/>
      <c r="W24" s="19"/>
      <c r="X24" s="13"/>
      <c r="Y24" s="557"/>
      <c r="Z24" s="460"/>
      <c r="AA24" s="783"/>
      <c r="AB24" s="460"/>
    </row>
    <row r="25" spans="1:28">
      <c r="A25" s="14"/>
      <c r="B25" s="15"/>
      <c r="C25" s="16"/>
      <c r="D25" s="17"/>
      <c r="E25" s="12"/>
      <c r="F25" s="18"/>
      <c r="G25" s="19"/>
      <c r="H25" s="13"/>
      <c r="I25" s="19"/>
      <c r="J25" s="13"/>
      <c r="K25" s="19"/>
      <c r="L25" s="13"/>
      <c r="M25" s="19"/>
      <c r="N25" s="13"/>
      <c r="O25" s="19"/>
      <c r="P25" s="13"/>
      <c r="Q25" s="19"/>
      <c r="R25" s="13"/>
      <c r="S25" s="19"/>
      <c r="T25" s="13"/>
      <c r="U25" s="19"/>
      <c r="V25" s="13"/>
      <c r="W25" s="19"/>
      <c r="X25" s="13"/>
      <c r="Y25" s="557"/>
      <c r="Z25" s="460"/>
      <c r="AA25" s="783"/>
      <c r="AB25" s="460"/>
    </row>
    <row r="26" spans="1:28">
      <c r="A26" s="14"/>
      <c r="B26" s="15"/>
      <c r="C26" s="16"/>
      <c r="D26" s="17"/>
      <c r="E26" s="12"/>
      <c r="F26" s="18"/>
      <c r="G26" s="19"/>
      <c r="H26" s="13"/>
      <c r="I26" s="19"/>
      <c r="J26" s="13"/>
      <c r="K26" s="19"/>
      <c r="L26" s="13"/>
      <c r="M26" s="19"/>
      <c r="N26" s="13"/>
      <c r="O26" s="19"/>
      <c r="P26" s="13"/>
      <c r="Q26" s="19"/>
      <c r="R26" s="13"/>
      <c r="S26" s="19"/>
      <c r="T26" s="13"/>
      <c r="U26" s="19"/>
      <c r="V26" s="13"/>
      <c r="W26" s="19"/>
      <c r="X26" s="13"/>
      <c r="Y26" s="557"/>
      <c r="Z26" s="460"/>
      <c r="AA26" s="783"/>
      <c r="AB26" s="460"/>
    </row>
    <row r="27" spans="1:28">
      <c r="A27" s="14"/>
      <c r="B27" s="15"/>
      <c r="C27" s="16"/>
      <c r="D27" s="17"/>
      <c r="E27" s="12"/>
      <c r="F27" s="18"/>
      <c r="G27" s="19"/>
      <c r="H27" s="13"/>
      <c r="I27" s="19"/>
      <c r="J27" s="13"/>
      <c r="K27" s="19"/>
      <c r="L27" s="13"/>
      <c r="M27" s="19"/>
      <c r="N27" s="13"/>
      <c r="O27" s="19"/>
      <c r="P27" s="13"/>
      <c r="Q27" s="19"/>
      <c r="R27" s="13"/>
      <c r="S27" s="19"/>
      <c r="T27" s="13"/>
      <c r="U27" s="19"/>
      <c r="V27" s="13"/>
      <c r="W27" s="19"/>
      <c r="X27" s="13"/>
      <c r="Y27" s="557"/>
      <c r="Z27" s="460"/>
      <c r="AA27" s="783"/>
      <c r="AB27" s="460"/>
    </row>
    <row r="28" spans="1:28">
      <c r="A28" s="14"/>
      <c r="B28" s="15"/>
      <c r="C28" s="16"/>
      <c r="D28" s="17"/>
      <c r="E28" s="12"/>
      <c r="F28" s="18"/>
      <c r="G28" s="19"/>
      <c r="H28" s="13"/>
      <c r="I28" s="19"/>
      <c r="J28" s="13"/>
      <c r="K28" s="19"/>
      <c r="L28" s="13"/>
      <c r="M28" s="19"/>
      <c r="N28" s="13"/>
      <c r="O28" s="19"/>
      <c r="P28" s="13"/>
      <c r="Q28" s="19"/>
      <c r="R28" s="13"/>
      <c r="S28" s="19"/>
      <c r="T28" s="13"/>
      <c r="U28" s="19"/>
      <c r="V28" s="13"/>
      <c r="W28" s="19"/>
      <c r="X28" s="13"/>
      <c r="Y28" s="557"/>
      <c r="Z28" s="460"/>
      <c r="AA28" s="783"/>
      <c r="AB28" s="460"/>
    </row>
    <row r="29" spans="1:28">
      <c r="A29" s="14"/>
      <c r="B29" s="15"/>
      <c r="C29" s="16"/>
      <c r="D29" s="17"/>
      <c r="E29" s="12"/>
      <c r="F29" s="18"/>
      <c r="G29" s="19"/>
      <c r="H29" s="13"/>
      <c r="I29" s="19"/>
      <c r="J29" s="13"/>
      <c r="K29" s="19"/>
      <c r="L29" s="13"/>
      <c r="M29" s="19"/>
      <c r="N29" s="13"/>
      <c r="O29" s="19"/>
      <c r="P29" s="13"/>
      <c r="Q29" s="19"/>
      <c r="R29" s="13"/>
      <c r="S29" s="19"/>
      <c r="T29" s="13"/>
      <c r="U29" s="19"/>
      <c r="V29" s="13"/>
      <c r="W29" s="19"/>
      <c r="X29" s="13"/>
      <c r="Y29" s="557"/>
      <c r="Z29" s="460"/>
      <c r="AA29" s="783"/>
      <c r="AB29" s="460"/>
    </row>
    <row r="30" spans="1:28">
      <c r="A30" s="14"/>
      <c r="B30" s="15"/>
      <c r="C30" s="16"/>
      <c r="D30" s="17"/>
      <c r="E30" s="12"/>
      <c r="F30" s="18"/>
      <c r="G30" s="19"/>
      <c r="H30" s="13"/>
      <c r="I30" s="19"/>
      <c r="J30" s="13"/>
      <c r="K30" s="19"/>
      <c r="L30" s="13"/>
      <c r="M30" s="19"/>
      <c r="N30" s="13"/>
      <c r="O30" s="19"/>
      <c r="P30" s="13"/>
      <c r="Q30" s="19"/>
      <c r="R30" s="13"/>
      <c r="S30" s="19"/>
      <c r="T30" s="13"/>
      <c r="U30" s="19"/>
      <c r="V30" s="13"/>
      <c r="W30" s="19"/>
      <c r="X30" s="13"/>
      <c r="Y30" s="557"/>
      <c r="Z30" s="460"/>
      <c r="AA30" s="783"/>
      <c r="AB30" s="460"/>
    </row>
    <row r="31" spans="1:28">
      <c r="A31" s="14"/>
      <c r="B31" s="15"/>
      <c r="C31" s="16"/>
      <c r="D31" s="17"/>
      <c r="E31" s="12"/>
      <c r="F31" s="18"/>
      <c r="G31" s="19"/>
      <c r="H31" s="13"/>
      <c r="I31" s="19"/>
      <c r="J31" s="13"/>
      <c r="K31" s="19"/>
      <c r="L31" s="13"/>
      <c r="M31" s="19"/>
      <c r="N31" s="13"/>
      <c r="O31" s="19"/>
      <c r="P31" s="13"/>
      <c r="Q31" s="19"/>
      <c r="R31" s="13"/>
      <c r="S31" s="19"/>
      <c r="T31" s="13"/>
      <c r="U31" s="19"/>
      <c r="V31" s="13"/>
      <c r="W31" s="19"/>
      <c r="X31" s="13"/>
      <c r="Y31" s="557"/>
      <c r="Z31" s="460"/>
      <c r="AA31" s="783"/>
      <c r="AB31" s="460"/>
    </row>
    <row r="32" spans="1:28">
      <c r="A32" s="14"/>
      <c r="B32" s="15"/>
      <c r="C32" s="16"/>
      <c r="D32" s="17"/>
      <c r="E32" s="12"/>
      <c r="F32" s="18"/>
      <c r="G32" s="19"/>
      <c r="H32" s="13"/>
      <c r="I32" s="19"/>
      <c r="J32" s="13"/>
      <c r="K32" s="19"/>
      <c r="L32" s="13"/>
      <c r="M32" s="19"/>
      <c r="N32" s="13"/>
      <c r="O32" s="19"/>
      <c r="P32" s="13"/>
      <c r="Q32" s="19"/>
      <c r="R32" s="13"/>
      <c r="S32" s="19"/>
      <c r="T32" s="13"/>
      <c r="U32" s="19"/>
      <c r="V32" s="13"/>
      <c r="W32" s="19"/>
      <c r="X32" s="13"/>
      <c r="Y32" s="557"/>
      <c r="Z32" s="460"/>
      <c r="AA32" s="783"/>
      <c r="AB32" s="460"/>
    </row>
    <row r="33" spans="1:28">
      <c r="A33" s="14"/>
      <c r="B33" s="15"/>
      <c r="C33" s="16"/>
      <c r="D33" s="17"/>
      <c r="E33" s="12"/>
      <c r="F33" s="18"/>
      <c r="G33" s="19"/>
      <c r="H33" s="13"/>
      <c r="I33" s="19"/>
      <c r="J33" s="13"/>
      <c r="K33" s="19"/>
      <c r="L33" s="13"/>
      <c r="M33" s="19"/>
      <c r="N33" s="13"/>
      <c r="O33" s="19"/>
      <c r="P33" s="13"/>
      <c r="Q33" s="19"/>
      <c r="R33" s="13"/>
      <c r="S33" s="19"/>
      <c r="T33" s="13"/>
      <c r="U33" s="19"/>
      <c r="V33" s="13"/>
      <c r="W33" s="19"/>
      <c r="X33" s="13"/>
      <c r="Y33" s="557"/>
      <c r="Z33" s="460"/>
      <c r="AA33" s="783"/>
      <c r="AB33" s="460"/>
    </row>
    <row r="34" spans="1:28">
      <c r="A34" s="14"/>
      <c r="B34" s="15"/>
      <c r="C34" s="16"/>
      <c r="D34" s="17"/>
      <c r="E34" s="12"/>
      <c r="F34" s="18"/>
      <c r="G34" s="19"/>
      <c r="H34" s="13"/>
      <c r="I34" s="19"/>
      <c r="J34" s="13"/>
      <c r="K34" s="19"/>
      <c r="L34" s="13"/>
      <c r="M34" s="19"/>
      <c r="N34" s="13"/>
      <c r="O34" s="19"/>
      <c r="P34" s="13"/>
      <c r="Q34" s="19"/>
      <c r="R34" s="13"/>
      <c r="S34" s="19"/>
      <c r="T34" s="13"/>
      <c r="U34" s="19"/>
      <c r="V34" s="13"/>
      <c r="W34" s="19"/>
      <c r="X34" s="13"/>
      <c r="Y34" s="557"/>
      <c r="Z34" s="460"/>
      <c r="AA34" s="783"/>
      <c r="AB34" s="460"/>
    </row>
    <row r="35" spans="1:28">
      <c r="A35" s="14"/>
      <c r="B35" s="15"/>
      <c r="C35" s="16"/>
      <c r="D35" s="17"/>
      <c r="E35" s="12"/>
      <c r="F35" s="18"/>
      <c r="G35" s="19"/>
      <c r="H35" s="13"/>
      <c r="I35" s="19"/>
      <c r="J35" s="13"/>
      <c r="K35" s="19"/>
      <c r="L35" s="13"/>
      <c r="M35" s="19"/>
      <c r="N35" s="13"/>
      <c r="O35" s="19"/>
      <c r="P35" s="13"/>
      <c r="Q35" s="19"/>
      <c r="R35" s="13"/>
      <c r="S35" s="19"/>
      <c r="T35" s="13"/>
      <c r="U35" s="19"/>
      <c r="V35" s="13"/>
      <c r="W35" s="19"/>
      <c r="X35" s="13"/>
      <c r="Y35" s="557"/>
      <c r="Z35" s="460"/>
      <c r="AA35" s="783"/>
      <c r="AB35" s="460"/>
    </row>
    <row r="36" spans="1:28">
      <c r="A36" s="14"/>
      <c r="B36" s="15"/>
      <c r="C36" s="16"/>
      <c r="D36" s="17"/>
      <c r="E36" s="12"/>
      <c r="F36" s="18"/>
      <c r="G36" s="19"/>
      <c r="H36" s="13"/>
      <c r="I36" s="19"/>
      <c r="J36" s="13"/>
      <c r="K36" s="19"/>
      <c r="L36" s="13"/>
      <c r="M36" s="19"/>
      <c r="N36" s="13"/>
      <c r="O36" s="19"/>
      <c r="P36" s="13"/>
      <c r="Q36" s="19"/>
      <c r="R36" s="13"/>
      <c r="S36" s="19"/>
      <c r="T36" s="13"/>
      <c r="U36" s="19"/>
      <c r="V36" s="13"/>
      <c r="W36" s="19"/>
      <c r="X36" s="13"/>
      <c r="Y36" s="557"/>
      <c r="Z36" s="460"/>
      <c r="AA36" s="783"/>
      <c r="AB36" s="460"/>
    </row>
    <row r="37" spans="1:28">
      <c r="A37" s="14"/>
      <c r="B37" s="15"/>
      <c r="C37" s="16"/>
      <c r="D37" s="17"/>
      <c r="E37" s="12"/>
      <c r="F37" s="18"/>
      <c r="G37" s="19"/>
      <c r="H37" s="13"/>
      <c r="I37" s="19"/>
      <c r="J37" s="13"/>
      <c r="K37" s="19"/>
      <c r="L37" s="13"/>
      <c r="M37" s="19"/>
      <c r="N37" s="13"/>
      <c r="O37" s="19"/>
      <c r="P37" s="13"/>
      <c r="Q37" s="19"/>
      <c r="R37" s="13"/>
      <c r="S37" s="19"/>
      <c r="T37" s="13"/>
      <c r="U37" s="19"/>
      <c r="V37" s="13"/>
      <c r="W37" s="19"/>
      <c r="X37" s="13"/>
      <c r="Y37" s="557"/>
      <c r="Z37" s="460"/>
      <c r="AA37" s="783"/>
      <c r="AB37" s="460"/>
    </row>
    <row r="38" spans="1:28">
      <c r="A38" s="14"/>
      <c r="B38" s="15"/>
      <c r="C38" s="16"/>
      <c r="D38" s="17"/>
      <c r="E38" s="12"/>
      <c r="F38" s="18"/>
      <c r="G38" s="19"/>
      <c r="H38" s="13"/>
      <c r="I38" s="19"/>
      <c r="J38" s="13"/>
      <c r="K38" s="19"/>
      <c r="L38" s="13"/>
      <c r="M38" s="19"/>
      <c r="N38" s="13"/>
      <c r="O38" s="19"/>
      <c r="P38" s="13"/>
      <c r="Q38" s="19"/>
      <c r="R38" s="13"/>
      <c r="S38" s="19"/>
      <c r="T38" s="13"/>
      <c r="U38" s="19"/>
      <c r="V38" s="13"/>
      <c r="W38" s="19"/>
      <c r="X38" s="13"/>
      <c r="Y38" s="557"/>
      <c r="Z38" s="460"/>
      <c r="AA38" s="783"/>
      <c r="AB38" s="460"/>
    </row>
    <row r="39" spans="1:28">
      <c r="A39" s="14"/>
      <c r="B39" s="15"/>
      <c r="C39" s="16"/>
      <c r="D39" s="17"/>
      <c r="E39" s="12"/>
      <c r="F39" s="18"/>
      <c r="G39" s="19"/>
      <c r="H39" s="13"/>
      <c r="I39" s="19"/>
      <c r="J39" s="13"/>
      <c r="K39" s="19"/>
      <c r="L39" s="13"/>
      <c r="M39" s="19"/>
      <c r="N39" s="13"/>
      <c r="O39" s="19"/>
      <c r="P39" s="13"/>
      <c r="Q39" s="19"/>
      <c r="R39" s="13"/>
      <c r="S39" s="19"/>
      <c r="T39" s="13"/>
      <c r="U39" s="19"/>
      <c r="V39" s="13"/>
      <c r="W39" s="19"/>
      <c r="X39" s="13"/>
      <c r="Y39" s="557"/>
      <c r="Z39" s="460"/>
      <c r="AA39" s="783"/>
      <c r="AB39" s="460"/>
    </row>
    <row r="40" spans="1:28">
      <c r="A40" s="14"/>
      <c r="B40" s="15"/>
      <c r="C40" s="16"/>
      <c r="D40" s="17"/>
      <c r="E40" s="12"/>
      <c r="F40" s="18"/>
      <c r="G40" s="19"/>
      <c r="H40" s="13"/>
      <c r="I40" s="19"/>
      <c r="J40" s="13"/>
      <c r="K40" s="19"/>
      <c r="L40" s="13"/>
      <c r="M40" s="19"/>
      <c r="N40" s="13"/>
      <c r="O40" s="19"/>
      <c r="P40" s="13"/>
      <c r="Q40" s="19"/>
      <c r="R40" s="13"/>
      <c r="S40" s="19"/>
      <c r="T40" s="13"/>
      <c r="U40" s="19"/>
      <c r="V40" s="13"/>
      <c r="W40" s="19"/>
      <c r="X40" s="13"/>
      <c r="Y40" s="557"/>
      <c r="Z40" s="460"/>
      <c r="AA40" s="783"/>
      <c r="AB40" s="460"/>
    </row>
    <row r="41" spans="1:28">
      <c r="A41" s="14"/>
      <c r="B41" s="15"/>
      <c r="C41" s="16"/>
      <c r="D41" s="17"/>
      <c r="E41" s="12"/>
      <c r="F41" s="18"/>
      <c r="G41" s="19"/>
      <c r="H41" s="13"/>
      <c r="I41" s="19"/>
      <c r="J41" s="13"/>
      <c r="K41" s="19"/>
      <c r="L41" s="13"/>
      <c r="M41" s="19"/>
      <c r="N41" s="13"/>
      <c r="O41" s="19"/>
      <c r="P41" s="13"/>
      <c r="Q41" s="19"/>
      <c r="R41" s="13"/>
      <c r="S41" s="19"/>
      <c r="T41" s="13"/>
      <c r="U41" s="19"/>
      <c r="V41" s="13"/>
      <c r="W41" s="19"/>
      <c r="X41" s="13"/>
      <c r="Y41" s="557"/>
      <c r="Z41" s="460"/>
      <c r="AA41" s="783"/>
      <c r="AB41" s="460"/>
    </row>
    <row r="42" spans="1:28">
      <c r="A42" s="14"/>
      <c r="B42" s="15"/>
      <c r="C42" s="16"/>
      <c r="D42" s="17"/>
      <c r="E42" s="12"/>
      <c r="F42" s="18"/>
      <c r="G42" s="19"/>
      <c r="H42" s="13"/>
      <c r="I42" s="19"/>
      <c r="J42" s="13"/>
      <c r="K42" s="19"/>
      <c r="L42" s="13"/>
      <c r="M42" s="19"/>
      <c r="N42" s="13"/>
      <c r="O42" s="19"/>
      <c r="P42" s="13"/>
      <c r="Q42" s="19"/>
      <c r="R42" s="13"/>
      <c r="S42" s="19"/>
      <c r="T42" s="13"/>
      <c r="U42" s="19"/>
      <c r="V42" s="13"/>
      <c r="W42" s="19"/>
      <c r="X42" s="13"/>
      <c r="Y42" s="557"/>
      <c r="Z42" s="460"/>
      <c r="AA42" s="783"/>
      <c r="AB42" s="460"/>
    </row>
    <row r="43" spans="1:28">
      <c r="A43" s="14"/>
      <c r="B43" s="15"/>
      <c r="C43" s="16"/>
      <c r="D43" s="17"/>
      <c r="E43" s="12"/>
      <c r="F43" s="18"/>
      <c r="G43" s="19"/>
      <c r="H43" s="13"/>
      <c r="I43" s="19"/>
      <c r="J43" s="13"/>
      <c r="K43" s="19"/>
      <c r="L43" s="13"/>
      <c r="M43" s="19"/>
      <c r="N43" s="13"/>
      <c r="O43" s="19"/>
      <c r="P43" s="13"/>
      <c r="Q43" s="19"/>
      <c r="R43" s="13"/>
      <c r="S43" s="19"/>
      <c r="T43" s="13"/>
      <c r="U43" s="19"/>
      <c r="V43" s="13"/>
      <c r="W43" s="19"/>
      <c r="X43" s="13"/>
      <c r="Y43" s="557"/>
      <c r="Z43" s="460"/>
      <c r="AA43" s="783"/>
      <c r="AB43" s="460"/>
    </row>
    <row r="44" spans="1:28">
      <c r="A44" s="14"/>
      <c r="B44" s="15"/>
      <c r="C44" s="16"/>
      <c r="D44" s="17"/>
      <c r="E44" s="12"/>
      <c r="F44" s="18"/>
      <c r="G44" s="19"/>
      <c r="H44" s="13"/>
      <c r="I44" s="19"/>
      <c r="J44" s="13"/>
      <c r="K44" s="19"/>
      <c r="L44" s="13"/>
      <c r="M44" s="19"/>
      <c r="N44" s="13"/>
      <c r="O44" s="19"/>
      <c r="P44" s="13"/>
      <c r="Q44" s="19"/>
      <c r="R44" s="13"/>
      <c r="S44" s="19"/>
      <c r="T44" s="13"/>
      <c r="U44" s="19"/>
      <c r="V44" s="13"/>
      <c r="W44" s="19"/>
      <c r="X44" s="13"/>
      <c r="Y44" s="557"/>
      <c r="Z44" s="460"/>
      <c r="AA44" s="783"/>
      <c r="AB44" s="460"/>
    </row>
    <row r="45" spans="1:28">
      <c r="A45" s="14"/>
      <c r="B45" s="15"/>
      <c r="C45" s="16"/>
      <c r="D45" s="17"/>
      <c r="E45" s="12"/>
      <c r="F45" s="18"/>
      <c r="G45" s="19"/>
      <c r="H45" s="13"/>
      <c r="I45" s="19"/>
      <c r="J45" s="13"/>
      <c r="K45" s="19"/>
      <c r="L45" s="13"/>
      <c r="M45" s="19"/>
      <c r="N45" s="13"/>
      <c r="O45" s="19"/>
      <c r="P45" s="13"/>
      <c r="Q45" s="19"/>
      <c r="R45" s="13"/>
      <c r="S45" s="19"/>
      <c r="T45" s="13"/>
      <c r="U45" s="19"/>
      <c r="V45" s="13"/>
      <c r="W45" s="19"/>
      <c r="X45" s="13"/>
      <c r="Y45" s="557"/>
      <c r="Z45" s="460"/>
      <c r="AA45" s="783"/>
      <c r="AB45" s="460"/>
    </row>
    <row r="46" spans="1:28">
      <c r="A46" s="14"/>
      <c r="B46" s="15"/>
      <c r="C46" s="16"/>
      <c r="D46" s="17"/>
      <c r="E46" s="12"/>
      <c r="F46" s="18"/>
      <c r="G46" s="19"/>
      <c r="H46" s="13"/>
      <c r="I46" s="19"/>
      <c r="J46" s="13"/>
      <c r="K46" s="19"/>
      <c r="L46" s="13"/>
      <c r="M46" s="19"/>
      <c r="N46" s="13"/>
      <c r="O46" s="19"/>
      <c r="P46" s="13"/>
      <c r="Q46" s="19"/>
      <c r="R46" s="13"/>
      <c r="S46" s="19"/>
      <c r="T46" s="13"/>
      <c r="U46" s="19"/>
      <c r="V46" s="13"/>
      <c r="W46" s="19"/>
      <c r="X46" s="13"/>
      <c r="Y46" s="557"/>
      <c r="Z46" s="460"/>
      <c r="AA46" s="783"/>
      <c r="AB46" s="460"/>
    </row>
    <row r="47" spans="1:28">
      <c r="A47" s="14"/>
      <c r="B47" s="15"/>
      <c r="C47" s="16"/>
      <c r="D47" s="17"/>
      <c r="E47" s="12"/>
      <c r="F47" s="18"/>
      <c r="G47" s="19"/>
      <c r="H47" s="13"/>
      <c r="I47" s="19"/>
      <c r="J47" s="13"/>
      <c r="K47" s="19"/>
      <c r="L47" s="13"/>
      <c r="M47" s="19"/>
      <c r="N47" s="13"/>
      <c r="O47" s="19"/>
      <c r="P47" s="13"/>
      <c r="Q47" s="19"/>
      <c r="R47" s="13"/>
      <c r="S47" s="19"/>
      <c r="T47" s="13"/>
      <c r="U47" s="19"/>
      <c r="V47" s="13"/>
      <c r="W47" s="19"/>
      <c r="X47" s="13"/>
      <c r="Y47" s="557"/>
      <c r="Z47" s="460"/>
      <c r="AA47" s="783"/>
      <c r="AB47" s="460"/>
    </row>
    <row r="48" spans="1:28">
      <c r="A48" s="14"/>
      <c r="B48" s="15"/>
      <c r="C48" s="16"/>
      <c r="D48" s="17"/>
      <c r="E48" s="12"/>
      <c r="F48" s="18"/>
      <c r="G48" s="19"/>
      <c r="H48" s="13"/>
      <c r="I48" s="19"/>
      <c r="J48" s="13"/>
      <c r="K48" s="19"/>
      <c r="L48" s="13"/>
      <c r="M48" s="19"/>
      <c r="N48" s="13"/>
      <c r="O48" s="19"/>
      <c r="P48" s="13"/>
      <c r="Q48" s="19"/>
      <c r="R48" s="13"/>
      <c r="S48" s="19"/>
      <c r="T48" s="13"/>
      <c r="U48" s="19"/>
      <c r="V48" s="13"/>
      <c r="W48" s="19"/>
      <c r="X48" s="13"/>
      <c r="Y48" s="557"/>
      <c r="Z48" s="460"/>
      <c r="AA48" s="783"/>
      <c r="AB48" s="460"/>
    </row>
    <row r="49" spans="1:28">
      <c r="A49" s="14"/>
      <c r="B49" s="15"/>
      <c r="C49" s="16"/>
      <c r="D49" s="17"/>
      <c r="E49" s="12"/>
      <c r="F49" s="18"/>
      <c r="G49" s="19"/>
      <c r="H49" s="13"/>
      <c r="I49" s="19"/>
      <c r="J49" s="13"/>
      <c r="K49" s="19"/>
      <c r="L49" s="13"/>
      <c r="M49" s="19"/>
      <c r="N49" s="13"/>
      <c r="O49" s="19"/>
      <c r="P49" s="13"/>
      <c r="Q49" s="19"/>
      <c r="R49" s="13"/>
      <c r="S49" s="19"/>
      <c r="T49" s="13"/>
      <c r="U49" s="19"/>
      <c r="V49" s="13"/>
      <c r="W49" s="19"/>
      <c r="X49" s="13"/>
      <c r="Y49" s="557"/>
      <c r="Z49" s="460"/>
      <c r="AA49" s="783"/>
      <c r="AB49" s="460"/>
    </row>
    <row r="50" spans="1:28">
      <c r="A50" s="14"/>
      <c r="B50" s="15"/>
      <c r="C50" s="16"/>
      <c r="D50" s="17"/>
      <c r="E50" s="12"/>
      <c r="F50" s="18"/>
      <c r="G50" s="19"/>
      <c r="H50" s="13"/>
      <c r="I50" s="19"/>
      <c r="J50" s="13"/>
      <c r="K50" s="19"/>
      <c r="L50" s="13"/>
      <c r="M50" s="19"/>
      <c r="N50" s="13"/>
      <c r="O50" s="19"/>
      <c r="P50" s="13"/>
      <c r="Q50" s="19"/>
      <c r="R50" s="13"/>
      <c r="S50" s="19"/>
      <c r="T50" s="13"/>
      <c r="U50" s="19"/>
      <c r="V50" s="13"/>
      <c r="W50" s="19"/>
      <c r="X50" s="13"/>
      <c r="Y50" s="557"/>
      <c r="Z50" s="460"/>
      <c r="AA50" s="783"/>
      <c r="AB50" s="460"/>
    </row>
    <row r="51" spans="1:28">
      <c r="A51" s="14"/>
      <c r="B51" s="15"/>
      <c r="C51" s="16"/>
      <c r="D51" s="17"/>
      <c r="E51" s="12"/>
      <c r="F51" s="18"/>
      <c r="G51" s="19"/>
      <c r="H51" s="13"/>
      <c r="I51" s="19"/>
      <c r="J51" s="13"/>
      <c r="K51" s="19"/>
      <c r="L51" s="13"/>
      <c r="M51" s="19"/>
      <c r="N51" s="13"/>
      <c r="O51" s="19"/>
      <c r="P51" s="13"/>
      <c r="Q51" s="19"/>
      <c r="R51" s="13"/>
      <c r="S51" s="19"/>
      <c r="T51" s="13"/>
      <c r="U51" s="19"/>
      <c r="V51" s="13"/>
      <c r="W51" s="19"/>
      <c r="X51" s="13"/>
      <c r="Y51" s="557"/>
      <c r="Z51" s="460"/>
      <c r="AA51" s="783"/>
      <c r="AB51" s="460"/>
    </row>
    <row r="52" spans="1:28">
      <c r="A52" s="14"/>
      <c r="B52" s="15"/>
      <c r="C52" s="16"/>
      <c r="D52" s="17"/>
      <c r="E52" s="12"/>
      <c r="F52" s="18"/>
      <c r="G52" s="19"/>
      <c r="H52" s="13"/>
      <c r="I52" s="19"/>
      <c r="J52" s="13"/>
      <c r="K52" s="19"/>
      <c r="L52" s="13"/>
      <c r="M52" s="19"/>
      <c r="N52" s="13"/>
      <c r="O52" s="19"/>
      <c r="P52" s="13"/>
      <c r="Q52" s="19"/>
      <c r="R52" s="13"/>
      <c r="S52" s="19"/>
      <c r="T52" s="13"/>
      <c r="U52" s="19"/>
      <c r="V52" s="13"/>
      <c r="W52" s="19"/>
      <c r="X52" s="13"/>
      <c r="Y52" s="557"/>
      <c r="Z52" s="460"/>
      <c r="AA52" s="783"/>
      <c r="AB52" s="460"/>
    </row>
    <row r="53" spans="1:28">
      <c r="A53" s="14"/>
      <c r="B53" s="15"/>
      <c r="C53" s="16"/>
      <c r="D53" s="17"/>
      <c r="E53" s="12"/>
      <c r="F53" s="18"/>
      <c r="G53" s="19"/>
      <c r="H53" s="13"/>
      <c r="I53" s="19"/>
      <c r="J53" s="13"/>
      <c r="K53" s="19"/>
      <c r="L53" s="13"/>
      <c r="M53" s="19"/>
      <c r="N53" s="13"/>
      <c r="O53" s="19"/>
      <c r="P53" s="13"/>
      <c r="Q53" s="19"/>
      <c r="R53" s="13"/>
      <c r="S53" s="19"/>
      <c r="T53" s="13"/>
      <c r="U53" s="19"/>
      <c r="V53" s="13"/>
      <c r="W53" s="19"/>
      <c r="X53" s="13"/>
      <c r="Y53" s="557"/>
      <c r="Z53" s="460"/>
      <c r="AA53" s="783"/>
      <c r="AB53" s="460"/>
    </row>
    <row r="54" spans="1:28">
      <c r="A54" s="14"/>
      <c r="B54" s="15"/>
      <c r="C54" s="16"/>
      <c r="D54" s="17"/>
      <c r="E54" s="12"/>
      <c r="F54" s="18"/>
      <c r="G54" s="19"/>
      <c r="H54" s="13"/>
      <c r="I54" s="19"/>
      <c r="J54" s="13"/>
      <c r="K54" s="19"/>
      <c r="L54" s="13"/>
      <c r="M54" s="19"/>
      <c r="N54" s="13"/>
      <c r="O54" s="19"/>
      <c r="P54" s="13"/>
      <c r="Q54" s="19"/>
      <c r="R54" s="13"/>
      <c r="S54" s="19"/>
      <c r="T54" s="13"/>
      <c r="U54" s="19"/>
      <c r="V54" s="13"/>
      <c r="W54" s="19"/>
      <c r="X54" s="13"/>
      <c r="Y54" s="557"/>
      <c r="Z54" s="460"/>
      <c r="AA54" s="783"/>
      <c r="AB54" s="460"/>
    </row>
    <row r="55" spans="1:28">
      <c r="A55" s="14"/>
      <c r="B55" s="15"/>
      <c r="C55" s="16"/>
      <c r="D55" s="17"/>
      <c r="E55" s="12"/>
      <c r="F55" s="18"/>
      <c r="G55" s="19"/>
      <c r="H55" s="13"/>
      <c r="I55" s="19"/>
      <c r="J55" s="13"/>
      <c r="K55" s="19"/>
      <c r="L55" s="13"/>
      <c r="M55" s="19"/>
      <c r="N55" s="13"/>
      <c r="O55" s="19"/>
      <c r="P55" s="13"/>
      <c r="Q55" s="19"/>
      <c r="R55" s="13"/>
      <c r="S55" s="19"/>
      <c r="T55" s="13"/>
      <c r="U55" s="19"/>
      <c r="V55" s="13"/>
      <c r="W55" s="19"/>
      <c r="X55" s="13"/>
      <c r="Y55" s="557"/>
      <c r="Z55" s="460"/>
      <c r="AA55" s="783"/>
      <c r="AB55" s="460"/>
    </row>
    <row r="56" spans="1:28">
      <c r="A56" s="14"/>
      <c r="B56" s="15"/>
      <c r="C56" s="16"/>
      <c r="D56" s="17"/>
      <c r="E56" s="12"/>
      <c r="F56" s="18"/>
      <c r="G56" s="19"/>
      <c r="H56" s="13"/>
      <c r="I56" s="19"/>
      <c r="J56" s="13"/>
      <c r="K56" s="19"/>
      <c r="L56" s="13"/>
      <c r="M56" s="19"/>
      <c r="N56" s="13"/>
      <c r="O56" s="19"/>
      <c r="P56" s="13"/>
      <c r="Q56" s="19"/>
      <c r="R56" s="13"/>
      <c r="S56" s="19"/>
      <c r="T56" s="13"/>
      <c r="U56" s="19"/>
      <c r="V56" s="13"/>
      <c r="W56" s="19"/>
      <c r="X56" s="13"/>
      <c r="Y56" s="557"/>
      <c r="Z56" s="460"/>
      <c r="AA56" s="783"/>
      <c r="AB56" s="460"/>
    </row>
    <row r="57" spans="1:28">
      <c r="A57" s="14"/>
      <c r="B57" s="15"/>
      <c r="C57" s="16"/>
      <c r="D57" s="17"/>
      <c r="E57" s="12"/>
      <c r="F57" s="18"/>
      <c r="G57" s="19"/>
      <c r="H57" s="13"/>
      <c r="I57" s="19"/>
      <c r="J57" s="13"/>
      <c r="K57" s="19"/>
      <c r="L57" s="13"/>
      <c r="M57" s="19"/>
      <c r="N57" s="13"/>
      <c r="O57" s="19"/>
      <c r="P57" s="13"/>
      <c r="Q57" s="19"/>
      <c r="R57" s="13"/>
      <c r="S57" s="19"/>
      <c r="T57" s="13"/>
      <c r="U57" s="19"/>
      <c r="V57" s="13"/>
      <c r="W57" s="19"/>
      <c r="X57" s="13"/>
      <c r="Y57" s="557"/>
      <c r="Z57" s="460"/>
      <c r="AA57" s="783"/>
      <c r="AB57" s="460"/>
    </row>
    <row r="58" spans="1:28">
      <c r="A58" s="14"/>
      <c r="B58" s="15"/>
      <c r="C58" s="16"/>
      <c r="D58" s="17"/>
      <c r="E58" s="12"/>
      <c r="F58" s="18"/>
      <c r="G58" s="19"/>
      <c r="H58" s="13"/>
      <c r="I58" s="19"/>
      <c r="J58" s="13"/>
      <c r="K58" s="19"/>
      <c r="L58" s="13"/>
      <c r="M58" s="19"/>
      <c r="N58" s="13"/>
      <c r="O58" s="19"/>
      <c r="P58" s="13"/>
      <c r="Q58" s="19"/>
      <c r="R58" s="13"/>
      <c r="S58" s="19"/>
      <c r="T58" s="13"/>
      <c r="U58" s="19"/>
      <c r="V58" s="13"/>
      <c r="W58" s="19"/>
      <c r="X58" s="13"/>
      <c r="Y58" s="557"/>
      <c r="Z58" s="460"/>
      <c r="AA58" s="783"/>
      <c r="AB58" s="460"/>
    </row>
    <row r="59" spans="1:28">
      <c r="A59" s="14"/>
      <c r="B59" s="15"/>
      <c r="C59" s="16"/>
      <c r="D59" s="17"/>
      <c r="E59" s="12"/>
      <c r="F59" s="18"/>
      <c r="G59" s="19"/>
      <c r="H59" s="13"/>
      <c r="I59" s="19"/>
      <c r="J59" s="13"/>
      <c r="K59" s="19"/>
      <c r="L59" s="13"/>
      <c r="M59" s="19"/>
      <c r="N59" s="13"/>
      <c r="O59" s="19"/>
      <c r="P59" s="13"/>
      <c r="Q59" s="19"/>
      <c r="R59" s="13"/>
      <c r="S59" s="19"/>
      <c r="T59" s="13"/>
      <c r="U59" s="19"/>
      <c r="V59" s="13"/>
      <c r="W59" s="19"/>
      <c r="X59" s="13"/>
      <c r="Y59" s="557"/>
      <c r="Z59" s="460"/>
      <c r="AA59" s="783"/>
      <c r="AB59" s="460"/>
    </row>
    <row r="60" spans="1:28">
      <c r="A60" s="14"/>
      <c r="B60" s="15"/>
      <c r="C60" s="16"/>
      <c r="D60" s="17"/>
      <c r="E60" s="12"/>
      <c r="F60" s="18"/>
      <c r="G60" s="19"/>
      <c r="H60" s="13"/>
      <c r="I60" s="19"/>
      <c r="J60" s="13"/>
      <c r="K60" s="19"/>
      <c r="L60" s="13"/>
      <c r="M60" s="19"/>
      <c r="N60" s="13"/>
      <c r="O60" s="19"/>
      <c r="P60" s="13"/>
      <c r="Q60" s="19"/>
      <c r="R60" s="13"/>
      <c r="S60" s="19"/>
      <c r="T60" s="13"/>
      <c r="U60" s="19"/>
      <c r="V60" s="13"/>
      <c r="W60" s="19"/>
      <c r="X60" s="13"/>
      <c r="Y60" s="557"/>
      <c r="Z60" s="460"/>
      <c r="AA60" s="783"/>
      <c r="AB60" s="460"/>
    </row>
    <row r="61" spans="1:28">
      <c r="A61" s="14"/>
      <c r="B61" s="15"/>
      <c r="C61" s="16"/>
      <c r="D61" s="17"/>
      <c r="E61" s="12"/>
      <c r="F61" s="18"/>
      <c r="G61" s="19"/>
      <c r="H61" s="13"/>
      <c r="I61" s="19"/>
      <c r="J61" s="13"/>
      <c r="K61" s="19"/>
      <c r="L61" s="13"/>
      <c r="M61" s="19"/>
      <c r="N61" s="13"/>
      <c r="O61" s="19"/>
      <c r="P61" s="13"/>
      <c r="Q61" s="19"/>
      <c r="R61" s="13"/>
      <c r="S61" s="19"/>
      <c r="T61" s="13"/>
      <c r="U61" s="19"/>
      <c r="V61" s="13"/>
      <c r="W61" s="19"/>
      <c r="X61" s="13"/>
      <c r="Y61" s="557"/>
      <c r="Z61" s="460"/>
      <c r="AA61" s="783"/>
      <c r="AB61" s="460"/>
    </row>
    <row r="62" spans="1:28">
      <c r="A62" s="14"/>
      <c r="B62" s="15"/>
      <c r="C62" s="16"/>
      <c r="D62" s="17"/>
      <c r="E62" s="12"/>
      <c r="F62" s="18"/>
      <c r="G62" s="19"/>
      <c r="H62" s="13"/>
      <c r="I62" s="19"/>
      <c r="J62" s="13"/>
      <c r="K62" s="19"/>
      <c r="L62" s="13"/>
      <c r="M62" s="19"/>
      <c r="N62" s="13"/>
      <c r="O62" s="19"/>
      <c r="P62" s="13"/>
      <c r="Q62" s="19"/>
      <c r="R62" s="13"/>
      <c r="S62" s="19"/>
      <c r="T62" s="13"/>
      <c r="U62" s="19"/>
      <c r="V62" s="13"/>
      <c r="W62" s="19"/>
      <c r="X62" s="13"/>
      <c r="Y62" s="557"/>
      <c r="Z62" s="460"/>
      <c r="AA62" s="783"/>
      <c r="AB62" s="460"/>
    </row>
    <row r="63" spans="1:28">
      <c r="A63" s="14"/>
      <c r="B63" s="15"/>
      <c r="C63" s="16"/>
      <c r="D63" s="17"/>
      <c r="E63" s="12"/>
      <c r="F63" s="18"/>
      <c r="G63" s="19"/>
      <c r="H63" s="13"/>
      <c r="I63" s="19"/>
      <c r="J63" s="13"/>
      <c r="K63" s="19"/>
      <c r="L63" s="13"/>
      <c r="M63" s="19"/>
      <c r="N63" s="13"/>
      <c r="O63" s="19"/>
      <c r="P63" s="13"/>
      <c r="Q63" s="19"/>
      <c r="R63" s="13"/>
      <c r="S63" s="19"/>
      <c r="T63" s="13"/>
      <c r="U63" s="19"/>
      <c r="V63" s="13"/>
      <c r="W63" s="19"/>
      <c r="X63" s="13"/>
      <c r="Y63" s="557"/>
      <c r="Z63" s="460"/>
      <c r="AA63" s="783"/>
      <c r="AB63" s="460"/>
    </row>
    <row r="64" spans="1:28">
      <c r="A64" s="14"/>
      <c r="B64" s="15"/>
      <c r="C64" s="16"/>
      <c r="D64" s="17"/>
      <c r="E64" s="12"/>
      <c r="F64" s="18"/>
      <c r="G64" s="19"/>
      <c r="H64" s="13"/>
      <c r="I64" s="19"/>
      <c r="J64" s="13"/>
      <c r="K64" s="19"/>
      <c r="L64" s="13"/>
      <c r="M64" s="19"/>
      <c r="N64" s="13"/>
      <c r="O64" s="19"/>
      <c r="P64" s="13"/>
      <c r="Q64" s="19"/>
      <c r="R64" s="13"/>
      <c r="S64" s="19"/>
      <c r="T64" s="13"/>
      <c r="U64" s="19"/>
      <c r="V64" s="13"/>
      <c r="W64" s="19"/>
      <c r="X64" s="13"/>
      <c r="Y64" s="557"/>
      <c r="Z64" s="460"/>
      <c r="AA64" s="783"/>
      <c r="AB64" s="460"/>
    </row>
    <row r="65" spans="1:28">
      <c r="A65" s="14"/>
      <c r="B65" s="15"/>
      <c r="C65" s="16"/>
      <c r="D65" s="17"/>
      <c r="E65" s="12"/>
      <c r="F65" s="18"/>
      <c r="G65" s="19"/>
      <c r="H65" s="13"/>
      <c r="I65" s="19"/>
      <c r="J65" s="13"/>
      <c r="K65" s="19"/>
      <c r="L65" s="13"/>
      <c r="M65" s="19"/>
      <c r="N65" s="13"/>
      <c r="O65" s="19"/>
      <c r="P65" s="13"/>
      <c r="Q65" s="19"/>
      <c r="R65" s="13"/>
      <c r="S65" s="19"/>
      <c r="T65" s="13"/>
      <c r="U65" s="19"/>
      <c r="V65" s="13"/>
      <c r="W65" s="19"/>
      <c r="X65" s="13"/>
      <c r="Y65" s="557"/>
      <c r="Z65" s="460"/>
      <c r="AA65" s="783"/>
      <c r="AB65" s="460"/>
    </row>
    <row r="66" spans="1:28">
      <c r="A66" s="14"/>
      <c r="B66" s="15"/>
      <c r="C66" s="16"/>
      <c r="D66" s="17"/>
      <c r="E66" s="12"/>
      <c r="F66" s="18"/>
      <c r="G66" s="19"/>
      <c r="H66" s="13"/>
      <c r="I66" s="19"/>
      <c r="J66" s="13"/>
      <c r="K66" s="19"/>
      <c r="L66" s="13"/>
      <c r="M66" s="19"/>
      <c r="N66" s="13"/>
      <c r="O66" s="19"/>
      <c r="P66" s="13"/>
      <c r="Q66" s="19"/>
      <c r="R66" s="13"/>
      <c r="S66" s="19"/>
      <c r="T66" s="13"/>
      <c r="U66" s="19"/>
      <c r="V66" s="13"/>
      <c r="W66" s="19"/>
      <c r="X66" s="13"/>
      <c r="Y66" s="557"/>
      <c r="Z66" s="460"/>
      <c r="AA66" s="783"/>
      <c r="AB66" s="460"/>
    </row>
    <row r="67" spans="1:28">
      <c r="A67" s="14"/>
      <c r="B67" s="15"/>
      <c r="C67" s="16"/>
      <c r="D67" s="17"/>
      <c r="E67" s="12"/>
      <c r="F67" s="18"/>
      <c r="G67" s="19"/>
      <c r="H67" s="13"/>
      <c r="I67" s="19"/>
      <c r="J67" s="13"/>
      <c r="K67" s="19"/>
      <c r="L67" s="13"/>
      <c r="M67" s="19"/>
      <c r="N67" s="13"/>
      <c r="O67" s="19"/>
      <c r="P67" s="13"/>
      <c r="Q67" s="19"/>
      <c r="R67" s="13"/>
      <c r="S67" s="19"/>
      <c r="T67" s="13"/>
      <c r="U67" s="19"/>
      <c r="V67" s="13"/>
      <c r="W67" s="19"/>
      <c r="X67" s="13"/>
      <c r="Y67" s="557"/>
      <c r="Z67" s="460"/>
      <c r="AA67" s="783"/>
      <c r="AB67" s="460"/>
    </row>
    <row r="68" spans="1:28">
      <c r="A68" s="14"/>
      <c r="B68" s="15"/>
      <c r="C68" s="16"/>
      <c r="D68" s="17"/>
      <c r="E68" s="12"/>
      <c r="F68" s="18"/>
      <c r="G68" s="19"/>
      <c r="H68" s="13"/>
      <c r="I68" s="19"/>
      <c r="J68" s="13"/>
      <c r="K68" s="19"/>
      <c r="L68" s="13"/>
      <c r="M68" s="19"/>
      <c r="N68" s="13"/>
      <c r="O68" s="19"/>
      <c r="P68" s="13"/>
      <c r="Q68" s="19"/>
      <c r="R68" s="13"/>
      <c r="S68" s="19"/>
      <c r="T68" s="13"/>
      <c r="U68" s="19"/>
      <c r="V68" s="13"/>
      <c r="W68" s="19"/>
      <c r="X68" s="13"/>
      <c r="Y68" s="557"/>
      <c r="Z68" s="460"/>
      <c r="AA68" s="783"/>
      <c r="AB68" s="460"/>
    </row>
    <row r="69" spans="1:28">
      <c r="A69" s="14"/>
      <c r="B69" s="15"/>
      <c r="C69" s="16"/>
      <c r="D69" s="17"/>
      <c r="E69" s="12"/>
      <c r="F69" s="18"/>
      <c r="G69" s="19"/>
      <c r="H69" s="13"/>
      <c r="I69" s="19"/>
      <c r="J69" s="13"/>
      <c r="K69" s="19"/>
      <c r="L69" s="13"/>
      <c r="M69" s="19"/>
      <c r="N69" s="13"/>
      <c r="O69" s="19"/>
      <c r="P69" s="13"/>
      <c r="Q69" s="19"/>
      <c r="R69" s="13"/>
      <c r="S69" s="19"/>
      <c r="T69" s="13"/>
      <c r="U69" s="19"/>
      <c r="V69" s="13"/>
      <c r="W69" s="19"/>
      <c r="X69" s="13"/>
      <c r="Y69" s="557"/>
      <c r="Z69" s="460"/>
      <c r="AA69" s="783"/>
      <c r="AB69" s="460"/>
    </row>
    <row r="70" spans="1:28">
      <c r="A70" s="14"/>
      <c r="B70" s="15"/>
      <c r="C70" s="16"/>
      <c r="D70" s="17"/>
      <c r="E70" s="12"/>
      <c r="F70" s="18"/>
      <c r="G70" s="19"/>
      <c r="H70" s="13"/>
      <c r="I70" s="19"/>
      <c r="J70" s="13"/>
      <c r="K70" s="19"/>
      <c r="L70" s="13"/>
      <c r="M70" s="19"/>
      <c r="N70" s="13"/>
      <c r="O70" s="19"/>
      <c r="P70" s="13"/>
      <c r="Q70" s="19"/>
      <c r="R70" s="13"/>
      <c r="S70" s="19"/>
      <c r="T70" s="13"/>
      <c r="U70" s="19"/>
      <c r="V70" s="13"/>
      <c r="W70" s="19"/>
      <c r="X70" s="13"/>
      <c r="Y70" s="557"/>
      <c r="Z70" s="460"/>
      <c r="AA70" s="783"/>
      <c r="AB70" s="460"/>
    </row>
    <row r="71" spans="1:28">
      <c r="A71" s="14"/>
      <c r="B71" s="15"/>
      <c r="C71" s="16"/>
      <c r="D71" s="17"/>
      <c r="E71" s="12"/>
      <c r="F71" s="18"/>
      <c r="G71" s="19"/>
      <c r="H71" s="13"/>
      <c r="I71" s="19"/>
      <c r="J71" s="13"/>
      <c r="K71" s="19"/>
      <c r="L71" s="13"/>
      <c r="M71" s="19"/>
      <c r="N71" s="13"/>
      <c r="O71" s="19"/>
      <c r="P71" s="13"/>
      <c r="Q71" s="19"/>
      <c r="R71" s="13"/>
      <c r="S71" s="19"/>
      <c r="T71" s="13"/>
      <c r="U71" s="19"/>
      <c r="V71" s="13"/>
      <c r="W71" s="19"/>
      <c r="X71" s="13"/>
      <c r="Y71" s="557"/>
      <c r="Z71" s="460"/>
      <c r="AA71" s="783"/>
      <c r="AB71" s="460"/>
    </row>
    <row r="72" spans="1:28">
      <c r="A72" s="14"/>
      <c r="B72" s="15"/>
      <c r="C72" s="16"/>
      <c r="D72" s="17"/>
      <c r="E72" s="12"/>
      <c r="F72" s="18"/>
      <c r="G72" s="19"/>
      <c r="H72" s="13"/>
      <c r="I72" s="19"/>
      <c r="J72" s="13"/>
      <c r="K72" s="19"/>
      <c r="L72" s="13"/>
      <c r="M72" s="19"/>
      <c r="N72" s="13"/>
      <c r="O72" s="19"/>
      <c r="P72" s="13"/>
      <c r="Q72" s="19"/>
      <c r="R72" s="13"/>
      <c r="S72" s="19"/>
      <c r="T72" s="13"/>
      <c r="U72" s="19"/>
      <c r="V72" s="13"/>
      <c r="W72" s="19"/>
      <c r="X72" s="13"/>
      <c r="Y72" s="557"/>
      <c r="Z72" s="460"/>
      <c r="AA72" s="783"/>
      <c r="AB72" s="460"/>
    </row>
    <row r="73" spans="1:28">
      <c r="A73" s="14"/>
      <c r="B73" s="15"/>
      <c r="C73" s="16"/>
      <c r="D73" s="17"/>
      <c r="E73" s="12"/>
      <c r="F73" s="18"/>
      <c r="G73" s="19"/>
      <c r="H73" s="13"/>
      <c r="I73" s="19"/>
      <c r="J73" s="13"/>
      <c r="K73" s="19"/>
      <c r="L73" s="13"/>
      <c r="M73" s="19"/>
      <c r="N73" s="13"/>
      <c r="O73" s="19"/>
      <c r="P73" s="13"/>
      <c r="Q73" s="19"/>
      <c r="R73" s="13"/>
      <c r="S73" s="19"/>
      <c r="T73" s="13"/>
      <c r="U73" s="19"/>
      <c r="V73" s="13"/>
      <c r="W73" s="19"/>
      <c r="X73" s="13"/>
      <c r="Y73" s="557"/>
      <c r="Z73" s="460"/>
      <c r="AA73" s="783"/>
      <c r="AB73" s="460"/>
    </row>
    <row r="74" spans="1:28">
      <c r="A74" s="14"/>
      <c r="B74" s="15"/>
      <c r="C74" s="16"/>
      <c r="D74" s="17"/>
      <c r="E74" s="12"/>
      <c r="F74" s="18"/>
      <c r="G74" s="19"/>
      <c r="H74" s="13"/>
      <c r="I74" s="19"/>
      <c r="J74" s="13"/>
      <c r="K74" s="19"/>
      <c r="L74" s="13"/>
      <c r="M74" s="19"/>
      <c r="N74" s="13"/>
      <c r="O74" s="19"/>
      <c r="P74" s="13"/>
      <c r="Q74" s="19"/>
      <c r="R74" s="13"/>
      <c r="S74" s="19"/>
      <c r="T74" s="13"/>
      <c r="U74" s="19"/>
      <c r="V74" s="13"/>
      <c r="W74" s="19"/>
      <c r="X74" s="13"/>
      <c r="Y74" s="557"/>
      <c r="Z74" s="460"/>
      <c r="AA74" s="783"/>
      <c r="AB74" s="460"/>
    </row>
    <row r="75" spans="1:28">
      <c r="A75" s="14"/>
      <c r="B75" s="15"/>
      <c r="C75" s="16"/>
      <c r="D75" s="17"/>
      <c r="E75" s="12"/>
      <c r="F75" s="18"/>
      <c r="G75" s="19"/>
      <c r="H75" s="13"/>
      <c r="I75" s="19"/>
      <c r="J75" s="13"/>
      <c r="K75" s="19"/>
      <c r="L75" s="13"/>
      <c r="M75" s="19"/>
      <c r="N75" s="13"/>
      <c r="O75" s="19"/>
      <c r="P75" s="13"/>
      <c r="Q75" s="19"/>
      <c r="R75" s="13"/>
      <c r="S75" s="19"/>
      <c r="T75" s="13"/>
      <c r="U75" s="19"/>
      <c r="V75" s="13"/>
      <c r="W75" s="19"/>
      <c r="X75" s="13"/>
      <c r="Y75" s="557"/>
      <c r="Z75" s="460"/>
      <c r="AA75" s="783"/>
      <c r="AB75" s="460"/>
    </row>
    <row r="76" spans="1:28">
      <c r="A76" s="14"/>
      <c r="B76" s="15"/>
      <c r="C76" s="16"/>
      <c r="D76" s="17"/>
      <c r="E76" s="12"/>
      <c r="F76" s="18"/>
      <c r="G76" s="19"/>
      <c r="H76" s="13"/>
      <c r="I76" s="19"/>
      <c r="J76" s="13"/>
      <c r="K76" s="19"/>
      <c r="L76" s="13"/>
      <c r="M76" s="19"/>
      <c r="N76" s="13"/>
      <c r="O76" s="19"/>
      <c r="P76" s="13"/>
      <c r="Q76" s="19"/>
      <c r="R76" s="13"/>
      <c r="S76" s="19"/>
      <c r="T76" s="13"/>
      <c r="U76" s="19"/>
      <c r="V76" s="13"/>
      <c r="W76" s="19"/>
      <c r="X76" s="13"/>
      <c r="Y76" s="557"/>
      <c r="Z76" s="460"/>
      <c r="AA76" s="783"/>
      <c r="AB76" s="460"/>
    </row>
    <row r="77" spans="1:28">
      <c r="A77" s="14"/>
      <c r="B77" s="15"/>
      <c r="C77" s="16"/>
      <c r="D77" s="17"/>
      <c r="E77" s="12"/>
      <c r="F77" s="18"/>
      <c r="G77" s="19"/>
      <c r="H77" s="13"/>
      <c r="I77" s="19"/>
      <c r="J77" s="13"/>
      <c r="K77" s="19"/>
      <c r="L77" s="13"/>
      <c r="M77" s="19"/>
      <c r="N77" s="13"/>
      <c r="O77" s="19"/>
      <c r="P77" s="13"/>
      <c r="Q77" s="19"/>
      <c r="R77" s="13"/>
      <c r="S77" s="19"/>
      <c r="T77" s="13"/>
      <c r="U77" s="19"/>
      <c r="V77" s="13"/>
      <c r="W77" s="19"/>
      <c r="X77" s="13"/>
      <c r="Y77" s="557"/>
      <c r="Z77" s="460"/>
      <c r="AA77" s="783"/>
      <c r="AB77" s="460"/>
    </row>
    <row r="78" spans="1:28">
      <c r="A78" s="14"/>
      <c r="B78" s="15"/>
      <c r="C78" s="16"/>
      <c r="D78" s="17"/>
      <c r="E78" s="12"/>
      <c r="F78" s="18"/>
      <c r="G78" s="19"/>
      <c r="H78" s="13"/>
      <c r="I78" s="19"/>
      <c r="J78" s="13"/>
      <c r="K78" s="19"/>
      <c r="L78" s="13"/>
      <c r="M78" s="19"/>
      <c r="N78" s="13"/>
      <c r="O78" s="19"/>
      <c r="P78" s="13"/>
      <c r="Q78" s="19"/>
      <c r="R78" s="13"/>
      <c r="S78" s="19"/>
      <c r="T78" s="13"/>
      <c r="U78" s="19"/>
      <c r="V78" s="13"/>
      <c r="W78" s="19"/>
      <c r="X78" s="13"/>
      <c r="Y78" s="557"/>
      <c r="Z78" s="460"/>
      <c r="AA78" s="783"/>
      <c r="AB78" s="460"/>
    </row>
    <row r="79" spans="1:28">
      <c r="A79" s="14"/>
      <c r="B79" s="15"/>
      <c r="C79" s="16"/>
      <c r="D79" s="17"/>
      <c r="E79" s="12"/>
      <c r="F79" s="18"/>
      <c r="G79" s="19"/>
      <c r="H79" s="13"/>
      <c r="I79" s="19"/>
      <c r="J79" s="13"/>
      <c r="K79" s="19"/>
      <c r="L79" s="13"/>
      <c r="M79" s="19"/>
      <c r="N79" s="13"/>
      <c r="O79" s="19"/>
      <c r="P79" s="13"/>
      <c r="Q79" s="19"/>
      <c r="R79" s="13"/>
      <c r="S79" s="19"/>
      <c r="T79" s="13"/>
      <c r="U79" s="19"/>
      <c r="V79" s="13"/>
      <c r="W79" s="19"/>
      <c r="X79" s="13"/>
      <c r="Y79" s="557"/>
      <c r="Z79" s="460"/>
      <c r="AA79" s="783"/>
      <c r="AB79" s="460"/>
    </row>
    <row r="80" spans="1:28">
      <c r="A80" s="14"/>
      <c r="B80" s="15"/>
      <c r="C80" s="16"/>
      <c r="D80" s="17"/>
      <c r="E80" s="12"/>
      <c r="F80" s="18"/>
      <c r="G80" s="19"/>
      <c r="H80" s="13"/>
      <c r="I80" s="19"/>
      <c r="J80" s="13"/>
      <c r="K80" s="19"/>
      <c r="L80" s="13"/>
      <c r="M80" s="19"/>
      <c r="N80" s="13"/>
      <c r="O80" s="19"/>
      <c r="P80" s="13"/>
      <c r="Q80" s="19"/>
      <c r="R80" s="13"/>
      <c r="S80" s="19"/>
      <c r="T80" s="13"/>
      <c r="U80" s="19"/>
      <c r="V80" s="13"/>
      <c r="W80" s="19"/>
      <c r="X80" s="13"/>
      <c r="Y80" s="557"/>
      <c r="Z80" s="460"/>
      <c r="AA80" s="783"/>
      <c r="AB80" s="460"/>
    </row>
    <row r="81" spans="1:28">
      <c r="A81" s="14"/>
      <c r="B81" s="15"/>
      <c r="C81" s="16"/>
      <c r="D81" s="17"/>
      <c r="E81" s="12"/>
      <c r="F81" s="18"/>
      <c r="G81" s="19"/>
      <c r="H81" s="13"/>
      <c r="I81" s="19"/>
      <c r="J81" s="13"/>
      <c r="K81" s="19"/>
      <c r="L81" s="13"/>
      <c r="M81" s="19"/>
      <c r="N81" s="13"/>
      <c r="O81" s="19"/>
      <c r="P81" s="13"/>
      <c r="Q81" s="19"/>
      <c r="R81" s="13"/>
      <c r="S81" s="19"/>
      <c r="T81" s="13"/>
      <c r="U81" s="19"/>
      <c r="V81" s="13"/>
      <c r="W81" s="19"/>
      <c r="X81" s="13"/>
      <c r="Y81" s="557"/>
      <c r="Z81" s="460"/>
      <c r="AA81" s="783"/>
      <c r="AB81" s="460"/>
    </row>
    <row r="82" spans="1:28">
      <c r="A82" s="14"/>
      <c r="B82" s="15"/>
      <c r="C82" s="16"/>
      <c r="D82" s="17"/>
      <c r="E82" s="12"/>
      <c r="F82" s="18"/>
      <c r="G82" s="19"/>
      <c r="H82" s="13"/>
      <c r="I82" s="19"/>
      <c r="J82" s="13"/>
      <c r="K82" s="19"/>
      <c r="L82" s="13"/>
      <c r="M82" s="19"/>
      <c r="N82" s="13"/>
      <c r="O82" s="19"/>
      <c r="P82" s="13"/>
      <c r="Q82" s="19"/>
      <c r="R82" s="13"/>
      <c r="S82" s="19"/>
      <c r="T82" s="13"/>
      <c r="U82" s="19"/>
      <c r="V82" s="13"/>
      <c r="W82" s="19"/>
      <c r="X82" s="13"/>
      <c r="Y82" s="557"/>
      <c r="Z82" s="460"/>
      <c r="AA82" s="783"/>
      <c r="AB82" s="460"/>
    </row>
    <row r="83" spans="1:28">
      <c r="A83" s="14"/>
      <c r="B83" s="15"/>
      <c r="C83" s="16"/>
      <c r="D83" s="17"/>
      <c r="E83" s="12"/>
      <c r="F83" s="18"/>
      <c r="G83" s="19"/>
      <c r="H83" s="13"/>
      <c r="I83" s="19"/>
      <c r="J83" s="13"/>
      <c r="K83" s="19"/>
      <c r="L83" s="13"/>
      <c r="M83" s="19"/>
      <c r="N83" s="13"/>
      <c r="O83" s="19"/>
      <c r="P83" s="13"/>
      <c r="Q83" s="19"/>
      <c r="R83" s="13"/>
      <c r="S83" s="19"/>
      <c r="T83" s="13"/>
      <c r="U83" s="19"/>
      <c r="V83" s="13"/>
      <c r="W83" s="19"/>
      <c r="X83" s="13"/>
      <c r="Y83" s="557"/>
      <c r="Z83" s="460"/>
      <c r="AA83" s="783"/>
      <c r="AB83" s="460"/>
    </row>
    <row r="84" spans="1:28">
      <c r="A84" s="14"/>
      <c r="B84" s="15"/>
      <c r="C84" s="16"/>
      <c r="D84" s="17"/>
      <c r="E84" s="12"/>
      <c r="F84" s="18"/>
      <c r="G84" s="19"/>
      <c r="H84" s="13"/>
      <c r="I84" s="19"/>
      <c r="J84" s="13"/>
      <c r="K84" s="19"/>
      <c r="L84" s="13"/>
      <c r="M84" s="19"/>
      <c r="N84" s="13"/>
      <c r="O84" s="19"/>
      <c r="P84" s="13"/>
      <c r="Q84" s="19"/>
      <c r="R84" s="13"/>
      <c r="S84" s="19"/>
      <c r="T84" s="13"/>
      <c r="U84" s="19"/>
      <c r="V84" s="13"/>
      <c r="W84" s="19"/>
      <c r="X84" s="13"/>
      <c r="Y84" s="557"/>
      <c r="Z84" s="460"/>
      <c r="AA84" s="783"/>
      <c r="AB84" s="460"/>
    </row>
    <row r="85" spans="1:28">
      <c r="A85" s="14"/>
      <c r="B85" s="15"/>
      <c r="C85" s="16"/>
      <c r="D85" s="17"/>
      <c r="E85" s="12"/>
      <c r="F85" s="18"/>
      <c r="G85" s="19"/>
      <c r="H85" s="13"/>
      <c r="I85" s="19"/>
      <c r="J85" s="13"/>
      <c r="K85" s="19"/>
      <c r="L85" s="13"/>
      <c r="M85" s="19"/>
      <c r="N85" s="13"/>
      <c r="O85" s="19"/>
      <c r="P85" s="13"/>
      <c r="Q85" s="19"/>
      <c r="R85" s="13"/>
      <c r="S85" s="19"/>
      <c r="T85" s="13"/>
      <c r="U85" s="19"/>
      <c r="V85" s="13"/>
      <c r="W85" s="19"/>
      <c r="X85" s="13"/>
      <c r="Y85" s="557"/>
      <c r="Z85" s="460"/>
      <c r="AA85" s="783"/>
      <c r="AB85" s="460"/>
    </row>
    <row r="86" spans="1:28">
      <c r="A86" s="14"/>
      <c r="B86" s="15"/>
      <c r="C86" s="16"/>
      <c r="D86" s="17"/>
      <c r="E86" s="12"/>
      <c r="F86" s="18"/>
      <c r="G86" s="19"/>
      <c r="H86" s="13"/>
      <c r="I86" s="19"/>
      <c r="J86" s="13"/>
      <c r="K86" s="19"/>
      <c r="L86" s="13"/>
      <c r="M86" s="19"/>
      <c r="N86" s="13"/>
      <c r="O86" s="19"/>
      <c r="P86" s="13"/>
      <c r="Q86" s="19"/>
      <c r="R86" s="13"/>
      <c r="S86" s="19"/>
      <c r="T86" s="13"/>
      <c r="U86" s="19"/>
      <c r="V86" s="13"/>
      <c r="W86" s="19"/>
      <c r="X86" s="13"/>
      <c r="Y86" s="557"/>
      <c r="Z86" s="460"/>
      <c r="AA86" s="783"/>
      <c r="AB86" s="460"/>
    </row>
    <row r="87" spans="1:28">
      <c r="A87" s="14"/>
      <c r="B87" s="15"/>
      <c r="C87" s="16"/>
      <c r="D87" s="17"/>
      <c r="E87" s="12"/>
      <c r="F87" s="18"/>
      <c r="G87" s="19"/>
      <c r="H87" s="13"/>
      <c r="I87" s="19"/>
      <c r="J87" s="13"/>
      <c r="K87" s="19"/>
      <c r="L87" s="13"/>
      <c r="M87" s="19"/>
      <c r="N87" s="13"/>
      <c r="O87" s="19"/>
      <c r="P87" s="13"/>
      <c r="Q87" s="19"/>
      <c r="R87" s="13"/>
      <c r="S87" s="19"/>
      <c r="T87" s="13"/>
      <c r="U87" s="19"/>
      <c r="V87" s="13"/>
      <c r="W87" s="19"/>
      <c r="X87" s="13"/>
      <c r="Y87" s="557"/>
      <c r="Z87" s="460"/>
      <c r="AA87" s="783"/>
      <c r="AB87" s="460"/>
    </row>
    <row r="88" spans="1:28">
      <c r="A88" s="14"/>
      <c r="B88" s="15"/>
      <c r="C88" s="16"/>
      <c r="D88" s="17"/>
      <c r="E88" s="12"/>
      <c r="F88" s="18"/>
      <c r="G88" s="19"/>
      <c r="H88" s="13"/>
      <c r="I88" s="19"/>
      <c r="J88" s="13"/>
      <c r="K88" s="19"/>
      <c r="L88" s="13"/>
      <c r="M88" s="19"/>
      <c r="N88" s="13"/>
      <c r="O88" s="19"/>
      <c r="P88" s="13"/>
      <c r="Q88" s="19"/>
      <c r="R88" s="13"/>
      <c r="S88" s="19"/>
      <c r="T88" s="13"/>
      <c r="U88" s="19"/>
      <c r="V88" s="13"/>
      <c r="W88" s="19"/>
      <c r="X88" s="13"/>
      <c r="Y88" s="557"/>
      <c r="Z88" s="460"/>
      <c r="AA88" s="783"/>
      <c r="AB88" s="460"/>
    </row>
    <row r="89" spans="1:28">
      <c r="A89" s="14"/>
      <c r="B89" s="15"/>
      <c r="C89" s="16"/>
      <c r="D89" s="17"/>
      <c r="E89" s="12"/>
      <c r="F89" s="18"/>
      <c r="G89" s="19"/>
      <c r="H89" s="13"/>
      <c r="I89" s="19"/>
      <c r="J89" s="13"/>
      <c r="K89" s="19"/>
      <c r="L89" s="13"/>
      <c r="M89" s="19"/>
      <c r="N89" s="13"/>
      <c r="O89" s="19"/>
      <c r="P89" s="13"/>
      <c r="Q89" s="19"/>
      <c r="R89" s="13"/>
      <c r="S89" s="19"/>
      <c r="T89" s="13"/>
      <c r="U89" s="19"/>
      <c r="V89" s="13"/>
      <c r="W89" s="19"/>
      <c r="X89" s="13"/>
      <c r="Y89" s="557"/>
      <c r="Z89" s="460"/>
      <c r="AA89" s="783"/>
      <c r="AB89" s="460"/>
    </row>
    <row r="90" spans="1:28">
      <c r="A90" s="14"/>
      <c r="B90" s="15"/>
      <c r="C90" s="16"/>
      <c r="D90" s="17"/>
      <c r="E90" s="12"/>
      <c r="F90" s="18"/>
      <c r="G90" s="19"/>
      <c r="H90" s="13"/>
      <c r="I90" s="19"/>
      <c r="J90" s="13"/>
      <c r="K90" s="19"/>
      <c r="L90" s="13"/>
      <c r="M90" s="19"/>
      <c r="N90" s="13"/>
      <c r="O90" s="19"/>
      <c r="P90" s="13"/>
      <c r="Q90" s="19"/>
      <c r="R90" s="13"/>
      <c r="S90" s="19"/>
      <c r="T90" s="13"/>
      <c r="U90" s="19"/>
      <c r="V90" s="13"/>
      <c r="W90" s="19"/>
      <c r="X90" s="13"/>
      <c r="Y90" s="557"/>
      <c r="Z90" s="460"/>
      <c r="AA90" s="783"/>
      <c r="AB90" s="460"/>
    </row>
    <row r="91" spans="1:28">
      <c r="A91" s="14"/>
      <c r="B91" s="15"/>
      <c r="C91" s="16"/>
      <c r="D91" s="17"/>
      <c r="E91" s="12"/>
      <c r="F91" s="18"/>
      <c r="G91" s="19"/>
      <c r="H91" s="13"/>
      <c r="I91" s="19"/>
      <c r="J91" s="13"/>
      <c r="K91" s="19"/>
      <c r="L91" s="13"/>
      <c r="M91" s="19"/>
      <c r="N91" s="13"/>
      <c r="O91" s="19"/>
      <c r="P91" s="13"/>
      <c r="Q91" s="19"/>
      <c r="R91" s="13"/>
      <c r="S91" s="19"/>
      <c r="T91" s="13"/>
      <c r="U91" s="19"/>
      <c r="V91" s="13"/>
      <c r="W91" s="19"/>
      <c r="X91" s="13"/>
      <c r="Y91" s="557"/>
      <c r="Z91" s="460"/>
      <c r="AA91" s="783"/>
      <c r="AB91" s="460"/>
    </row>
    <row r="92" spans="1:28">
      <c r="A92" s="14"/>
      <c r="B92" s="15"/>
      <c r="C92" s="16"/>
      <c r="D92" s="17"/>
      <c r="E92" s="12"/>
      <c r="F92" s="18"/>
      <c r="G92" s="19"/>
      <c r="H92" s="13"/>
      <c r="I92" s="19"/>
      <c r="J92" s="13"/>
      <c r="K92" s="19"/>
      <c r="L92" s="13"/>
      <c r="M92" s="19"/>
      <c r="N92" s="13"/>
      <c r="O92" s="19"/>
      <c r="P92" s="13"/>
      <c r="Q92" s="19"/>
      <c r="R92" s="13"/>
      <c r="S92" s="19"/>
      <c r="T92" s="13"/>
      <c r="U92" s="19"/>
      <c r="V92" s="13"/>
      <c r="W92" s="19"/>
      <c r="X92" s="13"/>
      <c r="Y92" s="557"/>
      <c r="Z92" s="460"/>
      <c r="AA92" s="783"/>
      <c r="AB92" s="460"/>
    </row>
    <row r="93" spans="1:28">
      <c r="A93" s="14"/>
      <c r="B93" s="15"/>
      <c r="C93" s="16"/>
      <c r="D93" s="17"/>
      <c r="E93" s="12"/>
      <c r="F93" s="18"/>
      <c r="G93" s="19"/>
      <c r="H93" s="13"/>
      <c r="I93" s="19"/>
      <c r="J93" s="13"/>
      <c r="K93" s="19"/>
      <c r="L93" s="13"/>
      <c r="M93" s="19"/>
      <c r="N93" s="13"/>
      <c r="O93" s="19"/>
      <c r="P93" s="13"/>
      <c r="Q93" s="19"/>
      <c r="R93" s="13"/>
      <c r="S93" s="19"/>
      <c r="T93" s="13"/>
      <c r="U93" s="19"/>
      <c r="V93" s="13"/>
      <c r="W93" s="19"/>
      <c r="X93" s="13"/>
      <c r="Y93" s="557"/>
      <c r="Z93" s="460"/>
      <c r="AA93" s="783"/>
      <c r="AB93" s="460"/>
    </row>
    <row r="94" spans="1:28">
      <c r="A94" s="14"/>
      <c r="B94" s="15"/>
      <c r="C94" s="16"/>
      <c r="D94" s="17"/>
      <c r="E94" s="12"/>
      <c r="F94" s="18"/>
      <c r="G94" s="19"/>
      <c r="H94" s="13"/>
      <c r="I94" s="19"/>
      <c r="J94" s="13"/>
      <c r="K94" s="19"/>
      <c r="L94" s="13"/>
      <c r="M94" s="19"/>
      <c r="N94" s="13"/>
      <c r="O94" s="19"/>
      <c r="P94" s="13"/>
      <c r="Q94" s="19"/>
      <c r="R94" s="13"/>
      <c r="S94" s="19"/>
      <c r="T94" s="13"/>
      <c r="U94" s="19"/>
      <c r="V94" s="13"/>
      <c r="W94" s="19"/>
      <c r="X94" s="13"/>
      <c r="Y94" s="557"/>
      <c r="Z94" s="460"/>
      <c r="AA94" s="783"/>
      <c r="AB94" s="460"/>
    </row>
    <row r="95" spans="1:28">
      <c r="A95" s="14"/>
      <c r="B95" s="15"/>
      <c r="C95" s="16"/>
      <c r="D95" s="17"/>
      <c r="E95" s="12"/>
      <c r="F95" s="18"/>
      <c r="G95" s="19"/>
      <c r="H95" s="13"/>
      <c r="I95" s="19"/>
      <c r="J95" s="13"/>
      <c r="K95" s="19"/>
      <c r="L95" s="13"/>
      <c r="M95" s="19"/>
      <c r="N95" s="13"/>
      <c r="O95" s="19"/>
      <c r="P95" s="13"/>
      <c r="Q95" s="19"/>
      <c r="R95" s="13"/>
      <c r="S95" s="19"/>
      <c r="T95" s="13"/>
      <c r="U95" s="19"/>
      <c r="V95" s="13"/>
      <c r="W95" s="19"/>
      <c r="X95" s="13"/>
      <c r="Y95" s="557"/>
      <c r="Z95" s="460"/>
      <c r="AA95" s="783"/>
      <c r="AB95" s="460"/>
    </row>
    <row r="96" spans="1:28">
      <c r="A96" s="14"/>
      <c r="B96" s="15"/>
      <c r="C96" s="16"/>
      <c r="D96" s="17"/>
      <c r="E96" s="12"/>
      <c r="F96" s="18"/>
      <c r="G96" s="19"/>
      <c r="H96" s="13"/>
      <c r="I96" s="19"/>
      <c r="J96" s="13"/>
      <c r="K96" s="19"/>
      <c r="L96" s="13"/>
      <c r="M96" s="19"/>
      <c r="N96" s="13"/>
      <c r="O96" s="19"/>
      <c r="P96" s="13"/>
      <c r="Q96" s="19"/>
      <c r="R96" s="13"/>
      <c r="S96" s="19"/>
      <c r="T96" s="13"/>
      <c r="U96" s="19"/>
      <c r="V96" s="13"/>
      <c r="W96" s="19"/>
      <c r="X96" s="13"/>
      <c r="Y96" s="557"/>
      <c r="Z96" s="460"/>
      <c r="AA96" s="783"/>
      <c r="AB96" s="460"/>
    </row>
    <row r="97" spans="1:28">
      <c r="A97" s="14"/>
      <c r="B97" s="15"/>
      <c r="C97" s="16"/>
      <c r="D97" s="17"/>
      <c r="E97" s="12"/>
      <c r="F97" s="18"/>
      <c r="G97" s="19"/>
      <c r="H97" s="13"/>
      <c r="I97" s="19"/>
      <c r="J97" s="13"/>
      <c r="K97" s="19"/>
      <c r="L97" s="13"/>
      <c r="M97" s="19"/>
      <c r="N97" s="13"/>
      <c r="O97" s="19"/>
      <c r="P97" s="13"/>
      <c r="Q97" s="19"/>
      <c r="R97" s="13"/>
      <c r="S97" s="19"/>
      <c r="T97" s="13"/>
      <c r="U97" s="19"/>
      <c r="V97" s="13"/>
      <c r="W97" s="19"/>
      <c r="X97" s="13"/>
      <c r="Y97" s="557"/>
      <c r="Z97" s="460"/>
      <c r="AA97" s="783"/>
      <c r="AB97" s="460"/>
    </row>
    <row r="98" spans="1:28">
      <c r="A98" s="14"/>
      <c r="B98" s="15"/>
      <c r="C98" s="16"/>
      <c r="D98" s="17"/>
      <c r="E98" s="12"/>
      <c r="F98" s="18"/>
      <c r="G98" s="19"/>
      <c r="H98" s="13"/>
      <c r="I98" s="19"/>
      <c r="J98" s="13"/>
      <c r="K98" s="19"/>
      <c r="L98" s="13"/>
      <c r="M98" s="19"/>
      <c r="N98" s="13"/>
      <c r="O98" s="19"/>
      <c r="P98" s="13"/>
      <c r="Q98" s="19"/>
      <c r="R98" s="13"/>
      <c r="S98" s="19"/>
      <c r="T98" s="13"/>
      <c r="U98" s="19"/>
      <c r="V98" s="13"/>
      <c r="W98" s="19"/>
      <c r="X98" s="13"/>
      <c r="Y98" s="557"/>
      <c r="Z98" s="460"/>
      <c r="AA98" s="783"/>
      <c r="AB98" s="460"/>
    </row>
    <row r="99" spans="1:28">
      <c r="A99" s="14"/>
      <c r="B99" s="15"/>
      <c r="C99" s="16"/>
      <c r="D99" s="17"/>
      <c r="E99" s="12"/>
      <c r="F99" s="18"/>
      <c r="G99" s="19"/>
      <c r="H99" s="13"/>
      <c r="I99" s="19"/>
      <c r="J99" s="13"/>
      <c r="K99" s="19"/>
      <c r="L99" s="13"/>
      <c r="M99" s="19"/>
      <c r="N99" s="13"/>
      <c r="O99" s="19"/>
      <c r="P99" s="13"/>
      <c r="Q99" s="19"/>
      <c r="R99" s="13"/>
      <c r="S99" s="19"/>
      <c r="T99" s="13"/>
      <c r="U99" s="19"/>
      <c r="V99" s="13"/>
      <c r="W99" s="19"/>
      <c r="X99" s="13"/>
      <c r="Y99" s="557"/>
      <c r="Z99" s="460"/>
      <c r="AA99" s="783"/>
      <c r="AB99" s="460"/>
    </row>
    <row r="100" spans="1:28">
      <c r="A100" s="14"/>
      <c r="B100" s="15"/>
      <c r="C100" s="16"/>
      <c r="D100" s="17"/>
      <c r="E100" s="12"/>
      <c r="F100" s="18"/>
      <c r="G100" s="19"/>
      <c r="H100" s="13"/>
      <c r="I100" s="19"/>
      <c r="J100" s="13"/>
      <c r="K100" s="19"/>
      <c r="L100" s="13"/>
      <c r="M100" s="19"/>
      <c r="N100" s="13"/>
      <c r="O100" s="19"/>
      <c r="P100" s="13"/>
      <c r="Q100" s="19"/>
      <c r="R100" s="13"/>
      <c r="S100" s="19"/>
      <c r="T100" s="13"/>
      <c r="U100" s="19"/>
      <c r="V100" s="13"/>
      <c r="W100" s="19"/>
      <c r="X100" s="13"/>
      <c r="Y100" s="557"/>
      <c r="Z100" s="460"/>
      <c r="AA100" s="783"/>
      <c r="AB100" s="460"/>
    </row>
    <row r="101" spans="1:28">
      <c r="A101" s="14"/>
      <c r="B101" s="15"/>
      <c r="C101" s="16"/>
      <c r="D101" s="17"/>
      <c r="E101" s="12"/>
      <c r="F101" s="18"/>
      <c r="G101" s="19"/>
      <c r="H101" s="13"/>
      <c r="I101" s="19"/>
      <c r="J101" s="13"/>
      <c r="K101" s="19"/>
      <c r="L101" s="13"/>
      <c r="M101" s="19"/>
      <c r="N101" s="13"/>
      <c r="O101" s="19"/>
      <c r="P101" s="13"/>
      <c r="Q101" s="19"/>
      <c r="R101" s="13"/>
      <c r="S101" s="19"/>
      <c r="T101" s="13"/>
      <c r="U101" s="19"/>
      <c r="V101" s="13"/>
      <c r="W101" s="19"/>
      <c r="X101" s="13"/>
      <c r="Y101" s="557"/>
      <c r="Z101" s="460"/>
      <c r="AA101" s="783"/>
      <c r="AB101" s="460"/>
    </row>
    <row r="102" spans="1:28">
      <c r="A102" s="14"/>
      <c r="B102" s="15"/>
      <c r="C102" s="16"/>
      <c r="D102" s="17"/>
      <c r="E102" s="12"/>
      <c r="F102" s="18"/>
      <c r="G102" s="19"/>
      <c r="H102" s="13"/>
      <c r="I102" s="19"/>
      <c r="J102" s="13"/>
      <c r="K102" s="19"/>
      <c r="L102" s="13"/>
      <c r="M102" s="19"/>
      <c r="N102" s="13"/>
      <c r="O102" s="19"/>
      <c r="P102" s="13"/>
      <c r="Q102" s="19"/>
      <c r="R102" s="13"/>
      <c r="S102" s="19"/>
      <c r="T102" s="13"/>
      <c r="U102" s="19"/>
      <c r="V102" s="13"/>
      <c r="W102" s="19"/>
      <c r="X102" s="13"/>
      <c r="Y102" s="557"/>
      <c r="Z102" s="460"/>
      <c r="AA102" s="783"/>
      <c r="AB102" s="460"/>
    </row>
    <row r="103" spans="1:28">
      <c r="A103" s="14"/>
      <c r="B103" s="15"/>
      <c r="C103" s="16"/>
      <c r="D103" s="17"/>
      <c r="E103" s="12"/>
      <c r="F103" s="18"/>
      <c r="G103" s="19"/>
      <c r="H103" s="13"/>
      <c r="I103" s="19"/>
      <c r="J103" s="13"/>
      <c r="K103" s="19"/>
      <c r="L103" s="13"/>
      <c r="M103" s="19"/>
      <c r="N103" s="13"/>
      <c r="O103" s="19"/>
      <c r="P103" s="13"/>
      <c r="Q103" s="19"/>
      <c r="R103" s="13"/>
      <c r="S103" s="19"/>
      <c r="T103" s="13"/>
      <c r="U103" s="19"/>
      <c r="V103" s="13"/>
      <c r="W103" s="19"/>
      <c r="X103" s="13"/>
      <c r="Y103" s="557"/>
      <c r="Z103" s="460"/>
      <c r="AA103" s="783"/>
      <c r="AB103" s="460"/>
    </row>
    <row r="104" spans="1:28">
      <c r="A104" s="14"/>
      <c r="B104" s="15"/>
      <c r="C104" s="16"/>
      <c r="D104" s="17"/>
      <c r="E104" s="12"/>
      <c r="F104" s="18"/>
      <c r="G104" s="19"/>
      <c r="H104" s="13"/>
      <c r="I104" s="19"/>
      <c r="J104" s="13"/>
      <c r="K104" s="19"/>
      <c r="L104" s="13"/>
      <c r="M104" s="19"/>
      <c r="N104" s="13"/>
      <c r="O104" s="19"/>
      <c r="P104" s="13"/>
      <c r="Q104" s="19"/>
      <c r="R104" s="13"/>
      <c r="S104" s="19"/>
      <c r="T104" s="13"/>
      <c r="U104" s="19"/>
      <c r="V104" s="13"/>
      <c r="W104" s="19"/>
      <c r="X104" s="13"/>
      <c r="Y104" s="557"/>
      <c r="Z104" s="460"/>
      <c r="AA104" s="783"/>
      <c r="AB104" s="460"/>
    </row>
    <row r="105" spans="1:28">
      <c r="A105" s="14"/>
      <c r="B105" s="15"/>
      <c r="C105" s="16"/>
      <c r="D105" s="17"/>
      <c r="E105" s="12"/>
      <c r="F105" s="18"/>
      <c r="G105" s="19"/>
      <c r="H105" s="13"/>
      <c r="I105" s="19"/>
      <c r="J105" s="13"/>
      <c r="K105" s="19"/>
      <c r="L105" s="13"/>
      <c r="M105" s="19"/>
      <c r="N105" s="13"/>
      <c r="O105" s="19"/>
      <c r="P105" s="13"/>
      <c r="Q105" s="19"/>
      <c r="R105" s="13"/>
      <c r="S105" s="19"/>
      <c r="T105" s="13"/>
      <c r="U105" s="19"/>
      <c r="V105" s="13"/>
      <c r="W105" s="19"/>
      <c r="X105" s="13"/>
      <c r="Y105" s="557"/>
      <c r="Z105" s="460"/>
      <c r="AA105" s="783"/>
      <c r="AB105" s="460"/>
    </row>
    <row r="106" spans="1:28">
      <c r="A106" s="14"/>
      <c r="B106" s="15"/>
      <c r="C106" s="16"/>
      <c r="D106" s="17"/>
      <c r="E106" s="12"/>
      <c r="F106" s="18"/>
      <c r="G106" s="19"/>
      <c r="H106" s="13"/>
      <c r="I106" s="19"/>
      <c r="J106" s="13"/>
      <c r="K106" s="19"/>
      <c r="L106" s="13"/>
      <c r="M106" s="19"/>
      <c r="N106" s="13"/>
      <c r="O106" s="19"/>
      <c r="P106" s="13"/>
      <c r="Q106" s="19"/>
      <c r="R106" s="13"/>
      <c r="S106" s="19"/>
      <c r="T106" s="13"/>
      <c r="U106" s="19"/>
      <c r="V106" s="13"/>
      <c r="W106" s="19"/>
      <c r="X106" s="13"/>
      <c r="Y106" s="557"/>
      <c r="Z106" s="460"/>
      <c r="AA106" s="783"/>
      <c r="AB106" s="460"/>
    </row>
    <row r="107" spans="1:28">
      <c r="A107" s="14"/>
      <c r="B107" s="15"/>
      <c r="C107" s="16"/>
      <c r="D107" s="17"/>
      <c r="E107" s="12"/>
      <c r="F107" s="18"/>
      <c r="G107" s="19"/>
      <c r="H107" s="13"/>
      <c r="I107" s="19"/>
      <c r="J107" s="13"/>
      <c r="K107" s="19"/>
      <c r="L107" s="13"/>
      <c r="M107" s="19"/>
      <c r="N107" s="13"/>
      <c r="O107" s="19"/>
      <c r="P107" s="13"/>
      <c r="Q107" s="19"/>
      <c r="R107" s="13"/>
      <c r="S107" s="19"/>
      <c r="T107" s="13"/>
      <c r="U107" s="19"/>
      <c r="V107" s="13"/>
      <c r="W107" s="19"/>
      <c r="X107" s="13"/>
      <c r="Y107" s="557"/>
      <c r="Z107" s="460"/>
      <c r="AA107" s="783"/>
      <c r="AB107" s="460"/>
    </row>
    <row r="108" spans="1:28">
      <c r="A108" s="14"/>
      <c r="B108" s="15"/>
      <c r="C108" s="16"/>
      <c r="D108" s="17"/>
      <c r="E108" s="12"/>
      <c r="F108" s="18"/>
      <c r="G108" s="19"/>
      <c r="H108" s="13"/>
      <c r="I108" s="19"/>
      <c r="J108" s="13"/>
      <c r="K108" s="19"/>
      <c r="L108" s="13"/>
      <c r="M108" s="19"/>
      <c r="N108" s="13"/>
      <c r="O108" s="19"/>
      <c r="P108" s="13"/>
      <c r="Q108" s="19"/>
      <c r="R108" s="13"/>
      <c r="S108" s="19"/>
      <c r="T108" s="13"/>
      <c r="U108" s="19"/>
      <c r="V108" s="13"/>
      <c r="W108" s="19"/>
      <c r="X108" s="13"/>
      <c r="Y108" s="557"/>
      <c r="Z108" s="460"/>
      <c r="AA108" s="783"/>
      <c r="AB108" s="460"/>
    </row>
    <row r="109" spans="1:28">
      <c r="A109" s="14"/>
      <c r="B109" s="15"/>
      <c r="C109" s="16"/>
      <c r="D109" s="17"/>
      <c r="E109" s="12"/>
      <c r="F109" s="18"/>
      <c r="G109" s="19"/>
      <c r="H109" s="13"/>
      <c r="I109" s="19"/>
      <c r="J109" s="13"/>
      <c r="K109" s="19"/>
      <c r="L109" s="13"/>
      <c r="M109" s="19"/>
      <c r="N109" s="13"/>
      <c r="O109" s="19"/>
      <c r="P109" s="13"/>
      <c r="Q109" s="19"/>
      <c r="R109" s="13"/>
      <c r="S109" s="19"/>
      <c r="T109" s="13"/>
      <c r="U109" s="19"/>
      <c r="V109" s="13"/>
      <c r="W109" s="19"/>
      <c r="X109" s="13"/>
      <c r="Y109" s="557"/>
      <c r="Z109" s="460"/>
      <c r="AA109" s="783"/>
      <c r="AB109" s="460"/>
    </row>
    <row r="110" spans="1:28">
      <c r="A110" s="14"/>
      <c r="B110" s="15"/>
      <c r="C110" s="16"/>
      <c r="D110" s="17"/>
      <c r="E110" s="12"/>
      <c r="F110" s="18"/>
      <c r="G110" s="19"/>
      <c r="H110" s="13"/>
      <c r="I110" s="19"/>
      <c r="J110" s="13"/>
      <c r="K110" s="19"/>
      <c r="L110" s="13"/>
      <c r="M110" s="19"/>
      <c r="N110" s="13"/>
      <c r="O110" s="19"/>
      <c r="P110" s="13"/>
      <c r="Q110" s="19"/>
      <c r="R110" s="13"/>
      <c r="S110" s="19"/>
      <c r="T110" s="13"/>
      <c r="U110" s="19"/>
      <c r="V110" s="13"/>
      <c r="W110" s="19"/>
      <c r="X110" s="13"/>
      <c r="Y110" s="557"/>
      <c r="Z110" s="460"/>
      <c r="AA110" s="783"/>
      <c r="AB110" s="460"/>
    </row>
    <row r="111" spans="1:28">
      <c r="A111" s="14"/>
      <c r="B111" s="15"/>
      <c r="C111" s="16"/>
      <c r="D111" s="17"/>
      <c r="E111" s="12"/>
      <c r="F111" s="18"/>
      <c r="G111" s="19"/>
      <c r="H111" s="13"/>
      <c r="I111" s="19"/>
      <c r="J111" s="13"/>
      <c r="K111" s="19"/>
      <c r="L111" s="13"/>
      <c r="M111" s="19"/>
      <c r="N111" s="13"/>
      <c r="O111" s="19"/>
      <c r="P111" s="13"/>
      <c r="Q111" s="19"/>
      <c r="R111" s="13"/>
      <c r="S111" s="19"/>
      <c r="T111" s="13"/>
      <c r="U111" s="19"/>
      <c r="V111" s="13"/>
      <c r="W111" s="19"/>
      <c r="X111" s="13"/>
      <c r="Y111" s="557"/>
      <c r="Z111" s="460"/>
      <c r="AA111" s="783"/>
      <c r="AB111" s="460"/>
    </row>
    <row r="112" spans="1:28">
      <c r="A112" s="14"/>
      <c r="B112" s="15"/>
      <c r="C112" s="16"/>
      <c r="D112" s="17"/>
      <c r="E112" s="12"/>
      <c r="F112" s="18"/>
      <c r="G112" s="19"/>
      <c r="H112" s="13"/>
      <c r="I112" s="19"/>
      <c r="J112" s="13"/>
      <c r="K112" s="19"/>
      <c r="L112" s="13"/>
      <c r="M112" s="19"/>
      <c r="N112" s="13"/>
      <c r="O112" s="19"/>
      <c r="P112" s="13"/>
      <c r="Q112" s="19"/>
      <c r="R112" s="13"/>
      <c r="S112" s="19"/>
      <c r="T112" s="13"/>
      <c r="U112" s="19"/>
      <c r="V112" s="13"/>
      <c r="W112" s="19"/>
      <c r="X112" s="13"/>
      <c r="Y112" s="557"/>
      <c r="Z112" s="460"/>
      <c r="AA112" s="783"/>
      <c r="AB112" s="460"/>
    </row>
    <row r="113" spans="1:28">
      <c r="A113" s="14"/>
      <c r="B113" s="15"/>
      <c r="C113" s="16"/>
      <c r="D113" s="17"/>
      <c r="E113" s="12"/>
      <c r="F113" s="18"/>
      <c r="G113" s="19"/>
      <c r="H113" s="13"/>
      <c r="I113" s="19"/>
      <c r="J113" s="13"/>
      <c r="K113" s="19"/>
      <c r="L113" s="13"/>
      <c r="M113" s="19"/>
      <c r="N113" s="13"/>
      <c r="O113" s="19"/>
      <c r="P113" s="13"/>
      <c r="Q113" s="19"/>
      <c r="R113" s="13"/>
      <c r="S113" s="19"/>
      <c r="T113" s="13"/>
      <c r="U113" s="19"/>
      <c r="V113" s="13"/>
      <c r="W113" s="19"/>
      <c r="X113" s="13"/>
      <c r="Y113" s="557"/>
      <c r="Z113" s="460"/>
      <c r="AA113" s="783"/>
      <c r="AB113" s="460"/>
    </row>
    <row r="114" spans="1:28">
      <c r="A114" s="14"/>
      <c r="B114" s="15"/>
      <c r="C114" s="16"/>
      <c r="D114" s="17"/>
      <c r="E114" s="12"/>
      <c r="F114" s="18"/>
      <c r="G114" s="19"/>
      <c r="H114" s="13"/>
      <c r="I114" s="19"/>
      <c r="J114" s="13"/>
      <c r="K114" s="19"/>
      <c r="L114" s="13"/>
      <c r="M114" s="19"/>
      <c r="N114" s="13"/>
      <c r="O114" s="19"/>
      <c r="P114" s="13"/>
      <c r="Q114" s="19"/>
      <c r="R114" s="13"/>
      <c r="S114" s="19"/>
      <c r="T114" s="13"/>
      <c r="U114" s="19"/>
      <c r="V114" s="13"/>
      <c r="W114" s="19"/>
      <c r="X114" s="13"/>
      <c r="Y114" s="557"/>
      <c r="Z114" s="460"/>
      <c r="AA114" s="783"/>
      <c r="AB114" s="460"/>
    </row>
    <row r="115" spans="1:28">
      <c r="A115" s="14"/>
      <c r="B115" s="15"/>
      <c r="C115" s="16"/>
      <c r="D115" s="17"/>
      <c r="E115" s="12"/>
      <c r="F115" s="18"/>
      <c r="G115" s="19"/>
      <c r="H115" s="13"/>
      <c r="I115" s="19"/>
      <c r="J115" s="13"/>
      <c r="K115" s="19"/>
      <c r="L115" s="13"/>
      <c r="M115" s="19"/>
      <c r="N115" s="13"/>
      <c r="O115" s="19"/>
      <c r="P115" s="13"/>
      <c r="Q115" s="19"/>
      <c r="R115" s="13"/>
      <c r="S115" s="19"/>
      <c r="T115" s="13"/>
      <c r="U115" s="19"/>
      <c r="V115" s="13"/>
      <c r="W115" s="19"/>
      <c r="X115" s="13"/>
      <c r="Y115" s="557"/>
      <c r="Z115" s="460"/>
      <c r="AA115" s="783"/>
      <c r="AB115" s="460"/>
    </row>
    <row r="116" spans="1:28">
      <c r="A116" s="14"/>
      <c r="B116" s="15"/>
      <c r="C116" s="16"/>
      <c r="D116" s="17"/>
      <c r="E116" s="12"/>
      <c r="F116" s="18"/>
      <c r="G116" s="19"/>
      <c r="H116" s="13"/>
      <c r="I116" s="19"/>
      <c r="J116" s="13"/>
      <c r="K116" s="19"/>
      <c r="L116" s="13"/>
      <c r="M116" s="19"/>
      <c r="N116" s="13"/>
      <c r="O116" s="19"/>
      <c r="P116" s="13"/>
      <c r="Q116" s="19"/>
      <c r="R116" s="13"/>
      <c r="S116" s="19"/>
      <c r="T116" s="13"/>
      <c r="U116" s="19"/>
      <c r="V116" s="13"/>
      <c r="W116" s="19"/>
      <c r="X116" s="13"/>
      <c r="Y116" s="557"/>
      <c r="Z116" s="460"/>
      <c r="AA116" s="783"/>
      <c r="AB116" s="460"/>
    </row>
    <row r="117" spans="1:28">
      <c r="A117" s="14"/>
      <c r="B117" s="15"/>
      <c r="C117" s="16"/>
      <c r="D117" s="17"/>
      <c r="E117" s="12"/>
      <c r="F117" s="18"/>
      <c r="G117" s="19"/>
      <c r="H117" s="13"/>
      <c r="I117" s="19"/>
      <c r="J117" s="13"/>
      <c r="K117" s="19"/>
      <c r="L117" s="13"/>
      <c r="M117" s="19"/>
      <c r="N117" s="13"/>
      <c r="O117" s="19"/>
      <c r="P117" s="13"/>
      <c r="Q117" s="19"/>
      <c r="R117" s="13"/>
      <c r="S117" s="19"/>
      <c r="T117" s="13"/>
      <c r="U117" s="19"/>
      <c r="V117" s="13"/>
      <c r="W117" s="19"/>
      <c r="X117" s="13"/>
      <c r="Y117" s="557"/>
      <c r="Z117" s="460"/>
      <c r="AA117" s="783"/>
      <c r="AB117" s="460"/>
    </row>
    <row r="118" spans="1:28">
      <c r="A118" s="14"/>
      <c r="B118" s="15"/>
      <c r="C118" s="16"/>
      <c r="D118" s="17"/>
      <c r="E118" s="12"/>
      <c r="F118" s="18"/>
      <c r="G118" s="19"/>
      <c r="H118" s="13"/>
      <c r="I118" s="19"/>
      <c r="J118" s="13"/>
      <c r="K118" s="19"/>
      <c r="L118" s="13"/>
      <c r="M118" s="19"/>
      <c r="N118" s="13"/>
      <c r="O118" s="19"/>
      <c r="P118" s="13"/>
      <c r="Q118" s="19"/>
      <c r="R118" s="13"/>
      <c r="S118" s="19"/>
      <c r="T118" s="13"/>
      <c r="U118" s="19"/>
      <c r="V118" s="13"/>
      <c r="W118" s="19"/>
      <c r="X118" s="13"/>
      <c r="Y118" s="557"/>
      <c r="Z118" s="460"/>
      <c r="AA118" s="783"/>
      <c r="AB118" s="460"/>
    </row>
    <row r="119" spans="1:28">
      <c r="A119" s="14"/>
      <c r="B119" s="15"/>
      <c r="C119" s="16"/>
      <c r="D119" s="17"/>
      <c r="E119" s="12"/>
      <c r="F119" s="18"/>
      <c r="G119" s="19"/>
      <c r="H119" s="13"/>
      <c r="I119" s="19"/>
      <c r="J119" s="13"/>
      <c r="K119" s="19"/>
      <c r="L119" s="13"/>
      <c r="M119" s="19"/>
      <c r="N119" s="13"/>
      <c r="O119" s="19"/>
      <c r="P119" s="13"/>
      <c r="Q119" s="19"/>
      <c r="R119" s="13"/>
      <c r="S119" s="19"/>
      <c r="T119" s="13"/>
      <c r="U119" s="19"/>
      <c r="V119" s="13"/>
      <c r="W119" s="19"/>
      <c r="X119" s="13"/>
      <c r="Y119" s="557"/>
      <c r="Z119" s="460"/>
      <c r="AA119" s="783"/>
      <c r="AB119" s="460"/>
    </row>
    <row r="120" spans="1:28">
      <c r="A120" s="14"/>
      <c r="B120" s="15"/>
      <c r="C120" s="16"/>
      <c r="D120" s="17"/>
      <c r="E120" s="12"/>
      <c r="F120" s="18"/>
      <c r="G120" s="19"/>
      <c r="H120" s="13"/>
      <c r="I120" s="19"/>
      <c r="J120" s="13"/>
      <c r="K120" s="19"/>
      <c r="L120" s="13"/>
      <c r="M120" s="19"/>
      <c r="N120" s="13"/>
      <c r="O120" s="19"/>
      <c r="P120" s="13"/>
      <c r="Q120" s="19"/>
      <c r="R120" s="13"/>
      <c r="S120" s="19"/>
      <c r="T120" s="13"/>
      <c r="U120" s="19"/>
      <c r="V120" s="13"/>
      <c r="W120" s="19"/>
      <c r="X120" s="13"/>
      <c r="Y120" s="557"/>
      <c r="Z120" s="460"/>
      <c r="AA120" s="783"/>
      <c r="AB120" s="460"/>
    </row>
    <row r="121" spans="1:28">
      <c r="A121" s="14"/>
      <c r="B121" s="15"/>
      <c r="C121" s="16"/>
      <c r="D121" s="17"/>
      <c r="E121" s="12"/>
      <c r="F121" s="18"/>
      <c r="G121" s="19"/>
      <c r="H121" s="13"/>
      <c r="I121" s="19"/>
      <c r="J121" s="13"/>
      <c r="K121" s="19"/>
      <c r="L121" s="13"/>
      <c r="M121" s="19"/>
      <c r="N121" s="13"/>
      <c r="O121" s="19"/>
      <c r="P121" s="13"/>
      <c r="Q121" s="19"/>
      <c r="R121" s="13"/>
      <c r="S121" s="19"/>
      <c r="T121" s="13"/>
      <c r="U121" s="19"/>
      <c r="V121" s="13"/>
      <c r="W121" s="19"/>
      <c r="X121" s="13"/>
      <c r="Y121" s="557"/>
      <c r="Z121" s="460"/>
      <c r="AA121" s="783"/>
      <c r="AB121" s="460"/>
    </row>
    <row r="122" spans="1:28">
      <c r="A122" s="14"/>
      <c r="B122" s="15"/>
      <c r="C122" s="16"/>
      <c r="D122" s="17"/>
      <c r="E122" s="12"/>
      <c r="F122" s="18"/>
      <c r="G122" s="19"/>
      <c r="H122" s="13"/>
      <c r="I122" s="19"/>
      <c r="J122" s="13"/>
      <c r="K122" s="19"/>
      <c r="L122" s="13"/>
      <c r="M122" s="19"/>
      <c r="N122" s="13"/>
      <c r="O122" s="19"/>
      <c r="P122" s="13"/>
      <c r="Q122" s="19"/>
      <c r="R122" s="13"/>
      <c r="S122" s="19"/>
      <c r="T122" s="13"/>
      <c r="U122" s="19"/>
      <c r="V122" s="13"/>
      <c r="W122" s="19"/>
      <c r="X122" s="13"/>
      <c r="Y122" s="557"/>
      <c r="Z122" s="460"/>
      <c r="AA122" s="783"/>
      <c r="AB122" s="460"/>
    </row>
    <row r="123" spans="1:28">
      <c r="A123" s="14"/>
      <c r="B123" s="15"/>
      <c r="C123" s="16"/>
      <c r="D123" s="17"/>
      <c r="E123" s="12"/>
      <c r="F123" s="18"/>
      <c r="G123" s="19"/>
      <c r="H123" s="13"/>
      <c r="I123" s="19"/>
      <c r="J123" s="13"/>
      <c r="K123" s="19"/>
      <c r="L123" s="13"/>
      <c r="M123" s="19"/>
      <c r="N123" s="13"/>
      <c r="O123" s="19"/>
      <c r="P123" s="13"/>
      <c r="Q123" s="19"/>
      <c r="R123" s="13"/>
      <c r="S123" s="19"/>
      <c r="T123" s="13"/>
      <c r="U123" s="19"/>
      <c r="V123" s="13"/>
      <c r="W123" s="19"/>
      <c r="X123" s="13"/>
      <c r="Y123" s="557"/>
      <c r="Z123" s="460"/>
      <c r="AA123" s="783"/>
      <c r="AB123" s="460"/>
    </row>
    <row r="124" spans="1:28">
      <c r="A124" s="14"/>
      <c r="B124" s="15"/>
      <c r="C124" s="16"/>
      <c r="D124" s="17"/>
      <c r="E124" s="12"/>
      <c r="F124" s="18"/>
      <c r="G124" s="19"/>
      <c r="H124" s="13"/>
      <c r="I124" s="19"/>
      <c r="J124" s="13"/>
      <c r="K124" s="19"/>
      <c r="L124" s="13"/>
      <c r="M124" s="19"/>
      <c r="N124" s="13"/>
      <c r="O124" s="19"/>
      <c r="P124" s="13"/>
      <c r="Q124" s="19"/>
      <c r="R124" s="13"/>
      <c r="S124" s="19"/>
      <c r="T124" s="13"/>
      <c r="U124" s="19"/>
      <c r="V124" s="13"/>
      <c r="W124" s="19"/>
      <c r="X124" s="13"/>
      <c r="Y124" s="557"/>
      <c r="Z124" s="460"/>
      <c r="AA124" s="783"/>
      <c r="AB124" s="460"/>
    </row>
    <row r="125" spans="1:28">
      <c r="A125" s="14"/>
      <c r="B125" s="15"/>
      <c r="C125" s="16"/>
      <c r="D125" s="17"/>
      <c r="E125" s="12"/>
      <c r="F125" s="18"/>
      <c r="G125" s="19"/>
      <c r="H125" s="13"/>
      <c r="I125" s="19"/>
      <c r="J125" s="13"/>
      <c r="K125" s="19"/>
      <c r="L125" s="13"/>
      <c r="M125" s="19"/>
      <c r="N125" s="13"/>
      <c r="O125" s="19"/>
      <c r="P125" s="13"/>
      <c r="Q125" s="19"/>
      <c r="R125" s="13"/>
      <c r="S125" s="19"/>
      <c r="T125" s="13"/>
      <c r="U125" s="19"/>
      <c r="V125" s="13"/>
      <c r="W125" s="19"/>
      <c r="X125" s="13"/>
      <c r="Y125" s="557"/>
      <c r="Z125" s="460"/>
      <c r="AA125" s="783"/>
      <c r="AB125" s="460"/>
    </row>
    <row r="126" spans="1:28">
      <c r="A126" s="14"/>
      <c r="B126" s="15"/>
      <c r="C126" s="16"/>
      <c r="D126" s="17"/>
      <c r="E126" s="12"/>
      <c r="F126" s="18"/>
      <c r="G126" s="19"/>
      <c r="H126" s="13"/>
      <c r="I126" s="19"/>
      <c r="J126" s="13"/>
      <c r="K126" s="19"/>
      <c r="L126" s="13"/>
      <c r="M126" s="19"/>
      <c r="N126" s="13"/>
      <c r="O126" s="19"/>
      <c r="P126" s="13"/>
      <c r="Q126" s="19"/>
      <c r="R126" s="13"/>
      <c r="S126" s="19"/>
      <c r="T126" s="13"/>
      <c r="U126" s="19"/>
      <c r="V126" s="13"/>
      <c r="W126" s="19"/>
      <c r="X126" s="13"/>
      <c r="Y126" s="557"/>
      <c r="Z126" s="460"/>
      <c r="AA126" s="783"/>
      <c r="AB126" s="460"/>
    </row>
    <row r="127" spans="1:28">
      <c r="A127" s="14"/>
      <c r="B127" s="15"/>
      <c r="C127" s="16"/>
      <c r="D127" s="17"/>
      <c r="E127" s="12"/>
      <c r="F127" s="18"/>
      <c r="G127" s="19"/>
      <c r="H127" s="13"/>
      <c r="I127" s="19"/>
      <c r="J127" s="13"/>
      <c r="K127" s="19"/>
      <c r="L127" s="13"/>
      <c r="M127" s="19"/>
      <c r="N127" s="13"/>
      <c r="O127" s="19"/>
      <c r="P127" s="13"/>
      <c r="Q127" s="19"/>
      <c r="R127" s="13"/>
      <c r="S127" s="19"/>
      <c r="T127" s="13"/>
      <c r="U127" s="19"/>
      <c r="V127" s="13"/>
      <c r="W127" s="19"/>
      <c r="X127" s="13"/>
      <c r="Y127" s="557"/>
      <c r="Z127" s="460"/>
      <c r="AA127" s="783"/>
      <c r="AB127" s="460"/>
    </row>
    <row r="128" spans="1:28">
      <c r="A128" s="14"/>
      <c r="B128" s="15"/>
      <c r="C128" s="16"/>
      <c r="D128" s="17"/>
      <c r="E128" s="12"/>
      <c r="F128" s="18"/>
      <c r="G128" s="19"/>
      <c r="H128" s="13"/>
      <c r="I128" s="19"/>
      <c r="J128" s="13"/>
      <c r="K128" s="19"/>
      <c r="L128" s="13"/>
      <c r="M128" s="19"/>
      <c r="N128" s="13"/>
      <c r="O128" s="19"/>
      <c r="P128" s="13"/>
      <c r="Q128" s="19"/>
      <c r="R128" s="13"/>
      <c r="S128" s="19"/>
      <c r="T128" s="13"/>
      <c r="U128" s="19"/>
      <c r="V128" s="13"/>
      <c r="W128" s="19"/>
      <c r="X128" s="13"/>
      <c r="Y128" s="557"/>
      <c r="Z128" s="460"/>
      <c r="AA128" s="783"/>
      <c r="AB128" s="460"/>
    </row>
    <row r="129" spans="1:28">
      <c r="A129" s="14"/>
      <c r="B129" s="15"/>
      <c r="C129" s="16"/>
      <c r="D129" s="17"/>
      <c r="E129" s="12"/>
      <c r="F129" s="18"/>
      <c r="G129" s="19"/>
      <c r="H129" s="13"/>
      <c r="I129" s="19"/>
      <c r="J129" s="13"/>
      <c r="K129" s="19"/>
      <c r="L129" s="13"/>
      <c r="M129" s="19"/>
      <c r="N129" s="13"/>
      <c r="O129" s="19"/>
      <c r="P129" s="13"/>
      <c r="Q129" s="19"/>
      <c r="R129" s="13"/>
      <c r="S129" s="19"/>
      <c r="T129" s="13"/>
      <c r="U129" s="19"/>
      <c r="V129" s="13"/>
      <c r="W129" s="19"/>
      <c r="X129" s="13"/>
      <c r="Y129" s="557"/>
      <c r="Z129" s="460"/>
      <c r="AA129" s="783"/>
      <c r="AB129" s="460"/>
    </row>
    <row r="130" spans="1:28">
      <c r="A130" s="14"/>
      <c r="B130" s="15"/>
      <c r="C130" s="16"/>
      <c r="D130" s="17"/>
      <c r="E130" s="12"/>
      <c r="F130" s="18"/>
      <c r="G130" s="19"/>
      <c r="H130" s="13"/>
      <c r="I130" s="19"/>
      <c r="J130" s="13"/>
      <c r="K130" s="19"/>
      <c r="L130" s="13"/>
      <c r="M130" s="19"/>
      <c r="N130" s="13"/>
      <c r="O130" s="19"/>
      <c r="P130" s="13"/>
      <c r="Q130" s="19"/>
      <c r="R130" s="13"/>
      <c r="S130" s="19"/>
      <c r="T130" s="13"/>
      <c r="U130" s="19"/>
      <c r="V130" s="13"/>
      <c r="W130" s="19"/>
      <c r="X130" s="13"/>
      <c r="Y130" s="557"/>
      <c r="Z130" s="460"/>
      <c r="AA130" s="783"/>
      <c r="AB130" s="460"/>
    </row>
    <row r="131" spans="1:28">
      <c r="A131" s="14"/>
      <c r="B131" s="15"/>
      <c r="C131" s="16"/>
      <c r="D131" s="17"/>
      <c r="E131" s="12"/>
      <c r="F131" s="18"/>
      <c r="G131" s="19"/>
      <c r="H131" s="13"/>
      <c r="I131" s="19"/>
      <c r="J131" s="13"/>
      <c r="K131" s="19"/>
      <c r="L131" s="13"/>
      <c r="M131" s="19"/>
      <c r="N131" s="13"/>
      <c r="O131" s="19"/>
      <c r="P131" s="13"/>
      <c r="Q131" s="19"/>
      <c r="R131" s="13"/>
      <c r="S131" s="19"/>
      <c r="T131" s="13"/>
      <c r="U131" s="19"/>
      <c r="V131" s="13"/>
      <c r="W131" s="19"/>
      <c r="X131" s="13"/>
      <c r="Y131" s="557"/>
      <c r="Z131" s="460"/>
      <c r="AA131" s="783"/>
      <c r="AB131" s="460"/>
    </row>
    <row r="132" spans="1:28">
      <c r="A132" s="14"/>
      <c r="B132" s="15"/>
      <c r="C132" s="16"/>
      <c r="D132" s="17"/>
      <c r="E132" s="12"/>
      <c r="F132" s="18"/>
      <c r="G132" s="19"/>
      <c r="H132" s="13"/>
      <c r="I132" s="19"/>
      <c r="J132" s="13"/>
      <c r="K132" s="19"/>
      <c r="L132" s="13"/>
      <c r="M132" s="19"/>
      <c r="N132" s="13"/>
      <c r="O132" s="19"/>
      <c r="P132" s="13"/>
      <c r="Q132" s="19"/>
      <c r="R132" s="13"/>
      <c r="S132" s="19"/>
      <c r="T132" s="13"/>
      <c r="U132" s="19"/>
      <c r="V132" s="13"/>
      <c r="W132" s="19"/>
      <c r="X132" s="13"/>
      <c r="Y132" s="557"/>
      <c r="Z132" s="460"/>
      <c r="AA132" s="783"/>
      <c r="AB132" s="460"/>
    </row>
    <row r="133" spans="1:28">
      <c r="A133" s="14"/>
      <c r="B133" s="15"/>
      <c r="C133" s="16"/>
      <c r="D133" s="17"/>
      <c r="E133" s="12"/>
      <c r="F133" s="18"/>
      <c r="G133" s="19"/>
      <c r="H133" s="13"/>
      <c r="I133" s="19"/>
      <c r="J133" s="13"/>
      <c r="K133" s="19"/>
      <c r="L133" s="13"/>
      <c r="M133" s="19"/>
      <c r="N133" s="13"/>
      <c r="O133" s="19"/>
      <c r="P133" s="13"/>
      <c r="Q133" s="19"/>
      <c r="R133" s="13"/>
      <c r="S133" s="19"/>
      <c r="T133" s="13"/>
      <c r="U133" s="19"/>
      <c r="V133" s="13"/>
      <c r="W133" s="19"/>
      <c r="X133" s="13"/>
      <c r="Y133" s="557"/>
      <c r="Z133" s="460"/>
      <c r="AA133" s="783"/>
      <c r="AB133" s="460"/>
    </row>
    <row r="134" spans="1:28">
      <c r="A134" s="14"/>
      <c r="B134" s="15"/>
      <c r="C134" s="16"/>
      <c r="D134" s="17"/>
      <c r="E134" s="12"/>
      <c r="F134" s="18"/>
      <c r="G134" s="19"/>
      <c r="H134" s="13"/>
      <c r="I134" s="19"/>
      <c r="J134" s="13"/>
      <c r="K134" s="19"/>
      <c r="L134" s="13"/>
      <c r="M134" s="19"/>
      <c r="N134" s="13"/>
      <c r="O134" s="19"/>
      <c r="P134" s="13"/>
      <c r="Q134" s="19"/>
      <c r="R134" s="13"/>
      <c r="S134" s="19"/>
      <c r="T134" s="13"/>
      <c r="U134" s="19"/>
      <c r="V134" s="13"/>
      <c r="W134" s="19"/>
      <c r="X134" s="13"/>
      <c r="Y134" s="557"/>
      <c r="Z134" s="460"/>
      <c r="AA134" s="783"/>
      <c r="AB134" s="460"/>
    </row>
    <row r="135" spans="1:28">
      <c r="A135" s="14"/>
      <c r="B135" s="15"/>
      <c r="C135" s="16"/>
      <c r="D135" s="17"/>
      <c r="E135" s="12"/>
      <c r="F135" s="18"/>
      <c r="G135" s="19"/>
      <c r="H135" s="13"/>
      <c r="I135" s="19"/>
      <c r="J135" s="13"/>
      <c r="K135" s="19"/>
      <c r="L135" s="13"/>
      <c r="M135" s="19"/>
      <c r="N135" s="13"/>
      <c r="O135" s="19"/>
      <c r="P135" s="13"/>
      <c r="Q135" s="19"/>
      <c r="R135" s="13"/>
      <c r="S135" s="19"/>
      <c r="T135" s="13"/>
      <c r="U135" s="19"/>
      <c r="V135" s="13"/>
      <c r="W135" s="19"/>
      <c r="X135" s="13"/>
      <c r="Y135" s="557"/>
      <c r="Z135" s="460"/>
      <c r="AA135" s="783"/>
      <c r="AB135" s="460"/>
    </row>
    <row r="136" spans="1:28">
      <c r="A136" s="14"/>
      <c r="B136" s="15"/>
      <c r="C136" s="16"/>
      <c r="D136" s="17"/>
      <c r="E136" s="12"/>
      <c r="F136" s="18"/>
      <c r="G136" s="19"/>
      <c r="H136" s="13"/>
      <c r="I136" s="19"/>
      <c r="J136" s="13"/>
      <c r="K136" s="19"/>
      <c r="L136" s="13"/>
      <c r="M136" s="19"/>
      <c r="N136" s="13"/>
      <c r="O136" s="19"/>
      <c r="P136" s="13"/>
      <c r="Q136" s="19"/>
      <c r="R136" s="13"/>
      <c r="S136" s="19"/>
      <c r="T136" s="13"/>
      <c r="U136" s="19"/>
      <c r="V136" s="13"/>
      <c r="W136" s="19"/>
      <c r="X136" s="13"/>
      <c r="Y136" s="557"/>
      <c r="Z136" s="460"/>
      <c r="AA136" s="783"/>
      <c r="AB136" s="460"/>
    </row>
    <row r="137" spans="1:28">
      <c r="A137" s="14"/>
      <c r="B137" s="15"/>
      <c r="C137" s="16"/>
      <c r="D137" s="17"/>
      <c r="E137" s="12"/>
      <c r="F137" s="18"/>
      <c r="G137" s="19"/>
      <c r="H137" s="13"/>
      <c r="I137" s="19"/>
      <c r="J137" s="13"/>
      <c r="K137" s="19"/>
      <c r="L137" s="13"/>
      <c r="M137" s="19"/>
      <c r="N137" s="13"/>
      <c r="O137" s="19"/>
      <c r="P137" s="13"/>
      <c r="Q137" s="19"/>
      <c r="R137" s="13"/>
      <c r="S137" s="19"/>
      <c r="T137" s="13"/>
      <c r="U137" s="19"/>
      <c r="V137" s="13"/>
      <c r="W137" s="19"/>
      <c r="X137" s="13"/>
      <c r="Y137" s="557"/>
      <c r="Z137" s="460"/>
      <c r="AA137" s="783"/>
      <c r="AB137" s="460"/>
    </row>
    <row r="138" spans="1:28">
      <c r="A138" s="14"/>
      <c r="B138" s="15"/>
      <c r="C138" s="16"/>
      <c r="D138" s="17"/>
      <c r="E138" s="12"/>
      <c r="F138" s="18"/>
      <c r="G138" s="19"/>
      <c r="H138" s="13"/>
      <c r="I138" s="19"/>
      <c r="J138" s="13"/>
      <c r="K138" s="19"/>
      <c r="L138" s="13"/>
      <c r="M138" s="19"/>
      <c r="N138" s="13"/>
      <c r="O138" s="19"/>
      <c r="P138" s="13"/>
      <c r="Q138" s="19"/>
      <c r="R138" s="13"/>
      <c r="S138" s="19"/>
      <c r="T138" s="13"/>
      <c r="U138" s="19"/>
      <c r="V138" s="13"/>
      <c r="W138" s="19"/>
      <c r="X138" s="13"/>
      <c r="Y138" s="557"/>
      <c r="Z138" s="460"/>
      <c r="AA138" s="783"/>
      <c r="AB138" s="460"/>
    </row>
    <row r="139" spans="1:28">
      <c r="A139" s="14"/>
      <c r="B139" s="15"/>
      <c r="C139" s="16"/>
      <c r="D139" s="17"/>
      <c r="E139" s="12"/>
      <c r="F139" s="18"/>
      <c r="G139" s="19"/>
      <c r="H139" s="13"/>
      <c r="I139" s="19"/>
      <c r="J139" s="13"/>
      <c r="K139" s="19"/>
      <c r="L139" s="13"/>
      <c r="M139" s="19"/>
      <c r="N139" s="13"/>
      <c r="O139" s="19"/>
      <c r="P139" s="13"/>
      <c r="Q139" s="19"/>
      <c r="R139" s="13"/>
      <c r="S139" s="19"/>
      <c r="T139" s="13"/>
      <c r="U139" s="19"/>
      <c r="V139" s="13"/>
      <c r="W139" s="19"/>
      <c r="X139" s="13"/>
      <c r="Y139" s="557"/>
      <c r="Z139" s="460"/>
      <c r="AA139" s="783"/>
      <c r="AB139" s="460"/>
    </row>
    <row r="140" spans="1:28">
      <c r="A140" s="14"/>
      <c r="B140" s="15"/>
      <c r="C140" s="16"/>
      <c r="D140" s="17"/>
      <c r="E140" s="12"/>
      <c r="F140" s="18"/>
      <c r="G140" s="19"/>
      <c r="H140" s="13"/>
      <c r="I140" s="19"/>
      <c r="J140" s="13"/>
      <c r="K140" s="19"/>
      <c r="L140" s="13"/>
      <c r="M140" s="19"/>
      <c r="N140" s="13"/>
      <c r="O140" s="19"/>
      <c r="P140" s="13"/>
      <c r="Q140" s="19"/>
      <c r="R140" s="13"/>
      <c r="S140" s="19"/>
      <c r="T140" s="13"/>
      <c r="U140" s="19"/>
      <c r="V140" s="13"/>
      <c r="W140" s="19"/>
      <c r="X140" s="13"/>
      <c r="Y140" s="557"/>
      <c r="Z140" s="460"/>
      <c r="AA140" s="783"/>
      <c r="AB140" s="460"/>
    </row>
    <row r="141" spans="1:28">
      <c r="A141" s="14"/>
      <c r="B141" s="15"/>
      <c r="C141" s="16"/>
      <c r="D141" s="17"/>
      <c r="E141" s="12"/>
      <c r="F141" s="18"/>
      <c r="G141" s="19"/>
      <c r="H141" s="13"/>
      <c r="I141" s="19"/>
      <c r="J141" s="13"/>
      <c r="K141" s="19"/>
      <c r="L141" s="13"/>
      <c r="M141" s="19"/>
      <c r="N141" s="13"/>
      <c r="O141" s="19"/>
      <c r="P141" s="13"/>
      <c r="Q141" s="19"/>
      <c r="R141" s="13"/>
      <c r="S141" s="19"/>
      <c r="T141" s="13"/>
      <c r="U141" s="19"/>
      <c r="V141" s="13"/>
      <c r="W141" s="19"/>
      <c r="X141" s="13"/>
      <c r="Y141" s="557"/>
      <c r="Z141" s="460"/>
      <c r="AA141" s="783"/>
      <c r="AB141" s="460"/>
    </row>
    <row r="142" spans="1:28">
      <c r="A142" s="14"/>
      <c r="B142" s="15"/>
      <c r="C142" s="16"/>
      <c r="D142" s="17"/>
      <c r="E142" s="12"/>
      <c r="F142" s="18"/>
      <c r="G142" s="19"/>
      <c r="H142" s="13"/>
      <c r="I142" s="19"/>
      <c r="J142" s="13"/>
      <c r="K142" s="19"/>
      <c r="L142" s="13"/>
      <c r="M142" s="19"/>
      <c r="N142" s="13"/>
      <c r="O142" s="19"/>
      <c r="P142" s="13"/>
      <c r="Q142" s="19"/>
      <c r="R142" s="13"/>
      <c r="S142" s="19"/>
      <c r="T142" s="13"/>
      <c r="U142" s="19"/>
      <c r="V142" s="13"/>
      <c r="W142" s="19"/>
      <c r="X142" s="13"/>
      <c r="Y142" s="557"/>
      <c r="Z142" s="460"/>
      <c r="AA142" s="783"/>
      <c r="AB142" s="460"/>
    </row>
    <row r="143" spans="1:28">
      <c r="A143" s="14"/>
      <c r="B143" s="15"/>
      <c r="C143" s="16"/>
      <c r="D143" s="17"/>
      <c r="E143" s="12"/>
      <c r="F143" s="18"/>
      <c r="G143" s="19"/>
      <c r="H143" s="13"/>
      <c r="I143" s="19"/>
      <c r="J143" s="13"/>
      <c r="K143" s="19"/>
      <c r="L143" s="13"/>
      <c r="M143" s="19"/>
      <c r="N143" s="13"/>
      <c r="O143" s="19"/>
      <c r="P143" s="13"/>
      <c r="Q143" s="19"/>
      <c r="R143" s="13"/>
      <c r="S143" s="19"/>
      <c r="T143" s="13"/>
      <c r="U143" s="19"/>
      <c r="V143" s="13"/>
      <c r="W143" s="19"/>
      <c r="X143" s="13"/>
      <c r="Y143" s="557"/>
      <c r="Z143" s="460"/>
      <c r="AA143" s="783"/>
      <c r="AB143" s="460"/>
    </row>
    <row r="144" spans="1:28">
      <c r="A144" s="14"/>
      <c r="B144" s="15"/>
      <c r="C144" s="16"/>
      <c r="D144" s="17"/>
      <c r="E144" s="12"/>
      <c r="F144" s="18"/>
      <c r="G144" s="19"/>
      <c r="H144" s="13"/>
      <c r="I144" s="19"/>
      <c r="J144" s="13"/>
      <c r="K144" s="19"/>
      <c r="L144" s="13"/>
      <c r="M144" s="19"/>
      <c r="N144" s="13"/>
      <c r="O144" s="19"/>
      <c r="P144" s="13"/>
      <c r="Q144" s="19"/>
      <c r="R144" s="13"/>
      <c r="S144" s="19"/>
      <c r="T144" s="13"/>
      <c r="U144" s="19"/>
      <c r="V144" s="13"/>
      <c r="W144" s="19"/>
      <c r="X144" s="13"/>
      <c r="Y144" s="557"/>
      <c r="Z144" s="460"/>
      <c r="AA144" s="783"/>
      <c r="AB144" s="460"/>
    </row>
    <row r="145" spans="1:28">
      <c r="A145" s="14"/>
      <c r="B145" s="15"/>
      <c r="C145" s="16"/>
      <c r="D145" s="17"/>
      <c r="E145" s="12"/>
      <c r="F145" s="18"/>
      <c r="G145" s="19"/>
      <c r="H145" s="13"/>
      <c r="I145" s="19"/>
      <c r="J145" s="13"/>
      <c r="K145" s="19"/>
      <c r="L145" s="13"/>
      <c r="M145" s="19"/>
      <c r="N145" s="13"/>
      <c r="O145" s="19"/>
      <c r="P145" s="13"/>
      <c r="Q145" s="19"/>
      <c r="R145" s="13"/>
      <c r="S145" s="19"/>
      <c r="T145" s="13"/>
      <c r="U145" s="19"/>
      <c r="V145" s="13"/>
      <c r="W145" s="19"/>
      <c r="X145" s="13"/>
      <c r="Y145" s="557"/>
      <c r="Z145" s="460"/>
      <c r="AA145" s="783"/>
      <c r="AB145" s="460"/>
    </row>
    <row r="146" spans="1:28">
      <c r="A146" s="14"/>
      <c r="B146" s="15"/>
      <c r="C146" s="16"/>
      <c r="D146" s="17"/>
      <c r="E146" s="12"/>
      <c r="F146" s="18"/>
      <c r="G146" s="19"/>
      <c r="H146" s="13"/>
      <c r="I146" s="19"/>
      <c r="J146" s="13"/>
      <c r="K146" s="19"/>
      <c r="L146" s="13"/>
      <c r="M146" s="19"/>
      <c r="N146" s="13"/>
      <c r="O146" s="19"/>
      <c r="P146" s="13"/>
      <c r="Q146" s="19"/>
      <c r="R146" s="13"/>
      <c r="S146" s="19"/>
      <c r="T146" s="13"/>
      <c r="U146" s="19"/>
      <c r="V146" s="13"/>
      <c r="W146" s="19"/>
      <c r="X146" s="13"/>
      <c r="Y146" s="557"/>
      <c r="Z146" s="460"/>
      <c r="AA146" s="783"/>
      <c r="AB146" s="460"/>
    </row>
    <row r="147" spans="1:28">
      <c r="A147" s="14"/>
      <c r="B147" s="15"/>
      <c r="C147" s="16"/>
      <c r="D147" s="17"/>
      <c r="E147" s="12"/>
      <c r="F147" s="18"/>
      <c r="G147" s="19"/>
      <c r="H147" s="13"/>
      <c r="I147" s="19"/>
      <c r="J147" s="13"/>
      <c r="K147" s="19"/>
      <c r="L147" s="13"/>
      <c r="M147" s="19"/>
      <c r="N147" s="13"/>
      <c r="O147" s="19"/>
      <c r="P147" s="13"/>
      <c r="Q147" s="19"/>
      <c r="R147" s="13"/>
      <c r="S147" s="19"/>
      <c r="T147" s="13"/>
      <c r="U147" s="19"/>
      <c r="V147" s="13"/>
      <c r="W147" s="19"/>
      <c r="X147" s="13"/>
      <c r="Y147" s="557"/>
      <c r="Z147" s="460"/>
      <c r="AA147" s="783"/>
      <c r="AB147" s="460"/>
    </row>
    <row r="148" spans="1:28">
      <c r="A148" s="14"/>
      <c r="B148" s="15"/>
      <c r="C148" s="16"/>
      <c r="D148" s="17"/>
      <c r="E148" s="12"/>
      <c r="F148" s="18"/>
      <c r="G148" s="19"/>
      <c r="H148" s="13"/>
      <c r="I148" s="19"/>
      <c r="J148" s="13"/>
      <c r="K148" s="19"/>
      <c r="L148" s="13"/>
      <c r="M148" s="19"/>
      <c r="N148" s="13"/>
      <c r="O148" s="19"/>
      <c r="P148" s="13"/>
      <c r="Q148" s="19"/>
      <c r="R148" s="13"/>
      <c r="S148" s="19"/>
      <c r="T148" s="13"/>
      <c r="U148" s="19"/>
      <c r="V148" s="13"/>
      <c r="W148" s="19"/>
      <c r="X148" s="13"/>
      <c r="Y148" s="557"/>
      <c r="Z148" s="460"/>
      <c r="AA148" s="783"/>
      <c r="AB148" s="460"/>
    </row>
    <row r="149" spans="1:28">
      <c r="A149" s="14"/>
      <c r="B149" s="15"/>
      <c r="C149" s="16"/>
      <c r="D149" s="17"/>
      <c r="E149" s="12"/>
      <c r="F149" s="18"/>
      <c r="G149" s="19"/>
      <c r="H149" s="13"/>
      <c r="I149" s="19"/>
      <c r="J149" s="13"/>
      <c r="K149" s="19"/>
      <c r="L149" s="13"/>
      <c r="M149" s="19"/>
      <c r="N149" s="13"/>
      <c r="O149" s="19"/>
      <c r="P149" s="13"/>
      <c r="Q149" s="19"/>
      <c r="R149" s="13"/>
      <c r="S149" s="19"/>
      <c r="T149" s="13"/>
      <c r="U149" s="19"/>
      <c r="V149" s="13"/>
      <c r="W149" s="19"/>
      <c r="X149" s="13"/>
      <c r="Y149" s="557"/>
      <c r="Z149" s="460"/>
      <c r="AA149" s="783"/>
      <c r="AB149" s="460"/>
    </row>
    <row r="150" spans="1:28">
      <c r="A150" s="14"/>
      <c r="B150" s="15"/>
      <c r="C150" s="16"/>
      <c r="D150" s="17"/>
      <c r="E150" s="12"/>
      <c r="F150" s="18"/>
      <c r="G150" s="19"/>
      <c r="H150" s="13"/>
      <c r="I150" s="19"/>
      <c r="J150" s="13"/>
      <c r="K150" s="19"/>
      <c r="L150" s="13"/>
      <c r="M150" s="19"/>
      <c r="N150" s="13"/>
      <c r="O150" s="19"/>
      <c r="P150" s="13"/>
      <c r="Q150" s="19"/>
      <c r="R150" s="13"/>
      <c r="S150" s="19"/>
      <c r="T150" s="13"/>
      <c r="U150" s="19"/>
      <c r="V150" s="13"/>
      <c r="W150" s="19"/>
      <c r="X150" s="13"/>
      <c r="Y150" s="557"/>
      <c r="Z150" s="460"/>
      <c r="AA150" s="783"/>
      <c r="AB150" s="460"/>
    </row>
    <row r="151" spans="1:28">
      <c r="A151" s="14"/>
      <c r="B151" s="15"/>
      <c r="C151" s="16"/>
      <c r="D151" s="17"/>
      <c r="E151" s="12"/>
      <c r="F151" s="18"/>
      <c r="G151" s="19"/>
      <c r="H151" s="13"/>
      <c r="I151" s="19"/>
      <c r="J151" s="13"/>
      <c r="K151" s="19"/>
      <c r="L151" s="13"/>
      <c r="M151" s="19"/>
      <c r="N151" s="13"/>
      <c r="O151" s="19"/>
      <c r="P151" s="13"/>
      <c r="Q151" s="19"/>
      <c r="R151" s="13"/>
      <c r="S151" s="19"/>
      <c r="T151" s="13"/>
      <c r="U151" s="19"/>
      <c r="V151" s="13"/>
      <c r="W151" s="19"/>
      <c r="X151" s="13"/>
      <c r="Y151" s="557"/>
      <c r="Z151" s="460"/>
      <c r="AA151" s="783"/>
      <c r="AB151" s="460"/>
    </row>
    <row r="152" spans="1:28">
      <c r="A152" s="14"/>
      <c r="B152" s="15"/>
      <c r="C152" s="16"/>
      <c r="D152" s="17"/>
      <c r="E152" s="12"/>
      <c r="F152" s="18"/>
      <c r="G152" s="19"/>
      <c r="H152" s="13"/>
      <c r="I152" s="19"/>
      <c r="J152" s="13"/>
      <c r="K152" s="19"/>
      <c r="L152" s="13"/>
      <c r="M152" s="19"/>
      <c r="N152" s="13"/>
      <c r="O152" s="19"/>
      <c r="P152" s="13"/>
      <c r="Q152" s="19"/>
      <c r="R152" s="13"/>
      <c r="S152" s="19"/>
      <c r="T152" s="13"/>
      <c r="U152" s="19"/>
      <c r="V152" s="13"/>
      <c r="W152" s="19"/>
      <c r="X152" s="13"/>
      <c r="Y152" s="557"/>
      <c r="Z152" s="460"/>
      <c r="AA152" s="783"/>
      <c r="AB152" s="460"/>
    </row>
    <row r="153" spans="1:28">
      <c r="A153" s="14"/>
      <c r="B153" s="15"/>
      <c r="C153" s="16"/>
      <c r="D153" s="17"/>
      <c r="E153" s="12"/>
      <c r="F153" s="18"/>
      <c r="G153" s="19"/>
      <c r="H153" s="13"/>
      <c r="I153" s="19"/>
      <c r="J153" s="13"/>
      <c r="K153" s="19"/>
      <c r="L153" s="13"/>
      <c r="M153" s="19"/>
      <c r="N153" s="13"/>
      <c r="O153" s="19"/>
      <c r="P153" s="13"/>
      <c r="Q153" s="19"/>
      <c r="R153" s="13"/>
      <c r="S153" s="19"/>
      <c r="T153" s="13"/>
      <c r="U153" s="19"/>
      <c r="V153" s="13"/>
      <c r="W153" s="19"/>
      <c r="X153" s="13"/>
      <c r="Y153" s="557"/>
      <c r="Z153" s="460"/>
      <c r="AA153" s="783"/>
      <c r="AB153" s="460"/>
    </row>
    <row r="154" spans="1:28">
      <c r="A154" s="14"/>
      <c r="B154" s="15"/>
      <c r="C154" s="16"/>
      <c r="D154" s="17"/>
      <c r="E154" s="12"/>
      <c r="F154" s="18"/>
      <c r="G154" s="19"/>
      <c r="H154" s="13"/>
      <c r="I154" s="19"/>
      <c r="J154" s="13"/>
      <c r="K154" s="19"/>
      <c r="L154" s="13"/>
      <c r="M154" s="19"/>
      <c r="N154" s="13"/>
      <c r="O154" s="19"/>
      <c r="P154" s="13"/>
      <c r="Q154" s="19"/>
      <c r="R154" s="13"/>
      <c r="S154" s="19"/>
      <c r="T154" s="13"/>
      <c r="U154" s="19"/>
      <c r="V154" s="13"/>
      <c r="W154" s="19"/>
      <c r="X154" s="13"/>
      <c r="Y154" s="557"/>
      <c r="Z154" s="460"/>
      <c r="AA154" s="783"/>
      <c r="AB154" s="460"/>
    </row>
    <row r="155" spans="1:28">
      <c r="A155" s="14"/>
      <c r="B155" s="15"/>
      <c r="C155" s="16"/>
      <c r="D155" s="17"/>
      <c r="E155" s="12"/>
      <c r="F155" s="18"/>
      <c r="G155" s="19"/>
      <c r="H155" s="13"/>
      <c r="I155" s="19"/>
      <c r="J155" s="13"/>
      <c r="K155" s="19"/>
      <c r="L155" s="13"/>
      <c r="M155" s="19"/>
      <c r="N155" s="13"/>
      <c r="O155" s="19"/>
      <c r="P155" s="13"/>
      <c r="Q155" s="19"/>
      <c r="R155" s="13"/>
      <c r="S155" s="19"/>
      <c r="T155" s="13"/>
      <c r="U155" s="19"/>
      <c r="V155" s="13"/>
      <c r="W155" s="19"/>
      <c r="X155" s="13"/>
      <c r="Y155" s="557"/>
      <c r="Z155" s="460"/>
      <c r="AA155" s="783"/>
      <c r="AB155" s="460"/>
    </row>
    <row r="156" spans="1:28">
      <c r="A156" s="14"/>
      <c r="B156" s="15"/>
      <c r="C156" s="16"/>
      <c r="D156" s="17"/>
      <c r="E156" s="12"/>
      <c r="F156" s="18"/>
      <c r="G156" s="19"/>
      <c r="H156" s="13"/>
      <c r="I156" s="19"/>
      <c r="J156" s="13"/>
      <c r="K156" s="19"/>
      <c r="L156" s="13"/>
      <c r="M156" s="19"/>
      <c r="N156" s="13"/>
      <c r="O156" s="19"/>
      <c r="P156" s="13"/>
      <c r="Q156" s="19"/>
      <c r="R156" s="13"/>
      <c r="S156" s="19"/>
      <c r="T156" s="13"/>
      <c r="U156" s="19"/>
      <c r="V156" s="13"/>
      <c r="W156" s="19"/>
      <c r="X156" s="13"/>
      <c r="Y156" s="557"/>
      <c r="Z156" s="460"/>
      <c r="AA156" s="783"/>
      <c r="AB156" s="460"/>
    </row>
    <row r="157" spans="1:28">
      <c r="A157" s="14"/>
      <c r="B157" s="15"/>
      <c r="C157" s="16"/>
      <c r="D157" s="17"/>
      <c r="E157" s="12"/>
      <c r="F157" s="18"/>
      <c r="G157" s="19"/>
      <c r="H157" s="13"/>
      <c r="I157" s="19"/>
      <c r="J157" s="13"/>
      <c r="K157" s="19"/>
      <c r="L157" s="13"/>
      <c r="M157" s="19"/>
      <c r="N157" s="13"/>
      <c r="O157" s="19"/>
      <c r="P157" s="13"/>
      <c r="Q157" s="19"/>
      <c r="R157" s="13"/>
      <c r="S157" s="19"/>
      <c r="T157" s="13"/>
      <c r="U157" s="19"/>
      <c r="V157" s="13"/>
      <c r="W157" s="19"/>
      <c r="X157" s="13"/>
      <c r="Y157" s="557"/>
      <c r="Z157" s="460"/>
      <c r="AA157" s="783"/>
      <c r="AB157" s="460"/>
    </row>
    <row r="158" spans="1:28">
      <c r="A158" s="14"/>
      <c r="B158" s="15"/>
      <c r="C158" s="16"/>
      <c r="D158" s="17"/>
      <c r="E158" s="12"/>
      <c r="F158" s="18"/>
      <c r="G158" s="19"/>
      <c r="H158" s="13"/>
      <c r="I158" s="19"/>
      <c r="J158" s="13"/>
      <c r="K158" s="19"/>
      <c r="L158" s="13"/>
      <c r="M158" s="19"/>
      <c r="N158" s="13"/>
      <c r="O158" s="19"/>
      <c r="P158" s="13"/>
      <c r="Q158" s="19"/>
      <c r="R158" s="13"/>
      <c r="S158" s="19"/>
      <c r="T158" s="13"/>
      <c r="U158" s="19"/>
      <c r="V158" s="13"/>
      <c r="W158" s="19"/>
      <c r="X158" s="13"/>
      <c r="Y158" s="557"/>
      <c r="Z158" s="460"/>
      <c r="AA158" s="783"/>
      <c r="AB158" s="460"/>
    </row>
    <row r="159" spans="1:28">
      <c r="A159" s="14"/>
      <c r="B159" s="15"/>
      <c r="C159" s="16"/>
      <c r="D159" s="17"/>
      <c r="E159" s="12"/>
      <c r="F159" s="18"/>
      <c r="G159" s="19"/>
      <c r="H159" s="13"/>
      <c r="I159" s="19"/>
      <c r="J159" s="13"/>
      <c r="K159" s="19"/>
      <c r="L159" s="13"/>
      <c r="M159" s="19"/>
      <c r="N159" s="13"/>
      <c r="O159" s="19"/>
      <c r="P159" s="13"/>
      <c r="Q159" s="19"/>
      <c r="R159" s="13"/>
      <c r="S159" s="19"/>
      <c r="T159" s="13"/>
      <c r="U159" s="19"/>
      <c r="V159" s="13"/>
      <c r="W159" s="19"/>
      <c r="X159" s="13"/>
      <c r="Y159" s="557"/>
      <c r="Z159" s="460"/>
      <c r="AA159" s="783"/>
      <c r="AB159" s="460"/>
    </row>
    <row r="160" spans="1:28">
      <c r="A160" s="14"/>
      <c r="B160" s="15"/>
      <c r="C160" s="16"/>
      <c r="D160" s="17"/>
      <c r="E160" s="12"/>
      <c r="F160" s="18"/>
      <c r="G160" s="19"/>
      <c r="H160" s="13"/>
      <c r="I160" s="19"/>
      <c r="J160" s="13"/>
      <c r="K160" s="19"/>
      <c r="L160" s="13"/>
      <c r="M160" s="19"/>
      <c r="N160" s="13"/>
      <c r="O160" s="19"/>
      <c r="P160" s="13"/>
      <c r="Q160" s="19"/>
      <c r="R160" s="13"/>
      <c r="S160" s="19"/>
      <c r="T160" s="13"/>
      <c r="U160" s="19"/>
      <c r="V160" s="13"/>
      <c r="W160" s="19"/>
      <c r="X160" s="13"/>
      <c r="Y160" s="557"/>
      <c r="Z160" s="460"/>
      <c r="AA160" s="783"/>
      <c r="AB160" s="460"/>
    </row>
    <row r="161" spans="1:28">
      <c r="A161" s="14"/>
      <c r="B161" s="15"/>
      <c r="C161" s="16"/>
      <c r="D161" s="17"/>
      <c r="E161" s="12"/>
      <c r="F161" s="18"/>
      <c r="G161" s="19"/>
      <c r="H161" s="13"/>
      <c r="I161" s="19"/>
      <c r="J161" s="13"/>
      <c r="K161" s="19"/>
      <c r="L161" s="13"/>
      <c r="M161" s="19"/>
      <c r="N161" s="13"/>
      <c r="O161" s="19"/>
      <c r="P161" s="13"/>
      <c r="Q161" s="19"/>
      <c r="R161" s="13"/>
      <c r="S161" s="19"/>
      <c r="T161" s="13"/>
      <c r="U161" s="19"/>
      <c r="V161" s="13"/>
      <c r="W161" s="19"/>
      <c r="X161" s="13"/>
      <c r="Y161" s="557"/>
      <c r="Z161" s="460"/>
      <c r="AA161" s="783"/>
      <c r="AB161" s="460"/>
    </row>
    <row r="162" spans="1:28">
      <c r="A162" s="14"/>
      <c r="B162" s="15"/>
      <c r="C162" s="16"/>
      <c r="D162" s="17"/>
      <c r="E162" s="12"/>
      <c r="F162" s="18"/>
      <c r="G162" s="19"/>
      <c r="H162" s="13"/>
      <c r="I162" s="19"/>
      <c r="J162" s="13"/>
      <c r="K162" s="19"/>
      <c r="L162" s="13"/>
      <c r="M162" s="19"/>
      <c r="N162" s="13"/>
      <c r="O162" s="19"/>
      <c r="P162" s="13"/>
      <c r="Q162" s="19"/>
      <c r="R162" s="13"/>
      <c r="S162" s="19"/>
      <c r="T162" s="13"/>
      <c r="U162" s="19"/>
      <c r="V162" s="13"/>
      <c r="W162" s="19"/>
      <c r="X162" s="13"/>
      <c r="Y162" s="557"/>
      <c r="Z162" s="460"/>
      <c r="AA162" s="783"/>
      <c r="AB162" s="460"/>
    </row>
    <row r="163" spans="1:28">
      <c r="A163" s="14"/>
      <c r="B163" s="15"/>
      <c r="C163" s="16"/>
      <c r="D163" s="17"/>
      <c r="E163" s="12"/>
      <c r="F163" s="18"/>
      <c r="G163" s="19"/>
      <c r="H163" s="13"/>
      <c r="I163" s="19"/>
      <c r="J163" s="13"/>
      <c r="K163" s="19"/>
      <c r="L163" s="13"/>
      <c r="M163" s="19"/>
      <c r="N163" s="13"/>
      <c r="O163" s="19"/>
      <c r="P163" s="13"/>
      <c r="Q163" s="19"/>
      <c r="R163" s="13"/>
      <c r="S163" s="19"/>
      <c r="T163" s="13"/>
      <c r="U163" s="19"/>
      <c r="V163" s="13"/>
      <c r="W163" s="19"/>
      <c r="X163" s="13"/>
      <c r="Y163" s="557"/>
      <c r="Z163" s="460"/>
      <c r="AA163" s="783"/>
      <c r="AB163" s="460"/>
    </row>
    <row r="164" spans="1:28">
      <c r="A164" s="14"/>
      <c r="B164" s="15"/>
      <c r="C164" s="16"/>
      <c r="D164" s="17"/>
      <c r="E164" s="12"/>
      <c r="F164" s="18"/>
      <c r="G164" s="19"/>
      <c r="H164" s="13"/>
      <c r="I164" s="19"/>
      <c r="J164" s="13"/>
      <c r="K164" s="19"/>
      <c r="L164" s="13"/>
      <c r="M164" s="19"/>
      <c r="N164" s="13"/>
      <c r="O164" s="19"/>
      <c r="P164" s="13"/>
      <c r="Q164" s="19"/>
      <c r="R164" s="13"/>
      <c r="S164" s="19"/>
      <c r="T164" s="13"/>
      <c r="U164" s="19"/>
      <c r="V164" s="13"/>
      <c r="W164" s="19"/>
      <c r="X164" s="13"/>
      <c r="Y164" s="557"/>
      <c r="Z164" s="460"/>
      <c r="AA164" s="783"/>
      <c r="AB164" s="460"/>
    </row>
    <row r="165" spans="1:28">
      <c r="A165" s="14"/>
      <c r="B165" s="15"/>
      <c r="C165" s="16"/>
      <c r="D165" s="17"/>
      <c r="E165" s="12"/>
      <c r="F165" s="18"/>
      <c r="G165" s="19"/>
      <c r="H165" s="13"/>
      <c r="I165" s="19"/>
      <c r="J165" s="13"/>
      <c r="K165" s="19"/>
      <c r="L165" s="13"/>
      <c r="M165" s="19"/>
      <c r="N165" s="13"/>
      <c r="O165" s="19"/>
      <c r="P165" s="13"/>
      <c r="Q165" s="19"/>
      <c r="R165" s="13"/>
      <c r="S165" s="19"/>
      <c r="T165" s="13"/>
      <c r="U165" s="19"/>
      <c r="V165" s="13"/>
      <c r="W165" s="19"/>
      <c r="X165" s="13"/>
      <c r="Y165" s="557"/>
      <c r="Z165" s="460"/>
      <c r="AA165" s="783"/>
      <c r="AB165" s="460"/>
    </row>
    <row r="166" spans="1:28">
      <c r="A166" s="14"/>
      <c r="B166" s="15"/>
      <c r="C166" s="16"/>
      <c r="D166" s="17"/>
      <c r="E166" s="12"/>
      <c r="F166" s="18"/>
      <c r="G166" s="19"/>
      <c r="H166" s="13"/>
      <c r="I166" s="19"/>
      <c r="J166" s="13"/>
      <c r="K166" s="19"/>
      <c r="L166" s="13"/>
      <c r="M166" s="19"/>
      <c r="N166" s="13"/>
      <c r="O166" s="19"/>
      <c r="P166" s="13"/>
      <c r="Q166" s="19"/>
      <c r="R166" s="13"/>
      <c r="S166" s="19"/>
      <c r="T166" s="13"/>
      <c r="U166" s="19"/>
      <c r="V166" s="13"/>
      <c r="W166" s="19"/>
      <c r="X166" s="13"/>
      <c r="Y166" s="557"/>
      <c r="Z166" s="460"/>
      <c r="AA166" s="783"/>
      <c r="AB166" s="460"/>
    </row>
    <row r="167" spans="1:28">
      <c r="A167" s="14"/>
      <c r="B167" s="15"/>
      <c r="C167" s="16"/>
      <c r="D167" s="17"/>
      <c r="E167" s="12"/>
      <c r="F167" s="18"/>
      <c r="G167" s="19"/>
      <c r="H167" s="13"/>
      <c r="I167" s="19"/>
      <c r="J167" s="13"/>
      <c r="K167" s="19"/>
      <c r="L167" s="13"/>
      <c r="M167" s="19"/>
      <c r="N167" s="13"/>
      <c r="O167" s="19"/>
      <c r="P167" s="13"/>
      <c r="Q167" s="19"/>
      <c r="R167" s="13"/>
      <c r="S167" s="19"/>
      <c r="T167" s="13"/>
      <c r="U167" s="19"/>
      <c r="V167" s="13"/>
      <c r="W167" s="19"/>
      <c r="X167" s="13"/>
      <c r="Y167" s="557"/>
      <c r="Z167" s="460"/>
      <c r="AA167" s="783"/>
      <c r="AB167" s="460"/>
    </row>
    <row r="168" spans="1:28">
      <c r="A168" s="14"/>
      <c r="B168" s="15"/>
      <c r="C168" s="16"/>
      <c r="D168" s="17"/>
      <c r="E168" s="12"/>
      <c r="F168" s="18"/>
      <c r="G168" s="19"/>
      <c r="H168" s="13"/>
      <c r="I168" s="19"/>
      <c r="J168" s="13"/>
      <c r="K168" s="19"/>
      <c r="L168" s="13"/>
      <c r="M168" s="19"/>
      <c r="N168" s="13"/>
      <c r="O168" s="19"/>
      <c r="P168" s="13"/>
      <c r="Q168" s="19"/>
      <c r="R168" s="13"/>
      <c r="S168" s="19"/>
      <c r="T168" s="13"/>
      <c r="U168" s="19"/>
      <c r="V168" s="13"/>
      <c r="W168" s="19"/>
      <c r="X168" s="13"/>
      <c r="Y168" s="557"/>
      <c r="Z168" s="460"/>
      <c r="AA168" s="783"/>
      <c r="AB168" s="460"/>
    </row>
    <row r="169" spans="1:28">
      <c r="A169" s="14"/>
      <c r="B169" s="15"/>
      <c r="C169" s="16"/>
      <c r="D169" s="17"/>
      <c r="E169" s="12"/>
      <c r="F169" s="18"/>
      <c r="G169" s="19"/>
      <c r="H169" s="13"/>
      <c r="I169" s="19"/>
      <c r="J169" s="13"/>
      <c r="K169" s="19"/>
      <c r="L169" s="13"/>
      <c r="M169" s="19"/>
      <c r="N169" s="13"/>
      <c r="O169" s="19"/>
      <c r="P169" s="13"/>
      <c r="Q169" s="19"/>
      <c r="R169" s="13"/>
      <c r="S169" s="19"/>
      <c r="T169" s="13"/>
      <c r="U169" s="19"/>
      <c r="V169" s="13"/>
      <c r="W169" s="19"/>
      <c r="X169" s="13"/>
      <c r="Y169" s="557"/>
      <c r="Z169" s="460"/>
      <c r="AA169" s="783"/>
      <c r="AB169" s="460"/>
    </row>
    <row r="170" spans="1:28">
      <c r="A170" s="14"/>
      <c r="B170" s="15"/>
      <c r="C170" s="16"/>
      <c r="D170" s="17"/>
      <c r="E170" s="12"/>
      <c r="F170" s="18"/>
      <c r="G170" s="19"/>
      <c r="H170" s="13"/>
      <c r="I170" s="19"/>
      <c r="J170" s="13"/>
      <c r="K170" s="19"/>
      <c r="L170" s="13"/>
      <c r="M170" s="19"/>
      <c r="N170" s="13"/>
      <c r="O170" s="19"/>
      <c r="P170" s="13"/>
      <c r="Q170" s="19"/>
      <c r="R170" s="13"/>
      <c r="S170" s="19"/>
      <c r="T170" s="13"/>
      <c r="U170" s="19"/>
      <c r="V170" s="13"/>
      <c r="W170" s="19"/>
      <c r="X170" s="13"/>
      <c r="Y170" s="557"/>
      <c r="Z170" s="460"/>
      <c r="AA170" s="783"/>
      <c r="AB170" s="460"/>
    </row>
    <row r="171" spans="1:28">
      <c r="A171" s="14"/>
      <c r="B171" s="15"/>
      <c r="C171" s="16"/>
      <c r="D171" s="17"/>
      <c r="E171" s="12"/>
      <c r="F171" s="18"/>
      <c r="G171" s="19"/>
      <c r="H171" s="13"/>
      <c r="I171" s="19"/>
      <c r="J171" s="13"/>
      <c r="K171" s="19"/>
      <c r="L171" s="13"/>
      <c r="M171" s="19"/>
      <c r="N171" s="13"/>
      <c r="O171" s="19"/>
      <c r="P171" s="13"/>
      <c r="Q171" s="19"/>
      <c r="R171" s="13"/>
      <c r="S171" s="19"/>
      <c r="T171" s="13"/>
      <c r="U171" s="19"/>
      <c r="V171" s="13"/>
      <c r="W171" s="19"/>
      <c r="X171" s="13"/>
      <c r="Y171" s="557"/>
      <c r="Z171" s="460"/>
      <c r="AA171" s="783"/>
      <c r="AB171" s="460"/>
    </row>
    <row r="172" spans="1:28">
      <c r="A172" s="14"/>
      <c r="B172" s="15"/>
      <c r="C172" s="16"/>
      <c r="D172" s="17"/>
      <c r="E172" s="12"/>
      <c r="F172" s="18"/>
      <c r="G172" s="19"/>
      <c r="H172" s="13"/>
      <c r="I172" s="19"/>
      <c r="J172" s="13"/>
      <c r="K172" s="19"/>
      <c r="L172" s="13"/>
      <c r="M172" s="19"/>
      <c r="N172" s="13"/>
      <c r="O172" s="19"/>
      <c r="P172" s="13"/>
      <c r="Q172" s="19"/>
      <c r="R172" s="13"/>
      <c r="S172" s="19"/>
      <c r="T172" s="13"/>
      <c r="U172" s="19"/>
      <c r="V172" s="13"/>
      <c r="W172" s="19"/>
      <c r="X172" s="13"/>
      <c r="Y172" s="557"/>
      <c r="Z172" s="460"/>
      <c r="AA172" s="783"/>
      <c r="AB172" s="460"/>
    </row>
    <row r="173" spans="1:28">
      <c r="A173" s="14"/>
      <c r="B173" s="15"/>
      <c r="C173" s="16"/>
      <c r="D173" s="17"/>
      <c r="E173" s="12"/>
      <c r="F173" s="18"/>
      <c r="G173" s="19"/>
      <c r="H173" s="13"/>
      <c r="I173" s="19"/>
      <c r="J173" s="13"/>
      <c r="K173" s="19"/>
      <c r="L173" s="13"/>
      <c r="M173" s="19"/>
      <c r="N173" s="13"/>
      <c r="O173" s="19"/>
      <c r="P173" s="13"/>
      <c r="Q173" s="19"/>
      <c r="R173" s="13"/>
      <c r="S173" s="19"/>
      <c r="T173" s="13"/>
      <c r="U173" s="19"/>
      <c r="V173" s="13"/>
      <c r="W173" s="19"/>
      <c r="X173" s="13"/>
      <c r="Y173" s="557"/>
      <c r="Z173" s="460"/>
      <c r="AA173" s="783"/>
      <c r="AB173" s="460"/>
    </row>
    <row r="174" spans="1:28">
      <c r="A174" s="14"/>
      <c r="B174" s="15"/>
      <c r="C174" s="16"/>
      <c r="D174" s="17"/>
      <c r="E174" s="12"/>
      <c r="F174" s="18"/>
      <c r="G174" s="19"/>
      <c r="H174" s="13"/>
      <c r="I174" s="19"/>
      <c r="J174" s="13"/>
      <c r="K174" s="19"/>
      <c r="L174" s="13"/>
      <c r="M174" s="19"/>
      <c r="N174" s="13"/>
      <c r="O174" s="19"/>
      <c r="P174" s="13"/>
      <c r="Q174" s="19"/>
      <c r="R174" s="13"/>
      <c r="S174" s="19"/>
      <c r="T174" s="13"/>
      <c r="U174" s="19"/>
      <c r="V174" s="13"/>
      <c r="W174" s="19"/>
      <c r="X174" s="13"/>
      <c r="Y174" s="557"/>
      <c r="Z174" s="460"/>
      <c r="AA174" s="783"/>
      <c r="AB174" s="460"/>
    </row>
    <row r="175" spans="1:28">
      <c r="A175" s="14"/>
      <c r="B175" s="15"/>
      <c r="C175" s="16"/>
      <c r="D175" s="17"/>
      <c r="E175" s="12"/>
      <c r="F175" s="18"/>
      <c r="G175" s="19"/>
      <c r="H175" s="13"/>
      <c r="I175" s="19"/>
      <c r="J175" s="13"/>
      <c r="K175" s="19"/>
      <c r="L175" s="13"/>
      <c r="M175" s="19"/>
      <c r="N175" s="13"/>
      <c r="O175" s="19"/>
      <c r="P175" s="13"/>
      <c r="Q175" s="19"/>
      <c r="R175" s="13"/>
      <c r="S175" s="19"/>
      <c r="T175" s="13"/>
      <c r="U175" s="19"/>
      <c r="V175" s="13"/>
      <c r="W175" s="19"/>
      <c r="X175" s="13"/>
      <c r="Y175" s="557"/>
      <c r="Z175" s="460"/>
      <c r="AA175" s="783"/>
      <c r="AB175" s="460"/>
    </row>
    <row r="176" spans="1:28">
      <c r="A176" s="14"/>
      <c r="B176" s="15"/>
      <c r="C176" s="16"/>
      <c r="D176" s="17"/>
      <c r="E176" s="12"/>
      <c r="F176" s="18"/>
      <c r="G176" s="19"/>
      <c r="H176" s="13"/>
      <c r="I176" s="19"/>
      <c r="J176" s="13"/>
      <c r="K176" s="19"/>
      <c r="L176" s="13"/>
      <c r="M176" s="19"/>
      <c r="N176" s="13"/>
      <c r="O176" s="19"/>
      <c r="P176" s="13"/>
      <c r="Q176" s="19"/>
      <c r="R176" s="13"/>
      <c r="S176" s="19"/>
      <c r="T176" s="13"/>
      <c r="U176" s="19"/>
      <c r="V176" s="13"/>
      <c r="W176" s="19"/>
      <c r="X176" s="13"/>
      <c r="Y176" s="557"/>
      <c r="Z176" s="460"/>
      <c r="AA176" s="783"/>
      <c r="AB176" s="460"/>
    </row>
    <row r="177" spans="1:28">
      <c r="A177" s="14"/>
      <c r="B177" s="15"/>
      <c r="C177" s="16"/>
      <c r="D177" s="17"/>
      <c r="E177" s="12"/>
      <c r="F177" s="18"/>
      <c r="G177" s="19"/>
      <c r="H177" s="13"/>
      <c r="I177" s="19"/>
      <c r="J177" s="13"/>
      <c r="K177" s="19"/>
      <c r="L177" s="13"/>
      <c r="M177" s="19"/>
      <c r="N177" s="13"/>
      <c r="O177" s="19"/>
      <c r="P177" s="13"/>
      <c r="Q177" s="19"/>
      <c r="R177" s="13"/>
      <c r="S177" s="19"/>
      <c r="T177" s="13"/>
      <c r="U177" s="19"/>
      <c r="V177" s="13"/>
      <c r="W177" s="19"/>
      <c r="X177" s="13"/>
      <c r="Y177" s="557"/>
      <c r="Z177" s="460"/>
      <c r="AA177" s="783"/>
      <c r="AB177" s="460"/>
    </row>
    <row r="178" spans="1:28">
      <c r="A178" s="14"/>
      <c r="B178" s="15"/>
      <c r="C178" s="16"/>
      <c r="D178" s="17"/>
      <c r="E178" s="12"/>
      <c r="F178" s="18"/>
      <c r="G178" s="19"/>
      <c r="H178" s="13"/>
      <c r="I178" s="19"/>
      <c r="J178" s="13"/>
      <c r="K178" s="19"/>
      <c r="L178" s="13"/>
      <c r="M178" s="19"/>
      <c r="N178" s="13"/>
      <c r="O178" s="19"/>
      <c r="P178" s="13"/>
      <c r="Q178" s="19"/>
      <c r="R178" s="13"/>
      <c r="S178" s="19"/>
      <c r="T178" s="13"/>
      <c r="U178" s="19"/>
      <c r="V178" s="13"/>
      <c r="W178" s="19"/>
      <c r="X178" s="13"/>
      <c r="Y178" s="557"/>
      <c r="Z178" s="460"/>
      <c r="AA178" s="783"/>
      <c r="AB178" s="460"/>
    </row>
    <row r="179" spans="1:28">
      <c r="A179" s="14"/>
      <c r="B179" s="15"/>
      <c r="C179" s="16"/>
      <c r="D179" s="17"/>
      <c r="E179" s="12"/>
      <c r="F179" s="18"/>
      <c r="G179" s="19"/>
      <c r="H179" s="13"/>
      <c r="I179" s="19"/>
      <c r="J179" s="13"/>
      <c r="K179" s="19"/>
      <c r="L179" s="13"/>
      <c r="M179" s="19"/>
      <c r="N179" s="13"/>
      <c r="O179" s="19"/>
      <c r="P179" s="13"/>
      <c r="Q179" s="19"/>
      <c r="R179" s="13"/>
      <c r="S179" s="19"/>
      <c r="T179" s="13"/>
      <c r="U179" s="19"/>
      <c r="V179" s="13"/>
      <c r="W179" s="19"/>
      <c r="X179" s="13"/>
      <c r="Y179" s="557"/>
      <c r="Z179" s="460"/>
      <c r="AA179" s="783"/>
      <c r="AB179" s="460"/>
    </row>
    <row r="180" spans="1:28">
      <c r="A180" s="14"/>
      <c r="B180" s="15"/>
      <c r="C180" s="16"/>
      <c r="D180" s="17"/>
      <c r="E180" s="12"/>
      <c r="F180" s="18"/>
      <c r="G180" s="19"/>
      <c r="H180" s="13"/>
      <c r="I180" s="19"/>
      <c r="J180" s="13"/>
      <c r="K180" s="19"/>
      <c r="L180" s="13"/>
      <c r="M180" s="19"/>
      <c r="N180" s="13"/>
      <c r="O180" s="19"/>
      <c r="P180" s="13"/>
      <c r="Q180" s="19"/>
      <c r="R180" s="13"/>
      <c r="S180" s="19"/>
      <c r="T180" s="13"/>
      <c r="U180" s="19"/>
      <c r="V180" s="13"/>
      <c r="W180" s="19"/>
      <c r="X180" s="13"/>
      <c r="Y180" s="557"/>
      <c r="Z180" s="460"/>
      <c r="AA180" s="783"/>
      <c r="AB180" s="460"/>
    </row>
    <row r="181" spans="1:28">
      <c r="A181" s="14"/>
      <c r="B181" s="15"/>
      <c r="C181" s="16"/>
      <c r="D181" s="17"/>
      <c r="E181" s="12"/>
      <c r="F181" s="18"/>
      <c r="G181" s="19"/>
      <c r="H181" s="13"/>
      <c r="I181" s="19"/>
      <c r="J181" s="13"/>
      <c r="K181" s="19"/>
      <c r="L181" s="13"/>
      <c r="M181" s="19"/>
      <c r="N181" s="13"/>
      <c r="O181" s="19"/>
      <c r="P181" s="13"/>
      <c r="Q181" s="19"/>
      <c r="R181" s="13"/>
      <c r="S181" s="19"/>
      <c r="T181" s="13"/>
      <c r="U181" s="19"/>
      <c r="V181" s="13"/>
      <c r="W181" s="19"/>
      <c r="X181" s="13"/>
      <c r="Y181" s="557"/>
      <c r="Z181" s="460"/>
      <c r="AA181" s="783"/>
      <c r="AB181" s="460"/>
    </row>
    <row r="182" spans="1:28">
      <c r="A182" s="14"/>
      <c r="B182" s="15"/>
      <c r="C182" s="16"/>
      <c r="D182" s="17"/>
      <c r="E182" s="12"/>
      <c r="F182" s="18"/>
      <c r="G182" s="19"/>
      <c r="H182" s="13"/>
      <c r="I182" s="19"/>
      <c r="J182" s="13"/>
      <c r="K182" s="19"/>
      <c r="L182" s="13"/>
      <c r="M182" s="19"/>
      <c r="N182" s="13"/>
      <c r="O182" s="19"/>
      <c r="P182" s="13"/>
      <c r="Q182" s="19"/>
      <c r="R182" s="13"/>
      <c r="S182" s="19"/>
      <c r="T182" s="13"/>
      <c r="U182" s="19"/>
      <c r="V182" s="13"/>
      <c r="W182" s="19"/>
      <c r="X182" s="13"/>
      <c r="Y182" s="557"/>
      <c r="Z182" s="460"/>
      <c r="AA182" s="783"/>
      <c r="AB182" s="460"/>
    </row>
    <row r="183" spans="1:28">
      <c r="A183" s="14"/>
      <c r="B183" s="15"/>
      <c r="C183" s="16"/>
      <c r="D183" s="17"/>
      <c r="E183" s="12"/>
      <c r="F183" s="18"/>
      <c r="G183" s="19"/>
      <c r="H183" s="13"/>
      <c r="I183" s="19"/>
      <c r="J183" s="13"/>
      <c r="K183" s="19"/>
      <c r="L183" s="13"/>
      <c r="M183" s="19"/>
      <c r="N183" s="13"/>
      <c r="O183" s="19"/>
      <c r="P183" s="13"/>
      <c r="Q183" s="19"/>
      <c r="R183" s="13"/>
      <c r="S183" s="19"/>
      <c r="T183" s="13"/>
      <c r="U183" s="19"/>
      <c r="V183" s="13"/>
      <c r="W183" s="19"/>
      <c r="X183" s="13"/>
      <c r="Y183" s="557"/>
      <c r="Z183" s="460"/>
      <c r="AA183" s="783"/>
      <c r="AB183" s="460"/>
    </row>
    <row r="184" spans="1:28">
      <c r="A184" s="14"/>
      <c r="B184" s="15"/>
      <c r="C184" s="16"/>
      <c r="D184" s="17"/>
      <c r="E184" s="12"/>
      <c r="F184" s="18"/>
      <c r="G184" s="19"/>
      <c r="H184" s="13"/>
      <c r="I184" s="19"/>
      <c r="J184" s="13"/>
      <c r="K184" s="19"/>
      <c r="L184" s="13"/>
      <c r="M184" s="19"/>
      <c r="N184" s="13"/>
      <c r="O184" s="19"/>
      <c r="P184" s="13"/>
      <c r="Q184" s="19"/>
      <c r="R184" s="13"/>
      <c r="S184" s="19"/>
      <c r="T184" s="13"/>
      <c r="U184" s="19"/>
      <c r="V184" s="13"/>
      <c r="W184" s="19"/>
      <c r="X184" s="13"/>
      <c r="Y184" s="557"/>
      <c r="Z184" s="460"/>
      <c r="AA184" s="783"/>
      <c r="AB184" s="460"/>
    </row>
    <row r="185" spans="1:28">
      <c r="A185" s="14"/>
      <c r="B185" s="15"/>
      <c r="C185" s="16"/>
      <c r="D185" s="17"/>
      <c r="E185" s="12"/>
      <c r="F185" s="18"/>
      <c r="G185" s="19"/>
      <c r="H185" s="13"/>
      <c r="I185" s="19"/>
      <c r="J185" s="13"/>
      <c r="K185" s="19"/>
      <c r="L185" s="13"/>
      <c r="M185" s="19"/>
      <c r="N185" s="13"/>
      <c r="O185" s="19"/>
      <c r="P185" s="13"/>
      <c r="Q185" s="19"/>
      <c r="R185" s="13"/>
      <c r="S185" s="19"/>
      <c r="T185" s="13"/>
      <c r="U185" s="19"/>
      <c r="V185" s="13"/>
      <c r="W185" s="19"/>
      <c r="X185" s="13"/>
      <c r="Y185" s="557"/>
      <c r="Z185" s="460"/>
      <c r="AA185" s="783"/>
      <c r="AB185" s="460"/>
    </row>
    <row r="186" spans="1:28">
      <c r="A186" s="14"/>
      <c r="B186" s="15"/>
      <c r="C186" s="16"/>
      <c r="D186" s="17"/>
      <c r="E186" s="12"/>
      <c r="F186" s="18"/>
      <c r="G186" s="19"/>
      <c r="H186" s="13"/>
      <c r="I186" s="19"/>
      <c r="J186" s="13"/>
      <c r="K186" s="19"/>
      <c r="L186" s="13"/>
      <c r="M186" s="19"/>
      <c r="N186" s="13"/>
      <c r="O186" s="19"/>
      <c r="P186" s="13"/>
      <c r="Q186" s="19"/>
      <c r="R186" s="13"/>
      <c r="S186" s="19"/>
      <c r="T186" s="13"/>
      <c r="U186" s="19"/>
      <c r="V186" s="13"/>
      <c r="W186" s="19"/>
      <c r="X186" s="13"/>
      <c r="Y186" s="557"/>
      <c r="Z186" s="460"/>
      <c r="AA186" s="783"/>
      <c r="AB186" s="460"/>
    </row>
    <row r="187" spans="1:28">
      <c r="A187" s="14"/>
      <c r="B187" s="15"/>
      <c r="C187" s="16"/>
      <c r="D187" s="17"/>
      <c r="E187" s="12"/>
      <c r="F187" s="18"/>
      <c r="G187" s="19"/>
      <c r="H187" s="13"/>
      <c r="I187" s="19"/>
      <c r="J187" s="13"/>
      <c r="K187" s="19"/>
      <c r="L187" s="13"/>
      <c r="M187" s="19"/>
      <c r="N187" s="13"/>
      <c r="O187" s="19"/>
      <c r="P187" s="13"/>
      <c r="Q187" s="19"/>
      <c r="R187" s="13"/>
      <c r="S187" s="19"/>
      <c r="T187" s="13"/>
      <c r="U187" s="19"/>
      <c r="V187" s="13"/>
      <c r="W187" s="19"/>
      <c r="X187" s="13"/>
      <c r="Y187" s="557"/>
      <c r="Z187" s="460"/>
      <c r="AA187" s="783"/>
      <c r="AB187" s="460"/>
    </row>
    <row r="188" spans="1:28">
      <c r="A188" s="14"/>
      <c r="B188" s="15"/>
      <c r="C188" s="16"/>
      <c r="D188" s="17"/>
      <c r="E188" s="12"/>
      <c r="F188" s="18"/>
      <c r="G188" s="19"/>
      <c r="H188" s="13"/>
      <c r="I188" s="19"/>
      <c r="J188" s="13"/>
      <c r="K188" s="19"/>
      <c r="L188" s="13"/>
      <c r="M188" s="19"/>
      <c r="N188" s="13"/>
      <c r="O188" s="19"/>
      <c r="P188" s="13"/>
      <c r="Q188" s="19"/>
      <c r="R188" s="13"/>
      <c r="S188" s="19"/>
      <c r="T188" s="13"/>
      <c r="U188" s="19"/>
      <c r="V188" s="13"/>
      <c r="W188" s="19"/>
      <c r="X188" s="13"/>
      <c r="Y188" s="557"/>
      <c r="Z188" s="460"/>
      <c r="AA188" s="783"/>
      <c r="AB188" s="460"/>
    </row>
    <row r="189" spans="1:28">
      <c r="A189" s="14"/>
      <c r="B189" s="15"/>
      <c r="C189" s="16"/>
      <c r="D189" s="17"/>
      <c r="E189" s="12"/>
      <c r="F189" s="18"/>
      <c r="G189" s="19"/>
      <c r="H189" s="13"/>
      <c r="I189" s="19"/>
      <c r="J189" s="13"/>
      <c r="K189" s="19"/>
      <c r="L189" s="13"/>
      <c r="M189" s="19"/>
      <c r="N189" s="13"/>
      <c r="O189" s="19"/>
      <c r="P189" s="13"/>
      <c r="Q189" s="19"/>
      <c r="R189" s="13"/>
      <c r="S189" s="19"/>
      <c r="T189" s="13"/>
      <c r="U189" s="19"/>
      <c r="V189" s="13"/>
      <c r="W189" s="19"/>
      <c r="X189" s="13"/>
      <c r="Y189" s="557"/>
      <c r="Z189" s="460"/>
      <c r="AA189" s="783"/>
      <c r="AB189" s="460"/>
    </row>
    <row r="190" spans="1:28">
      <c r="A190" s="14"/>
      <c r="B190" s="15"/>
      <c r="C190" s="16"/>
      <c r="D190" s="17"/>
      <c r="E190" s="12"/>
      <c r="F190" s="18"/>
      <c r="G190" s="19"/>
      <c r="H190" s="13"/>
      <c r="I190" s="19"/>
      <c r="J190" s="13"/>
      <c r="K190" s="19"/>
      <c r="L190" s="13"/>
      <c r="M190" s="19"/>
      <c r="N190" s="13"/>
      <c r="O190" s="19"/>
      <c r="P190" s="13"/>
      <c r="Q190" s="19"/>
      <c r="R190" s="13"/>
      <c r="S190" s="19"/>
      <c r="T190" s="13"/>
      <c r="U190" s="19"/>
      <c r="V190" s="13"/>
      <c r="W190" s="19"/>
      <c r="X190" s="13"/>
      <c r="Y190" s="557"/>
      <c r="Z190" s="460"/>
      <c r="AA190" s="783"/>
      <c r="AB190" s="460"/>
    </row>
    <row r="191" spans="1:28">
      <c r="A191" s="14"/>
      <c r="B191" s="15"/>
      <c r="C191" s="16"/>
      <c r="D191" s="17"/>
      <c r="E191" s="12"/>
      <c r="F191" s="18"/>
      <c r="G191" s="19"/>
      <c r="H191" s="13"/>
      <c r="I191" s="19"/>
      <c r="J191" s="13"/>
      <c r="K191" s="19"/>
      <c r="L191" s="13"/>
      <c r="M191" s="19"/>
      <c r="N191" s="13"/>
      <c r="O191" s="19"/>
      <c r="P191" s="13"/>
      <c r="Q191" s="19"/>
      <c r="R191" s="13"/>
      <c r="S191" s="19"/>
      <c r="T191" s="13"/>
      <c r="U191" s="19"/>
      <c r="V191" s="13"/>
      <c r="W191" s="19"/>
      <c r="X191" s="13"/>
      <c r="Y191" s="557"/>
      <c r="Z191" s="460"/>
      <c r="AA191" s="783"/>
      <c r="AB191" s="460"/>
    </row>
    <row r="192" spans="1:28">
      <c r="A192" s="14"/>
      <c r="B192" s="15"/>
      <c r="C192" s="16"/>
      <c r="D192" s="17"/>
      <c r="E192" s="12"/>
      <c r="F192" s="18"/>
      <c r="G192" s="19"/>
      <c r="H192" s="13"/>
      <c r="I192" s="19"/>
      <c r="J192" s="13"/>
      <c r="K192" s="19"/>
      <c r="L192" s="13"/>
      <c r="M192" s="19"/>
      <c r="N192" s="13"/>
      <c r="O192" s="19"/>
      <c r="P192" s="13"/>
      <c r="Q192" s="19"/>
      <c r="R192" s="13"/>
      <c r="S192" s="19"/>
      <c r="T192" s="13"/>
      <c r="U192" s="19"/>
      <c r="V192" s="13"/>
      <c r="W192" s="19"/>
      <c r="X192" s="13"/>
      <c r="Y192" s="557"/>
      <c r="Z192" s="460"/>
      <c r="AA192" s="783"/>
      <c r="AB192" s="460"/>
    </row>
    <row r="193" spans="1:28">
      <c r="A193" s="14"/>
      <c r="B193" s="15"/>
      <c r="C193" s="16"/>
      <c r="D193" s="17"/>
      <c r="E193" s="12"/>
      <c r="F193" s="18"/>
      <c r="G193" s="19"/>
      <c r="H193" s="13"/>
      <c r="I193" s="19"/>
      <c r="J193" s="13"/>
      <c r="K193" s="19"/>
      <c r="L193" s="13"/>
      <c r="M193" s="19"/>
      <c r="N193" s="13"/>
      <c r="O193" s="19"/>
      <c r="P193" s="13"/>
      <c r="Q193" s="19"/>
      <c r="R193" s="13"/>
      <c r="S193" s="19"/>
      <c r="T193" s="13"/>
      <c r="U193" s="19"/>
      <c r="V193" s="13"/>
      <c r="W193" s="19"/>
      <c r="X193" s="13"/>
      <c r="Y193" s="557"/>
      <c r="Z193" s="460"/>
      <c r="AA193" s="783"/>
      <c r="AB193" s="460"/>
    </row>
    <row r="194" spans="1:28">
      <c r="A194" s="14"/>
      <c r="B194" s="15"/>
      <c r="C194" s="16"/>
      <c r="D194" s="17"/>
      <c r="E194" s="12"/>
      <c r="F194" s="18"/>
      <c r="G194" s="19"/>
      <c r="H194" s="13"/>
      <c r="I194" s="19"/>
      <c r="J194" s="13"/>
      <c r="K194" s="19"/>
      <c r="L194" s="13"/>
      <c r="M194" s="19"/>
      <c r="N194" s="13"/>
      <c r="O194" s="19"/>
      <c r="P194" s="13"/>
      <c r="Q194" s="19"/>
      <c r="R194" s="13"/>
      <c r="S194" s="19"/>
      <c r="T194" s="13"/>
      <c r="U194" s="19"/>
      <c r="V194" s="13"/>
      <c r="W194" s="19"/>
      <c r="X194" s="13"/>
      <c r="Y194" s="557"/>
      <c r="Z194" s="460"/>
      <c r="AA194" s="783"/>
      <c r="AB194" s="460"/>
    </row>
    <row r="195" spans="1:28">
      <c r="A195" s="14"/>
      <c r="B195" s="15"/>
      <c r="C195" s="16"/>
      <c r="D195" s="17"/>
      <c r="E195" s="12"/>
      <c r="F195" s="18"/>
      <c r="G195" s="19"/>
      <c r="H195" s="13"/>
      <c r="I195" s="19"/>
      <c r="J195" s="13"/>
      <c r="K195" s="19"/>
      <c r="L195" s="13"/>
      <c r="M195" s="19"/>
      <c r="N195" s="13"/>
      <c r="O195" s="19"/>
      <c r="P195" s="13"/>
      <c r="Q195" s="19"/>
      <c r="R195" s="13"/>
      <c r="S195" s="19"/>
      <c r="T195" s="13"/>
      <c r="U195" s="19"/>
      <c r="V195" s="13"/>
      <c r="W195" s="19"/>
      <c r="X195" s="13"/>
      <c r="Y195" s="557"/>
      <c r="Z195" s="460"/>
      <c r="AA195" s="783"/>
      <c r="AB195" s="460"/>
    </row>
    <row r="196" spans="1:28">
      <c r="A196" s="14"/>
      <c r="B196" s="15"/>
      <c r="C196" s="16"/>
      <c r="D196" s="17"/>
      <c r="E196" s="12"/>
      <c r="F196" s="18"/>
      <c r="G196" s="19"/>
      <c r="H196" s="13"/>
      <c r="I196" s="19"/>
      <c r="J196" s="13"/>
      <c r="K196" s="19"/>
      <c r="L196" s="13"/>
      <c r="M196" s="19"/>
      <c r="N196" s="13"/>
      <c r="O196" s="19"/>
      <c r="P196" s="13"/>
      <c r="Q196" s="19"/>
      <c r="R196" s="13"/>
      <c r="S196" s="19"/>
      <c r="T196" s="13"/>
      <c r="U196" s="19"/>
      <c r="V196" s="13"/>
      <c r="W196" s="19"/>
      <c r="X196" s="13"/>
      <c r="Y196" s="557"/>
      <c r="Z196" s="460"/>
      <c r="AA196" s="783"/>
      <c r="AB196" s="460"/>
    </row>
    <row r="197" spans="1:28">
      <c r="A197" s="14"/>
      <c r="B197" s="15"/>
      <c r="C197" s="16"/>
      <c r="D197" s="17"/>
      <c r="E197" s="12"/>
      <c r="F197" s="18"/>
      <c r="G197" s="19"/>
      <c r="H197" s="13"/>
      <c r="I197" s="19"/>
      <c r="J197" s="13"/>
      <c r="K197" s="19"/>
      <c r="L197" s="13"/>
      <c r="M197" s="19"/>
      <c r="N197" s="13"/>
      <c r="O197" s="19"/>
      <c r="P197" s="13"/>
      <c r="Q197" s="19"/>
      <c r="R197" s="13"/>
      <c r="S197" s="19"/>
      <c r="T197" s="13"/>
      <c r="U197" s="19"/>
      <c r="V197" s="13"/>
      <c r="W197" s="19"/>
      <c r="X197" s="13"/>
      <c r="Y197" s="557"/>
      <c r="Z197" s="460"/>
      <c r="AA197" s="783"/>
      <c r="AB197" s="460"/>
    </row>
    <row r="198" spans="1:28">
      <c r="A198" s="14"/>
      <c r="B198" s="15"/>
      <c r="C198" s="16"/>
      <c r="D198" s="17"/>
      <c r="E198" s="12"/>
      <c r="F198" s="18"/>
      <c r="G198" s="19"/>
      <c r="H198" s="13"/>
      <c r="I198" s="19"/>
      <c r="J198" s="13"/>
      <c r="K198" s="19"/>
      <c r="L198" s="13"/>
      <c r="M198" s="19"/>
      <c r="N198" s="13"/>
      <c r="O198" s="19"/>
      <c r="P198" s="13"/>
      <c r="Q198" s="19"/>
      <c r="R198" s="13"/>
      <c r="S198" s="19"/>
      <c r="T198" s="13"/>
      <c r="U198" s="19"/>
      <c r="V198" s="13"/>
      <c r="W198" s="19"/>
      <c r="X198" s="13"/>
      <c r="Y198" s="557"/>
      <c r="Z198" s="460"/>
      <c r="AA198" s="783"/>
      <c r="AB198" s="460"/>
    </row>
    <row r="199" spans="1:28">
      <c r="A199" s="14"/>
      <c r="B199" s="15"/>
      <c r="C199" s="16"/>
      <c r="D199" s="17"/>
      <c r="E199" s="12"/>
      <c r="F199" s="18"/>
      <c r="G199" s="19"/>
      <c r="H199" s="13"/>
      <c r="I199" s="19"/>
      <c r="J199" s="13"/>
      <c r="K199" s="19"/>
      <c r="L199" s="13"/>
      <c r="M199" s="19"/>
      <c r="N199" s="13"/>
      <c r="O199" s="19"/>
      <c r="P199" s="13"/>
      <c r="Q199" s="19"/>
      <c r="R199" s="13"/>
      <c r="S199" s="19"/>
      <c r="T199" s="13"/>
      <c r="U199" s="19"/>
      <c r="V199" s="13"/>
      <c r="W199" s="19"/>
      <c r="X199" s="13"/>
      <c r="Y199" s="557"/>
      <c r="Z199" s="460"/>
      <c r="AA199" s="783"/>
      <c r="AB199" s="460"/>
    </row>
    <row r="200" spans="1:28">
      <c r="A200" s="14"/>
      <c r="B200" s="15"/>
      <c r="C200" s="16"/>
      <c r="D200" s="17"/>
      <c r="E200" s="12"/>
      <c r="F200" s="18"/>
      <c r="G200" s="19"/>
      <c r="H200" s="13"/>
      <c r="I200" s="19"/>
      <c r="J200" s="13"/>
      <c r="K200" s="19"/>
      <c r="L200" s="13"/>
      <c r="M200" s="19"/>
      <c r="N200" s="13"/>
      <c r="O200" s="19"/>
      <c r="P200" s="13"/>
      <c r="Q200" s="19"/>
      <c r="R200" s="13"/>
      <c r="S200" s="19"/>
      <c r="T200" s="13"/>
      <c r="U200" s="19"/>
      <c r="V200" s="13"/>
      <c r="W200" s="19"/>
      <c r="X200" s="13"/>
      <c r="Y200" s="557"/>
      <c r="Z200" s="460"/>
      <c r="AA200" s="783"/>
      <c r="AB200" s="460"/>
    </row>
    <row r="201" spans="1:28">
      <c r="A201" s="14"/>
      <c r="B201" s="15"/>
      <c r="C201" s="16"/>
      <c r="D201" s="17"/>
      <c r="E201" s="12"/>
      <c r="F201" s="18"/>
      <c r="G201" s="19"/>
      <c r="H201" s="13"/>
      <c r="I201" s="19"/>
      <c r="J201" s="13"/>
      <c r="K201" s="19"/>
      <c r="L201" s="13"/>
      <c r="M201" s="19"/>
      <c r="N201" s="13"/>
      <c r="O201" s="19"/>
      <c r="P201" s="13"/>
      <c r="Q201" s="19"/>
      <c r="R201" s="13"/>
      <c r="S201" s="19"/>
      <c r="T201" s="13"/>
      <c r="U201" s="19"/>
      <c r="V201" s="13"/>
      <c r="W201" s="19"/>
      <c r="X201" s="13"/>
      <c r="Y201" s="557"/>
      <c r="Z201" s="460"/>
      <c r="AA201" s="783"/>
      <c r="AB201" s="460"/>
    </row>
    <row r="202" spans="1:28">
      <c r="A202" s="14"/>
      <c r="B202" s="15"/>
      <c r="C202" s="16"/>
      <c r="D202" s="17"/>
      <c r="E202" s="12"/>
      <c r="F202" s="18"/>
      <c r="G202" s="19"/>
      <c r="H202" s="13"/>
      <c r="I202" s="19"/>
      <c r="J202" s="13"/>
      <c r="K202" s="19"/>
      <c r="L202" s="13"/>
      <c r="M202" s="19"/>
      <c r="N202" s="13"/>
      <c r="O202" s="19"/>
      <c r="P202" s="13"/>
      <c r="Q202" s="19"/>
      <c r="R202" s="13"/>
      <c r="S202" s="19"/>
      <c r="T202" s="13"/>
      <c r="U202" s="19"/>
      <c r="V202" s="13"/>
      <c r="W202" s="19"/>
      <c r="X202" s="13"/>
      <c r="Y202" s="557"/>
      <c r="Z202" s="460"/>
      <c r="AA202" s="783"/>
      <c r="AB202" s="460"/>
    </row>
    <row r="203" spans="1:28">
      <c r="A203" s="14"/>
      <c r="B203" s="15"/>
      <c r="C203" s="16"/>
      <c r="D203" s="17"/>
      <c r="E203" s="12"/>
      <c r="F203" s="18"/>
      <c r="G203" s="19"/>
      <c r="H203" s="13"/>
      <c r="I203" s="19"/>
      <c r="J203" s="13"/>
      <c r="K203" s="19"/>
      <c r="L203" s="13"/>
      <c r="M203" s="19"/>
      <c r="N203" s="13"/>
      <c r="O203" s="19"/>
      <c r="P203" s="13"/>
      <c r="Q203" s="19"/>
      <c r="R203" s="13"/>
      <c r="S203" s="19"/>
      <c r="T203" s="13"/>
      <c r="U203" s="19"/>
      <c r="V203" s="13"/>
      <c r="W203" s="19"/>
      <c r="X203" s="13"/>
      <c r="Y203" s="557"/>
      <c r="Z203" s="460"/>
      <c r="AA203" s="783"/>
      <c r="AB203" s="460"/>
    </row>
    <row r="204" spans="1:28">
      <c r="A204" s="14"/>
      <c r="B204" s="15"/>
      <c r="C204" s="16"/>
      <c r="D204" s="17"/>
      <c r="E204" s="12"/>
      <c r="F204" s="18"/>
      <c r="G204" s="19"/>
      <c r="H204" s="13"/>
      <c r="I204" s="19"/>
      <c r="J204" s="13"/>
      <c r="K204" s="19"/>
      <c r="L204" s="13"/>
      <c r="M204" s="19"/>
      <c r="N204" s="13"/>
      <c r="O204" s="19"/>
      <c r="P204" s="13"/>
      <c r="Q204" s="19"/>
      <c r="R204" s="13"/>
      <c r="S204" s="19"/>
      <c r="T204" s="13"/>
      <c r="U204" s="19"/>
      <c r="V204" s="13"/>
      <c r="W204" s="19"/>
      <c r="X204" s="13"/>
      <c r="Y204" s="557"/>
      <c r="Z204" s="460"/>
      <c r="AA204" s="783"/>
      <c r="AB204" s="460"/>
    </row>
    <row r="205" spans="1:28">
      <c r="A205" s="14"/>
      <c r="B205" s="15"/>
      <c r="C205" s="16"/>
      <c r="D205" s="17"/>
      <c r="E205" s="12"/>
      <c r="F205" s="18"/>
      <c r="G205" s="19"/>
      <c r="H205" s="13"/>
      <c r="I205" s="19"/>
      <c r="J205" s="13"/>
      <c r="K205" s="19"/>
      <c r="L205" s="13"/>
      <c r="M205" s="19"/>
      <c r="N205" s="13"/>
      <c r="O205" s="19"/>
      <c r="P205" s="13"/>
      <c r="Q205" s="19"/>
      <c r="R205" s="13"/>
      <c r="S205" s="19"/>
      <c r="T205" s="13"/>
      <c r="U205" s="19"/>
      <c r="V205" s="13"/>
      <c r="W205" s="19"/>
      <c r="X205" s="13"/>
      <c r="Y205" s="557"/>
      <c r="Z205" s="460"/>
      <c r="AA205" s="783"/>
      <c r="AB205" s="460"/>
    </row>
    <row r="206" spans="1:28">
      <c r="A206" s="14"/>
      <c r="B206" s="15"/>
      <c r="C206" s="16"/>
      <c r="D206" s="17"/>
      <c r="E206" s="12"/>
      <c r="F206" s="18"/>
      <c r="G206" s="19"/>
      <c r="H206" s="13"/>
      <c r="I206" s="19"/>
      <c r="J206" s="13"/>
      <c r="K206" s="19"/>
      <c r="L206" s="13"/>
      <c r="M206" s="19"/>
      <c r="N206" s="13"/>
      <c r="O206" s="19"/>
      <c r="P206" s="13"/>
      <c r="Q206" s="19"/>
      <c r="R206" s="13"/>
      <c r="S206" s="19"/>
      <c r="T206" s="13"/>
      <c r="U206" s="19"/>
      <c r="V206" s="13"/>
      <c r="W206" s="19"/>
      <c r="X206" s="13"/>
      <c r="Y206" s="557"/>
      <c r="Z206" s="460"/>
      <c r="AA206" s="783"/>
      <c r="AB206" s="460"/>
    </row>
    <row r="207" spans="1:28">
      <c r="A207" s="14"/>
      <c r="B207" s="15"/>
      <c r="C207" s="16"/>
      <c r="D207" s="17"/>
      <c r="E207" s="12"/>
      <c r="F207" s="18"/>
      <c r="G207" s="19"/>
      <c r="H207" s="13"/>
      <c r="I207" s="19"/>
      <c r="J207" s="13"/>
      <c r="K207" s="19"/>
      <c r="L207" s="13"/>
      <c r="M207" s="19"/>
      <c r="N207" s="13"/>
      <c r="O207" s="19"/>
      <c r="P207" s="13"/>
      <c r="Q207" s="19"/>
      <c r="R207" s="13"/>
      <c r="S207" s="19"/>
      <c r="T207" s="13"/>
      <c r="U207" s="19"/>
      <c r="V207" s="13"/>
      <c r="W207" s="19"/>
      <c r="X207" s="13"/>
      <c r="Y207" s="557"/>
      <c r="Z207" s="460"/>
      <c r="AA207" s="783"/>
      <c r="AB207" s="460"/>
    </row>
    <row r="208" spans="1:28">
      <c r="A208" s="14"/>
      <c r="B208" s="15"/>
      <c r="C208" s="16"/>
      <c r="D208" s="17"/>
      <c r="E208" s="12"/>
      <c r="F208" s="18"/>
      <c r="G208" s="19"/>
      <c r="H208" s="13"/>
      <c r="I208" s="19"/>
      <c r="J208" s="13"/>
      <c r="K208" s="19"/>
      <c r="L208" s="13"/>
      <c r="M208" s="19"/>
      <c r="N208" s="13"/>
      <c r="O208" s="19"/>
      <c r="P208" s="13"/>
      <c r="Q208" s="19"/>
      <c r="R208" s="13"/>
      <c r="S208" s="19"/>
      <c r="T208" s="13"/>
      <c r="U208" s="19"/>
      <c r="V208" s="13"/>
      <c r="W208" s="19"/>
      <c r="X208" s="13"/>
      <c r="Y208" s="557"/>
      <c r="Z208" s="460"/>
      <c r="AA208" s="783"/>
      <c r="AB208" s="460"/>
    </row>
    <row r="209" spans="1:28">
      <c r="A209" s="14"/>
      <c r="B209" s="15"/>
      <c r="C209" s="16"/>
      <c r="D209" s="17"/>
      <c r="E209" s="12"/>
      <c r="F209" s="18"/>
      <c r="G209" s="19"/>
      <c r="H209" s="13"/>
      <c r="I209" s="19"/>
      <c r="J209" s="13"/>
      <c r="K209" s="19"/>
      <c r="L209" s="13"/>
      <c r="M209" s="19"/>
      <c r="N209" s="13"/>
      <c r="O209" s="19"/>
      <c r="P209" s="13"/>
      <c r="Q209" s="19"/>
      <c r="R209" s="13"/>
      <c r="S209" s="19"/>
      <c r="T209" s="13"/>
      <c r="U209" s="19"/>
      <c r="V209" s="13"/>
      <c r="W209" s="19"/>
      <c r="X209" s="13"/>
      <c r="Y209" s="557"/>
      <c r="Z209" s="460"/>
      <c r="AA209" s="783"/>
      <c r="AB209" s="460"/>
    </row>
    <row r="210" spans="1:28">
      <c r="A210" s="14"/>
      <c r="B210" s="15"/>
      <c r="C210" s="16"/>
      <c r="D210" s="17"/>
      <c r="E210" s="12"/>
      <c r="F210" s="18"/>
      <c r="G210" s="19"/>
      <c r="H210" s="13"/>
      <c r="I210" s="19"/>
      <c r="J210" s="13"/>
      <c r="K210" s="19"/>
      <c r="L210" s="13"/>
      <c r="M210" s="19"/>
      <c r="N210" s="13"/>
      <c r="O210" s="19"/>
      <c r="P210" s="13"/>
      <c r="Q210" s="19"/>
      <c r="R210" s="13"/>
      <c r="S210" s="19"/>
      <c r="T210" s="13"/>
      <c r="U210" s="19"/>
      <c r="V210" s="13"/>
      <c r="W210" s="19"/>
      <c r="X210" s="13"/>
      <c r="Y210" s="557"/>
      <c r="Z210" s="460"/>
      <c r="AA210" s="783"/>
      <c r="AB210" s="460"/>
    </row>
    <row r="211" spans="1:28">
      <c r="A211" s="14"/>
      <c r="B211" s="15"/>
      <c r="C211" s="16"/>
      <c r="D211" s="17"/>
      <c r="E211" s="12"/>
      <c r="F211" s="18"/>
      <c r="G211" s="19"/>
      <c r="H211" s="13"/>
      <c r="I211" s="19"/>
      <c r="J211" s="13"/>
      <c r="K211" s="19"/>
      <c r="L211" s="13"/>
      <c r="M211" s="19"/>
      <c r="N211" s="13"/>
      <c r="O211" s="19"/>
      <c r="P211" s="13"/>
      <c r="Q211" s="19"/>
      <c r="R211" s="13"/>
      <c r="S211" s="19"/>
      <c r="T211" s="13"/>
      <c r="U211" s="19"/>
      <c r="V211" s="13"/>
      <c r="W211" s="19"/>
      <c r="X211" s="13"/>
      <c r="Y211" s="557"/>
      <c r="Z211" s="460"/>
      <c r="AA211" s="783"/>
      <c r="AB211" s="460"/>
    </row>
    <row r="212" spans="1:28">
      <c r="A212" s="14"/>
      <c r="B212" s="15"/>
      <c r="C212" s="16"/>
      <c r="D212" s="17"/>
      <c r="E212" s="12"/>
      <c r="F212" s="18"/>
      <c r="G212" s="19"/>
      <c r="H212" s="13"/>
      <c r="I212" s="19"/>
      <c r="J212" s="13"/>
      <c r="K212" s="19"/>
      <c r="L212" s="13"/>
      <c r="M212" s="19"/>
      <c r="N212" s="13"/>
      <c r="O212" s="19"/>
      <c r="P212" s="13"/>
      <c r="Q212" s="19"/>
      <c r="R212" s="13"/>
      <c r="S212" s="19"/>
      <c r="T212" s="13"/>
      <c r="U212" s="19"/>
      <c r="V212" s="13"/>
      <c r="W212" s="19"/>
      <c r="X212" s="13"/>
      <c r="Y212" s="557"/>
      <c r="Z212" s="460"/>
      <c r="AA212" s="783"/>
      <c r="AB212" s="460"/>
    </row>
    <row r="213" spans="1:28">
      <c r="A213" s="14"/>
      <c r="B213" s="15"/>
      <c r="C213" s="16"/>
      <c r="D213" s="17"/>
      <c r="E213" s="12"/>
      <c r="F213" s="18"/>
      <c r="G213" s="19"/>
      <c r="H213" s="13"/>
      <c r="I213" s="19"/>
      <c r="J213" s="13"/>
      <c r="K213" s="19"/>
      <c r="L213" s="13"/>
      <c r="M213" s="19"/>
      <c r="N213" s="13"/>
      <c r="O213" s="19"/>
      <c r="P213" s="13"/>
      <c r="Q213" s="19"/>
      <c r="R213" s="13"/>
      <c r="S213" s="19"/>
      <c r="T213" s="13"/>
      <c r="U213" s="19"/>
      <c r="V213" s="13"/>
      <c r="W213" s="19"/>
      <c r="X213" s="13"/>
      <c r="Y213" s="557"/>
      <c r="Z213" s="460"/>
      <c r="AA213" s="783"/>
      <c r="AB213" s="460"/>
    </row>
    <row r="214" spans="1:28">
      <c r="A214" s="14"/>
      <c r="B214" s="15"/>
      <c r="C214" s="16"/>
      <c r="D214" s="17"/>
      <c r="E214" s="12"/>
      <c r="F214" s="18"/>
      <c r="G214" s="19"/>
      <c r="H214" s="13"/>
      <c r="I214" s="19"/>
      <c r="J214" s="13"/>
      <c r="K214" s="19"/>
      <c r="L214" s="13"/>
      <c r="M214" s="19"/>
      <c r="N214" s="13"/>
      <c r="O214" s="19"/>
      <c r="P214" s="13"/>
      <c r="Q214" s="19"/>
      <c r="R214" s="13"/>
      <c r="S214" s="19"/>
      <c r="T214" s="13"/>
      <c r="U214" s="19"/>
      <c r="V214" s="13"/>
      <c r="W214" s="19"/>
      <c r="X214" s="13"/>
      <c r="Y214" s="557"/>
      <c r="Z214" s="460"/>
      <c r="AA214" s="783"/>
      <c r="AB214" s="460"/>
    </row>
    <row r="215" spans="1:28">
      <c r="A215" s="14"/>
      <c r="B215" s="15"/>
      <c r="C215" s="16"/>
      <c r="D215" s="17"/>
      <c r="E215" s="12"/>
      <c r="F215" s="18"/>
      <c r="G215" s="19"/>
      <c r="H215" s="13"/>
      <c r="I215" s="19"/>
      <c r="J215" s="13"/>
      <c r="K215" s="19"/>
      <c r="L215" s="13"/>
      <c r="M215" s="19"/>
      <c r="N215" s="13"/>
      <c r="O215" s="19"/>
      <c r="P215" s="13"/>
      <c r="Q215" s="19"/>
      <c r="R215" s="13"/>
      <c r="S215" s="19"/>
      <c r="T215" s="13"/>
      <c r="U215" s="19"/>
      <c r="V215" s="13"/>
      <c r="W215" s="19"/>
      <c r="X215" s="13"/>
      <c r="Y215" s="557"/>
      <c r="Z215" s="460"/>
      <c r="AA215" s="783"/>
      <c r="AB215" s="460"/>
    </row>
    <row r="216" spans="1:28">
      <c r="A216" s="14"/>
      <c r="B216" s="15"/>
      <c r="C216" s="16"/>
      <c r="D216" s="17"/>
      <c r="E216" s="12"/>
      <c r="F216" s="18"/>
      <c r="G216" s="19"/>
      <c r="H216" s="13"/>
      <c r="I216" s="19"/>
      <c r="J216" s="13"/>
      <c r="K216" s="19"/>
      <c r="L216" s="13"/>
      <c r="M216" s="19"/>
      <c r="N216" s="13"/>
      <c r="O216" s="19"/>
      <c r="P216" s="13"/>
      <c r="Q216" s="19"/>
      <c r="R216" s="13"/>
      <c r="S216" s="19"/>
      <c r="T216" s="13"/>
      <c r="U216" s="19"/>
      <c r="V216" s="13"/>
      <c r="W216" s="19"/>
      <c r="X216" s="13"/>
      <c r="Y216" s="557"/>
      <c r="Z216" s="460"/>
      <c r="AA216" s="783"/>
      <c r="AB216" s="460"/>
    </row>
    <row r="217" spans="1:28">
      <c r="A217" s="14"/>
      <c r="B217" s="15"/>
      <c r="C217" s="16"/>
      <c r="D217" s="17"/>
      <c r="E217" s="12"/>
      <c r="F217" s="18"/>
      <c r="G217" s="19"/>
      <c r="H217" s="13"/>
      <c r="I217" s="19"/>
      <c r="J217" s="13"/>
      <c r="K217" s="19"/>
      <c r="L217" s="13"/>
      <c r="M217" s="19"/>
      <c r="N217" s="13"/>
      <c r="O217" s="19"/>
      <c r="P217" s="13"/>
      <c r="Q217" s="19"/>
      <c r="R217" s="13"/>
      <c r="S217" s="19"/>
      <c r="T217" s="13"/>
      <c r="U217" s="19"/>
      <c r="V217" s="13"/>
      <c r="W217" s="19"/>
      <c r="X217" s="13"/>
      <c r="Y217" s="557"/>
      <c r="Z217" s="460"/>
      <c r="AA217" s="783"/>
      <c r="AB217" s="460"/>
    </row>
    <row r="218" spans="1:28">
      <c r="A218" s="14"/>
      <c r="B218" s="15"/>
      <c r="C218" s="16"/>
      <c r="D218" s="17"/>
      <c r="E218" s="12"/>
      <c r="F218" s="18"/>
      <c r="G218" s="19"/>
      <c r="H218" s="13"/>
      <c r="I218" s="19"/>
      <c r="J218" s="13"/>
      <c r="K218" s="19"/>
      <c r="L218" s="13"/>
      <c r="M218" s="19"/>
      <c r="N218" s="13"/>
      <c r="O218" s="19"/>
      <c r="P218" s="13"/>
      <c r="Q218" s="19"/>
      <c r="R218" s="13"/>
      <c r="S218" s="19"/>
      <c r="T218" s="13"/>
      <c r="U218" s="19"/>
      <c r="V218" s="13"/>
      <c r="W218" s="19"/>
      <c r="X218" s="13"/>
      <c r="Y218" s="557"/>
      <c r="Z218" s="460"/>
      <c r="AA218" s="783"/>
      <c r="AB218" s="460"/>
    </row>
    <row r="219" spans="1:28">
      <c r="A219" s="14"/>
      <c r="B219" s="15"/>
      <c r="C219" s="16"/>
      <c r="D219" s="17"/>
      <c r="E219" s="12"/>
      <c r="F219" s="18"/>
      <c r="G219" s="19"/>
      <c r="H219" s="13"/>
      <c r="I219" s="19"/>
      <c r="J219" s="13"/>
      <c r="K219" s="19"/>
      <c r="L219" s="13"/>
      <c r="M219" s="19"/>
      <c r="N219" s="13"/>
      <c r="O219" s="19"/>
      <c r="P219" s="13"/>
      <c r="Q219" s="19"/>
      <c r="R219" s="13"/>
      <c r="S219" s="19"/>
      <c r="T219" s="13"/>
      <c r="U219" s="19"/>
      <c r="V219" s="13"/>
      <c r="W219" s="19"/>
      <c r="X219" s="13"/>
      <c r="Y219" s="557"/>
      <c r="Z219" s="460"/>
      <c r="AA219" s="783"/>
      <c r="AB219" s="460"/>
    </row>
    <row r="220" spans="1:28">
      <c r="A220" s="14"/>
      <c r="B220" s="15"/>
      <c r="C220" s="16"/>
      <c r="D220" s="17"/>
      <c r="E220" s="12"/>
      <c r="F220" s="18"/>
      <c r="G220" s="19"/>
      <c r="H220" s="13"/>
      <c r="I220" s="19"/>
      <c r="J220" s="13"/>
      <c r="K220" s="19"/>
      <c r="L220" s="13"/>
      <c r="M220" s="19"/>
      <c r="N220" s="13"/>
      <c r="O220" s="19"/>
      <c r="P220" s="13"/>
      <c r="Q220" s="19"/>
      <c r="R220" s="13"/>
      <c r="S220" s="19"/>
      <c r="T220" s="13"/>
      <c r="U220" s="19"/>
      <c r="V220" s="13"/>
      <c r="W220" s="19"/>
      <c r="X220" s="13"/>
      <c r="Y220" s="557"/>
      <c r="Z220" s="460"/>
      <c r="AA220" s="783"/>
      <c r="AB220" s="460"/>
    </row>
    <row r="221" spans="1:28">
      <c r="A221" s="14"/>
      <c r="B221" s="15"/>
      <c r="C221" s="16"/>
      <c r="D221" s="17"/>
      <c r="E221" s="12"/>
      <c r="F221" s="18"/>
      <c r="G221" s="19"/>
      <c r="H221" s="13"/>
      <c r="I221" s="19"/>
      <c r="J221" s="13"/>
      <c r="K221" s="19"/>
      <c r="L221" s="13"/>
      <c r="M221" s="19"/>
      <c r="N221" s="13"/>
      <c r="O221" s="19"/>
      <c r="P221" s="13"/>
      <c r="Q221" s="19"/>
      <c r="R221" s="13"/>
      <c r="S221" s="19"/>
      <c r="T221" s="13"/>
      <c r="U221" s="19"/>
      <c r="V221" s="13"/>
      <c r="W221" s="19"/>
      <c r="X221" s="13"/>
      <c r="Y221" s="557"/>
      <c r="Z221" s="460"/>
      <c r="AA221" s="783"/>
      <c r="AB221" s="460"/>
    </row>
    <row r="222" spans="1:28">
      <c r="A222" s="14"/>
      <c r="B222" s="15"/>
      <c r="C222" s="16"/>
      <c r="D222" s="17"/>
      <c r="E222" s="12"/>
      <c r="F222" s="18"/>
      <c r="G222" s="19"/>
      <c r="H222" s="13"/>
      <c r="I222" s="19"/>
      <c r="J222" s="13"/>
      <c r="K222" s="19"/>
      <c r="L222" s="13"/>
      <c r="M222" s="19"/>
      <c r="N222" s="13"/>
      <c r="O222" s="19"/>
      <c r="P222" s="13"/>
      <c r="Q222" s="19"/>
      <c r="R222" s="13"/>
      <c r="S222" s="19"/>
      <c r="T222" s="13"/>
      <c r="U222" s="19"/>
      <c r="V222" s="13"/>
      <c r="W222" s="19"/>
      <c r="X222" s="13"/>
      <c r="Y222" s="557"/>
      <c r="Z222" s="460"/>
      <c r="AA222" s="783"/>
      <c r="AB222" s="460"/>
    </row>
    <row r="223" spans="1:28">
      <c r="A223" s="14"/>
      <c r="B223" s="15"/>
      <c r="C223" s="16"/>
      <c r="D223" s="17"/>
      <c r="E223" s="12"/>
      <c r="F223" s="18"/>
      <c r="G223" s="19"/>
      <c r="H223" s="13"/>
      <c r="I223" s="19"/>
      <c r="J223" s="13"/>
      <c r="K223" s="19"/>
      <c r="L223" s="13"/>
      <c r="M223" s="19"/>
      <c r="N223" s="13"/>
      <c r="O223" s="19"/>
      <c r="P223" s="13"/>
      <c r="Q223" s="19"/>
      <c r="R223" s="13"/>
      <c r="S223" s="19"/>
      <c r="T223" s="13"/>
      <c r="U223" s="19"/>
      <c r="V223" s="13"/>
      <c r="W223" s="19"/>
      <c r="X223" s="13"/>
      <c r="Y223" s="557"/>
      <c r="Z223" s="460"/>
      <c r="AA223" s="783"/>
      <c r="AB223" s="460"/>
    </row>
    <row r="224" spans="1:28">
      <c r="A224" s="14"/>
      <c r="B224" s="15"/>
      <c r="C224" s="16"/>
      <c r="D224" s="17"/>
      <c r="E224" s="12"/>
      <c r="F224" s="18"/>
      <c r="G224" s="19"/>
      <c r="H224" s="13"/>
      <c r="I224" s="19"/>
      <c r="J224" s="13"/>
      <c r="K224" s="19"/>
      <c r="L224" s="13"/>
      <c r="M224" s="19"/>
      <c r="N224" s="13"/>
      <c r="O224" s="19"/>
      <c r="P224" s="13"/>
      <c r="Q224" s="19"/>
      <c r="R224" s="13"/>
      <c r="S224" s="19"/>
      <c r="T224" s="13"/>
      <c r="U224" s="19"/>
      <c r="V224" s="13"/>
      <c r="W224" s="19"/>
      <c r="X224" s="13"/>
      <c r="Y224" s="557"/>
      <c r="Z224" s="460"/>
      <c r="AA224" s="783"/>
      <c r="AB224" s="460"/>
    </row>
    <row r="225" spans="1:28">
      <c r="A225" s="14"/>
      <c r="B225" s="15"/>
      <c r="C225" s="16"/>
      <c r="D225" s="17"/>
      <c r="E225" s="12"/>
      <c r="F225" s="18"/>
      <c r="G225" s="19"/>
      <c r="H225" s="13"/>
      <c r="I225" s="19"/>
      <c r="J225" s="13"/>
      <c r="K225" s="19"/>
      <c r="L225" s="13"/>
      <c r="M225" s="19"/>
      <c r="N225" s="13"/>
      <c r="O225" s="19"/>
      <c r="P225" s="13"/>
      <c r="Q225" s="19"/>
      <c r="R225" s="13"/>
      <c r="S225" s="19"/>
      <c r="T225" s="13"/>
      <c r="U225" s="19"/>
      <c r="V225" s="13"/>
      <c r="W225" s="19"/>
      <c r="X225" s="13"/>
      <c r="Y225" s="557"/>
      <c r="Z225" s="460"/>
      <c r="AA225" s="783"/>
      <c r="AB225" s="460"/>
    </row>
    <row r="226" spans="1:28">
      <c r="A226" s="14"/>
      <c r="B226" s="15"/>
      <c r="C226" s="16"/>
      <c r="D226" s="17"/>
      <c r="E226" s="12"/>
      <c r="F226" s="18"/>
      <c r="G226" s="19"/>
      <c r="H226" s="13"/>
      <c r="I226" s="19"/>
      <c r="J226" s="13"/>
      <c r="K226" s="19"/>
      <c r="L226" s="13"/>
      <c r="M226" s="19"/>
      <c r="N226" s="13"/>
      <c r="O226" s="19"/>
      <c r="P226" s="13"/>
      <c r="Q226" s="19"/>
      <c r="R226" s="13"/>
      <c r="S226" s="19"/>
      <c r="T226" s="13"/>
      <c r="U226" s="19"/>
      <c r="V226" s="13"/>
      <c r="W226" s="19"/>
      <c r="X226" s="13"/>
      <c r="Y226" s="557"/>
      <c r="Z226" s="460"/>
      <c r="AA226" s="783"/>
      <c r="AB226" s="460"/>
    </row>
    <row r="227" spans="1:28">
      <c r="A227" s="14"/>
      <c r="B227" s="15"/>
      <c r="C227" s="16"/>
      <c r="D227" s="17"/>
      <c r="E227" s="12"/>
      <c r="F227" s="18"/>
      <c r="G227" s="19"/>
      <c r="H227" s="13"/>
      <c r="I227" s="19"/>
      <c r="J227" s="13"/>
      <c r="K227" s="19"/>
      <c r="L227" s="13"/>
      <c r="M227" s="19"/>
      <c r="N227" s="13"/>
      <c r="O227" s="19"/>
      <c r="P227" s="13"/>
      <c r="Q227" s="19"/>
      <c r="R227" s="13"/>
      <c r="S227" s="19"/>
      <c r="T227" s="13"/>
      <c r="U227" s="19"/>
      <c r="V227" s="13"/>
      <c r="W227" s="19"/>
      <c r="X227" s="13"/>
      <c r="Y227" s="557"/>
      <c r="Z227" s="460"/>
      <c r="AA227" s="783"/>
      <c r="AB227" s="460"/>
    </row>
    <row r="228" spans="1:28">
      <c r="A228" s="14"/>
      <c r="B228" s="15"/>
      <c r="C228" s="16"/>
      <c r="D228" s="17"/>
      <c r="E228" s="12"/>
      <c r="F228" s="18"/>
      <c r="G228" s="19"/>
      <c r="H228" s="13"/>
      <c r="I228" s="19"/>
      <c r="J228" s="13"/>
      <c r="K228" s="19"/>
      <c r="L228" s="13"/>
      <c r="M228" s="19"/>
      <c r="N228" s="13"/>
      <c r="O228" s="19"/>
      <c r="P228" s="13"/>
      <c r="Q228" s="19"/>
      <c r="R228" s="13"/>
      <c r="S228" s="19"/>
      <c r="T228" s="13"/>
      <c r="U228" s="19"/>
      <c r="V228" s="13"/>
      <c r="W228" s="19"/>
      <c r="X228" s="13"/>
      <c r="Y228" s="557"/>
      <c r="Z228" s="460"/>
      <c r="AA228" s="783"/>
      <c r="AB228" s="460"/>
    </row>
    <row r="229" spans="1:28">
      <c r="A229" s="14"/>
      <c r="B229" s="15"/>
      <c r="C229" s="16"/>
      <c r="D229" s="17"/>
      <c r="E229" s="12"/>
      <c r="F229" s="18"/>
      <c r="G229" s="19"/>
      <c r="H229" s="13"/>
      <c r="I229" s="19"/>
      <c r="J229" s="13"/>
      <c r="K229" s="19"/>
      <c r="L229" s="13"/>
      <c r="M229" s="19"/>
      <c r="N229" s="13"/>
      <c r="O229" s="19"/>
      <c r="P229" s="13"/>
      <c r="Q229" s="19"/>
      <c r="R229" s="13"/>
      <c r="S229" s="19"/>
      <c r="T229" s="13"/>
      <c r="U229" s="19"/>
      <c r="V229" s="13"/>
      <c r="W229" s="19"/>
      <c r="X229" s="13"/>
      <c r="Y229" s="557"/>
      <c r="Z229" s="460"/>
      <c r="AA229" s="783"/>
      <c r="AB229" s="460"/>
    </row>
    <row r="230" spans="1:28">
      <c r="A230" s="14"/>
      <c r="B230" s="15"/>
      <c r="C230" s="16"/>
      <c r="D230" s="17"/>
      <c r="E230" s="12"/>
      <c r="F230" s="18"/>
      <c r="G230" s="19"/>
      <c r="H230" s="13"/>
      <c r="I230" s="19"/>
      <c r="J230" s="13"/>
      <c r="K230" s="19"/>
      <c r="L230" s="13"/>
      <c r="M230" s="19"/>
      <c r="N230" s="13"/>
      <c r="O230" s="19"/>
      <c r="P230" s="13"/>
      <c r="Q230" s="19"/>
      <c r="R230" s="13"/>
      <c r="S230" s="19"/>
      <c r="T230" s="13"/>
      <c r="U230" s="19"/>
      <c r="V230" s="13"/>
      <c r="W230" s="19"/>
      <c r="X230" s="13"/>
      <c r="Y230" s="557"/>
      <c r="Z230" s="460"/>
      <c r="AA230" s="783"/>
      <c r="AB230" s="460"/>
    </row>
    <row r="231" spans="1:28">
      <c r="A231" s="14"/>
      <c r="B231" s="15"/>
      <c r="C231" s="16"/>
      <c r="D231" s="17"/>
      <c r="E231" s="12"/>
      <c r="F231" s="18"/>
      <c r="G231" s="19"/>
      <c r="H231" s="13"/>
      <c r="I231" s="19"/>
      <c r="J231" s="13"/>
      <c r="K231" s="19"/>
      <c r="L231" s="13"/>
      <c r="M231" s="19"/>
      <c r="N231" s="13"/>
      <c r="O231" s="19"/>
      <c r="P231" s="13"/>
      <c r="Q231" s="19"/>
      <c r="R231" s="13"/>
      <c r="S231" s="19"/>
      <c r="T231" s="13"/>
      <c r="U231" s="19"/>
      <c r="V231" s="13"/>
      <c r="W231" s="19"/>
      <c r="X231" s="13"/>
      <c r="Y231" s="557"/>
      <c r="Z231" s="460"/>
      <c r="AA231" s="783"/>
      <c r="AB231" s="460"/>
    </row>
    <row r="232" spans="1:28">
      <c r="A232" s="14"/>
      <c r="B232" s="15"/>
      <c r="C232" s="16"/>
      <c r="D232" s="17"/>
      <c r="E232" s="12"/>
      <c r="F232" s="18"/>
      <c r="G232" s="19"/>
      <c r="H232" s="13"/>
      <c r="I232" s="19"/>
      <c r="J232" s="13"/>
      <c r="K232" s="19"/>
      <c r="L232" s="13"/>
      <c r="M232" s="19"/>
      <c r="N232" s="13"/>
      <c r="O232" s="19"/>
      <c r="P232" s="13"/>
      <c r="Q232" s="19"/>
      <c r="R232" s="13"/>
      <c r="S232" s="19"/>
      <c r="T232" s="13"/>
      <c r="U232" s="19"/>
      <c r="V232" s="13"/>
      <c r="W232" s="19"/>
      <c r="X232" s="13"/>
      <c r="Y232" s="557"/>
      <c r="Z232" s="460"/>
      <c r="AA232" s="783"/>
      <c r="AB232" s="460"/>
    </row>
    <row r="233" spans="1:28">
      <c r="A233" s="14"/>
      <c r="B233" s="15"/>
      <c r="C233" s="16"/>
      <c r="D233" s="17"/>
      <c r="E233" s="12"/>
      <c r="F233" s="18"/>
      <c r="G233" s="19"/>
      <c r="H233" s="13"/>
      <c r="I233" s="19"/>
      <c r="J233" s="13"/>
      <c r="K233" s="19"/>
      <c r="L233" s="13"/>
      <c r="M233" s="19"/>
      <c r="N233" s="13"/>
      <c r="O233" s="19"/>
      <c r="P233" s="13"/>
      <c r="Q233" s="19"/>
      <c r="R233" s="13"/>
      <c r="S233" s="19"/>
      <c r="T233" s="13"/>
      <c r="U233" s="19"/>
      <c r="V233" s="13"/>
      <c r="W233" s="19"/>
      <c r="X233" s="13"/>
      <c r="Y233" s="557"/>
      <c r="Z233" s="460"/>
      <c r="AA233" s="783"/>
      <c r="AB233" s="460"/>
    </row>
    <row r="234" spans="1:28">
      <c r="A234" s="14"/>
      <c r="B234" s="15"/>
      <c r="C234" s="16"/>
      <c r="D234" s="17"/>
      <c r="E234" s="12"/>
      <c r="F234" s="18"/>
      <c r="G234" s="19"/>
      <c r="H234" s="13"/>
      <c r="I234" s="19"/>
      <c r="J234" s="13"/>
      <c r="K234" s="19"/>
      <c r="L234" s="13"/>
      <c r="M234" s="19"/>
      <c r="N234" s="13"/>
      <c r="O234" s="19"/>
      <c r="P234" s="13"/>
      <c r="Q234" s="19"/>
      <c r="R234" s="13"/>
      <c r="S234" s="19"/>
      <c r="T234" s="13"/>
      <c r="U234" s="19"/>
      <c r="V234" s="13"/>
      <c r="W234" s="19"/>
      <c r="X234" s="13"/>
      <c r="Y234" s="557"/>
      <c r="Z234" s="460"/>
      <c r="AA234" s="783"/>
      <c r="AB234" s="460"/>
    </row>
    <row r="235" spans="1:28">
      <c r="A235" s="14"/>
      <c r="B235" s="15"/>
      <c r="C235" s="16"/>
      <c r="D235" s="17"/>
      <c r="E235" s="12"/>
      <c r="F235" s="18"/>
      <c r="G235" s="19"/>
      <c r="H235" s="13"/>
      <c r="I235" s="19"/>
      <c r="J235" s="13"/>
      <c r="K235" s="19"/>
      <c r="L235" s="13"/>
      <c r="M235" s="19"/>
      <c r="N235" s="13"/>
      <c r="O235" s="19"/>
      <c r="P235" s="13"/>
      <c r="Q235" s="19"/>
      <c r="R235" s="13"/>
      <c r="S235" s="19"/>
      <c r="T235" s="13"/>
      <c r="U235" s="19"/>
      <c r="V235" s="13"/>
      <c r="W235" s="19"/>
      <c r="X235" s="13"/>
      <c r="Y235" s="557"/>
      <c r="Z235" s="460"/>
      <c r="AA235" s="783"/>
      <c r="AB235" s="460"/>
    </row>
    <row r="236" spans="1:28">
      <c r="A236" s="14"/>
      <c r="B236" s="15"/>
      <c r="C236" s="16"/>
      <c r="D236" s="17"/>
      <c r="E236" s="12"/>
      <c r="F236" s="18"/>
      <c r="G236" s="19"/>
      <c r="H236" s="13"/>
      <c r="I236" s="19"/>
      <c r="J236" s="13"/>
      <c r="K236" s="19"/>
      <c r="L236" s="13"/>
      <c r="M236" s="19"/>
      <c r="N236" s="13"/>
      <c r="O236" s="19"/>
      <c r="P236" s="13"/>
      <c r="Q236" s="19"/>
      <c r="R236" s="13"/>
      <c r="S236" s="19"/>
      <c r="T236" s="13"/>
      <c r="U236" s="19"/>
      <c r="V236" s="13"/>
      <c r="W236" s="19"/>
      <c r="X236" s="13"/>
      <c r="Y236" s="557"/>
      <c r="Z236" s="460"/>
      <c r="AA236" s="783"/>
      <c r="AB236" s="460"/>
    </row>
    <row r="237" spans="1:28">
      <c r="A237" s="14"/>
      <c r="B237" s="15"/>
      <c r="C237" s="16"/>
      <c r="D237" s="17"/>
      <c r="E237" s="12"/>
      <c r="F237" s="18"/>
      <c r="G237" s="19"/>
      <c r="H237" s="13"/>
      <c r="I237" s="19"/>
      <c r="J237" s="13"/>
      <c r="K237" s="19"/>
      <c r="L237" s="13"/>
      <c r="M237" s="19"/>
      <c r="N237" s="13"/>
      <c r="O237" s="19"/>
      <c r="P237" s="13"/>
      <c r="Q237" s="19"/>
      <c r="R237" s="13"/>
      <c r="S237" s="19"/>
      <c r="T237" s="13"/>
      <c r="U237" s="19"/>
      <c r="V237" s="13"/>
      <c r="W237" s="19"/>
      <c r="X237" s="13"/>
      <c r="Y237" s="557"/>
      <c r="Z237" s="460"/>
      <c r="AA237" s="783"/>
      <c r="AB237" s="460"/>
    </row>
    <row r="238" spans="1:28">
      <c r="A238" s="14"/>
      <c r="B238" s="15"/>
      <c r="C238" s="16"/>
      <c r="D238" s="17"/>
      <c r="E238" s="12"/>
      <c r="F238" s="18"/>
      <c r="G238" s="19"/>
      <c r="H238" s="13"/>
      <c r="I238" s="19"/>
      <c r="J238" s="13"/>
      <c r="K238" s="19"/>
      <c r="L238" s="13"/>
      <c r="M238" s="19"/>
      <c r="N238" s="13"/>
      <c r="O238" s="19"/>
      <c r="P238" s="13"/>
      <c r="Q238" s="19"/>
      <c r="R238" s="13"/>
      <c r="S238" s="19"/>
      <c r="T238" s="13"/>
      <c r="U238" s="19"/>
      <c r="V238" s="13"/>
      <c r="W238" s="19"/>
      <c r="X238" s="13"/>
      <c r="Y238" s="557"/>
      <c r="Z238" s="460"/>
      <c r="AA238" s="783"/>
      <c r="AB238" s="460"/>
    </row>
    <row r="239" spans="1:28">
      <c r="A239" s="14"/>
      <c r="B239" s="15"/>
      <c r="C239" s="16"/>
      <c r="D239" s="17"/>
      <c r="E239" s="12"/>
      <c r="F239" s="18"/>
      <c r="G239" s="19"/>
      <c r="H239" s="13"/>
      <c r="I239" s="19"/>
      <c r="J239" s="13"/>
      <c r="K239" s="19"/>
      <c r="L239" s="13"/>
      <c r="M239" s="19"/>
      <c r="N239" s="13"/>
      <c r="O239" s="19"/>
      <c r="P239" s="13"/>
      <c r="Q239" s="19"/>
      <c r="R239" s="13"/>
      <c r="S239" s="19"/>
      <c r="T239" s="13"/>
      <c r="U239" s="19"/>
      <c r="V239" s="13"/>
      <c r="W239" s="19"/>
      <c r="X239" s="13"/>
      <c r="Y239" s="557"/>
      <c r="Z239" s="460"/>
      <c r="AA239" s="783"/>
      <c r="AB239" s="460"/>
    </row>
    <row r="240" spans="1:28">
      <c r="A240" s="14"/>
      <c r="B240" s="15"/>
      <c r="C240" s="16"/>
      <c r="D240" s="17"/>
      <c r="E240" s="12"/>
      <c r="F240" s="18"/>
      <c r="G240" s="19"/>
      <c r="H240" s="13"/>
      <c r="I240" s="19"/>
      <c r="J240" s="13"/>
      <c r="K240" s="19"/>
      <c r="L240" s="13"/>
      <c r="M240" s="19"/>
      <c r="N240" s="13"/>
      <c r="O240" s="19"/>
      <c r="P240" s="13"/>
      <c r="Q240" s="19"/>
      <c r="R240" s="13"/>
      <c r="S240" s="19"/>
      <c r="T240" s="13"/>
      <c r="U240" s="19"/>
      <c r="V240" s="13"/>
      <c r="W240" s="19"/>
      <c r="X240" s="13"/>
      <c r="Y240" s="557"/>
      <c r="Z240" s="460"/>
      <c r="AA240" s="783"/>
      <c r="AB240" s="460"/>
    </row>
    <row r="241" spans="1:28">
      <c r="A241" s="14"/>
      <c r="B241" s="15"/>
      <c r="C241" s="16"/>
      <c r="D241" s="17"/>
      <c r="E241" s="12"/>
      <c r="F241" s="18"/>
      <c r="G241" s="19"/>
      <c r="H241" s="13"/>
      <c r="I241" s="19"/>
      <c r="J241" s="13"/>
      <c r="K241" s="19"/>
      <c r="L241" s="13"/>
      <c r="M241" s="19"/>
      <c r="N241" s="13"/>
      <c r="O241" s="19"/>
      <c r="P241" s="13"/>
      <c r="Q241" s="19"/>
      <c r="R241" s="13"/>
      <c r="S241" s="19"/>
      <c r="T241" s="13"/>
      <c r="U241" s="19"/>
      <c r="V241" s="13"/>
      <c r="W241" s="19"/>
      <c r="X241" s="13"/>
      <c r="Y241" s="557"/>
      <c r="Z241" s="460"/>
      <c r="AA241" s="783"/>
      <c r="AB241" s="460"/>
    </row>
    <row r="242" spans="1:28">
      <c r="A242" s="14"/>
      <c r="B242" s="15"/>
      <c r="C242" s="16"/>
      <c r="D242" s="17"/>
      <c r="E242" s="12"/>
      <c r="F242" s="18"/>
      <c r="G242" s="19"/>
      <c r="H242" s="13"/>
      <c r="I242" s="19"/>
      <c r="J242" s="13"/>
      <c r="K242" s="19"/>
      <c r="L242" s="13"/>
      <c r="M242" s="19"/>
      <c r="N242" s="13"/>
      <c r="O242" s="19"/>
      <c r="P242" s="13"/>
      <c r="Q242" s="19"/>
      <c r="R242" s="13"/>
      <c r="S242" s="19"/>
      <c r="T242" s="13"/>
      <c r="U242" s="19"/>
      <c r="V242" s="13"/>
      <c r="W242" s="19"/>
      <c r="X242" s="13"/>
      <c r="Y242" s="557"/>
      <c r="Z242" s="460"/>
      <c r="AA242" s="783"/>
      <c r="AB242" s="460"/>
    </row>
    <row r="243" spans="1:28">
      <c r="A243" s="14"/>
      <c r="B243" s="15"/>
      <c r="C243" s="16"/>
      <c r="D243" s="17"/>
      <c r="E243" s="12"/>
      <c r="F243" s="18"/>
      <c r="G243" s="19"/>
      <c r="H243" s="13"/>
      <c r="I243" s="19"/>
      <c r="J243" s="13"/>
      <c r="K243" s="19"/>
      <c r="L243" s="13"/>
      <c r="M243" s="19"/>
      <c r="N243" s="13"/>
      <c r="O243" s="19"/>
      <c r="P243" s="13"/>
      <c r="Q243" s="19"/>
      <c r="R243" s="13"/>
      <c r="S243" s="19"/>
      <c r="T243" s="13"/>
      <c r="U243" s="19"/>
      <c r="V243" s="13"/>
      <c r="W243" s="19"/>
      <c r="X243" s="13"/>
      <c r="Y243" s="557"/>
      <c r="Z243" s="460"/>
      <c r="AA243" s="783"/>
      <c r="AB243" s="460"/>
    </row>
    <row r="244" spans="1:28">
      <c r="A244" s="14"/>
      <c r="B244" s="15"/>
      <c r="C244" s="16"/>
      <c r="D244" s="17"/>
      <c r="E244" s="12"/>
      <c r="F244" s="18"/>
      <c r="G244" s="19"/>
      <c r="H244" s="13"/>
      <c r="I244" s="19"/>
      <c r="J244" s="13"/>
      <c r="K244" s="19"/>
      <c r="L244" s="13"/>
      <c r="M244" s="19"/>
      <c r="N244" s="13"/>
      <c r="O244" s="19"/>
      <c r="P244" s="13"/>
      <c r="Q244" s="19"/>
      <c r="R244" s="13"/>
      <c r="S244" s="19"/>
      <c r="T244" s="13"/>
      <c r="U244" s="19"/>
      <c r="V244" s="13"/>
      <c r="W244" s="19"/>
      <c r="X244" s="13"/>
      <c r="Y244" s="557"/>
      <c r="Z244" s="460"/>
      <c r="AA244" s="783"/>
      <c r="AB244" s="460"/>
    </row>
    <row r="245" spans="1:28">
      <c r="A245" s="14"/>
      <c r="B245" s="15"/>
      <c r="C245" s="16"/>
      <c r="D245" s="17"/>
      <c r="E245" s="12"/>
      <c r="F245" s="18"/>
      <c r="G245" s="19"/>
      <c r="H245" s="13"/>
      <c r="I245" s="19"/>
      <c r="J245" s="13"/>
      <c r="K245" s="19"/>
      <c r="L245" s="13"/>
      <c r="M245" s="19"/>
      <c r="N245" s="13"/>
      <c r="O245" s="19"/>
      <c r="P245" s="13"/>
      <c r="Q245" s="19"/>
      <c r="R245" s="13"/>
      <c r="S245" s="19"/>
      <c r="T245" s="13"/>
      <c r="U245" s="19"/>
      <c r="V245" s="13"/>
      <c r="W245" s="19"/>
      <c r="X245" s="13"/>
      <c r="Y245" s="557"/>
      <c r="Z245" s="460"/>
      <c r="AA245" s="783"/>
      <c r="AB245" s="460"/>
    </row>
    <row r="246" spans="1:28">
      <c r="A246" s="14"/>
      <c r="B246" s="15"/>
      <c r="C246" s="16"/>
      <c r="D246" s="17"/>
      <c r="E246" s="12"/>
      <c r="F246" s="18"/>
      <c r="G246" s="19"/>
      <c r="H246" s="13"/>
      <c r="I246" s="19"/>
      <c r="J246" s="13"/>
      <c r="K246" s="19"/>
      <c r="L246" s="13"/>
      <c r="M246" s="19"/>
      <c r="N246" s="13"/>
      <c r="O246" s="19"/>
      <c r="P246" s="13"/>
      <c r="Q246" s="19"/>
      <c r="R246" s="13"/>
      <c r="S246" s="19"/>
      <c r="T246" s="13"/>
      <c r="U246" s="19"/>
      <c r="V246" s="13"/>
      <c r="W246" s="19"/>
      <c r="X246" s="13"/>
      <c r="Y246" s="557"/>
      <c r="Z246" s="460"/>
      <c r="AA246" s="783"/>
      <c r="AB246" s="460"/>
    </row>
    <row r="247" spans="1:28">
      <c r="A247" s="14"/>
      <c r="B247" s="15"/>
      <c r="C247" s="16"/>
      <c r="D247" s="17"/>
      <c r="E247" s="12"/>
      <c r="F247" s="18"/>
      <c r="G247" s="19"/>
      <c r="H247" s="13"/>
      <c r="I247" s="19"/>
      <c r="J247" s="13"/>
      <c r="K247" s="19"/>
      <c r="L247" s="13"/>
      <c r="M247" s="19"/>
      <c r="N247" s="13"/>
      <c r="O247" s="19"/>
      <c r="P247" s="13"/>
      <c r="Q247" s="19"/>
      <c r="R247" s="13"/>
      <c r="S247" s="19"/>
      <c r="T247" s="13"/>
      <c r="U247" s="19"/>
      <c r="V247" s="13"/>
      <c r="W247" s="19"/>
      <c r="X247" s="13"/>
      <c r="Y247" s="557"/>
      <c r="Z247" s="460"/>
      <c r="AA247" s="783"/>
      <c r="AB247" s="460"/>
    </row>
    <row r="248" spans="1:28">
      <c r="A248" s="14"/>
      <c r="B248" s="15"/>
      <c r="C248" s="16"/>
      <c r="D248" s="17"/>
      <c r="E248" s="12"/>
      <c r="F248" s="18"/>
      <c r="G248" s="19"/>
      <c r="H248" s="13"/>
      <c r="I248" s="19"/>
      <c r="J248" s="13"/>
      <c r="K248" s="19"/>
      <c r="L248" s="13"/>
      <c r="M248" s="19"/>
      <c r="N248" s="13"/>
      <c r="O248" s="19"/>
      <c r="P248" s="13"/>
      <c r="Q248" s="19"/>
      <c r="R248" s="13"/>
      <c r="S248" s="19"/>
      <c r="T248" s="13"/>
      <c r="U248" s="19"/>
      <c r="V248" s="13"/>
      <c r="W248" s="19"/>
      <c r="X248" s="13"/>
      <c r="Y248" s="557"/>
      <c r="Z248" s="460"/>
      <c r="AA248" s="783"/>
      <c r="AB248" s="460"/>
    </row>
    <row r="249" spans="1:28">
      <c r="A249" s="14"/>
      <c r="B249" s="15"/>
      <c r="C249" s="16"/>
      <c r="D249" s="17"/>
      <c r="E249" s="12"/>
      <c r="F249" s="18"/>
      <c r="G249" s="19"/>
      <c r="H249" s="13"/>
      <c r="I249" s="19"/>
      <c r="J249" s="13"/>
      <c r="K249" s="19"/>
      <c r="L249" s="13"/>
      <c r="M249" s="19"/>
      <c r="N249" s="13"/>
      <c r="O249" s="19"/>
      <c r="P249" s="13"/>
      <c r="Q249" s="19"/>
      <c r="R249" s="13"/>
      <c r="S249" s="19"/>
      <c r="T249" s="13"/>
      <c r="U249" s="19"/>
      <c r="V249" s="13"/>
      <c r="W249" s="19"/>
      <c r="X249" s="13"/>
      <c r="Y249" s="557"/>
      <c r="Z249" s="460"/>
      <c r="AA249" s="783"/>
      <c r="AB249" s="460"/>
    </row>
    <row r="250" spans="1:28">
      <c r="A250" s="14"/>
      <c r="B250" s="15"/>
      <c r="C250" s="16"/>
      <c r="D250" s="17"/>
      <c r="E250" s="12"/>
      <c r="F250" s="18"/>
      <c r="G250" s="19"/>
      <c r="H250" s="13"/>
      <c r="I250" s="19"/>
      <c r="J250" s="13"/>
      <c r="K250" s="19"/>
      <c r="L250" s="13"/>
      <c r="M250" s="19"/>
      <c r="N250" s="13"/>
      <c r="O250" s="19"/>
      <c r="P250" s="13"/>
      <c r="Q250" s="19"/>
      <c r="R250" s="13"/>
      <c r="S250" s="19"/>
      <c r="T250" s="13"/>
      <c r="U250" s="19"/>
      <c r="V250" s="13"/>
      <c r="W250" s="19"/>
      <c r="X250" s="13"/>
      <c r="Y250" s="557"/>
      <c r="Z250" s="460"/>
      <c r="AA250" s="783"/>
      <c r="AB250" s="460"/>
    </row>
    <row r="251" spans="1:28">
      <c r="A251" s="14"/>
      <c r="B251" s="15"/>
      <c r="C251" s="16"/>
      <c r="D251" s="17"/>
      <c r="E251" s="12"/>
      <c r="F251" s="18"/>
      <c r="G251" s="19"/>
      <c r="H251" s="13"/>
      <c r="I251" s="19"/>
      <c r="J251" s="13"/>
      <c r="K251" s="19"/>
      <c r="L251" s="13"/>
      <c r="M251" s="19"/>
      <c r="N251" s="13"/>
      <c r="O251" s="19"/>
      <c r="P251" s="13"/>
      <c r="Q251" s="19"/>
      <c r="R251" s="13"/>
      <c r="S251" s="19"/>
      <c r="T251" s="13"/>
      <c r="U251" s="19"/>
      <c r="V251" s="13"/>
      <c r="W251" s="19"/>
      <c r="X251" s="13"/>
      <c r="Y251" s="557"/>
      <c r="Z251" s="460"/>
      <c r="AA251" s="783"/>
      <c r="AB251" s="460"/>
    </row>
    <row r="252" spans="1:28">
      <c r="A252" s="14"/>
      <c r="B252" s="15"/>
      <c r="C252" s="16"/>
      <c r="D252" s="17"/>
      <c r="E252" s="12"/>
      <c r="F252" s="18"/>
      <c r="G252" s="19"/>
      <c r="H252" s="13"/>
      <c r="I252" s="19"/>
      <c r="J252" s="13"/>
      <c r="K252" s="19"/>
      <c r="L252" s="13"/>
      <c r="M252" s="19"/>
      <c r="N252" s="13"/>
      <c r="O252" s="19"/>
      <c r="P252" s="13"/>
      <c r="Q252" s="19"/>
      <c r="R252" s="13"/>
      <c r="S252" s="19"/>
      <c r="T252" s="13"/>
      <c r="U252" s="19"/>
      <c r="V252" s="13"/>
      <c r="W252" s="19"/>
      <c r="X252" s="13"/>
      <c r="Y252" s="557"/>
      <c r="Z252" s="460"/>
      <c r="AA252" s="783"/>
      <c r="AB252" s="460"/>
    </row>
    <row r="253" spans="1:28">
      <c r="A253" s="14"/>
      <c r="B253" s="15"/>
      <c r="C253" s="16"/>
      <c r="D253" s="17"/>
      <c r="E253" s="12"/>
      <c r="F253" s="18"/>
      <c r="G253" s="19"/>
      <c r="H253" s="13"/>
      <c r="I253" s="19"/>
      <c r="J253" s="13"/>
      <c r="K253" s="19"/>
      <c r="L253" s="13"/>
      <c r="M253" s="19"/>
      <c r="N253" s="13"/>
      <c r="O253" s="19"/>
      <c r="P253" s="13"/>
      <c r="Q253" s="19"/>
      <c r="R253" s="13"/>
      <c r="S253" s="19"/>
      <c r="T253" s="13"/>
      <c r="U253" s="19"/>
      <c r="V253" s="13"/>
      <c r="W253" s="19"/>
      <c r="X253" s="13"/>
      <c r="Y253" s="557"/>
      <c r="Z253" s="460"/>
      <c r="AA253" s="783"/>
      <c r="AB253" s="460"/>
    </row>
    <row r="254" spans="1:28">
      <c r="A254" s="14"/>
      <c r="B254" s="15"/>
      <c r="C254" s="16"/>
      <c r="D254" s="17"/>
      <c r="E254" s="12"/>
      <c r="F254" s="18"/>
      <c r="G254" s="19"/>
      <c r="H254" s="13"/>
      <c r="I254" s="19"/>
      <c r="J254" s="13"/>
      <c r="K254" s="19"/>
      <c r="L254" s="13"/>
      <c r="M254" s="19"/>
      <c r="N254" s="13"/>
      <c r="O254" s="19"/>
      <c r="P254" s="13"/>
      <c r="Q254" s="19"/>
      <c r="R254" s="13"/>
      <c r="S254" s="19"/>
      <c r="T254" s="13"/>
      <c r="U254" s="19"/>
      <c r="V254" s="13"/>
      <c r="W254" s="19"/>
      <c r="X254" s="13"/>
      <c r="Y254" s="557"/>
      <c r="Z254" s="460"/>
      <c r="AA254" s="783"/>
      <c r="AB254" s="460"/>
    </row>
    <row r="255" spans="1:28">
      <c r="A255" s="14"/>
      <c r="B255" s="15"/>
      <c r="C255" s="16"/>
      <c r="D255" s="17"/>
      <c r="E255" s="12"/>
      <c r="F255" s="18"/>
      <c r="G255" s="19"/>
      <c r="H255" s="13"/>
      <c r="I255" s="19"/>
      <c r="J255" s="13"/>
      <c r="K255" s="19"/>
      <c r="L255" s="13"/>
      <c r="M255" s="19"/>
      <c r="N255" s="13"/>
      <c r="O255" s="19"/>
      <c r="P255" s="13"/>
      <c r="Q255" s="19"/>
      <c r="R255" s="13"/>
      <c r="S255" s="19"/>
      <c r="T255" s="13"/>
      <c r="U255" s="19"/>
      <c r="V255" s="13"/>
      <c r="W255" s="19"/>
      <c r="X255" s="13"/>
      <c r="Y255" s="557"/>
      <c r="Z255" s="460"/>
      <c r="AA255" s="783"/>
      <c r="AB255" s="460"/>
    </row>
    <row r="256" spans="1:28">
      <c r="A256" s="14"/>
      <c r="B256" s="15"/>
      <c r="C256" s="16"/>
      <c r="D256" s="17"/>
      <c r="E256" s="12"/>
      <c r="F256" s="18"/>
      <c r="G256" s="19"/>
      <c r="H256" s="13"/>
      <c r="I256" s="19"/>
      <c r="J256" s="13"/>
      <c r="K256" s="19"/>
      <c r="L256" s="13"/>
      <c r="M256" s="19"/>
      <c r="N256" s="13"/>
      <c r="O256" s="19"/>
      <c r="P256" s="13"/>
      <c r="Q256" s="19"/>
      <c r="R256" s="13"/>
      <c r="S256" s="19"/>
      <c r="T256" s="13"/>
      <c r="U256" s="19"/>
      <c r="V256" s="13"/>
      <c r="W256" s="19"/>
      <c r="X256" s="13"/>
      <c r="Y256" s="557"/>
      <c r="Z256" s="460"/>
      <c r="AA256" s="783"/>
      <c r="AB256" s="460"/>
    </row>
    <row r="257" spans="1:28">
      <c r="A257" s="14"/>
      <c r="B257" s="15"/>
      <c r="C257" s="16"/>
      <c r="D257" s="17"/>
      <c r="E257" s="12"/>
      <c r="F257" s="18"/>
      <c r="G257" s="19"/>
      <c r="H257" s="13"/>
      <c r="I257" s="19"/>
      <c r="J257" s="13"/>
      <c r="K257" s="19"/>
      <c r="L257" s="13"/>
      <c r="M257" s="19"/>
      <c r="N257" s="13"/>
      <c r="O257" s="19"/>
      <c r="P257" s="13"/>
      <c r="Q257" s="19"/>
      <c r="R257" s="13"/>
      <c r="S257" s="19"/>
      <c r="T257" s="13"/>
      <c r="U257" s="19"/>
      <c r="V257" s="13"/>
      <c r="W257" s="19"/>
      <c r="X257" s="13"/>
      <c r="Y257" s="557"/>
      <c r="Z257" s="460"/>
      <c r="AA257" s="783"/>
      <c r="AB257" s="460"/>
    </row>
    <row r="258" spans="1:28">
      <c r="A258" s="14"/>
      <c r="B258" s="15"/>
      <c r="C258" s="16"/>
      <c r="D258" s="17"/>
      <c r="E258" s="12"/>
      <c r="F258" s="18"/>
      <c r="G258" s="19"/>
      <c r="H258" s="13"/>
      <c r="I258" s="19"/>
      <c r="J258" s="13"/>
      <c r="K258" s="19"/>
      <c r="L258" s="13"/>
      <c r="M258" s="19"/>
      <c r="N258" s="13"/>
      <c r="O258" s="19"/>
      <c r="P258" s="13"/>
      <c r="Q258" s="19"/>
      <c r="R258" s="13"/>
      <c r="S258" s="19"/>
      <c r="T258" s="13"/>
      <c r="U258" s="19"/>
      <c r="V258" s="13"/>
      <c r="W258" s="19"/>
      <c r="X258" s="13"/>
      <c r="Y258" s="557"/>
      <c r="Z258" s="460"/>
      <c r="AA258" s="783"/>
      <c r="AB258" s="460"/>
    </row>
    <row r="259" spans="1:28">
      <c r="A259" s="14"/>
      <c r="B259" s="15"/>
      <c r="C259" s="16"/>
      <c r="D259" s="17"/>
      <c r="E259" s="12"/>
      <c r="F259" s="18"/>
      <c r="G259" s="19"/>
      <c r="H259" s="13"/>
      <c r="I259" s="19"/>
      <c r="J259" s="13"/>
      <c r="K259" s="19"/>
      <c r="L259" s="13"/>
      <c r="M259" s="19"/>
      <c r="N259" s="13"/>
      <c r="O259" s="19"/>
      <c r="P259" s="13"/>
      <c r="Q259" s="19"/>
      <c r="R259" s="13"/>
      <c r="S259" s="19"/>
      <c r="T259" s="13"/>
      <c r="U259" s="19"/>
      <c r="V259" s="13"/>
      <c r="W259" s="19"/>
      <c r="X259" s="13"/>
      <c r="Y259" s="557"/>
      <c r="Z259" s="460"/>
      <c r="AA259" s="783"/>
      <c r="AB259" s="460"/>
    </row>
    <row r="260" spans="1:28">
      <c r="A260" s="14"/>
      <c r="B260" s="15"/>
      <c r="C260" s="16"/>
      <c r="D260" s="17"/>
      <c r="E260" s="12"/>
      <c r="F260" s="18"/>
      <c r="G260" s="19"/>
      <c r="H260" s="13"/>
      <c r="I260" s="19"/>
      <c r="J260" s="13"/>
      <c r="K260" s="19"/>
      <c r="L260" s="13"/>
      <c r="M260" s="19"/>
      <c r="N260" s="13"/>
      <c r="O260" s="19"/>
      <c r="P260" s="13"/>
      <c r="Q260" s="19"/>
      <c r="R260" s="13"/>
      <c r="S260" s="19"/>
      <c r="T260" s="13"/>
      <c r="U260" s="19"/>
      <c r="V260" s="13"/>
      <c r="W260" s="19"/>
      <c r="X260" s="13"/>
      <c r="Y260" s="557"/>
      <c r="Z260" s="460"/>
      <c r="AA260" s="783"/>
      <c r="AB260" s="460"/>
    </row>
    <row r="261" spans="1:28">
      <c r="A261" s="14"/>
      <c r="B261" s="15"/>
      <c r="C261" s="16"/>
      <c r="D261" s="17"/>
      <c r="E261" s="12"/>
      <c r="F261" s="18"/>
      <c r="G261" s="19"/>
      <c r="H261" s="13"/>
      <c r="I261" s="19"/>
      <c r="J261" s="13"/>
      <c r="K261" s="19"/>
      <c r="L261" s="13"/>
      <c r="M261" s="19"/>
      <c r="N261" s="13"/>
      <c r="O261" s="19"/>
      <c r="P261" s="13"/>
      <c r="Q261" s="19"/>
      <c r="R261" s="13"/>
      <c r="S261" s="19"/>
      <c r="T261" s="13"/>
      <c r="U261" s="19"/>
      <c r="V261" s="13"/>
      <c r="W261" s="19"/>
      <c r="X261" s="13"/>
      <c r="Y261" s="557"/>
      <c r="Z261" s="460"/>
      <c r="AA261" s="783"/>
      <c r="AB261" s="460"/>
    </row>
    <row r="262" spans="1:28">
      <c r="A262" s="14"/>
      <c r="B262" s="15"/>
      <c r="C262" s="16"/>
      <c r="D262" s="17"/>
      <c r="E262" s="12"/>
      <c r="F262" s="18"/>
      <c r="G262" s="19"/>
      <c r="H262" s="13"/>
      <c r="I262" s="19"/>
      <c r="J262" s="13"/>
      <c r="K262" s="19"/>
      <c r="L262" s="13"/>
      <c r="M262" s="19"/>
      <c r="N262" s="13"/>
      <c r="O262" s="19"/>
      <c r="P262" s="13"/>
      <c r="Q262" s="19"/>
      <c r="R262" s="13"/>
      <c r="S262" s="19"/>
      <c r="T262" s="13"/>
      <c r="U262" s="19"/>
      <c r="V262" s="13"/>
      <c r="W262" s="19"/>
      <c r="X262" s="13"/>
      <c r="Y262" s="557"/>
      <c r="Z262" s="460"/>
      <c r="AA262" s="783"/>
      <c r="AB262" s="460"/>
    </row>
    <row r="263" spans="1:28">
      <c r="A263" s="14"/>
      <c r="B263" s="15"/>
      <c r="C263" s="16"/>
      <c r="D263" s="17"/>
      <c r="E263" s="12"/>
      <c r="F263" s="18"/>
      <c r="G263" s="19"/>
      <c r="H263" s="13"/>
      <c r="I263" s="19"/>
      <c r="J263" s="13"/>
      <c r="K263" s="19"/>
      <c r="L263" s="13"/>
      <c r="M263" s="19"/>
      <c r="N263" s="13"/>
      <c r="O263" s="19"/>
      <c r="P263" s="13"/>
      <c r="Q263" s="19"/>
      <c r="R263" s="13"/>
      <c r="S263" s="19"/>
      <c r="T263" s="13"/>
      <c r="U263" s="19"/>
      <c r="V263" s="13"/>
      <c r="W263" s="19"/>
      <c r="X263" s="13"/>
      <c r="Y263" s="557"/>
      <c r="Z263" s="460"/>
      <c r="AA263" s="783"/>
      <c r="AB263" s="460"/>
    </row>
    <row r="264" spans="1:28">
      <c r="A264" s="14"/>
      <c r="B264" s="15"/>
      <c r="C264" s="16"/>
      <c r="D264" s="17"/>
      <c r="E264" s="12"/>
      <c r="F264" s="18"/>
      <c r="G264" s="19"/>
      <c r="H264" s="13"/>
      <c r="I264" s="19"/>
      <c r="J264" s="13"/>
      <c r="K264" s="19"/>
      <c r="L264" s="13"/>
      <c r="M264" s="19"/>
      <c r="N264" s="13"/>
      <c r="O264" s="19"/>
      <c r="P264" s="13"/>
      <c r="Q264" s="19"/>
      <c r="R264" s="13"/>
      <c r="S264" s="19"/>
      <c r="T264" s="13"/>
      <c r="U264" s="19"/>
      <c r="V264" s="13"/>
      <c r="W264" s="19"/>
      <c r="X264" s="13"/>
      <c r="Y264" s="557"/>
      <c r="Z264" s="460"/>
      <c r="AA264" s="783"/>
      <c r="AB264" s="460"/>
    </row>
    <row r="265" spans="1:28">
      <c r="A265" s="14"/>
      <c r="B265" s="15"/>
      <c r="C265" s="16"/>
      <c r="D265" s="17"/>
      <c r="E265" s="12"/>
      <c r="F265" s="18"/>
      <c r="G265" s="19"/>
      <c r="H265" s="13"/>
      <c r="I265" s="19"/>
      <c r="J265" s="13"/>
      <c r="K265" s="19"/>
      <c r="L265" s="13"/>
      <c r="M265" s="19"/>
      <c r="N265" s="13"/>
      <c r="O265" s="19"/>
      <c r="P265" s="13"/>
      <c r="Q265" s="19"/>
      <c r="R265" s="13"/>
      <c r="S265" s="19"/>
      <c r="T265" s="13"/>
      <c r="U265" s="19"/>
      <c r="V265" s="13"/>
      <c r="W265" s="19"/>
      <c r="X265" s="13"/>
      <c r="Y265" s="557"/>
      <c r="Z265" s="460"/>
      <c r="AA265" s="783"/>
      <c r="AB265" s="460"/>
    </row>
    <row r="266" spans="1:28">
      <c r="A266" s="14"/>
      <c r="B266" s="15"/>
      <c r="C266" s="16"/>
      <c r="D266" s="17"/>
      <c r="E266" s="12"/>
      <c r="F266" s="18"/>
      <c r="G266" s="19"/>
      <c r="H266" s="13"/>
      <c r="I266" s="19"/>
      <c r="J266" s="13"/>
      <c r="K266" s="19"/>
      <c r="L266" s="13"/>
      <c r="M266" s="19"/>
      <c r="N266" s="13"/>
      <c r="O266" s="19"/>
      <c r="P266" s="13"/>
      <c r="Q266" s="19"/>
      <c r="R266" s="13"/>
      <c r="S266" s="19"/>
      <c r="T266" s="13"/>
      <c r="U266" s="19"/>
      <c r="V266" s="13"/>
      <c r="W266" s="19"/>
      <c r="X266" s="13"/>
      <c r="Y266" s="557"/>
      <c r="Z266" s="460"/>
      <c r="AA266" s="783"/>
      <c r="AB266" s="460"/>
    </row>
    <row r="267" spans="1:28">
      <c r="A267" s="14"/>
      <c r="B267" s="15"/>
      <c r="C267" s="16"/>
      <c r="D267" s="17"/>
      <c r="E267" s="12"/>
      <c r="F267" s="18"/>
      <c r="G267" s="19"/>
      <c r="H267" s="13"/>
      <c r="I267" s="19"/>
      <c r="J267" s="13"/>
      <c r="K267" s="19"/>
      <c r="L267" s="13"/>
      <c r="M267" s="19"/>
      <c r="N267" s="13"/>
      <c r="O267" s="19"/>
      <c r="P267" s="13"/>
      <c r="Q267" s="19"/>
      <c r="R267" s="13"/>
      <c r="S267" s="19"/>
      <c r="T267" s="13"/>
      <c r="U267" s="19"/>
      <c r="V267" s="13"/>
      <c r="W267" s="19"/>
      <c r="X267" s="13"/>
      <c r="Y267" s="557"/>
      <c r="Z267" s="460"/>
      <c r="AA267" s="783"/>
      <c r="AB267" s="460"/>
    </row>
    <row r="268" spans="1:28">
      <c r="A268" s="14"/>
      <c r="B268" s="15"/>
      <c r="C268" s="16"/>
      <c r="D268" s="17"/>
      <c r="E268" s="12"/>
      <c r="F268" s="18"/>
      <c r="G268" s="19"/>
      <c r="H268" s="13"/>
      <c r="I268" s="19"/>
      <c r="J268" s="13"/>
      <c r="K268" s="19"/>
      <c r="L268" s="13"/>
      <c r="M268" s="19"/>
      <c r="N268" s="13"/>
      <c r="O268" s="19"/>
      <c r="P268" s="13"/>
      <c r="Q268" s="19"/>
      <c r="R268" s="13"/>
      <c r="S268" s="19"/>
      <c r="T268" s="13"/>
      <c r="U268" s="19"/>
      <c r="V268" s="13"/>
      <c r="W268" s="19"/>
      <c r="X268" s="13"/>
      <c r="Y268" s="557"/>
      <c r="Z268" s="460"/>
      <c r="AA268" s="783"/>
      <c r="AB268" s="460"/>
    </row>
    <row r="269" spans="1:28">
      <c r="A269" s="14"/>
      <c r="B269" s="15"/>
      <c r="C269" s="16"/>
      <c r="D269" s="17"/>
      <c r="E269" s="12"/>
      <c r="F269" s="18"/>
      <c r="G269" s="19"/>
      <c r="H269" s="13"/>
      <c r="I269" s="19"/>
      <c r="J269" s="13"/>
      <c r="K269" s="19"/>
      <c r="L269" s="13"/>
      <c r="M269" s="19"/>
      <c r="N269" s="13"/>
      <c r="O269" s="19"/>
      <c r="P269" s="13"/>
      <c r="Q269" s="19"/>
      <c r="R269" s="13"/>
      <c r="S269" s="19"/>
      <c r="T269" s="13"/>
      <c r="U269" s="19"/>
      <c r="V269" s="13"/>
      <c r="W269" s="19"/>
      <c r="X269" s="13"/>
      <c r="Y269" s="557"/>
      <c r="Z269" s="460"/>
      <c r="AA269" s="783"/>
      <c r="AB269" s="460"/>
    </row>
    <row r="270" spans="1:28">
      <c r="A270" s="14"/>
      <c r="B270" s="15"/>
      <c r="C270" s="16"/>
      <c r="D270" s="17"/>
      <c r="E270" s="12"/>
      <c r="F270" s="18"/>
      <c r="G270" s="19"/>
      <c r="H270" s="13"/>
      <c r="I270" s="19"/>
      <c r="J270" s="13"/>
      <c r="K270" s="19"/>
      <c r="L270" s="13"/>
      <c r="M270" s="19"/>
      <c r="N270" s="13"/>
      <c r="O270" s="19"/>
      <c r="P270" s="13"/>
      <c r="Q270" s="19"/>
      <c r="R270" s="13"/>
      <c r="S270" s="19"/>
      <c r="T270" s="13"/>
      <c r="U270" s="19"/>
      <c r="V270" s="13"/>
      <c r="W270" s="19"/>
      <c r="X270" s="13"/>
      <c r="Y270" s="557"/>
      <c r="Z270" s="460"/>
      <c r="AA270" s="783"/>
      <c r="AB270" s="460"/>
    </row>
    <row r="271" spans="1:28">
      <c r="A271" s="14"/>
      <c r="B271" s="15"/>
      <c r="C271" s="16"/>
      <c r="D271" s="17"/>
      <c r="E271" s="12"/>
      <c r="F271" s="18"/>
      <c r="G271" s="19"/>
      <c r="H271" s="13"/>
      <c r="I271" s="19"/>
      <c r="J271" s="13"/>
      <c r="K271" s="19"/>
      <c r="L271" s="13"/>
      <c r="M271" s="19"/>
      <c r="N271" s="13"/>
      <c r="O271" s="19"/>
      <c r="P271" s="13"/>
      <c r="Q271" s="19"/>
      <c r="R271" s="13"/>
      <c r="S271" s="19"/>
      <c r="T271" s="13"/>
      <c r="U271" s="19"/>
      <c r="V271" s="13"/>
      <c r="W271" s="19"/>
      <c r="X271" s="13"/>
      <c r="Y271" s="557"/>
      <c r="Z271" s="460"/>
      <c r="AA271" s="783"/>
      <c r="AB271" s="460"/>
    </row>
    <row r="272" spans="1:28">
      <c r="A272" s="14"/>
      <c r="B272" s="15"/>
      <c r="C272" s="16"/>
      <c r="D272" s="17"/>
      <c r="E272" s="12"/>
      <c r="F272" s="18"/>
      <c r="G272" s="19"/>
      <c r="H272" s="13"/>
      <c r="I272" s="19"/>
      <c r="J272" s="13"/>
      <c r="K272" s="19"/>
      <c r="L272" s="13"/>
      <c r="M272" s="19"/>
      <c r="N272" s="13"/>
      <c r="O272" s="19"/>
      <c r="P272" s="13"/>
      <c r="Q272" s="19"/>
      <c r="R272" s="13"/>
      <c r="S272" s="19"/>
      <c r="T272" s="13"/>
      <c r="U272" s="19"/>
      <c r="V272" s="13"/>
      <c r="W272" s="19"/>
      <c r="X272" s="13"/>
      <c r="Y272" s="557"/>
      <c r="Z272" s="460"/>
      <c r="AA272" s="783"/>
      <c r="AB272" s="460"/>
    </row>
    <row r="273" spans="1:28">
      <c r="A273" s="14"/>
      <c r="B273" s="15"/>
      <c r="C273" s="16"/>
      <c r="D273" s="17"/>
      <c r="E273" s="12"/>
      <c r="F273" s="18"/>
      <c r="G273" s="19"/>
      <c r="H273" s="13"/>
      <c r="I273" s="19"/>
      <c r="J273" s="13"/>
      <c r="K273" s="19"/>
      <c r="L273" s="13"/>
      <c r="M273" s="19"/>
      <c r="N273" s="13"/>
      <c r="O273" s="19"/>
      <c r="P273" s="13"/>
      <c r="Q273" s="19"/>
      <c r="R273" s="13"/>
      <c r="S273" s="19"/>
      <c r="T273" s="13"/>
      <c r="U273" s="19"/>
      <c r="V273" s="13"/>
      <c r="W273" s="19"/>
      <c r="X273" s="13"/>
      <c r="Y273" s="557"/>
      <c r="Z273" s="460"/>
      <c r="AA273" s="783"/>
      <c r="AB273" s="460"/>
    </row>
    <row r="274" spans="1:28">
      <c r="A274" s="14"/>
      <c r="B274" s="15"/>
      <c r="C274" s="16"/>
      <c r="D274" s="17"/>
      <c r="E274" s="12"/>
      <c r="F274" s="18"/>
      <c r="G274" s="19"/>
      <c r="H274" s="13"/>
      <c r="I274" s="19"/>
      <c r="J274" s="13"/>
      <c r="K274" s="19"/>
      <c r="L274" s="13"/>
      <c r="M274" s="19"/>
      <c r="N274" s="13"/>
      <c r="O274" s="19"/>
      <c r="P274" s="13"/>
      <c r="Q274" s="19"/>
      <c r="R274" s="13"/>
      <c r="S274" s="19"/>
      <c r="T274" s="13"/>
      <c r="U274" s="19"/>
      <c r="V274" s="13"/>
      <c r="W274" s="19"/>
      <c r="X274" s="13"/>
      <c r="Y274" s="557"/>
      <c r="Z274" s="460"/>
      <c r="AA274" s="783"/>
      <c r="AB274" s="460"/>
    </row>
    <row r="275" spans="1:28">
      <c r="A275" s="14"/>
      <c r="B275" s="15"/>
      <c r="C275" s="16"/>
      <c r="D275" s="17"/>
      <c r="E275" s="12"/>
      <c r="F275" s="18"/>
      <c r="G275" s="19"/>
      <c r="H275" s="13"/>
      <c r="I275" s="19"/>
      <c r="J275" s="13"/>
      <c r="K275" s="19"/>
      <c r="L275" s="13"/>
      <c r="M275" s="19"/>
      <c r="N275" s="13"/>
      <c r="O275" s="19"/>
      <c r="P275" s="13"/>
      <c r="Q275" s="19"/>
      <c r="R275" s="13"/>
      <c r="S275" s="19"/>
      <c r="T275" s="13"/>
      <c r="U275" s="19"/>
      <c r="V275" s="13"/>
      <c r="W275" s="19"/>
      <c r="X275" s="13"/>
      <c r="Y275" s="557"/>
      <c r="Z275" s="460"/>
      <c r="AA275" s="783"/>
      <c r="AB275" s="460"/>
    </row>
    <row r="276" spans="1:28">
      <c r="A276" s="14"/>
      <c r="B276" s="15"/>
      <c r="C276" s="16"/>
      <c r="D276" s="17"/>
      <c r="E276" s="12"/>
      <c r="F276" s="18"/>
      <c r="G276" s="19"/>
      <c r="H276" s="13"/>
      <c r="I276" s="19"/>
      <c r="J276" s="13"/>
      <c r="K276" s="19"/>
      <c r="L276" s="13"/>
      <c r="M276" s="19"/>
      <c r="N276" s="13"/>
      <c r="O276" s="19"/>
      <c r="P276" s="13"/>
      <c r="Q276" s="19"/>
      <c r="R276" s="13"/>
      <c r="S276" s="19"/>
      <c r="T276" s="13"/>
      <c r="U276" s="19"/>
      <c r="V276" s="13"/>
      <c r="W276" s="19"/>
      <c r="X276" s="13"/>
      <c r="Y276" s="557"/>
      <c r="Z276" s="460"/>
      <c r="AA276" s="783"/>
      <c r="AB276" s="460"/>
    </row>
    <row r="277" spans="1:28">
      <c r="A277" s="14"/>
      <c r="B277" s="15"/>
      <c r="C277" s="16"/>
      <c r="D277" s="17"/>
      <c r="E277" s="12"/>
      <c r="F277" s="18"/>
      <c r="G277" s="19"/>
      <c r="H277" s="13"/>
      <c r="I277" s="19"/>
      <c r="J277" s="13"/>
      <c r="K277" s="19"/>
      <c r="L277" s="13"/>
      <c r="M277" s="19"/>
      <c r="N277" s="13"/>
      <c r="O277" s="19"/>
      <c r="P277" s="13"/>
      <c r="Q277" s="19"/>
      <c r="R277" s="13"/>
      <c r="S277" s="19"/>
      <c r="T277" s="13"/>
      <c r="U277" s="19"/>
      <c r="V277" s="13"/>
      <c r="W277" s="19"/>
      <c r="X277" s="13"/>
      <c r="Y277" s="557"/>
      <c r="Z277" s="460"/>
      <c r="AA277" s="783"/>
      <c r="AB277" s="460"/>
    </row>
    <row r="278" spans="1:28">
      <c r="A278" s="14"/>
      <c r="B278" s="15"/>
      <c r="C278" s="16"/>
      <c r="D278" s="17"/>
      <c r="E278" s="12"/>
      <c r="F278" s="18"/>
      <c r="G278" s="19"/>
      <c r="H278" s="13"/>
      <c r="I278" s="19"/>
      <c r="J278" s="13"/>
      <c r="K278" s="19"/>
      <c r="L278" s="13"/>
      <c r="M278" s="19"/>
      <c r="N278" s="13"/>
      <c r="O278" s="19"/>
      <c r="P278" s="13"/>
      <c r="Q278" s="19"/>
      <c r="R278" s="13"/>
      <c r="S278" s="19"/>
      <c r="T278" s="13"/>
      <c r="U278" s="19"/>
      <c r="V278" s="13"/>
      <c r="W278" s="19"/>
      <c r="X278" s="13"/>
      <c r="Y278" s="557"/>
      <c r="Z278" s="460"/>
      <c r="AA278" s="783"/>
      <c r="AB278" s="460"/>
    </row>
    <row r="279" spans="1:28">
      <c r="A279" s="14"/>
      <c r="B279" s="15"/>
      <c r="C279" s="16"/>
      <c r="D279" s="17"/>
      <c r="E279" s="12"/>
      <c r="F279" s="18"/>
      <c r="G279" s="19"/>
      <c r="H279" s="13"/>
      <c r="I279" s="19"/>
      <c r="J279" s="13"/>
      <c r="K279" s="19"/>
      <c r="L279" s="13"/>
      <c r="M279" s="19"/>
      <c r="N279" s="13"/>
      <c r="O279" s="19"/>
      <c r="P279" s="13"/>
      <c r="Q279" s="19"/>
      <c r="R279" s="13"/>
      <c r="S279" s="19"/>
      <c r="T279" s="13"/>
      <c r="U279" s="19"/>
      <c r="V279" s="13"/>
      <c r="W279" s="19"/>
      <c r="X279" s="13"/>
      <c r="Y279" s="557"/>
      <c r="Z279" s="460"/>
      <c r="AA279" s="783"/>
      <c r="AB279" s="460"/>
    </row>
    <row r="280" spans="1:28">
      <c r="A280" s="14"/>
      <c r="B280" s="15"/>
      <c r="C280" s="16"/>
      <c r="D280" s="17"/>
      <c r="E280" s="12"/>
      <c r="F280" s="18"/>
      <c r="G280" s="19"/>
      <c r="H280" s="13"/>
      <c r="I280" s="19"/>
      <c r="J280" s="13"/>
      <c r="K280" s="19"/>
      <c r="L280" s="13"/>
      <c r="M280" s="19"/>
      <c r="N280" s="13"/>
      <c r="O280" s="19"/>
      <c r="P280" s="13"/>
      <c r="Q280" s="19"/>
      <c r="R280" s="13"/>
      <c r="S280" s="19"/>
      <c r="T280" s="13"/>
      <c r="U280" s="19"/>
      <c r="V280" s="13"/>
      <c r="W280" s="19"/>
      <c r="X280" s="13"/>
      <c r="Y280" s="557"/>
      <c r="Z280" s="460"/>
      <c r="AA280" s="783"/>
      <c r="AB280" s="460"/>
    </row>
    <row r="281" spans="1:28">
      <c r="A281" s="14"/>
      <c r="B281" s="15"/>
      <c r="C281" s="16"/>
      <c r="D281" s="17"/>
      <c r="E281" s="12"/>
      <c r="F281" s="18"/>
      <c r="G281" s="19"/>
      <c r="H281" s="13"/>
      <c r="I281" s="19"/>
      <c r="J281" s="13"/>
      <c r="K281" s="19"/>
      <c r="L281" s="13"/>
      <c r="M281" s="19"/>
      <c r="N281" s="13"/>
      <c r="O281" s="19"/>
      <c r="P281" s="13"/>
      <c r="Q281" s="19"/>
      <c r="R281" s="13"/>
      <c r="S281" s="19"/>
      <c r="T281" s="13"/>
      <c r="U281" s="19"/>
      <c r="V281" s="13"/>
      <c r="W281" s="19"/>
      <c r="X281" s="13"/>
      <c r="Y281" s="557"/>
      <c r="Z281" s="460"/>
      <c r="AA281" s="783"/>
      <c r="AB281" s="460"/>
    </row>
    <row r="282" spans="1:28">
      <c r="A282" s="14"/>
      <c r="B282" s="15"/>
      <c r="C282" s="16"/>
      <c r="D282" s="17"/>
      <c r="E282" s="12"/>
      <c r="F282" s="18"/>
      <c r="G282" s="19"/>
      <c r="H282" s="13"/>
      <c r="I282" s="19"/>
      <c r="J282" s="13"/>
      <c r="K282" s="19"/>
      <c r="L282" s="13"/>
      <c r="M282" s="19"/>
      <c r="N282" s="13"/>
      <c r="O282" s="19"/>
      <c r="P282" s="13"/>
      <c r="Q282" s="19"/>
      <c r="R282" s="13"/>
      <c r="S282" s="19"/>
      <c r="T282" s="13"/>
      <c r="U282" s="19"/>
      <c r="V282" s="13"/>
      <c r="W282" s="19"/>
      <c r="X282" s="13"/>
      <c r="Y282" s="557"/>
      <c r="Z282" s="460"/>
      <c r="AA282" s="783"/>
      <c r="AB282" s="460"/>
    </row>
    <row r="283" spans="1:28">
      <c r="A283" s="14"/>
      <c r="B283" s="15"/>
      <c r="C283" s="16"/>
      <c r="D283" s="17"/>
      <c r="E283" s="12"/>
      <c r="F283" s="18"/>
      <c r="G283" s="19"/>
      <c r="H283" s="13"/>
      <c r="I283" s="19"/>
      <c r="J283" s="13"/>
      <c r="K283" s="19"/>
      <c r="L283" s="13"/>
      <c r="M283" s="19"/>
      <c r="N283" s="13"/>
      <c r="O283" s="19"/>
      <c r="P283" s="13"/>
      <c r="Q283" s="19"/>
      <c r="R283" s="13"/>
      <c r="S283" s="19"/>
      <c r="T283" s="13"/>
      <c r="U283" s="19"/>
      <c r="V283" s="13"/>
      <c r="W283" s="19"/>
      <c r="X283" s="13"/>
      <c r="Y283" s="557"/>
      <c r="Z283" s="460"/>
      <c r="AA283" s="783"/>
      <c r="AB283" s="460"/>
    </row>
    <row r="284" spans="1:28">
      <c r="A284" s="14"/>
      <c r="B284" s="15"/>
      <c r="C284" s="16"/>
      <c r="D284" s="17"/>
      <c r="E284" s="12"/>
      <c r="F284" s="18"/>
      <c r="G284" s="19"/>
      <c r="H284" s="13"/>
      <c r="I284" s="19"/>
      <c r="J284" s="13"/>
      <c r="K284" s="19"/>
      <c r="L284" s="13"/>
      <c r="M284" s="19"/>
      <c r="N284" s="13"/>
      <c r="O284" s="19"/>
      <c r="P284" s="13"/>
      <c r="Q284" s="19"/>
      <c r="R284" s="13"/>
      <c r="S284" s="19"/>
      <c r="T284" s="13"/>
      <c r="U284" s="19"/>
      <c r="V284" s="13"/>
      <c r="W284" s="19"/>
      <c r="X284" s="13"/>
      <c r="Y284" s="557"/>
      <c r="Z284" s="460"/>
      <c r="AA284" s="783"/>
      <c r="AB284" s="460"/>
    </row>
    <row r="285" spans="1:28">
      <c r="A285" s="14"/>
      <c r="B285" s="15"/>
      <c r="C285" s="16"/>
      <c r="D285" s="17"/>
      <c r="E285" s="12"/>
      <c r="F285" s="18"/>
      <c r="G285" s="19"/>
      <c r="H285" s="13"/>
      <c r="I285" s="19"/>
      <c r="J285" s="13"/>
      <c r="K285" s="19"/>
      <c r="L285" s="13"/>
      <c r="M285" s="19"/>
      <c r="N285" s="13"/>
      <c r="O285" s="19"/>
      <c r="P285" s="13"/>
      <c r="Q285" s="19"/>
      <c r="R285" s="13"/>
      <c r="S285" s="19"/>
      <c r="T285" s="13"/>
      <c r="U285" s="19"/>
      <c r="V285" s="13"/>
      <c r="W285" s="19"/>
      <c r="X285" s="13"/>
      <c r="Y285" s="557"/>
      <c r="Z285" s="460"/>
      <c r="AA285" s="783"/>
      <c r="AB285" s="460"/>
    </row>
    <row r="286" spans="1:28">
      <c r="A286" s="14"/>
      <c r="B286" s="15"/>
      <c r="C286" s="16"/>
      <c r="D286" s="17"/>
      <c r="E286" s="12"/>
      <c r="F286" s="18"/>
      <c r="G286" s="19"/>
      <c r="H286" s="13"/>
      <c r="I286" s="19"/>
      <c r="J286" s="13"/>
      <c r="K286" s="19"/>
      <c r="L286" s="13"/>
      <c r="M286" s="19"/>
      <c r="N286" s="13"/>
      <c r="O286" s="19"/>
      <c r="P286" s="13"/>
      <c r="Q286" s="19"/>
      <c r="R286" s="13"/>
      <c r="S286" s="19"/>
      <c r="T286" s="13"/>
      <c r="U286" s="19"/>
      <c r="V286" s="13"/>
      <c r="W286" s="19"/>
      <c r="X286" s="13"/>
      <c r="Y286" s="557"/>
      <c r="Z286" s="460"/>
      <c r="AA286" s="783"/>
      <c r="AB286" s="460"/>
    </row>
    <row r="287" spans="1:28">
      <c r="A287" s="14"/>
      <c r="B287" s="15"/>
      <c r="C287" s="16"/>
      <c r="D287" s="17"/>
      <c r="E287" s="12"/>
      <c r="F287" s="18"/>
      <c r="G287" s="19"/>
      <c r="H287" s="13"/>
      <c r="I287" s="19"/>
      <c r="J287" s="13"/>
      <c r="K287" s="19"/>
      <c r="L287" s="13"/>
      <c r="M287" s="19"/>
      <c r="N287" s="13"/>
      <c r="O287" s="19"/>
      <c r="P287" s="13"/>
      <c r="Q287" s="19"/>
      <c r="R287" s="13"/>
      <c r="S287" s="19"/>
      <c r="T287" s="13"/>
      <c r="U287" s="19"/>
      <c r="V287" s="13"/>
      <c r="W287" s="19"/>
      <c r="X287" s="13"/>
      <c r="Y287" s="557"/>
      <c r="Z287" s="460"/>
      <c r="AA287" s="783"/>
      <c r="AB287" s="460"/>
    </row>
    <row r="288" spans="1:28">
      <c r="A288" s="14"/>
      <c r="B288" s="15"/>
      <c r="C288" s="16"/>
      <c r="D288" s="17"/>
      <c r="E288" s="12"/>
      <c r="F288" s="18"/>
      <c r="G288" s="19"/>
      <c r="H288" s="13"/>
      <c r="I288" s="19"/>
      <c r="J288" s="13"/>
      <c r="K288" s="19"/>
      <c r="L288" s="13"/>
      <c r="M288" s="19"/>
      <c r="N288" s="13"/>
      <c r="O288" s="19"/>
      <c r="P288" s="13"/>
      <c r="Q288" s="19"/>
      <c r="R288" s="13"/>
      <c r="S288" s="19"/>
      <c r="T288" s="13"/>
      <c r="U288" s="19"/>
      <c r="V288" s="13"/>
      <c r="W288" s="19"/>
      <c r="X288" s="13"/>
      <c r="Y288" s="557"/>
      <c r="Z288" s="460"/>
      <c r="AA288" s="783"/>
      <c r="AB288" s="460"/>
    </row>
    <row r="289" spans="1:28">
      <c r="A289" s="14"/>
      <c r="B289" s="15"/>
      <c r="C289" s="16"/>
      <c r="D289" s="17"/>
      <c r="E289" s="12"/>
      <c r="F289" s="18"/>
      <c r="G289" s="19"/>
      <c r="H289" s="13"/>
      <c r="I289" s="19"/>
      <c r="J289" s="13"/>
      <c r="K289" s="19"/>
      <c r="L289" s="13"/>
      <c r="M289" s="19"/>
      <c r="N289" s="13"/>
      <c r="O289" s="19"/>
      <c r="P289" s="13"/>
      <c r="Q289" s="19"/>
      <c r="R289" s="13"/>
      <c r="S289" s="19"/>
      <c r="T289" s="13"/>
      <c r="U289" s="19"/>
      <c r="V289" s="13"/>
      <c r="W289" s="19"/>
      <c r="X289" s="13"/>
      <c r="Y289" s="557"/>
      <c r="Z289" s="460"/>
      <c r="AA289" s="783"/>
      <c r="AB289" s="460"/>
    </row>
    <row r="290" spans="1:28">
      <c r="A290" s="14"/>
      <c r="B290" s="15"/>
      <c r="C290" s="16"/>
      <c r="D290" s="17"/>
      <c r="E290" s="12"/>
      <c r="F290" s="18"/>
      <c r="G290" s="19"/>
      <c r="H290" s="13"/>
      <c r="I290" s="19"/>
      <c r="J290" s="13"/>
      <c r="K290" s="19"/>
      <c r="L290" s="13"/>
      <c r="M290" s="19"/>
      <c r="N290" s="13"/>
      <c r="O290" s="19"/>
      <c r="P290" s="13"/>
      <c r="Q290" s="19"/>
      <c r="R290" s="13"/>
      <c r="S290" s="19"/>
      <c r="T290" s="13"/>
      <c r="U290" s="19"/>
      <c r="V290" s="13"/>
      <c r="W290" s="19"/>
      <c r="X290" s="13"/>
      <c r="Y290" s="557"/>
      <c r="Z290" s="460"/>
      <c r="AA290" s="783"/>
      <c r="AB290" s="460"/>
    </row>
    <row r="291" spans="1:28">
      <c r="A291" s="14"/>
      <c r="B291" s="15"/>
      <c r="C291" s="16"/>
      <c r="D291" s="17"/>
      <c r="E291" s="12"/>
      <c r="F291" s="18"/>
      <c r="G291" s="19"/>
      <c r="H291" s="13"/>
      <c r="I291" s="19"/>
      <c r="J291" s="13"/>
      <c r="K291" s="19"/>
      <c r="L291" s="13"/>
      <c r="M291" s="19"/>
      <c r="N291" s="13"/>
      <c r="O291" s="19"/>
      <c r="P291" s="13"/>
      <c r="Q291" s="19"/>
      <c r="R291" s="13"/>
      <c r="S291" s="19"/>
      <c r="T291" s="13"/>
      <c r="U291" s="19"/>
      <c r="V291" s="13"/>
      <c r="W291" s="19"/>
      <c r="X291" s="13"/>
      <c r="Y291" s="557"/>
      <c r="Z291" s="460"/>
      <c r="AA291" s="783"/>
      <c r="AB291" s="460"/>
    </row>
    <row r="292" spans="1:28">
      <c r="A292" s="14"/>
      <c r="B292" s="15"/>
      <c r="C292" s="16"/>
      <c r="D292" s="17"/>
      <c r="E292" s="12"/>
      <c r="F292" s="18"/>
      <c r="G292" s="19"/>
      <c r="H292" s="13"/>
      <c r="I292" s="19"/>
      <c r="J292" s="13"/>
      <c r="K292" s="19"/>
      <c r="L292" s="13"/>
      <c r="M292" s="19"/>
      <c r="N292" s="13"/>
      <c r="O292" s="19"/>
      <c r="P292" s="13"/>
      <c r="Q292" s="19"/>
      <c r="R292" s="13"/>
      <c r="S292" s="19"/>
      <c r="T292" s="13"/>
      <c r="U292" s="19"/>
      <c r="V292" s="13"/>
      <c r="W292" s="19"/>
      <c r="X292" s="13"/>
      <c r="Y292" s="557"/>
      <c r="Z292" s="460"/>
      <c r="AA292" s="783"/>
      <c r="AB292" s="460"/>
    </row>
    <row r="293" spans="1:28">
      <c r="A293" s="14"/>
      <c r="B293" s="15"/>
      <c r="C293" s="16"/>
      <c r="D293" s="17"/>
      <c r="E293" s="12"/>
      <c r="F293" s="18"/>
      <c r="G293" s="19"/>
      <c r="H293" s="13"/>
      <c r="I293" s="19"/>
      <c r="J293" s="13"/>
      <c r="K293" s="19"/>
      <c r="L293" s="13"/>
      <c r="M293" s="19"/>
      <c r="N293" s="13"/>
      <c r="O293" s="19"/>
      <c r="P293" s="13"/>
      <c r="Q293" s="19"/>
      <c r="R293" s="13"/>
      <c r="S293" s="19"/>
      <c r="T293" s="13"/>
      <c r="U293" s="19"/>
      <c r="V293" s="13"/>
      <c r="W293" s="19"/>
      <c r="X293" s="13"/>
      <c r="Y293" s="557"/>
      <c r="Z293" s="460"/>
      <c r="AA293" s="783"/>
      <c r="AB293" s="460"/>
    </row>
    <row r="294" spans="1:28">
      <c r="A294" s="14"/>
      <c r="B294" s="15"/>
      <c r="C294" s="16"/>
      <c r="D294" s="17"/>
      <c r="E294" s="12"/>
      <c r="F294" s="18"/>
      <c r="G294" s="19"/>
      <c r="H294" s="13"/>
      <c r="I294" s="19"/>
      <c r="J294" s="13"/>
      <c r="K294" s="19"/>
      <c r="L294" s="13"/>
      <c r="M294" s="19"/>
      <c r="N294" s="13"/>
      <c r="O294" s="19"/>
      <c r="P294" s="13"/>
      <c r="Q294" s="19"/>
      <c r="R294" s="13"/>
      <c r="S294" s="19"/>
      <c r="T294" s="13"/>
      <c r="U294" s="19"/>
      <c r="V294" s="13"/>
      <c r="W294" s="19"/>
      <c r="X294" s="13"/>
      <c r="Y294" s="557"/>
      <c r="Z294" s="460"/>
      <c r="AA294" s="783"/>
      <c r="AB294" s="460"/>
    </row>
    <row r="295" spans="1:28">
      <c r="A295" s="14"/>
      <c r="B295" s="15"/>
      <c r="C295" s="16"/>
      <c r="D295" s="17"/>
      <c r="E295" s="12"/>
      <c r="F295" s="18"/>
      <c r="G295" s="19"/>
      <c r="H295" s="13"/>
      <c r="I295" s="19"/>
      <c r="J295" s="13"/>
      <c r="K295" s="19"/>
      <c r="L295" s="13"/>
      <c r="M295" s="19"/>
      <c r="N295" s="13"/>
      <c r="O295" s="19"/>
      <c r="P295" s="13"/>
      <c r="Q295" s="19"/>
      <c r="R295" s="13"/>
      <c r="S295" s="19"/>
      <c r="T295" s="13"/>
      <c r="U295" s="19"/>
      <c r="V295" s="13"/>
      <c r="W295" s="19"/>
      <c r="X295" s="13"/>
      <c r="Y295" s="557"/>
      <c r="Z295" s="460"/>
      <c r="AA295" s="783"/>
      <c r="AB295" s="460"/>
    </row>
    <row r="296" spans="1:28">
      <c r="A296" s="14"/>
      <c r="B296" s="15"/>
      <c r="C296" s="16"/>
      <c r="D296" s="17"/>
      <c r="E296" s="12"/>
      <c r="F296" s="18"/>
      <c r="G296" s="19"/>
      <c r="H296" s="13"/>
      <c r="I296" s="19"/>
      <c r="J296" s="13"/>
      <c r="K296" s="19"/>
      <c r="L296" s="13"/>
      <c r="M296" s="19"/>
      <c r="N296" s="13"/>
      <c r="O296" s="19"/>
      <c r="P296" s="13"/>
      <c r="Q296" s="19"/>
      <c r="R296" s="13"/>
      <c r="S296" s="19"/>
      <c r="T296" s="13"/>
      <c r="U296" s="19"/>
      <c r="V296" s="13"/>
      <c r="W296" s="19"/>
      <c r="X296" s="13"/>
      <c r="Y296" s="557"/>
      <c r="Z296" s="460"/>
      <c r="AA296" s="783"/>
      <c r="AB296" s="460"/>
    </row>
    <row r="297" spans="1:28">
      <c r="A297" s="14"/>
      <c r="B297" s="15"/>
      <c r="C297" s="16"/>
      <c r="D297" s="17"/>
      <c r="E297" s="12"/>
      <c r="F297" s="18"/>
      <c r="G297" s="19"/>
      <c r="H297" s="13"/>
      <c r="I297" s="19"/>
      <c r="J297" s="13"/>
      <c r="K297" s="19"/>
      <c r="L297" s="13"/>
      <c r="M297" s="19"/>
      <c r="N297" s="13"/>
      <c r="O297" s="19"/>
      <c r="P297" s="13"/>
      <c r="Q297" s="19"/>
      <c r="R297" s="13"/>
      <c r="S297" s="19"/>
      <c r="T297" s="13"/>
      <c r="U297" s="19"/>
      <c r="V297" s="13"/>
      <c r="W297" s="19"/>
      <c r="X297" s="13"/>
      <c r="Y297" s="557"/>
      <c r="Z297" s="460"/>
      <c r="AA297" s="783"/>
      <c r="AB297" s="460"/>
    </row>
    <row r="298" spans="1:28">
      <c r="A298" s="14"/>
      <c r="B298" s="15"/>
      <c r="C298" s="16"/>
      <c r="D298" s="17"/>
      <c r="E298" s="12"/>
      <c r="F298" s="18"/>
      <c r="G298" s="19"/>
      <c r="H298" s="13"/>
      <c r="I298" s="19"/>
      <c r="J298" s="13"/>
      <c r="K298" s="19"/>
      <c r="L298" s="13"/>
      <c r="M298" s="19"/>
      <c r="N298" s="13"/>
      <c r="O298" s="19"/>
      <c r="P298" s="13"/>
      <c r="Q298" s="19"/>
      <c r="R298" s="13"/>
      <c r="S298" s="19"/>
      <c r="T298" s="13"/>
      <c r="U298" s="19"/>
      <c r="V298" s="13"/>
      <c r="W298" s="19"/>
      <c r="X298" s="13"/>
      <c r="Y298" s="557"/>
      <c r="Z298" s="460"/>
      <c r="AA298" s="783"/>
      <c r="AB298" s="460"/>
    </row>
    <row r="299" spans="1:28">
      <c r="A299" s="14"/>
      <c r="B299" s="15"/>
      <c r="C299" s="16"/>
      <c r="D299" s="17"/>
      <c r="E299" s="12"/>
      <c r="F299" s="18"/>
      <c r="G299" s="19"/>
      <c r="H299" s="13"/>
      <c r="I299" s="19"/>
      <c r="J299" s="13"/>
      <c r="K299" s="19"/>
      <c r="L299" s="13"/>
      <c r="M299" s="19"/>
      <c r="N299" s="13"/>
      <c r="O299" s="19"/>
      <c r="P299" s="13"/>
      <c r="Q299" s="19"/>
      <c r="R299" s="13"/>
      <c r="S299" s="19"/>
      <c r="T299" s="13"/>
      <c r="U299" s="19"/>
      <c r="V299" s="13"/>
      <c r="W299" s="19"/>
      <c r="X299" s="13"/>
      <c r="Y299" s="557"/>
      <c r="Z299" s="460"/>
      <c r="AA299" s="783"/>
      <c r="AB299" s="460"/>
    </row>
    <row r="300" spans="1:28">
      <c r="A300" s="14"/>
      <c r="B300" s="15"/>
      <c r="C300" s="16"/>
      <c r="D300" s="17"/>
      <c r="E300" s="12"/>
      <c r="F300" s="18"/>
      <c r="G300" s="19"/>
      <c r="H300" s="13"/>
      <c r="I300" s="19"/>
      <c r="J300" s="13"/>
      <c r="K300" s="19"/>
      <c r="L300" s="13"/>
      <c r="M300" s="19"/>
      <c r="N300" s="13"/>
      <c r="O300" s="19"/>
      <c r="P300" s="13"/>
      <c r="Q300" s="19"/>
      <c r="R300" s="13"/>
      <c r="S300" s="19"/>
      <c r="T300" s="13"/>
      <c r="U300" s="19"/>
      <c r="V300" s="13"/>
      <c r="W300" s="19"/>
      <c r="X300" s="13"/>
      <c r="Y300" s="557"/>
      <c r="Z300" s="460"/>
      <c r="AA300" s="783"/>
      <c r="AB300" s="460"/>
    </row>
    <row r="301" spans="1:28">
      <c r="A301" s="14"/>
      <c r="B301" s="15"/>
      <c r="C301" s="16"/>
      <c r="D301" s="17"/>
      <c r="E301" s="12"/>
      <c r="F301" s="18"/>
      <c r="G301" s="19"/>
      <c r="H301" s="13"/>
      <c r="I301" s="19"/>
      <c r="J301" s="13"/>
      <c r="K301" s="19"/>
      <c r="L301" s="13"/>
      <c r="M301" s="19"/>
      <c r="N301" s="13"/>
      <c r="O301" s="19"/>
      <c r="P301" s="13"/>
      <c r="Q301" s="19"/>
      <c r="R301" s="13"/>
      <c r="S301" s="19"/>
      <c r="T301" s="13"/>
      <c r="U301" s="19"/>
      <c r="V301" s="13"/>
      <c r="W301" s="19"/>
      <c r="X301" s="13"/>
      <c r="Y301" s="557"/>
      <c r="Z301" s="460"/>
      <c r="AA301" s="783"/>
      <c r="AB301" s="460"/>
    </row>
    <row r="302" spans="1:28">
      <c r="A302" s="14"/>
      <c r="B302" s="15"/>
      <c r="C302" s="16"/>
      <c r="D302" s="17"/>
      <c r="E302" s="12"/>
      <c r="F302" s="18"/>
      <c r="G302" s="19"/>
      <c r="H302" s="13"/>
      <c r="I302" s="19"/>
      <c r="J302" s="13"/>
      <c r="K302" s="19"/>
      <c r="L302" s="13"/>
      <c r="M302" s="19"/>
      <c r="N302" s="13"/>
      <c r="O302" s="19"/>
      <c r="P302" s="13"/>
      <c r="Q302" s="19"/>
      <c r="R302" s="13"/>
      <c r="S302" s="19"/>
      <c r="T302" s="13"/>
      <c r="U302" s="19"/>
      <c r="V302" s="13"/>
      <c r="W302" s="19"/>
      <c r="X302" s="13"/>
      <c r="Y302" s="557"/>
      <c r="Z302" s="460"/>
      <c r="AA302" s="783"/>
      <c r="AB302" s="460"/>
    </row>
    <row r="303" spans="1:28">
      <c r="A303" s="14"/>
      <c r="B303" s="15"/>
      <c r="C303" s="16"/>
      <c r="D303" s="17"/>
      <c r="E303" s="12"/>
      <c r="F303" s="18"/>
      <c r="G303" s="19"/>
      <c r="H303" s="13"/>
      <c r="I303" s="19"/>
      <c r="J303" s="13"/>
      <c r="K303" s="19"/>
      <c r="L303" s="13"/>
      <c r="M303" s="19"/>
      <c r="N303" s="13"/>
      <c r="O303" s="19"/>
      <c r="P303" s="13"/>
      <c r="Q303" s="19"/>
      <c r="R303" s="13"/>
      <c r="S303" s="19"/>
      <c r="T303" s="13"/>
      <c r="U303" s="19"/>
      <c r="V303" s="13"/>
      <c r="W303" s="19"/>
      <c r="X303" s="13"/>
      <c r="Y303" s="557"/>
      <c r="Z303" s="460"/>
      <c r="AA303" s="783"/>
      <c r="AB303" s="460"/>
    </row>
    <row r="304" spans="1:28">
      <c r="A304" s="14"/>
      <c r="B304" s="15"/>
      <c r="C304" s="16"/>
      <c r="D304" s="17"/>
      <c r="E304" s="12"/>
      <c r="F304" s="18"/>
      <c r="G304" s="19"/>
      <c r="H304" s="13"/>
      <c r="I304" s="19"/>
      <c r="J304" s="13"/>
      <c r="K304" s="19"/>
      <c r="L304" s="13"/>
      <c r="M304" s="19"/>
      <c r="N304" s="13"/>
      <c r="O304" s="19"/>
      <c r="P304" s="13"/>
      <c r="Q304" s="19"/>
      <c r="R304" s="13"/>
      <c r="S304" s="19"/>
      <c r="T304" s="13"/>
      <c r="U304" s="19"/>
      <c r="V304" s="13"/>
      <c r="W304" s="19"/>
      <c r="X304" s="13"/>
      <c r="Y304" s="557"/>
      <c r="Z304" s="460"/>
      <c r="AA304" s="783"/>
      <c r="AB304" s="460"/>
    </row>
    <row r="305" spans="1:28">
      <c r="A305" s="14"/>
      <c r="B305" s="15"/>
      <c r="C305" s="16"/>
      <c r="D305" s="17"/>
      <c r="E305" s="12"/>
      <c r="F305" s="18"/>
      <c r="G305" s="19"/>
      <c r="H305" s="13"/>
      <c r="I305" s="19"/>
      <c r="J305" s="13"/>
      <c r="K305" s="19"/>
      <c r="L305" s="13"/>
      <c r="M305" s="19"/>
      <c r="N305" s="13"/>
      <c r="O305" s="19"/>
      <c r="P305" s="13"/>
      <c r="Q305" s="19"/>
      <c r="R305" s="13"/>
      <c r="S305" s="19"/>
      <c r="T305" s="13"/>
      <c r="U305" s="19"/>
      <c r="V305" s="13"/>
      <c r="W305" s="19"/>
      <c r="X305" s="13"/>
      <c r="Y305" s="557"/>
      <c r="Z305" s="460"/>
      <c r="AA305" s="783"/>
      <c r="AB305" s="460"/>
    </row>
    <row r="306" spans="1:28">
      <c r="A306" s="14"/>
      <c r="B306" s="15"/>
      <c r="C306" s="16"/>
      <c r="D306" s="17"/>
      <c r="E306" s="12"/>
      <c r="F306" s="18"/>
      <c r="G306" s="19"/>
      <c r="H306" s="13"/>
      <c r="I306" s="19"/>
      <c r="J306" s="13"/>
      <c r="K306" s="19"/>
      <c r="L306" s="13"/>
      <c r="M306" s="19"/>
      <c r="N306" s="13"/>
      <c r="O306" s="19"/>
      <c r="P306" s="13"/>
      <c r="Q306" s="19"/>
      <c r="R306" s="13"/>
      <c r="S306" s="19"/>
      <c r="T306" s="13"/>
      <c r="U306" s="19"/>
      <c r="V306" s="13"/>
      <c r="W306" s="19"/>
      <c r="X306" s="13"/>
      <c r="Y306" s="557"/>
      <c r="Z306" s="460"/>
      <c r="AA306" s="783"/>
      <c r="AB306" s="460"/>
    </row>
    <row r="307" spans="1:28">
      <c r="A307" s="14"/>
      <c r="B307" s="15"/>
      <c r="C307" s="16"/>
      <c r="D307" s="17"/>
      <c r="E307" s="12"/>
      <c r="F307" s="18"/>
      <c r="G307" s="19"/>
      <c r="H307" s="13"/>
      <c r="I307" s="19"/>
      <c r="J307" s="13"/>
      <c r="K307" s="19"/>
      <c r="L307" s="13"/>
      <c r="M307" s="19"/>
      <c r="N307" s="13"/>
      <c r="O307" s="19"/>
      <c r="P307" s="13"/>
      <c r="Q307" s="19"/>
      <c r="R307" s="13"/>
      <c r="S307" s="19"/>
      <c r="T307" s="13"/>
      <c r="U307" s="19"/>
      <c r="V307" s="13"/>
      <c r="W307" s="19"/>
      <c r="X307" s="13"/>
      <c r="Y307" s="557"/>
      <c r="Z307" s="460"/>
      <c r="AA307" s="783"/>
      <c r="AB307" s="460"/>
    </row>
    <row r="308" spans="1:28">
      <c r="A308" s="14"/>
      <c r="B308" s="15"/>
      <c r="C308" s="16"/>
      <c r="D308" s="17"/>
      <c r="E308" s="12"/>
      <c r="F308" s="18"/>
      <c r="G308" s="19"/>
      <c r="H308" s="13"/>
      <c r="I308" s="19"/>
      <c r="J308" s="13"/>
      <c r="K308" s="19"/>
      <c r="L308" s="13"/>
      <c r="M308" s="19"/>
      <c r="N308" s="13"/>
      <c r="O308" s="19"/>
      <c r="P308" s="13"/>
      <c r="Q308" s="19"/>
      <c r="R308" s="13"/>
      <c r="S308" s="19"/>
      <c r="T308" s="13"/>
      <c r="U308" s="19"/>
      <c r="V308" s="13"/>
      <c r="W308" s="19"/>
      <c r="X308" s="13"/>
      <c r="Y308" s="557"/>
      <c r="Z308" s="460"/>
      <c r="AA308" s="783"/>
      <c r="AB308" s="460"/>
    </row>
    <row r="309" spans="1:28">
      <c r="A309" s="14"/>
      <c r="B309" s="15"/>
      <c r="C309" s="16"/>
      <c r="D309" s="17"/>
      <c r="E309" s="12"/>
      <c r="F309" s="18"/>
      <c r="G309" s="19"/>
      <c r="H309" s="13"/>
      <c r="I309" s="19"/>
      <c r="J309" s="13"/>
      <c r="K309" s="19"/>
      <c r="L309" s="13"/>
      <c r="M309" s="19"/>
      <c r="N309" s="13"/>
      <c r="O309" s="19"/>
      <c r="P309" s="13"/>
      <c r="Q309" s="19"/>
      <c r="R309" s="13"/>
      <c r="S309" s="19"/>
      <c r="T309" s="13"/>
      <c r="U309" s="19"/>
      <c r="V309" s="13"/>
      <c r="W309" s="19"/>
      <c r="X309" s="13"/>
      <c r="Y309" s="557"/>
      <c r="Z309" s="460"/>
      <c r="AA309" s="783"/>
      <c r="AB309" s="460"/>
    </row>
    <row r="310" spans="1:28">
      <c r="A310" s="14"/>
      <c r="B310" s="15"/>
      <c r="C310" s="16"/>
      <c r="D310" s="17"/>
      <c r="E310" s="12"/>
      <c r="F310" s="18"/>
      <c r="G310" s="19"/>
      <c r="H310" s="13"/>
      <c r="I310" s="19"/>
      <c r="J310" s="13"/>
      <c r="K310" s="19"/>
      <c r="L310" s="13"/>
      <c r="M310" s="19"/>
      <c r="N310" s="13"/>
      <c r="O310" s="19"/>
      <c r="P310" s="13"/>
      <c r="Q310" s="19"/>
      <c r="R310" s="13"/>
      <c r="S310" s="19"/>
      <c r="T310" s="13"/>
      <c r="U310" s="19"/>
      <c r="V310" s="13"/>
      <c r="W310" s="19"/>
      <c r="X310" s="13"/>
      <c r="Y310" s="557"/>
      <c r="Z310" s="460"/>
      <c r="AA310" s="783"/>
      <c r="AB310" s="460"/>
    </row>
    <row r="311" spans="1:28">
      <c r="A311" s="14"/>
      <c r="B311" s="15"/>
      <c r="C311" s="16"/>
      <c r="D311" s="17"/>
      <c r="E311" s="12"/>
      <c r="F311" s="18"/>
      <c r="G311" s="19"/>
      <c r="H311" s="13"/>
      <c r="I311" s="19"/>
      <c r="J311" s="13"/>
      <c r="K311" s="19"/>
      <c r="L311" s="13"/>
      <c r="M311" s="19"/>
      <c r="N311" s="13"/>
      <c r="O311" s="19"/>
      <c r="P311" s="13"/>
      <c r="Q311" s="19"/>
      <c r="R311" s="13"/>
      <c r="S311" s="19"/>
      <c r="T311" s="13"/>
      <c r="U311" s="19"/>
      <c r="V311" s="13"/>
      <c r="W311" s="19"/>
      <c r="X311" s="13"/>
      <c r="Y311" s="557"/>
      <c r="Z311" s="460"/>
      <c r="AA311" s="783"/>
      <c r="AB311" s="460"/>
    </row>
    <row r="312" spans="1:28">
      <c r="A312" s="14"/>
      <c r="B312" s="15"/>
      <c r="C312" s="16"/>
      <c r="D312" s="17"/>
      <c r="E312" s="12"/>
      <c r="F312" s="18"/>
      <c r="G312" s="19"/>
      <c r="H312" s="13"/>
      <c r="I312" s="19"/>
      <c r="J312" s="13"/>
      <c r="K312" s="19"/>
      <c r="L312" s="13"/>
      <c r="M312" s="19"/>
      <c r="N312" s="13"/>
      <c r="O312" s="19"/>
      <c r="P312" s="13"/>
      <c r="Q312" s="19"/>
      <c r="R312" s="13"/>
      <c r="S312" s="19"/>
      <c r="T312" s="13"/>
      <c r="U312" s="19"/>
      <c r="V312" s="13"/>
      <c r="W312" s="19"/>
      <c r="X312" s="13"/>
      <c r="Y312" s="557"/>
      <c r="Z312" s="460"/>
      <c r="AA312" s="783"/>
      <c r="AB312" s="460"/>
    </row>
    <row r="313" spans="1:28">
      <c r="A313" s="14"/>
      <c r="B313" s="15"/>
      <c r="C313" s="16"/>
      <c r="D313" s="17"/>
      <c r="E313" s="12"/>
      <c r="F313" s="18"/>
      <c r="G313" s="19"/>
      <c r="H313" s="13"/>
      <c r="I313" s="19"/>
      <c r="J313" s="13"/>
      <c r="K313" s="19"/>
      <c r="L313" s="13"/>
      <c r="M313" s="19"/>
      <c r="N313" s="13"/>
      <c r="O313" s="19"/>
      <c r="P313" s="13"/>
      <c r="Q313" s="19"/>
      <c r="R313" s="13"/>
      <c r="S313" s="19"/>
      <c r="T313" s="13"/>
      <c r="U313" s="19"/>
      <c r="V313" s="13"/>
      <c r="W313" s="19"/>
      <c r="X313" s="13"/>
      <c r="Y313" s="557"/>
      <c r="Z313" s="460"/>
      <c r="AA313" s="783"/>
      <c r="AB313" s="460"/>
    </row>
    <row r="314" spans="1:28">
      <c r="A314" s="14"/>
      <c r="B314" s="15"/>
      <c r="C314" s="16"/>
      <c r="D314" s="17"/>
      <c r="E314" s="12"/>
      <c r="F314" s="18"/>
      <c r="G314" s="19"/>
      <c r="H314" s="13"/>
      <c r="I314" s="19"/>
      <c r="J314" s="13"/>
      <c r="K314" s="19"/>
      <c r="L314" s="13"/>
      <c r="M314" s="19"/>
      <c r="N314" s="13"/>
      <c r="O314" s="19"/>
      <c r="P314" s="13"/>
      <c r="Q314" s="19"/>
      <c r="R314" s="13"/>
      <c r="S314" s="19"/>
      <c r="T314" s="13"/>
      <c r="U314" s="19"/>
      <c r="V314" s="13"/>
      <c r="W314" s="19"/>
      <c r="X314" s="13"/>
      <c r="Y314" s="557"/>
      <c r="Z314" s="460"/>
      <c r="AA314" s="783"/>
      <c r="AB314" s="460"/>
    </row>
    <row r="315" spans="1:28">
      <c r="A315" s="14"/>
      <c r="B315" s="15"/>
      <c r="C315" s="16"/>
      <c r="D315" s="17"/>
      <c r="E315" s="12"/>
      <c r="F315" s="18"/>
      <c r="G315" s="19"/>
      <c r="H315" s="13"/>
      <c r="I315" s="19"/>
      <c r="J315" s="13"/>
      <c r="K315" s="19"/>
      <c r="L315" s="13"/>
      <c r="M315" s="19"/>
      <c r="N315" s="13"/>
      <c r="O315" s="19"/>
      <c r="P315" s="13"/>
      <c r="Q315" s="19"/>
      <c r="R315" s="13"/>
      <c r="S315" s="19"/>
      <c r="T315" s="13"/>
      <c r="U315" s="19"/>
      <c r="V315" s="13"/>
      <c r="W315" s="19"/>
      <c r="X315" s="13"/>
      <c r="Y315" s="557"/>
      <c r="Z315" s="460"/>
      <c r="AA315" s="783"/>
      <c r="AB315" s="460"/>
    </row>
    <row r="316" spans="1:28">
      <c r="A316" s="14"/>
      <c r="B316" s="15"/>
      <c r="C316" s="16"/>
      <c r="D316" s="17"/>
      <c r="E316" s="12"/>
      <c r="F316" s="18"/>
      <c r="G316" s="19"/>
      <c r="H316" s="13"/>
      <c r="I316" s="19"/>
      <c r="J316" s="13"/>
      <c r="K316" s="19"/>
      <c r="L316" s="13"/>
      <c r="M316" s="19"/>
      <c r="N316" s="13"/>
      <c r="O316" s="19"/>
      <c r="P316" s="13"/>
      <c r="Q316" s="19"/>
      <c r="R316" s="13"/>
      <c r="S316" s="19"/>
      <c r="T316" s="13"/>
      <c r="U316" s="19"/>
      <c r="V316" s="13"/>
      <c r="W316" s="19"/>
      <c r="X316" s="13"/>
      <c r="Y316" s="557"/>
      <c r="Z316" s="460"/>
      <c r="AA316" s="783"/>
      <c r="AB316" s="460"/>
    </row>
    <row r="317" spans="1:28">
      <c r="A317" s="14"/>
      <c r="B317" s="15"/>
      <c r="C317" s="16"/>
      <c r="D317" s="17"/>
      <c r="E317" s="12"/>
      <c r="F317" s="18"/>
      <c r="G317" s="19"/>
      <c r="H317" s="13"/>
      <c r="I317" s="19"/>
      <c r="J317" s="13"/>
      <c r="K317" s="19"/>
      <c r="L317" s="13"/>
      <c r="M317" s="19"/>
      <c r="N317" s="13"/>
      <c r="O317" s="19"/>
      <c r="P317" s="13"/>
      <c r="Q317" s="19"/>
      <c r="R317" s="13"/>
      <c r="S317" s="19"/>
      <c r="T317" s="13"/>
      <c r="U317" s="19"/>
      <c r="V317" s="13"/>
      <c r="W317" s="19"/>
      <c r="X317" s="13"/>
      <c r="Y317" s="557"/>
      <c r="Z317" s="460"/>
      <c r="AA317" s="783"/>
      <c r="AB317" s="460"/>
    </row>
    <row r="318" spans="1:28">
      <c r="A318" s="14"/>
      <c r="B318" s="15"/>
      <c r="C318" s="16"/>
      <c r="D318" s="17"/>
      <c r="E318" s="12"/>
      <c r="F318" s="18"/>
      <c r="G318" s="19"/>
      <c r="H318" s="13"/>
      <c r="I318" s="19"/>
      <c r="J318" s="13"/>
      <c r="K318" s="19"/>
      <c r="L318" s="13"/>
      <c r="M318" s="19"/>
      <c r="N318" s="13"/>
      <c r="O318" s="19"/>
      <c r="P318" s="13"/>
      <c r="Q318" s="19"/>
      <c r="R318" s="13"/>
      <c r="S318" s="19"/>
      <c r="T318" s="13"/>
      <c r="U318" s="19"/>
      <c r="V318" s="13"/>
      <c r="W318" s="19"/>
      <c r="X318" s="13"/>
      <c r="Y318" s="557"/>
      <c r="Z318" s="460"/>
      <c r="AA318" s="783"/>
      <c r="AB318" s="460"/>
    </row>
    <row r="319" spans="1:28">
      <c r="A319" s="14"/>
      <c r="B319" s="15"/>
      <c r="C319" s="16"/>
      <c r="D319" s="17"/>
      <c r="E319" s="12"/>
      <c r="F319" s="18"/>
      <c r="G319" s="19"/>
      <c r="H319" s="13"/>
      <c r="I319" s="19"/>
      <c r="J319" s="13"/>
      <c r="K319" s="19"/>
      <c r="L319" s="13"/>
      <c r="M319" s="19"/>
      <c r="N319" s="13"/>
      <c r="O319" s="19"/>
      <c r="P319" s="13"/>
      <c r="Q319" s="19"/>
      <c r="R319" s="13"/>
      <c r="S319" s="19"/>
      <c r="T319" s="13"/>
      <c r="U319" s="19"/>
      <c r="V319" s="13"/>
      <c r="W319" s="19"/>
      <c r="X319" s="13"/>
      <c r="Y319" s="557"/>
      <c r="Z319" s="460"/>
      <c r="AA319" s="783"/>
      <c r="AB319" s="460"/>
    </row>
    <row r="320" spans="1:28">
      <c r="A320" s="14"/>
      <c r="B320" s="15"/>
      <c r="C320" s="16"/>
      <c r="D320" s="17"/>
      <c r="E320" s="12"/>
      <c r="F320" s="18"/>
      <c r="G320" s="19"/>
      <c r="H320" s="13"/>
      <c r="I320" s="19"/>
      <c r="J320" s="13"/>
      <c r="K320" s="19"/>
      <c r="L320" s="13"/>
      <c r="M320" s="19"/>
      <c r="N320" s="13"/>
      <c r="O320" s="19"/>
      <c r="P320" s="13"/>
      <c r="Q320" s="19"/>
      <c r="R320" s="13"/>
      <c r="S320" s="19"/>
      <c r="T320" s="13"/>
      <c r="U320" s="19"/>
      <c r="V320" s="13"/>
      <c r="W320" s="19"/>
      <c r="X320" s="13"/>
      <c r="Y320" s="557"/>
      <c r="Z320" s="460"/>
      <c r="AA320" s="783"/>
      <c r="AB320" s="460"/>
    </row>
    <row r="321" spans="1:28">
      <c r="A321" s="14"/>
      <c r="B321" s="15"/>
      <c r="C321" s="16"/>
      <c r="D321" s="17"/>
      <c r="E321" s="12"/>
      <c r="F321" s="18"/>
      <c r="G321" s="19"/>
      <c r="H321" s="13"/>
      <c r="I321" s="19"/>
      <c r="J321" s="13"/>
      <c r="K321" s="19"/>
      <c r="L321" s="13"/>
      <c r="M321" s="19"/>
      <c r="N321" s="13"/>
      <c r="O321" s="19"/>
      <c r="P321" s="13"/>
      <c r="Q321" s="19"/>
      <c r="R321" s="13"/>
      <c r="S321" s="19"/>
      <c r="T321" s="13"/>
      <c r="U321" s="19"/>
      <c r="V321" s="13"/>
      <c r="W321" s="19"/>
      <c r="X321" s="13"/>
      <c r="Y321" s="557"/>
      <c r="Z321" s="460"/>
      <c r="AA321" s="783"/>
      <c r="AB321" s="460"/>
    </row>
    <row r="322" spans="1:28">
      <c r="A322" s="14"/>
      <c r="B322" s="15"/>
      <c r="C322" s="16"/>
      <c r="D322" s="17"/>
      <c r="E322" s="12"/>
      <c r="F322" s="18"/>
      <c r="G322" s="19"/>
      <c r="H322" s="13"/>
      <c r="I322" s="19"/>
      <c r="J322" s="13"/>
      <c r="K322" s="19"/>
      <c r="L322" s="13"/>
      <c r="M322" s="19"/>
      <c r="N322" s="13"/>
      <c r="O322" s="19"/>
      <c r="P322" s="13"/>
      <c r="Q322" s="19"/>
      <c r="R322" s="13"/>
      <c r="S322" s="19"/>
      <c r="T322" s="13"/>
      <c r="U322" s="19"/>
      <c r="V322" s="13"/>
      <c r="W322" s="19"/>
      <c r="X322" s="13"/>
      <c r="Y322" s="557"/>
      <c r="Z322" s="460"/>
      <c r="AA322" s="783"/>
      <c r="AB322" s="460"/>
    </row>
    <row r="323" spans="1:28">
      <c r="A323" s="14"/>
      <c r="B323" s="15"/>
      <c r="C323" s="16"/>
      <c r="D323" s="17"/>
      <c r="E323" s="12"/>
      <c r="F323" s="18"/>
      <c r="G323" s="19"/>
      <c r="H323" s="13"/>
      <c r="I323" s="19"/>
      <c r="J323" s="13"/>
      <c r="K323" s="19"/>
      <c r="L323" s="13"/>
      <c r="M323" s="19"/>
      <c r="N323" s="13"/>
      <c r="O323" s="19"/>
      <c r="P323" s="13"/>
      <c r="Q323" s="19"/>
      <c r="R323" s="13"/>
      <c r="S323" s="19"/>
      <c r="T323" s="13"/>
      <c r="U323" s="19"/>
      <c r="V323" s="13"/>
      <c r="W323" s="19"/>
      <c r="X323" s="13"/>
      <c r="Y323" s="557"/>
      <c r="Z323" s="460"/>
      <c r="AA323" s="783"/>
      <c r="AB323" s="460"/>
    </row>
    <row r="324" spans="1:28">
      <c r="A324" s="14"/>
      <c r="B324" s="15"/>
      <c r="C324" s="16"/>
      <c r="D324" s="17"/>
      <c r="E324" s="12"/>
      <c r="F324" s="18"/>
      <c r="G324" s="19"/>
      <c r="H324" s="13"/>
      <c r="I324" s="19"/>
      <c r="J324" s="13"/>
      <c r="K324" s="19"/>
      <c r="L324" s="13"/>
      <c r="M324" s="19"/>
      <c r="N324" s="13"/>
      <c r="O324" s="19"/>
      <c r="P324" s="13"/>
      <c r="Q324" s="19"/>
      <c r="R324" s="13"/>
      <c r="S324" s="19"/>
      <c r="T324" s="13"/>
      <c r="U324" s="19"/>
      <c r="V324" s="13"/>
      <c r="W324" s="19"/>
      <c r="X324" s="13"/>
      <c r="Y324" s="557"/>
      <c r="Z324" s="460"/>
      <c r="AA324" s="783"/>
      <c r="AB324" s="460"/>
    </row>
    <row r="325" spans="1:28">
      <c r="A325" s="14"/>
      <c r="B325" s="15"/>
      <c r="C325" s="16"/>
      <c r="D325" s="17"/>
      <c r="E325" s="12"/>
      <c r="F325" s="18"/>
      <c r="G325" s="19"/>
      <c r="H325" s="13"/>
      <c r="I325" s="19"/>
      <c r="J325" s="13"/>
      <c r="K325" s="19"/>
      <c r="L325" s="13"/>
      <c r="M325" s="19"/>
      <c r="N325" s="13"/>
      <c r="O325" s="19"/>
      <c r="P325" s="13"/>
      <c r="Q325" s="19"/>
      <c r="R325" s="13"/>
      <c r="S325" s="19"/>
      <c r="T325" s="13"/>
      <c r="U325" s="19"/>
      <c r="V325" s="13"/>
      <c r="W325" s="19"/>
      <c r="X325" s="13"/>
      <c r="Y325" s="557"/>
      <c r="Z325" s="460"/>
      <c r="AA325" s="783"/>
      <c r="AB325" s="460"/>
    </row>
    <row r="326" spans="1:28">
      <c r="A326" s="14"/>
      <c r="B326" s="15"/>
      <c r="C326" s="16"/>
      <c r="D326" s="17"/>
      <c r="E326" s="12"/>
      <c r="F326" s="18"/>
      <c r="G326" s="19"/>
      <c r="H326" s="13"/>
      <c r="I326" s="19"/>
      <c r="J326" s="13"/>
      <c r="K326" s="19"/>
      <c r="L326" s="13"/>
      <c r="M326" s="19"/>
      <c r="N326" s="13"/>
      <c r="O326" s="19"/>
      <c r="P326" s="13"/>
      <c r="Q326" s="19"/>
      <c r="R326" s="13"/>
      <c r="S326" s="19"/>
      <c r="T326" s="13"/>
      <c r="U326" s="19"/>
      <c r="V326" s="13"/>
      <c r="W326" s="19"/>
      <c r="X326" s="13"/>
      <c r="Y326" s="557"/>
      <c r="Z326" s="460"/>
      <c r="AA326" s="783"/>
      <c r="AB326" s="460"/>
    </row>
    <row r="327" spans="1:28">
      <c r="A327" s="14"/>
      <c r="B327" s="15"/>
      <c r="C327" s="16"/>
      <c r="D327" s="17"/>
      <c r="E327" s="12"/>
      <c r="F327" s="18"/>
      <c r="G327" s="19"/>
      <c r="H327" s="13"/>
      <c r="I327" s="19"/>
      <c r="J327" s="13"/>
      <c r="K327" s="19"/>
      <c r="L327" s="13"/>
      <c r="M327" s="19"/>
      <c r="N327" s="13"/>
      <c r="O327" s="19"/>
      <c r="P327" s="13"/>
      <c r="Q327" s="19"/>
      <c r="R327" s="13"/>
      <c r="S327" s="19"/>
      <c r="T327" s="13"/>
      <c r="U327" s="19"/>
      <c r="V327" s="13"/>
      <c r="W327" s="19"/>
      <c r="X327" s="13"/>
      <c r="Y327" s="557"/>
      <c r="Z327" s="460"/>
      <c r="AA327" s="783"/>
      <c r="AB327" s="460"/>
    </row>
    <row r="328" spans="1:28">
      <c r="A328" s="14"/>
      <c r="B328" s="15"/>
      <c r="C328" s="16"/>
      <c r="D328" s="17"/>
      <c r="E328" s="12"/>
      <c r="F328" s="18"/>
      <c r="G328" s="19"/>
      <c r="H328" s="13"/>
      <c r="I328" s="19"/>
      <c r="J328" s="13"/>
      <c r="K328" s="19"/>
      <c r="L328" s="13"/>
      <c r="M328" s="19"/>
      <c r="N328" s="13"/>
      <c r="O328" s="19"/>
      <c r="P328" s="13"/>
      <c r="Q328" s="19"/>
      <c r="R328" s="13"/>
      <c r="S328" s="19"/>
      <c r="T328" s="13"/>
      <c r="U328" s="19"/>
      <c r="V328" s="13"/>
      <c r="W328" s="19"/>
      <c r="X328" s="13"/>
      <c r="Y328" s="557"/>
      <c r="Z328" s="460"/>
      <c r="AA328" s="783"/>
      <c r="AB328" s="460"/>
    </row>
    <row r="329" spans="1:28">
      <c r="A329" s="14"/>
      <c r="B329" s="15"/>
      <c r="C329" s="16"/>
      <c r="D329" s="17"/>
      <c r="E329" s="12"/>
      <c r="F329" s="18"/>
      <c r="G329" s="19"/>
      <c r="H329" s="13"/>
      <c r="I329" s="19"/>
      <c r="J329" s="13"/>
      <c r="K329" s="19"/>
      <c r="L329" s="13"/>
      <c r="M329" s="19"/>
      <c r="N329" s="13"/>
      <c r="O329" s="19"/>
      <c r="P329" s="13"/>
      <c r="Q329" s="19"/>
      <c r="R329" s="13"/>
      <c r="S329" s="19"/>
      <c r="T329" s="13"/>
      <c r="U329" s="19"/>
      <c r="V329" s="13"/>
      <c r="W329" s="19"/>
      <c r="X329" s="13"/>
      <c r="Y329" s="557"/>
      <c r="Z329" s="460"/>
      <c r="AA329" s="783"/>
      <c r="AB329" s="460"/>
    </row>
    <row r="330" spans="1:28">
      <c r="A330" s="14"/>
      <c r="B330" s="15"/>
      <c r="C330" s="16"/>
      <c r="D330" s="17"/>
      <c r="E330" s="12"/>
      <c r="F330" s="18"/>
      <c r="G330" s="19"/>
      <c r="H330" s="13"/>
      <c r="I330" s="19"/>
      <c r="J330" s="13"/>
      <c r="K330" s="19"/>
      <c r="L330" s="13"/>
      <c r="M330" s="19"/>
      <c r="N330" s="13"/>
      <c r="O330" s="19"/>
      <c r="P330" s="13"/>
      <c r="Q330" s="19"/>
      <c r="R330" s="13"/>
      <c r="S330" s="19"/>
      <c r="T330" s="13"/>
      <c r="U330" s="19"/>
      <c r="V330" s="13"/>
      <c r="W330" s="19"/>
      <c r="X330" s="13"/>
      <c r="Y330" s="557"/>
      <c r="Z330" s="460"/>
      <c r="AA330" s="783"/>
      <c r="AB330" s="460"/>
    </row>
    <row r="331" spans="1:28">
      <c r="A331" s="14"/>
      <c r="B331" s="15"/>
      <c r="C331" s="16"/>
      <c r="D331" s="17"/>
      <c r="E331" s="12"/>
      <c r="F331" s="18"/>
      <c r="G331" s="19"/>
      <c r="H331" s="13"/>
      <c r="I331" s="19"/>
      <c r="J331" s="13"/>
      <c r="K331" s="19"/>
      <c r="L331" s="13"/>
      <c r="M331" s="19"/>
      <c r="N331" s="13"/>
      <c r="O331" s="19"/>
      <c r="P331" s="13"/>
      <c r="Q331" s="19"/>
      <c r="R331" s="13"/>
      <c r="S331" s="19"/>
      <c r="T331" s="13"/>
      <c r="U331" s="19"/>
      <c r="V331" s="13"/>
      <c r="W331" s="19"/>
      <c r="X331" s="13"/>
      <c r="Y331" s="557"/>
      <c r="Z331" s="460"/>
      <c r="AA331" s="783"/>
      <c r="AB331" s="460"/>
    </row>
    <row r="332" spans="1:28">
      <c r="A332" s="14"/>
      <c r="B332" s="15"/>
      <c r="C332" s="16"/>
      <c r="D332" s="17"/>
      <c r="E332" s="12"/>
      <c r="F332" s="18"/>
      <c r="G332" s="19"/>
      <c r="H332" s="13"/>
      <c r="I332" s="19"/>
      <c r="J332" s="13"/>
      <c r="K332" s="19"/>
      <c r="L332" s="13"/>
      <c r="M332" s="19"/>
      <c r="N332" s="13"/>
      <c r="O332" s="19"/>
      <c r="P332" s="13"/>
      <c r="Q332" s="19"/>
      <c r="R332" s="13"/>
      <c r="S332" s="19"/>
      <c r="T332" s="13"/>
      <c r="U332" s="19"/>
      <c r="V332" s="13"/>
      <c r="W332" s="19"/>
      <c r="X332" s="13"/>
      <c r="Y332" s="557"/>
      <c r="Z332" s="460"/>
      <c r="AA332" s="783"/>
      <c r="AB332" s="460"/>
    </row>
    <row r="333" spans="1:28">
      <c r="A333" s="14"/>
      <c r="B333" s="15"/>
      <c r="C333" s="16"/>
      <c r="D333" s="17"/>
      <c r="E333" s="12"/>
      <c r="F333" s="18"/>
      <c r="G333" s="19"/>
      <c r="H333" s="13"/>
      <c r="I333" s="19"/>
      <c r="J333" s="13"/>
      <c r="K333" s="19"/>
      <c r="L333" s="13"/>
      <c r="M333" s="19"/>
      <c r="N333" s="13"/>
      <c r="O333" s="19"/>
      <c r="P333" s="13"/>
      <c r="Q333" s="19"/>
      <c r="R333" s="13"/>
      <c r="S333" s="19"/>
      <c r="T333" s="13"/>
      <c r="U333" s="19"/>
      <c r="V333" s="13"/>
      <c r="W333" s="19"/>
      <c r="X333" s="13"/>
      <c r="Y333" s="557"/>
      <c r="Z333" s="460"/>
      <c r="AA333" s="783"/>
      <c r="AB333" s="460"/>
    </row>
    <row r="334" spans="1:28">
      <c r="A334" s="14"/>
      <c r="B334" s="15"/>
      <c r="C334" s="16"/>
      <c r="D334" s="17"/>
      <c r="E334" s="12"/>
      <c r="F334" s="18"/>
      <c r="G334" s="19"/>
      <c r="H334" s="13"/>
      <c r="I334" s="19"/>
      <c r="J334" s="13"/>
      <c r="K334" s="19"/>
      <c r="L334" s="13"/>
      <c r="M334" s="19"/>
      <c r="N334" s="13"/>
      <c r="O334" s="19"/>
      <c r="P334" s="13"/>
      <c r="Q334" s="19"/>
      <c r="R334" s="13"/>
      <c r="S334" s="19"/>
      <c r="T334" s="13"/>
      <c r="U334" s="19"/>
      <c r="V334" s="13"/>
      <c r="W334" s="19"/>
      <c r="X334" s="13"/>
      <c r="Y334" s="557"/>
      <c r="Z334" s="460"/>
      <c r="AA334" s="783"/>
      <c r="AB334" s="460"/>
    </row>
    <row r="335" spans="1:28">
      <c r="A335" s="14"/>
      <c r="B335" s="15"/>
      <c r="C335" s="16"/>
      <c r="D335" s="17"/>
      <c r="E335" s="12"/>
      <c r="F335" s="18"/>
      <c r="G335" s="19"/>
      <c r="H335" s="13"/>
      <c r="I335" s="19"/>
      <c r="J335" s="13"/>
      <c r="K335" s="19"/>
      <c r="L335" s="13"/>
      <c r="M335" s="19"/>
      <c r="N335" s="13"/>
      <c r="O335" s="19"/>
      <c r="P335" s="13"/>
      <c r="Q335" s="19"/>
      <c r="R335" s="13"/>
      <c r="S335" s="19"/>
      <c r="T335" s="13"/>
      <c r="U335" s="19"/>
      <c r="V335" s="13"/>
      <c r="W335" s="19"/>
      <c r="X335" s="13"/>
      <c r="Y335" s="557"/>
      <c r="Z335" s="460"/>
      <c r="AA335" s="783"/>
      <c r="AB335" s="460"/>
    </row>
    <row r="336" spans="1:28">
      <c r="A336" s="14"/>
      <c r="B336" s="15"/>
      <c r="C336" s="16"/>
      <c r="D336" s="17"/>
      <c r="E336" s="12"/>
      <c r="F336" s="18"/>
      <c r="G336" s="19"/>
      <c r="H336" s="13"/>
      <c r="I336" s="19"/>
      <c r="J336" s="13"/>
      <c r="K336" s="19"/>
      <c r="L336" s="13"/>
      <c r="M336" s="19"/>
      <c r="N336" s="13"/>
      <c r="O336" s="19"/>
      <c r="P336" s="13"/>
      <c r="Q336" s="19"/>
      <c r="R336" s="13"/>
      <c r="S336" s="19"/>
      <c r="T336" s="13"/>
      <c r="U336" s="19"/>
      <c r="V336" s="13"/>
      <c r="W336" s="19"/>
      <c r="X336" s="13"/>
      <c r="Y336" s="557"/>
      <c r="Z336" s="460"/>
      <c r="AA336" s="783"/>
      <c r="AB336" s="460"/>
    </row>
    <row r="337" spans="1:28">
      <c r="A337" s="14"/>
      <c r="B337" s="15"/>
      <c r="C337" s="16"/>
      <c r="D337" s="17"/>
      <c r="E337" s="12"/>
      <c r="F337" s="18"/>
      <c r="G337" s="19"/>
      <c r="H337" s="13"/>
      <c r="I337" s="19"/>
      <c r="J337" s="13"/>
      <c r="K337" s="19"/>
      <c r="L337" s="13"/>
      <c r="M337" s="19"/>
      <c r="N337" s="13"/>
      <c r="O337" s="19"/>
      <c r="P337" s="13"/>
      <c r="Q337" s="19"/>
      <c r="R337" s="13"/>
      <c r="S337" s="19"/>
      <c r="T337" s="13"/>
      <c r="U337" s="19"/>
      <c r="V337" s="13"/>
      <c r="W337" s="19"/>
      <c r="X337" s="13"/>
      <c r="Y337" s="557"/>
      <c r="Z337" s="460"/>
      <c r="AA337" s="783"/>
      <c r="AB337" s="460"/>
    </row>
    <row r="338" spans="1:28">
      <c r="A338" s="14"/>
      <c r="B338" s="15"/>
      <c r="C338" s="16"/>
      <c r="D338" s="17"/>
      <c r="E338" s="12"/>
      <c r="F338" s="18"/>
      <c r="G338" s="19"/>
      <c r="H338" s="13"/>
      <c r="I338" s="19"/>
      <c r="J338" s="13"/>
      <c r="K338" s="19"/>
      <c r="L338" s="13"/>
      <c r="M338" s="19"/>
      <c r="N338" s="13"/>
      <c r="O338" s="19"/>
      <c r="P338" s="13"/>
      <c r="Q338" s="19"/>
      <c r="R338" s="13"/>
      <c r="S338" s="19"/>
      <c r="T338" s="13"/>
      <c r="U338" s="19"/>
      <c r="V338" s="13"/>
      <c r="W338" s="19"/>
      <c r="X338" s="13"/>
      <c r="Y338" s="557"/>
      <c r="Z338" s="460"/>
      <c r="AA338" s="783"/>
      <c r="AB338" s="460"/>
    </row>
    <row r="339" spans="1:28">
      <c r="A339" s="14"/>
      <c r="B339" s="15"/>
      <c r="C339" s="16"/>
      <c r="D339" s="17"/>
      <c r="E339" s="12"/>
      <c r="F339" s="18"/>
      <c r="G339" s="19"/>
      <c r="H339" s="13"/>
      <c r="I339" s="19"/>
      <c r="J339" s="13"/>
      <c r="K339" s="19"/>
      <c r="L339" s="13"/>
      <c r="M339" s="19"/>
      <c r="N339" s="13"/>
      <c r="O339" s="19"/>
      <c r="P339" s="13"/>
      <c r="Q339" s="19"/>
      <c r="R339" s="13"/>
      <c r="S339" s="19"/>
      <c r="T339" s="13"/>
      <c r="U339" s="19"/>
      <c r="V339" s="13"/>
      <c r="W339" s="19"/>
      <c r="X339" s="13"/>
      <c r="Y339" s="557"/>
      <c r="Z339" s="460"/>
      <c r="AA339" s="783"/>
      <c r="AB339" s="460"/>
    </row>
    <row r="340" spans="1:28">
      <c r="A340" s="14"/>
      <c r="B340" s="15"/>
      <c r="C340" s="16"/>
      <c r="D340" s="17"/>
      <c r="E340" s="12"/>
      <c r="F340" s="18"/>
      <c r="G340" s="19"/>
      <c r="H340" s="13"/>
      <c r="I340" s="19"/>
      <c r="J340" s="13"/>
      <c r="K340" s="19"/>
      <c r="L340" s="13"/>
      <c r="M340" s="19"/>
      <c r="N340" s="13"/>
      <c r="O340" s="19"/>
      <c r="P340" s="13"/>
      <c r="Q340" s="19"/>
      <c r="R340" s="13"/>
      <c r="S340" s="19"/>
      <c r="T340" s="13"/>
      <c r="U340" s="19"/>
      <c r="V340" s="13"/>
      <c r="W340" s="19"/>
      <c r="X340" s="13"/>
      <c r="Y340" s="557"/>
      <c r="Z340" s="460"/>
      <c r="AA340" s="783"/>
      <c r="AB340" s="460"/>
    </row>
    <row r="341" spans="1:28">
      <c r="A341" s="14"/>
      <c r="B341" s="15"/>
      <c r="C341" s="16"/>
      <c r="D341" s="17"/>
      <c r="E341" s="12"/>
      <c r="F341" s="18"/>
      <c r="G341" s="19"/>
      <c r="H341" s="13"/>
      <c r="I341" s="19"/>
      <c r="J341" s="13"/>
      <c r="K341" s="19"/>
      <c r="L341" s="13"/>
      <c r="M341" s="19"/>
      <c r="N341" s="13"/>
      <c r="O341" s="19"/>
      <c r="P341" s="13"/>
      <c r="Q341" s="19"/>
      <c r="R341" s="13"/>
      <c r="S341" s="19"/>
      <c r="T341" s="13"/>
      <c r="U341" s="19"/>
      <c r="V341" s="13"/>
      <c r="W341" s="19"/>
      <c r="X341" s="13"/>
      <c r="Y341" s="557"/>
      <c r="Z341" s="460"/>
      <c r="AA341" s="783"/>
      <c r="AB341" s="460"/>
    </row>
    <row r="342" spans="1:28">
      <c r="A342" s="14"/>
      <c r="B342" s="15"/>
      <c r="C342" s="16"/>
      <c r="D342" s="17"/>
      <c r="E342" s="12"/>
      <c r="F342" s="18"/>
      <c r="G342" s="19"/>
      <c r="H342" s="13"/>
      <c r="I342" s="19"/>
      <c r="J342" s="13"/>
      <c r="K342" s="19"/>
      <c r="L342" s="13"/>
      <c r="M342" s="19"/>
      <c r="N342" s="13"/>
      <c r="O342" s="19"/>
      <c r="P342" s="13"/>
      <c r="Q342" s="19"/>
      <c r="R342" s="13"/>
      <c r="S342" s="19"/>
      <c r="T342" s="13"/>
      <c r="U342" s="19"/>
      <c r="V342" s="13"/>
      <c r="W342" s="19"/>
      <c r="X342" s="13"/>
      <c r="Y342" s="557"/>
      <c r="Z342" s="460"/>
      <c r="AA342" s="783"/>
      <c r="AB342" s="460"/>
    </row>
    <row r="343" spans="1:28">
      <c r="A343" s="14"/>
      <c r="B343" s="15"/>
      <c r="C343" s="16"/>
      <c r="D343" s="17"/>
      <c r="E343" s="12"/>
      <c r="F343" s="18"/>
      <c r="G343" s="19"/>
      <c r="H343" s="13"/>
      <c r="I343" s="19"/>
      <c r="J343" s="13"/>
      <c r="K343" s="19"/>
      <c r="L343" s="13"/>
      <c r="M343" s="19"/>
      <c r="N343" s="13"/>
      <c r="O343" s="19"/>
      <c r="P343" s="13"/>
      <c r="Q343" s="19"/>
      <c r="R343" s="13"/>
      <c r="S343" s="19"/>
      <c r="T343" s="13"/>
      <c r="U343" s="19"/>
      <c r="V343" s="13"/>
      <c r="W343" s="19"/>
      <c r="X343" s="13"/>
      <c r="Y343" s="557"/>
      <c r="Z343" s="460"/>
      <c r="AA343" s="783"/>
      <c r="AB343" s="460"/>
    </row>
    <row r="344" spans="1:28">
      <c r="A344" s="14"/>
      <c r="B344" s="15"/>
      <c r="C344" s="16"/>
      <c r="D344" s="17"/>
      <c r="E344" s="12"/>
      <c r="F344" s="18"/>
      <c r="G344" s="19"/>
      <c r="H344" s="13"/>
      <c r="I344" s="19"/>
      <c r="J344" s="13"/>
      <c r="K344" s="19"/>
      <c r="L344" s="13"/>
      <c r="M344" s="19"/>
      <c r="N344" s="13"/>
      <c r="O344" s="19"/>
      <c r="P344" s="13"/>
      <c r="Q344" s="19"/>
      <c r="R344" s="13"/>
      <c r="S344" s="19"/>
      <c r="T344" s="13"/>
      <c r="U344" s="19"/>
      <c r="V344" s="13"/>
      <c r="W344" s="19"/>
      <c r="X344" s="13"/>
      <c r="Y344" s="557"/>
      <c r="Z344" s="460"/>
      <c r="AA344" s="783"/>
      <c r="AB344" s="460"/>
    </row>
    <row r="345" spans="1:28">
      <c r="A345" s="14"/>
      <c r="B345" s="15"/>
      <c r="C345" s="16"/>
      <c r="D345" s="17"/>
      <c r="E345" s="12"/>
      <c r="F345" s="18"/>
      <c r="G345" s="19"/>
      <c r="H345" s="13"/>
      <c r="I345" s="19"/>
      <c r="J345" s="13"/>
      <c r="K345" s="19"/>
      <c r="L345" s="13"/>
      <c r="M345" s="19"/>
      <c r="N345" s="13"/>
      <c r="O345" s="19"/>
      <c r="P345" s="13"/>
      <c r="Q345" s="19"/>
      <c r="R345" s="13"/>
      <c r="S345" s="19"/>
      <c r="T345" s="13"/>
      <c r="U345" s="19"/>
      <c r="V345" s="13"/>
      <c r="W345" s="19"/>
      <c r="X345" s="13"/>
      <c r="Y345" s="557"/>
      <c r="Z345" s="460"/>
      <c r="AA345" s="783"/>
      <c r="AB345" s="460"/>
    </row>
    <row r="346" spans="1:28">
      <c r="A346" s="14"/>
      <c r="B346" s="15"/>
      <c r="C346" s="16"/>
      <c r="D346" s="17"/>
      <c r="E346" s="12"/>
      <c r="F346" s="18"/>
      <c r="G346" s="19"/>
      <c r="H346" s="13"/>
      <c r="I346" s="19"/>
      <c r="J346" s="13"/>
      <c r="K346" s="19"/>
      <c r="L346" s="13"/>
      <c r="M346" s="19"/>
      <c r="N346" s="13"/>
      <c r="O346" s="19"/>
      <c r="P346" s="13"/>
      <c r="Q346" s="19"/>
      <c r="R346" s="13"/>
      <c r="S346" s="19"/>
      <c r="T346" s="13"/>
      <c r="U346" s="19"/>
      <c r="V346" s="13"/>
      <c r="W346" s="19"/>
      <c r="X346" s="13"/>
      <c r="Y346" s="557"/>
      <c r="Z346" s="460"/>
      <c r="AA346" s="783"/>
      <c r="AB346" s="460"/>
    </row>
    <row r="347" spans="1:28">
      <c r="A347" s="14"/>
      <c r="B347" s="15"/>
      <c r="C347" s="16"/>
      <c r="D347" s="17"/>
      <c r="E347" s="12"/>
      <c r="F347" s="18"/>
      <c r="G347" s="19"/>
      <c r="H347" s="13"/>
      <c r="I347" s="19"/>
      <c r="J347" s="13"/>
      <c r="K347" s="19"/>
      <c r="L347" s="13"/>
      <c r="M347" s="19"/>
      <c r="N347" s="13"/>
      <c r="O347" s="19"/>
      <c r="P347" s="13"/>
      <c r="Q347" s="19"/>
      <c r="R347" s="13"/>
      <c r="S347" s="19"/>
      <c r="T347" s="13"/>
      <c r="U347" s="19"/>
      <c r="V347" s="13"/>
      <c r="W347" s="19"/>
      <c r="X347" s="13"/>
      <c r="Y347" s="557"/>
      <c r="Z347" s="460"/>
      <c r="AA347" s="783"/>
      <c r="AB347" s="460"/>
    </row>
    <row r="348" spans="1:28">
      <c r="A348" s="14"/>
      <c r="B348" s="15"/>
      <c r="C348" s="16"/>
      <c r="D348" s="17"/>
      <c r="E348" s="12"/>
      <c r="F348" s="18"/>
      <c r="G348" s="19"/>
      <c r="H348" s="13"/>
      <c r="I348" s="19"/>
      <c r="J348" s="13"/>
      <c r="K348" s="19"/>
      <c r="L348" s="13"/>
      <c r="M348" s="19"/>
      <c r="N348" s="13"/>
      <c r="O348" s="19"/>
      <c r="P348" s="13"/>
      <c r="Q348" s="19"/>
      <c r="R348" s="13"/>
      <c r="S348" s="19"/>
      <c r="T348" s="13"/>
      <c r="U348" s="19"/>
      <c r="V348" s="13"/>
      <c r="W348" s="19"/>
      <c r="X348" s="13"/>
      <c r="Y348" s="557"/>
      <c r="Z348" s="460"/>
      <c r="AA348" s="783"/>
      <c r="AB348" s="460"/>
    </row>
    <row r="349" spans="1:28">
      <c r="A349" s="14"/>
      <c r="B349" s="15"/>
      <c r="C349" s="16"/>
      <c r="D349" s="17"/>
      <c r="E349" s="12"/>
      <c r="F349" s="18"/>
      <c r="G349" s="19"/>
      <c r="H349" s="13"/>
      <c r="I349" s="19"/>
      <c r="J349" s="13"/>
      <c r="K349" s="19"/>
      <c r="L349" s="13"/>
      <c r="M349" s="19"/>
      <c r="N349" s="13"/>
      <c r="O349" s="19"/>
      <c r="P349" s="13"/>
      <c r="Q349" s="19"/>
      <c r="R349" s="13"/>
      <c r="S349" s="19"/>
      <c r="T349" s="13"/>
      <c r="U349" s="19"/>
      <c r="V349" s="13"/>
      <c r="W349" s="19"/>
      <c r="X349" s="13"/>
      <c r="Y349" s="557"/>
      <c r="Z349" s="460"/>
      <c r="AA349" s="783"/>
      <c r="AB349" s="460"/>
    </row>
    <row r="350" spans="1:28">
      <c r="A350" s="14"/>
      <c r="B350" s="15"/>
      <c r="C350" s="16"/>
      <c r="D350" s="17"/>
      <c r="E350" s="12"/>
      <c r="F350" s="18"/>
      <c r="G350" s="19"/>
      <c r="H350" s="13"/>
      <c r="I350" s="19"/>
      <c r="J350" s="13"/>
      <c r="K350" s="19"/>
      <c r="L350" s="13"/>
      <c r="M350" s="19"/>
      <c r="N350" s="13"/>
      <c r="O350" s="19"/>
      <c r="P350" s="13"/>
      <c r="Q350" s="19"/>
      <c r="R350" s="13"/>
      <c r="S350" s="19"/>
      <c r="T350" s="13"/>
      <c r="U350" s="19"/>
      <c r="V350" s="13"/>
      <c r="W350" s="19"/>
      <c r="X350" s="13"/>
      <c r="Y350" s="557"/>
      <c r="Z350" s="460"/>
      <c r="AA350" s="783"/>
      <c r="AB350" s="460"/>
    </row>
    <row r="351" spans="1:28">
      <c r="A351" s="14"/>
      <c r="B351" s="15"/>
      <c r="C351" s="16"/>
      <c r="D351" s="17"/>
      <c r="E351" s="12"/>
      <c r="F351" s="18"/>
      <c r="G351" s="19"/>
      <c r="H351" s="13"/>
      <c r="I351" s="19"/>
      <c r="J351" s="13"/>
      <c r="K351" s="19"/>
      <c r="L351" s="13"/>
      <c r="M351" s="19"/>
      <c r="N351" s="13"/>
      <c r="O351" s="19"/>
      <c r="P351" s="13"/>
      <c r="Q351" s="19"/>
      <c r="R351" s="13"/>
      <c r="S351" s="19"/>
      <c r="T351" s="13"/>
      <c r="U351" s="19"/>
      <c r="V351" s="13"/>
      <c r="W351" s="19"/>
      <c r="X351" s="13"/>
      <c r="Y351" s="557"/>
      <c r="Z351" s="460"/>
      <c r="AA351" s="783"/>
      <c r="AB351" s="460"/>
    </row>
    <row r="352" spans="1:28">
      <c r="A352" s="14"/>
      <c r="B352" s="15"/>
      <c r="C352" s="16"/>
      <c r="D352" s="17"/>
      <c r="E352" s="12"/>
      <c r="F352" s="18"/>
      <c r="G352" s="19"/>
      <c r="H352" s="13"/>
      <c r="I352" s="19"/>
      <c r="J352" s="13"/>
      <c r="K352" s="19"/>
      <c r="L352" s="13"/>
      <c r="M352" s="19"/>
      <c r="N352" s="13"/>
      <c r="O352" s="19"/>
      <c r="P352" s="13"/>
      <c r="Q352" s="19"/>
      <c r="R352" s="13"/>
      <c r="S352" s="19"/>
      <c r="T352" s="13"/>
      <c r="U352" s="19"/>
      <c r="V352" s="13"/>
      <c r="W352" s="19"/>
      <c r="X352" s="13"/>
      <c r="Y352" s="557"/>
      <c r="Z352" s="460"/>
      <c r="AA352" s="783"/>
      <c r="AB352" s="460"/>
    </row>
    <row r="353" spans="1:28">
      <c r="A353" s="14"/>
      <c r="B353" s="15"/>
      <c r="C353" s="16"/>
      <c r="D353" s="17"/>
      <c r="E353" s="12"/>
      <c r="F353" s="18"/>
      <c r="G353" s="19"/>
      <c r="H353" s="13"/>
      <c r="I353" s="19"/>
      <c r="J353" s="13"/>
      <c r="K353" s="19"/>
      <c r="L353" s="13"/>
      <c r="M353" s="19"/>
      <c r="N353" s="13"/>
      <c r="O353" s="19"/>
      <c r="P353" s="13"/>
      <c r="Q353" s="19"/>
      <c r="R353" s="13"/>
      <c r="S353" s="19"/>
      <c r="T353" s="13"/>
      <c r="U353" s="19"/>
      <c r="V353" s="13"/>
      <c r="W353" s="19"/>
      <c r="X353" s="13"/>
      <c r="Y353" s="557"/>
      <c r="Z353" s="460"/>
      <c r="AA353" s="783"/>
      <c r="AB353" s="460"/>
    </row>
    <row r="354" spans="1:28">
      <c r="A354" s="14"/>
      <c r="B354" s="15"/>
      <c r="C354" s="16"/>
      <c r="D354" s="17"/>
      <c r="E354" s="12"/>
      <c r="F354" s="18"/>
      <c r="G354" s="19"/>
      <c r="H354" s="13"/>
      <c r="I354" s="19"/>
      <c r="J354" s="13"/>
      <c r="K354" s="19"/>
      <c r="L354" s="13"/>
      <c r="M354" s="19"/>
      <c r="N354" s="13"/>
      <c r="O354" s="19"/>
      <c r="P354" s="13"/>
      <c r="Q354" s="19"/>
      <c r="R354" s="13"/>
      <c r="S354" s="19"/>
      <c r="T354" s="13"/>
      <c r="U354" s="19"/>
      <c r="V354" s="13"/>
      <c r="W354" s="19"/>
      <c r="X354" s="13"/>
      <c r="Y354" s="557"/>
      <c r="Z354" s="460"/>
      <c r="AA354" s="783"/>
      <c r="AB354" s="460"/>
    </row>
    <row r="355" spans="1:28">
      <c r="A355" s="14"/>
      <c r="B355" s="15"/>
      <c r="C355" s="16"/>
      <c r="D355" s="17"/>
      <c r="E355" s="12"/>
      <c r="F355" s="18"/>
      <c r="G355" s="19"/>
      <c r="H355" s="13"/>
      <c r="I355" s="19"/>
      <c r="J355" s="13"/>
      <c r="K355" s="19"/>
      <c r="L355" s="13"/>
      <c r="M355" s="19"/>
      <c r="N355" s="13"/>
      <c r="O355" s="19"/>
      <c r="P355" s="13"/>
      <c r="Q355" s="19"/>
      <c r="R355" s="13"/>
      <c r="S355" s="19"/>
      <c r="T355" s="13"/>
      <c r="U355" s="19"/>
      <c r="V355" s="13"/>
      <c r="W355" s="19"/>
      <c r="X355" s="13"/>
      <c r="Y355" s="557"/>
      <c r="Z355" s="460"/>
      <c r="AA355" s="783"/>
      <c r="AB355" s="460"/>
    </row>
    <row r="356" spans="1:28">
      <c r="A356" s="14"/>
      <c r="B356" s="15"/>
      <c r="C356" s="16"/>
      <c r="D356" s="17"/>
      <c r="E356" s="12"/>
      <c r="F356" s="18"/>
      <c r="G356" s="19"/>
      <c r="H356" s="13"/>
      <c r="I356" s="19"/>
      <c r="J356" s="13"/>
      <c r="K356" s="19"/>
      <c r="L356" s="13"/>
      <c r="M356" s="19"/>
      <c r="N356" s="13"/>
      <c r="O356" s="19"/>
      <c r="P356" s="13"/>
      <c r="Q356" s="19"/>
      <c r="R356" s="13"/>
      <c r="S356" s="19"/>
      <c r="T356" s="13"/>
      <c r="U356" s="19"/>
      <c r="V356" s="13"/>
      <c r="W356" s="19"/>
      <c r="X356" s="13"/>
      <c r="Y356" s="557"/>
      <c r="Z356" s="460"/>
      <c r="AA356" s="783"/>
      <c r="AB356" s="460"/>
    </row>
    <row r="357" spans="1:28">
      <c r="A357" s="14"/>
      <c r="B357" s="15"/>
      <c r="C357" s="16"/>
      <c r="D357" s="17"/>
      <c r="E357" s="12"/>
      <c r="F357" s="18"/>
      <c r="G357" s="19"/>
      <c r="H357" s="13"/>
      <c r="I357" s="19"/>
      <c r="J357" s="13"/>
      <c r="K357" s="19"/>
      <c r="L357" s="13"/>
      <c r="M357" s="19"/>
      <c r="N357" s="13"/>
      <c r="O357" s="19"/>
      <c r="P357" s="13"/>
      <c r="Q357" s="19"/>
      <c r="R357" s="13"/>
      <c r="S357" s="19"/>
      <c r="T357" s="13"/>
      <c r="U357" s="19"/>
      <c r="V357" s="13"/>
      <c r="W357" s="19"/>
      <c r="X357" s="13"/>
      <c r="Y357" s="557"/>
      <c r="Z357" s="460"/>
      <c r="AA357" s="783"/>
      <c r="AB357" s="460"/>
    </row>
    <row r="358" spans="1:28">
      <c r="A358" s="14"/>
      <c r="B358" s="15"/>
      <c r="C358" s="16"/>
      <c r="D358" s="17"/>
      <c r="E358" s="12"/>
      <c r="F358" s="18"/>
      <c r="G358" s="19"/>
      <c r="H358" s="13"/>
      <c r="I358" s="19"/>
      <c r="J358" s="13"/>
      <c r="K358" s="19"/>
      <c r="L358" s="13"/>
      <c r="M358" s="19"/>
      <c r="N358" s="13"/>
      <c r="O358" s="19"/>
      <c r="P358" s="13"/>
      <c r="Q358" s="19"/>
      <c r="R358" s="13"/>
      <c r="S358" s="19"/>
      <c r="T358" s="13"/>
      <c r="U358" s="19"/>
      <c r="V358" s="13"/>
      <c r="W358" s="19"/>
      <c r="X358" s="13"/>
      <c r="Y358" s="557"/>
      <c r="Z358" s="460"/>
      <c r="AA358" s="783"/>
      <c r="AB358" s="460"/>
    </row>
    <row r="359" spans="1:28">
      <c r="A359" s="14"/>
      <c r="B359" s="15"/>
      <c r="C359" s="16"/>
      <c r="D359" s="17"/>
      <c r="E359" s="12"/>
      <c r="F359" s="18"/>
      <c r="G359" s="19"/>
      <c r="H359" s="13"/>
      <c r="I359" s="19"/>
      <c r="J359" s="13"/>
      <c r="K359" s="19"/>
      <c r="L359" s="13"/>
      <c r="M359" s="19"/>
      <c r="N359" s="13"/>
      <c r="O359" s="19"/>
      <c r="P359" s="13"/>
      <c r="Q359" s="19"/>
      <c r="R359" s="13"/>
      <c r="S359" s="19"/>
      <c r="T359" s="13"/>
      <c r="U359" s="19"/>
      <c r="V359" s="13"/>
      <c r="W359" s="19"/>
      <c r="X359" s="13"/>
      <c r="Y359" s="557"/>
      <c r="Z359" s="460"/>
      <c r="AA359" s="783"/>
      <c r="AB359" s="460"/>
    </row>
    <row r="360" spans="1:28">
      <c r="A360" s="14"/>
      <c r="B360" s="15"/>
      <c r="C360" s="16"/>
      <c r="D360" s="17"/>
      <c r="E360" s="12"/>
      <c r="F360" s="18"/>
      <c r="G360" s="19"/>
      <c r="H360" s="13"/>
      <c r="I360" s="19"/>
      <c r="J360" s="13"/>
      <c r="K360" s="19"/>
      <c r="L360" s="13"/>
      <c r="M360" s="19"/>
      <c r="N360" s="13"/>
      <c r="O360" s="19"/>
      <c r="P360" s="13"/>
      <c r="Q360" s="19"/>
      <c r="R360" s="13"/>
      <c r="S360" s="19"/>
      <c r="T360" s="13"/>
      <c r="U360" s="19"/>
      <c r="V360" s="13"/>
      <c r="W360" s="19"/>
      <c r="X360" s="13"/>
      <c r="Y360" s="557"/>
      <c r="Z360" s="460"/>
      <c r="AA360" s="783"/>
      <c r="AB360" s="460"/>
    </row>
    <row r="361" spans="1:28">
      <c r="A361" s="14"/>
      <c r="B361" s="15"/>
      <c r="C361" s="16"/>
      <c r="D361" s="17"/>
      <c r="E361" s="12"/>
      <c r="F361" s="18"/>
      <c r="G361" s="19"/>
      <c r="H361" s="13"/>
      <c r="I361" s="19"/>
      <c r="J361" s="13"/>
      <c r="K361" s="19"/>
      <c r="L361" s="13"/>
      <c r="M361" s="19"/>
      <c r="N361" s="13"/>
      <c r="O361" s="19"/>
      <c r="P361" s="13"/>
      <c r="Q361" s="19"/>
      <c r="R361" s="13"/>
      <c r="S361" s="19"/>
      <c r="T361" s="13"/>
      <c r="U361" s="19"/>
      <c r="V361" s="13"/>
      <c r="W361" s="19"/>
      <c r="X361" s="13"/>
      <c r="Y361" s="557"/>
      <c r="Z361" s="460"/>
      <c r="AA361" s="783"/>
      <c r="AB361" s="460"/>
    </row>
    <row r="362" spans="1:28">
      <c r="A362" s="14"/>
      <c r="B362" s="15"/>
      <c r="C362" s="16"/>
      <c r="D362" s="17"/>
      <c r="E362" s="12"/>
      <c r="F362" s="18"/>
      <c r="G362" s="19"/>
      <c r="H362" s="13"/>
      <c r="I362" s="19"/>
      <c r="J362" s="13"/>
      <c r="K362" s="19"/>
      <c r="L362" s="13"/>
      <c r="M362" s="19"/>
      <c r="N362" s="13"/>
      <c r="O362" s="19"/>
      <c r="P362" s="13"/>
      <c r="Q362" s="19"/>
      <c r="R362" s="13"/>
      <c r="S362" s="19"/>
      <c r="T362" s="13"/>
      <c r="U362" s="19"/>
      <c r="V362" s="13"/>
      <c r="W362" s="19"/>
      <c r="X362" s="13"/>
      <c r="Y362" s="557"/>
      <c r="Z362" s="460"/>
      <c r="AA362" s="783"/>
      <c r="AB362" s="460"/>
    </row>
    <row r="363" spans="1:28">
      <c r="A363" s="14"/>
      <c r="B363" s="15"/>
      <c r="C363" s="16"/>
      <c r="D363" s="17"/>
      <c r="E363" s="12"/>
      <c r="F363" s="18"/>
      <c r="G363" s="19"/>
      <c r="H363" s="13"/>
      <c r="I363" s="19"/>
      <c r="J363" s="13"/>
      <c r="K363" s="19"/>
      <c r="L363" s="13"/>
      <c r="M363" s="19"/>
      <c r="N363" s="13"/>
      <c r="O363" s="19"/>
      <c r="P363" s="13"/>
      <c r="Q363" s="19"/>
      <c r="R363" s="13"/>
      <c r="S363" s="19"/>
      <c r="T363" s="13"/>
      <c r="U363" s="19"/>
      <c r="V363" s="13"/>
      <c r="W363" s="19"/>
      <c r="X363" s="13"/>
      <c r="Y363" s="557"/>
      <c r="Z363" s="460"/>
      <c r="AA363" s="783"/>
      <c r="AB363" s="460"/>
    </row>
    <row r="364" spans="1:28">
      <c r="A364" s="14"/>
      <c r="B364" s="15"/>
      <c r="C364" s="16"/>
      <c r="D364" s="17"/>
      <c r="E364" s="12"/>
      <c r="F364" s="18"/>
      <c r="G364" s="19"/>
      <c r="H364" s="13"/>
      <c r="I364" s="19"/>
      <c r="J364" s="13"/>
      <c r="K364" s="19"/>
      <c r="L364" s="13"/>
      <c r="M364" s="19"/>
      <c r="N364" s="13"/>
      <c r="O364" s="19"/>
      <c r="P364" s="13"/>
      <c r="Q364" s="19"/>
      <c r="R364" s="13"/>
      <c r="S364" s="19"/>
      <c r="T364" s="13"/>
      <c r="U364" s="19"/>
      <c r="V364" s="13"/>
      <c r="W364" s="19"/>
      <c r="X364" s="13"/>
      <c r="Y364" s="557"/>
      <c r="Z364" s="460"/>
      <c r="AA364" s="783"/>
      <c r="AB364" s="460"/>
    </row>
    <row r="365" spans="1:28">
      <c r="A365" s="14"/>
      <c r="B365" s="15"/>
      <c r="C365" s="16"/>
      <c r="D365" s="17"/>
      <c r="E365" s="12"/>
      <c r="F365" s="18"/>
      <c r="G365" s="19"/>
      <c r="H365" s="13"/>
      <c r="I365" s="19"/>
      <c r="J365" s="13"/>
      <c r="K365" s="19"/>
      <c r="L365" s="13"/>
      <c r="M365" s="19"/>
      <c r="N365" s="13"/>
      <c r="O365" s="19"/>
      <c r="P365" s="13"/>
      <c r="Q365" s="19"/>
      <c r="R365" s="13"/>
      <c r="S365" s="19"/>
      <c r="T365" s="13"/>
      <c r="U365" s="19"/>
      <c r="V365" s="13"/>
      <c r="W365" s="19"/>
      <c r="X365" s="13"/>
      <c r="Y365" s="557"/>
      <c r="Z365" s="460"/>
      <c r="AA365" s="783"/>
      <c r="AB365" s="460"/>
    </row>
    <row r="366" spans="1:28">
      <c r="A366" s="14"/>
      <c r="B366" s="15"/>
      <c r="C366" s="16"/>
      <c r="D366" s="17"/>
      <c r="E366" s="12"/>
      <c r="F366" s="18"/>
      <c r="G366" s="19"/>
      <c r="H366" s="13"/>
      <c r="I366" s="19"/>
      <c r="J366" s="13"/>
      <c r="K366" s="19"/>
      <c r="L366" s="13"/>
      <c r="M366" s="19"/>
      <c r="N366" s="13"/>
      <c r="O366" s="19"/>
      <c r="P366" s="13"/>
      <c r="Q366" s="19"/>
      <c r="R366" s="13"/>
      <c r="S366" s="19"/>
      <c r="T366" s="13"/>
      <c r="U366" s="19"/>
      <c r="V366" s="13"/>
      <c r="W366" s="19"/>
      <c r="X366" s="13"/>
      <c r="Y366" s="557"/>
      <c r="Z366" s="460"/>
      <c r="AA366" s="783"/>
      <c r="AB366" s="460"/>
    </row>
    <row r="367" spans="1:28">
      <c r="A367" s="14"/>
      <c r="B367" s="15"/>
      <c r="C367" s="16"/>
      <c r="D367" s="17"/>
      <c r="E367" s="12"/>
      <c r="F367" s="18"/>
      <c r="G367" s="19"/>
      <c r="H367" s="13"/>
      <c r="I367" s="19"/>
      <c r="J367" s="13"/>
      <c r="K367" s="19"/>
      <c r="L367" s="13"/>
      <c r="M367" s="19"/>
      <c r="N367" s="13"/>
      <c r="O367" s="19"/>
      <c r="P367" s="13"/>
      <c r="Q367" s="19"/>
      <c r="R367" s="13"/>
      <c r="S367" s="19"/>
      <c r="T367" s="13"/>
      <c r="U367" s="19"/>
      <c r="V367" s="13"/>
      <c r="W367" s="19"/>
      <c r="X367" s="13"/>
      <c r="Y367" s="557"/>
      <c r="Z367" s="460"/>
      <c r="AA367" s="783"/>
      <c r="AB367" s="460"/>
    </row>
    <row r="368" spans="1:28">
      <c r="A368" s="14"/>
      <c r="B368" s="15"/>
      <c r="C368" s="16"/>
      <c r="D368" s="17"/>
      <c r="E368" s="12"/>
      <c r="F368" s="18"/>
      <c r="G368" s="19"/>
      <c r="H368" s="13"/>
      <c r="I368" s="19"/>
      <c r="J368" s="13"/>
      <c r="K368" s="19"/>
      <c r="L368" s="13"/>
      <c r="M368" s="19"/>
      <c r="N368" s="13"/>
      <c r="O368" s="19"/>
      <c r="P368" s="13"/>
      <c r="Q368" s="19"/>
      <c r="R368" s="13"/>
      <c r="S368" s="19"/>
      <c r="T368" s="13"/>
      <c r="U368" s="19"/>
      <c r="V368" s="13"/>
      <c r="W368" s="19"/>
      <c r="X368" s="13"/>
      <c r="Y368" s="557"/>
      <c r="Z368" s="460"/>
      <c r="AA368" s="783"/>
      <c r="AB368" s="460"/>
    </row>
    <row r="369" spans="1:28">
      <c r="A369" s="14"/>
      <c r="B369" s="15"/>
      <c r="C369" s="16"/>
      <c r="D369" s="17"/>
      <c r="E369" s="12"/>
      <c r="F369" s="18"/>
      <c r="G369" s="19"/>
      <c r="H369" s="13"/>
      <c r="I369" s="19"/>
      <c r="J369" s="13"/>
      <c r="K369" s="19"/>
      <c r="L369" s="13"/>
      <c r="M369" s="19"/>
      <c r="N369" s="13"/>
      <c r="O369" s="19"/>
      <c r="P369" s="13"/>
      <c r="Q369" s="19"/>
      <c r="R369" s="13"/>
      <c r="S369" s="19"/>
      <c r="T369" s="13"/>
      <c r="U369" s="19"/>
      <c r="V369" s="13"/>
      <c r="W369" s="19"/>
      <c r="X369" s="13"/>
      <c r="Y369" s="557"/>
      <c r="Z369" s="460"/>
      <c r="AA369" s="783"/>
      <c r="AB369" s="460"/>
    </row>
    <row r="370" spans="1:28">
      <c r="A370" s="14"/>
      <c r="B370" s="15"/>
      <c r="C370" s="16"/>
      <c r="D370" s="17"/>
      <c r="E370" s="12"/>
      <c r="F370" s="18"/>
      <c r="G370" s="19"/>
      <c r="H370" s="13"/>
      <c r="I370" s="19"/>
      <c r="J370" s="13"/>
      <c r="K370" s="19"/>
      <c r="L370" s="13"/>
      <c r="M370" s="19"/>
      <c r="N370" s="13"/>
      <c r="O370" s="19"/>
      <c r="P370" s="13"/>
      <c r="Q370" s="19"/>
      <c r="R370" s="13"/>
      <c r="S370" s="19"/>
      <c r="T370" s="13"/>
      <c r="U370" s="19"/>
      <c r="V370" s="13"/>
      <c r="W370" s="19"/>
      <c r="X370" s="13"/>
      <c r="Y370" s="557"/>
      <c r="Z370" s="460"/>
      <c r="AA370" s="783"/>
      <c r="AB370" s="460"/>
    </row>
    <row r="371" spans="1:28">
      <c r="A371" s="14"/>
      <c r="B371" s="15"/>
      <c r="C371" s="16"/>
      <c r="D371" s="17"/>
      <c r="E371" s="12"/>
      <c r="F371" s="18"/>
      <c r="G371" s="19"/>
      <c r="H371" s="13"/>
      <c r="I371" s="19"/>
      <c r="J371" s="13"/>
      <c r="K371" s="19"/>
      <c r="L371" s="13"/>
      <c r="M371" s="19"/>
      <c r="N371" s="13"/>
      <c r="O371" s="19"/>
      <c r="P371" s="13"/>
      <c r="Q371" s="19"/>
      <c r="R371" s="13"/>
      <c r="S371" s="19"/>
      <c r="T371" s="13"/>
      <c r="U371" s="19"/>
      <c r="V371" s="13"/>
      <c r="W371" s="19"/>
      <c r="X371" s="13"/>
      <c r="Y371" s="557"/>
      <c r="Z371" s="460"/>
      <c r="AA371" s="783"/>
      <c r="AB371" s="460"/>
    </row>
    <row r="372" spans="1:28">
      <c r="A372" s="14"/>
      <c r="B372" s="15"/>
      <c r="C372" s="16"/>
      <c r="D372" s="17"/>
      <c r="E372" s="12"/>
      <c r="F372" s="18"/>
      <c r="G372" s="19"/>
      <c r="H372" s="13"/>
      <c r="I372" s="19"/>
      <c r="J372" s="13"/>
      <c r="K372" s="19"/>
      <c r="L372" s="13"/>
      <c r="M372" s="19"/>
      <c r="N372" s="13"/>
      <c r="O372" s="19"/>
      <c r="P372" s="13"/>
      <c r="Q372" s="19"/>
      <c r="R372" s="13"/>
      <c r="S372" s="19"/>
      <c r="T372" s="13"/>
      <c r="U372" s="19"/>
      <c r="V372" s="13"/>
      <c r="W372" s="19"/>
      <c r="X372" s="13"/>
      <c r="Y372" s="557"/>
      <c r="Z372" s="460"/>
      <c r="AA372" s="783"/>
      <c r="AB372" s="460"/>
    </row>
    <row r="373" spans="1:28">
      <c r="A373" s="14"/>
      <c r="B373" s="15"/>
      <c r="C373" s="16"/>
      <c r="D373" s="17"/>
      <c r="E373" s="12"/>
      <c r="F373" s="18"/>
      <c r="G373" s="19"/>
      <c r="H373" s="13"/>
      <c r="I373" s="19"/>
      <c r="J373" s="13"/>
      <c r="K373" s="19"/>
      <c r="L373" s="13"/>
      <c r="M373" s="19"/>
      <c r="N373" s="13"/>
      <c r="O373" s="19"/>
      <c r="P373" s="13"/>
      <c r="Q373" s="19"/>
      <c r="R373" s="13"/>
      <c r="S373" s="19"/>
      <c r="T373" s="13"/>
      <c r="U373" s="19"/>
      <c r="V373" s="13"/>
      <c r="W373" s="19"/>
      <c r="X373" s="13"/>
      <c r="Y373" s="557"/>
      <c r="Z373" s="460"/>
      <c r="AA373" s="783"/>
      <c r="AB373" s="460"/>
    </row>
    <row r="374" spans="1:28">
      <c r="A374" s="14"/>
      <c r="B374" s="15"/>
      <c r="C374" s="16"/>
      <c r="D374" s="17"/>
      <c r="E374" s="12"/>
      <c r="F374" s="18"/>
      <c r="G374" s="19"/>
      <c r="H374" s="13"/>
      <c r="I374" s="19"/>
      <c r="J374" s="13"/>
      <c r="K374" s="19"/>
      <c r="L374" s="13"/>
      <c r="M374" s="19"/>
      <c r="N374" s="13"/>
      <c r="O374" s="19"/>
      <c r="P374" s="13"/>
      <c r="Q374" s="19"/>
      <c r="R374" s="13"/>
      <c r="S374" s="19"/>
      <c r="T374" s="13"/>
      <c r="U374" s="19"/>
      <c r="V374" s="13"/>
      <c r="W374" s="19"/>
      <c r="X374" s="13"/>
      <c r="Y374" s="557"/>
      <c r="Z374" s="460"/>
      <c r="AA374" s="783"/>
      <c r="AB374" s="460"/>
    </row>
    <row r="375" spans="1:28">
      <c r="A375" s="14"/>
      <c r="B375" s="15"/>
      <c r="C375" s="16"/>
      <c r="D375" s="17"/>
      <c r="E375" s="12"/>
      <c r="F375" s="18"/>
      <c r="G375" s="19"/>
      <c r="H375" s="13"/>
      <c r="I375" s="19"/>
      <c r="J375" s="13"/>
      <c r="K375" s="19"/>
      <c r="L375" s="13"/>
      <c r="M375" s="19"/>
      <c r="N375" s="13"/>
      <c r="O375" s="19"/>
      <c r="P375" s="13"/>
      <c r="Q375" s="19"/>
      <c r="R375" s="13"/>
      <c r="S375" s="19"/>
      <c r="T375" s="13"/>
      <c r="U375" s="19"/>
      <c r="V375" s="13"/>
      <c r="W375" s="19"/>
      <c r="X375" s="13"/>
      <c r="Y375" s="557"/>
      <c r="Z375" s="460"/>
      <c r="AA375" s="783"/>
      <c r="AB375" s="460"/>
    </row>
    <row r="376" spans="1:28">
      <c r="A376" s="14"/>
      <c r="B376" s="15"/>
      <c r="C376" s="16"/>
      <c r="D376" s="17"/>
      <c r="E376" s="12"/>
      <c r="F376" s="18"/>
      <c r="G376" s="19"/>
      <c r="H376" s="13"/>
      <c r="I376" s="19"/>
      <c r="J376" s="13"/>
      <c r="K376" s="19"/>
      <c r="L376" s="13"/>
      <c r="M376" s="19"/>
      <c r="N376" s="13"/>
      <c r="O376" s="19"/>
      <c r="P376" s="13"/>
      <c r="Q376" s="19"/>
      <c r="R376" s="13"/>
      <c r="S376" s="19"/>
      <c r="T376" s="13"/>
      <c r="U376" s="19"/>
      <c r="V376" s="13"/>
      <c r="W376" s="19"/>
      <c r="X376" s="13"/>
      <c r="Y376" s="557"/>
      <c r="Z376" s="460"/>
      <c r="AA376" s="783"/>
      <c r="AB376" s="460"/>
    </row>
    <row r="377" spans="1:28">
      <c r="A377" s="14"/>
      <c r="B377" s="15"/>
      <c r="C377" s="16"/>
      <c r="D377" s="17"/>
      <c r="E377" s="12"/>
      <c r="F377" s="18"/>
      <c r="G377" s="19"/>
      <c r="H377" s="13"/>
      <c r="I377" s="19"/>
      <c r="J377" s="13"/>
      <c r="K377" s="19"/>
      <c r="L377" s="13"/>
      <c r="M377" s="19"/>
      <c r="N377" s="13"/>
      <c r="O377" s="19"/>
      <c r="P377" s="13"/>
      <c r="Q377" s="19"/>
      <c r="R377" s="13"/>
      <c r="S377" s="19"/>
      <c r="T377" s="13"/>
      <c r="U377" s="19"/>
      <c r="V377" s="13"/>
      <c r="W377" s="19"/>
      <c r="X377" s="13"/>
      <c r="Y377" s="557"/>
      <c r="Z377" s="460"/>
      <c r="AA377" s="783"/>
      <c r="AB377" s="460"/>
    </row>
    <row r="378" spans="1:28">
      <c r="A378" s="14"/>
      <c r="B378" s="15"/>
      <c r="C378" s="16"/>
      <c r="D378" s="17"/>
      <c r="E378" s="12"/>
      <c r="F378" s="18"/>
      <c r="G378" s="19"/>
      <c r="H378" s="13"/>
      <c r="I378" s="19"/>
      <c r="J378" s="13"/>
      <c r="K378" s="19"/>
      <c r="L378" s="13"/>
      <c r="M378" s="19"/>
      <c r="N378" s="13"/>
      <c r="O378" s="19"/>
      <c r="P378" s="13"/>
      <c r="Q378" s="19"/>
      <c r="R378" s="13"/>
      <c r="S378" s="19"/>
      <c r="T378" s="13"/>
      <c r="U378" s="19"/>
      <c r="V378" s="13"/>
      <c r="W378" s="19"/>
      <c r="X378" s="13"/>
      <c r="Y378" s="557"/>
      <c r="Z378" s="460"/>
      <c r="AA378" s="783"/>
      <c r="AB378" s="460"/>
    </row>
    <row r="379" spans="1:28">
      <c r="A379" s="14"/>
      <c r="B379" s="15"/>
      <c r="C379" s="16"/>
      <c r="D379" s="17"/>
      <c r="E379" s="12"/>
      <c r="F379" s="18"/>
      <c r="G379" s="19"/>
      <c r="H379" s="13"/>
      <c r="I379" s="19"/>
      <c r="J379" s="13"/>
      <c r="K379" s="19"/>
      <c r="L379" s="13"/>
      <c r="M379" s="19"/>
      <c r="N379" s="13"/>
      <c r="O379" s="19"/>
      <c r="P379" s="13"/>
      <c r="Q379" s="19"/>
      <c r="R379" s="13"/>
      <c r="S379" s="19"/>
      <c r="T379" s="13"/>
      <c r="U379" s="19"/>
      <c r="V379" s="13"/>
      <c r="W379" s="19"/>
      <c r="X379" s="13"/>
      <c r="Y379" s="557"/>
      <c r="Z379" s="460"/>
      <c r="AA379" s="783"/>
      <c r="AB379" s="460"/>
    </row>
    <row r="380" spans="1:28">
      <c r="A380" s="14"/>
      <c r="B380" s="15"/>
      <c r="C380" s="16"/>
      <c r="D380" s="17"/>
      <c r="E380" s="12"/>
      <c r="F380" s="18"/>
      <c r="G380" s="19"/>
      <c r="H380" s="13"/>
      <c r="I380" s="19"/>
      <c r="J380" s="13"/>
      <c r="K380" s="19"/>
      <c r="L380" s="13"/>
      <c r="M380" s="19"/>
      <c r="N380" s="13"/>
      <c r="O380" s="19"/>
      <c r="P380" s="13"/>
      <c r="Q380" s="19"/>
      <c r="R380" s="13"/>
      <c r="S380" s="19"/>
      <c r="T380" s="13"/>
      <c r="U380" s="19"/>
      <c r="V380" s="13"/>
      <c r="W380" s="19"/>
      <c r="X380" s="13"/>
      <c r="Y380" s="557"/>
      <c r="Z380" s="460"/>
      <c r="AA380" s="783"/>
      <c r="AB380" s="460"/>
    </row>
    <row r="381" spans="1:28">
      <c r="A381" s="14"/>
      <c r="B381" s="15"/>
      <c r="C381" s="16"/>
      <c r="D381" s="17"/>
      <c r="E381" s="12"/>
      <c r="F381" s="18"/>
      <c r="G381" s="19"/>
      <c r="H381" s="13"/>
      <c r="I381" s="19"/>
      <c r="J381" s="13"/>
      <c r="K381" s="19"/>
      <c r="L381" s="13"/>
      <c r="M381" s="19"/>
      <c r="N381" s="13"/>
      <c r="O381" s="19"/>
      <c r="P381" s="13"/>
      <c r="Q381" s="19"/>
      <c r="R381" s="13"/>
      <c r="S381" s="19"/>
      <c r="T381" s="13"/>
      <c r="U381" s="19"/>
      <c r="V381" s="13"/>
      <c r="W381" s="19"/>
      <c r="X381" s="13"/>
      <c r="Y381" s="557"/>
      <c r="Z381" s="460"/>
      <c r="AA381" s="783"/>
      <c r="AB381" s="460"/>
    </row>
    <row r="382" spans="1:28">
      <c r="A382" s="14"/>
      <c r="B382" s="15"/>
      <c r="C382" s="16"/>
      <c r="D382" s="17"/>
      <c r="E382" s="12"/>
      <c r="F382" s="18"/>
      <c r="G382" s="19"/>
      <c r="H382" s="13"/>
      <c r="I382" s="19"/>
      <c r="J382" s="13"/>
      <c r="K382" s="19"/>
      <c r="L382" s="13"/>
      <c r="M382" s="19"/>
      <c r="N382" s="13"/>
      <c r="O382" s="19"/>
      <c r="P382" s="13"/>
      <c r="Q382" s="19"/>
      <c r="R382" s="13"/>
      <c r="S382" s="19"/>
      <c r="T382" s="13"/>
      <c r="U382" s="19"/>
      <c r="V382" s="13"/>
      <c r="W382" s="19"/>
      <c r="X382" s="13"/>
      <c r="Y382" s="557"/>
      <c r="Z382" s="460"/>
      <c r="AA382" s="783"/>
      <c r="AB382" s="460"/>
    </row>
    <row r="383" spans="1:28">
      <c r="A383" s="14"/>
      <c r="B383" s="15"/>
      <c r="C383" s="16"/>
      <c r="D383" s="17"/>
      <c r="E383" s="12"/>
      <c r="F383" s="18"/>
      <c r="G383" s="19"/>
      <c r="H383" s="13"/>
      <c r="I383" s="19"/>
      <c r="J383" s="13"/>
      <c r="K383" s="19"/>
      <c r="L383" s="13"/>
      <c r="M383" s="19"/>
      <c r="N383" s="13"/>
      <c r="O383" s="19"/>
      <c r="P383" s="13"/>
      <c r="Q383" s="19"/>
      <c r="R383" s="13"/>
      <c r="S383" s="19"/>
      <c r="T383" s="13"/>
      <c r="U383" s="19"/>
      <c r="V383" s="13"/>
      <c r="W383" s="19"/>
      <c r="X383" s="13"/>
      <c r="Y383" s="557"/>
      <c r="Z383" s="460"/>
      <c r="AA383" s="783"/>
      <c r="AB383" s="460"/>
    </row>
    <row r="384" spans="1:28">
      <c r="A384" s="14"/>
      <c r="B384" s="15"/>
      <c r="C384" s="16"/>
      <c r="D384" s="17"/>
      <c r="E384" s="12"/>
      <c r="F384" s="18"/>
      <c r="G384" s="19"/>
      <c r="H384" s="13"/>
      <c r="I384" s="19"/>
      <c r="J384" s="13"/>
      <c r="K384" s="19"/>
      <c r="L384" s="13"/>
      <c r="M384" s="19"/>
      <c r="N384" s="13"/>
      <c r="O384" s="19"/>
      <c r="P384" s="13"/>
      <c r="Q384" s="19"/>
      <c r="R384" s="13"/>
      <c r="S384" s="19"/>
      <c r="T384" s="13"/>
      <c r="U384" s="19"/>
      <c r="V384" s="13"/>
      <c r="W384" s="19"/>
      <c r="X384" s="13"/>
      <c r="Y384" s="557"/>
      <c r="Z384" s="460"/>
      <c r="AA384" s="783"/>
      <c r="AB384" s="460"/>
    </row>
    <row r="385" spans="1:28">
      <c r="A385" s="14"/>
      <c r="B385" s="15"/>
      <c r="C385" s="16"/>
      <c r="D385" s="17"/>
      <c r="E385" s="12"/>
      <c r="F385" s="18"/>
      <c r="G385" s="19"/>
      <c r="H385" s="13"/>
      <c r="I385" s="19"/>
      <c r="J385" s="13"/>
      <c r="K385" s="19"/>
      <c r="L385" s="13"/>
      <c r="M385" s="19"/>
      <c r="N385" s="13"/>
      <c r="O385" s="19"/>
      <c r="P385" s="13"/>
      <c r="Q385" s="19"/>
      <c r="R385" s="13"/>
      <c r="S385" s="19"/>
      <c r="T385" s="13"/>
      <c r="U385" s="19"/>
      <c r="V385" s="13"/>
      <c r="W385" s="19"/>
      <c r="X385" s="13"/>
      <c r="Y385" s="557"/>
      <c r="Z385" s="460"/>
      <c r="AA385" s="783"/>
      <c r="AB385" s="460"/>
    </row>
    <row r="386" spans="1:28">
      <c r="A386" s="14"/>
      <c r="B386" s="15"/>
      <c r="C386" s="16"/>
      <c r="D386" s="17"/>
      <c r="E386" s="12"/>
      <c r="F386" s="18"/>
      <c r="G386" s="19"/>
      <c r="H386" s="13"/>
      <c r="I386" s="19"/>
      <c r="J386" s="13"/>
      <c r="K386" s="19"/>
      <c r="L386" s="13"/>
      <c r="M386" s="19"/>
      <c r="N386" s="13"/>
      <c r="O386" s="19"/>
      <c r="P386" s="13"/>
      <c r="Q386" s="19"/>
      <c r="R386" s="13"/>
      <c r="S386" s="19"/>
      <c r="T386" s="13"/>
      <c r="U386" s="19"/>
      <c r="V386" s="13"/>
      <c r="W386" s="19"/>
      <c r="X386" s="13"/>
      <c r="Y386" s="557"/>
      <c r="Z386" s="460"/>
      <c r="AA386" s="783"/>
      <c r="AB386" s="460"/>
    </row>
    <row r="387" spans="1:28">
      <c r="A387" s="14"/>
      <c r="B387" s="15"/>
      <c r="C387" s="16"/>
      <c r="D387" s="17"/>
      <c r="E387" s="12"/>
      <c r="F387" s="18"/>
      <c r="G387" s="19"/>
      <c r="H387" s="13"/>
      <c r="I387" s="19"/>
      <c r="J387" s="13"/>
      <c r="K387" s="19"/>
      <c r="L387" s="13"/>
      <c r="M387" s="19"/>
      <c r="N387" s="13"/>
      <c r="O387" s="19"/>
      <c r="P387" s="13"/>
      <c r="Q387" s="19"/>
      <c r="R387" s="13"/>
      <c r="S387" s="19"/>
      <c r="T387" s="13"/>
      <c r="U387" s="19"/>
      <c r="V387" s="13"/>
      <c r="W387" s="19"/>
      <c r="X387" s="13"/>
      <c r="Y387" s="557"/>
      <c r="Z387" s="460"/>
      <c r="AA387" s="783"/>
      <c r="AB387" s="460"/>
    </row>
    <row r="388" spans="1:28">
      <c r="A388" s="14"/>
      <c r="B388" s="15"/>
      <c r="C388" s="16"/>
      <c r="D388" s="17"/>
      <c r="E388" s="12"/>
      <c r="F388" s="18"/>
      <c r="G388" s="19"/>
      <c r="H388" s="13"/>
      <c r="I388" s="19"/>
      <c r="J388" s="13"/>
      <c r="K388" s="19"/>
      <c r="L388" s="13"/>
      <c r="M388" s="19"/>
      <c r="N388" s="13"/>
      <c r="O388" s="19"/>
      <c r="P388" s="13"/>
      <c r="Q388" s="19"/>
      <c r="R388" s="13"/>
      <c r="S388" s="19"/>
      <c r="T388" s="13"/>
      <c r="U388" s="19"/>
      <c r="V388" s="13"/>
      <c r="W388" s="19"/>
      <c r="X388" s="13"/>
      <c r="Y388" s="557"/>
      <c r="Z388" s="460"/>
      <c r="AA388" s="783"/>
      <c r="AB388" s="460"/>
    </row>
    <row r="389" spans="1:28">
      <c r="A389" s="14"/>
      <c r="B389" s="15"/>
      <c r="C389" s="16"/>
      <c r="D389" s="17"/>
      <c r="E389" s="12"/>
      <c r="F389" s="18"/>
      <c r="G389" s="19"/>
      <c r="H389" s="13"/>
      <c r="I389" s="19"/>
      <c r="J389" s="13"/>
      <c r="K389" s="19"/>
      <c r="L389" s="13"/>
      <c r="M389" s="19"/>
      <c r="N389" s="13"/>
      <c r="O389" s="19"/>
      <c r="P389" s="13"/>
      <c r="Q389" s="19"/>
      <c r="R389" s="13"/>
      <c r="S389" s="19"/>
      <c r="T389" s="13"/>
      <c r="U389" s="19"/>
      <c r="V389" s="13"/>
      <c r="W389" s="19"/>
      <c r="X389" s="13"/>
      <c r="Y389" s="557"/>
      <c r="Z389" s="460"/>
      <c r="AA389" s="783"/>
      <c r="AB389" s="460"/>
    </row>
    <row r="390" spans="1:28">
      <c r="A390" s="14"/>
      <c r="B390" s="15"/>
      <c r="C390" s="16"/>
      <c r="D390" s="17"/>
      <c r="E390" s="12"/>
      <c r="F390" s="18"/>
      <c r="G390" s="19"/>
      <c r="H390" s="13"/>
      <c r="I390" s="19"/>
      <c r="J390" s="13"/>
      <c r="K390" s="19"/>
      <c r="L390" s="13"/>
      <c r="M390" s="19"/>
      <c r="N390" s="13"/>
      <c r="O390" s="19"/>
      <c r="P390" s="13"/>
      <c r="Q390" s="19"/>
      <c r="R390" s="13"/>
      <c r="S390" s="19"/>
      <c r="T390" s="13"/>
      <c r="U390" s="19"/>
      <c r="V390" s="13"/>
      <c r="W390" s="19"/>
      <c r="X390" s="13"/>
      <c r="Y390" s="557"/>
      <c r="Z390" s="460"/>
      <c r="AA390" s="783"/>
      <c r="AB390" s="460"/>
    </row>
    <row r="391" spans="1:28">
      <c r="A391" s="14"/>
      <c r="B391" s="15"/>
      <c r="C391" s="16"/>
      <c r="D391" s="17"/>
      <c r="E391" s="12"/>
      <c r="F391" s="18"/>
      <c r="G391" s="19"/>
      <c r="H391" s="13"/>
      <c r="I391" s="19"/>
      <c r="J391" s="13"/>
      <c r="K391" s="19"/>
      <c r="L391" s="13"/>
      <c r="M391" s="19"/>
      <c r="N391" s="13"/>
      <c r="O391" s="19"/>
      <c r="P391" s="13"/>
      <c r="Q391" s="19"/>
      <c r="R391" s="13"/>
      <c r="S391" s="19"/>
      <c r="T391" s="13"/>
      <c r="U391" s="19"/>
      <c r="V391" s="13"/>
      <c r="W391" s="19"/>
      <c r="X391" s="13"/>
      <c r="Y391" s="557"/>
      <c r="Z391" s="460"/>
      <c r="AA391" s="783"/>
      <c r="AB391" s="460"/>
    </row>
    <row r="392" spans="1:28">
      <c r="A392" s="14"/>
      <c r="B392" s="15"/>
      <c r="C392" s="16"/>
      <c r="D392" s="17"/>
      <c r="E392" s="12"/>
      <c r="F392" s="18"/>
      <c r="G392" s="19"/>
      <c r="H392" s="13"/>
      <c r="I392" s="19"/>
      <c r="J392" s="13"/>
      <c r="K392" s="19"/>
      <c r="L392" s="13"/>
      <c r="M392" s="19"/>
      <c r="N392" s="13"/>
      <c r="O392" s="19"/>
      <c r="P392" s="13"/>
      <c r="Q392" s="19"/>
      <c r="R392" s="13"/>
      <c r="S392" s="19"/>
      <c r="T392" s="13"/>
      <c r="U392" s="19"/>
      <c r="V392" s="13"/>
      <c r="W392" s="19"/>
      <c r="X392" s="13"/>
      <c r="Y392" s="557"/>
      <c r="Z392" s="460"/>
      <c r="AA392" s="783"/>
      <c r="AB392" s="460"/>
    </row>
    <row r="393" spans="1:28">
      <c r="A393" s="14"/>
      <c r="B393" s="15"/>
      <c r="C393" s="16"/>
      <c r="D393" s="17"/>
      <c r="E393" s="12"/>
      <c r="F393" s="18"/>
      <c r="G393" s="19"/>
      <c r="H393" s="13"/>
      <c r="I393" s="19"/>
      <c r="J393" s="13"/>
      <c r="K393" s="19"/>
      <c r="L393" s="13"/>
      <c r="M393" s="19"/>
      <c r="N393" s="13"/>
      <c r="O393" s="19"/>
      <c r="P393" s="13"/>
      <c r="Q393" s="19"/>
      <c r="R393" s="13"/>
      <c r="S393" s="19"/>
      <c r="T393" s="13"/>
      <c r="U393" s="19"/>
      <c r="V393" s="13"/>
      <c r="W393" s="19"/>
      <c r="X393" s="13"/>
      <c r="Y393" s="557"/>
      <c r="Z393" s="460"/>
      <c r="AA393" s="783"/>
      <c r="AB393" s="460"/>
    </row>
    <row r="394" spans="1:28">
      <c r="A394" s="14"/>
      <c r="B394" s="15"/>
      <c r="C394" s="16"/>
      <c r="D394" s="17"/>
      <c r="E394" s="12"/>
      <c r="F394" s="18"/>
      <c r="G394" s="19"/>
      <c r="H394" s="13"/>
      <c r="I394" s="19"/>
      <c r="J394" s="13"/>
      <c r="K394" s="19"/>
      <c r="L394" s="13"/>
      <c r="M394" s="19"/>
      <c r="N394" s="13"/>
      <c r="O394" s="19"/>
      <c r="P394" s="13"/>
      <c r="Q394" s="19"/>
      <c r="R394" s="13"/>
      <c r="S394" s="19"/>
      <c r="T394" s="13"/>
      <c r="U394" s="19"/>
      <c r="V394" s="13"/>
      <c r="W394" s="19"/>
      <c r="X394" s="13"/>
      <c r="Y394" s="557"/>
      <c r="Z394" s="460"/>
      <c r="AA394" s="783"/>
      <c r="AB394" s="460"/>
    </row>
    <row r="395" spans="1:28">
      <c r="A395" s="14"/>
      <c r="B395" s="15"/>
      <c r="C395" s="16"/>
      <c r="D395" s="17"/>
      <c r="E395" s="12"/>
      <c r="F395" s="18"/>
      <c r="G395" s="19"/>
      <c r="H395" s="13"/>
      <c r="I395" s="19"/>
      <c r="J395" s="13"/>
      <c r="K395" s="19"/>
      <c r="L395" s="13"/>
      <c r="M395" s="19"/>
      <c r="N395" s="13"/>
      <c r="O395" s="19"/>
      <c r="P395" s="13"/>
      <c r="Q395" s="19"/>
      <c r="R395" s="13"/>
      <c r="S395" s="19"/>
      <c r="T395" s="13"/>
      <c r="U395" s="19"/>
      <c r="V395" s="13"/>
      <c r="W395" s="19"/>
      <c r="X395" s="13"/>
      <c r="Y395" s="557"/>
      <c r="Z395" s="460"/>
      <c r="AA395" s="783"/>
      <c r="AB395" s="460"/>
    </row>
    <row r="396" spans="1:28">
      <c r="A396" s="14"/>
      <c r="B396" s="15"/>
      <c r="C396" s="16"/>
      <c r="D396" s="17"/>
      <c r="E396" s="12"/>
      <c r="F396" s="18"/>
      <c r="G396" s="19"/>
      <c r="H396" s="13"/>
      <c r="I396" s="19"/>
      <c r="J396" s="13"/>
      <c r="K396" s="19"/>
      <c r="L396" s="13"/>
      <c r="M396" s="19"/>
      <c r="N396" s="13"/>
      <c r="O396" s="19"/>
      <c r="P396" s="13"/>
      <c r="Q396" s="19"/>
      <c r="R396" s="13"/>
      <c r="S396" s="19"/>
      <c r="T396" s="13"/>
      <c r="U396" s="19"/>
      <c r="V396" s="13"/>
      <c r="W396" s="19"/>
      <c r="X396" s="13"/>
      <c r="Y396" s="557"/>
      <c r="Z396" s="460"/>
      <c r="AA396" s="783"/>
      <c r="AB396" s="460"/>
    </row>
    <row r="397" spans="1:28">
      <c r="A397" s="14"/>
      <c r="B397" s="15"/>
      <c r="C397" s="16"/>
      <c r="D397" s="17"/>
      <c r="E397" s="12"/>
      <c r="F397" s="18"/>
      <c r="G397" s="19"/>
      <c r="H397" s="13"/>
      <c r="I397" s="19"/>
      <c r="J397" s="13"/>
      <c r="K397" s="19"/>
      <c r="L397" s="13"/>
      <c r="M397" s="19"/>
      <c r="N397" s="13"/>
      <c r="O397" s="19"/>
      <c r="P397" s="13"/>
      <c r="Q397" s="19"/>
      <c r="R397" s="13"/>
      <c r="S397" s="19"/>
      <c r="T397" s="13"/>
      <c r="U397" s="19"/>
      <c r="V397" s="13"/>
      <c r="W397" s="19"/>
      <c r="X397" s="13"/>
      <c r="Y397" s="557"/>
      <c r="Z397" s="460"/>
      <c r="AA397" s="783"/>
      <c r="AB397" s="460"/>
    </row>
    <row r="398" spans="1:28">
      <c r="A398" s="14"/>
      <c r="B398" s="15"/>
      <c r="C398" s="16"/>
      <c r="D398" s="17"/>
      <c r="E398" s="12"/>
      <c r="F398" s="18"/>
      <c r="G398" s="19"/>
      <c r="H398" s="13"/>
      <c r="I398" s="19"/>
      <c r="J398" s="13"/>
      <c r="K398" s="19"/>
      <c r="L398" s="13"/>
      <c r="M398" s="19"/>
      <c r="N398" s="13"/>
      <c r="O398" s="19"/>
      <c r="P398" s="13"/>
      <c r="Q398" s="19"/>
      <c r="R398" s="13"/>
      <c r="S398" s="19"/>
      <c r="T398" s="13"/>
      <c r="U398" s="19"/>
      <c r="V398" s="13"/>
      <c r="W398" s="19"/>
      <c r="X398" s="13"/>
      <c r="Y398" s="557"/>
      <c r="Z398" s="460"/>
      <c r="AA398" s="783"/>
      <c r="AB398" s="460"/>
    </row>
    <row r="399" spans="1:28">
      <c r="A399" s="14"/>
      <c r="B399" s="15"/>
      <c r="C399" s="16"/>
      <c r="D399" s="17"/>
      <c r="E399" s="12"/>
      <c r="F399" s="18"/>
      <c r="G399" s="19"/>
      <c r="H399" s="13"/>
      <c r="I399" s="19"/>
      <c r="J399" s="13"/>
      <c r="K399" s="19"/>
      <c r="L399" s="13"/>
      <c r="M399" s="19"/>
      <c r="N399" s="13"/>
      <c r="O399" s="19"/>
      <c r="P399" s="13"/>
      <c r="Q399" s="19"/>
      <c r="R399" s="13"/>
      <c r="S399" s="19"/>
      <c r="T399" s="13"/>
      <c r="U399" s="19"/>
      <c r="V399" s="13"/>
      <c r="W399" s="19"/>
      <c r="X399" s="13"/>
      <c r="Y399" s="557"/>
      <c r="Z399" s="460"/>
      <c r="AA399" s="783"/>
      <c r="AB399" s="460"/>
    </row>
    <row r="400" spans="1:28">
      <c r="A400" s="14"/>
      <c r="B400" s="15"/>
      <c r="C400" s="16"/>
      <c r="D400" s="17"/>
      <c r="E400" s="12"/>
      <c r="F400" s="18"/>
      <c r="G400" s="19"/>
      <c r="H400" s="13"/>
      <c r="I400" s="19"/>
      <c r="J400" s="13"/>
      <c r="K400" s="19"/>
      <c r="L400" s="13"/>
      <c r="M400" s="19"/>
      <c r="N400" s="13"/>
      <c r="O400" s="19"/>
      <c r="P400" s="13"/>
      <c r="Q400" s="19"/>
      <c r="R400" s="13"/>
      <c r="S400" s="19"/>
      <c r="T400" s="13"/>
      <c r="U400" s="19"/>
      <c r="V400" s="13"/>
      <c r="W400" s="19"/>
      <c r="X400" s="13"/>
      <c r="Y400" s="557"/>
      <c r="Z400" s="460"/>
      <c r="AA400" s="783"/>
      <c r="AB400" s="460"/>
    </row>
    <row r="401" spans="1:28">
      <c r="A401" s="14"/>
      <c r="B401" s="15"/>
      <c r="C401" s="16"/>
      <c r="D401" s="17"/>
      <c r="E401" s="12"/>
      <c r="F401" s="18"/>
      <c r="G401" s="19"/>
      <c r="H401" s="13"/>
      <c r="I401" s="19"/>
      <c r="J401" s="13"/>
      <c r="K401" s="19"/>
      <c r="L401" s="13"/>
      <c r="M401" s="19"/>
      <c r="N401" s="13"/>
      <c r="O401" s="19"/>
      <c r="P401" s="13"/>
      <c r="Q401" s="19"/>
      <c r="R401" s="13"/>
      <c r="S401" s="19"/>
      <c r="T401" s="13"/>
      <c r="U401" s="19"/>
      <c r="V401" s="13"/>
      <c r="W401" s="19"/>
      <c r="X401" s="13"/>
      <c r="Y401" s="557"/>
      <c r="Z401" s="460"/>
      <c r="AA401" s="783"/>
      <c r="AB401" s="460"/>
    </row>
    <row r="402" spans="1:28">
      <c r="A402" s="14"/>
      <c r="B402" s="15"/>
      <c r="C402" s="16"/>
      <c r="D402" s="17"/>
      <c r="E402" s="12"/>
      <c r="F402" s="18"/>
      <c r="G402" s="19"/>
      <c r="H402" s="13"/>
      <c r="I402" s="19"/>
      <c r="J402" s="13"/>
      <c r="K402" s="19"/>
      <c r="L402" s="13"/>
      <c r="M402" s="19"/>
      <c r="N402" s="13"/>
      <c r="O402" s="19"/>
      <c r="P402" s="13"/>
      <c r="Q402" s="19"/>
      <c r="R402" s="13"/>
      <c r="S402" s="19"/>
      <c r="T402" s="13"/>
      <c r="U402" s="19"/>
      <c r="V402" s="13"/>
      <c r="W402" s="19"/>
      <c r="X402" s="13"/>
      <c r="Y402" s="557"/>
      <c r="Z402" s="460"/>
      <c r="AA402" s="783"/>
      <c r="AB402" s="460"/>
    </row>
    <row r="403" spans="1:28">
      <c r="A403" s="14"/>
      <c r="B403" s="15"/>
      <c r="C403" s="16"/>
      <c r="D403" s="17"/>
      <c r="E403" s="12"/>
      <c r="F403" s="18"/>
      <c r="G403" s="19"/>
      <c r="H403" s="13"/>
      <c r="I403" s="19"/>
      <c r="J403" s="13"/>
      <c r="K403" s="19"/>
      <c r="L403" s="13"/>
      <c r="M403" s="19"/>
      <c r="N403" s="13"/>
      <c r="O403" s="19"/>
      <c r="P403" s="13"/>
      <c r="Q403" s="19"/>
      <c r="R403" s="13"/>
      <c r="S403" s="19"/>
      <c r="T403" s="13"/>
      <c r="U403" s="19"/>
      <c r="V403" s="13"/>
      <c r="W403" s="19"/>
      <c r="X403" s="13"/>
      <c r="Y403" s="557"/>
      <c r="Z403" s="460"/>
      <c r="AA403" s="783"/>
      <c r="AB403" s="460"/>
    </row>
    <row r="404" spans="1:28">
      <c r="A404" s="14"/>
      <c r="B404" s="15"/>
      <c r="C404" s="16"/>
      <c r="D404" s="17"/>
      <c r="E404" s="12"/>
      <c r="F404" s="18"/>
      <c r="G404" s="19"/>
      <c r="H404" s="13"/>
      <c r="I404" s="19"/>
      <c r="J404" s="13"/>
      <c r="K404" s="19"/>
      <c r="L404" s="13"/>
      <c r="M404" s="19"/>
      <c r="N404" s="13"/>
      <c r="O404" s="19"/>
      <c r="P404" s="13"/>
      <c r="Q404" s="19"/>
      <c r="R404" s="13"/>
      <c r="S404" s="19"/>
      <c r="T404" s="13"/>
      <c r="U404" s="19"/>
      <c r="V404" s="13"/>
      <c r="W404" s="19"/>
      <c r="X404" s="13"/>
      <c r="Y404" s="557"/>
      <c r="Z404" s="460"/>
      <c r="AA404" s="783"/>
      <c r="AB404" s="460"/>
    </row>
    <row r="405" spans="1:28">
      <c r="A405" s="14"/>
      <c r="B405" s="15"/>
      <c r="C405" s="16"/>
      <c r="D405" s="17"/>
      <c r="E405" s="12"/>
      <c r="F405" s="18"/>
      <c r="G405" s="19"/>
      <c r="H405" s="13"/>
      <c r="I405" s="19"/>
      <c r="J405" s="13"/>
      <c r="K405" s="19"/>
      <c r="L405" s="13"/>
      <c r="M405" s="19"/>
      <c r="N405" s="13"/>
      <c r="O405" s="19"/>
      <c r="P405" s="13"/>
      <c r="Q405" s="19"/>
      <c r="R405" s="13"/>
      <c r="S405" s="19"/>
      <c r="T405" s="13"/>
      <c r="U405" s="19"/>
      <c r="V405" s="13"/>
      <c r="W405" s="19"/>
      <c r="X405" s="13"/>
      <c r="Y405" s="557"/>
      <c r="Z405" s="460"/>
      <c r="AA405" s="783"/>
      <c r="AB405" s="460"/>
    </row>
    <row r="406" spans="1:28">
      <c r="A406" s="14"/>
      <c r="B406" s="15"/>
      <c r="C406" s="16"/>
      <c r="D406" s="17"/>
      <c r="E406" s="12"/>
      <c r="F406" s="18"/>
      <c r="G406" s="19"/>
      <c r="H406" s="13"/>
      <c r="I406" s="19"/>
      <c r="J406" s="13"/>
      <c r="K406" s="19"/>
      <c r="L406" s="13"/>
      <c r="M406" s="19"/>
      <c r="N406" s="13"/>
      <c r="O406" s="19"/>
      <c r="P406" s="13"/>
      <c r="Q406" s="19"/>
      <c r="R406" s="13"/>
      <c r="S406" s="19"/>
      <c r="T406" s="13"/>
      <c r="U406" s="19"/>
      <c r="V406" s="13"/>
      <c r="W406" s="19"/>
      <c r="X406" s="13"/>
      <c r="Y406" s="557"/>
      <c r="Z406" s="460"/>
      <c r="AA406" s="783"/>
      <c r="AB406" s="460"/>
    </row>
    <row r="407" spans="1:28">
      <c r="A407" s="14"/>
      <c r="B407" s="15"/>
      <c r="C407" s="16"/>
      <c r="D407" s="17"/>
      <c r="E407" s="12"/>
      <c r="F407" s="18"/>
      <c r="G407" s="19"/>
      <c r="H407" s="13"/>
      <c r="I407" s="19"/>
      <c r="J407" s="13"/>
      <c r="K407" s="19"/>
      <c r="L407" s="13"/>
      <c r="M407" s="19"/>
      <c r="N407" s="13"/>
      <c r="O407" s="19"/>
      <c r="P407" s="13"/>
      <c r="Q407" s="19"/>
      <c r="R407" s="13"/>
      <c r="S407" s="19"/>
      <c r="T407" s="13"/>
      <c r="U407" s="19"/>
      <c r="V407" s="13"/>
      <c r="W407" s="19"/>
      <c r="X407" s="13"/>
      <c r="Y407" s="557"/>
      <c r="Z407" s="460"/>
      <c r="AA407" s="783"/>
      <c r="AB407" s="460"/>
    </row>
    <row r="408" spans="1:28">
      <c r="A408" s="14"/>
      <c r="B408" s="15"/>
      <c r="C408" s="16"/>
      <c r="D408" s="17"/>
      <c r="E408" s="12"/>
      <c r="F408" s="18"/>
      <c r="G408" s="19"/>
      <c r="H408" s="13"/>
      <c r="I408" s="19"/>
      <c r="J408" s="13"/>
      <c r="K408" s="19"/>
      <c r="L408" s="13"/>
      <c r="M408" s="19"/>
      <c r="N408" s="13"/>
      <c r="O408" s="19"/>
      <c r="P408" s="13"/>
      <c r="Q408" s="19"/>
      <c r="R408" s="13"/>
      <c r="S408" s="19"/>
      <c r="T408" s="13"/>
      <c r="U408" s="19"/>
      <c r="V408" s="13"/>
      <c r="W408" s="19"/>
      <c r="X408" s="13"/>
      <c r="Y408" s="557"/>
      <c r="Z408" s="460"/>
      <c r="AA408" s="783"/>
      <c r="AB408" s="460"/>
    </row>
    <row r="409" spans="1:28">
      <c r="A409" s="14"/>
      <c r="B409" s="15"/>
      <c r="C409" s="16"/>
      <c r="D409" s="17"/>
      <c r="E409" s="12"/>
      <c r="F409" s="18"/>
      <c r="G409" s="19"/>
      <c r="H409" s="13"/>
      <c r="I409" s="19"/>
      <c r="J409" s="13"/>
      <c r="K409" s="19"/>
      <c r="L409" s="13"/>
      <c r="M409" s="19"/>
      <c r="N409" s="13"/>
      <c r="O409" s="19"/>
      <c r="P409" s="13"/>
      <c r="Q409" s="19"/>
      <c r="R409" s="13"/>
      <c r="S409" s="19"/>
      <c r="T409" s="13"/>
      <c r="U409" s="19"/>
      <c r="V409" s="13"/>
      <c r="W409" s="19"/>
      <c r="X409" s="13"/>
      <c r="Y409" s="557"/>
      <c r="Z409" s="460"/>
      <c r="AA409" s="783"/>
      <c r="AB409" s="460"/>
    </row>
    <row r="410" spans="1:28">
      <c r="A410" s="14"/>
      <c r="B410" s="15"/>
      <c r="C410" s="16"/>
      <c r="D410" s="17"/>
      <c r="E410" s="12"/>
      <c r="F410" s="18"/>
      <c r="G410" s="19"/>
      <c r="H410" s="13"/>
      <c r="I410" s="19"/>
      <c r="J410" s="13"/>
      <c r="K410" s="19"/>
      <c r="L410" s="13"/>
      <c r="M410" s="19"/>
      <c r="N410" s="13"/>
      <c r="O410" s="19"/>
      <c r="P410" s="13"/>
      <c r="Q410" s="19"/>
      <c r="R410" s="13"/>
      <c r="S410" s="19"/>
      <c r="T410" s="13"/>
      <c r="U410" s="19"/>
      <c r="V410" s="13"/>
      <c r="W410" s="19"/>
      <c r="X410" s="13"/>
      <c r="Y410" s="557"/>
      <c r="Z410" s="460"/>
      <c r="AA410" s="783"/>
      <c r="AB410" s="460"/>
    </row>
    <row r="411" spans="1:28">
      <c r="A411" s="14"/>
      <c r="B411" s="15"/>
      <c r="C411" s="16"/>
      <c r="D411" s="17"/>
      <c r="E411" s="12"/>
      <c r="F411" s="18"/>
      <c r="G411" s="19"/>
      <c r="H411" s="13"/>
      <c r="I411" s="19"/>
      <c r="J411" s="13"/>
      <c r="K411" s="19"/>
      <c r="L411" s="13"/>
      <c r="M411" s="19"/>
      <c r="N411" s="13"/>
      <c r="O411" s="19"/>
      <c r="P411" s="13"/>
      <c r="Q411" s="19"/>
      <c r="R411" s="13"/>
      <c r="S411" s="19"/>
      <c r="T411" s="13"/>
      <c r="U411" s="19"/>
      <c r="V411" s="13"/>
      <c r="W411" s="19"/>
      <c r="X411" s="13"/>
      <c r="Y411" s="557"/>
      <c r="Z411" s="460"/>
      <c r="AA411" s="783"/>
      <c r="AB411" s="460"/>
    </row>
    <row r="412" spans="1:28">
      <c r="A412" s="14"/>
      <c r="B412" s="15"/>
      <c r="C412" s="16"/>
      <c r="D412" s="17"/>
      <c r="E412" s="12"/>
      <c r="F412" s="18"/>
      <c r="G412" s="19"/>
      <c r="H412" s="13"/>
      <c r="I412" s="19"/>
      <c r="J412" s="13"/>
      <c r="K412" s="19"/>
      <c r="L412" s="13"/>
      <c r="M412" s="19"/>
      <c r="N412" s="13"/>
      <c r="O412" s="19"/>
      <c r="P412" s="13"/>
      <c r="Q412" s="19"/>
      <c r="R412" s="13"/>
      <c r="S412" s="19"/>
      <c r="T412" s="13"/>
      <c r="U412" s="19"/>
      <c r="V412" s="13"/>
      <c r="W412" s="19"/>
      <c r="X412" s="13"/>
      <c r="Y412" s="557"/>
      <c r="Z412" s="460"/>
      <c r="AA412" s="783"/>
      <c r="AB412" s="460"/>
    </row>
    <row r="413" spans="1:28">
      <c r="A413" s="14"/>
      <c r="B413" s="15"/>
      <c r="C413" s="16"/>
      <c r="D413" s="17"/>
      <c r="E413" s="12"/>
      <c r="F413" s="18"/>
      <c r="G413" s="19"/>
      <c r="H413" s="13"/>
      <c r="I413" s="19"/>
      <c r="J413" s="13"/>
      <c r="K413" s="19"/>
      <c r="L413" s="13"/>
      <c r="M413" s="19"/>
      <c r="N413" s="13"/>
      <c r="O413" s="19"/>
      <c r="P413" s="13"/>
      <c r="Q413" s="19"/>
      <c r="R413" s="13"/>
      <c r="S413" s="19"/>
      <c r="T413" s="13"/>
      <c r="U413" s="19"/>
      <c r="V413" s="13"/>
      <c r="W413" s="19"/>
      <c r="X413" s="13"/>
      <c r="Y413" s="557"/>
      <c r="Z413" s="460"/>
      <c r="AA413" s="783"/>
      <c r="AB413" s="460"/>
    </row>
    <row r="414" spans="1:28">
      <c r="A414" s="14"/>
      <c r="B414" s="15"/>
      <c r="C414" s="16"/>
      <c r="D414" s="17"/>
      <c r="E414" s="12"/>
      <c r="F414" s="18"/>
      <c r="G414" s="19"/>
      <c r="H414" s="13"/>
      <c r="I414" s="19"/>
      <c r="J414" s="13"/>
      <c r="K414" s="19"/>
      <c r="L414" s="13"/>
      <c r="M414" s="19"/>
      <c r="N414" s="13"/>
      <c r="O414" s="19"/>
      <c r="P414" s="13"/>
      <c r="Q414" s="19"/>
      <c r="R414" s="13"/>
      <c r="S414" s="19"/>
      <c r="T414" s="13"/>
      <c r="U414" s="19"/>
      <c r="V414" s="13"/>
      <c r="W414" s="19"/>
      <c r="X414" s="13"/>
      <c r="Y414" s="557"/>
      <c r="Z414" s="460"/>
      <c r="AA414" s="783"/>
      <c r="AB414" s="460"/>
    </row>
    <row r="415" spans="1:28">
      <c r="A415" s="14"/>
      <c r="B415" s="15"/>
      <c r="C415" s="16"/>
      <c r="D415" s="17"/>
      <c r="E415" s="12"/>
      <c r="F415" s="18"/>
      <c r="G415" s="19"/>
      <c r="H415" s="13"/>
      <c r="I415" s="19"/>
      <c r="J415" s="13"/>
      <c r="K415" s="19"/>
      <c r="L415" s="13"/>
      <c r="M415" s="19"/>
      <c r="N415" s="13"/>
      <c r="O415" s="19"/>
      <c r="P415" s="13"/>
      <c r="Q415" s="19"/>
      <c r="R415" s="13"/>
      <c r="S415" s="19"/>
      <c r="T415" s="13"/>
      <c r="U415" s="19"/>
      <c r="V415" s="13"/>
      <c r="W415" s="19"/>
      <c r="X415" s="13"/>
      <c r="Y415" s="557"/>
      <c r="Z415" s="460"/>
      <c r="AA415" s="783"/>
      <c r="AB415" s="460"/>
    </row>
    <row r="416" spans="1:28">
      <c r="A416" s="14"/>
      <c r="B416" s="15"/>
      <c r="C416" s="16"/>
      <c r="D416" s="17"/>
      <c r="E416" s="12"/>
      <c r="F416" s="18"/>
      <c r="G416" s="19"/>
      <c r="H416" s="13"/>
      <c r="I416" s="19"/>
      <c r="J416" s="13"/>
      <c r="K416" s="19"/>
      <c r="L416" s="13"/>
      <c r="M416" s="19"/>
      <c r="N416" s="13"/>
      <c r="O416" s="19"/>
      <c r="P416" s="13"/>
      <c r="Q416" s="19"/>
      <c r="R416" s="13"/>
      <c r="S416" s="19"/>
      <c r="T416" s="13"/>
      <c r="U416" s="19"/>
      <c r="V416" s="13"/>
      <c r="W416" s="19"/>
      <c r="X416" s="13"/>
      <c r="Y416" s="557"/>
      <c r="Z416" s="460"/>
      <c r="AA416" s="783"/>
      <c r="AB416" s="460"/>
    </row>
    <row r="417" spans="1:28">
      <c r="A417" s="14"/>
      <c r="B417" s="15"/>
      <c r="C417" s="16"/>
      <c r="D417" s="17"/>
      <c r="E417" s="12"/>
      <c r="F417" s="18"/>
      <c r="G417" s="19"/>
      <c r="H417" s="13"/>
      <c r="I417" s="19"/>
      <c r="J417" s="13"/>
      <c r="K417" s="19"/>
      <c r="L417" s="13"/>
      <c r="M417" s="19"/>
      <c r="N417" s="13"/>
      <c r="O417" s="19"/>
      <c r="P417" s="13"/>
      <c r="Q417" s="19"/>
      <c r="R417" s="13"/>
      <c r="S417" s="19"/>
      <c r="T417" s="13"/>
      <c r="U417" s="19"/>
      <c r="V417" s="13"/>
      <c r="W417" s="19"/>
      <c r="X417" s="13"/>
      <c r="Y417" s="557"/>
      <c r="Z417" s="460"/>
      <c r="AA417" s="783"/>
      <c r="AB417" s="460"/>
    </row>
    <row r="418" spans="1:28">
      <c r="A418" s="14"/>
      <c r="B418" s="15"/>
      <c r="C418" s="16"/>
      <c r="D418" s="17"/>
      <c r="E418" s="12"/>
      <c r="F418" s="18"/>
      <c r="G418" s="19"/>
      <c r="H418" s="13"/>
      <c r="I418" s="19"/>
      <c r="J418" s="13"/>
      <c r="K418" s="19"/>
      <c r="L418" s="13"/>
      <c r="M418" s="19"/>
      <c r="N418" s="13"/>
      <c r="O418" s="19"/>
      <c r="P418" s="13"/>
      <c r="Q418" s="19"/>
      <c r="R418" s="13"/>
      <c r="S418" s="19"/>
      <c r="T418" s="13"/>
      <c r="U418" s="19"/>
      <c r="V418" s="13"/>
      <c r="W418" s="19"/>
      <c r="X418" s="13"/>
      <c r="Y418" s="557"/>
      <c r="Z418" s="460"/>
      <c r="AA418" s="783"/>
      <c r="AB418" s="460"/>
    </row>
    <row r="419" spans="1:28">
      <c r="A419" s="14"/>
      <c r="B419" s="15"/>
      <c r="C419" s="16"/>
      <c r="D419" s="17"/>
      <c r="E419" s="12"/>
      <c r="F419" s="18"/>
      <c r="G419" s="19"/>
      <c r="H419" s="13"/>
      <c r="I419" s="19"/>
      <c r="J419" s="13"/>
      <c r="K419" s="19"/>
      <c r="L419" s="13"/>
      <c r="M419" s="19"/>
      <c r="N419" s="13"/>
      <c r="O419" s="19"/>
      <c r="P419" s="13"/>
      <c r="Q419" s="19"/>
      <c r="R419" s="13"/>
      <c r="S419" s="19"/>
      <c r="T419" s="13"/>
      <c r="U419" s="19"/>
      <c r="V419" s="13"/>
      <c r="W419" s="19"/>
      <c r="X419" s="13"/>
      <c r="Y419" s="557"/>
      <c r="Z419" s="460"/>
      <c r="AA419" s="783"/>
      <c r="AB419" s="460"/>
    </row>
    <row r="420" spans="1:28">
      <c r="A420" s="14"/>
      <c r="B420" s="15"/>
      <c r="C420" s="16"/>
      <c r="D420" s="17"/>
      <c r="E420" s="12"/>
      <c r="F420" s="18"/>
      <c r="G420" s="19"/>
      <c r="H420" s="13"/>
      <c r="I420" s="19"/>
      <c r="J420" s="13"/>
      <c r="K420" s="19"/>
      <c r="L420" s="13"/>
      <c r="M420" s="19"/>
      <c r="N420" s="13"/>
      <c r="O420" s="19"/>
      <c r="P420" s="13"/>
      <c r="Q420" s="19"/>
      <c r="R420" s="13"/>
      <c r="S420" s="19"/>
      <c r="T420" s="13"/>
      <c r="U420" s="19"/>
      <c r="V420" s="13"/>
      <c r="W420" s="19"/>
      <c r="X420" s="13"/>
      <c r="Y420" s="557"/>
      <c r="Z420" s="460"/>
      <c r="AA420" s="783"/>
      <c r="AB420" s="460"/>
    </row>
    <row r="421" spans="1:28">
      <c r="A421" s="14"/>
      <c r="B421" s="15"/>
      <c r="C421" s="16"/>
      <c r="D421" s="17"/>
      <c r="E421" s="12"/>
      <c r="F421" s="18"/>
      <c r="G421" s="19"/>
      <c r="H421" s="13"/>
      <c r="I421" s="19"/>
      <c r="J421" s="13"/>
      <c r="K421" s="19"/>
      <c r="L421" s="13"/>
      <c r="M421" s="19"/>
      <c r="N421" s="13"/>
      <c r="O421" s="19"/>
      <c r="P421" s="13"/>
      <c r="Q421" s="19"/>
      <c r="R421" s="13"/>
      <c r="S421" s="19"/>
      <c r="T421" s="13"/>
      <c r="U421" s="19"/>
      <c r="V421" s="13"/>
      <c r="W421" s="19"/>
      <c r="X421" s="13"/>
      <c r="Y421" s="557"/>
      <c r="Z421" s="460"/>
      <c r="AA421" s="783"/>
      <c r="AB421" s="460"/>
    </row>
    <row r="422" spans="1:28">
      <c r="A422" s="14"/>
      <c r="B422" s="15"/>
      <c r="C422" s="16"/>
      <c r="D422" s="17"/>
      <c r="E422" s="12"/>
      <c r="F422" s="18"/>
      <c r="G422" s="19"/>
      <c r="H422" s="13"/>
      <c r="I422" s="19"/>
      <c r="J422" s="13"/>
      <c r="K422" s="19"/>
      <c r="L422" s="13"/>
      <c r="M422" s="19"/>
      <c r="N422" s="13"/>
      <c r="O422" s="19"/>
      <c r="P422" s="13"/>
      <c r="Q422" s="19"/>
      <c r="R422" s="13"/>
      <c r="S422" s="19"/>
      <c r="T422" s="13"/>
      <c r="U422" s="19"/>
      <c r="V422" s="13"/>
      <c r="W422" s="19"/>
      <c r="X422" s="13"/>
      <c r="Y422" s="557"/>
      <c r="Z422" s="460"/>
      <c r="AA422" s="783"/>
      <c r="AB422" s="460"/>
    </row>
    <row r="423" spans="1:28">
      <c r="A423" s="14"/>
      <c r="B423" s="15"/>
      <c r="C423" s="16"/>
      <c r="D423" s="17"/>
      <c r="E423" s="12"/>
      <c r="F423" s="18"/>
      <c r="G423" s="19"/>
      <c r="H423" s="13"/>
      <c r="I423" s="19"/>
      <c r="J423" s="13"/>
      <c r="K423" s="19"/>
      <c r="L423" s="13"/>
      <c r="M423" s="19"/>
      <c r="N423" s="13"/>
      <c r="O423" s="19"/>
      <c r="P423" s="13"/>
      <c r="Q423" s="19"/>
      <c r="R423" s="13"/>
      <c r="S423" s="19"/>
      <c r="T423" s="13"/>
      <c r="U423" s="19"/>
      <c r="V423" s="13"/>
      <c r="W423" s="19"/>
      <c r="X423" s="13"/>
      <c r="Y423" s="557"/>
      <c r="Z423" s="460"/>
      <c r="AA423" s="783"/>
      <c r="AB423" s="460"/>
    </row>
    <row r="424" spans="1:28">
      <c r="A424" s="14"/>
      <c r="B424" s="15"/>
      <c r="C424" s="16"/>
      <c r="D424" s="17"/>
      <c r="E424" s="12"/>
      <c r="F424" s="18"/>
      <c r="G424" s="19"/>
      <c r="H424" s="13"/>
      <c r="I424" s="19"/>
      <c r="J424" s="13"/>
      <c r="K424" s="19"/>
      <c r="L424" s="13"/>
      <c r="M424" s="19"/>
      <c r="N424" s="13"/>
      <c r="O424" s="19"/>
      <c r="P424" s="13"/>
      <c r="Q424" s="19"/>
      <c r="R424" s="13"/>
      <c r="S424" s="19"/>
      <c r="T424" s="13"/>
      <c r="U424" s="19"/>
      <c r="V424" s="13"/>
      <c r="W424" s="19"/>
      <c r="X424" s="13"/>
      <c r="Y424" s="557"/>
      <c r="Z424" s="460"/>
      <c r="AA424" s="783"/>
      <c r="AB424" s="460"/>
    </row>
    <row r="425" spans="1:28">
      <c r="A425" s="14"/>
      <c r="B425" s="15"/>
      <c r="C425" s="16"/>
      <c r="D425" s="17"/>
      <c r="E425" s="12"/>
      <c r="F425" s="18"/>
      <c r="G425" s="19"/>
      <c r="H425" s="13"/>
      <c r="I425" s="19"/>
      <c r="J425" s="13"/>
      <c r="K425" s="19"/>
      <c r="L425" s="13"/>
      <c r="M425" s="19"/>
      <c r="N425" s="13"/>
      <c r="O425" s="19"/>
      <c r="P425" s="13"/>
      <c r="Q425" s="19"/>
      <c r="R425" s="13"/>
      <c r="S425" s="19"/>
      <c r="T425" s="13"/>
      <c r="U425" s="19"/>
      <c r="V425" s="13"/>
      <c r="W425" s="19"/>
      <c r="X425" s="13"/>
      <c r="Y425" s="557"/>
      <c r="Z425" s="460"/>
      <c r="AA425" s="783"/>
      <c r="AB425" s="460"/>
    </row>
    <row r="426" spans="1:28">
      <c r="A426" s="14"/>
      <c r="B426" s="15"/>
      <c r="C426" s="16"/>
      <c r="D426" s="17"/>
      <c r="E426" s="12"/>
      <c r="F426" s="18"/>
      <c r="G426" s="19"/>
      <c r="H426" s="13"/>
      <c r="I426" s="19"/>
      <c r="J426" s="13"/>
      <c r="K426" s="19"/>
      <c r="L426" s="13"/>
      <c r="M426" s="19"/>
      <c r="N426" s="13"/>
      <c r="O426" s="19"/>
      <c r="P426" s="13"/>
      <c r="Q426" s="19"/>
      <c r="R426" s="13"/>
      <c r="S426" s="19"/>
      <c r="T426" s="13"/>
      <c r="U426" s="19"/>
      <c r="V426" s="13"/>
      <c r="W426" s="19"/>
      <c r="X426" s="13"/>
      <c r="Y426" s="557"/>
      <c r="Z426" s="460"/>
      <c r="AA426" s="783"/>
      <c r="AB426" s="460"/>
    </row>
    <row r="427" spans="1:28">
      <c r="A427" s="14"/>
      <c r="B427" s="15"/>
      <c r="C427" s="16"/>
      <c r="D427" s="17"/>
      <c r="E427" s="12"/>
      <c r="F427" s="18"/>
      <c r="G427" s="19"/>
      <c r="H427" s="13"/>
      <c r="I427" s="19"/>
      <c r="J427" s="13"/>
      <c r="K427" s="19"/>
      <c r="L427" s="13"/>
      <c r="M427" s="19"/>
      <c r="N427" s="13"/>
      <c r="O427" s="19"/>
      <c r="P427" s="13"/>
      <c r="Q427" s="19"/>
      <c r="R427" s="13"/>
      <c r="S427" s="19"/>
      <c r="T427" s="13"/>
      <c r="U427" s="19"/>
      <c r="V427" s="13"/>
      <c r="W427" s="19"/>
      <c r="X427" s="13"/>
      <c r="Y427" s="557"/>
      <c r="Z427" s="460"/>
      <c r="AA427" s="783"/>
      <c r="AB427" s="460"/>
    </row>
    <row r="428" spans="1:28">
      <c r="A428" s="14"/>
      <c r="B428" s="15"/>
      <c r="C428" s="16"/>
      <c r="D428" s="17"/>
      <c r="E428" s="12"/>
      <c r="F428" s="18"/>
      <c r="G428" s="19"/>
      <c r="H428" s="13"/>
      <c r="I428" s="19"/>
      <c r="J428" s="13"/>
      <c r="K428" s="19"/>
      <c r="L428" s="13"/>
      <c r="M428" s="19"/>
      <c r="N428" s="13"/>
      <c r="O428" s="19"/>
      <c r="P428" s="13"/>
      <c r="Q428" s="19"/>
      <c r="R428" s="13"/>
      <c r="S428" s="19"/>
      <c r="T428" s="13"/>
      <c r="U428" s="19"/>
      <c r="V428" s="13"/>
      <c r="W428" s="19"/>
      <c r="X428" s="13"/>
      <c r="Y428" s="557"/>
      <c r="Z428" s="460"/>
      <c r="AA428" s="783"/>
      <c r="AB428" s="460"/>
    </row>
    <row r="429" spans="1:28">
      <c r="A429" s="14"/>
      <c r="B429" s="15"/>
      <c r="C429" s="16"/>
      <c r="D429" s="17"/>
      <c r="E429" s="12"/>
      <c r="F429" s="18"/>
      <c r="G429" s="19"/>
      <c r="H429" s="13"/>
      <c r="I429" s="19"/>
      <c r="J429" s="13"/>
      <c r="K429" s="19"/>
      <c r="L429" s="13"/>
      <c r="M429" s="19"/>
      <c r="N429" s="13"/>
      <c r="O429" s="19"/>
      <c r="P429" s="13"/>
      <c r="Q429" s="19"/>
      <c r="R429" s="13"/>
      <c r="S429" s="19"/>
      <c r="T429" s="13"/>
      <c r="U429" s="19"/>
      <c r="V429" s="13"/>
      <c r="W429" s="19"/>
      <c r="X429" s="13"/>
      <c r="Y429" s="557"/>
      <c r="Z429" s="460"/>
      <c r="AA429" s="783"/>
      <c r="AB429" s="460"/>
    </row>
    <row r="430" spans="1:28">
      <c r="A430" s="14"/>
      <c r="B430" s="15"/>
      <c r="C430" s="16"/>
      <c r="D430" s="17"/>
      <c r="E430" s="12"/>
      <c r="F430" s="18"/>
      <c r="G430" s="19"/>
      <c r="H430" s="13"/>
      <c r="I430" s="19"/>
      <c r="J430" s="13"/>
      <c r="K430" s="19"/>
      <c r="L430" s="13"/>
      <c r="M430" s="19"/>
      <c r="N430" s="13"/>
      <c r="O430" s="19"/>
      <c r="P430" s="13"/>
      <c r="Q430" s="19"/>
      <c r="R430" s="13"/>
      <c r="S430" s="19"/>
      <c r="T430" s="13"/>
      <c r="U430" s="19"/>
      <c r="V430" s="13"/>
      <c r="W430" s="19"/>
      <c r="X430" s="13"/>
      <c r="Y430" s="557"/>
      <c r="Z430" s="460"/>
      <c r="AA430" s="783"/>
      <c r="AB430" s="460"/>
    </row>
    <row r="431" spans="1:28">
      <c r="A431" s="14"/>
      <c r="B431" s="15"/>
      <c r="C431" s="16"/>
      <c r="D431" s="17"/>
      <c r="E431" s="12"/>
      <c r="F431" s="18"/>
      <c r="G431" s="19"/>
      <c r="H431" s="13"/>
      <c r="I431" s="19"/>
      <c r="J431" s="13"/>
      <c r="K431" s="19"/>
      <c r="L431" s="13"/>
      <c r="M431" s="19"/>
      <c r="N431" s="13"/>
      <c r="O431" s="19"/>
      <c r="P431" s="13"/>
      <c r="Q431" s="19"/>
      <c r="R431" s="13"/>
      <c r="S431" s="19"/>
      <c r="T431" s="13"/>
      <c r="U431" s="19"/>
      <c r="V431" s="13"/>
      <c r="W431" s="19"/>
      <c r="X431" s="13"/>
      <c r="Y431" s="557"/>
      <c r="Z431" s="460"/>
      <c r="AA431" s="783"/>
      <c r="AB431" s="460"/>
    </row>
    <row r="432" spans="1:28">
      <c r="A432" s="14"/>
      <c r="B432" s="15"/>
      <c r="C432" s="16"/>
      <c r="D432" s="17"/>
      <c r="E432" s="12"/>
      <c r="F432" s="18"/>
      <c r="G432" s="19"/>
      <c r="H432" s="13"/>
      <c r="I432" s="19"/>
      <c r="J432" s="13"/>
      <c r="K432" s="19"/>
      <c r="L432" s="13"/>
      <c r="M432" s="19"/>
      <c r="N432" s="13"/>
      <c r="O432" s="19"/>
      <c r="P432" s="13"/>
      <c r="Q432" s="19"/>
      <c r="R432" s="13"/>
      <c r="S432" s="19"/>
      <c r="T432" s="13"/>
      <c r="U432" s="19"/>
      <c r="V432" s="13"/>
      <c r="W432" s="19"/>
      <c r="X432" s="13"/>
      <c r="Y432" s="557"/>
      <c r="Z432" s="460"/>
      <c r="AA432" s="783"/>
      <c r="AB432" s="460"/>
    </row>
    <row r="433" spans="1:28">
      <c r="A433" s="14"/>
      <c r="B433" s="15"/>
      <c r="C433" s="16"/>
      <c r="D433" s="17"/>
      <c r="E433" s="12"/>
      <c r="F433" s="18"/>
      <c r="G433" s="19"/>
      <c r="H433" s="13"/>
      <c r="I433" s="19"/>
      <c r="J433" s="13"/>
      <c r="K433" s="19"/>
      <c r="L433" s="13"/>
      <c r="M433" s="19"/>
      <c r="N433" s="13"/>
      <c r="O433" s="19"/>
      <c r="P433" s="13"/>
      <c r="Q433" s="19"/>
      <c r="R433" s="13"/>
      <c r="S433" s="19"/>
      <c r="T433" s="13"/>
      <c r="U433" s="19"/>
      <c r="V433" s="13"/>
      <c r="W433" s="19"/>
      <c r="X433" s="13"/>
      <c r="Y433" s="557"/>
      <c r="Z433" s="460"/>
      <c r="AA433" s="783"/>
      <c r="AB433" s="460"/>
    </row>
    <row r="434" spans="1:28">
      <c r="A434" s="14"/>
      <c r="B434" s="15"/>
      <c r="C434" s="16"/>
      <c r="D434" s="17"/>
      <c r="E434" s="12"/>
      <c r="F434" s="18"/>
      <c r="G434" s="19"/>
      <c r="H434" s="13"/>
      <c r="I434" s="19"/>
      <c r="J434" s="13"/>
      <c r="K434" s="19"/>
      <c r="L434" s="13"/>
      <c r="M434" s="19"/>
      <c r="N434" s="13"/>
      <c r="O434" s="19"/>
      <c r="P434" s="13"/>
      <c r="Q434" s="19"/>
      <c r="R434" s="13"/>
      <c r="S434" s="19"/>
      <c r="T434" s="13"/>
      <c r="U434" s="19"/>
      <c r="V434" s="13"/>
      <c r="W434" s="19"/>
      <c r="X434" s="13"/>
      <c r="Y434" s="557"/>
      <c r="Z434" s="460"/>
      <c r="AA434" s="783"/>
      <c r="AB434" s="460"/>
    </row>
    <row r="435" spans="1:28">
      <c r="A435" s="14"/>
      <c r="B435" s="15"/>
      <c r="C435" s="16"/>
      <c r="D435" s="17"/>
      <c r="E435" s="12"/>
      <c r="F435" s="18"/>
      <c r="G435" s="19"/>
      <c r="H435" s="13"/>
      <c r="I435" s="19"/>
      <c r="J435" s="13"/>
      <c r="K435" s="19"/>
      <c r="L435" s="13"/>
      <c r="M435" s="19"/>
      <c r="N435" s="13"/>
      <c r="O435" s="19"/>
      <c r="P435" s="13"/>
      <c r="Q435" s="19"/>
      <c r="R435" s="13"/>
      <c r="S435" s="19"/>
      <c r="T435" s="13"/>
      <c r="U435" s="19"/>
      <c r="V435" s="13"/>
      <c r="W435" s="19"/>
      <c r="X435" s="13"/>
      <c r="Y435" s="557"/>
      <c r="Z435" s="460"/>
      <c r="AA435" s="783"/>
      <c r="AB435" s="460"/>
    </row>
    <row r="436" spans="1:28">
      <c r="A436" s="14"/>
      <c r="B436" s="15"/>
      <c r="C436" s="16"/>
      <c r="D436" s="17"/>
      <c r="E436" s="12"/>
      <c r="F436" s="18"/>
      <c r="G436" s="19"/>
      <c r="H436" s="13"/>
      <c r="I436" s="19"/>
      <c r="J436" s="13"/>
      <c r="K436" s="19"/>
      <c r="L436" s="13"/>
      <c r="M436" s="19"/>
      <c r="N436" s="13"/>
      <c r="O436" s="19"/>
      <c r="P436" s="13"/>
      <c r="Q436" s="19"/>
      <c r="R436" s="13"/>
      <c r="S436" s="19"/>
      <c r="T436" s="13"/>
      <c r="U436" s="19"/>
      <c r="V436" s="13"/>
      <c r="W436" s="19"/>
      <c r="X436" s="13"/>
      <c r="Y436" s="557"/>
      <c r="Z436" s="460"/>
      <c r="AA436" s="783"/>
      <c r="AB436" s="460"/>
    </row>
    <row r="437" spans="1:28">
      <c r="A437" s="14"/>
      <c r="B437" s="15"/>
      <c r="C437" s="16"/>
      <c r="D437" s="17"/>
      <c r="E437" s="12"/>
      <c r="F437" s="18"/>
      <c r="G437" s="19"/>
      <c r="H437" s="13"/>
      <c r="I437" s="19"/>
      <c r="J437" s="13"/>
      <c r="K437" s="19"/>
      <c r="L437" s="13"/>
      <c r="M437" s="19"/>
      <c r="N437" s="13"/>
      <c r="O437" s="19"/>
      <c r="P437" s="13"/>
      <c r="Q437" s="19"/>
      <c r="R437" s="13"/>
      <c r="S437" s="19"/>
      <c r="T437" s="13"/>
      <c r="U437" s="19"/>
      <c r="V437" s="13"/>
      <c r="W437" s="19"/>
      <c r="X437" s="13"/>
      <c r="Y437" s="557"/>
      <c r="Z437" s="460"/>
      <c r="AA437" s="783"/>
      <c r="AB437" s="460"/>
    </row>
    <row r="438" spans="1:28">
      <c r="A438" s="14"/>
      <c r="B438" s="15"/>
      <c r="C438" s="16"/>
      <c r="D438" s="17"/>
      <c r="E438" s="12"/>
      <c r="F438" s="18"/>
      <c r="G438" s="19"/>
      <c r="H438" s="13"/>
      <c r="I438" s="19"/>
      <c r="J438" s="13"/>
      <c r="K438" s="19"/>
      <c r="L438" s="13"/>
      <c r="M438" s="19"/>
      <c r="N438" s="13"/>
      <c r="O438" s="19"/>
      <c r="P438" s="13"/>
      <c r="Q438" s="19"/>
      <c r="R438" s="13"/>
      <c r="S438" s="19"/>
      <c r="T438" s="13"/>
      <c r="U438" s="19"/>
      <c r="V438" s="13"/>
      <c r="W438" s="19"/>
      <c r="X438" s="13"/>
      <c r="Y438" s="557"/>
      <c r="Z438" s="460"/>
      <c r="AA438" s="783"/>
      <c r="AB438" s="460"/>
    </row>
    <row r="439" spans="1:28">
      <c r="A439" s="14"/>
      <c r="B439" s="15"/>
      <c r="C439" s="16"/>
      <c r="D439" s="17"/>
      <c r="E439" s="12"/>
      <c r="F439" s="18"/>
      <c r="G439" s="19"/>
      <c r="H439" s="13"/>
      <c r="I439" s="19"/>
      <c r="J439" s="13"/>
      <c r="K439" s="19"/>
      <c r="L439" s="13"/>
      <c r="M439" s="19"/>
      <c r="N439" s="13"/>
      <c r="O439" s="19"/>
      <c r="P439" s="13"/>
      <c r="Q439" s="19"/>
      <c r="R439" s="13"/>
      <c r="S439" s="19"/>
      <c r="T439" s="13"/>
      <c r="U439" s="19"/>
      <c r="V439" s="13"/>
      <c r="W439" s="19"/>
      <c r="X439" s="13"/>
      <c r="Y439" s="557"/>
      <c r="Z439" s="460"/>
      <c r="AA439" s="783"/>
      <c r="AB439" s="460"/>
    </row>
    <row r="440" spans="1:28">
      <c r="A440" s="14"/>
      <c r="B440" s="15"/>
      <c r="C440" s="16"/>
      <c r="D440" s="17"/>
      <c r="E440" s="12"/>
      <c r="F440" s="18"/>
      <c r="G440" s="19"/>
      <c r="H440" s="13"/>
      <c r="I440" s="19"/>
      <c r="J440" s="13"/>
      <c r="K440" s="19"/>
      <c r="L440" s="13"/>
      <c r="M440" s="19"/>
      <c r="N440" s="13"/>
      <c r="O440" s="19"/>
      <c r="P440" s="13"/>
      <c r="Q440" s="19"/>
      <c r="R440" s="13"/>
      <c r="S440" s="19"/>
      <c r="T440" s="13"/>
      <c r="U440" s="19"/>
      <c r="V440" s="13"/>
      <c r="W440" s="19"/>
      <c r="X440" s="13"/>
      <c r="Y440" s="557"/>
      <c r="Z440" s="460"/>
      <c r="AA440" s="783"/>
      <c r="AB440" s="460"/>
    </row>
    <row r="441" spans="1:28">
      <c r="A441" s="14"/>
      <c r="B441" s="15"/>
      <c r="C441" s="16"/>
      <c r="D441" s="17"/>
      <c r="E441" s="12"/>
      <c r="F441" s="18"/>
      <c r="G441" s="19"/>
      <c r="H441" s="13"/>
      <c r="I441" s="19"/>
      <c r="J441" s="13"/>
      <c r="K441" s="19"/>
      <c r="L441" s="13"/>
      <c r="M441" s="19"/>
      <c r="N441" s="13"/>
      <c r="O441" s="19"/>
      <c r="P441" s="13"/>
      <c r="Q441" s="19"/>
      <c r="R441" s="13"/>
      <c r="S441" s="19"/>
      <c r="T441" s="13"/>
      <c r="U441" s="19"/>
      <c r="V441" s="13"/>
      <c r="W441" s="19"/>
      <c r="X441" s="13"/>
      <c r="Y441" s="557"/>
      <c r="Z441" s="460"/>
      <c r="AA441" s="783"/>
      <c r="AB441" s="460"/>
    </row>
    <row r="442" spans="1:28">
      <c r="A442" s="14"/>
      <c r="B442" s="15"/>
      <c r="C442" s="16"/>
      <c r="D442" s="17"/>
      <c r="E442" s="12"/>
      <c r="F442" s="18"/>
      <c r="G442" s="19"/>
      <c r="H442" s="13"/>
      <c r="I442" s="19"/>
      <c r="J442" s="13"/>
      <c r="K442" s="19"/>
      <c r="L442" s="13"/>
      <c r="M442" s="19"/>
      <c r="N442" s="13"/>
      <c r="O442" s="19"/>
      <c r="P442" s="13"/>
      <c r="Q442" s="19"/>
      <c r="R442" s="13"/>
      <c r="S442" s="19"/>
      <c r="T442" s="13"/>
      <c r="U442" s="19"/>
      <c r="V442" s="13"/>
      <c r="W442" s="19"/>
      <c r="X442" s="13"/>
      <c r="Y442" s="557"/>
      <c r="Z442" s="460"/>
      <c r="AA442" s="783"/>
      <c r="AB442" s="460"/>
    </row>
    <row r="443" spans="1:28">
      <c r="A443" s="14"/>
      <c r="B443" s="15"/>
      <c r="C443" s="16"/>
      <c r="D443" s="17"/>
      <c r="E443" s="12"/>
      <c r="F443" s="18"/>
      <c r="G443" s="19"/>
      <c r="H443" s="13"/>
      <c r="I443" s="19"/>
      <c r="J443" s="13"/>
      <c r="K443" s="19"/>
      <c r="L443" s="13"/>
      <c r="M443" s="19"/>
      <c r="N443" s="13"/>
      <c r="O443" s="19"/>
      <c r="P443" s="13"/>
      <c r="Q443" s="19"/>
      <c r="R443" s="13"/>
      <c r="S443" s="19"/>
      <c r="T443" s="13"/>
      <c r="U443" s="19"/>
      <c r="V443" s="13"/>
      <c r="W443" s="19"/>
      <c r="X443" s="13"/>
      <c r="Y443" s="557"/>
      <c r="Z443" s="460"/>
      <c r="AA443" s="783"/>
      <c r="AB443" s="460"/>
    </row>
    <row r="444" spans="1:28">
      <c r="A444" s="14"/>
      <c r="B444" s="15"/>
      <c r="C444" s="16"/>
      <c r="D444" s="17"/>
      <c r="E444" s="12"/>
      <c r="F444" s="18"/>
      <c r="G444" s="19"/>
      <c r="H444" s="13"/>
      <c r="I444" s="19"/>
      <c r="J444" s="13"/>
      <c r="K444" s="19"/>
      <c r="L444" s="13"/>
      <c r="M444" s="19"/>
      <c r="N444" s="13"/>
      <c r="O444" s="19"/>
      <c r="P444" s="13"/>
      <c r="Q444" s="19"/>
      <c r="R444" s="13"/>
      <c r="S444" s="19"/>
      <c r="T444" s="13"/>
      <c r="U444" s="19"/>
      <c r="V444" s="13"/>
      <c r="W444" s="19"/>
      <c r="X444" s="13"/>
      <c r="Y444" s="557"/>
      <c r="Z444" s="460"/>
      <c r="AA444" s="783"/>
      <c r="AB444" s="460"/>
    </row>
    <row r="445" spans="1:28">
      <c r="A445" s="14"/>
      <c r="B445" s="15"/>
      <c r="C445" s="16"/>
      <c r="D445" s="17"/>
      <c r="E445" s="12"/>
      <c r="F445" s="18"/>
      <c r="G445" s="19"/>
      <c r="H445" s="13"/>
      <c r="I445" s="19"/>
      <c r="J445" s="13"/>
      <c r="K445" s="19"/>
      <c r="L445" s="13"/>
      <c r="M445" s="19"/>
      <c r="N445" s="13"/>
      <c r="O445" s="19"/>
      <c r="P445" s="13"/>
      <c r="Q445" s="19"/>
      <c r="R445" s="13"/>
      <c r="S445" s="19"/>
      <c r="T445" s="13"/>
      <c r="U445" s="19"/>
      <c r="V445" s="13"/>
      <c r="W445" s="19"/>
      <c r="X445" s="13"/>
      <c r="Y445" s="557"/>
      <c r="Z445" s="460"/>
      <c r="AA445" s="783"/>
      <c r="AB445" s="460"/>
    </row>
    <row r="446" spans="1:28">
      <c r="A446" s="14"/>
      <c r="B446" s="15"/>
      <c r="C446" s="16"/>
      <c r="D446" s="17"/>
      <c r="E446" s="12"/>
      <c r="F446" s="18"/>
      <c r="G446" s="19"/>
      <c r="H446" s="13"/>
      <c r="I446" s="19"/>
      <c r="J446" s="13"/>
      <c r="K446" s="19"/>
      <c r="L446" s="13"/>
      <c r="M446" s="19"/>
      <c r="N446" s="13"/>
      <c r="O446" s="19"/>
      <c r="P446" s="13"/>
      <c r="Q446" s="19"/>
      <c r="R446" s="13"/>
      <c r="S446" s="19"/>
      <c r="T446" s="13"/>
      <c r="U446" s="19"/>
      <c r="V446" s="13"/>
      <c r="W446" s="19"/>
      <c r="X446" s="13"/>
      <c r="Y446" s="557"/>
      <c r="Z446" s="460"/>
      <c r="AA446" s="783"/>
      <c r="AB446" s="460"/>
    </row>
    <row r="447" spans="1:28">
      <c r="A447" s="14"/>
      <c r="B447" s="15"/>
      <c r="C447" s="16"/>
      <c r="D447" s="17"/>
      <c r="E447" s="12"/>
      <c r="F447" s="18"/>
      <c r="G447" s="19"/>
      <c r="H447" s="13"/>
      <c r="I447" s="19"/>
      <c r="J447" s="13"/>
      <c r="K447" s="19"/>
      <c r="L447" s="13"/>
      <c r="M447" s="19"/>
      <c r="N447" s="13"/>
      <c r="O447" s="19"/>
      <c r="P447" s="13"/>
      <c r="Q447" s="19"/>
      <c r="R447" s="13"/>
      <c r="S447" s="19"/>
      <c r="T447" s="13"/>
      <c r="U447" s="19"/>
      <c r="V447" s="13"/>
      <c r="W447" s="19"/>
      <c r="X447" s="13"/>
      <c r="Y447" s="557"/>
      <c r="Z447" s="460"/>
      <c r="AA447" s="783"/>
      <c r="AB447" s="460"/>
    </row>
    <row r="448" spans="1:28">
      <c r="A448" s="14"/>
      <c r="B448" s="15"/>
      <c r="C448" s="16"/>
      <c r="D448" s="17"/>
      <c r="E448" s="12"/>
      <c r="F448" s="18"/>
      <c r="G448" s="19"/>
      <c r="H448" s="13"/>
      <c r="I448" s="19"/>
      <c r="J448" s="13"/>
      <c r="K448" s="19"/>
      <c r="L448" s="13"/>
      <c r="M448" s="19"/>
      <c r="N448" s="13"/>
      <c r="O448" s="19"/>
      <c r="P448" s="13"/>
      <c r="Q448" s="19"/>
      <c r="R448" s="13"/>
      <c r="S448" s="19"/>
      <c r="T448" s="13"/>
      <c r="U448" s="19"/>
      <c r="V448" s="13"/>
      <c r="W448" s="19"/>
      <c r="X448" s="13"/>
      <c r="Y448" s="557"/>
      <c r="Z448" s="460"/>
      <c r="AA448" s="783"/>
      <c r="AB448" s="460"/>
    </row>
    <row r="449" spans="1:28">
      <c r="A449" s="14"/>
      <c r="B449" s="15"/>
      <c r="C449" s="16"/>
      <c r="D449" s="17"/>
      <c r="E449" s="12"/>
      <c r="F449" s="18"/>
      <c r="G449" s="19"/>
      <c r="H449" s="13"/>
      <c r="I449" s="19"/>
      <c r="J449" s="13"/>
      <c r="K449" s="19"/>
      <c r="L449" s="13"/>
      <c r="M449" s="19"/>
      <c r="N449" s="13"/>
      <c r="O449" s="19"/>
      <c r="P449" s="13"/>
      <c r="Q449" s="19"/>
      <c r="R449" s="13"/>
      <c r="S449" s="19"/>
      <c r="T449" s="13"/>
      <c r="U449" s="19"/>
      <c r="V449" s="13"/>
      <c r="W449" s="19"/>
      <c r="X449" s="13"/>
      <c r="Y449" s="557"/>
      <c r="Z449" s="460"/>
      <c r="AA449" s="783"/>
      <c r="AB449" s="460"/>
    </row>
    <row r="450" spans="1:28">
      <c r="A450" s="14"/>
      <c r="B450" s="15"/>
      <c r="C450" s="16"/>
      <c r="D450" s="17"/>
      <c r="E450" s="12"/>
      <c r="F450" s="18"/>
      <c r="G450" s="19"/>
      <c r="H450" s="13"/>
      <c r="I450" s="19"/>
      <c r="J450" s="13"/>
      <c r="K450" s="19"/>
      <c r="L450" s="13"/>
      <c r="M450" s="19"/>
      <c r="N450" s="13"/>
      <c r="O450" s="19"/>
      <c r="P450" s="13"/>
      <c r="Q450" s="19"/>
      <c r="R450" s="13"/>
      <c r="S450" s="19"/>
      <c r="T450" s="13"/>
      <c r="U450" s="19"/>
      <c r="V450" s="13"/>
      <c r="W450" s="19"/>
      <c r="X450" s="13"/>
      <c r="Y450" s="557"/>
      <c r="Z450" s="460"/>
      <c r="AA450" s="783"/>
      <c r="AB450" s="460"/>
    </row>
    <row r="451" spans="1:28">
      <c r="A451" s="14"/>
      <c r="B451" s="15"/>
      <c r="C451" s="16"/>
      <c r="D451" s="17"/>
      <c r="E451" s="12"/>
      <c r="F451" s="18"/>
      <c r="G451" s="19"/>
      <c r="H451" s="13"/>
      <c r="I451" s="19"/>
      <c r="J451" s="13"/>
      <c r="K451" s="19"/>
      <c r="L451" s="13"/>
      <c r="M451" s="19"/>
      <c r="N451" s="13"/>
      <c r="O451" s="19"/>
      <c r="P451" s="13"/>
      <c r="Q451" s="19"/>
      <c r="R451" s="13"/>
      <c r="S451" s="19"/>
      <c r="T451" s="13"/>
      <c r="U451" s="19"/>
      <c r="V451" s="13"/>
      <c r="W451" s="19"/>
      <c r="X451" s="13"/>
      <c r="Y451" s="557"/>
      <c r="Z451" s="460"/>
      <c r="AA451" s="783"/>
      <c r="AB451" s="460"/>
    </row>
    <row r="452" spans="1:28">
      <c r="A452" s="14"/>
      <c r="B452" s="15"/>
      <c r="C452" s="16"/>
      <c r="D452" s="17"/>
      <c r="E452" s="12"/>
      <c r="F452" s="18"/>
      <c r="G452" s="19"/>
      <c r="H452" s="13"/>
      <c r="I452" s="19"/>
      <c r="J452" s="13"/>
      <c r="K452" s="19"/>
      <c r="L452" s="13"/>
      <c r="M452" s="19"/>
      <c r="N452" s="13"/>
      <c r="O452" s="19"/>
      <c r="P452" s="13"/>
      <c r="Q452" s="19"/>
      <c r="R452" s="13"/>
      <c r="S452" s="19"/>
      <c r="T452" s="13"/>
      <c r="U452" s="19"/>
      <c r="V452" s="13"/>
      <c r="W452" s="19"/>
      <c r="X452" s="13"/>
      <c r="Y452" s="557"/>
      <c r="Z452" s="460"/>
      <c r="AA452" s="783"/>
      <c r="AB452" s="460"/>
    </row>
    <row r="453" spans="1:28">
      <c r="A453" s="14"/>
      <c r="B453" s="15"/>
      <c r="C453" s="16"/>
      <c r="D453" s="17"/>
      <c r="E453" s="12"/>
      <c r="F453" s="18"/>
      <c r="G453" s="19"/>
      <c r="H453" s="13"/>
      <c r="I453" s="19"/>
      <c r="J453" s="13"/>
      <c r="K453" s="19"/>
      <c r="L453" s="13"/>
      <c r="M453" s="19"/>
      <c r="N453" s="13"/>
      <c r="O453" s="19"/>
      <c r="P453" s="13"/>
      <c r="Q453" s="19"/>
      <c r="R453" s="13"/>
      <c r="S453" s="19"/>
      <c r="T453" s="13"/>
      <c r="U453" s="19"/>
      <c r="V453" s="13"/>
      <c r="W453" s="19"/>
      <c r="X453" s="13"/>
      <c r="Y453" s="557"/>
      <c r="Z453" s="460"/>
      <c r="AA453" s="783"/>
      <c r="AB453" s="460"/>
    </row>
    <row r="454" spans="1:28">
      <c r="A454" s="14"/>
      <c r="B454" s="15"/>
      <c r="C454" s="16"/>
      <c r="D454" s="17"/>
      <c r="E454" s="12"/>
      <c r="F454" s="18"/>
      <c r="G454" s="19"/>
      <c r="H454" s="13"/>
      <c r="I454" s="19"/>
      <c r="J454" s="13"/>
      <c r="K454" s="19"/>
      <c r="L454" s="13"/>
      <c r="M454" s="19"/>
      <c r="N454" s="13"/>
      <c r="O454" s="19"/>
      <c r="P454" s="13"/>
      <c r="Q454" s="19"/>
      <c r="R454" s="13"/>
      <c r="S454" s="19"/>
      <c r="T454" s="13"/>
      <c r="U454" s="19"/>
      <c r="V454" s="13"/>
      <c r="W454" s="19"/>
      <c r="X454" s="13"/>
      <c r="Y454" s="557"/>
      <c r="Z454" s="460"/>
      <c r="AA454" s="783"/>
      <c r="AB454" s="460"/>
    </row>
    <row r="455" spans="1:28">
      <c r="A455" s="14"/>
      <c r="B455" s="15"/>
      <c r="C455" s="16"/>
      <c r="D455" s="17"/>
      <c r="E455" s="12"/>
      <c r="F455" s="18"/>
      <c r="G455" s="19"/>
      <c r="H455" s="13"/>
      <c r="I455" s="19"/>
      <c r="J455" s="13"/>
      <c r="K455" s="19"/>
      <c r="L455" s="13"/>
      <c r="M455" s="19"/>
      <c r="N455" s="13"/>
      <c r="O455" s="19"/>
      <c r="P455" s="13"/>
      <c r="Q455" s="19"/>
      <c r="R455" s="13"/>
      <c r="S455" s="19"/>
      <c r="T455" s="13"/>
      <c r="U455" s="19"/>
      <c r="V455" s="13"/>
      <c r="W455" s="19"/>
      <c r="X455" s="13"/>
      <c r="Y455" s="557"/>
      <c r="Z455" s="460"/>
      <c r="AA455" s="783"/>
      <c r="AB455" s="460"/>
    </row>
    <row r="456" spans="1:28">
      <c r="A456" s="14"/>
      <c r="B456" s="15"/>
      <c r="C456" s="16"/>
      <c r="D456" s="17"/>
      <c r="E456" s="12"/>
      <c r="F456" s="18"/>
      <c r="G456" s="19"/>
      <c r="H456" s="13"/>
      <c r="I456" s="19"/>
      <c r="J456" s="13"/>
      <c r="K456" s="19"/>
      <c r="L456" s="13"/>
      <c r="M456" s="19"/>
      <c r="N456" s="13"/>
      <c r="O456" s="19"/>
      <c r="P456" s="13"/>
      <c r="Q456" s="19"/>
      <c r="R456" s="13"/>
      <c r="S456" s="19"/>
      <c r="T456" s="13"/>
      <c r="U456" s="19"/>
      <c r="V456" s="13"/>
      <c r="W456" s="19"/>
      <c r="X456" s="13"/>
      <c r="Y456" s="557"/>
      <c r="Z456" s="460"/>
      <c r="AA456" s="783"/>
      <c r="AB456" s="460"/>
    </row>
    <row r="457" spans="1:28">
      <c r="A457" s="14"/>
      <c r="B457" s="15"/>
      <c r="C457" s="16"/>
      <c r="D457" s="17"/>
      <c r="E457" s="12"/>
      <c r="F457" s="18"/>
      <c r="G457" s="19"/>
      <c r="H457" s="13"/>
      <c r="I457" s="19"/>
      <c r="J457" s="13"/>
      <c r="K457" s="19"/>
      <c r="L457" s="13"/>
      <c r="M457" s="19"/>
      <c r="N457" s="13"/>
      <c r="O457" s="19"/>
      <c r="P457" s="13"/>
      <c r="Q457" s="19"/>
      <c r="R457" s="13"/>
      <c r="S457" s="19"/>
      <c r="T457" s="13"/>
      <c r="U457" s="19"/>
      <c r="V457" s="13"/>
      <c r="W457" s="19"/>
      <c r="X457" s="13"/>
      <c r="Y457" s="557"/>
      <c r="Z457" s="460"/>
      <c r="AA457" s="783"/>
      <c r="AB457" s="460"/>
    </row>
    <row r="458" spans="1:28">
      <c r="A458" s="14"/>
      <c r="B458" s="15"/>
      <c r="C458" s="16"/>
      <c r="D458" s="17"/>
      <c r="E458" s="12"/>
      <c r="F458" s="18"/>
      <c r="G458" s="19"/>
      <c r="H458" s="13"/>
      <c r="I458" s="19"/>
      <c r="J458" s="13"/>
      <c r="K458" s="19"/>
      <c r="L458" s="13"/>
      <c r="M458" s="19"/>
      <c r="N458" s="13"/>
      <c r="O458" s="19"/>
      <c r="P458" s="13"/>
      <c r="Q458" s="19"/>
      <c r="R458" s="13"/>
      <c r="S458" s="19"/>
      <c r="T458" s="13"/>
      <c r="U458" s="19"/>
      <c r="V458" s="13"/>
      <c r="W458" s="19"/>
      <c r="X458" s="13"/>
      <c r="Y458" s="557"/>
      <c r="Z458" s="460"/>
      <c r="AA458" s="783"/>
      <c r="AB458" s="460"/>
    </row>
    <row r="459" spans="1:28">
      <c r="A459" s="14"/>
      <c r="B459" s="15"/>
      <c r="C459" s="16"/>
      <c r="D459" s="17"/>
      <c r="E459" s="12"/>
      <c r="F459" s="18"/>
      <c r="G459" s="19"/>
      <c r="H459" s="13"/>
      <c r="I459" s="19"/>
      <c r="J459" s="13"/>
      <c r="K459" s="19"/>
      <c r="L459" s="13"/>
      <c r="M459" s="19"/>
      <c r="N459" s="13"/>
      <c r="O459" s="19"/>
      <c r="P459" s="13"/>
      <c r="Q459" s="19"/>
      <c r="R459" s="13"/>
      <c r="S459" s="19"/>
      <c r="T459" s="13"/>
      <c r="U459" s="19"/>
      <c r="V459" s="13"/>
      <c r="W459" s="19"/>
      <c r="X459" s="13"/>
      <c r="Y459" s="557"/>
      <c r="Z459" s="460"/>
      <c r="AA459" s="783"/>
      <c r="AB459" s="460"/>
    </row>
    <row r="460" spans="1:28">
      <c r="A460" s="14"/>
      <c r="B460" s="15"/>
      <c r="C460" s="16"/>
      <c r="D460" s="17"/>
      <c r="E460" s="12"/>
      <c r="F460" s="18"/>
      <c r="G460" s="19"/>
      <c r="H460" s="13"/>
      <c r="I460" s="19"/>
      <c r="J460" s="13"/>
      <c r="K460" s="19"/>
      <c r="L460" s="13"/>
      <c r="M460" s="19"/>
      <c r="N460" s="13"/>
      <c r="O460" s="19"/>
      <c r="P460" s="13"/>
      <c r="Q460" s="19"/>
      <c r="R460" s="13"/>
      <c r="S460" s="19"/>
      <c r="T460" s="13"/>
      <c r="U460" s="19"/>
      <c r="V460" s="13"/>
      <c r="W460" s="19"/>
      <c r="X460" s="13"/>
      <c r="Y460" s="557"/>
      <c r="Z460" s="460"/>
      <c r="AA460" s="783"/>
      <c r="AB460" s="460"/>
    </row>
    <row r="461" spans="1:28">
      <c r="A461" s="14"/>
      <c r="B461" s="15"/>
      <c r="C461" s="16"/>
      <c r="D461" s="17"/>
      <c r="E461" s="12"/>
      <c r="F461" s="18"/>
      <c r="G461" s="19"/>
      <c r="H461" s="13"/>
      <c r="I461" s="19"/>
      <c r="J461" s="13"/>
      <c r="K461" s="19"/>
      <c r="L461" s="13"/>
      <c r="M461" s="19"/>
      <c r="N461" s="13"/>
      <c r="O461" s="19"/>
      <c r="P461" s="13"/>
      <c r="Q461" s="19"/>
      <c r="R461" s="13"/>
      <c r="S461" s="19"/>
      <c r="T461" s="13"/>
      <c r="U461" s="19"/>
      <c r="V461" s="13"/>
      <c r="W461" s="19"/>
      <c r="X461" s="13"/>
      <c r="Y461" s="557"/>
      <c r="Z461" s="460"/>
      <c r="AA461" s="783"/>
      <c r="AB461" s="460"/>
    </row>
    <row r="462" spans="1:28">
      <c r="A462" s="14"/>
      <c r="B462" s="15"/>
      <c r="C462" s="16"/>
      <c r="D462" s="17"/>
      <c r="E462" s="12"/>
      <c r="F462" s="18"/>
      <c r="G462" s="19"/>
      <c r="H462" s="13"/>
      <c r="I462" s="19"/>
      <c r="J462" s="13"/>
      <c r="K462" s="19"/>
      <c r="L462" s="13"/>
      <c r="M462" s="19"/>
      <c r="N462" s="13"/>
      <c r="O462" s="19"/>
      <c r="P462" s="13"/>
      <c r="Q462" s="19"/>
      <c r="R462" s="13"/>
      <c r="S462" s="19"/>
      <c r="T462" s="13"/>
      <c r="U462" s="19"/>
      <c r="V462" s="13"/>
      <c r="W462" s="19"/>
      <c r="X462" s="13"/>
      <c r="Y462" s="557"/>
      <c r="Z462" s="460"/>
      <c r="AA462" s="783"/>
      <c r="AB462" s="460"/>
    </row>
    <row r="463" spans="1:28">
      <c r="A463" s="14"/>
      <c r="B463" s="15"/>
      <c r="C463" s="16"/>
      <c r="D463" s="17"/>
      <c r="E463" s="12"/>
      <c r="F463" s="18"/>
      <c r="G463" s="19"/>
      <c r="H463" s="13"/>
      <c r="I463" s="19"/>
      <c r="J463" s="13"/>
      <c r="K463" s="19"/>
      <c r="L463" s="13"/>
      <c r="M463" s="19"/>
      <c r="N463" s="13"/>
      <c r="O463" s="19"/>
      <c r="P463" s="13"/>
      <c r="Q463" s="19"/>
      <c r="R463" s="13"/>
      <c r="S463" s="19"/>
      <c r="T463" s="13"/>
      <c r="U463" s="19"/>
      <c r="V463" s="13"/>
      <c r="W463" s="19"/>
      <c r="X463" s="13"/>
      <c r="Y463" s="557"/>
      <c r="Z463" s="460"/>
      <c r="AA463" s="783"/>
      <c r="AB463" s="460"/>
    </row>
    <row r="464" spans="1:28">
      <c r="A464" s="14"/>
      <c r="B464" s="15"/>
      <c r="C464" s="16"/>
      <c r="D464" s="17"/>
      <c r="E464" s="12"/>
      <c r="F464" s="18"/>
      <c r="G464" s="19"/>
      <c r="H464" s="13"/>
      <c r="I464" s="19"/>
      <c r="J464" s="13"/>
      <c r="K464" s="19"/>
      <c r="L464" s="13"/>
      <c r="M464" s="19"/>
      <c r="N464" s="13"/>
      <c r="O464" s="19"/>
      <c r="P464" s="13"/>
      <c r="Q464" s="19"/>
      <c r="R464" s="13"/>
      <c r="S464" s="19"/>
      <c r="T464" s="13"/>
      <c r="U464" s="19"/>
      <c r="V464" s="13"/>
      <c r="W464" s="19"/>
      <c r="X464" s="13"/>
      <c r="Y464" s="557"/>
      <c r="Z464" s="460"/>
      <c r="AA464" s="783"/>
      <c r="AB464" s="460"/>
    </row>
    <row r="465" spans="1:28">
      <c r="A465" s="14"/>
      <c r="B465" s="15"/>
      <c r="C465" s="16"/>
      <c r="D465" s="17"/>
      <c r="E465" s="12"/>
      <c r="F465" s="18"/>
      <c r="G465" s="19"/>
      <c r="H465" s="13"/>
      <c r="I465" s="19"/>
      <c r="J465" s="13"/>
      <c r="K465" s="19"/>
      <c r="L465" s="13"/>
      <c r="M465" s="19"/>
      <c r="N465" s="13"/>
      <c r="O465" s="19"/>
      <c r="P465" s="13"/>
      <c r="Q465" s="19"/>
      <c r="R465" s="13"/>
      <c r="S465" s="19"/>
      <c r="T465" s="13"/>
      <c r="U465" s="19"/>
      <c r="V465" s="13"/>
      <c r="W465" s="19"/>
      <c r="X465" s="13"/>
      <c r="Y465" s="557"/>
      <c r="Z465" s="460"/>
      <c r="AA465" s="783"/>
      <c r="AB465" s="460"/>
    </row>
    <row r="466" spans="1:28">
      <c r="A466" s="14"/>
      <c r="B466" s="15"/>
      <c r="C466" s="16"/>
      <c r="D466" s="17"/>
      <c r="E466" s="12"/>
      <c r="F466" s="18"/>
      <c r="G466" s="19"/>
      <c r="H466" s="13"/>
      <c r="I466" s="19"/>
      <c r="J466" s="13"/>
      <c r="K466" s="19"/>
      <c r="L466" s="13"/>
      <c r="M466" s="19"/>
      <c r="N466" s="13"/>
      <c r="O466" s="19"/>
      <c r="P466" s="13"/>
      <c r="Q466" s="19"/>
      <c r="R466" s="13"/>
      <c r="S466" s="19"/>
      <c r="T466" s="13"/>
      <c r="U466" s="19"/>
      <c r="V466" s="13"/>
      <c r="W466" s="19"/>
      <c r="X466" s="13"/>
      <c r="Y466" s="557"/>
      <c r="Z466" s="460"/>
      <c r="AA466" s="783"/>
      <c r="AB466" s="460"/>
    </row>
    <row r="467" spans="1:28">
      <c r="A467" s="14"/>
      <c r="B467" s="15"/>
      <c r="C467" s="16"/>
      <c r="D467" s="17"/>
      <c r="E467" s="12"/>
      <c r="F467" s="18"/>
      <c r="G467" s="19"/>
      <c r="H467" s="13"/>
      <c r="I467" s="19"/>
      <c r="J467" s="13"/>
      <c r="K467" s="19"/>
      <c r="L467" s="13"/>
      <c r="M467" s="19"/>
      <c r="N467" s="13"/>
      <c r="O467" s="19"/>
      <c r="P467" s="13"/>
      <c r="Q467" s="19"/>
      <c r="R467" s="13"/>
      <c r="S467" s="19"/>
      <c r="T467" s="13"/>
      <c r="U467" s="19"/>
      <c r="V467" s="13"/>
      <c r="W467" s="19"/>
      <c r="X467" s="13"/>
      <c r="Y467" s="557"/>
      <c r="Z467" s="460"/>
      <c r="AA467" s="783"/>
      <c r="AB467" s="460"/>
    </row>
    <row r="468" spans="1:28">
      <c r="A468" s="14"/>
      <c r="B468" s="15"/>
      <c r="C468" s="16"/>
      <c r="D468" s="17"/>
      <c r="E468" s="12"/>
      <c r="F468" s="18"/>
      <c r="G468" s="19"/>
      <c r="H468" s="13"/>
      <c r="I468" s="19"/>
      <c r="J468" s="13"/>
      <c r="K468" s="19"/>
      <c r="L468" s="13"/>
      <c r="M468" s="19"/>
      <c r="N468" s="13"/>
      <c r="O468" s="19"/>
      <c r="P468" s="13"/>
      <c r="Q468" s="19"/>
      <c r="R468" s="13"/>
      <c r="S468" s="19"/>
      <c r="T468" s="13"/>
      <c r="U468" s="19"/>
      <c r="V468" s="13"/>
      <c r="W468" s="19"/>
      <c r="X468" s="13"/>
      <c r="Y468" s="557"/>
      <c r="Z468" s="460"/>
      <c r="AA468" s="783"/>
      <c r="AB468" s="460"/>
    </row>
    <row r="469" spans="1:28">
      <c r="A469" s="14"/>
      <c r="B469" s="15"/>
      <c r="C469" s="16"/>
      <c r="D469" s="17"/>
      <c r="E469" s="12"/>
      <c r="F469" s="18"/>
      <c r="G469" s="19"/>
      <c r="H469" s="13"/>
      <c r="I469" s="19"/>
      <c r="J469" s="13"/>
      <c r="K469" s="19"/>
      <c r="L469" s="13"/>
      <c r="M469" s="19"/>
      <c r="N469" s="13"/>
      <c r="O469" s="19"/>
      <c r="P469" s="13"/>
      <c r="Q469" s="19"/>
      <c r="R469" s="13"/>
      <c r="S469" s="19"/>
      <c r="T469" s="13"/>
      <c r="U469" s="19"/>
      <c r="V469" s="13"/>
      <c r="W469" s="19"/>
      <c r="X469" s="13"/>
      <c r="Y469" s="557"/>
      <c r="Z469" s="460"/>
      <c r="AA469" s="783"/>
      <c r="AB469" s="460"/>
    </row>
    <row r="470" spans="1:28">
      <c r="A470" s="14"/>
      <c r="B470" s="15"/>
      <c r="C470" s="16"/>
      <c r="D470" s="17"/>
      <c r="E470" s="12"/>
      <c r="F470" s="18"/>
      <c r="G470" s="19"/>
      <c r="H470" s="13"/>
      <c r="I470" s="19"/>
      <c r="J470" s="13"/>
      <c r="K470" s="19"/>
      <c r="L470" s="13"/>
      <c r="M470" s="19"/>
      <c r="N470" s="13"/>
      <c r="O470" s="19"/>
      <c r="P470" s="13"/>
      <c r="Q470" s="19"/>
      <c r="R470" s="13"/>
      <c r="S470" s="19"/>
      <c r="T470" s="13"/>
      <c r="U470" s="19"/>
      <c r="V470" s="13"/>
      <c r="W470" s="19"/>
      <c r="X470" s="13"/>
      <c r="Y470" s="557"/>
      <c r="Z470" s="460"/>
      <c r="AA470" s="783"/>
      <c r="AB470" s="460"/>
    </row>
    <row r="471" spans="1:28">
      <c r="A471" s="14"/>
      <c r="B471" s="15"/>
      <c r="C471" s="16"/>
      <c r="D471" s="17"/>
      <c r="E471" s="12"/>
      <c r="F471" s="18"/>
      <c r="G471" s="19"/>
      <c r="H471" s="13"/>
      <c r="I471" s="19"/>
      <c r="J471" s="13"/>
      <c r="K471" s="19"/>
      <c r="L471" s="13"/>
      <c r="M471" s="19"/>
      <c r="N471" s="13"/>
      <c r="O471" s="19"/>
      <c r="P471" s="13"/>
      <c r="Q471" s="19"/>
      <c r="R471" s="13"/>
      <c r="S471" s="19"/>
      <c r="T471" s="13"/>
      <c r="U471" s="19"/>
      <c r="V471" s="13"/>
      <c r="W471" s="19"/>
      <c r="X471" s="13"/>
      <c r="Y471" s="557"/>
      <c r="Z471" s="460"/>
      <c r="AA471" s="783"/>
      <c r="AB471" s="460"/>
    </row>
    <row r="472" spans="1:28">
      <c r="A472" s="14"/>
      <c r="B472" s="15"/>
      <c r="C472" s="16"/>
      <c r="D472" s="17"/>
      <c r="E472" s="12"/>
      <c r="F472" s="18"/>
      <c r="G472" s="19"/>
      <c r="H472" s="13"/>
      <c r="I472" s="19"/>
      <c r="J472" s="13"/>
      <c r="K472" s="19"/>
      <c r="L472" s="13"/>
      <c r="M472" s="19"/>
      <c r="N472" s="13"/>
      <c r="O472" s="19"/>
      <c r="P472" s="13"/>
      <c r="Q472" s="19"/>
      <c r="R472" s="13"/>
      <c r="S472" s="19"/>
      <c r="T472" s="13"/>
      <c r="U472" s="19"/>
      <c r="V472" s="13"/>
      <c r="W472" s="19"/>
      <c r="X472" s="13"/>
      <c r="Y472" s="557"/>
      <c r="Z472" s="460"/>
      <c r="AA472" s="783"/>
      <c r="AB472" s="460"/>
    </row>
    <row r="473" spans="1:28">
      <c r="A473" s="14"/>
      <c r="B473" s="15"/>
      <c r="C473" s="16"/>
      <c r="D473" s="17"/>
      <c r="E473" s="12"/>
      <c r="F473" s="18"/>
      <c r="G473" s="19"/>
      <c r="H473" s="13"/>
      <c r="I473" s="19"/>
      <c r="J473" s="13"/>
      <c r="K473" s="19"/>
      <c r="L473" s="13"/>
      <c r="M473" s="19"/>
      <c r="N473" s="13"/>
      <c r="O473" s="19"/>
      <c r="P473" s="13"/>
      <c r="Q473" s="19"/>
      <c r="R473" s="13"/>
      <c r="S473" s="19"/>
      <c r="T473" s="13"/>
      <c r="U473" s="19"/>
      <c r="V473" s="13"/>
      <c r="W473" s="19"/>
      <c r="X473" s="13"/>
      <c r="Y473" s="557"/>
      <c r="Z473" s="460"/>
      <c r="AA473" s="783"/>
      <c r="AB473" s="460"/>
    </row>
    <row r="474" spans="1:28">
      <c r="A474" s="14"/>
      <c r="B474" s="15"/>
      <c r="C474" s="16"/>
      <c r="D474" s="17"/>
      <c r="E474" s="12"/>
      <c r="F474" s="18"/>
      <c r="G474" s="19"/>
      <c r="H474" s="13"/>
      <c r="I474" s="19"/>
      <c r="J474" s="13"/>
      <c r="K474" s="19"/>
      <c r="L474" s="13"/>
      <c r="M474" s="19"/>
      <c r="N474" s="13"/>
      <c r="O474" s="19"/>
      <c r="P474" s="13"/>
      <c r="Q474" s="19"/>
      <c r="R474" s="13"/>
      <c r="S474" s="19"/>
      <c r="T474" s="13"/>
      <c r="U474" s="19"/>
      <c r="V474" s="13"/>
      <c r="W474" s="19"/>
      <c r="X474" s="13"/>
      <c r="Y474" s="557"/>
      <c r="Z474" s="460"/>
      <c r="AA474" s="783"/>
      <c r="AB474" s="460"/>
    </row>
    <row r="475" spans="1:28">
      <c r="A475" s="14"/>
      <c r="B475" s="15"/>
      <c r="C475" s="16"/>
      <c r="D475" s="17"/>
      <c r="E475" s="12"/>
      <c r="F475" s="18"/>
      <c r="G475" s="19"/>
      <c r="H475" s="13"/>
      <c r="I475" s="19"/>
      <c r="J475" s="13"/>
      <c r="K475" s="19"/>
      <c r="L475" s="13"/>
      <c r="M475" s="19"/>
      <c r="N475" s="13"/>
      <c r="O475" s="19"/>
      <c r="P475" s="13"/>
      <c r="Q475" s="19"/>
      <c r="R475" s="13"/>
      <c r="S475" s="19"/>
      <c r="T475" s="13"/>
      <c r="U475" s="19"/>
      <c r="V475" s="13"/>
      <c r="W475" s="19"/>
      <c r="X475" s="13"/>
      <c r="Y475" s="557"/>
      <c r="Z475" s="460"/>
      <c r="AA475" s="783"/>
      <c r="AB475" s="460"/>
    </row>
    <row r="476" spans="1:28">
      <c r="A476" s="14"/>
      <c r="B476" s="15"/>
      <c r="C476" s="16"/>
      <c r="D476" s="17"/>
      <c r="E476" s="12"/>
      <c r="F476" s="18"/>
      <c r="G476" s="19"/>
      <c r="H476" s="13"/>
      <c r="I476" s="19"/>
      <c r="J476" s="13"/>
      <c r="K476" s="19"/>
      <c r="L476" s="13"/>
      <c r="M476" s="19"/>
      <c r="N476" s="13"/>
      <c r="O476" s="19"/>
      <c r="P476" s="13"/>
      <c r="Q476" s="19"/>
      <c r="R476" s="13"/>
      <c r="S476" s="19"/>
      <c r="T476" s="13"/>
      <c r="U476" s="19"/>
      <c r="V476" s="13"/>
      <c r="W476" s="19"/>
      <c r="X476" s="13"/>
      <c r="Y476" s="557"/>
      <c r="Z476" s="460"/>
      <c r="AA476" s="783"/>
      <c r="AB476" s="460"/>
    </row>
    <row r="477" spans="1:28">
      <c r="A477" s="14"/>
      <c r="B477" s="15"/>
      <c r="C477" s="16"/>
      <c r="D477" s="17"/>
      <c r="E477" s="12"/>
      <c r="F477" s="18"/>
      <c r="G477" s="19"/>
      <c r="H477" s="13"/>
      <c r="I477" s="19"/>
      <c r="J477" s="13"/>
      <c r="K477" s="19"/>
      <c r="L477" s="13"/>
      <c r="M477" s="19"/>
      <c r="N477" s="13"/>
      <c r="O477" s="19"/>
      <c r="P477" s="13"/>
      <c r="Q477" s="19"/>
      <c r="R477" s="13"/>
      <c r="S477" s="19"/>
      <c r="T477" s="13"/>
      <c r="U477" s="19"/>
      <c r="V477" s="13"/>
      <c r="W477" s="19"/>
      <c r="X477" s="13"/>
      <c r="Y477" s="557"/>
      <c r="Z477" s="460"/>
      <c r="AA477" s="783"/>
      <c r="AB477" s="460"/>
    </row>
    <row r="478" spans="1:28">
      <c r="A478" s="14"/>
      <c r="B478" s="15"/>
      <c r="C478" s="16"/>
      <c r="D478" s="17"/>
      <c r="E478" s="12"/>
      <c r="F478" s="18"/>
      <c r="G478" s="19"/>
      <c r="H478" s="13"/>
      <c r="I478" s="19"/>
      <c r="J478" s="13"/>
      <c r="K478" s="19"/>
      <c r="L478" s="13"/>
      <c r="M478" s="19"/>
      <c r="N478" s="13"/>
      <c r="O478" s="19"/>
      <c r="P478" s="13"/>
      <c r="Q478" s="19"/>
      <c r="R478" s="13"/>
      <c r="S478" s="19"/>
      <c r="T478" s="13"/>
      <c r="U478" s="19"/>
      <c r="V478" s="13"/>
      <c r="W478" s="19"/>
      <c r="X478" s="13"/>
      <c r="Y478" s="557"/>
      <c r="Z478" s="460"/>
      <c r="AA478" s="783"/>
      <c r="AB478" s="460"/>
    </row>
    <row r="479" spans="1:28">
      <c r="A479" s="14"/>
      <c r="B479" s="15"/>
      <c r="C479" s="16"/>
      <c r="D479" s="17"/>
      <c r="E479" s="12"/>
      <c r="F479" s="18"/>
      <c r="G479" s="19"/>
      <c r="H479" s="13"/>
      <c r="I479" s="19"/>
      <c r="J479" s="13"/>
      <c r="K479" s="19"/>
      <c r="L479" s="13"/>
      <c r="M479" s="19"/>
      <c r="N479" s="13"/>
      <c r="O479" s="19"/>
      <c r="P479" s="13"/>
      <c r="Q479" s="19"/>
      <c r="R479" s="13"/>
      <c r="S479" s="19"/>
      <c r="T479" s="13"/>
      <c r="U479" s="19"/>
      <c r="V479" s="13"/>
      <c r="W479" s="19"/>
      <c r="X479" s="13"/>
      <c r="Y479" s="557"/>
      <c r="Z479" s="460"/>
      <c r="AA479" s="783"/>
      <c r="AB479" s="460"/>
    </row>
    <row r="480" spans="1:28">
      <c r="A480" s="14"/>
      <c r="B480" s="15"/>
      <c r="C480" s="16"/>
      <c r="D480" s="17"/>
      <c r="E480" s="12"/>
      <c r="F480" s="18"/>
      <c r="G480" s="19"/>
      <c r="H480" s="13"/>
      <c r="I480" s="19"/>
      <c r="J480" s="13"/>
      <c r="K480" s="19"/>
      <c r="L480" s="13"/>
      <c r="M480" s="19"/>
      <c r="N480" s="13"/>
      <c r="O480" s="19"/>
      <c r="P480" s="13"/>
      <c r="Q480" s="19"/>
      <c r="R480" s="13"/>
      <c r="S480" s="19"/>
      <c r="T480" s="13"/>
      <c r="U480" s="19"/>
      <c r="V480" s="13"/>
      <c r="W480" s="19"/>
      <c r="X480" s="13"/>
      <c r="Y480" s="557"/>
      <c r="Z480" s="460"/>
      <c r="AA480" s="783"/>
      <c r="AB480" s="460"/>
    </row>
    <row r="481" spans="1:28">
      <c r="A481" s="14"/>
      <c r="B481" s="15"/>
      <c r="C481" s="16"/>
      <c r="D481" s="17"/>
      <c r="E481" s="12"/>
      <c r="F481" s="18"/>
      <c r="G481" s="19"/>
      <c r="H481" s="13"/>
      <c r="I481" s="19"/>
      <c r="J481" s="13"/>
      <c r="K481" s="19"/>
      <c r="L481" s="13"/>
      <c r="M481" s="19"/>
      <c r="N481" s="13"/>
      <c r="O481" s="19"/>
      <c r="P481" s="13"/>
      <c r="Q481" s="19"/>
      <c r="R481" s="13"/>
      <c r="S481" s="19"/>
      <c r="T481" s="13"/>
      <c r="U481" s="19"/>
      <c r="V481" s="13"/>
      <c r="W481" s="19"/>
      <c r="X481" s="13"/>
      <c r="Y481" s="557"/>
      <c r="Z481" s="460"/>
      <c r="AA481" s="783"/>
      <c r="AB481" s="460"/>
    </row>
    <row r="482" spans="1:28">
      <c r="A482" s="14"/>
      <c r="B482" s="15"/>
      <c r="C482" s="16"/>
      <c r="D482" s="17"/>
      <c r="E482" s="12"/>
      <c r="F482" s="18"/>
      <c r="G482" s="19"/>
      <c r="H482" s="13"/>
      <c r="I482" s="19"/>
      <c r="J482" s="13"/>
      <c r="K482" s="19"/>
      <c r="L482" s="13"/>
      <c r="M482" s="19"/>
      <c r="N482" s="13"/>
      <c r="O482" s="19"/>
      <c r="P482" s="13"/>
      <c r="Q482" s="19"/>
      <c r="R482" s="13"/>
      <c r="S482" s="19"/>
      <c r="T482" s="13"/>
      <c r="U482" s="19"/>
      <c r="V482" s="13"/>
      <c r="W482" s="19"/>
      <c r="X482" s="13"/>
      <c r="Y482" s="557"/>
      <c r="Z482" s="460"/>
      <c r="AA482" s="783"/>
      <c r="AB482" s="460"/>
    </row>
    <row r="483" spans="1:28">
      <c r="A483" s="14"/>
      <c r="B483" s="15"/>
      <c r="C483" s="16"/>
      <c r="D483" s="17"/>
      <c r="E483" s="12"/>
      <c r="F483" s="18"/>
      <c r="G483" s="19"/>
      <c r="H483" s="13"/>
      <c r="I483" s="19"/>
      <c r="J483" s="13"/>
      <c r="K483" s="19"/>
      <c r="L483" s="13"/>
      <c r="M483" s="19"/>
      <c r="N483" s="13"/>
      <c r="O483" s="19"/>
      <c r="P483" s="13"/>
      <c r="Q483" s="19"/>
      <c r="R483" s="13"/>
      <c r="S483" s="19"/>
      <c r="T483" s="13"/>
      <c r="U483" s="19"/>
      <c r="V483" s="13"/>
      <c r="W483" s="19"/>
      <c r="X483" s="13"/>
      <c r="Y483" s="557"/>
      <c r="Z483" s="460"/>
      <c r="AA483" s="783"/>
      <c r="AB483" s="460"/>
    </row>
    <row r="484" spans="1:28">
      <c r="A484" s="14"/>
      <c r="B484" s="15"/>
      <c r="C484" s="16"/>
      <c r="D484" s="17"/>
      <c r="E484" s="12"/>
      <c r="F484" s="18"/>
      <c r="G484" s="19"/>
      <c r="H484" s="13"/>
      <c r="I484" s="19"/>
      <c r="J484" s="13"/>
      <c r="K484" s="19"/>
      <c r="L484" s="13"/>
      <c r="M484" s="19"/>
      <c r="N484" s="13"/>
      <c r="O484" s="19"/>
      <c r="P484" s="13"/>
      <c r="Q484" s="19"/>
      <c r="R484" s="13"/>
      <c r="S484" s="19"/>
      <c r="T484" s="13"/>
      <c r="U484" s="19"/>
      <c r="V484" s="13"/>
      <c r="W484" s="19"/>
      <c r="X484" s="13"/>
      <c r="Y484" s="557"/>
      <c r="Z484" s="460"/>
      <c r="AA484" s="783"/>
      <c r="AB484" s="460"/>
    </row>
    <row r="485" spans="1:28">
      <c r="A485" s="14"/>
      <c r="B485" s="15"/>
      <c r="C485" s="16"/>
      <c r="D485" s="17"/>
      <c r="E485" s="12"/>
      <c r="F485" s="18"/>
      <c r="G485" s="19"/>
      <c r="H485" s="13"/>
      <c r="I485" s="19"/>
      <c r="J485" s="13"/>
      <c r="K485" s="19"/>
      <c r="L485" s="13"/>
      <c r="M485" s="19"/>
      <c r="N485" s="13"/>
      <c r="O485" s="19"/>
      <c r="P485" s="13"/>
      <c r="Q485" s="19"/>
      <c r="R485" s="13"/>
      <c r="S485" s="19"/>
      <c r="T485" s="13"/>
      <c r="U485" s="19"/>
      <c r="V485" s="13"/>
      <c r="W485" s="19"/>
      <c r="X485" s="13"/>
      <c r="Y485" s="557"/>
      <c r="Z485" s="460"/>
      <c r="AA485" s="783"/>
      <c r="AB485" s="460"/>
    </row>
    <row r="486" spans="1:28">
      <c r="A486" s="14"/>
      <c r="B486" s="15"/>
      <c r="C486" s="16"/>
      <c r="D486" s="17"/>
      <c r="E486" s="12"/>
      <c r="F486" s="18"/>
      <c r="G486" s="19"/>
      <c r="H486" s="13"/>
      <c r="I486" s="19"/>
      <c r="J486" s="13"/>
      <c r="K486" s="19"/>
      <c r="L486" s="13"/>
      <c r="M486" s="19"/>
      <c r="N486" s="13"/>
      <c r="O486" s="19"/>
      <c r="P486" s="13"/>
      <c r="Q486" s="19"/>
      <c r="R486" s="13"/>
      <c r="S486" s="19"/>
      <c r="T486" s="13"/>
      <c r="U486" s="19"/>
      <c r="V486" s="13"/>
      <c r="W486" s="19"/>
      <c r="X486" s="13"/>
      <c r="Y486" s="557"/>
      <c r="Z486" s="460"/>
      <c r="AA486" s="783"/>
      <c r="AB486" s="460"/>
    </row>
    <row r="487" spans="1:28">
      <c r="A487" s="14"/>
      <c r="B487" s="15"/>
      <c r="C487" s="16"/>
      <c r="D487" s="17"/>
      <c r="E487" s="12"/>
      <c r="F487" s="18"/>
      <c r="G487" s="19"/>
      <c r="H487" s="13"/>
      <c r="I487" s="19"/>
      <c r="J487" s="13"/>
      <c r="K487" s="19"/>
      <c r="L487" s="13"/>
      <c r="M487" s="19"/>
      <c r="N487" s="13"/>
      <c r="O487" s="19"/>
      <c r="P487" s="13"/>
      <c r="Q487" s="19"/>
      <c r="R487" s="13"/>
      <c r="S487" s="19"/>
      <c r="T487" s="13"/>
      <c r="U487" s="19"/>
      <c r="V487" s="13"/>
      <c r="W487" s="19"/>
      <c r="X487" s="13"/>
      <c r="Y487" s="557"/>
      <c r="Z487" s="460"/>
      <c r="AA487" s="783"/>
      <c r="AB487" s="460"/>
    </row>
    <row r="488" spans="1:28">
      <c r="A488" s="14"/>
      <c r="B488" s="15"/>
      <c r="C488" s="16"/>
      <c r="D488" s="17"/>
      <c r="E488" s="12"/>
      <c r="F488" s="18"/>
      <c r="G488" s="19"/>
      <c r="H488" s="13"/>
      <c r="I488" s="19"/>
      <c r="J488" s="13"/>
      <c r="K488" s="19"/>
      <c r="L488" s="13"/>
      <c r="M488" s="19"/>
      <c r="N488" s="13"/>
      <c r="O488" s="19"/>
      <c r="P488" s="13"/>
      <c r="Q488" s="19"/>
      <c r="R488" s="13"/>
      <c r="S488" s="19"/>
      <c r="T488" s="13"/>
      <c r="U488" s="19"/>
      <c r="V488" s="13"/>
      <c r="W488" s="19"/>
      <c r="X488" s="13"/>
      <c r="Y488" s="557"/>
      <c r="Z488" s="460"/>
      <c r="AA488" s="783"/>
      <c r="AB488" s="460"/>
    </row>
    <row r="489" spans="1:28">
      <c r="A489" s="14"/>
      <c r="B489" s="15"/>
      <c r="C489" s="16"/>
      <c r="D489" s="17"/>
      <c r="E489" s="12"/>
      <c r="F489" s="18"/>
      <c r="G489" s="19"/>
      <c r="H489" s="13"/>
      <c r="I489" s="19"/>
      <c r="J489" s="13"/>
      <c r="K489" s="19"/>
      <c r="L489" s="13"/>
      <c r="M489" s="19"/>
      <c r="N489" s="13"/>
      <c r="O489" s="19"/>
      <c r="P489" s="13"/>
      <c r="Q489" s="19"/>
      <c r="R489" s="13"/>
      <c r="S489" s="19"/>
      <c r="T489" s="13"/>
      <c r="U489" s="19"/>
      <c r="V489" s="13"/>
      <c r="W489" s="19"/>
      <c r="X489" s="13"/>
      <c r="Y489" s="557"/>
      <c r="Z489" s="460"/>
      <c r="AA489" s="783"/>
      <c r="AB489" s="460"/>
    </row>
    <row r="490" spans="1:28">
      <c r="A490" s="14"/>
      <c r="B490" s="15"/>
      <c r="C490" s="16"/>
      <c r="D490" s="17"/>
      <c r="E490" s="12"/>
      <c r="F490" s="18"/>
      <c r="G490" s="19"/>
      <c r="H490" s="13"/>
      <c r="I490" s="19"/>
      <c r="J490" s="13"/>
      <c r="K490" s="19"/>
      <c r="L490" s="13"/>
      <c r="M490" s="19"/>
      <c r="N490" s="13"/>
      <c r="O490" s="19"/>
      <c r="P490" s="13"/>
      <c r="Q490" s="19"/>
      <c r="R490" s="13"/>
      <c r="S490" s="19"/>
      <c r="T490" s="13"/>
      <c r="U490" s="19"/>
      <c r="V490" s="13"/>
      <c r="W490" s="19"/>
      <c r="X490" s="13"/>
      <c r="Y490" s="557"/>
      <c r="Z490" s="460"/>
      <c r="AA490" s="783"/>
      <c r="AB490" s="460"/>
    </row>
    <row r="491" spans="1:28">
      <c r="A491" s="14"/>
      <c r="B491" s="15"/>
      <c r="C491" s="16"/>
      <c r="D491" s="17"/>
      <c r="E491" s="12"/>
      <c r="F491" s="18"/>
      <c r="G491" s="19"/>
      <c r="H491" s="13"/>
      <c r="I491" s="19"/>
      <c r="J491" s="13"/>
      <c r="K491" s="19"/>
      <c r="L491" s="13"/>
      <c r="M491" s="19"/>
      <c r="N491" s="13"/>
      <c r="O491" s="19"/>
      <c r="P491" s="13"/>
      <c r="Q491" s="19"/>
      <c r="R491" s="13"/>
      <c r="S491" s="19"/>
      <c r="T491" s="13"/>
      <c r="U491" s="19"/>
      <c r="V491" s="13"/>
      <c r="W491" s="19"/>
      <c r="X491" s="13"/>
      <c r="Y491" s="557"/>
      <c r="Z491" s="460"/>
      <c r="AA491" s="783"/>
      <c r="AB491" s="460"/>
    </row>
    <row r="492" spans="1:28">
      <c r="A492" s="14"/>
      <c r="B492" s="15"/>
      <c r="C492" s="16"/>
      <c r="D492" s="17"/>
      <c r="E492" s="12"/>
      <c r="F492" s="18"/>
      <c r="G492" s="19"/>
      <c r="H492" s="13"/>
      <c r="I492" s="19"/>
      <c r="J492" s="13"/>
      <c r="K492" s="19"/>
      <c r="L492" s="13"/>
      <c r="M492" s="19"/>
      <c r="N492" s="13"/>
      <c r="O492" s="19"/>
      <c r="P492" s="13"/>
      <c r="Q492" s="19"/>
      <c r="R492" s="13"/>
      <c r="S492" s="19"/>
      <c r="T492" s="13"/>
      <c r="U492" s="19"/>
      <c r="V492" s="13"/>
      <c r="W492" s="19"/>
      <c r="X492" s="13"/>
      <c r="Y492" s="557"/>
      <c r="Z492" s="460"/>
      <c r="AA492" s="783"/>
      <c r="AB492" s="460"/>
    </row>
    <row r="493" spans="1:28">
      <c r="A493" s="14"/>
      <c r="B493" s="15"/>
      <c r="C493" s="16"/>
      <c r="D493" s="17"/>
      <c r="E493" s="12"/>
      <c r="F493" s="18"/>
      <c r="G493" s="19"/>
      <c r="H493" s="13"/>
      <c r="I493" s="19"/>
      <c r="J493" s="13"/>
      <c r="K493" s="19"/>
      <c r="L493" s="13"/>
      <c r="M493" s="19"/>
      <c r="N493" s="13"/>
      <c r="O493" s="19"/>
      <c r="P493" s="13"/>
      <c r="Q493" s="19"/>
      <c r="R493" s="13"/>
      <c r="S493" s="19"/>
      <c r="T493" s="13"/>
      <c r="U493" s="19"/>
      <c r="V493" s="13"/>
      <c r="W493" s="19"/>
      <c r="X493" s="13"/>
      <c r="Y493" s="557"/>
      <c r="Z493" s="460"/>
      <c r="AA493" s="783"/>
      <c r="AB493" s="460"/>
    </row>
    <row r="494" spans="1:28">
      <c r="A494" s="14"/>
      <c r="B494" s="15"/>
      <c r="C494" s="16"/>
      <c r="D494" s="17"/>
      <c r="E494" s="12"/>
      <c r="F494" s="18"/>
      <c r="G494" s="19"/>
      <c r="H494" s="13"/>
      <c r="I494" s="19"/>
      <c r="J494" s="13"/>
      <c r="K494" s="19"/>
      <c r="L494" s="13"/>
      <c r="M494" s="19"/>
      <c r="N494" s="13"/>
      <c r="O494" s="19"/>
      <c r="P494" s="13"/>
      <c r="Q494" s="19"/>
      <c r="R494" s="13"/>
      <c r="S494" s="19"/>
      <c r="T494" s="13"/>
      <c r="U494" s="19"/>
      <c r="V494" s="13"/>
      <c r="W494" s="19"/>
      <c r="X494" s="13"/>
      <c r="Y494" s="557"/>
      <c r="Z494" s="460"/>
      <c r="AA494" s="783"/>
      <c r="AB494" s="460"/>
    </row>
    <row r="495" spans="1:28">
      <c r="A495" s="14"/>
      <c r="B495" s="15"/>
      <c r="C495" s="16"/>
      <c r="D495" s="17"/>
      <c r="E495" s="12"/>
      <c r="F495" s="18"/>
      <c r="G495" s="19"/>
      <c r="H495" s="13"/>
      <c r="I495" s="19"/>
      <c r="J495" s="13"/>
      <c r="K495" s="19"/>
      <c r="L495" s="13"/>
      <c r="M495" s="19"/>
      <c r="N495" s="13"/>
      <c r="O495" s="19"/>
      <c r="P495" s="13"/>
      <c r="Q495" s="19"/>
      <c r="R495" s="13"/>
      <c r="S495" s="19"/>
      <c r="T495" s="13"/>
      <c r="U495" s="19"/>
      <c r="V495" s="13"/>
      <c r="W495" s="19"/>
      <c r="X495" s="13"/>
      <c r="Y495" s="557"/>
      <c r="Z495" s="460"/>
      <c r="AA495" s="783"/>
      <c r="AB495" s="460"/>
    </row>
    <row r="496" spans="1:28">
      <c r="A496" s="14"/>
      <c r="B496" s="15"/>
      <c r="C496" s="16"/>
      <c r="D496" s="17"/>
      <c r="E496" s="12"/>
      <c r="F496" s="18"/>
      <c r="G496" s="19"/>
      <c r="H496" s="13"/>
      <c r="I496" s="19"/>
      <c r="J496" s="13"/>
      <c r="K496" s="19"/>
      <c r="L496" s="13"/>
      <c r="M496" s="19"/>
      <c r="N496" s="13"/>
      <c r="O496" s="19"/>
      <c r="P496" s="13"/>
      <c r="Q496" s="19"/>
      <c r="R496" s="13"/>
      <c r="S496" s="19"/>
      <c r="T496" s="13"/>
      <c r="U496" s="19"/>
      <c r="V496" s="13"/>
      <c r="W496" s="19"/>
      <c r="X496" s="13"/>
      <c r="Y496" s="557"/>
      <c r="Z496" s="460"/>
      <c r="AA496" s="783"/>
      <c r="AB496" s="460"/>
    </row>
    <row r="497" spans="1:28">
      <c r="A497" s="14"/>
      <c r="B497" s="15"/>
      <c r="C497" s="16"/>
      <c r="D497" s="20"/>
      <c r="E497" s="12"/>
      <c r="F497" s="18"/>
      <c r="G497" s="19"/>
      <c r="H497" s="13"/>
      <c r="I497" s="19"/>
      <c r="J497" s="13"/>
      <c r="K497" s="19"/>
      <c r="L497" s="13"/>
      <c r="M497" s="19"/>
      <c r="N497" s="13"/>
      <c r="O497" s="19"/>
      <c r="P497" s="13"/>
      <c r="Q497" s="19"/>
      <c r="R497" s="13"/>
      <c r="S497" s="19"/>
      <c r="T497" s="13"/>
      <c r="U497" s="19"/>
      <c r="V497" s="13"/>
      <c r="W497" s="19"/>
      <c r="X497" s="13"/>
      <c r="Y497" s="557"/>
      <c r="Z497" s="460"/>
      <c r="AA497" s="783"/>
      <c r="AB497" s="460"/>
    </row>
    <row r="498" spans="1:28">
      <c r="A498" s="14"/>
      <c r="B498" s="15"/>
      <c r="C498" s="16"/>
      <c r="D498" s="20"/>
      <c r="E498" s="12"/>
      <c r="F498" s="18"/>
      <c r="G498" s="19"/>
      <c r="H498" s="13"/>
      <c r="I498" s="19"/>
      <c r="J498" s="13"/>
      <c r="K498" s="19"/>
      <c r="L498" s="13"/>
      <c r="M498" s="19"/>
      <c r="N498" s="13"/>
      <c r="O498" s="19"/>
      <c r="P498" s="13"/>
      <c r="Q498" s="19"/>
      <c r="R498" s="13"/>
      <c r="S498" s="19"/>
      <c r="T498" s="13"/>
      <c r="U498" s="19"/>
      <c r="V498" s="13"/>
      <c r="W498" s="19"/>
      <c r="X498" s="13"/>
      <c r="Y498" s="557"/>
      <c r="Z498" s="460"/>
      <c r="AA498" s="783"/>
      <c r="AB498" s="460"/>
    </row>
    <row r="499" spans="1:28" ht="13.5" thickBot="1">
      <c r="A499" s="21"/>
      <c r="B499" s="22"/>
      <c r="C499" s="23"/>
      <c r="D499" s="24"/>
      <c r="E499" s="37"/>
      <c r="F499" s="25"/>
      <c r="G499" s="26"/>
      <c r="H499" s="27"/>
      <c r="I499" s="26"/>
      <c r="J499" s="27"/>
      <c r="K499" s="26"/>
      <c r="L499" s="27"/>
      <c r="M499" s="26"/>
      <c r="N499" s="27"/>
      <c r="O499" s="26"/>
      <c r="P499" s="27"/>
      <c r="Q499" s="26"/>
      <c r="R499" s="27"/>
      <c r="S499" s="26"/>
      <c r="T499" s="27"/>
      <c r="U499" s="26"/>
      <c r="V499" s="27"/>
      <c r="W499" s="26"/>
      <c r="X499" s="27"/>
      <c r="Y499" s="558"/>
      <c r="Z499" s="559"/>
      <c r="AA499" s="571"/>
      <c r="AB499" s="572"/>
    </row>
  </sheetData>
  <sheetProtection sheet="1" objects="1" scenarios="1" formatCells="0" formatColumns="0" formatRows="0" insertColumns="0" insertRows="0" insertHyperlinks="0" deleteColumns="0" deleteRows="0" sort="0" autoFilter="0" pivotTables="0"/>
  <dataConsolidate/>
  <mergeCells count="12">
    <mergeCell ref="AA1:AB1"/>
    <mergeCell ref="O1:P1"/>
    <mergeCell ref="G1:H1"/>
    <mergeCell ref="E3:F3"/>
    <mergeCell ref="I1:J1"/>
    <mergeCell ref="K1:L1"/>
    <mergeCell ref="M1:N1"/>
    <mergeCell ref="Y1:Z1"/>
    <mergeCell ref="Q1:R1"/>
    <mergeCell ref="S1:T1"/>
    <mergeCell ref="U1:V1"/>
    <mergeCell ref="W1:X1"/>
  </mergeCells>
  <phoneticPr fontId="14" type="noConversion"/>
  <conditionalFormatting sqref="A1">
    <cfRule type="cellIs" dxfId="10261" priority="13" stopIfTrue="1" operator="equal">
      <formula>"NOK"</formula>
    </cfRule>
  </conditionalFormatting>
  <conditionalFormatting sqref="W5:W8 W10:W499 U5:U8 U10:U499 S5:S8 S10:S499 Q5:Q8 Q10:Q499 O5:O8 O10:O499 M5:M8 M10:M499 K5:K8 K10:K499 I10:I499 Y5:Y8 Y10:Y499 G5:G499 I5:I8">
    <cfRule type="cellIs" dxfId="10260" priority="12" stopIfTrue="1" operator="notEqual">
      <formula>H5</formula>
    </cfRule>
  </conditionalFormatting>
  <conditionalFormatting sqref="I9">
    <cfRule type="cellIs" dxfId="10259" priority="11" stopIfTrue="1" operator="notEqual">
      <formula>J9</formula>
    </cfRule>
  </conditionalFormatting>
  <conditionalFormatting sqref="K9">
    <cfRule type="cellIs" dxfId="10258" priority="10" stopIfTrue="1" operator="notEqual">
      <formula>L9</formula>
    </cfRule>
  </conditionalFormatting>
  <conditionalFormatting sqref="M9">
    <cfRule type="cellIs" dxfId="10257" priority="9" stopIfTrue="1" operator="notEqual">
      <formula>N9</formula>
    </cfRule>
  </conditionalFormatting>
  <conditionalFormatting sqref="O9">
    <cfRule type="cellIs" dxfId="10256" priority="8" stopIfTrue="1" operator="notEqual">
      <formula>P9</formula>
    </cfRule>
  </conditionalFormatting>
  <conditionalFormatting sqref="Q9">
    <cfRule type="cellIs" dxfId="10255" priority="7" stopIfTrue="1" operator="notEqual">
      <formula>R9</formula>
    </cfRule>
  </conditionalFormatting>
  <conditionalFormatting sqref="S9">
    <cfRule type="cellIs" dxfId="10254" priority="6" stopIfTrue="1" operator="notEqual">
      <formula>T9</formula>
    </cfRule>
  </conditionalFormatting>
  <conditionalFormatting sqref="U9">
    <cfRule type="cellIs" dxfId="10253" priority="5" stopIfTrue="1" operator="notEqual">
      <formula>V9</formula>
    </cfRule>
  </conditionalFormatting>
  <conditionalFormatting sqref="W9">
    <cfRule type="cellIs" dxfId="10252" priority="4" stopIfTrue="1" operator="notEqual">
      <formula>X9</formula>
    </cfRule>
  </conditionalFormatting>
  <conditionalFormatting sqref="Y9">
    <cfRule type="cellIs" dxfId="10251" priority="3" stopIfTrue="1" operator="notEqual">
      <formula>Z9</formula>
    </cfRule>
  </conditionalFormatting>
  <conditionalFormatting sqref="AA5:AA8 AA10:AA499">
    <cfRule type="cellIs" dxfId="10250" priority="2" stopIfTrue="1" operator="notEqual">
      <formula>AB5</formula>
    </cfRule>
  </conditionalFormatting>
  <conditionalFormatting sqref="AA9">
    <cfRule type="cellIs" dxfId="10249" priority="1" stopIfTrue="1" operator="notEqual">
      <formula>AB9</formula>
    </cfRule>
  </conditionalFormatting>
  <dataValidations count="1">
    <dataValidation type="list" allowBlank="1" showInputMessage="1" showErrorMessage="1" sqref="Y1">
      <formula1>DrumSeparatorV2VariablesList</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sheetPr codeName="Sheet71">
    <tabColor rgb="FF92D050"/>
  </sheetPr>
  <dimension ref="A1:P499"/>
  <sheetViews>
    <sheetView showGridLines="0" zoomScale="85" zoomScaleNormal="85" workbookViewId="0">
      <pane xSplit="6" ySplit="4" topLeftCell="G5" activePane="bottomRight" state="frozenSplit"/>
      <selection activeCell="I6" sqref="I6"/>
      <selection pane="topRight" activeCell="I6" sqref="I6"/>
      <selection pane="bottomLeft" activeCell="I6" sqref="I6"/>
      <selection pane="bottomRight" activeCell="F1" sqref="F1"/>
    </sheetView>
  </sheetViews>
  <sheetFormatPr defaultRowHeight="12.75"/>
  <cols>
    <col min="1" max="1" width="24.625" style="527" customWidth="1"/>
    <col min="2" max="2" width="7.125" style="527" customWidth="1"/>
    <col min="3" max="3" width="9" style="29"/>
    <col min="4" max="4" width="16" style="527" customWidth="1"/>
    <col min="5" max="5" width="16.625" style="527" customWidth="1"/>
    <col min="6" max="6" width="16.625" style="528" customWidth="1"/>
    <col min="7" max="7" width="9.75" style="560" customWidth="1"/>
    <col min="8" max="8" width="9.75" style="561" customWidth="1"/>
    <col min="9" max="9" width="9.75" style="560" customWidth="1"/>
    <col min="10" max="10" width="9.75" style="561" customWidth="1"/>
    <col min="11" max="11" width="9.75" style="560" customWidth="1"/>
    <col min="12" max="12" width="9.75" style="561" customWidth="1"/>
    <col min="13" max="13" width="13" style="560" customWidth="1"/>
    <col min="14" max="14" width="9.75" style="561" customWidth="1"/>
    <col min="15" max="15" width="1.25" style="514" customWidth="1"/>
    <col min="16" max="16" width="21.375" style="514" customWidth="1"/>
    <col min="17" max="262" width="9" style="514"/>
    <col min="263" max="263" width="12" style="514" customWidth="1"/>
    <col min="264" max="264" width="7.125" style="514" customWidth="1"/>
    <col min="265" max="265" width="9" style="514"/>
    <col min="266" max="266" width="16" style="514" customWidth="1"/>
    <col min="267" max="267" width="13.75" style="514" customWidth="1"/>
    <col min="268" max="269" width="9.75" style="514" customWidth="1"/>
    <col min="270" max="518" width="9" style="514"/>
    <col min="519" max="519" width="12" style="514" customWidth="1"/>
    <col min="520" max="520" width="7.125" style="514" customWidth="1"/>
    <col min="521" max="521" width="9" style="514"/>
    <col min="522" max="522" width="16" style="514" customWidth="1"/>
    <col min="523" max="523" width="13.75" style="514" customWidth="1"/>
    <col min="524" max="525" width="9.75" style="514" customWidth="1"/>
    <col min="526" max="774" width="9" style="514"/>
    <col min="775" max="775" width="12" style="514" customWidth="1"/>
    <col min="776" max="776" width="7.125" style="514" customWidth="1"/>
    <col min="777" max="777" width="9" style="514"/>
    <col min="778" max="778" width="16" style="514" customWidth="1"/>
    <col min="779" max="779" width="13.75" style="514" customWidth="1"/>
    <col min="780" max="781" width="9.75" style="514" customWidth="1"/>
    <col min="782" max="1030" width="9" style="514"/>
    <col min="1031" max="1031" width="12" style="514" customWidth="1"/>
    <col min="1032" max="1032" width="7.125" style="514" customWidth="1"/>
    <col min="1033" max="1033" width="9" style="514"/>
    <col min="1034" max="1034" width="16" style="514" customWidth="1"/>
    <col min="1035" max="1035" width="13.75" style="514" customWidth="1"/>
    <col min="1036" max="1037" width="9.75" style="514" customWidth="1"/>
    <col min="1038" max="1286" width="9" style="514"/>
    <col min="1287" max="1287" width="12" style="514" customWidth="1"/>
    <col min="1288" max="1288" width="7.125" style="514" customWidth="1"/>
    <col min="1289" max="1289" width="9" style="514"/>
    <col min="1290" max="1290" width="16" style="514" customWidth="1"/>
    <col min="1291" max="1291" width="13.75" style="514" customWidth="1"/>
    <col min="1292" max="1293" width="9.75" style="514" customWidth="1"/>
    <col min="1294" max="1542" width="9" style="514"/>
    <col min="1543" max="1543" width="12" style="514" customWidth="1"/>
    <col min="1544" max="1544" width="7.125" style="514" customWidth="1"/>
    <col min="1545" max="1545" width="9" style="514"/>
    <col min="1546" max="1546" width="16" style="514" customWidth="1"/>
    <col min="1547" max="1547" width="13.75" style="514" customWidth="1"/>
    <col min="1548" max="1549" width="9.75" style="514" customWidth="1"/>
    <col min="1550" max="1798" width="9" style="514"/>
    <col min="1799" max="1799" width="12" style="514" customWidth="1"/>
    <col min="1800" max="1800" width="7.125" style="514" customWidth="1"/>
    <col min="1801" max="1801" width="9" style="514"/>
    <col min="1802" max="1802" width="16" style="514" customWidth="1"/>
    <col min="1803" max="1803" width="13.75" style="514" customWidth="1"/>
    <col min="1804" max="1805" width="9.75" style="514" customWidth="1"/>
    <col min="1806" max="2054" width="9" style="514"/>
    <col min="2055" max="2055" width="12" style="514" customWidth="1"/>
    <col min="2056" max="2056" width="7.125" style="514" customWidth="1"/>
    <col min="2057" max="2057" width="9" style="514"/>
    <col min="2058" max="2058" width="16" style="514" customWidth="1"/>
    <col min="2059" max="2059" width="13.75" style="514" customWidth="1"/>
    <col min="2060" max="2061" width="9.75" style="514" customWidth="1"/>
    <col min="2062" max="2310" width="9" style="514"/>
    <col min="2311" max="2311" width="12" style="514" customWidth="1"/>
    <col min="2312" max="2312" width="7.125" style="514" customWidth="1"/>
    <col min="2313" max="2313" width="9" style="514"/>
    <col min="2314" max="2314" width="16" style="514" customWidth="1"/>
    <col min="2315" max="2315" width="13.75" style="514" customWidth="1"/>
    <col min="2316" max="2317" width="9.75" style="514" customWidth="1"/>
    <col min="2318" max="2566" width="9" style="514"/>
    <col min="2567" max="2567" width="12" style="514" customWidth="1"/>
    <col min="2568" max="2568" width="7.125" style="514" customWidth="1"/>
    <col min="2569" max="2569" width="9" style="514"/>
    <col min="2570" max="2570" width="16" style="514" customWidth="1"/>
    <col min="2571" max="2571" width="13.75" style="514" customWidth="1"/>
    <col min="2572" max="2573" width="9.75" style="514" customWidth="1"/>
    <col min="2574" max="2822" width="9" style="514"/>
    <col min="2823" max="2823" width="12" style="514" customWidth="1"/>
    <col min="2824" max="2824" width="7.125" style="514" customWidth="1"/>
    <col min="2825" max="2825" width="9" style="514"/>
    <col min="2826" max="2826" width="16" style="514" customWidth="1"/>
    <col min="2827" max="2827" width="13.75" style="514" customWidth="1"/>
    <col min="2828" max="2829" width="9.75" style="514" customWidth="1"/>
    <col min="2830" max="3078" width="9" style="514"/>
    <col min="3079" max="3079" width="12" style="514" customWidth="1"/>
    <col min="3080" max="3080" width="7.125" style="514" customWidth="1"/>
    <col min="3081" max="3081" width="9" style="514"/>
    <col min="3082" max="3082" width="16" style="514" customWidth="1"/>
    <col min="3083" max="3083" width="13.75" style="514" customWidth="1"/>
    <col min="3084" max="3085" width="9.75" style="514" customWidth="1"/>
    <col min="3086" max="3334" width="9" style="514"/>
    <col min="3335" max="3335" width="12" style="514" customWidth="1"/>
    <col min="3336" max="3336" width="7.125" style="514" customWidth="1"/>
    <col min="3337" max="3337" width="9" style="514"/>
    <col min="3338" max="3338" width="16" style="514" customWidth="1"/>
    <col min="3339" max="3339" width="13.75" style="514" customWidth="1"/>
    <col min="3340" max="3341" width="9.75" style="514" customWidth="1"/>
    <col min="3342" max="3590" width="9" style="514"/>
    <col min="3591" max="3591" width="12" style="514" customWidth="1"/>
    <col min="3592" max="3592" width="7.125" style="514" customWidth="1"/>
    <col min="3593" max="3593" width="9" style="514"/>
    <col min="3594" max="3594" width="16" style="514" customWidth="1"/>
    <col min="3595" max="3595" width="13.75" style="514" customWidth="1"/>
    <col min="3596" max="3597" width="9.75" style="514" customWidth="1"/>
    <col min="3598" max="3846" width="9" style="514"/>
    <col min="3847" max="3847" width="12" style="514" customWidth="1"/>
    <col min="3848" max="3848" width="7.125" style="514" customWidth="1"/>
    <col min="3849" max="3849" width="9" style="514"/>
    <col min="3850" max="3850" width="16" style="514" customWidth="1"/>
    <col min="3851" max="3851" width="13.75" style="514" customWidth="1"/>
    <col min="3852" max="3853" width="9.75" style="514" customWidth="1"/>
    <col min="3854" max="4102" width="9" style="514"/>
    <col min="4103" max="4103" width="12" style="514" customWidth="1"/>
    <col min="4104" max="4104" width="7.125" style="514" customWidth="1"/>
    <col min="4105" max="4105" width="9" style="514"/>
    <col min="4106" max="4106" width="16" style="514" customWidth="1"/>
    <col min="4107" max="4107" width="13.75" style="514" customWidth="1"/>
    <col min="4108" max="4109" width="9.75" style="514" customWidth="1"/>
    <col min="4110" max="4358" width="9" style="514"/>
    <col min="4359" max="4359" width="12" style="514" customWidth="1"/>
    <col min="4360" max="4360" width="7.125" style="514" customWidth="1"/>
    <col min="4361" max="4361" width="9" style="514"/>
    <col min="4362" max="4362" width="16" style="514" customWidth="1"/>
    <col min="4363" max="4363" width="13.75" style="514" customWidth="1"/>
    <col min="4364" max="4365" width="9.75" style="514" customWidth="1"/>
    <col min="4366" max="4614" width="9" style="514"/>
    <col min="4615" max="4615" width="12" style="514" customWidth="1"/>
    <col min="4616" max="4616" width="7.125" style="514" customWidth="1"/>
    <col min="4617" max="4617" width="9" style="514"/>
    <col min="4618" max="4618" width="16" style="514" customWidth="1"/>
    <col min="4619" max="4619" width="13.75" style="514" customWidth="1"/>
    <col min="4620" max="4621" width="9.75" style="514" customWidth="1"/>
    <col min="4622" max="4870" width="9" style="514"/>
    <col min="4871" max="4871" width="12" style="514" customWidth="1"/>
    <col min="4872" max="4872" width="7.125" style="514" customWidth="1"/>
    <col min="4873" max="4873" width="9" style="514"/>
    <col min="4874" max="4874" width="16" style="514" customWidth="1"/>
    <col min="4875" max="4875" width="13.75" style="514" customWidth="1"/>
    <col min="4876" max="4877" width="9.75" style="514" customWidth="1"/>
    <col min="4878" max="5126" width="9" style="514"/>
    <col min="5127" max="5127" width="12" style="514" customWidth="1"/>
    <col min="5128" max="5128" width="7.125" style="514" customWidth="1"/>
    <col min="5129" max="5129" width="9" style="514"/>
    <col min="5130" max="5130" width="16" style="514" customWidth="1"/>
    <col min="5131" max="5131" width="13.75" style="514" customWidth="1"/>
    <col min="5132" max="5133" width="9.75" style="514" customWidth="1"/>
    <col min="5134" max="5382" width="9" style="514"/>
    <col min="5383" max="5383" width="12" style="514" customWidth="1"/>
    <col min="5384" max="5384" width="7.125" style="514" customWidth="1"/>
    <col min="5385" max="5385" width="9" style="514"/>
    <col min="5386" max="5386" width="16" style="514" customWidth="1"/>
    <col min="5387" max="5387" width="13.75" style="514" customWidth="1"/>
    <col min="5388" max="5389" width="9.75" style="514" customWidth="1"/>
    <col min="5390" max="5638" width="9" style="514"/>
    <col min="5639" max="5639" width="12" style="514" customWidth="1"/>
    <col min="5640" max="5640" width="7.125" style="514" customWidth="1"/>
    <col min="5641" max="5641" width="9" style="514"/>
    <col min="5642" max="5642" width="16" style="514" customWidth="1"/>
    <col min="5643" max="5643" width="13.75" style="514" customWidth="1"/>
    <col min="5644" max="5645" width="9.75" style="514" customWidth="1"/>
    <col min="5646" max="5894" width="9" style="514"/>
    <col min="5895" max="5895" width="12" style="514" customWidth="1"/>
    <col min="5896" max="5896" width="7.125" style="514" customWidth="1"/>
    <col min="5897" max="5897" width="9" style="514"/>
    <col min="5898" max="5898" width="16" style="514" customWidth="1"/>
    <col min="5899" max="5899" width="13.75" style="514" customWidth="1"/>
    <col min="5900" max="5901" width="9.75" style="514" customWidth="1"/>
    <col min="5902" max="6150" width="9" style="514"/>
    <col min="6151" max="6151" width="12" style="514" customWidth="1"/>
    <col min="6152" max="6152" width="7.125" style="514" customWidth="1"/>
    <col min="6153" max="6153" width="9" style="514"/>
    <col min="6154" max="6154" width="16" style="514" customWidth="1"/>
    <col min="6155" max="6155" width="13.75" style="514" customWidth="1"/>
    <col min="6156" max="6157" width="9.75" style="514" customWidth="1"/>
    <col min="6158" max="6406" width="9" style="514"/>
    <col min="6407" max="6407" width="12" style="514" customWidth="1"/>
    <col min="6408" max="6408" width="7.125" style="514" customWidth="1"/>
    <col min="6409" max="6409" width="9" style="514"/>
    <col min="6410" max="6410" width="16" style="514" customWidth="1"/>
    <col min="6411" max="6411" width="13.75" style="514" customWidth="1"/>
    <col min="6412" max="6413" width="9.75" style="514" customWidth="1"/>
    <col min="6414" max="6662" width="9" style="514"/>
    <col min="6663" max="6663" width="12" style="514" customWidth="1"/>
    <col min="6664" max="6664" width="7.125" style="514" customWidth="1"/>
    <col min="6665" max="6665" width="9" style="514"/>
    <col min="6666" max="6666" width="16" style="514" customWidth="1"/>
    <col min="6667" max="6667" width="13.75" style="514" customWidth="1"/>
    <col min="6668" max="6669" width="9.75" style="514" customWidth="1"/>
    <col min="6670" max="6918" width="9" style="514"/>
    <col min="6919" max="6919" width="12" style="514" customWidth="1"/>
    <col min="6920" max="6920" width="7.125" style="514" customWidth="1"/>
    <col min="6921" max="6921" width="9" style="514"/>
    <col min="6922" max="6922" width="16" style="514" customWidth="1"/>
    <col min="6923" max="6923" width="13.75" style="514" customWidth="1"/>
    <col min="6924" max="6925" width="9.75" style="514" customWidth="1"/>
    <col min="6926" max="7174" width="9" style="514"/>
    <col min="7175" max="7175" width="12" style="514" customWidth="1"/>
    <col min="7176" max="7176" width="7.125" style="514" customWidth="1"/>
    <col min="7177" max="7177" width="9" style="514"/>
    <col min="7178" max="7178" width="16" style="514" customWidth="1"/>
    <col min="7179" max="7179" width="13.75" style="514" customWidth="1"/>
    <col min="7180" max="7181" width="9.75" style="514" customWidth="1"/>
    <col min="7182" max="7430" width="9" style="514"/>
    <col min="7431" max="7431" width="12" style="514" customWidth="1"/>
    <col min="7432" max="7432" width="7.125" style="514" customWidth="1"/>
    <col min="7433" max="7433" width="9" style="514"/>
    <col min="7434" max="7434" width="16" style="514" customWidth="1"/>
    <col min="7435" max="7435" width="13.75" style="514" customWidth="1"/>
    <col min="7436" max="7437" width="9.75" style="514" customWidth="1"/>
    <col min="7438" max="7686" width="9" style="514"/>
    <col min="7687" max="7687" width="12" style="514" customWidth="1"/>
    <col min="7688" max="7688" width="7.125" style="514" customWidth="1"/>
    <col min="7689" max="7689" width="9" style="514"/>
    <col min="7690" max="7690" width="16" style="514" customWidth="1"/>
    <col min="7691" max="7691" width="13.75" style="514" customWidth="1"/>
    <col min="7692" max="7693" width="9.75" style="514" customWidth="1"/>
    <col min="7694" max="7942" width="9" style="514"/>
    <col min="7943" max="7943" width="12" style="514" customWidth="1"/>
    <col min="7944" max="7944" width="7.125" style="514" customWidth="1"/>
    <col min="7945" max="7945" width="9" style="514"/>
    <col min="7946" max="7946" width="16" style="514" customWidth="1"/>
    <col min="7947" max="7947" width="13.75" style="514" customWidth="1"/>
    <col min="7948" max="7949" width="9.75" style="514" customWidth="1"/>
    <col min="7950" max="8198" width="9" style="514"/>
    <col min="8199" max="8199" width="12" style="514" customWidth="1"/>
    <col min="8200" max="8200" width="7.125" style="514" customWidth="1"/>
    <col min="8201" max="8201" width="9" style="514"/>
    <col min="8202" max="8202" width="16" style="514" customWidth="1"/>
    <col min="8203" max="8203" width="13.75" style="514" customWidth="1"/>
    <col min="8204" max="8205" width="9.75" style="514" customWidth="1"/>
    <col min="8206" max="8454" width="9" style="514"/>
    <col min="8455" max="8455" width="12" style="514" customWidth="1"/>
    <col min="8456" max="8456" width="7.125" style="514" customWidth="1"/>
    <col min="8457" max="8457" width="9" style="514"/>
    <col min="8458" max="8458" width="16" style="514" customWidth="1"/>
    <col min="8459" max="8459" width="13.75" style="514" customWidth="1"/>
    <col min="8460" max="8461" width="9.75" style="514" customWidth="1"/>
    <col min="8462" max="8710" width="9" style="514"/>
    <col min="8711" max="8711" width="12" style="514" customWidth="1"/>
    <col min="8712" max="8712" width="7.125" style="514" customWidth="1"/>
    <col min="8713" max="8713" width="9" style="514"/>
    <col min="8714" max="8714" width="16" style="514" customWidth="1"/>
    <col min="8715" max="8715" width="13.75" style="514" customWidth="1"/>
    <col min="8716" max="8717" width="9.75" style="514" customWidth="1"/>
    <col min="8718" max="8966" width="9" style="514"/>
    <col min="8967" max="8967" width="12" style="514" customWidth="1"/>
    <col min="8968" max="8968" width="7.125" style="514" customWidth="1"/>
    <col min="8969" max="8969" width="9" style="514"/>
    <col min="8970" max="8970" width="16" style="514" customWidth="1"/>
    <col min="8971" max="8971" width="13.75" style="514" customWidth="1"/>
    <col min="8972" max="8973" width="9.75" style="514" customWidth="1"/>
    <col min="8974" max="9222" width="9" style="514"/>
    <col min="9223" max="9223" width="12" style="514" customWidth="1"/>
    <col min="9224" max="9224" width="7.125" style="514" customWidth="1"/>
    <col min="9225" max="9225" width="9" style="514"/>
    <col min="9226" max="9226" width="16" style="514" customWidth="1"/>
    <col min="9227" max="9227" width="13.75" style="514" customWidth="1"/>
    <col min="9228" max="9229" width="9.75" style="514" customWidth="1"/>
    <col min="9230" max="9478" width="9" style="514"/>
    <col min="9479" max="9479" width="12" style="514" customWidth="1"/>
    <col min="9480" max="9480" width="7.125" style="514" customWidth="1"/>
    <col min="9481" max="9481" width="9" style="514"/>
    <col min="9482" max="9482" width="16" style="514" customWidth="1"/>
    <col min="9483" max="9483" width="13.75" style="514" customWidth="1"/>
    <col min="9484" max="9485" width="9.75" style="514" customWidth="1"/>
    <col min="9486" max="9734" width="9" style="514"/>
    <col min="9735" max="9735" width="12" style="514" customWidth="1"/>
    <col min="9736" max="9736" width="7.125" style="514" customWidth="1"/>
    <col min="9737" max="9737" width="9" style="514"/>
    <col min="9738" max="9738" width="16" style="514" customWidth="1"/>
    <col min="9739" max="9739" width="13.75" style="514" customWidth="1"/>
    <col min="9740" max="9741" width="9.75" style="514" customWidth="1"/>
    <col min="9742" max="9990" width="9" style="514"/>
    <col min="9991" max="9991" width="12" style="514" customWidth="1"/>
    <col min="9992" max="9992" width="7.125" style="514" customWidth="1"/>
    <col min="9993" max="9993" width="9" style="514"/>
    <col min="9994" max="9994" width="16" style="514" customWidth="1"/>
    <col min="9995" max="9995" width="13.75" style="514" customWidth="1"/>
    <col min="9996" max="9997" width="9.75" style="514" customWidth="1"/>
    <col min="9998" max="10246" width="9" style="514"/>
    <col min="10247" max="10247" width="12" style="514" customWidth="1"/>
    <col min="10248" max="10248" width="7.125" style="514" customWidth="1"/>
    <col min="10249" max="10249" width="9" style="514"/>
    <col min="10250" max="10250" width="16" style="514" customWidth="1"/>
    <col min="10251" max="10251" width="13.75" style="514" customWidth="1"/>
    <col min="10252" max="10253" width="9.75" style="514" customWidth="1"/>
    <col min="10254" max="10502" width="9" style="514"/>
    <col min="10503" max="10503" width="12" style="514" customWidth="1"/>
    <col min="10504" max="10504" width="7.125" style="514" customWidth="1"/>
    <col min="10505" max="10505" width="9" style="514"/>
    <col min="10506" max="10506" width="16" style="514" customWidth="1"/>
    <col min="10507" max="10507" width="13.75" style="514" customWidth="1"/>
    <col min="10508" max="10509" width="9.75" style="514" customWidth="1"/>
    <col min="10510" max="10758" width="9" style="514"/>
    <col min="10759" max="10759" width="12" style="514" customWidth="1"/>
    <col min="10760" max="10760" width="7.125" style="514" customWidth="1"/>
    <col min="10761" max="10761" width="9" style="514"/>
    <col min="10762" max="10762" width="16" style="514" customWidth="1"/>
    <col min="10763" max="10763" width="13.75" style="514" customWidth="1"/>
    <col min="10764" max="10765" width="9.75" style="514" customWidth="1"/>
    <col min="10766" max="11014" width="9" style="514"/>
    <col min="11015" max="11015" width="12" style="514" customWidth="1"/>
    <col min="11016" max="11016" width="7.125" style="514" customWidth="1"/>
    <col min="11017" max="11017" width="9" style="514"/>
    <col min="11018" max="11018" width="16" style="514" customWidth="1"/>
    <col min="11019" max="11019" width="13.75" style="514" customWidth="1"/>
    <col min="11020" max="11021" width="9.75" style="514" customWidth="1"/>
    <col min="11022" max="11270" width="9" style="514"/>
    <col min="11271" max="11271" width="12" style="514" customWidth="1"/>
    <col min="11272" max="11272" width="7.125" style="514" customWidth="1"/>
    <col min="11273" max="11273" width="9" style="514"/>
    <col min="11274" max="11274" width="16" style="514" customWidth="1"/>
    <col min="11275" max="11275" width="13.75" style="514" customWidth="1"/>
    <col min="11276" max="11277" width="9.75" style="514" customWidth="1"/>
    <col min="11278" max="11526" width="9" style="514"/>
    <col min="11527" max="11527" width="12" style="514" customWidth="1"/>
    <col min="11528" max="11528" width="7.125" style="514" customWidth="1"/>
    <col min="11529" max="11529" width="9" style="514"/>
    <col min="11530" max="11530" width="16" style="514" customWidth="1"/>
    <col min="11531" max="11531" width="13.75" style="514" customWidth="1"/>
    <col min="11532" max="11533" width="9.75" style="514" customWidth="1"/>
    <col min="11534" max="11782" width="9" style="514"/>
    <col min="11783" max="11783" width="12" style="514" customWidth="1"/>
    <col min="11784" max="11784" width="7.125" style="514" customWidth="1"/>
    <col min="11785" max="11785" width="9" style="514"/>
    <col min="11786" max="11786" width="16" style="514" customWidth="1"/>
    <col min="11787" max="11787" width="13.75" style="514" customWidth="1"/>
    <col min="11788" max="11789" width="9.75" style="514" customWidth="1"/>
    <col min="11790" max="12038" width="9" style="514"/>
    <col min="12039" max="12039" width="12" style="514" customWidth="1"/>
    <col min="12040" max="12040" width="7.125" style="514" customWidth="1"/>
    <col min="12041" max="12041" width="9" style="514"/>
    <col min="12042" max="12042" width="16" style="514" customWidth="1"/>
    <col min="12043" max="12043" width="13.75" style="514" customWidth="1"/>
    <col min="12044" max="12045" width="9.75" style="514" customWidth="1"/>
    <col min="12046" max="12294" width="9" style="514"/>
    <col min="12295" max="12295" width="12" style="514" customWidth="1"/>
    <col min="12296" max="12296" width="7.125" style="514" customWidth="1"/>
    <col min="12297" max="12297" width="9" style="514"/>
    <col min="12298" max="12298" width="16" style="514" customWidth="1"/>
    <col min="12299" max="12299" width="13.75" style="514" customWidth="1"/>
    <col min="12300" max="12301" width="9.75" style="514" customWidth="1"/>
    <col min="12302" max="12550" width="9" style="514"/>
    <col min="12551" max="12551" width="12" style="514" customWidth="1"/>
    <col min="12552" max="12552" width="7.125" style="514" customWidth="1"/>
    <col min="12553" max="12553" width="9" style="514"/>
    <col min="12554" max="12554" width="16" style="514" customWidth="1"/>
    <col min="12555" max="12555" width="13.75" style="514" customWidth="1"/>
    <col min="12556" max="12557" width="9.75" style="514" customWidth="1"/>
    <col min="12558" max="12806" width="9" style="514"/>
    <col min="12807" max="12807" width="12" style="514" customWidth="1"/>
    <col min="12808" max="12808" width="7.125" style="514" customWidth="1"/>
    <col min="12809" max="12809" width="9" style="514"/>
    <col min="12810" max="12810" width="16" style="514" customWidth="1"/>
    <col min="12811" max="12811" width="13.75" style="514" customWidth="1"/>
    <col min="12812" max="12813" width="9.75" style="514" customWidth="1"/>
    <col min="12814" max="13062" width="9" style="514"/>
    <col min="13063" max="13063" width="12" style="514" customWidth="1"/>
    <col min="13064" max="13064" width="7.125" style="514" customWidth="1"/>
    <col min="13065" max="13065" width="9" style="514"/>
    <col min="13066" max="13066" width="16" style="514" customWidth="1"/>
    <col min="13067" max="13067" width="13.75" style="514" customWidth="1"/>
    <col min="13068" max="13069" width="9.75" style="514" customWidth="1"/>
    <col min="13070" max="13318" width="9" style="514"/>
    <col min="13319" max="13319" width="12" style="514" customWidth="1"/>
    <col min="13320" max="13320" width="7.125" style="514" customWidth="1"/>
    <col min="13321" max="13321" width="9" style="514"/>
    <col min="13322" max="13322" width="16" style="514" customWidth="1"/>
    <col min="13323" max="13323" width="13.75" style="514" customWidth="1"/>
    <col min="13324" max="13325" width="9.75" style="514" customWidth="1"/>
    <col min="13326" max="13574" width="9" style="514"/>
    <col min="13575" max="13575" width="12" style="514" customWidth="1"/>
    <col min="13576" max="13576" width="7.125" style="514" customWidth="1"/>
    <col min="13577" max="13577" width="9" style="514"/>
    <col min="13578" max="13578" width="16" style="514" customWidth="1"/>
    <col min="13579" max="13579" width="13.75" style="514" customWidth="1"/>
    <col min="13580" max="13581" width="9.75" style="514" customWidth="1"/>
    <col min="13582" max="13830" width="9" style="514"/>
    <col min="13831" max="13831" width="12" style="514" customWidth="1"/>
    <col min="13832" max="13832" width="7.125" style="514" customWidth="1"/>
    <col min="13833" max="13833" width="9" style="514"/>
    <col min="13834" max="13834" width="16" style="514" customWidth="1"/>
    <col min="13835" max="13835" width="13.75" style="514" customWidth="1"/>
    <col min="13836" max="13837" width="9.75" style="514" customWidth="1"/>
    <col min="13838" max="14086" width="9" style="514"/>
    <col min="14087" max="14087" width="12" style="514" customWidth="1"/>
    <col min="14088" max="14088" width="7.125" style="514" customWidth="1"/>
    <col min="14089" max="14089" width="9" style="514"/>
    <col min="14090" max="14090" width="16" style="514" customWidth="1"/>
    <col min="14091" max="14091" width="13.75" style="514" customWidth="1"/>
    <col min="14092" max="14093" width="9.75" style="514" customWidth="1"/>
    <col min="14094" max="14342" width="9" style="514"/>
    <col min="14343" max="14343" width="12" style="514" customWidth="1"/>
    <col min="14344" max="14344" width="7.125" style="514" customWidth="1"/>
    <col min="14345" max="14345" width="9" style="514"/>
    <col min="14346" max="14346" width="16" style="514" customWidth="1"/>
    <col min="14347" max="14347" width="13.75" style="514" customWidth="1"/>
    <col min="14348" max="14349" width="9.75" style="514" customWidth="1"/>
    <col min="14350" max="14598" width="9" style="514"/>
    <col min="14599" max="14599" width="12" style="514" customWidth="1"/>
    <col min="14600" max="14600" width="7.125" style="514" customWidth="1"/>
    <col min="14601" max="14601" width="9" style="514"/>
    <col min="14602" max="14602" width="16" style="514" customWidth="1"/>
    <col min="14603" max="14603" width="13.75" style="514" customWidth="1"/>
    <col min="14604" max="14605" width="9.75" style="514" customWidth="1"/>
    <col min="14606" max="14854" width="9" style="514"/>
    <col min="14855" max="14855" width="12" style="514" customWidth="1"/>
    <col min="14856" max="14856" width="7.125" style="514" customWidth="1"/>
    <col min="14857" max="14857" width="9" style="514"/>
    <col min="14858" max="14858" width="16" style="514" customWidth="1"/>
    <col min="14859" max="14859" width="13.75" style="514" customWidth="1"/>
    <col min="14860" max="14861" width="9.75" style="514" customWidth="1"/>
    <col min="14862" max="15110" width="9" style="514"/>
    <col min="15111" max="15111" width="12" style="514" customWidth="1"/>
    <col min="15112" max="15112" width="7.125" style="514" customWidth="1"/>
    <col min="15113" max="15113" width="9" style="514"/>
    <col min="15114" max="15114" width="16" style="514" customWidth="1"/>
    <col min="15115" max="15115" width="13.75" style="514" customWidth="1"/>
    <col min="15116" max="15117" width="9.75" style="514" customWidth="1"/>
    <col min="15118" max="15366" width="9" style="514"/>
    <col min="15367" max="15367" width="12" style="514" customWidth="1"/>
    <col min="15368" max="15368" width="7.125" style="514" customWidth="1"/>
    <col min="15369" max="15369" width="9" style="514"/>
    <col min="15370" max="15370" width="16" style="514" customWidth="1"/>
    <col min="15371" max="15371" width="13.75" style="514" customWidth="1"/>
    <col min="15372" max="15373" width="9.75" style="514" customWidth="1"/>
    <col min="15374" max="15622" width="9" style="514"/>
    <col min="15623" max="15623" width="12" style="514" customWidth="1"/>
    <col min="15624" max="15624" width="7.125" style="514" customWidth="1"/>
    <col min="15625" max="15625" width="9" style="514"/>
    <col min="15626" max="15626" width="16" style="514" customWidth="1"/>
    <col min="15627" max="15627" width="13.75" style="514" customWidth="1"/>
    <col min="15628" max="15629" width="9.75" style="514" customWidth="1"/>
    <col min="15630" max="15878" width="9" style="514"/>
    <col min="15879" max="15879" width="12" style="514" customWidth="1"/>
    <col min="15880" max="15880" width="7.125" style="514" customWidth="1"/>
    <col min="15881" max="15881" width="9" style="514"/>
    <col min="15882" max="15882" width="16" style="514" customWidth="1"/>
    <col min="15883" max="15883" width="13.75" style="514" customWidth="1"/>
    <col min="15884" max="15885" width="9.75" style="514" customWidth="1"/>
    <col min="15886" max="16134" width="9" style="514"/>
    <col min="16135" max="16135" width="12" style="514" customWidth="1"/>
    <col min="16136" max="16136" width="7.125" style="514" customWidth="1"/>
    <col min="16137" max="16137" width="9" style="514"/>
    <col min="16138" max="16138" width="16" style="514" customWidth="1"/>
    <col min="16139" max="16139" width="13.75" style="514" customWidth="1"/>
    <col min="16140" max="16141" width="9.75" style="514" customWidth="1"/>
    <col min="16142" max="16384" width="9" style="514"/>
  </cols>
  <sheetData>
    <row r="1" spans="1:16" s="2" customFormat="1" ht="23.25" customHeight="1" thickBot="1">
      <c r="A1" s="1" t="e">
        <f>IF(SUM(2:2)=0,"OK","NOK")</f>
        <v>#DIV/0!</v>
      </c>
      <c r="F1" s="43" t="s">
        <v>7396</v>
      </c>
      <c r="G1" s="1085" t="s">
        <v>8289</v>
      </c>
      <c r="H1" s="1086"/>
      <c r="I1" s="1085" t="s">
        <v>8290</v>
      </c>
      <c r="J1" s="1086"/>
      <c r="K1" s="1085" t="s">
        <v>8291</v>
      </c>
      <c r="L1" s="1086"/>
      <c r="M1" s="1085" t="s">
        <v>8292</v>
      </c>
      <c r="N1" s="1086"/>
      <c r="O1" s="44"/>
      <c r="P1" s="48" t="s">
        <v>10</v>
      </c>
    </row>
    <row r="2" spans="1:16" ht="13.5" thickBot="1">
      <c r="A2" s="3"/>
      <c r="B2" s="3"/>
      <c r="C2" s="3"/>
      <c r="D2" s="3"/>
      <c r="E2" s="3"/>
      <c r="F2" s="2"/>
      <c r="G2" s="552" t="s">
        <v>0</v>
      </c>
      <c r="H2" s="183">
        <f>SUMX2MY2(G6:G5000,H6:H5000)</f>
        <v>0</v>
      </c>
      <c r="I2" s="552" t="s">
        <v>0</v>
      </c>
      <c r="J2" s="183">
        <f>SUMX2MY2(I6:I5000,J6:J5000)</f>
        <v>0</v>
      </c>
      <c r="K2" s="552" t="s">
        <v>0</v>
      </c>
      <c r="L2" s="183">
        <f>SUMX2MY2(K6:K5000,L6:L5000)</f>
        <v>0</v>
      </c>
      <c r="M2" s="552" t="s">
        <v>0</v>
      </c>
      <c r="N2" s="183" t="e">
        <f>SUMX2MY2(M6:M5000,N6:N5000)</f>
        <v>#DIV/0!</v>
      </c>
    </row>
    <row r="3" spans="1:16" ht="27.75" customHeight="1">
      <c r="A3" s="35" t="s">
        <v>1</v>
      </c>
      <c r="B3" s="36" t="s">
        <v>2</v>
      </c>
      <c r="C3" s="36" t="s">
        <v>3</v>
      </c>
      <c r="D3" s="36" t="s">
        <v>4</v>
      </c>
      <c r="E3" s="1087" t="s">
        <v>7</v>
      </c>
      <c r="F3" s="1088"/>
      <c r="G3" s="553" t="s">
        <v>5</v>
      </c>
      <c r="H3" s="554" t="s">
        <v>6</v>
      </c>
      <c r="I3" s="553" t="s">
        <v>5</v>
      </c>
      <c r="J3" s="554" t="s">
        <v>6</v>
      </c>
      <c r="K3" s="553" t="s">
        <v>5</v>
      </c>
      <c r="L3" s="554" t="s">
        <v>6</v>
      </c>
      <c r="M3" s="553" t="s">
        <v>5</v>
      </c>
      <c r="N3" s="554" t="s">
        <v>6</v>
      </c>
    </row>
    <row r="4" spans="1:16" ht="15.75" customHeight="1" thickBot="1">
      <c r="A4" s="34"/>
      <c r="B4" s="33"/>
      <c r="C4" s="33"/>
      <c r="D4" s="33"/>
      <c r="E4" s="41" t="s">
        <v>9</v>
      </c>
      <c r="F4" s="42" t="s">
        <v>8</v>
      </c>
      <c r="G4" s="562">
        <v>0</v>
      </c>
      <c r="H4" s="563">
        <v>0</v>
      </c>
      <c r="I4" s="562">
        <v>0</v>
      </c>
      <c r="J4" s="563">
        <v>0</v>
      </c>
      <c r="K4" s="562">
        <v>0</v>
      </c>
      <c r="L4" s="563">
        <v>0</v>
      </c>
      <c r="M4" s="562">
        <v>0</v>
      </c>
      <c r="N4" s="563">
        <v>0</v>
      </c>
    </row>
    <row r="5" spans="1:16">
      <c r="A5" s="201" t="s">
        <v>9015</v>
      </c>
      <c r="B5" s="446"/>
      <c r="C5" s="489"/>
      <c r="D5" s="517"/>
      <c r="E5" s="609"/>
      <c r="F5" s="465" t="s">
        <v>8287</v>
      </c>
      <c r="G5" s="783">
        <v>100</v>
      </c>
      <c r="H5" s="460">
        <v>100</v>
      </c>
      <c r="I5" s="783">
        <v>8</v>
      </c>
      <c r="J5" s="460">
        <v>8</v>
      </c>
      <c r="K5" s="783">
        <v>293.14999999999998</v>
      </c>
      <c r="L5" s="460">
        <v>293.14999999999998</v>
      </c>
      <c r="M5" s="783">
        <v>150484255.622473</v>
      </c>
      <c r="N5" s="460"/>
    </row>
    <row r="6" spans="1:16">
      <c r="A6" s="201" t="s">
        <v>9016</v>
      </c>
      <c r="B6" s="446"/>
      <c r="C6" s="489"/>
      <c r="D6" s="517"/>
      <c r="E6" s="609"/>
      <c r="F6" s="465" t="s">
        <v>8293</v>
      </c>
      <c r="G6" s="783">
        <v>10</v>
      </c>
      <c r="H6" s="460">
        <v>10</v>
      </c>
      <c r="I6" s="783">
        <v>6</v>
      </c>
      <c r="J6" s="460">
        <v>6</v>
      </c>
      <c r="K6" s="783">
        <v>293.14999999999998</v>
      </c>
      <c r="L6" s="460">
        <v>293.14999999999998</v>
      </c>
      <c r="M6" s="783">
        <v>20989013.068735901</v>
      </c>
      <c r="N6" s="460"/>
    </row>
    <row r="7" spans="1:16">
      <c r="A7" s="201" t="s">
        <v>9017</v>
      </c>
      <c r="B7" s="520"/>
      <c r="C7" s="521"/>
      <c r="D7" s="522"/>
      <c r="E7" s="609"/>
      <c r="F7" s="465" t="s">
        <v>8288</v>
      </c>
      <c r="G7" s="783">
        <v>25</v>
      </c>
      <c r="H7" s="460">
        <v>25</v>
      </c>
      <c r="I7" s="783">
        <v>8</v>
      </c>
      <c r="J7" s="460">
        <v>8</v>
      </c>
      <c r="K7" s="783">
        <v>293.14999999999998</v>
      </c>
      <c r="L7" s="460">
        <v>293.14999999999998</v>
      </c>
      <c r="M7" s="783">
        <v>27726602.731391001</v>
      </c>
      <c r="N7" s="460"/>
    </row>
    <row r="8" spans="1:16">
      <c r="A8" s="519"/>
      <c r="B8" s="520"/>
      <c r="C8" s="521"/>
      <c r="D8" s="522"/>
      <c r="E8" s="517"/>
      <c r="F8" s="465"/>
      <c r="G8" s="557"/>
      <c r="H8" s="460"/>
      <c r="I8" s="557"/>
      <c r="J8" s="460"/>
      <c r="K8" s="557"/>
      <c r="L8" s="460"/>
      <c r="M8" s="557"/>
      <c r="N8" s="460"/>
    </row>
    <row r="9" spans="1:16">
      <c r="A9" s="519"/>
      <c r="B9" s="520"/>
      <c r="C9" s="521"/>
      <c r="D9" s="522"/>
      <c r="E9" s="517"/>
      <c r="F9" s="465"/>
      <c r="G9" s="557"/>
      <c r="H9" s="460"/>
      <c r="I9" s="557"/>
      <c r="J9" s="460"/>
      <c r="K9" s="557"/>
      <c r="L9" s="460"/>
      <c r="M9" s="557"/>
      <c r="N9" s="460"/>
    </row>
    <row r="10" spans="1:16">
      <c r="A10" s="519"/>
      <c r="B10" s="520"/>
      <c r="C10" s="521"/>
      <c r="D10" s="522"/>
      <c r="E10" s="517"/>
      <c r="F10" s="465"/>
      <c r="G10" s="557"/>
      <c r="H10" s="460"/>
      <c r="I10" s="557"/>
      <c r="J10" s="460"/>
      <c r="K10" s="557"/>
      <c r="L10" s="460"/>
      <c r="M10" s="557"/>
      <c r="N10" s="460"/>
    </row>
    <row r="11" spans="1:16">
      <c r="A11" s="519"/>
      <c r="B11" s="520"/>
      <c r="C11" s="521"/>
      <c r="D11" s="522"/>
      <c r="E11" s="517"/>
      <c r="F11" s="465"/>
      <c r="G11" s="557"/>
      <c r="H11" s="460"/>
      <c r="I11" s="557"/>
      <c r="J11" s="460"/>
      <c r="K11" s="557"/>
      <c r="L11" s="460"/>
      <c r="M11" s="557"/>
      <c r="N11" s="460"/>
    </row>
    <row r="12" spans="1:16">
      <c r="A12" s="519"/>
      <c r="B12" s="520"/>
      <c r="C12" s="521"/>
      <c r="D12" s="522"/>
      <c r="E12" s="517"/>
      <c r="F12" s="465"/>
      <c r="G12" s="557"/>
      <c r="H12" s="460"/>
      <c r="I12" s="557"/>
      <c r="J12" s="460"/>
      <c r="K12" s="557"/>
      <c r="L12" s="460"/>
      <c r="M12" s="557"/>
      <c r="N12" s="460"/>
    </row>
    <row r="13" spans="1:16">
      <c r="A13" s="519"/>
      <c r="B13" s="520"/>
      <c r="C13" s="521"/>
      <c r="D13" s="522"/>
      <c r="E13" s="517"/>
      <c r="F13" s="465"/>
      <c r="G13" s="557"/>
      <c r="H13" s="460"/>
      <c r="I13" s="557"/>
      <c r="J13" s="460"/>
      <c r="K13" s="557"/>
      <c r="L13" s="460"/>
      <c r="M13" s="557"/>
      <c r="N13" s="460"/>
    </row>
    <row r="14" spans="1:16">
      <c r="A14" s="519"/>
      <c r="B14" s="520"/>
      <c r="C14" s="521"/>
      <c r="D14" s="522"/>
      <c r="E14" s="517"/>
      <c r="F14" s="465"/>
      <c r="G14" s="557"/>
      <c r="H14" s="460"/>
      <c r="I14" s="557"/>
      <c r="J14" s="460"/>
      <c r="K14" s="557"/>
      <c r="L14" s="460"/>
      <c r="M14" s="557"/>
      <c r="N14" s="460"/>
    </row>
    <row r="15" spans="1:16">
      <c r="A15" s="519"/>
      <c r="B15" s="520"/>
      <c r="C15" s="521"/>
      <c r="D15" s="522"/>
      <c r="E15" s="517"/>
      <c r="F15" s="465"/>
      <c r="G15" s="557"/>
      <c r="H15" s="460"/>
      <c r="I15" s="557"/>
      <c r="J15" s="460"/>
      <c r="K15" s="557"/>
      <c r="L15" s="460"/>
      <c r="M15" s="557"/>
      <c r="N15" s="460"/>
    </row>
    <row r="16" spans="1:16">
      <c r="A16" s="519"/>
      <c r="B16" s="520"/>
      <c r="C16" s="521"/>
      <c r="D16" s="522"/>
      <c r="E16" s="517"/>
      <c r="F16" s="465"/>
      <c r="G16" s="557"/>
      <c r="H16" s="460"/>
      <c r="I16" s="557"/>
      <c r="J16" s="460"/>
      <c r="K16" s="557"/>
      <c r="L16" s="460"/>
      <c r="M16" s="557"/>
      <c r="N16" s="460"/>
    </row>
    <row r="17" spans="1:14">
      <c r="A17" s="519"/>
      <c r="B17" s="520"/>
      <c r="C17" s="521"/>
      <c r="D17" s="522"/>
      <c r="E17" s="517"/>
      <c r="F17" s="465"/>
      <c r="G17" s="557"/>
      <c r="H17" s="460"/>
      <c r="I17" s="557"/>
      <c r="J17" s="460"/>
      <c r="K17" s="557"/>
      <c r="L17" s="460"/>
      <c r="M17" s="557"/>
      <c r="N17" s="460"/>
    </row>
    <row r="18" spans="1:14">
      <c r="A18" s="519"/>
      <c r="B18" s="520"/>
      <c r="C18" s="521"/>
      <c r="D18" s="522"/>
      <c r="E18" s="517"/>
      <c r="F18" s="465"/>
      <c r="G18" s="557"/>
      <c r="H18" s="460"/>
      <c r="I18" s="557"/>
      <c r="J18" s="460"/>
      <c r="K18" s="557"/>
      <c r="L18" s="460"/>
      <c r="M18" s="557"/>
      <c r="N18" s="460"/>
    </row>
    <row r="19" spans="1:14">
      <c r="A19" s="519"/>
      <c r="B19" s="520"/>
      <c r="C19" s="521"/>
      <c r="D19" s="522"/>
      <c r="E19" s="517"/>
      <c r="F19" s="465"/>
      <c r="G19" s="557"/>
      <c r="H19" s="460"/>
      <c r="I19" s="557"/>
      <c r="J19" s="460"/>
      <c r="K19" s="557"/>
      <c r="L19" s="460"/>
      <c r="M19" s="557"/>
      <c r="N19" s="460"/>
    </row>
    <row r="20" spans="1:14">
      <c r="A20" s="519"/>
      <c r="B20" s="520"/>
      <c r="C20" s="521"/>
      <c r="D20" s="522"/>
      <c r="E20" s="517"/>
      <c r="F20" s="465"/>
      <c r="G20" s="557"/>
      <c r="H20" s="460"/>
      <c r="I20" s="557"/>
      <c r="J20" s="460"/>
      <c r="K20" s="557"/>
      <c r="L20" s="460"/>
      <c r="M20" s="557"/>
      <c r="N20" s="460"/>
    </row>
    <row r="21" spans="1:14">
      <c r="A21" s="519"/>
      <c r="B21" s="520"/>
      <c r="C21" s="521"/>
      <c r="D21" s="522"/>
      <c r="E21" s="517"/>
      <c r="F21" s="465"/>
      <c r="G21" s="557"/>
      <c r="H21" s="460"/>
      <c r="I21" s="557"/>
      <c r="J21" s="460"/>
      <c r="K21" s="557"/>
      <c r="L21" s="460"/>
      <c r="M21" s="557"/>
      <c r="N21" s="460"/>
    </row>
    <row r="22" spans="1:14">
      <c r="A22" s="519"/>
      <c r="B22" s="520"/>
      <c r="C22" s="521"/>
      <c r="D22" s="522"/>
      <c r="E22" s="517"/>
      <c r="F22" s="465"/>
      <c r="G22" s="557"/>
      <c r="H22" s="460"/>
      <c r="I22" s="557"/>
      <c r="J22" s="460"/>
      <c r="K22" s="557"/>
      <c r="L22" s="460"/>
      <c r="M22" s="557"/>
      <c r="N22" s="460"/>
    </row>
    <row r="23" spans="1:14">
      <c r="A23" s="519"/>
      <c r="B23" s="520"/>
      <c r="C23" s="521"/>
      <c r="D23" s="522"/>
      <c r="E23" s="517"/>
      <c r="F23" s="465"/>
      <c r="G23" s="557"/>
      <c r="H23" s="460"/>
      <c r="I23" s="557"/>
      <c r="J23" s="460"/>
      <c r="K23" s="557"/>
      <c r="L23" s="460"/>
      <c r="M23" s="557"/>
      <c r="N23" s="460"/>
    </row>
    <row r="24" spans="1:14">
      <c r="A24" s="519"/>
      <c r="B24" s="520"/>
      <c r="C24" s="521"/>
      <c r="D24" s="522"/>
      <c r="E24" s="517"/>
      <c r="F24" s="465"/>
      <c r="G24" s="557"/>
      <c r="H24" s="460"/>
      <c r="I24" s="557"/>
      <c r="J24" s="460"/>
      <c r="K24" s="557"/>
      <c r="L24" s="460"/>
      <c r="M24" s="557"/>
      <c r="N24" s="460"/>
    </row>
    <row r="25" spans="1:14">
      <c r="A25" s="519"/>
      <c r="B25" s="520"/>
      <c r="C25" s="521"/>
      <c r="D25" s="522"/>
      <c r="E25" s="517"/>
      <c r="F25" s="465"/>
      <c r="G25" s="557"/>
      <c r="H25" s="460"/>
      <c r="I25" s="557"/>
      <c r="J25" s="460"/>
      <c r="K25" s="557"/>
      <c r="L25" s="460"/>
      <c r="M25" s="557"/>
      <c r="N25" s="460"/>
    </row>
    <row r="26" spans="1:14">
      <c r="A26" s="519"/>
      <c r="B26" s="520"/>
      <c r="C26" s="521"/>
      <c r="D26" s="522"/>
      <c r="E26" s="517"/>
      <c r="F26" s="465"/>
      <c r="G26" s="557"/>
      <c r="H26" s="460"/>
      <c r="I26" s="557"/>
      <c r="J26" s="460"/>
      <c r="K26" s="557"/>
      <c r="L26" s="460"/>
      <c r="M26" s="557"/>
      <c r="N26" s="460"/>
    </row>
    <row r="27" spans="1:14">
      <c r="A27" s="519"/>
      <c r="B27" s="520"/>
      <c r="C27" s="521"/>
      <c r="D27" s="522"/>
      <c r="E27" s="517"/>
      <c r="F27" s="465"/>
      <c r="G27" s="557"/>
      <c r="H27" s="460"/>
      <c r="I27" s="557"/>
      <c r="J27" s="460"/>
      <c r="K27" s="557"/>
      <c r="L27" s="460"/>
      <c r="M27" s="557"/>
      <c r="N27" s="460"/>
    </row>
    <row r="28" spans="1:14">
      <c r="A28" s="519"/>
      <c r="B28" s="520"/>
      <c r="C28" s="521"/>
      <c r="D28" s="522"/>
      <c r="E28" s="517"/>
      <c r="F28" s="465"/>
      <c r="G28" s="557"/>
      <c r="H28" s="460"/>
      <c r="I28" s="557"/>
      <c r="J28" s="460"/>
      <c r="K28" s="557"/>
      <c r="L28" s="460"/>
      <c r="M28" s="557"/>
      <c r="N28" s="460"/>
    </row>
    <row r="29" spans="1:14">
      <c r="A29" s="519"/>
      <c r="B29" s="520"/>
      <c r="C29" s="521"/>
      <c r="D29" s="522"/>
      <c r="E29" s="517"/>
      <c r="F29" s="465"/>
      <c r="G29" s="557"/>
      <c r="H29" s="460"/>
      <c r="I29" s="557"/>
      <c r="J29" s="460"/>
      <c r="K29" s="557"/>
      <c r="L29" s="460"/>
      <c r="M29" s="557"/>
      <c r="N29" s="460"/>
    </row>
    <row r="30" spans="1:14">
      <c r="A30" s="519"/>
      <c r="B30" s="520"/>
      <c r="C30" s="521"/>
      <c r="D30" s="522"/>
      <c r="E30" s="517"/>
      <c r="F30" s="465"/>
      <c r="G30" s="557"/>
      <c r="H30" s="460"/>
      <c r="I30" s="557"/>
      <c r="J30" s="460"/>
      <c r="K30" s="557"/>
      <c r="L30" s="460"/>
      <c r="M30" s="557"/>
      <c r="N30" s="460"/>
    </row>
    <row r="31" spans="1:14">
      <c r="A31" s="519"/>
      <c r="B31" s="520"/>
      <c r="C31" s="521"/>
      <c r="D31" s="522"/>
      <c r="E31" s="517"/>
      <c r="F31" s="465"/>
      <c r="G31" s="557"/>
      <c r="H31" s="460"/>
      <c r="I31" s="557"/>
      <c r="J31" s="460"/>
      <c r="K31" s="557"/>
      <c r="L31" s="460"/>
      <c r="M31" s="557"/>
      <c r="N31" s="460"/>
    </row>
    <row r="32" spans="1:14">
      <c r="A32" s="519"/>
      <c r="B32" s="520"/>
      <c r="C32" s="521"/>
      <c r="D32" s="522"/>
      <c r="E32" s="517"/>
      <c r="F32" s="465"/>
      <c r="G32" s="557"/>
      <c r="H32" s="460"/>
      <c r="I32" s="557"/>
      <c r="J32" s="460"/>
      <c r="K32" s="557"/>
      <c r="L32" s="460"/>
      <c r="M32" s="557"/>
      <c r="N32" s="460"/>
    </row>
    <row r="33" spans="1:14">
      <c r="A33" s="519"/>
      <c r="B33" s="520"/>
      <c r="C33" s="521"/>
      <c r="D33" s="522"/>
      <c r="E33" s="517"/>
      <c r="F33" s="465"/>
      <c r="G33" s="557"/>
      <c r="H33" s="460"/>
      <c r="I33" s="557"/>
      <c r="J33" s="460"/>
      <c r="K33" s="557"/>
      <c r="L33" s="460"/>
      <c r="M33" s="557"/>
      <c r="N33" s="460"/>
    </row>
    <row r="34" spans="1:14">
      <c r="A34" s="519"/>
      <c r="B34" s="520"/>
      <c r="C34" s="521"/>
      <c r="D34" s="522"/>
      <c r="E34" s="517"/>
      <c r="F34" s="465"/>
      <c r="G34" s="557"/>
      <c r="H34" s="460"/>
      <c r="I34" s="557"/>
      <c r="J34" s="460"/>
      <c r="K34" s="557"/>
      <c r="L34" s="460"/>
      <c r="M34" s="557"/>
      <c r="N34" s="460"/>
    </row>
    <row r="35" spans="1:14">
      <c r="A35" s="519"/>
      <c r="B35" s="520"/>
      <c r="C35" s="521"/>
      <c r="D35" s="522"/>
      <c r="E35" s="517"/>
      <c r="F35" s="465"/>
      <c r="G35" s="557"/>
      <c r="H35" s="460"/>
      <c r="I35" s="557"/>
      <c r="J35" s="460"/>
      <c r="K35" s="557"/>
      <c r="L35" s="460"/>
      <c r="M35" s="557"/>
      <c r="N35" s="460"/>
    </row>
    <row r="36" spans="1:14">
      <c r="A36" s="519"/>
      <c r="B36" s="520"/>
      <c r="C36" s="521"/>
      <c r="D36" s="522"/>
      <c r="E36" s="517"/>
      <c r="F36" s="465"/>
      <c r="G36" s="557"/>
      <c r="H36" s="460"/>
      <c r="I36" s="557"/>
      <c r="J36" s="460"/>
      <c r="K36" s="557"/>
      <c r="L36" s="460"/>
      <c r="M36" s="557"/>
      <c r="N36" s="460"/>
    </row>
    <row r="37" spans="1:14">
      <c r="A37" s="519"/>
      <c r="B37" s="520"/>
      <c r="C37" s="521"/>
      <c r="D37" s="522"/>
      <c r="E37" s="517"/>
      <c r="F37" s="465"/>
      <c r="G37" s="557"/>
      <c r="H37" s="460"/>
      <c r="I37" s="557"/>
      <c r="J37" s="460"/>
      <c r="K37" s="557"/>
      <c r="L37" s="460"/>
      <c r="M37" s="557"/>
      <c r="N37" s="460"/>
    </row>
    <row r="38" spans="1:14">
      <c r="A38" s="519"/>
      <c r="B38" s="520"/>
      <c r="C38" s="521"/>
      <c r="D38" s="522"/>
      <c r="E38" s="517"/>
      <c r="F38" s="465"/>
      <c r="G38" s="557"/>
      <c r="H38" s="460"/>
      <c r="I38" s="557"/>
      <c r="J38" s="460"/>
      <c r="K38" s="557"/>
      <c r="L38" s="460"/>
      <c r="M38" s="557"/>
      <c r="N38" s="460"/>
    </row>
    <row r="39" spans="1:14">
      <c r="A39" s="519"/>
      <c r="B39" s="520"/>
      <c r="C39" s="521"/>
      <c r="D39" s="522"/>
      <c r="E39" s="517"/>
      <c r="F39" s="465"/>
      <c r="G39" s="557"/>
      <c r="H39" s="460"/>
      <c r="I39" s="557"/>
      <c r="J39" s="460"/>
      <c r="K39" s="557"/>
      <c r="L39" s="460"/>
      <c r="M39" s="557"/>
      <c r="N39" s="460"/>
    </row>
    <row r="40" spans="1:14">
      <c r="A40" s="519"/>
      <c r="B40" s="520"/>
      <c r="C40" s="521"/>
      <c r="D40" s="522"/>
      <c r="E40" s="517"/>
      <c r="F40" s="465"/>
      <c r="G40" s="557"/>
      <c r="H40" s="460"/>
      <c r="I40" s="557"/>
      <c r="J40" s="460"/>
      <c r="K40" s="557"/>
      <c r="L40" s="460"/>
      <c r="M40" s="557"/>
      <c r="N40" s="460"/>
    </row>
    <row r="41" spans="1:14">
      <c r="A41" s="519"/>
      <c r="B41" s="520"/>
      <c r="C41" s="521"/>
      <c r="D41" s="522"/>
      <c r="E41" s="517"/>
      <c r="F41" s="465"/>
      <c r="G41" s="557"/>
      <c r="H41" s="460"/>
      <c r="I41" s="557"/>
      <c r="J41" s="460"/>
      <c r="K41" s="557"/>
      <c r="L41" s="460"/>
      <c r="M41" s="557"/>
      <c r="N41" s="460"/>
    </row>
    <row r="42" spans="1:14">
      <c r="A42" s="519"/>
      <c r="B42" s="520"/>
      <c r="C42" s="521"/>
      <c r="D42" s="522"/>
      <c r="E42" s="517"/>
      <c r="F42" s="465"/>
      <c r="G42" s="557"/>
      <c r="H42" s="460"/>
      <c r="I42" s="557"/>
      <c r="J42" s="460"/>
      <c r="K42" s="557"/>
      <c r="L42" s="460"/>
      <c r="M42" s="557"/>
      <c r="N42" s="460"/>
    </row>
    <row r="43" spans="1:14">
      <c r="A43" s="519"/>
      <c r="B43" s="520"/>
      <c r="C43" s="521"/>
      <c r="D43" s="522"/>
      <c r="E43" s="517"/>
      <c r="F43" s="465"/>
      <c r="G43" s="557"/>
      <c r="H43" s="460"/>
      <c r="I43" s="557"/>
      <c r="J43" s="460"/>
      <c r="K43" s="557"/>
      <c r="L43" s="460"/>
      <c r="M43" s="557"/>
      <c r="N43" s="460"/>
    </row>
    <row r="44" spans="1:14">
      <c r="A44" s="519"/>
      <c r="B44" s="520"/>
      <c r="C44" s="521"/>
      <c r="D44" s="522"/>
      <c r="E44" s="517"/>
      <c r="F44" s="465"/>
      <c r="G44" s="557"/>
      <c r="H44" s="460"/>
      <c r="I44" s="557"/>
      <c r="J44" s="460"/>
      <c r="K44" s="557"/>
      <c r="L44" s="460"/>
      <c r="M44" s="557"/>
      <c r="N44" s="460"/>
    </row>
    <row r="45" spans="1:14">
      <c r="A45" s="519"/>
      <c r="B45" s="520"/>
      <c r="C45" s="521"/>
      <c r="D45" s="522"/>
      <c r="E45" s="517"/>
      <c r="F45" s="465"/>
      <c r="G45" s="557"/>
      <c r="H45" s="460"/>
      <c r="I45" s="557"/>
      <c r="J45" s="460"/>
      <c r="K45" s="557"/>
      <c r="L45" s="460"/>
      <c r="M45" s="557"/>
      <c r="N45" s="460"/>
    </row>
    <row r="46" spans="1:14">
      <c r="A46" s="519"/>
      <c r="B46" s="520"/>
      <c r="C46" s="521"/>
      <c r="D46" s="522"/>
      <c r="E46" s="517"/>
      <c r="F46" s="465"/>
      <c r="G46" s="557"/>
      <c r="H46" s="460"/>
      <c r="I46" s="557"/>
      <c r="J46" s="460"/>
      <c r="K46" s="557"/>
      <c r="L46" s="460"/>
      <c r="M46" s="557"/>
      <c r="N46" s="460"/>
    </row>
    <row r="47" spans="1:14">
      <c r="A47" s="519"/>
      <c r="B47" s="520"/>
      <c r="C47" s="521"/>
      <c r="D47" s="522"/>
      <c r="E47" s="517"/>
      <c r="F47" s="465"/>
      <c r="G47" s="557"/>
      <c r="H47" s="460"/>
      <c r="I47" s="557"/>
      <c r="J47" s="460"/>
      <c r="K47" s="557"/>
      <c r="L47" s="460"/>
      <c r="M47" s="557"/>
      <c r="N47" s="460"/>
    </row>
    <row r="48" spans="1:14">
      <c r="A48" s="519"/>
      <c r="B48" s="520"/>
      <c r="C48" s="521"/>
      <c r="D48" s="522"/>
      <c r="E48" s="517"/>
      <c r="F48" s="465"/>
      <c r="G48" s="557"/>
      <c r="H48" s="460"/>
      <c r="I48" s="557"/>
      <c r="J48" s="460"/>
      <c r="K48" s="557"/>
      <c r="L48" s="460"/>
      <c r="M48" s="557"/>
      <c r="N48" s="460"/>
    </row>
    <row r="49" spans="1:14">
      <c r="A49" s="519"/>
      <c r="B49" s="520"/>
      <c r="C49" s="521"/>
      <c r="D49" s="522"/>
      <c r="E49" s="517"/>
      <c r="F49" s="465"/>
      <c r="G49" s="557"/>
      <c r="H49" s="460"/>
      <c r="I49" s="557"/>
      <c r="J49" s="460"/>
      <c r="K49" s="557"/>
      <c r="L49" s="460"/>
      <c r="M49" s="557"/>
      <c r="N49" s="460"/>
    </row>
    <row r="50" spans="1:14">
      <c r="A50" s="519"/>
      <c r="B50" s="520"/>
      <c r="C50" s="521"/>
      <c r="D50" s="522"/>
      <c r="E50" s="517"/>
      <c r="F50" s="465"/>
      <c r="G50" s="557"/>
      <c r="H50" s="460"/>
      <c r="I50" s="557"/>
      <c r="J50" s="460"/>
      <c r="K50" s="557"/>
      <c r="L50" s="460"/>
      <c r="M50" s="557"/>
      <c r="N50" s="460"/>
    </row>
    <row r="51" spans="1:14">
      <c r="A51" s="519"/>
      <c r="B51" s="520"/>
      <c r="C51" s="521"/>
      <c r="D51" s="522"/>
      <c r="E51" s="517"/>
      <c r="F51" s="465"/>
      <c r="G51" s="557"/>
      <c r="H51" s="460"/>
      <c r="I51" s="557"/>
      <c r="J51" s="460"/>
      <c r="K51" s="557"/>
      <c r="L51" s="460"/>
      <c r="M51" s="557"/>
      <c r="N51" s="460"/>
    </row>
    <row r="52" spans="1:14">
      <c r="A52" s="519"/>
      <c r="B52" s="520"/>
      <c r="C52" s="521"/>
      <c r="D52" s="522"/>
      <c r="E52" s="517"/>
      <c r="F52" s="465"/>
      <c r="G52" s="557"/>
      <c r="H52" s="460"/>
      <c r="I52" s="557"/>
      <c r="J52" s="460"/>
      <c r="K52" s="557"/>
      <c r="L52" s="460"/>
      <c r="M52" s="557"/>
      <c r="N52" s="460"/>
    </row>
    <row r="53" spans="1:14">
      <c r="A53" s="519"/>
      <c r="B53" s="520"/>
      <c r="C53" s="521"/>
      <c r="D53" s="522"/>
      <c r="E53" s="517"/>
      <c r="F53" s="465"/>
      <c r="G53" s="557"/>
      <c r="H53" s="460"/>
      <c r="I53" s="557"/>
      <c r="J53" s="460"/>
      <c r="K53" s="557"/>
      <c r="L53" s="460"/>
      <c r="M53" s="557"/>
      <c r="N53" s="460"/>
    </row>
    <row r="54" spans="1:14">
      <c r="A54" s="519"/>
      <c r="B54" s="520"/>
      <c r="C54" s="521"/>
      <c r="D54" s="522"/>
      <c r="E54" s="517"/>
      <c r="F54" s="465"/>
      <c r="G54" s="557"/>
      <c r="H54" s="460"/>
      <c r="I54" s="557"/>
      <c r="J54" s="460"/>
      <c r="K54" s="557"/>
      <c r="L54" s="460"/>
      <c r="M54" s="557"/>
      <c r="N54" s="460"/>
    </row>
    <row r="55" spans="1:14">
      <c r="A55" s="519"/>
      <c r="B55" s="520"/>
      <c r="C55" s="521"/>
      <c r="D55" s="522"/>
      <c r="E55" s="517"/>
      <c r="F55" s="465"/>
      <c r="G55" s="557"/>
      <c r="H55" s="460"/>
      <c r="I55" s="557"/>
      <c r="J55" s="460"/>
      <c r="K55" s="557"/>
      <c r="L55" s="460"/>
      <c r="M55" s="557"/>
      <c r="N55" s="460"/>
    </row>
    <row r="56" spans="1:14">
      <c r="A56" s="519"/>
      <c r="B56" s="520"/>
      <c r="C56" s="521"/>
      <c r="D56" s="522"/>
      <c r="E56" s="517"/>
      <c r="F56" s="465"/>
      <c r="G56" s="557"/>
      <c r="H56" s="460"/>
      <c r="I56" s="557"/>
      <c r="J56" s="460"/>
      <c r="K56" s="557"/>
      <c r="L56" s="460"/>
      <c r="M56" s="557"/>
      <c r="N56" s="460"/>
    </row>
    <row r="57" spans="1:14">
      <c r="A57" s="519"/>
      <c r="B57" s="520"/>
      <c r="C57" s="521"/>
      <c r="D57" s="522"/>
      <c r="E57" s="517"/>
      <c r="F57" s="465"/>
      <c r="G57" s="557"/>
      <c r="H57" s="460"/>
      <c r="I57" s="557"/>
      <c r="J57" s="460"/>
      <c r="K57" s="557"/>
      <c r="L57" s="460"/>
      <c r="M57" s="557"/>
      <c r="N57" s="460"/>
    </row>
    <row r="58" spans="1:14">
      <c r="A58" s="519"/>
      <c r="B58" s="520"/>
      <c r="C58" s="521"/>
      <c r="D58" s="522"/>
      <c r="E58" s="517"/>
      <c r="F58" s="465"/>
      <c r="G58" s="557"/>
      <c r="H58" s="460"/>
      <c r="I58" s="557"/>
      <c r="J58" s="460"/>
      <c r="K58" s="557"/>
      <c r="L58" s="460"/>
      <c r="M58" s="557"/>
      <c r="N58" s="460"/>
    </row>
    <row r="59" spans="1:14">
      <c r="A59" s="519"/>
      <c r="B59" s="520"/>
      <c r="C59" s="521"/>
      <c r="D59" s="522"/>
      <c r="E59" s="517"/>
      <c r="F59" s="465"/>
      <c r="G59" s="557"/>
      <c r="H59" s="460"/>
      <c r="I59" s="557"/>
      <c r="J59" s="460"/>
      <c r="K59" s="557"/>
      <c r="L59" s="460"/>
      <c r="M59" s="557"/>
      <c r="N59" s="460"/>
    </row>
    <row r="60" spans="1:14">
      <c r="A60" s="519"/>
      <c r="B60" s="520"/>
      <c r="C60" s="521"/>
      <c r="D60" s="522"/>
      <c r="E60" s="517"/>
      <c r="F60" s="465"/>
      <c r="G60" s="557"/>
      <c r="H60" s="460"/>
      <c r="I60" s="557"/>
      <c r="J60" s="460"/>
      <c r="K60" s="557"/>
      <c r="L60" s="460"/>
      <c r="M60" s="557"/>
      <c r="N60" s="460"/>
    </row>
    <row r="61" spans="1:14">
      <c r="A61" s="519"/>
      <c r="B61" s="520"/>
      <c r="C61" s="521"/>
      <c r="D61" s="522"/>
      <c r="E61" s="517"/>
      <c r="F61" s="465"/>
      <c r="G61" s="557"/>
      <c r="H61" s="460"/>
      <c r="I61" s="557"/>
      <c r="J61" s="460"/>
      <c r="K61" s="557"/>
      <c r="L61" s="460"/>
      <c r="M61" s="557"/>
      <c r="N61" s="460"/>
    </row>
    <row r="62" spans="1:14">
      <c r="A62" s="519"/>
      <c r="B62" s="520"/>
      <c r="C62" s="521"/>
      <c r="D62" s="522"/>
      <c r="E62" s="517"/>
      <c r="F62" s="465"/>
      <c r="G62" s="557"/>
      <c r="H62" s="460"/>
      <c r="I62" s="557"/>
      <c r="J62" s="460"/>
      <c r="K62" s="557"/>
      <c r="L62" s="460"/>
      <c r="M62" s="557"/>
      <c r="N62" s="460"/>
    </row>
    <row r="63" spans="1:14">
      <c r="A63" s="519"/>
      <c r="B63" s="520"/>
      <c r="C63" s="521"/>
      <c r="D63" s="522"/>
      <c r="E63" s="517"/>
      <c r="F63" s="465"/>
      <c r="G63" s="557"/>
      <c r="H63" s="460"/>
      <c r="I63" s="557"/>
      <c r="J63" s="460"/>
      <c r="K63" s="557"/>
      <c r="L63" s="460"/>
      <c r="M63" s="557"/>
      <c r="N63" s="460"/>
    </row>
    <row r="64" spans="1:14">
      <c r="A64" s="519"/>
      <c r="B64" s="520"/>
      <c r="C64" s="521"/>
      <c r="D64" s="522"/>
      <c r="E64" s="517"/>
      <c r="F64" s="465"/>
      <c r="G64" s="557"/>
      <c r="H64" s="460"/>
      <c r="I64" s="557"/>
      <c r="J64" s="460"/>
      <c r="K64" s="557"/>
      <c r="L64" s="460"/>
      <c r="M64" s="557"/>
      <c r="N64" s="460"/>
    </row>
    <row r="65" spans="1:14">
      <c r="A65" s="519"/>
      <c r="B65" s="520"/>
      <c r="C65" s="521"/>
      <c r="D65" s="522"/>
      <c r="E65" s="517"/>
      <c r="F65" s="465"/>
      <c r="G65" s="557"/>
      <c r="H65" s="460"/>
      <c r="I65" s="557"/>
      <c r="J65" s="460"/>
      <c r="K65" s="557"/>
      <c r="L65" s="460"/>
      <c r="M65" s="557"/>
      <c r="N65" s="460"/>
    </row>
    <row r="66" spans="1:14">
      <c r="A66" s="519"/>
      <c r="B66" s="520"/>
      <c r="C66" s="521"/>
      <c r="D66" s="522"/>
      <c r="E66" s="517"/>
      <c r="F66" s="465"/>
      <c r="G66" s="557"/>
      <c r="H66" s="460"/>
      <c r="I66" s="557"/>
      <c r="J66" s="460"/>
      <c r="K66" s="557"/>
      <c r="L66" s="460"/>
      <c r="M66" s="557"/>
      <c r="N66" s="460"/>
    </row>
    <row r="67" spans="1:14">
      <c r="A67" s="519"/>
      <c r="B67" s="520"/>
      <c r="C67" s="521"/>
      <c r="D67" s="522"/>
      <c r="E67" s="517"/>
      <c r="F67" s="465"/>
      <c r="G67" s="557"/>
      <c r="H67" s="460"/>
      <c r="I67" s="557"/>
      <c r="J67" s="460"/>
      <c r="K67" s="557"/>
      <c r="L67" s="460"/>
      <c r="M67" s="557"/>
      <c r="N67" s="460"/>
    </row>
    <row r="68" spans="1:14">
      <c r="A68" s="519"/>
      <c r="B68" s="520"/>
      <c r="C68" s="521"/>
      <c r="D68" s="522"/>
      <c r="E68" s="517"/>
      <c r="F68" s="465"/>
      <c r="G68" s="557"/>
      <c r="H68" s="460"/>
      <c r="I68" s="557"/>
      <c r="J68" s="460"/>
      <c r="K68" s="557"/>
      <c r="L68" s="460"/>
      <c r="M68" s="557"/>
      <c r="N68" s="460"/>
    </row>
    <row r="69" spans="1:14">
      <c r="A69" s="519"/>
      <c r="B69" s="520"/>
      <c r="C69" s="521"/>
      <c r="D69" s="522"/>
      <c r="E69" s="517"/>
      <c r="F69" s="465"/>
      <c r="G69" s="557"/>
      <c r="H69" s="460"/>
      <c r="I69" s="557"/>
      <c r="J69" s="460"/>
      <c r="K69" s="557"/>
      <c r="L69" s="460"/>
      <c r="M69" s="557"/>
      <c r="N69" s="460"/>
    </row>
    <row r="70" spans="1:14">
      <c r="A70" s="519"/>
      <c r="B70" s="520"/>
      <c r="C70" s="521"/>
      <c r="D70" s="522"/>
      <c r="E70" s="517"/>
      <c r="F70" s="465"/>
      <c r="G70" s="557"/>
      <c r="H70" s="460"/>
      <c r="I70" s="557"/>
      <c r="J70" s="460"/>
      <c r="K70" s="557"/>
      <c r="L70" s="460"/>
      <c r="M70" s="557"/>
      <c r="N70" s="460"/>
    </row>
    <row r="71" spans="1:14">
      <c r="A71" s="519"/>
      <c r="B71" s="520"/>
      <c r="C71" s="521"/>
      <c r="D71" s="522"/>
      <c r="E71" s="517"/>
      <c r="F71" s="465"/>
      <c r="G71" s="557"/>
      <c r="H71" s="460"/>
      <c r="I71" s="557"/>
      <c r="J71" s="460"/>
      <c r="K71" s="557"/>
      <c r="L71" s="460"/>
      <c r="M71" s="557"/>
      <c r="N71" s="460"/>
    </row>
    <row r="72" spans="1:14">
      <c r="A72" s="519"/>
      <c r="B72" s="520"/>
      <c r="C72" s="521"/>
      <c r="D72" s="522"/>
      <c r="E72" s="517"/>
      <c r="F72" s="465"/>
      <c r="G72" s="557"/>
      <c r="H72" s="460"/>
      <c r="I72" s="557"/>
      <c r="J72" s="460"/>
      <c r="K72" s="557"/>
      <c r="L72" s="460"/>
      <c r="M72" s="557"/>
      <c r="N72" s="460"/>
    </row>
    <row r="73" spans="1:14">
      <c r="A73" s="519"/>
      <c r="B73" s="520"/>
      <c r="C73" s="521"/>
      <c r="D73" s="522"/>
      <c r="E73" s="517"/>
      <c r="F73" s="465"/>
      <c r="G73" s="557"/>
      <c r="H73" s="460"/>
      <c r="I73" s="557"/>
      <c r="J73" s="460"/>
      <c r="K73" s="557"/>
      <c r="L73" s="460"/>
      <c r="M73" s="557"/>
      <c r="N73" s="460"/>
    </row>
    <row r="74" spans="1:14">
      <c r="A74" s="519"/>
      <c r="B74" s="520"/>
      <c r="C74" s="521"/>
      <c r="D74" s="522"/>
      <c r="E74" s="517"/>
      <c r="F74" s="465"/>
      <c r="G74" s="557"/>
      <c r="H74" s="460"/>
      <c r="I74" s="557"/>
      <c r="J74" s="460"/>
      <c r="K74" s="557"/>
      <c r="L74" s="460"/>
      <c r="M74" s="557"/>
      <c r="N74" s="460"/>
    </row>
    <row r="75" spans="1:14">
      <c r="A75" s="519"/>
      <c r="B75" s="520"/>
      <c r="C75" s="521"/>
      <c r="D75" s="522"/>
      <c r="E75" s="517"/>
      <c r="F75" s="465"/>
      <c r="G75" s="557"/>
      <c r="H75" s="460"/>
      <c r="I75" s="557"/>
      <c r="J75" s="460"/>
      <c r="K75" s="557"/>
      <c r="L75" s="460"/>
      <c r="M75" s="557"/>
      <c r="N75" s="460"/>
    </row>
    <row r="76" spans="1:14">
      <c r="A76" s="519"/>
      <c r="B76" s="520"/>
      <c r="C76" s="521"/>
      <c r="D76" s="522"/>
      <c r="E76" s="517"/>
      <c r="F76" s="465"/>
      <c r="G76" s="557"/>
      <c r="H76" s="460"/>
      <c r="I76" s="557"/>
      <c r="J76" s="460"/>
      <c r="K76" s="557"/>
      <c r="L76" s="460"/>
      <c r="M76" s="557"/>
      <c r="N76" s="460"/>
    </row>
    <row r="77" spans="1:14">
      <c r="A77" s="519"/>
      <c r="B77" s="520"/>
      <c r="C77" s="521"/>
      <c r="D77" s="522"/>
      <c r="E77" s="517"/>
      <c r="F77" s="465"/>
      <c r="G77" s="557"/>
      <c r="H77" s="460"/>
      <c r="I77" s="557"/>
      <c r="J77" s="460"/>
      <c r="K77" s="557"/>
      <c r="L77" s="460"/>
      <c r="M77" s="557"/>
      <c r="N77" s="460"/>
    </row>
    <row r="78" spans="1:14">
      <c r="A78" s="519"/>
      <c r="B78" s="520"/>
      <c r="C78" s="521"/>
      <c r="D78" s="522"/>
      <c r="E78" s="517"/>
      <c r="F78" s="465"/>
      <c r="G78" s="557"/>
      <c r="H78" s="460"/>
      <c r="I78" s="557"/>
      <c r="J78" s="460"/>
      <c r="K78" s="557"/>
      <c r="L78" s="460"/>
      <c r="M78" s="557"/>
      <c r="N78" s="460"/>
    </row>
    <row r="79" spans="1:14">
      <c r="A79" s="519"/>
      <c r="B79" s="520"/>
      <c r="C79" s="521"/>
      <c r="D79" s="522"/>
      <c r="E79" s="517"/>
      <c r="F79" s="465"/>
      <c r="G79" s="557"/>
      <c r="H79" s="460"/>
      <c r="I79" s="557"/>
      <c r="J79" s="460"/>
      <c r="K79" s="557"/>
      <c r="L79" s="460"/>
      <c r="M79" s="557"/>
      <c r="N79" s="460"/>
    </row>
    <row r="80" spans="1:14">
      <c r="A80" s="519"/>
      <c r="B80" s="520"/>
      <c r="C80" s="521"/>
      <c r="D80" s="522"/>
      <c r="E80" s="517"/>
      <c r="F80" s="465"/>
      <c r="G80" s="557"/>
      <c r="H80" s="460"/>
      <c r="I80" s="557"/>
      <c r="J80" s="460"/>
      <c r="K80" s="557"/>
      <c r="L80" s="460"/>
      <c r="M80" s="557"/>
      <c r="N80" s="460"/>
    </row>
    <row r="81" spans="1:14">
      <c r="A81" s="519"/>
      <c r="B81" s="520"/>
      <c r="C81" s="521"/>
      <c r="D81" s="522"/>
      <c r="E81" s="517"/>
      <c r="F81" s="465"/>
      <c r="G81" s="557"/>
      <c r="H81" s="460"/>
      <c r="I81" s="557"/>
      <c r="J81" s="460"/>
      <c r="K81" s="557"/>
      <c r="L81" s="460"/>
      <c r="M81" s="557"/>
      <c r="N81" s="460"/>
    </row>
    <row r="82" spans="1:14">
      <c r="A82" s="519"/>
      <c r="B82" s="520"/>
      <c r="C82" s="521"/>
      <c r="D82" s="522"/>
      <c r="E82" s="517"/>
      <c r="F82" s="465"/>
      <c r="G82" s="557"/>
      <c r="H82" s="460"/>
      <c r="I82" s="557"/>
      <c r="J82" s="460"/>
      <c r="K82" s="557"/>
      <c r="L82" s="460"/>
      <c r="M82" s="557"/>
      <c r="N82" s="460"/>
    </row>
    <row r="83" spans="1:14">
      <c r="A83" s="519"/>
      <c r="B83" s="520"/>
      <c r="C83" s="521"/>
      <c r="D83" s="522"/>
      <c r="E83" s="517"/>
      <c r="F83" s="465"/>
      <c r="G83" s="557"/>
      <c r="H83" s="460"/>
      <c r="I83" s="557"/>
      <c r="J83" s="460"/>
      <c r="K83" s="557"/>
      <c r="L83" s="460"/>
      <c r="M83" s="557"/>
      <c r="N83" s="460"/>
    </row>
    <row r="84" spans="1:14">
      <c r="A84" s="519"/>
      <c r="B84" s="520"/>
      <c r="C84" s="521"/>
      <c r="D84" s="522"/>
      <c r="E84" s="517"/>
      <c r="F84" s="465"/>
      <c r="G84" s="557"/>
      <c r="H84" s="460"/>
      <c r="I84" s="557"/>
      <c r="J84" s="460"/>
      <c r="K84" s="557"/>
      <c r="L84" s="460"/>
      <c r="M84" s="557"/>
      <c r="N84" s="460"/>
    </row>
    <row r="85" spans="1:14">
      <c r="A85" s="519"/>
      <c r="B85" s="520"/>
      <c r="C85" s="521"/>
      <c r="D85" s="522"/>
      <c r="E85" s="517"/>
      <c r="F85" s="465"/>
      <c r="G85" s="557"/>
      <c r="H85" s="460"/>
      <c r="I85" s="557"/>
      <c r="J85" s="460"/>
      <c r="K85" s="557"/>
      <c r="L85" s="460"/>
      <c r="M85" s="557"/>
      <c r="N85" s="460"/>
    </row>
    <row r="86" spans="1:14">
      <c r="A86" s="519"/>
      <c r="B86" s="520"/>
      <c r="C86" s="521"/>
      <c r="D86" s="522"/>
      <c r="E86" s="517"/>
      <c r="F86" s="465"/>
      <c r="G86" s="557"/>
      <c r="H86" s="460"/>
      <c r="I86" s="557"/>
      <c r="J86" s="460"/>
      <c r="K86" s="557"/>
      <c r="L86" s="460"/>
      <c r="M86" s="557"/>
      <c r="N86" s="460"/>
    </row>
    <row r="87" spans="1:14">
      <c r="A87" s="519"/>
      <c r="B87" s="520"/>
      <c r="C87" s="521"/>
      <c r="D87" s="522"/>
      <c r="E87" s="517"/>
      <c r="F87" s="465"/>
      <c r="G87" s="557"/>
      <c r="H87" s="460"/>
      <c r="I87" s="557"/>
      <c r="J87" s="460"/>
      <c r="K87" s="557"/>
      <c r="L87" s="460"/>
      <c r="M87" s="557"/>
      <c r="N87" s="460"/>
    </row>
    <row r="88" spans="1:14">
      <c r="A88" s="519"/>
      <c r="B88" s="520"/>
      <c r="C88" s="521"/>
      <c r="D88" s="522"/>
      <c r="E88" s="517"/>
      <c r="F88" s="465"/>
      <c r="G88" s="557"/>
      <c r="H88" s="460"/>
      <c r="I88" s="557"/>
      <c r="J88" s="460"/>
      <c r="K88" s="557"/>
      <c r="L88" s="460"/>
      <c r="M88" s="557"/>
      <c r="N88" s="460"/>
    </row>
    <row r="89" spans="1:14">
      <c r="A89" s="519"/>
      <c r="B89" s="520"/>
      <c r="C89" s="521"/>
      <c r="D89" s="522"/>
      <c r="E89" s="517"/>
      <c r="F89" s="465"/>
      <c r="G89" s="557"/>
      <c r="H89" s="460"/>
      <c r="I89" s="557"/>
      <c r="J89" s="460"/>
      <c r="K89" s="557"/>
      <c r="L89" s="460"/>
      <c r="M89" s="557"/>
      <c r="N89" s="460"/>
    </row>
    <row r="90" spans="1:14">
      <c r="A90" s="519"/>
      <c r="B90" s="520"/>
      <c r="C90" s="521"/>
      <c r="D90" s="522"/>
      <c r="E90" s="517"/>
      <c r="F90" s="465"/>
      <c r="G90" s="557"/>
      <c r="H90" s="460"/>
      <c r="I90" s="557"/>
      <c r="J90" s="460"/>
      <c r="K90" s="557"/>
      <c r="L90" s="460"/>
      <c r="M90" s="557"/>
      <c r="N90" s="460"/>
    </row>
    <row r="91" spans="1:14">
      <c r="A91" s="519"/>
      <c r="B91" s="520"/>
      <c r="C91" s="521"/>
      <c r="D91" s="522"/>
      <c r="E91" s="517"/>
      <c r="F91" s="465"/>
      <c r="G91" s="557"/>
      <c r="H91" s="460"/>
      <c r="I91" s="557"/>
      <c r="J91" s="460"/>
      <c r="K91" s="557"/>
      <c r="L91" s="460"/>
      <c r="M91" s="557"/>
      <c r="N91" s="460"/>
    </row>
    <row r="92" spans="1:14">
      <c r="A92" s="519"/>
      <c r="B92" s="520"/>
      <c r="C92" s="521"/>
      <c r="D92" s="522"/>
      <c r="E92" s="517"/>
      <c r="F92" s="465"/>
      <c r="G92" s="557"/>
      <c r="H92" s="460"/>
      <c r="I92" s="557"/>
      <c r="J92" s="460"/>
      <c r="K92" s="557"/>
      <c r="L92" s="460"/>
      <c r="M92" s="557"/>
      <c r="N92" s="460"/>
    </row>
    <row r="93" spans="1:14">
      <c r="A93" s="519"/>
      <c r="B93" s="520"/>
      <c r="C93" s="521"/>
      <c r="D93" s="522"/>
      <c r="E93" s="517"/>
      <c r="F93" s="465"/>
      <c r="G93" s="557"/>
      <c r="H93" s="460"/>
      <c r="I93" s="557"/>
      <c r="J93" s="460"/>
      <c r="K93" s="557"/>
      <c r="L93" s="460"/>
      <c r="M93" s="557"/>
      <c r="N93" s="460"/>
    </row>
    <row r="94" spans="1:14">
      <c r="A94" s="519"/>
      <c r="B94" s="520"/>
      <c r="C94" s="521"/>
      <c r="D94" s="522"/>
      <c r="E94" s="517"/>
      <c r="F94" s="465"/>
      <c r="G94" s="557"/>
      <c r="H94" s="460"/>
      <c r="I94" s="557"/>
      <c r="J94" s="460"/>
      <c r="K94" s="557"/>
      <c r="L94" s="460"/>
      <c r="M94" s="557"/>
      <c r="N94" s="460"/>
    </row>
    <row r="95" spans="1:14">
      <c r="A95" s="519"/>
      <c r="B95" s="520"/>
      <c r="C95" s="521"/>
      <c r="D95" s="522"/>
      <c r="E95" s="517"/>
      <c r="F95" s="465"/>
      <c r="G95" s="557"/>
      <c r="H95" s="460"/>
      <c r="I95" s="557"/>
      <c r="J95" s="460"/>
      <c r="K95" s="557"/>
      <c r="L95" s="460"/>
      <c r="M95" s="557"/>
      <c r="N95" s="460"/>
    </row>
    <row r="96" spans="1:14">
      <c r="A96" s="519"/>
      <c r="B96" s="520"/>
      <c r="C96" s="521"/>
      <c r="D96" s="522"/>
      <c r="E96" s="517"/>
      <c r="F96" s="465"/>
      <c r="G96" s="557"/>
      <c r="H96" s="460"/>
      <c r="I96" s="557"/>
      <c r="J96" s="460"/>
      <c r="K96" s="557"/>
      <c r="L96" s="460"/>
      <c r="M96" s="557"/>
      <c r="N96" s="460"/>
    </row>
    <row r="97" spans="1:14">
      <c r="A97" s="519"/>
      <c r="B97" s="520"/>
      <c r="C97" s="521"/>
      <c r="D97" s="522"/>
      <c r="E97" s="517"/>
      <c r="F97" s="465"/>
      <c r="G97" s="557"/>
      <c r="H97" s="460"/>
      <c r="I97" s="557"/>
      <c r="J97" s="460"/>
      <c r="K97" s="557"/>
      <c r="L97" s="460"/>
      <c r="M97" s="557"/>
      <c r="N97" s="460"/>
    </row>
    <row r="98" spans="1:14">
      <c r="A98" s="519"/>
      <c r="B98" s="520"/>
      <c r="C98" s="521"/>
      <c r="D98" s="522"/>
      <c r="E98" s="517"/>
      <c r="F98" s="465"/>
      <c r="G98" s="557"/>
      <c r="H98" s="460"/>
      <c r="I98" s="557"/>
      <c r="J98" s="460"/>
      <c r="K98" s="557"/>
      <c r="L98" s="460"/>
      <c r="M98" s="557"/>
      <c r="N98" s="460"/>
    </row>
    <row r="99" spans="1:14">
      <c r="A99" s="519"/>
      <c r="B99" s="520"/>
      <c r="C99" s="521"/>
      <c r="D99" s="522"/>
      <c r="E99" s="517"/>
      <c r="F99" s="465"/>
      <c r="G99" s="557"/>
      <c r="H99" s="460"/>
      <c r="I99" s="557"/>
      <c r="J99" s="460"/>
      <c r="K99" s="557"/>
      <c r="L99" s="460"/>
      <c r="M99" s="557"/>
      <c r="N99" s="460"/>
    </row>
    <row r="100" spans="1:14">
      <c r="A100" s="519"/>
      <c r="B100" s="520"/>
      <c r="C100" s="521"/>
      <c r="D100" s="522"/>
      <c r="E100" s="517"/>
      <c r="F100" s="465"/>
      <c r="G100" s="557"/>
      <c r="H100" s="460"/>
      <c r="I100" s="557"/>
      <c r="J100" s="460"/>
      <c r="K100" s="557"/>
      <c r="L100" s="460"/>
      <c r="M100" s="557"/>
      <c r="N100" s="460"/>
    </row>
    <row r="101" spans="1:14">
      <c r="A101" s="519"/>
      <c r="B101" s="520"/>
      <c r="C101" s="521"/>
      <c r="D101" s="522"/>
      <c r="E101" s="517"/>
      <c r="F101" s="465"/>
      <c r="G101" s="557"/>
      <c r="H101" s="460"/>
      <c r="I101" s="557"/>
      <c r="J101" s="460"/>
      <c r="K101" s="557"/>
      <c r="L101" s="460"/>
      <c r="M101" s="557"/>
      <c r="N101" s="460"/>
    </row>
    <row r="102" spans="1:14">
      <c r="A102" s="519"/>
      <c r="B102" s="520"/>
      <c r="C102" s="521"/>
      <c r="D102" s="522"/>
      <c r="E102" s="517"/>
      <c r="F102" s="465"/>
      <c r="G102" s="557"/>
      <c r="H102" s="460"/>
      <c r="I102" s="557"/>
      <c r="J102" s="460"/>
      <c r="K102" s="557"/>
      <c r="L102" s="460"/>
      <c r="M102" s="557"/>
      <c r="N102" s="460"/>
    </row>
    <row r="103" spans="1:14">
      <c r="A103" s="519"/>
      <c r="B103" s="520"/>
      <c r="C103" s="521"/>
      <c r="D103" s="522"/>
      <c r="E103" s="517"/>
      <c r="F103" s="465"/>
      <c r="G103" s="557"/>
      <c r="H103" s="460"/>
      <c r="I103" s="557"/>
      <c r="J103" s="460"/>
      <c r="K103" s="557"/>
      <c r="L103" s="460"/>
      <c r="M103" s="557"/>
      <c r="N103" s="460"/>
    </row>
    <row r="104" spans="1:14">
      <c r="A104" s="519"/>
      <c r="B104" s="520"/>
      <c r="C104" s="521"/>
      <c r="D104" s="522"/>
      <c r="E104" s="517"/>
      <c r="F104" s="465"/>
      <c r="G104" s="557"/>
      <c r="H104" s="460"/>
      <c r="I104" s="557"/>
      <c r="J104" s="460"/>
      <c r="K104" s="557"/>
      <c r="L104" s="460"/>
      <c r="M104" s="557"/>
      <c r="N104" s="460"/>
    </row>
    <row r="105" spans="1:14">
      <c r="A105" s="519"/>
      <c r="B105" s="520"/>
      <c r="C105" s="521"/>
      <c r="D105" s="522"/>
      <c r="E105" s="517"/>
      <c r="F105" s="465"/>
      <c r="G105" s="557"/>
      <c r="H105" s="460"/>
      <c r="I105" s="557"/>
      <c r="J105" s="460"/>
      <c r="K105" s="557"/>
      <c r="L105" s="460"/>
      <c r="M105" s="557"/>
      <c r="N105" s="460"/>
    </row>
    <row r="106" spans="1:14">
      <c r="A106" s="519"/>
      <c r="B106" s="520"/>
      <c r="C106" s="521"/>
      <c r="D106" s="522"/>
      <c r="E106" s="517"/>
      <c r="F106" s="465"/>
      <c r="G106" s="557"/>
      <c r="H106" s="460"/>
      <c r="I106" s="557"/>
      <c r="J106" s="460"/>
      <c r="K106" s="557"/>
      <c r="L106" s="460"/>
      <c r="M106" s="557"/>
      <c r="N106" s="460"/>
    </row>
    <row r="107" spans="1:14">
      <c r="A107" s="519"/>
      <c r="B107" s="520"/>
      <c r="C107" s="521"/>
      <c r="D107" s="522"/>
      <c r="E107" s="517"/>
      <c r="F107" s="465"/>
      <c r="G107" s="557"/>
      <c r="H107" s="460"/>
      <c r="I107" s="557"/>
      <c r="J107" s="460"/>
      <c r="K107" s="557"/>
      <c r="L107" s="460"/>
      <c r="M107" s="557"/>
      <c r="N107" s="460"/>
    </row>
    <row r="108" spans="1:14">
      <c r="A108" s="519"/>
      <c r="B108" s="520"/>
      <c r="C108" s="521"/>
      <c r="D108" s="522"/>
      <c r="E108" s="517"/>
      <c r="F108" s="465"/>
      <c r="G108" s="557"/>
      <c r="H108" s="460"/>
      <c r="I108" s="557"/>
      <c r="J108" s="460"/>
      <c r="K108" s="557"/>
      <c r="L108" s="460"/>
      <c r="M108" s="557"/>
      <c r="N108" s="460"/>
    </row>
    <row r="109" spans="1:14">
      <c r="A109" s="519"/>
      <c r="B109" s="520"/>
      <c r="C109" s="521"/>
      <c r="D109" s="522"/>
      <c r="E109" s="517"/>
      <c r="F109" s="465"/>
      <c r="G109" s="557"/>
      <c r="H109" s="460"/>
      <c r="I109" s="557"/>
      <c r="J109" s="460"/>
      <c r="K109" s="557"/>
      <c r="L109" s="460"/>
      <c r="M109" s="557"/>
      <c r="N109" s="460"/>
    </row>
    <row r="110" spans="1:14">
      <c r="A110" s="519"/>
      <c r="B110" s="520"/>
      <c r="C110" s="521"/>
      <c r="D110" s="522"/>
      <c r="E110" s="517"/>
      <c r="F110" s="465"/>
      <c r="G110" s="557"/>
      <c r="H110" s="460"/>
      <c r="I110" s="557"/>
      <c r="J110" s="460"/>
      <c r="K110" s="557"/>
      <c r="L110" s="460"/>
      <c r="M110" s="557"/>
      <c r="N110" s="460"/>
    </row>
    <row r="111" spans="1:14">
      <c r="A111" s="519"/>
      <c r="B111" s="520"/>
      <c r="C111" s="521"/>
      <c r="D111" s="522"/>
      <c r="E111" s="517"/>
      <c r="F111" s="465"/>
      <c r="G111" s="557"/>
      <c r="H111" s="460"/>
      <c r="I111" s="557"/>
      <c r="J111" s="460"/>
      <c r="K111" s="557"/>
      <c r="L111" s="460"/>
      <c r="M111" s="557"/>
      <c r="N111" s="460"/>
    </row>
    <row r="112" spans="1:14">
      <c r="A112" s="519"/>
      <c r="B112" s="520"/>
      <c r="C112" s="521"/>
      <c r="D112" s="522"/>
      <c r="E112" s="517"/>
      <c r="F112" s="465"/>
      <c r="G112" s="557"/>
      <c r="H112" s="460"/>
      <c r="I112" s="557"/>
      <c r="J112" s="460"/>
      <c r="K112" s="557"/>
      <c r="L112" s="460"/>
      <c r="M112" s="557"/>
      <c r="N112" s="460"/>
    </row>
    <row r="113" spans="1:14">
      <c r="A113" s="519"/>
      <c r="B113" s="520"/>
      <c r="C113" s="521"/>
      <c r="D113" s="522"/>
      <c r="E113" s="517"/>
      <c r="F113" s="465"/>
      <c r="G113" s="557"/>
      <c r="H113" s="460"/>
      <c r="I113" s="557"/>
      <c r="J113" s="460"/>
      <c r="K113" s="557"/>
      <c r="L113" s="460"/>
      <c r="M113" s="557"/>
      <c r="N113" s="460"/>
    </row>
    <row r="114" spans="1:14">
      <c r="A114" s="519"/>
      <c r="B114" s="520"/>
      <c r="C114" s="521"/>
      <c r="D114" s="522"/>
      <c r="E114" s="517"/>
      <c r="F114" s="465"/>
      <c r="G114" s="557"/>
      <c r="H114" s="460"/>
      <c r="I114" s="557"/>
      <c r="J114" s="460"/>
      <c r="K114" s="557"/>
      <c r="L114" s="460"/>
      <c r="M114" s="557"/>
      <c r="N114" s="460"/>
    </row>
    <row r="115" spans="1:14">
      <c r="A115" s="519"/>
      <c r="B115" s="520"/>
      <c r="C115" s="521"/>
      <c r="D115" s="522"/>
      <c r="E115" s="517"/>
      <c r="F115" s="465"/>
      <c r="G115" s="557"/>
      <c r="H115" s="460"/>
      <c r="I115" s="557"/>
      <c r="J115" s="460"/>
      <c r="K115" s="557"/>
      <c r="L115" s="460"/>
      <c r="M115" s="557"/>
      <c r="N115" s="460"/>
    </row>
    <row r="116" spans="1:14">
      <c r="A116" s="519"/>
      <c r="B116" s="520"/>
      <c r="C116" s="521"/>
      <c r="D116" s="522"/>
      <c r="E116" s="517"/>
      <c r="F116" s="465"/>
      <c r="G116" s="557"/>
      <c r="H116" s="460"/>
      <c r="I116" s="557"/>
      <c r="J116" s="460"/>
      <c r="K116" s="557"/>
      <c r="L116" s="460"/>
      <c r="M116" s="557"/>
      <c r="N116" s="460"/>
    </row>
    <row r="117" spans="1:14">
      <c r="A117" s="519"/>
      <c r="B117" s="520"/>
      <c r="C117" s="521"/>
      <c r="D117" s="522"/>
      <c r="E117" s="517"/>
      <c r="F117" s="465"/>
      <c r="G117" s="557"/>
      <c r="H117" s="460"/>
      <c r="I117" s="557"/>
      <c r="J117" s="460"/>
      <c r="K117" s="557"/>
      <c r="L117" s="460"/>
      <c r="M117" s="557"/>
      <c r="N117" s="460"/>
    </row>
    <row r="118" spans="1:14">
      <c r="A118" s="519"/>
      <c r="B118" s="520"/>
      <c r="C118" s="521"/>
      <c r="D118" s="522"/>
      <c r="E118" s="517"/>
      <c r="F118" s="465"/>
      <c r="G118" s="557"/>
      <c r="H118" s="460"/>
      <c r="I118" s="557"/>
      <c r="J118" s="460"/>
      <c r="K118" s="557"/>
      <c r="L118" s="460"/>
      <c r="M118" s="557"/>
      <c r="N118" s="460"/>
    </row>
    <row r="119" spans="1:14">
      <c r="A119" s="519"/>
      <c r="B119" s="520"/>
      <c r="C119" s="521"/>
      <c r="D119" s="522"/>
      <c r="E119" s="517"/>
      <c r="F119" s="465"/>
      <c r="G119" s="557"/>
      <c r="H119" s="460"/>
      <c r="I119" s="557"/>
      <c r="J119" s="460"/>
      <c r="K119" s="557"/>
      <c r="L119" s="460"/>
      <c r="M119" s="557"/>
      <c r="N119" s="460"/>
    </row>
    <row r="120" spans="1:14">
      <c r="A120" s="519"/>
      <c r="B120" s="520"/>
      <c r="C120" s="521"/>
      <c r="D120" s="522"/>
      <c r="E120" s="517"/>
      <c r="F120" s="465"/>
      <c r="G120" s="557"/>
      <c r="H120" s="460"/>
      <c r="I120" s="557"/>
      <c r="J120" s="460"/>
      <c r="K120" s="557"/>
      <c r="L120" s="460"/>
      <c r="M120" s="557"/>
      <c r="N120" s="460"/>
    </row>
    <row r="121" spans="1:14">
      <c r="A121" s="519"/>
      <c r="B121" s="520"/>
      <c r="C121" s="521"/>
      <c r="D121" s="522"/>
      <c r="E121" s="517"/>
      <c r="F121" s="465"/>
      <c r="G121" s="557"/>
      <c r="H121" s="460"/>
      <c r="I121" s="557"/>
      <c r="J121" s="460"/>
      <c r="K121" s="557"/>
      <c r="L121" s="460"/>
      <c r="M121" s="557"/>
      <c r="N121" s="460"/>
    </row>
    <row r="122" spans="1:14">
      <c r="A122" s="519"/>
      <c r="B122" s="520"/>
      <c r="C122" s="521"/>
      <c r="D122" s="522"/>
      <c r="E122" s="517"/>
      <c r="F122" s="465"/>
      <c r="G122" s="557"/>
      <c r="H122" s="460"/>
      <c r="I122" s="557"/>
      <c r="J122" s="460"/>
      <c r="K122" s="557"/>
      <c r="L122" s="460"/>
      <c r="M122" s="557"/>
      <c r="N122" s="460"/>
    </row>
    <row r="123" spans="1:14">
      <c r="A123" s="519"/>
      <c r="B123" s="520"/>
      <c r="C123" s="521"/>
      <c r="D123" s="522"/>
      <c r="E123" s="517"/>
      <c r="F123" s="465"/>
      <c r="G123" s="557"/>
      <c r="H123" s="460"/>
      <c r="I123" s="557"/>
      <c r="J123" s="460"/>
      <c r="K123" s="557"/>
      <c r="L123" s="460"/>
      <c r="M123" s="557"/>
      <c r="N123" s="460"/>
    </row>
    <row r="124" spans="1:14">
      <c r="A124" s="519"/>
      <c r="B124" s="520"/>
      <c r="C124" s="521"/>
      <c r="D124" s="522"/>
      <c r="E124" s="517"/>
      <c r="F124" s="465"/>
      <c r="G124" s="557"/>
      <c r="H124" s="460"/>
      <c r="I124" s="557"/>
      <c r="J124" s="460"/>
      <c r="K124" s="557"/>
      <c r="L124" s="460"/>
      <c r="M124" s="557"/>
      <c r="N124" s="460"/>
    </row>
    <row r="125" spans="1:14">
      <c r="A125" s="519"/>
      <c r="B125" s="520"/>
      <c r="C125" s="521"/>
      <c r="D125" s="522"/>
      <c r="E125" s="517"/>
      <c r="F125" s="465"/>
      <c r="G125" s="557"/>
      <c r="H125" s="460"/>
      <c r="I125" s="557"/>
      <c r="J125" s="460"/>
      <c r="K125" s="557"/>
      <c r="L125" s="460"/>
      <c r="M125" s="557"/>
      <c r="N125" s="460"/>
    </row>
    <row r="126" spans="1:14">
      <c r="A126" s="519"/>
      <c r="B126" s="520"/>
      <c r="C126" s="521"/>
      <c r="D126" s="522"/>
      <c r="E126" s="517"/>
      <c r="F126" s="465"/>
      <c r="G126" s="557"/>
      <c r="H126" s="460"/>
      <c r="I126" s="557"/>
      <c r="J126" s="460"/>
      <c r="K126" s="557"/>
      <c r="L126" s="460"/>
      <c r="M126" s="557"/>
      <c r="N126" s="460"/>
    </row>
    <row r="127" spans="1:14">
      <c r="A127" s="519"/>
      <c r="B127" s="520"/>
      <c r="C127" s="521"/>
      <c r="D127" s="522"/>
      <c r="E127" s="517"/>
      <c r="F127" s="465"/>
      <c r="G127" s="557"/>
      <c r="H127" s="460"/>
      <c r="I127" s="557"/>
      <c r="J127" s="460"/>
      <c r="K127" s="557"/>
      <c r="L127" s="460"/>
      <c r="M127" s="557"/>
      <c r="N127" s="460"/>
    </row>
    <row r="128" spans="1:14">
      <c r="A128" s="519"/>
      <c r="B128" s="520"/>
      <c r="C128" s="521"/>
      <c r="D128" s="522"/>
      <c r="E128" s="517"/>
      <c r="F128" s="465"/>
      <c r="G128" s="557"/>
      <c r="H128" s="460"/>
      <c r="I128" s="557"/>
      <c r="J128" s="460"/>
      <c r="K128" s="557"/>
      <c r="L128" s="460"/>
      <c r="M128" s="557"/>
      <c r="N128" s="460"/>
    </row>
    <row r="129" spans="1:14">
      <c r="A129" s="519"/>
      <c r="B129" s="520"/>
      <c r="C129" s="521"/>
      <c r="D129" s="522"/>
      <c r="E129" s="517"/>
      <c r="F129" s="465"/>
      <c r="G129" s="557"/>
      <c r="H129" s="460"/>
      <c r="I129" s="557"/>
      <c r="J129" s="460"/>
      <c r="K129" s="557"/>
      <c r="L129" s="460"/>
      <c r="M129" s="557"/>
      <c r="N129" s="460"/>
    </row>
    <row r="130" spans="1:14">
      <c r="A130" s="519"/>
      <c r="B130" s="520"/>
      <c r="C130" s="521"/>
      <c r="D130" s="522"/>
      <c r="E130" s="517"/>
      <c r="F130" s="465"/>
      <c r="G130" s="557"/>
      <c r="H130" s="460"/>
      <c r="I130" s="557"/>
      <c r="J130" s="460"/>
      <c r="K130" s="557"/>
      <c r="L130" s="460"/>
      <c r="M130" s="557"/>
      <c r="N130" s="460"/>
    </row>
    <row r="131" spans="1:14">
      <c r="A131" s="519"/>
      <c r="B131" s="520"/>
      <c r="C131" s="521"/>
      <c r="D131" s="522"/>
      <c r="E131" s="517"/>
      <c r="F131" s="465"/>
      <c r="G131" s="557"/>
      <c r="H131" s="460"/>
      <c r="I131" s="557"/>
      <c r="J131" s="460"/>
      <c r="K131" s="557"/>
      <c r="L131" s="460"/>
      <c r="M131" s="557"/>
      <c r="N131" s="460"/>
    </row>
    <row r="132" spans="1:14">
      <c r="A132" s="519"/>
      <c r="B132" s="520"/>
      <c r="C132" s="521"/>
      <c r="D132" s="522"/>
      <c r="E132" s="517"/>
      <c r="F132" s="465"/>
      <c r="G132" s="557"/>
      <c r="H132" s="460"/>
      <c r="I132" s="557"/>
      <c r="J132" s="460"/>
      <c r="K132" s="557"/>
      <c r="L132" s="460"/>
      <c r="M132" s="557"/>
      <c r="N132" s="460"/>
    </row>
    <row r="133" spans="1:14">
      <c r="A133" s="519"/>
      <c r="B133" s="520"/>
      <c r="C133" s="521"/>
      <c r="D133" s="522"/>
      <c r="E133" s="517"/>
      <c r="F133" s="465"/>
      <c r="G133" s="557"/>
      <c r="H133" s="460"/>
      <c r="I133" s="557"/>
      <c r="J133" s="460"/>
      <c r="K133" s="557"/>
      <c r="L133" s="460"/>
      <c r="M133" s="557"/>
      <c r="N133" s="460"/>
    </row>
    <row r="134" spans="1:14">
      <c r="A134" s="519"/>
      <c r="B134" s="520"/>
      <c r="C134" s="521"/>
      <c r="D134" s="522"/>
      <c r="E134" s="517"/>
      <c r="F134" s="465"/>
      <c r="G134" s="557"/>
      <c r="H134" s="460"/>
      <c r="I134" s="557"/>
      <c r="J134" s="460"/>
      <c r="K134" s="557"/>
      <c r="L134" s="460"/>
      <c r="M134" s="557"/>
      <c r="N134" s="460"/>
    </row>
    <row r="135" spans="1:14">
      <c r="A135" s="519"/>
      <c r="B135" s="520"/>
      <c r="C135" s="521"/>
      <c r="D135" s="522"/>
      <c r="E135" s="517"/>
      <c r="F135" s="465"/>
      <c r="G135" s="557"/>
      <c r="H135" s="460"/>
      <c r="I135" s="557"/>
      <c r="J135" s="460"/>
      <c r="K135" s="557"/>
      <c r="L135" s="460"/>
      <c r="M135" s="557"/>
      <c r="N135" s="460"/>
    </row>
    <row r="136" spans="1:14">
      <c r="A136" s="519"/>
      <c r="B136" s="520"/>
      <c r="C136" s="521"/>
      <c r="D136" s="522"/>
      <c r="E136" s="517"/>
      <c r="F136" s="465"/>
      <c r="G136" s="557"/>
      <c r="H136" s="460"/>
      <c r="I136" s="557"/>
      <c r="J136" s="460"/>
      <c r="K136" s="557"/>
      <c r="L136" s="460"/>
      <c r="M136" s="557"/>
      <c r="N136" s="460"/>
    </row>
    <row r="137" spans="1:14">
      <c r="A137" s="519"/>
      <c r="B137" s="520"/>
      <c r="C137" s="521"/>
      <c r="D137" s="522"/>
      <c r="E137" s="517"/>
      <c r="F137" s="465"/>
      <c r="G137" s="557"/>
      <c r="H137" s="460"/>
      <c r="I137" s="557"/>
      <c r="J137" s="460"/>
      <c r="K137" s="557"/>
      <c r="L137" s="460"/>
      <c r="M137" s="557"/>
      <c r="N137" s="460"/>
    </row>
    <row r="138" spans="1:14">
      <c r="A138" s="519"/>
      <c r="B138" s="520"/>
      <c r="C138" s="521"/>
      <c r="D138" s="522"/>
      <c r="E138" s="517"/>
      <c r="F138" s="465"/>
      <c r="G138" s="557"/>
      <c r="H138" s="460"/>
      <c r="I138" s="557"/>
      <c r="J138" s="460"/>
      <c r="K138" s="557"/>
      <c r="L138" s="460"/>
      <c r="M138" s="557"/>
      <c r="N138" s="460"/>
    </row>
    <row r="139" spans="1:14">
      <c r="A139" s="519"/>
      <c r="B139" s="520"/>
      <c r="C139" s="521"/>
      <c r="D139" s="522"/>
      <c r="E139" s="517"/>
      <c r="F139" s="465"/>
      <c r="G139" s="557"/>
      <c r="H139" s="460"/>
      <c r="I139" s="557"/>
      <c r="J139" s="460"/>
      <c r="K139" s="557"/>
      <c r="L139" s="460"/>
      <c r="M139" s="557"/>
      <c r="N139" s="460"/>
    </row>
    <row r="140" spans="1:14">
      <c r="A140" s="519"/>
      <c r="B140" s="520"/>
      <c r="C140" s="521"/>
      <c r="D140" s="522"/>
      <c r="E140" s="517"/>
      <c r="F140" s="465"/>
      <c r="G140" s="557"/>
      <c r="H140" s="460"/>
      <c r="I140" s="557"/>
      <c r="J140" s="460"/>
      <c r="K140" s="557"/>
      <c r="L140" s="460"/>
      <c r="M140" s="557"/>
      <c r="N140" s="460"/>
    </row>
    <row r="141" spans="1:14">
      <c r="A141" s="519"/>
      <c r="B141" s="520"/>
      <c r="C141" s="521"/>
      <c r="D141" s="522"/>
      <c r="E141" s="517"/>
      <c r="F141" s="465"/>
      <c r="G141" s="557"/>
      <c r="H141" s="460"/>
      <c r="I141" s="557"/>
      <c r="J141" s="460"/>
      <c r="K141" s="557"/>
      <c r="L141" s="460"/>
      <c r="M141" s="557"/>
      <c r="N141" s="460"/>
    </row>
    <row r="142" spans="1:14">
      <c r="A142" s="519"/>
      <c r="B142" s="520"/>
      <c r="C142" s="521"/>
      <c r="D142" s="522"/>
      <c r="E142" s="517"/>
      <c r="F142" s="465"/>
      <c r="G142" s="557"/>
      <c r="H142" s="460"/>
      <c r="I142" s="557"/>
      <c r="J142" s="460"/>
      <c r="K142" s="557"/>
      <c r="L142" s="460"/>
      <c r="M142" s="557"/>
      <c r="N142" s="460"/>
    </row>
    <row r="143" spans="1:14">
      <c r="A143" s="519"/>
      <c r="B143" s="520"/>
      <c r="C143" s="521"/>
      <c r="D143" s="522"/>
      <c r="E143" s="517"/>
      <c r="F143" s="465"/>
      <c r="G143" s="557"/>
      <c r="H143" s="460"/>
      <c r="I143" s="557"/>
      <c r="J143" s="460"/>
      <c r="K143" s="557"/>
      <c r="L143" s="460"/>
      <c r="M143" s="557"/>
      <c r="N143" s="460"/>
    </row>
    <row r="144" spans="1:14">
      <c r="A144" s="519"/>
      <c r="B144" s="520"/>
      <c r="C144" s="521"/>
      <c r="D144" s="522"/>
      <c r="E144" s="517"/>
      <c r="F144" s="465"/>
      <c r="G144" s="557"/>
      <c r="H144" s="460"/>
      <c r="I144" s="557"/>
      <c r="J144" s="460"/>
      <c r="K144" s="557"/>
      <c r="L144" s="460"/>
      <c r="M144" s="557"/>
      <c r="N144" s="460"/>
    </row>
    <row r="145" spans="1:14">
      <c r="A145" s="519"/>
      <c r="B145" s="520"/>
      <c r="C145" s="521"/>
      <c r="D145" s="522"/>
      <c r="E145" s="517"/>
      <c r="F145" s="465"/>
      <c r="G145" s="557"/>
      <c r="H145" s="460"/>
      <c r="I145" s="557"/>
      <c r="J145" s="460"/>
      <c r="K145" s="557"/>
      <c r="L145" s="460"/>
      <c r="M145" s="557"/>
      <c r="N145" s="460"/>
    </row>
    <row r="146" spans="1:14">
      <c r="A146" s="519"/>
      <c r="B146" s="520"/>
      <c r="C146" s="521"/>
      <c r="D146" s="522"/>
      <c r="E146" s="517"/>
      <c r="F146" s="465"/>
      <c r="G146" s="557"/>
      <c r="H146" s="460"/>
      <c r="I146" s="557"/>
      <c r="J146" s="460"/>
      <c r="K146" s="557"/>
      <c r="L146" s="460"/>
      <c r="M146" s="557"/>
      <c r="N146" s="460"/>
    </row>
    <row r="147" spans="1:14">
      <c r="A147" s="519"/>
      <c r="B147" s="520"/>
      <c r="C147" s="521"/>
      <c r="D147" s="522"/>
      <c r="E147" s="517"/>
      <c r="F147" s="465"/>
      <c r="G147" s="557"/>
      <c r="H147" s="460"/>
      <c r="I147" s="557"/>
      <c r="J147" s="460"/>
      <c r="K147" s="557"/>
      <c r="L147" s="460"/>
      <c r="M147" s="557"/>
      <c r="N147" s="460"/>
    </row>
    <row r="148" spans="1:14">
      <c r="A148" s="519"/>
      <c r="B148" s="520"/>
      <c r="C148" s="521"/>
      <c r="D148" s="522"/>
      <c r="E148" s="517"/>
      <c r="F148" s="465"/>
      <c r="G148" s="557"/>
      <c r="H148" s="460"/>
      <c r="I148" s="557"/>
      <c r="J148" s="460"/>
      <c r="K148" s="557"/>
      <c r="L148" s="460"/>
      <c r="M148" s="557"/>
      <c r="N148" s="460"/>
    </row>
    <row r="149" spans="1:14">
      <c r="A149" s="519"/>
      <c r="B149" s="520"/>
      <c r="C149" s="521"/>
      <c r="D149" s="522"/>
      <c r="E149" s="517"/>
      <c r="F149" s="465"/>
      <c r="G149" s="557"/>
      <c r="H149" s="460"/>
      <c r="I149" s="557"/>
      <c r="J149" s="460"/>
      <c r="K149" s="557"/>
      <c r="L149" s="460"/>
      <c r="M149" s="557"/>
      <c r="N149" s="460"/>
    </row>
    <row r="150" spans="1:14">
      <c r="A150" s="519"/>
      <c r="B150" s="520"/>
      <c r="C150" s="521"/>
      <c r="D150" s="522"/>
      <c r="E150" s="517"/>
      <c r="F150" s="465"/>
      <c r="G150" s="557"/>
      <c r="H150" s="460"/>
      <c r="I150" s="557"/>
      <c r="J150" s="460"/>
      <c r="K150" s="557"/>
      <c r="L150" s="460"/>
      <c r="M150" s="557"/>
      <c r="N150" s="460"/>
    </row>
    <row r="151" spans="1:14">
      <c r="A151" s="519"/>
      <c r="B151" s="520"/>
      <c r="C151" s="521"/>
      <c r="D151" s="522"/>
      <c r="E151" s="517"/>
      <c r="F151" s="465"/>
      <c r="G151" s="557"/>
      <c r="H151" s="460"/>
      <c r="I151" s="557"/>
      <c r="J151" s="460"/>
      <c r="K151" s="557"/>
      <c r="L151" s="460"/>
      <c r="M151" s="557"/>
      <c r="N151" s="460"/>
    </row>
    <row r="152" spans="1:14">
      <c r="A152" s="519"/>
      <c r="B152" s="520"/>
      <c r="C152" s="521"/>
      <c r="D152" s="522"/>
      <c r="E152" s="517"/>
      <c r="F152" s="465"/>
      <c r="G152" s="557"/>
      <c r="H152" s="460"/>
      <c r="I152" s="557"/>
      <c r="J152" s="460"/>
      <c r="K152" s="557"/>
      <c r="L152" s="460"/>
      <c r="M152" s="557"/>
      <c r="N152" s="460"/>
    </row>
    <row r="153" spans="1:14">
      <c r="A153" s="519"/>
      <c r="B153" s="520"/>
      <c r="C153" s="521"/>
      <c r="D153" s="522"/>
      <c r="E153" s="517"/>
      <c r="F153" s="465"/>
      <c r="G153" s="557"/>
      <c r="H153" s="460"/>
      <c r="I153" s="557"/>
      <c r="J153" s="460"/>
      <c r="K153" s="557"/>
      <c r="L153" s="460"/>
      <c r="M153" s="557"/>
      <c r="N153" s="460"/>
    </row>
    <row r="154" spans="1:14">
      <c r="A154" s="519"/>
      <c r="B154" s="520"/>
      <c r="C154" s="521"/>
      <c r="D154" s="522"/>
      <c r="E154" s="517"/>
      <c r="F154" s="465"/>
      <c r="G154" s="557"/>
      <c r="H154" s="460"/>
      <c r="I154" s="557"/>
      <c r="J154" s="460"/>
      <c r="K154" s="557"/>
      <c r="L154" s="460"/>
      <c r="M154" s="557"/>
      <c r="N154" s="460"/>
    </row>
    <row r="155" spans="1:14">
      <c r="A155" s="519"/>
      <c r="B155" s="520"/>
      <c r="C155" s="521"/>
      <c r="D155" s="522"/>
      <c r="E155" s="517"/>
      <c r="F155" s="465"/>
      <c r="G155" s="557"/>
      <c r="H155" s="460"/>
      <c r="I155" s="557"/>
      <c r="J155" s="460"/>
      <c r="K155" s="557"/>
      <c r="L155" s="460"/>
      <c r="M155" s="557"/>
      <c r="N155" s="460"/>
    </row>
    <row r="156" spans="1:14">
      <c r="A156" s="519"/>
      <c r="B156" s="520"/>
      <c r="C156" s="521"/>
      <c r="D156" s="522"/>
      <c r="E156" s="517"/>
      <c r="F156" s="465"/>
      <c r="G156" s="557"/>
      <c r="H156" s="460"/>
      <c r="I156" s="557"/>
      <c r="J156" s="460"/>
      <c r="K156" s="557"/>
      <c r="L156" s="460"/>
      <c r="M156" s="557"/>
      <c r="N156" s="460"/>
    </row>
    <row r="157" spans="1:14">
      <c r="A157" s="519"/>
      <c r="B157" s="520"/>
      <c r="C157" s="521"/>
      <c r="D157" s="522"/>
      <c r="E157" s="517"/>
      <c r="F157" s="465"/>
      <c r="G157" s="557"/>
      <c r="H157" s="460"/>
      <c r="I157" s="557"/>
      <c r="J157" s="460"/>
      <c r="K157" s="557"/>
      <c r="L157" s="460"/>
      <c r="M157" s="557"/>
      <c r="N157" s="460"/>
    </row>
    <row r="158" spans="1:14">
      <c r="A158" s="519"/>
      <c r="B158" s="520"/>
      <c r="C158" s="521"/>
      <c r="D158" s="522"/>
      <c r="E158" s="517"/>
      <c r="F158" s="465"/>
      <c r="G158" s="557"/>
      <c r="H158" s="460"/>
      <c r="I158" s="557"/>
      <c r="J158" s="460"/>
      <c r="K158" s="557"/>
      <c r="L158" s="460"/>
      <c r="M158" s="557"/>
      <c r="N158" s="460"/>
    </row>
    <row r="159" spans="1:14">
      <c r="A159" s="519"/>
      <c r="B159" s="520"/>
      <c r="C159" s="521"/>
      <c r="D159" s="522"/>
      <c r="E159" s="517"/>
      <c r="F159" s="465"/>
      <c r="G159" s="557"/>
      <c r="H159" s="460"/>
      <c r="I159" s="557"/>
      <c r="J159" s="460"/>
      <c r="K159" s="557"/>
      <c r="L159" s="460"/>
      <c r="M159" s="557"/>
      <c r="N159" s="460"/>
    </row>
    <row r="160" spans="1:14">
      <c r="A160" s="519"/>
      <c r="B160" s="520"/>
      <c r="C160" s="521"/>
      <c r="D160" s="522"/>
      <c r="E160" s="517"/>
      <c r="F160" s="465"/>
      <c r="G160" s="557"/>
      <c r="H160" s="460"/>
      <c r="I160" s="557"/>
      <c r="J160" s="460"/>
      <c r="K160" s="557"/>
      <c r="L160" s="460"/>
      <c r="M160" s="557"/>
      <c r="N160" s="460"/>
    </row>
    <row r="161" spans="1:14">
      <c r="A161" s="519"/>
      <c r="B161" s="520"/>
      <c r="C161" s="521"/>
      <c r="D161" s="522"/>
      <c r="E161" s="517"/>
      <c r="F161" s="465"/>
      <c r="G161" s="557"/>
      <c r="H161" s="460"/>
      <c r="I161" s="557"/>
      <c r="J161" s="460"/>
      <c r="K161" s="557"/>
      <c r="L161" s="460"/>
      <c r="M161" s="557"/>
      <c r="N161" s="460"/>
    </row>
    <row r="162" spans="1:14">
      <c r="A162" s="519"/>
      <c r="B162" s="520"/>
      <c r="C162" s="521"/>
      <c r="D162" s="522"/>
      <c r="E162" s="517"/>
      <c r="F162" s="465"/>
      <c r="G162" s="557"/>
      <c r="H162" s="460"/>
      <c r="I162" s="557"/>
      <c r="J162" s="460"/>
      <c r="K162" s="557"/>
      <c r="L162" s="460"/>
      <c r="M162" s="557"/>
      <c r="N162" s="460"/>
    </row>
    <row r="163" spans="1:14">
      <c r="A163" s="519"/>
      <c r="B163" s="520"/>
      <c r="C163" s="521"/>
      <c r="D163" s="522"/>
      <c r="E163" s="517"/>
      <c r="F163" s="465"/>
      <c r="G163" s="557"/>
      <c r="H163" s="460"/>
      <c r="I163" s="557"/>
      <c r="J163" s="460"/>
      <c r="K163" s="557"/>
      <c r="L163" s="460"/>
      <c r="M163" s="557"/>
      <c r="N163" s="460"/>
    </row>
    <row r="164" spans="1:14">
      <c r="A164" s="519"/>
      <c r="B164" s="520"/>
      <c r="C164" s="521"/>
      <c r="D164" s="522"/>
      <c r="E164" s="517"/>
      <c r="F164" s="465"/>
      <c r="G164" s="557"/>
      <c r="H164" s="460"/>
      <c r="I164" s="557"/>
      <c r="J164" s="460"/>
      <c r="K164" s="557"/>
      <c r="L164" s="460"/>
      <c r="M164" s="557"/>
      <c r="N164" s="460"/>
    </row>
    <row r="165" spans="1:14">
      <c r="A165" s="519"/>
      <c r="B165" s="520"/>
      <c r="C165" s="521"/>
      <c r="D165" s="522"/>
      <c r="E165" s="517"/>
      <c r="F165" s="465"/>
      <c r="G165" s="557"/>
      <c r="H165" s="460"/>
      <c r="I165" s="557"/>
      <c r="J165" s="460"/>
      <c r="K165" s="557"/>
      <c r="L165" s="460"/>
      <c r="M165" s="557"/>
      <c r="N165" s="460"/>
    </row>
    <row r="166" spans="1:14">
      <c r="A166" s="519"/>
      <c r="B166" s="520"/>
      <c r="C166" s="521"/>
      <c r="D166" s="522"/>
      <c r="E166" s="517"/>
      <c r="F166" s="465"/>
      <c r="G166" s="557"/>
      <c r="H166" s="460"/>
      <c r="I166" s="557"/>
      <c r="J166" s="460"/>
      <c r="K166" s="557"/>
      <c r="L166" s="460"/>
      <c r="M166" s="557"/>
      <c r="N166" s="460"/>
    </row>
    <row r="167" spans="1:14">
      <c r="A167" s="519"/>
      <c r="B167" s="520"/>
      <c r="C167" s="521"/>
      <c r="D167" s="522"/>
      <c r="E167" s="517"/>
      <c r="F167" s="465"/>
      <c r="G167" s="557"/>
      <c r="H167" s="460"/>
      <c r="I167" s="557"/>
      <c r="J167" s="460"/>
      <c r="K167" s="557"/>
      <c r="L167" s="460"/>
      <c r="M167" s="557"/>
      <c r="N167" s="460"/>
    </row>
    <row r="168" spans="1:14">
      <c r="A168" s="519"/>
      <c r="B168" s="520"/>
      <c r="C168" s="521"/>
      <c r="D168" s="522"/>
      <c r="E168" s="517"/>
      <c r="F168" s="465"/>
      <c r="G168" s="557"/>
      <c r="H168" s="460"/>
      <c r="I168" s="557"/>
      <c r="J168" s="460"/>
      <c r="K168" s="557"/>
      <c r="L168" s="460"/>
      <c r="M168" s="557"/>
      <c r="N168" s="460"/>
    </row>
    <row r="169" spans="1:14">
      <c r="A169" s="519"/>
      <c r="B169" s="520"/>
      <c r="C169" s="521"/>
      <c r="D169" s="522"/>
      <c r="E169" s="517"/>
      <c r="F169" s="465"/>
      <c r="G169" s="557"/>
      <c r="H169" s="460"/>
      <c r="I169" s="557"/>
      <c r="J169" s="460"/>
      <c r="K169" s="557"/>
      <c r="L169" s="460"/>
      <c r="M169" s="557"/>
      <c r="N169" s="460"/>
    </row>
    <row r="170" spans="1:14">
      <c r="A170" s="519"/>
      <c r="B170" s="520"/>
      <c r="C170" s="521"/>
      <c r="D170" s="522"/>
      <c r="E170" s="517"/>
      <c r="F170" s="465"/>
      <c r="G170" s="557"/>
      <c r="H170" s="460"/>
      <c r="I170" s="557"/>
      <c r="J170" s="460"/>
      <c r="K170" s="557"/>
      <c r="L170" s="460"/>
      <c r="M170" s="557"/>
      <c r="N170" s="460"/>
    </row>
    <row r="171" spans="1:14">
      <c r="A171" s="519"/>
      <c r="B171" s="520"/>
      <c r="C171" s="521"/>
      <c r="D171" s="522"/>
      <c r="E171" s="517"/>
      <c r="F171" s="465"/>
      <c r="G171" s="557"/>
      <c r="H171" s="460"/>
      <c r="I171" s="557"/>
      <c r="J171" s="460"/>
      <c r="K171" s="557"/>
      <c r="L171" s="460"/>
      <c r="M171" s="557"/>
      <c r="N171" s="460"/>
    </row>
    <row r="172" spans="1:14">
      <c r="A172" s="519"/>
      <c r="B172" s="520"/>
      <c r="C172" s="521"/>
      <c r="D172" s="522"/>
      <c r="E172" s="517"/>
      <c r="F172" s="465"/>
      <c r="G172" s="557"/>
      <c r="H172" s="460"/>
      <c r="I172" s="557"/>
      <c r="J172" s="460"/>
      <c r="K172" s="557"/>
      <c r="L172" s="460"/>
      <c r="M172" s="557"/>
      <c r="N172" s="460"/>
    </row>
    <row r="173" spans="1:14">
      <c r="A173" s="519"/>
      <c r="B173" s="520"/>
      <c r="C173" s="521"/>
      <c r="D173" s="522"/>
      <c r="E173" s="517"/>
      <c r="F173" s="465"/>
      <c r="G173" s="557"/>
      <c r="H173" s="460"/>
      <c r="I173" s="557"/>
      <c r="J173" s="460"/>
      <c r="K173" s="557"/>
      <c r="L173" s="460"/>
      <c r="M173" s="557"/>
      <c r="N173" s="460"/>
    </row>
    <row r="174" spans="1:14">
      <c r="A174" s="519"/>
      <c r="B174" s="520"/>
      <c r="C174" s="521"/>
      <c r="D174" s="522"/>
      <c r="E174" s="517"/>
      <c r="F174" s="465"/>
      <c r="G174" s="557"/>
      <c r="H174" s="460"/>
      <c r="I174" s="557"/>
      <c r="J174" s="460"/>
      <c r="K174" s="557"/>
      <c r="L174" s="460"/>
      <c r="M174" s="557"/>
      <c r="N174" s="460"/>
    </row>
    <row r="175" spans="1:14">
      <c r="A175" s="519"/>
      <c r="B175" s="520"/>
      <c r="C175" s="521"/>
      <c r="D175" s="522"/>
      <c r="E175" s="517"/>
      <c r="F175" s="465"/>
      <c r="G175" s="557"/>
      <c r="H175" s="460"/>
      <c r="I175" s="557"/>
      <c r="J175" s="460"/>
      <c r="K175" s="557"/>
      <c r="L175" s="460"/>
      <c r="M175" s="557"/>
      <c r="N175" s="460"/>
    </row>
    <row r="176" spans="1:14">
      <c r="A176" s="519"/>
      <c r="B176" s="520"/>
      <c r="C176" s="521"/>
      <c r="D176" s="522"/>
      <c r="E176" s="517"/>
      <c r="F176" s="465"/>
      <c r="G176" s="557"/>
      <c r="H176" s="460"/>
      <c r="I176" s="557"/>
      <c r="J176" s="460"/>
      <c r="K176" s="557"/>
      <c r="L176" s="460"/>
      <c r="M176" s="557"/>
      <c r="N176" s="460"/>
    </row>
    <row r="177" spans="1:14">
      <c r="A177" s="519"/>
      <c r="B177" s="520"/>
      <c r="C177" s="521"/>
      <c r="D177" s="522"/>
      <c r="E177" s="517"/>
      <c r="F177" s="465"/>
      <c r="G177" s="557"/>
      <c r="H177" s="460"/>
      <c r="I177" s="557"/>
      <c r="J177" s="460"/>
      <c r="K177" s="557"/>
      <c r="L177" s="460"/>
      <c r="M177" s="557"/>
      <c r="N177" s="460"/>
    </row>
    <row r="178" spans="1:14">
      <c r="A178" s="519"/>
      <c r="B178" s="520"/>
      <c r="C178" s="521"/>
      <c r="D178" s="522"/>
      <c r="E178" s="517"/>
      <c r="F178" s="465"/>
      <c r="G178" s="557"/>
      <c r="H178" s="460"/>
      <c r="I178" s="557"/>
      <c r="J178" s="460"/>
      <c r="K178" s="557"/>
      <c r="L178" s="460"/>
      <c r="M178" s="557"/>
      <c r="N178" s="460"/>
    </row>
    <row r="179" spans="1:14">
      <c r="A179" s="519"/>
      <c r="B179" s="520"/>
      <c r="C179" s="521"/>
      <c r="D179" s="522"/>
      <c r="E179" s="517"/>
      <c r="F179" s="465"/>
      <c r="G179" s="557"/>
      <c r="H179" s="460"/>
      <c r="I179" s="557"/>
      <c r="J179" s="460"/>
      <c r="K179" s="557"/>
      <c r="L179" s="460"/>
      <c r="M179" s="557"/>
      <c r="N179" s="460"/>
    </row>
    <row r="180" spans="1:14">
      <c r="A180" s="519"/>
      <c r="B180" s="520"/>
      <c r="C180" s="521"/>
      <c r="D180" s="522"/>
      <c r="E180" s="517"/>
      <c r="F180" s="465"/>
      <c r="G180" s="557"/>
      <c r="H180" s="460"/>
      <c r="I180" s="557"/>
      <c r="J180" s="460"/>
      <c r="K180" s="557"/>
      <c r="L180" s="460"/>
      <c r="M180" s="557"/>
      <c r="N180" s="460"/>
    </row>
    <row r="181" spans="1:14">
      <c r="A181" s="519"/>
      <c r="B181" s="520"/>
      <c r="C181" s="521"/>
      <c r="D181" s="522"/>
      <c r="E181" s="517"/>
      <c r="F181" s="465"/>
      <c r="G181" s="557"/>
      <c r="H181" s="460"/>
      <c r="I181" s="557"/>
      <c r="J181" s="460"/>
      <c r="K181" s="557"/>
      <c r="L181" s="460"/>
      <c r="M181" s="557"/>
      <c r="N181" s="460"/>
    </row>
    <row r="182" spans="1:14">
      <c r="A182" s="519"/>
      <c r="B182" s="520"/>
      <c r="C182" s="521"/>
      <c r="D182" s="522"/>
      <c r="E182" s="517"/>
      <c r="F182" s="465"/>
      <c r="G182" s="557"/>
      <c r="H182" s="460"/>
      <c r="I182" s="557"/>
      <c r="J182" s="460"/>
      <c r="K182" s="557"/>
      <c r="L182" s="460"/>
      <c r="M182" s="557"/>
      <c r="N182" s="460"/>
    </row>
    <row r="183" spans="1:14">
      <c r="A183" s="519"/>
      <c r="B183" s="520"/>
      <c r="C183" s="521"/>
      <c r="D183" s="522"/>
      <c r="E183" s="517"/>
      <c r="F183" s="465"/>
      <c r="G183" s="557"/>
      <c r="H183" s="460"/>
      <c r="I183" s="557"/>
      <c r="J183" s="460"/>
      <c r="K183" s="557"/>
      <c r="L183" s="460"/>
      <c r="M183" s="557"/>
      <c r="N183" s="460"/>
    </row>
    <row r="184" spans="1:14">
      <c r="A184" s="519"/>
      <c r="B184" s="520"/>
      <c r="C184" s="521"/>
      <c r="D184" s="522"/>
      <c r="E184" s="517"/>
      <c r="F184" s="465"/>
      <c r="G184" s="557"/>
      <c r="H184" s="460"/>
      <c r="I184" s="557"/>
      <c r="J184" s="460"/>
      <c r="K184" s="557"/>
      <c r="L184" s="460"/>
      <c r="M184" s="557"/>
      <c r="N184" s="460"/>
    </row>
    <row r="185" spans="1:14">
      <c r="A185" s="519"/>
      <c r="B185" s="520"/>
      <c r="C185" s="521"/>
      <c r="D185" s="522"/>
      <c r="E185" s="517"/>
      <c r="F185" s="465"/>
      <c r="G185" s="557"/>
      <c r="H185" s="460"/>
      <c r="I185" s="557"/>
      <c r="J185" s="460"/>
      <c r="K185" s="557"/>
      <c r="L185" s="460"/>
      <c r="M185" s="557"/>
      <c r="N185" s="460"/>
    </row>
    <row r="186" spans="1:14">
      <c r="A186" s="519"/>
      <c r="B186" s="520"/>
      <c r="C186" s="521"/>
      <c r="D186" s="522"/>
      <c r="E186" s="517"/>
      <c r="F186" s="465"/>
      <c r="G186" s="557"/>
      <c r="H186" s="460"/>
      <c r="I186" s="557"/>
      <c r="J186" s="460"/>
      <c r="K186" s="557"/>
      <c r="L186" s="460"/>
      <c r="M186" s="557"/>
      <c r="N186" s="460"/>
    </row>
    <row r="187" spans="1:14">
      <c r="A187" s="519"/>
      <c r="B187" s="520"/>
      <c r="C187" s="521"/>
      <c r="D187" s="522"/>
      <c r="E187" s="517"/>
      <c r="F187" s="465"/>
      <c r="G187" s="557"/>
      <c r="H187" s="460"/>
      <c r="I187" s="557"/>
      <c r="J187" s="460"/>
      <c r="K187" s="557"/>
      <c r="L187" s="460"/>
      <c r="M187" s="557"/>
      <c r="N187" s="460"/>
    </row>
    <row r="188" spans="1:14">
      <c r="A188" s="519"/>
      <c r="B188" s="520"/>
      <c r="C188" s="521"/>
      <c r="D188" s="522"/>
      <c r="E188" s="517"/>
      <c r="F188" s="465"/>
      <c r="G188" s="557"/>
      <c r="H188" s="460"/>
      <c r="I188" s="557"/>
      <c r="J188" s="460"/>
      <c r="K188" s="557"/>
      <c r="L188" s="460"/>
      <c r="M188" s="557"/>
      <c r="N188" s="460"/>
    </row>
    <row r="189" spans="1:14">
      <c r="A189" s="519"/>
      <c r="B189" s="520"/>
      <c r="C189" s="521"/>
      <c r="D189" s="522"/>
      <c r="E189" s="517"/>
      <c r="F189" s="465"/>
      <c r="G189" s="557"/>
      <c r="H189" s="460"/>
      <c r="I189" s="557"/>
      <c r="J189" s="460"/>
      <c r="K189" s="557"/>
      <c r="L189" s="460"/>
      <c r="M189" s="557"/>
      <c r="N189" s="460"/>
    </row>
    <row r="190" spans="1:14">
      <c r="A190" s="519"/>
      <c r="B190" s="520"/>
      <c r="C190" s="521"/>
      <c r="D190" s="522"/>
      <c r="E190" s="517"/>
      <c r="F190" s="465"/>
      <c r="G190" s="557"/>
      <c r="H190" s="460"/>
      <c r="I190" s="557"/>
      <c r="J190" s="460"/>
      <c r="K190" s="557"/>
      <c r="L190" s="460"/>
      <c r="M190" s="557"/>
      <c r="N190" s="460"/>
    </row>
    <row r="191" spans="1:14">
      <c r="A191" s="519"/>
      <c r="B191" s="520"/>
      <c r="C191" s="521"/>
      <c r="D191" s="522"/>
      <c r="E191" s="517"/>
      <c r="F191" s="465"/>
      <c r="G191" s="557"/>
      <c r="H191" s="460"/>
      <c r="I191" s="557"/>
      <c r="J191" s="460"/>
      <c r="K191" s="557"/>
      <c r="L191" s="460"/>
      <c r="M191" s="557"/>
      <c r="N191" s="460"/>
    </row>
    <row r="192" spans="1:14">
      <c r="A192" s="519"/>
      <c r="B192" s="520"/>
      <c r="C192" s="521"/>
      <c r="D192" s="522"/>
      <c r="E192" s="517"/>
      <c r="F192" s="465"/>
      <c r="G192" s="557"/>
      <c r="H192" s="460"/>
      <c r="I192" s="557"/>
      <c r="J192" s="460"/>
      <c r="K192" s="557"/>
      <c r="L192" s="460"/>
      <c r="M192" s="557"/>
      <c r="N192" s="460"/>
    </row>
    <row r="193" spans="1:14">
      <c r="A193" s="519"/>
      <c r="B193" s="520"/>
      <c r="C193" s="521"/>
      <c r="D193" s="522"/>
      <c r="E193" s="517"/>
      <c r="F193" s="465"/>
      <c r="G193" s="557"/>
      <c r="H193" s="460"/>
      <c r="I193" s="557"/>
      <c r="J193" s="460"/>
      <c r="K193" s="557"/>
      <c r="L193" s="460"/>
      <c r="M193" s="557"/>
      <c r="N193" s="460"/>
    </row>
    <row r="194" spans="1:14">
      <c r="A194" s="519"/>
      <c r="B194" s="520"/>
      <c r="C194" s="521"/>
      <c r="D194" s="522"/>
      <c r="E194" s="517"/>
      <c r="F194" s="465"/>
      <c r="G194" s="557"/>
      <c r="H194" s="460"/>
      <c r="I194" s="557"/>
      <c r="J194" s="460"/>
      <c r="K194" s="557"/>
      <c r="L194" s="460"/>
      <c r="M194" s="557"/>
      <c r="N194" s="460"/>
    </row>
    <row r="195" spans="1:14">
      <c r="A195" s="519"/>
      <c r="B195" s="520"/>
      <c r="C195" s="521"/>
      <c r="D195" s="522"/>
      <c r="E195" s="517"/>
      <c r="F195" s="465"/>
      <c r="G195" s="557"/>
      <c r="H195" s="460"/>
      <c r="I195" s="557"/>
      <c r="J195" s="460"/>
      <c r="K195" s="557"/>
      <c r="L195" s="460"/>
      <c r="M195" s="557"/>
      <c r="N195" s="460"/>
    </row>
    <row r="196" spans="1:14">
      <c r="A196" s="519"/>
      <c r="B196" s="520"/>
      <c r="C196" s="521"/>
      <c r="D196" s="522"/>
      <c r="E196" s="517"/>
      <c r="F196" s="465"/>
      <c r="G196" s="557"/>
      <c r="H196" s="460"/>
      <c r="I196" s="557"/>
      <c r="J196" s="460"/>
      <c r="K196" s="557"/>
      <c r="L196" s="460"/>
      <c r="M196" s="557"/>
      <c r="N196" s="460"/>
    </row>
    <row r="197" spans="1:14">
      <c r="A197" s="519"/>
      <c r="B197" s="520"/>
      <c r="C197" s="521"/>
      <c r="D197" s="522"/>
      <c r="E197" s="517"/>
      <c r="F197" s="465"/>
      <c r="G197" s="557"/>
      <c r="H197" s="460"/>
      <c r="I197" s="557"/>
      <c r="J197" s="460"/>
      <c r="K197" s="557"/>
      <c r="L197" s="460"/>
      <c r="M197" s="557"/>
      <c r="N197" s="460"/>
    </row>
    <row r="198" spans="1:14">
      <c r="A198" s="519"/>
      <c r="B198" s="520"/>
      <c r="C198" s="521"/>
      <c r="D198" s="522"/>
      <c r="E198" s="517"/>
      <c r="F198" s="465"/>
      <c r="G198" s="557"/>
      <c r="H198" s="460"/>
      <c r="I198" s="557"/>
      <c r="J198" s="460"/>
      <c r="K198" s="557"/>
      <c r="L198" s="460"/>
      <c r="M198" s="557"/>
      <c r="N198" s="460"/>
    </row>
    <row r="199" spans="1:14">
      <c r="A199" s="519"/>
      <c r="B199" s="520"/>
      <c r="C199" s="521"/>
      <c r="D199" s="522"/>
      <c r="E199" s="517"/>
      <c r="F199" s="465"/>
      <c r="G199" s="557"/>
      <c r="H199" s="460"/>
      <c r="I199" s="557"/>
      <c r="J199" s="460"/>
      <c r="K199" s="557"/>
      <c r="L199" s="460"/>
      <c r="M199" s="557"/>
      <c r="N199" s="460"/>
    </row>
    <row r="200" spans="1:14">
      <c r="A200" s="519"/>
      <c r="B200" s="520"/>
      <c r="C200" s="521"/>
      <c r="D200" s="522"/>
      <c r="E200" s="517"/>
      <c r="F200" s="465"/>
      <c r="G200" s="557"/>
      <c r="H200" s="460"/>
      <c r="I200" s="557"/>
      <c r="J200" s="460"/>
      <c r="K200" s="557"/>
      <c r="L200" s="460"/>
      <c r="M200" s="557"/>
      <c r="N200" s="460"/>
    </row>
    <row r="201" spans="1:14">
      <c r="A201" s="519"/>
      <c r="B201" s="520"/>
      <c r="C201" s="521"/>
      <c r="D201" s="522"/>
      <c r="E201" s="517"/>
      <c r="F201" s="465"/>
      <c r="G201" s="557"/>
      <c r="H201" s="460"/>
      <c r="I201" s="557"/>
      <c r="J201" s="460"/>
      <c r="K201" s="557"/>
      <c r="L201" s="460"/>
      <c r="M201" s="557"/>
      <c r="N201" s="460"/>
    </row>
    <row r="202" spans="1:14">
      <c r="A202" s="519"/>
      <c r="B202" s="520"/>
      <c r="C202" s="521"/>
      <c r="D202" s="522"/>
      <c r="E202" s="517"/>
      <c r="F202" s="465"/>
      <c r="G202" s="557"/>
      <c r="H202" s="460"/>
      <c r="I202" s="557"/>
      <c r="J202" s="460"/>
      <c r="K202" s="557"/>
      <c r="L202" s="460"/>
      <c r="M202" s="557"/>
      <c r="N202" s="460"/>
    </row>
    <row r="203" spans="1:14">
      <c r="A203" s="519"/>
      <c r="B203" s="520"/>
      <c r="C203" s="521"/>
      <c r="D203" s="522"/>
      <c r="E203" s="517"/>
      <c r="F203" s="465"/>
      <c r="G203" s="557"/>
      <c r="H203" s="460"/>
      <c r="I203" s="557"/>
      <c r="J203" s="460"/>
      <c r="K203" s="557"/>
      <c r="L203" s="460"/>
      <c r="M203" s="557"/>
      <c r="N203" s="460"/>
    </row>
    <row r="204" spans="1:14">
      <c r="A204" s="519"/>
      <c r="B204" s="520"/>
      <c r="C204" s="521"/>
      <c r="D204" s="522"/>
      <c r="E204" s="517"/>
      <c r="F204" s="465"/>
      <c r="G204" s="557"/>
      <c r="H204" s="460"/>
      <c r="I204" s="557"/>
      <c r="J204" s="460"/>
      <c r="K204" s="557"/>
      <c r="L204" s="460"/>
      <c r="M204" s="557"/>
      <c r="N204" s="460"/>
    </row>
    <row r="205" spans="1:14">
      <c r="A205" s="519"/>
      <c r="B205" s="520"/>
      <c r="C205" s="521"/>
      <c r="D205" s="522"/>
      <c r="E205" s="517"/>
      <c r="F205" s="465"/>
      <c r="G205" s="557"/>
      <c r="H205" s="460"/>
      <c r="I205" s="557"/>
      <c r="J205" s="460"/>
      <c r="K205" s="557"/>
      <c r="L205" s="460"/>
      <c r="M205" s="557"/>
      <c r="N205" s="460"/>
    </row>
    <row r="206" spans="1:14">
      <c r="A206" s="519"/>
      <c r="B206" s="520"/>
      <c r="C206" s="521"/>
      <c r="D206" s="522"/>
      <c r="E206" s="517"/>
      <c r="F206" s="465"/>
      <c r="G206" s="557"/>
      <c r="H206" s="460"/>
      <c r="I206" s="557"/>
      <c r="J206" s="460"/>
      <c r="K206" s="557"/>
      <c r="L206" s="460"/>
      <c r="M206" s="557"/>
      <c r="N206" s="460"/>
    </row>
    <row r="207" spans="1:14">
      <c r="A207" s="519"/>
      <c r="B207" s="520"/>
      <c r="C207" s="521"/>
      <c r="D207" s="522"/>
      <c r="E207" s="517"/>
      <c r="F207" s="465"/>
      <c r="G207" s="557"/>
      <c r="H207" s="460"/>
      <c r="I207" s="557"/>
      <c r="J207" s="460"/>
      <c r="K207" s="557"/>
      <c r="L207" s="460"/>
      <c r="M207" s="557"/>
      <c r="N207" s="460"/>
    </row>
    <row r="208" spans="1:14">
      <c r="A208" s="519"/>
      <c r="B208" s="520"/>
      <c r="C208" s="521"/>
      <c r="D208" s="522"/>
      <c r="E208" s="517"/>
      <c r="F208" s="465"/>
      <c r="G208" s="557"/>
      <c r="H208" s="460"/>
      <c r="I208" s="557"/>
      <c r="J208" s="460"/>
      <c r="K208" s="557"/>
      <c r="L208" s="460"/>
      <c r="M208" s="557"/>
      <c r="N208" s="460"/>
    </row>
    <row r="209" spans="1:14">
      <c r="A209" s="519"/>
      <c r="B209" s="520"/>
      <c r="C209" s="521"/>
      <c r="D209" s="522"/>
      <c r="E209" s="517"/>
      <c r="F209" s="465"/>
      <c r="G209" s="557"/>
      <c r="H209" s="460"/>
      <c r="I209" s="557"/>
      <c r="J209" s="460"/>
      <c r="K209" s="557"/>
      <c r="L209" s="460"/>
      <c r="M209" s="557"/>
      <c r="N209" s="460"/>
    </row>
    <row r="210" spans="1:14">
      <c r="A210" s="519"/>
      <c r="B210" s="520"/>
      <c r="C210" s="521"/>
      <c r="D210" s="522"/>
      <c r="E210" s="517"/>
      <c r="F210" s="465"/>
      <c r="G210" s="557"/>
      <c r="H210" s="460"/>
      <c r="I210" s="557"/>
      <c r="J210" s="460"/>
      <c r="K210" s="557"/>
      <c r="L210" s="460"/>
      <c r="M210" s="557"/>
      <c r="N210" s="460"/>
    </row>
    <row r="211" spans="1:14">
      <c r="A211" s="519"/>
      <c r="B211" s="520"/>
      <c r="C211" s="521"/>
      <c r="D211" s="522"/>
      <c r="E211" s="517"/>
      <c r="F211" s="465"/>
      <c r="G211" s="557"/>
      <c r="H211" s="460"/>
      <c r="I211" s="557"/>
      <c r="J211" s="460"/>
      <c r="K211" s="557"/>
      <c r="L211" s="460"/>
      <c r="M211" s="557"/>
      <c r="N211" s="460"/>
    </row>
    <row r="212" spans="1:14">
      <c r="A212" s="519"/>
      <c r="B212" s="520"/>
      <c r="C212" s="521"/>
      <c r="D212" s="522"/>
      <c r="E212" s="517"/>
      <c r="F212" s="465"/>
      <c r="G212" s="557"/>
      <c r="H212" s="460"/>
      <c r="I212" s="557"/>
      <c r="J212" s="460"/>
      <c r="K212" s="557"/>
      <c r="L212" s="460"/>
      <c r="M212" s="557"/>
      <c r="N212" s="460"/>
    </row>
    <row r="213" spans="1:14">
      <c r="A213" s="519"/>
      <c r="B213" s="520"/>
      <c r="C213" s="521"/>
      <c r="D213" s="522"/>
      <c r="E213" s="517"/>
      <c r="F213" s="465"/>
      <c r="G213" s="557"/>
      <c r="H213" s="460"/>
      <c r="I213" s="557"/>
      <c r="J213" s="460"/>
      <c r="K213" s="557"/>
      <c r="L213" s="460"/>
      <c r="M213" s="557"/>
      <c r="N213" s="460"/>
    </row>
    <row r="214" spans="1:14">
      <c r="A214" s="519"/>
      <c r="B214" s="520"/>
      <c r="C214" s="521"/>
      <c r="D214" s="522"/>
      <c r="E214" s="517"/>
      <c r="F214" s="465"/>
      <c r="G214" s="557"/>
      <c r="H214" s="460"/>
      <c r="I214" s="557"/>
      <c r="J214" s="460"/>
      <c r="K214" s="557"/>
      <c r="L214" s="460"/>
      <c r="M214" s="557"/>
      <c r="N214" s="460"/>
    </row>
    <row r="215" spans="1:14">
      <c r="A215" s="519"/>
      <c r="B215" s="520"/>
      <c r="C215" s="521"/>
      <c r="D215" s="522"/>
      <c r="E215" s="517"/>
      <c r="F215" s="465"/>
      <c r="G215" s="557"/>
      <c r="H215" s="460"/>
      <c r="I215" s="557"/>
      <c r="J215" s="460"/>
      <c r="K215" s="557"/>
      <c r="L215" s="460"/>
      <c r="M215" s="557"/>
      <c r="N215" s="460"/>
    </row>
    <row r="216" spans="1:14">
      <c r="A216" s="519"/>
      <c r="B216" s="520"/>
      <c r="C216" s="521"/>
      <c r="D216" s="522"/>
      <c r="E216" s="517"/>
      <c r="F216" s="465"/>
      <c r="G216" s="557"/>
      <c r="H216" s="460"/>
      <c r="I216" s="557"/>
      <c r="J216" s="460"/>
      <c r="K216" s="557"/>
      <c r="L216" s="460"/>
      <c r="M216" s="557"/>
      <c r="N216" s="460"/>
    </row>
    <row r="217" spans="1:14">
      <c r="A217" s="519"/>
      <c r="B217" s="520"/>
      <c r="C217" s="521"/>
      <c r="D217" s="522"/>
      <c r="E217" s="517"/>
      <c r="F217" s="465"/>
      <c r="G217" s="557"/>
      <c r="H217" s="460"/>
      <c r="I217" s="557"/>
      <c r="J217" s="460"/>
      <c r="K217" s="557"/>
      <c r="L217" s="460"/>
      <c r="M217" s="557"/>
      <c r="N217" s="460"/>
    </row>
    <row r="218" spans="1:14">
      <c r="A218" s="519"/>
      <c r="B218" s="520"/>
      <c r="C218" s="521"/>
      <c r="D218" s="522"/>
      <c r="E218" s="517"/>
      <c r="F218" s="465"/>
      <c r="G218" s="557"/>
      <c r="H218" s="460"/>
      <c r="I218" s="557"/>
      <c r="J218" s="460"/>
      <c r="K218" s="557"/>
      <c r="L218" s="460"/>
      <c r="M218" s="557"/>
      <c r="N218" s="460"/>
    </row>
    <row r="219" spans="1:14">
      <c r="A219" s="519"/>
      <c r="B219" s="520"/>
      <c r="C219" s="521"/>
      <c r="D219" s="522"/>
      <c r="E219" s="517"/>
      <c r="F219" s="465"/>
      <c r="G219" s="557"/>
      <c r="H219" s="460"/>
      <c r="I219" s="557"/>
      <c r="J219" s="460"/>
      <c r="K219" s="557"/>
      <c r="L219" s="460"/>
      <c r="M219" s="557"/>
      <c r="N219" s="460"/>
    </row>
    <row r="220" spans="1:14">
      <c r="A220" s="519"/>
      <c r="B220" s="520"/>
      <c r="C220" s="521"/>
      <c r="D220" s="522"/>
      <c r="E220" s="517"/>
      <c r="F220" s="465"/>
      <c r="G220" s="557"/>
      <c r="H220" s="460"/>
      <c r="I220" s="557"/>
      <c r="J220" s="460"/>
      <c r="K220" s="557"/>
      <c r="L220" s="460"/>
      <c r="M220" s="557"/>
      <c r="N220" s="460"/>
    </row>
    <row r="221" spans="1:14">
      <c r="A221" s="519"/>
      <c r="B221" s="520"/>
      <c r="C221" s="521"/>
      <c r="D221" s="522"/>
      <c r="E221" s="517"/>
      <c r="F221" s="465"/>
      <c r="G221" s="557"/>
      <c r="H221" s="460"/>
      <c r="I221" s="557"/>
      <c r="J221" s="460"/>
      <c r="K221" s="557"/>
      <c r="L221" s="460"/>
      <c r="M221" s="557"/>
      <c r="N221" s="460"/>
    </row>
    <row r="222" spans="1:14">
      <c r="A222" s="519"/>
      <c r="B222" s="520"/>
      <c r="C222" s="521"/>
      <c r="D222" s="522"/>
      <c r="E222" s="517"/>
      <c r="F222" s="465"/>
      <c r="G222" s="557"/>
      <c r="H222" s="460"/>
      <c r="I222" s="557"/>
      <c r="J222" s="460"/>
      <c r="K222" s="557"/>
      <c r="L222" s="460"/>
      <c r="M222" s="557"/>
      <c r="N222" s="460"/>
    </row>
    <row r="223" spans="1:14">
      <c r="A223" s="519"/>
      <c r="B223" s="520"/>
      <c r="C223" s="521"/>
      <c r="D223" s="522"/>
      <c r="E223" s="517"/>
      <c r="F223" s="465"/>
      <c r="G223" s="557"/>
      <c r="H223" s="460"/>
      <c r="I223" s="557"/>
      <c r="J223" s="460"/>
      <c r="K223" s="557"/>
      <c r="L223" s="460"/>
      <c r="M223" s="557"/>
      <c r="N223" s="460"/>
    </row>
    <row r="224" spans="1:14">
      <c r="A224" s="519"/>
      <c r="B224" s="520"/>
      <c r="C224" s="521"/>
      <c r="D224" s="522"/>
      <c r="E224" s="517"/>
      <c r="F224" s="465"/>
      <c r="G224" s="557"/>
      <c r="H224" s="460"/>
      <c r="I224" s="557"/>
      <c r="J224" s="460"/>
      <c r="K224" s="557"/>
      <c r="L224" s="460"/>
      <c r="M224" s="557"/>
      <c r="N224" s="460"/>
    </row>
    <row r="225" spans="1:14">
      <c r="A225" s="519"/>
      <c r="B225" s="520"/>
      <c r="C225" s="521"/>
      <c r="D225" s="522"/>
      <c r="E225" s="517"/>
      <c r="F225" s="465"/>
      <c r="G225" s="557"/>
      <c r="H225" s="460"/>
      <c r="I225" s="557"/>
      <c r="J225" s="460"/>
      <c r="K225" s="557"/>
      <c r="L225" s="460"/>
      <c r="M225" s="557"/>
      <c r="N225" s="460"/>
    </row>
    <row r="226" spans="1:14">
      <c r="A226" s="519"/>
      <c r="B226" s="520"/>
      <c r="C226" s="521"/>
      <c r="D226" s="522"/>
      <c r="E226" s="517"/>
      <c r="F226" s="465"/>
      <c r="G226" s="557"/>
      <c r="H226" s="460"/>
      <c r="I226" s="557"/>
      <c r="J226" s="460"/>
      <c r="K226" s="557"/>
      <c r="L226" s="460"/>
      <c r="M226" s="557"/>
      <c r="N226" s="460"/>
    </row>
    <row r="227" spans="1:14">
      <c r="A227" s="519"/>
      <c r="B227" s="520"/>
      <c r="C227" s="521"/>
      <c r="D227" s="522"/>
      <c r="E227" s="517"/>
      <c r="F227" s="465"/>
      <c r="G227" s="557"/>
      <c r="H227" s="460"/>
      <c r="I227" s="557"/>
      <c r="J227" s="460"/>
      <c r="K227" s="557"/>
      <c r="L227" s="460"/>
      <c r="M227" s="557"/>
      <c r="N227" s="460"/>
    </row>
    <row r="228" spans="1:14">
      <c r="A228" s="519"/>
      <c r="B228" s="520"/>
      <c r="C228" s="521"/>
      <c r="D228" s="522"/>
      <c r="E228" s="517"/>
      <c r="F228" s="465"/>
      <c r="G228" s="557"/>
      <c r="H228" s="460"/>
      <c r="I228" s="557"/>
      <c r="J228" s="460"/>
      <c r="K228" s="557"/>
      <c r="L228" s="460"/>
      <c r="M228" s="557"/>
      <c r="N228" s="460"/>
    </row>
    <row r="229" spans="1:14">
      <c r="A229" s="519"/>
      <c r="B229" s="520"/>
      <c r="C229" s="521"/>
      <c r="D229" s="522"/>
      <c r="E229" s="517"/>
      <c r="F229" s="465"/>
      <c r="G229" s="557"/>
      <c r="H229" s="460"/>
      <c r="I229" s="557"/>
      <c r="J229" s="460"/>
      <c r="K229" s="557"/>
      <c r="L229" s="460"/>
      <c r="M229" s="557"/>
      <c r="N229" s="460"/>
    </row>
    <row r="230" spans="1:14">
      <c r="A230" s="519"/>
      <c r="B230" s="520"/>
      <c r="C230" s="521"/>
      <c r="D230" s="522"/>
      <c r="E230" s="517"/>
      <c r="F230" s="465"/>
      <c r="G230" s="557"/>
      <c r="H230" s="460"/>
      <c r="I230" s="557"/>
      <c r="J230" s="460"/>
      <c r="K230" s="557"/>
      <c r="L230" s="460"/>
      <c r="M230" s="557"/>
      <c r="N230" s="460"/>
    </row>
    <row r="231" spans="1:14">
      <c r="A231" s="519"/>
      <c r="B231" s="520"/>
      <c r="C231" s="521"/>
      <c r="D231" s="522"/>
      <c r="E231" s="517"/>
      <c r="F231" s="465"/>
      <c r="G231" s="557"/>
      <c r="H231" s="460"/>
      <c r="I231" s="557"/>
      <c r="J231" s="460"/>
      <c r="K231" s="557"/>
      <c r="L231" s="460"/>
      <c r="M231" s="557"/>
      <c r="N231" s="460"/>
    </row>
    <row r="232" spans="1:14">
      <c r="A232" s="519"/>
      <c r="B232" s="520"/>
      <c r="C232" s="521"/>
      <c r="D232" s="522"/>
      <c r="E232" s="517"/>
      <c r="F232" s="465"/>
      <c r="G232" s="557"/>
      <c r="H232" s="460"/>
      <c r="I232" s="557"/>
      <c r="J232" s="460"/>
      <c r="K232" s="557"/>
      <c r="L232" s="460"/>
      <c r="M232" s="557"/>
      <c r="N232" s="460"/>
    </row>
    <row r="233" spans="1:14">
      <c r="A233" s="519"/>
      <c r="B233" s="520"/>
      <c r="C233" s="521"/>
      <c r="D233" s="522"/>
      <c r="E233" s="517"/>
      <c r="F233" s="465"/>
      <c r="G233" s="557"/>
      <c r="H233" s="460"/>
      <c r="I233" s="557"/>
      <c r="J233" s="460"/>
      <c r="K233" s="557"/>
      <c r="L233" s="460"/>
      <c r="M233" s="557"/>
      <c r="N233" s="460"/>
    </row>
    <row r="234" spans="1:14">
      <c r="A234" s="519"/>
      <c r="B234" s="520"/>
      <c r="C234" s="521"/>
      <c r="D234" s="522"/>
      <c r="E234" s="517"/>
      <c r="F234" s="465"/>
      <c r="G234" s="557"/>
      <c r="H234" s="460"/>
      <c r="I234" s="557"/>
      <c r="J234" s="460"/>
      <c r="K234" s="557"/>
      <c r="L234" s="460"/>
      <c r="M234" s="557"/>
      <c r="N234" s="460"/>
    </row>
    <row r="235" spans="1:14">
      <c r="A235" s="519"/>
      <c r="B235" s="520"/>
      <c r="C235" s="521"/>
      <c r="D235" s="522"/>
      <c r="E235" s="517"/>
      <c r="F235" s="465"/>
      <c r="G235" s="557"/>
      <c r="H235" s="460"/>
      <c r="I235" s="557"/>
      <c r="J235" s="460"/>
      <c r="K235" s="557"/>
      <c r="L235" s="460"/>
      <c r="M235" s="557"/>
      <c r="N235" s="460"/>
    </row>
    <row r="236" spans="1:14">
      <c r="A236" s="519"/>
      <c r="B236" s="520"/>
      <c r="C236" s="521"/>
      <c r="D236" s="522"/>
      <c r="E236" s="517"/>
      <c r="F236" s="465"/>
      <c r="G236" s="557"/>
      <c r="H236" s="460"/>
      <c r="I236" s="557"/>
      <c r="J236" s="460"/>
      <c r="K236" s="557"/>
      <c r="L236" s="460"/>
      <c r="M236" s="557"/>
      <c r="N236" s="460"/>
    </row>
    <row r="237" spans="1:14">
      <c r="A237" s="519"/>
      <c r="B237" s="520"/>
      <c r="C237" s="521"/>
      <c r="D237" s="522"/>
      <c r="E237" s="517"/>
      <c r="F237" s="465"/>
      <c r="G237" s="557"/>
      <c r="H237" s="460"/>
      <c r="I237" s="557"/>
      <c r="J237" s="460"/>
      <c r="K237" s="557"/>
      <c r="L237" s="460"/>
      <c r="M237" s="557"/>
      <c r="N237" s="460"/>
    </row>
    <row r="238" spans="1:14">
      <c r="A238" s="519"/>
      <c r="B238" s="520"/>
      <c r="C238" s="521"/>
      <c r="D238" s="522"/>
      <c r="E238" s="517"/>
      <c r="F238" s="465"/>
      <c r="G238" s="557"/>
      <c r="H238" s="460"/>
      <c r="I238" s="557"/>
      <c r="J238" s="460"/>
      <c r="K238" s="557"/>
      <c r="L238" s="460"/>
      <c r="M238" s="557"/>
      <c r="N238" s="460"/>
    </row>
    <row r="239" spans="1:14">
      <c r="A239" s="519"/>
      <c r="B239" s="520"/>
      <c r="C239" s="521"/>
      <c r="D239" s="522"/>
      <c r="E239" s="517"/>
      <c r="F239" s="465"/>
      <c r="G239" s="557"/>
      <c r="H239" s="460"/>
      <c r="I239" s="557"/>
      <c r="J239" s="460"/>
      <c r="K239" s="557"/>
      <c r="L239" s="460"/>
      <c r="M239" s="557"/>
      <c r="N239" s="460"/>
    </row>
    <row r="240" spans="1:14">
      <c r="A240" s="519"/>
      <c r="B240" s="520"/>
      <c r="C240" s="521"/>
      <c r="D240" s="522"/>
      <c r="E240" s="517"/>
      <c r="F240" s="465"/>
      <c r="G240" s="557"/>
      <c r="H240" s="460"/>
      <c r="I240" s="557"/>
      <c r="J240" s="460"/>
      <c r="K240" s="557"/>
      <c r="L240" s="460"/>
      <c r="M240" s="557"/>
      <c r="N240" s="460"/>
    </row>
    <row r="241" spans="1:14">
      <c r="A241" s="519"/>
      <c r="B241" s="520"/>
      <c r="C241" s="521"/>
      <c r="D241" s="522"/>
      <c r="E241" s="517"/>
      <c r="F241" s="465"/>
      <c r="G241" s="557"/>
      <c r="H241" s="460"/>
      <c r="I241" s="557"/>
      <c r="J241" s="460"/>
      <c r="K241" s="557"/>
      <c r="L241" s="460"/>
      <c r="M241" s="557"/>
      <c r="N241" s="460"/>
    </row>
    <row r="242" spans="1:14">
      <c r="A242" s="519"/>
      <c r="B242" s="520"/>
      <c r="C242" s="521"/>
      <c r="D242" s="522"/>
      <c r="E242" s="517"/>
      <c r="F242" s="465"/>
      <c r="G242" s="557"/>
      <c r="H242" s="460"/>
      <c r="I242" s="557"/>
      <c r="J242" s="460"/>
      <c r="K242" s="557"/>
      <c r="L242" s="460"/>
      <c r="M242" s="557"/>
      <c r="N242" s="460"/>
    </row>
    <row r="243" spans="1:14">
      <c r="A243" s="519"/>
      <c r="B243" s="520"/>
      <c r="C243" s="521"/>
      <c r="D243" s="522"/>
      <c r="E243" s="517"/>
      <c r="F243" s="465"/>
      <c r="G243" s="557"/>
      <c r="H243" s="460"/>
      <c r="I243" s="557"/>
      <c r="J243" s="460"/>
      <c r="K243" s="557"/>
      <c r="L243" s="460"/>
      <c r="M243" s="557"/>
      <c r="N243" s="460"/>
    </row>
    <row r="244" spans="1:14">
      <c r="A244" s="519"/>
      <c r="B244" s="520"/>
      <c r="C244" s="521"/>
      <c r="D244" s="522"/>
      <c r="E244" s="517"/>
      <c r="F244" s="465"/>
      <c r="G244" s="557"/>
      <c r="H244" s="460"/>
      <c r="I244" s="557"/>
      <c r="J244" s="460"/>
      <c r="K244" s="557"/>
      <c r="L244" s="460"/>
      <c r="M244" s="557"/>
      <c r="N244" s="460"/>
    </row>
    <row r="245" spans="1:14">
      <c r="A245" s="519"/>
      <c r="B245" s="520"/>
      <c r="C245" s="521"/>
      <c r="D245" s="522"/>
      <c r="E245" s="517"/>
      <c r="F245" s="465"/>
      <c r="G245" s="557"/>
      <c r="H245" s="460"/>
      <c r="I245" s="557"/>
      <c r="J245" s="460"/>
      <c r="K245" s="557"/>
      <c r="L245" s="460"/>
      <c r="M245" s="557"/>
      <c r="N245" s="460"/>
    </row>
    <row r="246" spans="1:14">
      <c r="A246" s="519"/>
      <c r="B246" s="520"/>
      <c r="C246" s="521"/>
      <c r="D246" s="522"/>
      <c r="E246" s="517"/>
      <c r="F246" s="465"/>
      <c r="G246" s="557"/>
      <c r="H246" s="460"/>
      <c r="I246" s="557"/>
      <c r="J246" s="460"/>
      <c r="K246" s="557"/>
      <c r="L246" s="460"/>
      <c r="M246" s="557"/>
      <c r="N246" s="460"/>
    </row>
    <row r="247" spans="1:14">
      <c r="A247" s="519"/>
      <c r="B247" s="520"/>
      <c r="C247" s="521"/>
      <c r="D247" s="522"/>
      <c r="E247" s="517"/>
      <c r="F247" s="465"/>
      <c r="G247" s="557"/>
      <c r="H247" s="460"/>
      <c r="I247" s="557"/>
      <c r="J247" s="460"/>
      <c r="K247" s="557"/>
      <c r="L247" s="460"/>
      <c r="M247" s="557"/>
      <c r="N247" s="460"/>
    </row>
    <row r="248" spans="1:14">
      <c r="A248" s="519"/>
      <c r="B248" s="520"/>
      <c r="C248" s="521"/>
      <c r="D248" s="522"/>
      <c r="E248" s="517"/>
      <c r="F248" s="465"/>
      <c r="G248" s="557"/>
      <c r="H248" s="460"/>
      <c r="I248" s="557"/>
      <c r="J248" s="460"/>
      <c r="K248" s="557"/>
      <c r="L248" s="460"/>
      <c r="M248" s="557"/>
      <c r="N248" s="460"/>
    </row>
    <row r="249" spans="1:14">
      <c r="A249" s="519"/>
      <c r="B249" s="520"/>
      <c r="C249" s="521"/>
      <c r="D249" s="522"/>
      <c r="E249" s="517"/>
      <c r="F249" s="465"/>
      <c r="G249" s="557"/>
      <c r="H249" s="460"/>
      <c r="I249" s="557"/>
      <c r="J249" s="460"/>
      <c r="K249" s="557"/>
      <c r="L249" s="460"/>
      <c r="M249" s="557"/>
      <c r="N249" s="460"/>
    </row>
    <row r="250" spans="1:14">
      <c r="A250" s="519"/>
      <c r="B250" s="520"/>
      <c r="C250" s="521"/>
      <c r="D250" s="522"/>
      <c r="E250" s="517"/>
      <c r="F250" s="465"/>
      <c r="G250" s="557"/>
      <c r="H250" s="460"/>
      <c r="I250" s="557"/>
      <c r="J250" s="460"/>
      <c r="K250" s="557"/>
      <c r="L250" s="460"/>
      <c r="M250" s="557"/>
      <c r="N250" s="460"/>
    </row>
    <row r="251" spans="1:14">
      <c r="A251" s="519"/>
      <c r="B251" s="520"/>
      <c r="C251" s="521"/>
      <c r="D251" s="522"/>
      <c r="E251" s="517"/>
      <c r="F251" s="465"/>
      <c r="G251" s="557"/>
      <c r="H251" s="460"/>
      <c r="I251" s="557"/>
      <c r="J251" s="460"/>
      <c r="K251" s="557"/>
      <c r="L251" s="460"/>
      <c r="M251" s="557"/>
      <c r="N251" s="460"/>
    </row>
    <row r="252" spans="1:14">
      <c r="A252" s="519"/>
      <c r="B252" s="520"/>
      <c r="C252" s="521"/>
      <c r="D252" s="522"/>
      <c r="E252" s="517"/>
      <c r="F252" s="465"/>
      <c r="G252" s="557"/>
      <c r="H252" s="460"/>
      <c r="I252" s="557"/>
      <c r="J252" s="460"/>
      <c r="K252" s="557"/>
      <c r="L252" s="460"/>
      <c r="M252" s="557"/>
      <c r="N252" s="460"/>
    </row>
    <row r="253" spans="1:14">
      <c r="A253" s="519"/>
      <c r="B253" s="520"/>
      <c r="C253" s="521"/>
      <c r="D253" s="522"/>
      <c r="E253" s="517"/>
      <c r="F253" s="465"/>
      <c r="G253" s="557"/>
      <c r="H253" s="460"/>
      <c r="I253" s="557"/>
      <c r="J253" s="460"/>
      <c r="K253" s="557"/>
      <c r="L253" s="460"/>
      <c r="M253" s="557"/>
      <c r="N253" s="460"/>
    </row>
    <row r="254" spans="1:14">
      <c r="A254" s="519"/>
      <c r="B254" s="520"/>
      <c r="C254" s="521"/>
      <c r="D254" s="522"/>
      <c r="E254" s="517"/>
      <c r="F254" s="465"/>
      <c r="G254" s="557"/>
      <c r="H254" s="460"/>
      <c r="I254" s="557"/>
      <c r="J254" s="460"/>
      <c r="K254" s="557"/>
      <c r="L254" s="460"/>
      <c r="M254" s="557"/>
      <c r="N254" s="460"/>
    </row>
    <row r="255" spans="1:14">
      <c r="A255" s="519"/>
      <c r="B255" s="520"/>
      <c r="C255" s="521"/>
      <c r="D255" s="522"/>
      <c r="E255" s="517"/>
      <c r="F255" s="465"/>
      <c r="G255" s="557"/>
      <c r="H255" s="460"/>
      <c r="I255" s="557"/>
      <c r="J255" s="460"/>
      <c r="K255" s="557"/>
      <c r="L255" s="460"/>
      <c r="M255" s="557"/>
      <c r="N255" s="460"/>
    </row>
    <row r="256" spans="1:14">
      <c r="A256" s="519"/>
      <c r="B256" s="520"/>
      <c r="C256" s="521"/>
      <c r="D256" s="522"/>
      <c r="E256" s="517"/>
      <c r="F256" s="465"/>
      <c r="G256" s="557"/>
      <c r="H256" s="460"/>
      <c r="I256" s="557"/>
      <c r="J256" s="460"/>
      <c r="K256" s="557"/>
      <c r="L256" s="460"/>
      <c r="M256" s="557"/>
      <c r="N256" s="460"/>
    </row>
    <row r="257" spans="1:14">
      <c r="A257" s="519"/>
      <c r="B257" s="520"/>
      <c r="C257" s="521"/>
      <c r="D257" s="522"/>
      <c r="E257" s="517"/>
      <c r="F257" s="465"/>
      <c r="G257" s="557"/>
      <c r="H257" s="460"/>
      <c r="I257" s="557"/>
      <c r="J257" s="460"/>
      <c r="K257" s="557"/>
      <c r="L257" s="460"/>
      <c r="M257" s="557"/>
      <c r="N257" s="460"/>
    </row>
    <row r="258" spans="1:14">
      <c r="A258" s="519"/>
      <c r="B258" s="520"/>
      <c r="C258" s="521"/>
      <c r="D258" s="522"/>
      <c r="E258" s="517"/>
      <c r="F258" s="465"/>
      <c r="G258" s="557"/>
      <c r="H258" s="460"/>
      <c r="I258" s="557"/>
      <c r="J258" s="460"/>
      <c r="K258" s="557"/>
      <c r="L258" s="460"/>
      <c r="M258" s="557"/>
      <c r="N258" s="460"/>
    </row>
    <row r="259" spans="1:14">
      <c r="A259" s="519"/>
      <c r="B259" s="520"/>
      <c r="C259" s="521"/>
      <c r="D259" s="522"/>
      <c r="E259" s="517"/>
      <c r="F259" s="465"/>
      <c r="G259" s="557"/>
      <c r="H259" s="460"/>
      <c r="I259" s="557"/>
      <c r="J259" s="460"/>
      <c r="K259" s="557"/>
      <c r="L259" s="460"/>
      <c r="M259" s="557"/>
      <c r="N259" s="460"/>
    </row>
    <row r="260" spans="1:14">
      <c r="A260" s="519"/>
      <c r="B260" s="520"/>
      <c r="C260" s="521"/>
      <c r="D260" s="522"/>
      <c r="E260" s="517"/>
      <c r="F260" s="465"/>
      <c r="G260" s="557"/>
      <c r="H260" s="460"/>
      <c r="I260" s="557"/>
      <c r="J260" s="460"/>
      <c r="K260" s="557"/>
      <c r="L260" s="460"/>
      <c r="M260" s="557"/>
      <c r="N260" s="460"/>
    </row>
    <row r="261" spans="1:14">
      <c r="A261" s="519"/>
      <c r="B261" s="520"/>
      <c r="C261" s="521"/>
      <c r="D261" s="522"/>
      <c r="E261" s="517"/>
      <c r="F261" s="465"/>
      <c r="G261" s="557"/>
      <c r="H261" s="460"/>
      <c r="I261" s="557"/>
      <c r="J261" s="460"/>
      <c r="K261" s="557"/>
      <c r="L261" s="460"/>
      <c r="M261" s="557"/>
      <c r="N261" s="460"/>
    </row>
    <row r="262" spans="1:14">
      <c r="A262" s="519"/>
      <c r="B262" s="520"/>
      <c r="C262" s="521"/>
      <c r="D262" s="522"/>
      <c r="E262" s="517"/>
      <c r="F262" s="465"/>
      <c r="G262" s="557"/>
      <c r="H262" s="460"/>
      <c r="I262" s="557"/>
      <c r="J262" s="460"/>
      <c r="K262" s="557"/>
      <c r="L262" s="460"/>
      <c r="M262" s="557"/>
      <c r="N262" s="460"/>
    </row>
    <row r="263" spans="1:14">
      <c r="A263" s="519"/>
      <c r="B263" s="520"/>
      <c r="C263" s="521"/>
      <c r="D263" s="522"/>
      <c r="E263" s="517"/>
      <c r="F263" s="465"/>
      <c r="G263" s="557"/>
      <c r="H263" s="460"/>
      <c r="I263" s="557"/>
      <c r="J263" s="460"/>
      <c r="K263" s="557"/>
      <c r="L263" s="460"/>
      <c r="M263" s="557"/>
      <c r="N263" s="460"/>
    </row>
    <row r="264" spans="1:14">
      <c r="A264" s="519"/>
      <c r="B264" s="520"/>
      <c r="C264" s="521"/>
      <c r="D264" s="522"/>
      <c r="E264" s="517"/>
      <c r="F264" s="465"/>
      <c r="G264" s="557"/>
      <c r="H264" s="460"/>
      <c r="I264" s="557"/>
      <c r="J264" s="460"/>
      <c r="K264" s="557"/>
      <c r="L264" s="460"/>
      <c r="M264" s="557"/>
      <c r="N264" s="460"/>
    </row>
    <row r="265" spans="1:14">
      <c r="A265" s="519"/>
      <c r="B265" s="520"/>
      <c r="C265" s="521"/>
      <c r="D265" s="522"/>
      <c r="E265" s="517"/>
      <c r="F265" s="465"/>
      <c r="G265" s="557"/>
      <c r="H265" s="460"/>
      <c r="I265" s="557"/>
      <c r="J265" s="460"/>
      <c r="K265" s="557"/>
      <c r="L265" s="460"/>
      <c r="M265" s="557"/>
      <c r="N265" s="460"/>
    </row>
    <row r="266" spans="1:14">
      <c r="A266" s="519"/>
      <c r="B266" s="520"/>
      <c r="C266" s="521"/>
      <c r="D266" s="522"/>
      <c r="E266" s="517"/>
      <c r="F266" s="465"/>
      <c r="G266" s="557"/>
      <c r="H266" s="460"/>
      <c r="I266" s="557"/>
      <c r="J266" s="460"/>
      <c r="K266" s="557"/>
      <c r="L266" s="460"/>
      <c r="M266" s="557"/>
      <c r="N266" s="460"/>
    </row>
    <row r="267" spans="1:14">
      <c r="A267" s="519"/>
      <c r="B267" s="520"/>
      <c r="C267" s="521"/>
      <c r="D267" s="522"/>
      <c r="E267" s="517"/>
      <c r="F267" s="465"/>
      <c r="G267" s="557"/>
      <c r="H267" s="460"/>
      <c r="I267" s="557"/>
      <c r="J267" s="460"/>
      <c r="K267" s="557"/>
      <c r="L267" s="460"/>
      <c r="M267" s="557"/>
      <c r="N267" s="460"/>
    </row>
    <row r="268" spans="1:14">
      <c r="A268" s="519"/>
      <c r="B268" s="520"/>
      <c r="C268" s="521"/>
      <c r="D268" s="522"/>
      <c r="E268" s="517"/>
      <c r="F268" s="465"/>
      <c r="G268" s="557"/>
      <c r="H268" s="460"/>
      <c r="I268" s="557"/>
      <c r="J268" s="460"/>
      <c r="K268" s="557"/>
      <c r="L268" s="460"/>
      <c r="M268" s="557"/>
      <c r="N268" s="460"/>
    </row>
    <row r="269" spans="1:14">
      <c r="A269" s="519"/>
      <c r="B269" s="520"/>
      <c r="C269" s="521"/>
      <c r="D269" s="522"/>
      <c r="E269" s="517"/>
      <c r="F269" s="465"/>
      <c r="G269" s="557"/>
      <c r="H269" s="460"/>
      <c r="I269" s="557"/>
      <c r="J269" s="460"/>
      <c r="K269" s="557"/>
      <c r="L269" s="460"/>
      <c r="M269" s="557"/>
      <c r="N269" s="460"/>
    </row>
    <row r="270" spans="1:14">
      <c r="A270" s="519"/>
      <c r="B270" s="520"/>
      <c r="C270" s="521"/>
      <c r="D270" s="522"/>
      <c r="E270" s="517"/>
      <c r="F270" s="465"/>
      <c r="G270" s="557"/>
      <c r="H270" s="460"/>
      <c r="I270" s="557"/>
      <c r="J270" s="460"/>
      <c r="K270" s="557"/>
      <c r="L270" s="460"/>
      <c r="M270" s="557"/>
      <c r="N270" s="460"/>
    </row>
    <row r="271" spans="1:14">
      <c r="A271" s="519"/>
      <c r="B271" s="520"/>
      <c r="C271" s="521"/>
      <c r="D271" s="522"/>
      <c r="E271" s="517"/>
      <c r="F271" s="465"/>
      <c r="G271" s="557"/>
      <c r="H271" s="460"/>
      <c r="I271" s="557"/>
      <c r="J271" s="460"/>
      <c r="K271" s="557"/>
      <c r="L271" s="460"/>
      <c r="M271" s="557"/>
      <c r="N271" s="460"/>
    </row>
    <row r="272" spans="1:14">
      <c r="A272" s="519"/>
      <c r="B272" s="520"/>
      <c r="C272" s="521"/>
      <c r="D272" s="522"/>
      <c r="E272" s="517"/>
      <c r="F272" s="465"/>
      <c r="G272" s="557"/>
      <c r="H272" s="460"/>
      <c r="I272" s="557"/>
      <c r="J272" s="460"/>
      <c r="K272" s="557"/>
      <c r="L272" s="460"/>
      <c r="M272" s="557"/>
      <c r="N272" s="460"/>
    </row>
    <row r="273" spans="1:14">
      <c r="A273" s="519"/>
      <c r="B273" s="520"/>
      <c r="C273" s="521"/>
      <c r="D273" s="522"/>
      <c r="E273" s="517"/>
      <c r="F273" s="465"/>
      <c r="G273" s="557"/>
      <c r="H273" s="460"/>
      <c r="I273" s="557"/>
      <c r="J273" s="460"/>
      <c r="K273" s="557"/>
      <c r="L273" s="460"/>
      <c r="M273" s="557"/>
      <c r="N273" s="460"/>
    </row>
    <row r="274" spans="1:14">
      <c r="A274" s="519"/>
      <c r="B274" s="520"/>
      <c r="C274" s="521"/>
      <c r="D274" s="522"/>
      <c r="E274" s="517"/>
      <c r="F274" s="465"/>
      <c r="G274" s="557"/>
      <c r="H274" s="460"/>
      <c r="I274" s="557"/>
      <c r="J274" s="460"/>
      <c r="K274" s="557"/>
      <c r="L274" s="460"/>
      <c r="M274" s="557"/>
      <c r="N274" s="460"/>
    </row>
    <row r="275" spans="1:14">
      <c r="A275" s="519"/>
      <c r="B275" s="520"/>
      <c r="C275" s="521"/>
      <c r="D275" s="522"/>
      <c r="E275" s="517"/>
      <c r="F275" s="465"/>
      <c r="G275" s="557"/>
      <c r="H275" s="460"/>
      <c r="I275" s="557"/>
      <c r="J275" s="460"/>
      <c r="K275" s="557"/>
      <c r="L275" s="460"/>
      <c r="M275" s="557"/>
      <c r="N275" s="460"/>
    </row>
    <row r="276" spans="1:14">
      <c r="A276" s="519"/>
      <c r="B276" s="520"/>
      <c r="C276" s="521"/>
      <c r="D276" s="522"/>
      <c r="E276" s="517"/>
      <c r="F276" s="465"/>
      <c r="G276" s="557"/>
      <c r="H276" s="460"/>
      <c r="I276" s="557"/>
      <c r="J276" s="460"/>
      <c r="K276" s="557"/>
      <c r="L276" s="460"/>
      <c r="M276" s="557"/>
      <c r="N276" s="460"/>
    </row>
    <row r="277" spans="1:14">
      <c r="A277" s="519"/>
      <c r="B277" s="520"/>
      <c r="C277" s="521"/>
      <c r="D277" s="522"/>
      <c r="E277" s="517"/>
      <c r="F277" s="465"/>
      <c r="G277" s="557"/>
      <c r="H277" s="460"/>
      <c r="I277" s="557"/>
      <c r="J277" s="460"/>
      <c r="K277" s="557"/>
      <c r="L277" s="460"/>
      <c r="M277" s="557"/>
      <c r="N277" s="460"/>
    </row>
    <row r="278" spans="1:14">
      <c r="A278" s="519"/>
      <c r="B278" s="520"/>
      <c r="C278" s="521"/>
      <c r="D278" s="522"/>
      <c r="E278" s="517"/>
      <c r="F278" s="465"/>
      <c r="G278" s="557"/>
      <c r="H278" s="460"/>
      <c r="I278" s="557"/>
      <c r="J278" s="460"/>
      <c r="K278" s="557"/>
      <c r="L278" s="460"/>
      <c r="M278" s="557"/>
      <c r="N278" s="460"/>
    </row>
    <row r="279" spans="1:14">
      <c r="A279" s="519"/>
      <c r="B279" s="520"/>
      <c r="C279" s="521"/>
      <c r="D279" s="522"/>
      <c r="E279" s="517"/>
      <c r="F279" s="465"/>
      <c r="G279" s="557"/>
      <c r="H279" s="460"/>
      <c r="I279" s="557"/>
      <c r="J279" s="460"/>
      <c r="K279" s="557"/>
      <c r="L279" s="460"/>
      <c r="M279" s="557"/>
      <c r="N279" s="460"/>
    </row>
    <row r="280" spans="1:14">
      <c r="A280" s="519"/>
      <c r="B280" s="520"/>
      <c r="C280" s="521"/>
      <c r="D280" s="522"/>
      <c r="E280" s="517"/>
      <c r="F280" s="465"/>
      <c r="G280" s="557"/>
      <c r="H280" s="460"/>
      <c r="I280" s="557"/>
      <c r="J280" s="460"/>
      <c r="K280" s="557"/>
      <c r="L280" s="460"/>
      <c r="M280" s="557"/>
      <c r="N280" s="460"/>
    </row>
    <row r="281" spans="1:14">
      <c r="A281" s="519"/>
      <c r="B281" s="520"/>
      <c r="C281" s="521"/>
      <c r="D281" s="522"/>
      <c r="E281" s="517"/>
      <c r="F281" s="465"/>
      <c r="G281" s="557"/>
      <c r="H281" s="460"/>
      <c r="I281" s="557"/>
      <c r="J281" s="460"/>
      <c r="K281" s="557"/>
      <c r="L281" s="460"/>
      <c r="M281" s="557"/>
      <c r="N281" s="460"/>
    </row>
    <row r="282" spans="1:14">
      <c r="A282" s="519"/>
      <c r="B282" s="520"/>
      <c r="C282" s="521"/>
      <c r="D282" s="522"/>
      <c r="E282" s="517"/>
      <c r="F282" s="465"/>
      <c r="G282" s="557"/>
      <c r="H282" s="460"/>
      <c r="I282" s="557"/>
      <c r="J282" s="460"/>
      <c r="K282" s="557"/>
      <c r="L282" s="460"/>
      <c r="M282" s="557"/>
      <c r="N282" s="460"/>
    </row>
    <row r="283" spans="1:14">
      <c r="A283" s="519"/>
      <c r="B283" s="520"/>
      <c r="C283" s="521"/>
      <c r="D283" s="522"/>
      <c r="E283" s="517"/>
      <c r="F283" s="465"/>
      <c r="G283" s="557"/>
      <c r="H283" s="460"/>
      <c r="I283" s="557"/>
      <c r="J283" s="460"/>
      <c r="K283" s="557"/>
      <c r="L283" s="460"/>
      <c r="M283" s="557"/>
      <c r="N283" s="460"/>
    </row>
    <row r="284" spans="1:14">
      <c r="A284" s="519"/>
      <c r="B284" s="520"/>
      <c r="C284" s="521"/>
      <c r="D284" s="522"/>
      <c r="E284" s="517"/>
      <c r="F284" s="465"/>
      <c r="G284" s="557"/>
      <c r="H284" s="460"/>
      <c r="I284" s="557"/>
      <c r="J284" s="460"/>
      <c r="K284" s="557"/>
      <c r="L284" s="460"/>
      <c r="M284" s="557"/>
      <c r="N284" s="460"/>
    </row>
    <row r="285" spans="1:14">
      <c r="A285" s="519"/>
      <c r="B285" s="520"/>
      <c r="C285" s="521"/>
      <c r="D285" s="522"/>
      <c r="E285" s="517"/>
      <c r="F285" s="465"/>
      <c r="G285" s="557"/>
      <c r="H285" s="460"/>
      <c r="I285" s="557"/>
      <c r="J285" s="460"/>
      <c r="K285" s="557"/>
      <c r="L285" s="460"/>
      <c r="M285" s="557"/>
      <c r="N285" s="460"/>
    </row>
    <row r="286" spans="1:14">
      <c r="A286" s="519"/>
      <c r="B286" s="520"/>
      <c r="C286" s="521"/>
      <c r="D286" s="522"/>
      <c r="E286" s="517"/>
      <c r="F286" s="465"/>
      <c r="G286" s="557"/>
      <c r="H286" s="460"/>
      <c r="I286" s="557"/>
      <c r="J286" s="460"/>
      <c r="K286" s="557"/>
      <c r="L286" s="460"/>
      <c r="M286" s="557"/>
      <c r="N286" s="460"/>
    </row>
    <row r="287" spans="1:14">
      <c r="A287" s="519"/>
      <c r="B287" s="520"/>
      <c r="C287" s="521"/>
      <c r="D287" s="522"/>
      <c r="E287" s="517"/>
      <c r="F287" s="465"/>
      <c r="G287" s="557"/>
      <c r="H287" s="460"/>
      <c r="I287" s="557"/>
      <c r="J287" s="460"/>
      <c r="K287" s="557"/>
      <c r="L287" s="460"/>
      <c r="M287" s="557"/>
      <c r="N287" s="460"/>
    </row>
    <row r="288" spans="1:14">
      <c r="A288" s="519"/>
      <c r="B288" s="520"/>
      <c r="C288" s="521"/>
      <c r="D288" s="522"/>
      <c r="E288" s="517"/>
      <c r="F288" s="465"/>
      <c r="G288" s="557"/>
      <c r="H288" s="460"/>
      <c r="I288" s="557"/>
      <c r="J288" s="460"/>
      <c r="K288" s="557"/>
      <c r="L288" s="460"/>
      <c r="M288" s="557"/>
      <c r="N288" s="460"/>
    </row>
    <row r="289" spans="1:14">
      <c r="A289" s="519"/>
      <c r="B289" s="520"/>
      <c r="C289" s="521"/>
      <c r="D289" s="522"/>
      <c r="E289" s="517"/>
      <c r="F289" s="465"/>
      <c r="G289" s="557"/>
      <c r="H289" s="460"/>
      <c r="I289" s="557"/>
      <c r="J289" s="460"/>
      <c r="K289" s="557"/>
      <c r="L289" s="460"/>
      <c r="M289" s="557"/>
      <c r="N289" s="460"/>
    </row>
    <row r="290" spans="1:14">
      <c r="A290" s="519"/>
      <c r="B290" s="520"/>
      <c r="C290" s="521"/>
      <c r="D290" s="522"/>
      <c r="E290" s="517"/>
      <c r="F290" s="465"/>
      <c r="G290" s="557"/>
      <c r="H290" s="460"/>
      <c r="I290" s="557"/>
      <c r="J290" s="460"/>
      <c r="K290" s="557"/>
      <c r="L290" s="460"/>
      <c r="M290" s="557"/>
      <c r="N290" s="460"/>
    </row>
    <row r="291" spans="1:14">
      <c r="A291" s="519"/>
      <c r="B291" s="520"/>
      <c r="C291" s="521"/>
      <c r="D291" s="522"/>
      <c r="E291" s="517"/>
      <c r="F291" s="465"/>
      <c r="G291" s="557"/>
      <c r="H291" s="460"/>
      <c r="I291" s="557"/>
      <c r="J291" s="460"/>
      <c r="K291" s="557"/>
      <c r="L291" s="460"/>
      <c r="M291" s="557"/>
      <c r="N291" s="460"/>
    </row>
    <row r="292" spans="1:14">
      <c r="A292" s="519"/>
      <c r="B292" s="520"/>
      <c r="C292" s="521"/>
      <c r="D292" s="522"/>
      <c r="E292" s="517"/>
      <c r="F292" s="465"/>
      <c r="G292" s="557"/>
      <c r="H292" s="460"/>
      <c r="I292" s="557"/>
      <c r="J292" s="460"/>
      <c r="K292" s="557"/>
      <c r="L292" s="460"/>
      <c r="M292" s="557"/>
      <c r="N292" s="460"/>
    </row>
    <row r="293" spans="1:14">
      <c r="A293" s="519"/>
      <c r="B293" s="520"/>
      <c r="C293" s="521"/>
      <c r="D293" s="522"/>
      <c r="E293" s="517"/>
      <c r="F293" s="465"/>
      <c r="G293" s="557"/>
      <c r="H293" s="460"/>
      <c r="I293" s="557"/>
      <c r="J293" s="460"/>
      <c r="K293" s="557"/>
      <c r="L293" s="460"/>
      <c r="M293" s="557"/>
      <c r="N293" s="460"/>
    </row>
    <row r="294" spans="1:14">
      <c r="A294" s="519"/>
      <c r="B294" s="520"/>
      <c r="C294" s="521"/>
      <c r="D294" s="522"/>
      <c r="E294" s="517"/>
      <c r="F294" s="465"/>
      <c r="G294" s="557"/>
      <c r="H294" s="460"/>
      <c r="I294" s="557"/>
      <c r="J294" s="460"/>
      <c r="K294" s="557"/>
      <c r="L294" s="460"/>
      <c r="M294" s="557"/>
      <c r="N294" s="460"/>
    </row>
    <row r="295" spans="1:14">
      <c r="A295" s="519"/>
      <c r="B295" s="520"/>
      <c r="C295" s="521"/>
      <c r="D295" s="522"/>
      <c r="E295" s="517"/>
      <c r="F295" s="465"/>
      <c r="G295" s="557"/>
      <c r="H295" s="460"/>
      <c r="I295" s="557"/>
      <c r="J295" s="460"/>
      <c r="K295" s="557"/>
      <c r="L295" s="460"/>
      <c r="M295" s="557"/>
      <c r="N295" s="460"/>
    </row>
    <row r="296" spans="1:14">
      <c r="A296" s="519"/>
      <c r="B296" s="520"/>
      <c r="C296" s="521"/>
      <c r="D296" s="522"/>
      <c r="E296" s="517"/>
      <c r="F296" s="465"/>
      <c r="G296" s="557"/>
      <c r="H296" s="460"/>
      <c r="I296" s="557"/>
      <c r="J296" s="460"/>
      <c r="K296" s="557"/>
      <c r="L296" s="460"/>
      <c r="M296" s="557"/>
      <c r="N296" s="460"/>
    </row>
    <row r="297" spans="1:14">
      <c r="A297" s="519"/>
      <c r="B297" s="520"/>
      <c r="C297" s="521"/>
      <c r="D297" s="522"/>
      <c r="E297" s="517"/>
      <c r="F297" s="465"/>
      <c r="G297" s="557"/>
      <c r="H297" s="460"/>
      <c r="I297" s="557"/>
      <c r="J297" s="460"/>
      <c r="K297" s="557"/>
      <c r="L297" s="460"/>
      <c r="M297" s="557"/>
      <c r="N297" s="460"/>
    </row>
    <row r="298" spans="1:14">
      <c r="A298" s="519"/>
      <c r="B298" s="520"/>
      <c r="C298" s="521"/>
      <c r="D298" s="522"/>
      <c r="E298" s="517"/>
      <c r="F298" s="465"/>
      <c r="G298" s="557"/>
      <c r="H298" s="460"/>
      <c r="I298" s="557"/>
      <c r="J298" s="460"/>
      <c r="K298" s="557"/>
      <c r="L298" s="460"/>
      <c r="M298" s="557"/>
      <c r="N298" s="460"/>
    </row>
    <row r="299" spans="1:14">
      <c r="A299" s="519"/>
      <c r="B299" s="520"/>
      <c r="C299" s="521"/>
      <c r="D299" s="522"/>
      <c r="E299" s="517"/>
      <c r="F299" s="465"/>
      <c r="G299" s="557"/>
      <c r="H299" s="460"/>
      <c r="I299" s="557"/>
      <c r="J299" s="460"/>
      <c r="K299" s="557"/>
      <c r="L299" s="460"/>
      <c r="M299" s="557"/>
      <c r="N299" s="460"/>
    </row>
    <row r="300" spans="1:14">
      <c r="A300" s="519"/>
      <c r="B300" s="520"/>
      <c r="C300" s="521"/>
      <c r="D300" s="522"/>
      <c r="E300" s="517"/>
      <c r="F300" s="465"/>
      <c r="G300" s="557"/>
      <c r="H300" s="460"/>
      <c r="I300" s="557"/>
      <c r="J300" s="460"/>
      <c r="K300" s="557"/>
      <c r="L300" s="460"/>
      <c r="M300" s="557"/>
      <c r="N300" s="460"/>
    </row>
    <row r="301" spans="1:14">
      <c r="A301" s="519"/>
      <c r="B301" s="520"/>
      <c r="C301" s="521"/>
      <c r="D301" s="522"/>
      <c r="E301" s="517"/>
      <c r="F301" s="465"/>
      <c r="G301" s="557"/>
      <c r="H301" s="460"/>
      <c r="I301" s="557"/>
      <c r="J301" s="460"/>
      <c r="K301" s="557"/>
      <c r="L301" s="460"/>
      <c r="M301" s="557"/>
      <c r="N301" s="460"/>
    </row>
    <row r="302" spans="1:14">
      <c r="A302" s="519"/>
      <c r="B302" s="520"/>
      <c r="C302" s="521"/>
      <c r="D302" s="522"/>
      <c r="E302" s="517"/>
      <c r="F302" s="465"/>
      <c r="G302" s="557"/>
      <c r="H302" s="460"/>
      <c r="I302" s="557"/>
      <c r="J302" s="460"/>
      <c r="K302" s="557"/>
      <c r="L302" s="460"/>
      <c r="M302" s="557"/>
      <c r="N302" s="460"/>
    </row>
    <row r="303" spans="1:14">
      <c r="A303" s="519"/>
      <c r="B303" s="520"/>
      <c r="C303" s="521"/>
      <c r="D303" s="522"/>
      <c r="E303" s="517"/>
      <c r="F303" s="465"/>
      <c r="G303" s="557"/>
      <c r="H303" s="460"/>
      <c r="I303" s="557"/>
      <c r="J303" s="460"/>
      <c r="K303" s="557"/>
      <c r="L303" s="460"/>
      <c r="M303" s="557"/>
      <c r="N303" s="460"/>
    </row>
    <row r="304" spans="1:14">
      <c r="A304" s="519"/>
      <c r="B304" s="520"/>
      <c r="C304" s="521"/>
      <c r="D304" s="522"/>
      <c r="E304" s="517"/>
      <c r="F304" s="465"/>
      <c r="G304" s="557"/>
      <c r="H304" s="460"/>
      <c r="I304" s="557"/>
      <c r="J304" s="460"/>
      <c r="K304" s="557"/>
      <c r="L304" s="460"/>
      <c r="M304" s="557"/>
      <c r="N304" s="460"/>
    </row>
    <row r="305" spans="1:14">
      <c r="A305" s="519"/>
      <c r="B305" s="520"/>
      <c r="C305" s="521"/>
      <c r="D305" s="522"/>
      <c r="E305" s="517"/>
      <c r="F305" s="465"/>
      <c r="G305" s="557"/>
      <c r="H305" s="460"/>
      <c r="I305" s="557"/>
      <c r="J305" s="460"/>
      <c r="K305" s="557"/>
      <c r="L305" s="460"/>
      <c r="M305" s="557"/>
      <c r="N305" s="460"/>
    </row>
    <row r="306" spans="1:14">
      <c r="A306" s="519"/>
      <c r="B306" s="520"/>
      <c r="C306" s="521"/>
      <c r="D306" s="522"/>
      <c r="E306" s="517"/>
      <c r="F306" s="465"/>
      <c r="G306" s="557"/>
      <c r="H306" s="460"/>
      <c r="I306" s="557"/>
      <c r="J306" s="460"/>
      <c r="K306" s="557"/>
      <c r="L306" s="460"/>
      <c r="M306" s="557"/>
      <c r="N306" s="460"/>
    </row>
    <row r="307" spans="1:14">
      <c r="A307" s="519"/>
      <c r="B307" s="520"/>
      <c r="C307" s="521"/>
      <c r="D307" s="522"/>
      <c r="E307" s="517"/>
      <c r="F307" s="465"/>
      <c r="G307" s="557"/>
      <c r="H307" s="460"/>
      <c r="I307" s="557"/>
      <c r="J307" s="460"/>
      <c r="K307" s="557"/>
      <c r="L307" s="460"/>
      <c r="M307" s="557"/>
      <c r="N307" s="460"/>
    </row>
    <row r="308" spans="1:14">
      <c r="A308" s="519"/>
      <c r="B308" s="520"/>
      <c r="C308" s="521"/>
      <c r="D308" s="522"/>
      <c r="E308" s="517"/>
      <c r="F308" s="465"/>
      <c r="G308" s="557"/>
      <c r="H308" s="460"/>
      <c r="I308" s="557"/>
      <c r="J308" s="460"/>
      <c r="K308" s="557"/>
      <c r="L308" s="460"/>
      <c r="M308" s="557"/>
      <c r="N308" s="460"/>
    </row>
    <row r="309" spans="1:14">
      <c r="A309" s="519"/>
      <c r="B309" s="520"/>
      <c r="C309" s="521"/>
      <c r="D309" s="522"/>
      <c r="E309" s="517"/>
      <c r="F309" s="465"/>
      <c r="G309" s="557"/>
      <c r="H309" s="460"/>
      <c r="I309" s="557"/>
      <c r="J309" s="460"/>
      <c r="K309" s="557"/>
      <c r="L309" s="460"/>
      <c r="M309" s="557"/>
      <c r="N309" s="460"/>
    </row>
    <row r="310" spans="1:14">
      <c r="A310" s="519"/>
      <c r="B310" s="520"/>
      <c r="C310" s="521"/>
      <c r="D310" s="522"/>
      <c r="E310" s="517"/>
      <c r="F310" s="465"/>
      <c r="G310" s="557"/>
      <c r="H310" s="460"/>
      <c r="I310" s="557"/>
      <c r="J310" s="460"/>
      <c r="K310" s="557"/>
      <c r="L310" s="460"/>
      <c r="M310" s="557"/>
      <c r="N310" s="460"/>
    </row>
    <row r="311" spans="1:14">
      <c r="A311" s="519"/>
      <c r="B311" s="520"/>
      <c r="C311" s="521"/>
      <c r="D311" s="522"/>
      <c r="E311" s="517"/>
      <c r="F311" s="465"/>
      <c r="G311" s="557"/>
      <c r="H311" s="460"/>
      <c r="I311" s="557"/>
      <c r="J311" s="460"/>
      <c r="K311" s="557"/>
      <c r="L311" s="460"/>
      <c r="M311" s="557"/>
      <c r="N311" s="460"/>
    </row>
    <row r="312" spans="1:14">
      <c r="A312" s="519"/>
      <c r="B312" s="520"/>
      <c r="C312" s="521"/>
      <c r="D312" s="522"/>
      <c r="E312" s="517"/>
      <c r="F312" s="465"/>
      <c r="G312" s="557"/>
      <c r="H312" s="460"/>
      <c r="I312" s="557"/>
      <c r="J312" s="460"/>
      <c r="K312" s="557"/>
      <c r="L312" s="460"/>
      <c r="M312" s="557"/>
      <c r="N312" s="460"/>
    </row>
    <row r="313" spans="1:14">
      <c r="A313" s="519"/>
      <c r="B313" s="520"/>
      <c r="C313" s="521"/>
      <c r="D313" s="522"/>
      <c r="E313" s="517"/>
      <c r="F313" s="465"/>
      <c r="G313" s="557"/>
      <c r="H313" s="460"/>
      <c r="I313" s="557"/>
      <c r="J313" s="460"/>
      <c r="K313" s="557"/>
      <c r="L313" s="460"/>
      <c r="M313" s="557"/>
      <c r="N313" s="460"/>
    </row>
    <row r="314" spans="1:14">
      <c r="A314" s="519"/>
      <c r="B314" s="520"/>
      <c r="C314" s="521"/>
      <c r="D314" s="522"/>
      <c r="E314" s="517"/>
      <c r="F314" s="465"/>
      <c r="G314" s="557"/>
      <c r="H314" s="460"/>
      <c r="I314" s="557"/>
      <c r="J314" s="460"/>
      <c r="K314" s="557"/>
      <c r="L314" s="460"/>
      <c r="M314" s="557"/>
      <c r="N314" s="460"/>
    </row>
    <row r="315" spans="1:14">
      <c r="A315" s="519"/>
      <c r="B315" s="520"/>
      <c r="C315" s="521"/>
      <c r="D315" s="522"/>
      <c r="E315" s="517"/>
      <c r="F315" s="465"/>
      <c r="G315" s="557"/>
      <c r="H315" s="460"/>
      <c r="I315" s="557"/>
      <c r="J315" s="460"/>
      <c r="K315" s="557"/>
      <c r="L315" s="460"/>
      <c r="M315" s="557"/>
      <c r="N315" s="460"/>
    </row>
    <row r="316" spans="1:14">
      <c r="A316" s="519"/>
      <c r="B316" s="520"/>
      <c r="C316" s="521"/>
      <c r="D316" s="522"/>
      <c r="E316" s="517"/>
      <c r="F316" s="465"/>
      <c r="G316" s="557"/>
      <c r="H316" s="460"/>
      <c r="I316" s="557"/>
      <c r="J316" s="460"/>
      <c r="K316" s="557"/>
      <c r="L316" s="460"/>
      <c r="M316" s="557"/>
      <c r="N316" s="460"/>
    </row>
    <row r="317" spans="1:14">
      <c r="A317" s="519"/>
      <c r="B317" s="520"/>
      <c r="C317" s="521"/>
      <c r="D317" s="522"/>
      <c r="E317" s="517"/>
      <c r="F317" s="465"/>
      <c r="G317" s="557"/>
      <c r="H317" s="460"/>
      <c r="I317" s="557"/>
      <c r="J317" s="460"/>
      <c r="K317" s="557"/>
      <c r="L317" s="460"/>
      <c r="M317" s="557"/>
      <c r="N317" s="460"/>
    </row>
    <row r="318" spans="1:14">
      <c r="A318" s="519"/>
      <c r="B318" s="520"/>
      <c r="C318" s="521"/>
      <c r="D318" s="522"/>
      <c r="E318" s="517"/>
      <c r="F318" s="465"/>
      <c r="G318" s="557"/>
      <c r="H318" s="460"/>
      <c r="I318" s="557"/>
      <c r="J318" s="460"/>
      <c r="K318" s="557"/>
      <c r="L318" s="460"/>
      <c r="M318" s="557"/>
      <c r="N318" s="460"/>
    </row>
    <row r="319" spans="1:14">
      <c r="A319" s="519"/>
      <c r="B319" s="520"/>
      <c r="C319" s="521"/>
      <c r="D319" s="522"/>
      <c r="E319" s="517"/>
      <c r="F319" s="465"/>
      <c r="G319" s="557"/>
      <c r="H319" s="460"/>
      <c r="I319" s="557"/>
      <c r="J319" s="460"/>
      <c r="K319" s="557"/>
      <c r="L319" s="460"/>
      <c r="M319" s="557"/>
      <c r="N319" s="460"/>
    </row>
    <row r="320" spans="1:14">
      <c r="A320" s="519"/>
      <c r="B320" s="520"/>
      <c r="C320" s="521"/>
      <c r="D320" s="522"/>
      <c r="E320" s="517"/>
      <c r="F320" s="465"/>
      <c r="G320" s="557"/>
      <c r="H320" s="460"/>
      <c r="I320" s="557"/>
      <c r="J320" s="460"/>
      <c r="K320" s="557"/>
      <c r="L320" s="460"/>
      <c r="M320" s="557"/>
      <c r="N320" s="460"/>
    </row>
    <row r="321" spans="1:14">
      <c r="A321" s="519"/>
      <c r="B321" s="520"/>
      <c r="C321" s="521"/>
      <c r="D321" s="522"/>
      <c r="E321" s="517"/>
      <c r="F321" s="465"/>
      <c r="G321" s="557"/>
      <c r="H321" s="460"/>
      <c r="I321" s="557"/>
      <c r="J321" s="460"/>
      <c r="K321" s="557"/>
      <c r="L321" s="460"/>
      <c r="M321" s="557"/>
      <c r="N321" s="460"/>
    </row>
    <row r="322" spans="1:14">
      <c r="A322" s="519"/>
      <c r="B322" s="520"/>
      <c r="C322" s="521"/>
      <c r="D322" s="522"/>
      <c r="E322" s="517"/>
      <c r="F322" s="465"/>
      <c r="G322" s="557"/>
      <c r="H322" s="460"/>
      <c r="I322" s="557"/>
      <c r="J322" s="460"/>
      <c r="K322" s="557"/>
      <c r="L322" s="460"/>
      <c r="M322" s="557"/>
      <c r="N322" s="460"/>
    </row>
    <row r="323" spans="1:14">
      <c r="A323" s="519"/>
      <c r="B323" s="520"/>
      <c r="C323" s="521"/>
      <c r="D323" s="522"/>
      <c r="E323" s="517"/>
      <c r="F323" s="465"/>
      <c r="G323" s="557"/>
      <c r="H323" s="460"/>
      <c r="I323" s="557"/>
      <c r="J323" s="460"/>
      <c r="K323" s="557"/>
      <c r="L323" s="460"/>
      <c r="M323" s="557"/>
      <c r="N323" s="460"/>
    </row>
    <row r="324" spans="1:14">
      <c r="A324" s="519"/>
      <c r="B324" s="520"/>
      <c r="C324" s="521"/>
      <c r="D324" s="522"/>
      <c r="E324" s="517"/>
      <c r="F324" s="465"/>
      <c r="G324" s="557"/>
      <c r="H324" s="460"/>
      <c r="I324" s="557"/>
      <c r="J324" s="460"/>
      <c r="K324" s="557"/>
      <c r="L324" s="460"/>
      <c r="M324" s="557"/>
      <c r="N324" s="460"/>
    </row>
    <row r="325" spans="1:14">
      <c r="A325" s="519"/>
      <c r="B325" s="520"/>
      <c r="C325" s="521"/>
      <c r="D325" s="522"/>
      <c r="E325" s="517"/>
      <c r="F325" s="465"/>
      <c r="G325" s="557"/>
      <c r="H325" s="460"/>
      <c r="I325" s="557"/>
      <c r="J325" s="460"/>
      <c r="K325" s="557"/>
      <c r="L325" s="460"/>
      <c r="M325" s="557"/>
      <c r="N325" s="460"/>
    </row>
    <row r="326" spans="1:14">
      <c r="A326" s="519"/>
      <c r="B326" s="520"/>
      <c r="C326" s="521"/>
      <c r="D326" s="522"/>
      <c r="E326" s="517"/>
      <c r="F326" s="465"/>
      <c r="G326" s="557"/>
      <c r="H326" s="460"/>
      <c r="I326" s="557"/>
      <c r="J326" s="460"/>
      <c r="K326" s="557"/>
      <c r="L326" s="460"/>
      <c r="M326" s="557"/>
      <c r="N326" s="460"/>
    </row>
    <row r="327" spans="1:14">
      <c r="A327" s="519"/>
      <c r="B327" s="520"/>
      <c r="C327" s="521"/>
      <c r="D327" s="522"/>
      <c r="E327" s="517"/>
      <c r="F327" s="465"/>
      <c r="G327" s="557"/>
      <c r="H327" s="460"/>
      <c r="I327" s="557"/>
      <c r="J327" s="460"/>
      <c r="K327" s="557"/>
      <c r="L327" s="460"/>
      <c r="M327" s="557"/>
      <c r="N327" s="460"/>
    </row>
    <row r="328" spans="1:14">
      <c r="A328" s="519"/>
      <c r="B328" s="520"/>
      <c r="C328" s="521"/>
      <c r="D328" s="522"/>
      <c r="E328" s="517"/>
      <c r="F328" s="465"/>
      <c r="G328" s="557"/>
      <c r="H328" s="460"/>
      <c r="I328" s="557"/>
      <c r="J328" s="460"/>
      <c r="K328" s="557"/>
      <c r="L328" s="460"/>
      <c r="M328" s="557"/>
      <c r="N328" s="460"/>
    </row>
    <row r="329" spans="1:14">
      <c r="A329" s="519"/>
      <c r="B329" s="520"/>
      <c r="C329" s="521"/>
      <c r="D329" s="522"/>
      <c r="E329" s="517"/>
      <c r="F329" s="465"/>
      <c r="G329" s="557"/>
      <c r="H329" s="460"/>
      <c r="I329" s="557"/>
      <c r="J329" s="460"/>
      <c r="K329" s="557"/>
      <c r="L329" s="460"/>
      <c r="M329" s="557"/>
      <c r="N329" s="460"/>
    </row>
    <row r="330" spans="1:14">
      <c r="A330" s="519"/>
      <c r="B330" s="520"/>
      <c r="C330" s="521"/>
      <c r="D330" s="522"/>
      <c r="E330" s="517"/>
      <c r="F330" s="465"/>
      <c r="G330" s="557"/>
      <c r="H330" s="460"/>
      <c r="I330" s="557"/>
      <c r="J330" s="460"/>
      <c r="K330" s="557"/>
      <c r="L330" s="460"/>
      <c r="M330" s="557"/>
      <c r="N330" s="460"/>
    </row>
    <row r="331" spans="1:14">
      <c r="A331" s="519"/>
      <c r="B331" s="520"/>
      <c r="C331" s="521"/>
      <c r="D331" s="522"/>
      <c r="E331" s="517"/>
      <c r="F331" s="465"/>
      <c r="G331" s="557"/>
      <c r="H331" s="460"/>
      <c r="I331" s="557"/>
      <c r="J331" s="460"/>
      <c r="K331" s="557"/>
      <c r="L331" s="460"/>
      <c r="M331" s="557"/>
      <c r="N331" s="460"/>
    </row>
    <row r="332" spans="1:14">
      <c r="A332" s="519"/>
      <c r="B332" s="520"/>
      <c r="C332" s="521"/>
      <c r="D332" s="522"/>
      <c r="E332" s="517"/>
      <c r="F332" s="465"/>
      <c r="G332" s="557"/>
      <c r="H332" s="460"/>
      <c r="I332" s="557"/>
      <c r="J332" s="460"/>
      <c r="K332" s="557"/>
      <c r="L332" s="460"/>
      <c r="M332" s="557"/>
      <c r="N332" s="460"/>
    </row>
    <row r="333" spans="1:14">
      <c r="A333" s="519"/>
      <c r="B333" s="520"/>
      <c r="C333" s="521"/>
      <c r="D333" s="522"/>
      <c r="E333" s="517"/>
      <c r="F333" s="465"/>
      <c r="G333" s="557"/>
      <c r="H333" s="460"/>
      <c r="I333" s="557"/>
      <c r="J333" s="460"/>
      <c r="K333" s="557"/>
      <c r="L333" s="460"/>
      <c r="M333" s="557"/>
      <c r="N333" s="460"/>
    </row>
    <row r="334" spans="1:14">
      <c r="A334" s="519"/>
      <c r="B334" s="520"/>
      <c r="C334" s="521"/>
      <c r="D334" s="522"/>
      <c r="E334" s="517"/>
      <c r="F334" s="465"/>
      <c r="G334" s="557"/>
      <c r="H334" s="460"/>
      <c r="I334" s="557"/>
      <c r="J334" s="460"/>
      <c r="K334" s="557"/>
      <c r="L334" s="460"/>
      <c r="M334" s="557"/>
      <c r="N334" s="460"/>
    </row>
    <row r="335" spans="1:14">
      <c r="A335" s="519"/>
      <c r="B335" s="520"/>
      <c r="C335" s="521"/>
      <c r="D335" s="522"/>
      <c r="E335" s="517"/>
      <c r="F335" s="465"/>
      <c r="G335" s="557"/>
      <c r="H335" s="460"/>
      <c r="I335" s="557"/>
      <c r="J335" s="460"/>
      <c r="K335" s="557"/>
      <c r="L335" s="460"/>
      <c r="M335" s="557"/>
      <c r="N335" s="460"/>
    </row>
    <row r="336" spans="1:14">
      <c r="A336" s="519"/>
      <c r="B336" s="520"/>
      <c r="C336" s="521"/>
      <c r="D336" s="522"/>
      <c r="E336" s="517"/>
      <c r="F336" s="465"/>
      <c r="G336" s="557"/>
      <c r="H336" s="460"/>
      <c r="I336" s="557"/>
      <c r="J336" s="460"/>
      <c r="K336" s="557"/>
      <c r="L336" s="460"/>
      <c r="M336" s="557"/>
      <c r="N336" s="460"/>
    </row>
    <row r="337" spans="1:14">
      <c r="A337" s="519"/>
      <c r="B337" s="520"/>
      <c r="C337" s="521"/>
      <c r="D337" s="522"/>
      <c r="E337" s="517"/>
      <c r="F337" s="465"/>
      <c r="G337" s="557"/>
      <c r="H337" s="460"/>
      <c r="I337" s="557"/>
      <c r="J337" s="460"/>
      <c r="K337" s="557"/>
      <c r="L337" s="460"/>
      <c r="M337" s="557"/>
      <c r="N337" s="460"/>
    </row>
    <row r="338" spans="1:14">
      <c r="A338" s="519"/>
      <c r="B338" s="520"/>
      <c r="C338" s="521"/>
      <c r="D338" s="522"/>
      <c r="E338" s="517"/>
      <c r="F338" s="465"/>
      <c r="G338" s="557"/>
      <c r="H338" s="460"/>
      <c r="I338" s="557"/>
      <c r="J338" s="460"/>
      <c r="K338" s="557"/>
      <c r="L338" s="460"/>
      <c r="M338" s="557"/>
      <c r="N338" s="460"/>
    </row>
    <row r="339" spans="1:14">
      <c r="A339" s="519"/>
      <c r="B339" s="520"/>
      <c r="C339" s="521"/>
      <c r="D339" s="522"/>
      <c r="E339" s="517"/>
      <c r="F339" s="465"/>
      <c r="G339" s="557"/>
      <c r="H339" s="460"/>
      <c r="I339" s="557"/>
      <c r="J339" s="460"/>
      <c r="K339" s="557"/>
      <c r="L339" s="460"/>
      <c r="M339" s="557"/>
      <c r="N339" s="460"/>
    </row>
    <row r="340" spans="1:14">
      <c r="A340" s="519"/>
      <c r="B340" s="520"/>
      <c r="C340" s="521"/>
      <c r="D340" s="522"/>
      <c r="E340" s="517"/>
      <c r="F340" s="465"/>
      <c r="G340" s="557"/>
      <c r="H340" s="460"/>
      <c r="I340" s="557"/>
      <c r="J340" s="460"/>
      <c r="K340" s="557"/>
      <c r="L340" s="460"/>
      <c r="M340" s="557"/>
      <c r="N340" s="460"/>
    </row>
    <row r="341" spans="1:14">
      <c r="A341" s="519"/>
      <c r="B341" s="520"/>
      <c r="C341" s="521"/>
      <c r="D341" s="522"/>
      <c r="E341" s="517"/>
      <c r="F341" s="465"/>
      <c r="G341" s="557"/>
      <c r="H341" s="460"/>
      <c r="I341" s="557"/>
      <c r="J341" s="460"/>
      <c r="K341" s="557"/>
      <c r="L341" s="460"/>
      <c r="M341" s="557"/>
      <c r="N341" s="460"/>
    </row>
    <row r="342" spans="1:14">
      <c r="A342" s="519"/>
      <c r="B342" s="520"/>
      <c r="C342" s="521"/>
      <c r="D342" s="522"/>
      <c r="E342" s="517"/>
      <c r="F342" s="465"/>
      <c r="G342" s="557"/>
      <c r="H342" s="460"/>
      <c r="I342" s="557"/>
      <c r="J342" s="460"/>
      <c r="K342" s="557"/>
      <c r="L342" s="460"/>
      <c r="M342" s="557"/>
      <c r="N342" s="460"/>
    </row>
    <row r="343" spans="1:14">
      <c r="A343" s="519"/>
      <c r="B343" s="520"/>
      <c r="C343" s="521"/>
      <c r="D343" s="522"/>
      <c r="E343" s="517"/>
      <c r="F343" s="465"/>
      <c r="G343" s="557"/>
      <c r="H343" s="460"/>
      <c r="I343" s="557"/>
      <c r="J343" s="460"/>
      <c r="K343" s="557"/>
      <c r="L343" s="460"/>
      <c r="M343" s="557"/>
      <c r="N343" s="460"/>
    </row>
    <row r="344" spans="1:14">
      <c r="A344" s="519"/>
      <c r="B344" s="520"/>
      <c r="C344" s="521"/>
      <c r="D344" s="522"/>
      <c r="E344" s="517"/>
      <c r="F344" s="465"/>
      <c r="G344" s="557"/>
      <c r="H344" s="460"/>
      <c r="I344" s="557"/>
      <c r="J344" s="460"/>
      <c r="K344" s="557"/>
      <c r="L344" s="460"/>
      <c r="M344" s="557"/>
      <c r="N344" s="460"/>
    </row>
    <row r="345" spans="1:14">
      <c r="A345" s="519"/>
      <c r="B345" s="520"/>
      <c r="C345" s="521"/>
      <c r="D345" s="522"/>
      <c r="E345" s="517"/>
      <c r="F345" s="465"/>
      <c r="G345" s="557"/>
      <c r="H345" s="460"/>
      <c r="I345" s="557"/>
      <c r="J345" s="460"/>
      <c r="K345" s="557"/>
      <c r="L345" s="460"/>
      <c r="M345" s="557"/>
      <c r="N345" s="460"/>
    </row>
    <row r="346" spans="1:14">
      <c r="A346" s="519"/>
      <c r="B346" s="520"/>
      <c r="C346" s="521"/>
      <c r="D346" s="522"/>
      <c r="E346" s="517"/>
      <c r="F346" s="465"/>
      <c r="G346" s="557"/>
      <c r="H346" s="460"/>
      <c r="I346" s="557"/>
      <c r="J346" s="460"/>
      <c r="K346" s="557"/>
      <c r="L346" s="460"/>
      <c r="M346" s="557"/>
      <c r="N346" s="460"/>
    </row>
    <row r="347" spans="1:14">
      <c r="A347" s="519"/>
      <c r="B347" s="520"/>
      <c r="C347" s="521"/>
      <c r="D347" s="522"/>
      <c r="E347" s="517"/>
      <c r="F347" s="465"/>
      <c r="G347" s="557"/>
      <c r="H347" s="460"/>
      <c r="I347" s="557"/>
      <c r="J347" s="460"/>
      <c r="K347" s="557"/>
      <c r="L347" s="460"/>
      <c r="M347" s="557"/>
      <c r="N347" s="460"/>
    </row>
    <row r="348" spans="1:14">
      <c r="A348" s="519"/>
      <c r="B348" s="520"/>
      <c r="C348" s="521"/>
      <c r="D348" s="522"/>
      <c r="E348" s="517"/>
      <c r="F348" s="465"/>
      <c r="G348" s="557"/>
      <c r="H348" s="460"/>
      <c r="I348" s="557"/>
      <c r="J348" s="460"/>
      <c r="K348" s="557"/>
      <c r="L348" s="460"/>
      <c r="M348" s="557"/>
      <c r="N348" s="460"/>
    </row>
    <row r="349" spans="1:14">
      <c r="A349" s="519"/>
      <c r="B349" s="520"/>
      <c r="C349" s="521"/>
      <c r="D349" s="522"/>
      <c r="E349" s="517"/>
      <c r="F349" s="465"/>
      <c r="G349" s="557"/>
      <c r="H349" s="460"/>
      <c r="I349" s="557"/>
      <c r="J349" s="460"/>
      <c r="K349" s="557"/>
      <c r="L349" s="460"/>
      <c r="M349" s="557"/>
      <c r="N349" s="460"/>
    </row>
    <row r="350" spans="1:14">
      <c r="A350" s="519"/>
      <c r="B350" s="520"/>
      <c r="C350" s="521"/>
      <c r="D350" s="522"/>
      <c r="E350" s="517"/>
      <c r="F350" s="465"/>
      <c r="G350" s="557"/>
      <c r="H350" s="460"/>
      <c r="I350" s="557"/>
      <c r="J350" s="460"/>
      <c r="K350" s="557"/>
      <c r="L350" s="460"/>
      <c r="M350" s="557"/>
      <c r="N350" s="460"/>
    </row>
    <row r="351" spans="1:14">
      <c r="A351" s="519"/>
      <c r="B351" s="520"/>
      <c r="C351" s="521"/>
      <c r="D351" s="522"/>
      <c r="E351" s="517"/>
      <c r="F351" s="465"/>
      <c r="G351" s="557"/>
      <c r="H351" s="460"/>
      <c r="I351" s="557"/>
      <c r="J351" s="460"/>
      <c r="K351" s="557"/>
      <c r="L351" s="460"/>
      <c r="M351" s="557"/>
      <c r="N351" s="460"/>
    </row>
    <row r="352" spans="1:14">
      <c r="A352" s="519"/>
      <c r="B352" s="520"/>
      <c r="C352" s="521"/>
      <c r="D352" s="522"/>
      <c r="E352" s="517"/>
      <c r="F352" s="465"/>
      <c r="G352" s="557"/>
      <c r="H352" s="460"/>
      <c r="I352" s="557"/>
      <c r="J352" s="460"/>
      <c r="K352" s="557"/>
      <c r="L352" s="460"/>
      <c r="M352" s="557"/>
      <c r="N352" s="460"/>
    </row>
    <row r="353" spans="1:14">
      <c r="A353" s="519"/>
      <c r="B353" s="520"/>
      <c r="C353" s="521"/>
      <c r="D353" s="522"/>
      <c r="E353" s="517"/>
      <c r="F353" s="465"/>
      <c r="G353" s="557"/>
      <c r="H353" s="460"/>
      <c r="I353" s="557"/>
      <c r="J353" s="460"/>
      <c r="K353" s="557"/>
      <c r="L353" s="460"/>
      <c r="M353" s="557"/>
      <c r="N353" s="460"/>
    </row>
    <row r="354" spans="1:14">
      <c r="A354" s="519"/>
      <c r="B354" s="520"/>
      <c r="C354" s="521"/>
      <c r="D354" s="522"/>
      <c r="E354" s="517"/>
      <c r="F354" s="465"/>
      <c r="G354" s="557"/>
      <c r="H354" s="460"/>
      <c r="I354" s="557"/>
      <c r="J354" s="460"/>
      <c r="K354" s="557"/>
      <c r="L354" s="460"/>
      <c r="M354" s="557"/>
      <c r="N354" s="460"/>
    </row>
    <row r="355" spans="1:14">
      <c r="A355" s="519"/>
      <c r="B355" s="520"/>
      <c r="C355" s="521"/>
      <c r="D355" s="522"/>
      <c r="E355" s="517"/>
      <c r="F355" s="465"/>
      <c r="G355" s="557"/>
      <c r="H355" s="460"/>
      <c r="I355" s="557"/>
      <c r="J355" s="460"/>
      <c r="K355" s="557"/>
      <c r="L355" s="460"/>
      <c r="M355" s="557"/>
      <c r="N355" s="460"/>
    </row>
    <row r="356" spans="1:14">
      <c r="A356" s="519"/>
      <c r="B356" s="520"/>
      <c r="C356" s="521"/>
      <c r="D356" s="522"/>
      <c r="E356" s="517"/>
      <c r="F356" s="465"/>
      <c r="G356" s="557"/>
      <c r="H356" s="460"/>
      <c r="I356" s="557"/>
      <c r="J356" s="460"/>
      <c r="K356" s="557"/>
      <c r="L356" s="460"/>
      <c r="M356" s="557"/>
      <c r="N356" s="460"/>
    </row>
    <row r="357" spans="1:14">
      <c r="A357" s="519"/>
      <c r="B357" s="520"/>
      <c r="C357" s="521"/>
      <c r="D357" s="522"/>
      <c r="E357" s="517"/>
      <c r="F357" s="465"/>
      <c r="G357" s="557"/>
      <c r="H357" s="460"/>
      <c r="I357" s="557"/>
      <c r="J357" s="460"/>
      <c r="K357" s="557"/>
      <c r="L357" s="460"/>
      <c r="M357" s="557"/>
      <c r="N357" s="460"/>
    </row>
    <row r="358" spans="1:14">
      <c r="A358" s="519"/>
      <c r="B358" s="520"/>
      <c r="C358" s="521"/>
      <c r="D358" s="522"/>
      <c r="E358" s="517"/>
      <c r="F358" s="465"/>
      <c r="G358" s="557"/>
      <c r="H358" s="460"/>
      <c r="I358" s="557"/>
      <c r="J358" s="460"/>
      <c r="K358" s="557"/>
      <c r="L358" s="460"/>
      <c r="M358" s="557"/>
      <c r="N358" s="460"/>
    </row>
    <row r="359" spans="1:14">
      <c r="A359" s="519"/>
      <c r="B359" s="520"/>
      <c r="C359" s="521"/>
      <c r="D359" s="522"/>
      <c r="E359" s="517"/>
      <c r="F359" s="465"/>
      <c r="G359" s="557"/>
      <c r="H359" s="460"/>
      <c r="I359" s="557"/>
      <c r="J359" s="460"/>
      <c r="K359" s="557"/>
      <c r="L359" s="460"/>
      <c r="M359" s="557"/>
      <c r="N359" s="460"/>
    </row>
    <row r="360" spans="1:14">
      <c r="A360" s="519"/>
      <c r="B360" s="520"/>
      <c r="C360" s="521"/>
      <c r="D360" s="522"/>
      <c r="E360" s="517"/>
      <c r="F360" s="465"/>
      <c r="G360" s="557"/>
      <c r="H360" s="460"/>
      <c r="I360" s="557"/>
      <c r="J360" s="460"/>
      <c r="K360" s="557"/>
      <c r="L360" s="460"/>
      <c r="M360" s="557"/>
      <c r="N360" s="460"/>
    </row>
    <row r="361" spans="1:14">
      <c r="A361" s="519"/>
      <c r="B361" s="520"/>
      <c r="C361" s="521"/>
      <c r="D361" s="522"/>
      <c r="E361" s="517"/>
      <c r="F361" s="465"/>
      <c r="G361" s="557"/>
      <c r="H361" s="460"/>
      <c r="I361" s="557"/>
      <c r="J361" s="460"/>
      <c r="K361" s="557"/>
      <c r="L361" s="460"/>
      <c r="M361" s="557"/>
      <c r="N361" s="460"/>
    </row>
    <row r="362" spans="1:14">
      <c r="A362" s="519"/>
      <c r="B362" s="520"/>
      <c r="C362" s="521"/>
      <c r="D362" s="522"/>
      <c r="E362" s="517"/>
      <c r="F362" s="465"/>
      <c r="G362" s="557"/>
      <c r="H362" s="460"/>
      <c r="I362" s="557"/>
      <c r="J362" s="460"/>
      <c r="K362" s="557"/>
      <c r="L362" s="460"/>
      <c r="M362" s="557"/>
      <c r="N362" s="460"/>
    </row>
    <row r="363" spans="1:14">
      <c r="A363" s="519"/>
      <c r="B363" s="520"/>
      <c r="C363" s="521"/>
      <c r="D363" s="522"/>
      <c r="E363" s="517"/>
      <c r="F363" s="465"/>
      <c r="G363" s="557"/>
      <c r="H363" s="460"/>
      <c r="I363" s="557"/>
      <c r="J363" s="460"/>
      <c r="K363" s="557"/>
      <c r="L363" s="460"/>
      <c r="M363" s="557"/>
      <c r="N363" s="460"/>
    </row>
    <row r="364" spans="1:14">
      <c r="A364" s="519"/>
      <c r="B364" s="520"/>
      <c r="C364" s="521"/>
      <c r="D364" s="522"/>
      <c r="E364" s="517"/>
      <c r="F364" s="465"/>
      <c r="G364" s="557"/>
      <c r="H364" s="460"/>
      <c r="I364" s="557"/>
      <c r="J364" s="460"/>
      <c r="K364" s="557"/>
      <c r="L364" s="460"/>
      <c r="M364" s="557"/>
      <c r="N364" s="460"/>
    </row>
    <row r="365" spans="1:14">
      <c r="A365" s="519"/>
      <c r="B365" s="520"/>
      <c r="C365" s="521"/>
      <c r="D365" s="522"/>
      <c r="E365" s="517"/>
      <c r="F365" s="465"/>
      <c r="G365" s="557"/>
      <c r="H365" s="460"/>
      <c r="I365" s="557"/>
      <c r="J365" s="460"/>
      <c r="K365" s="557"/>
      <c r="L365" s="460"/>
      <c r="M365" s="557"/>
      <c r="N365" s="460"/>
    </row>
    <row r="366" spans="1:14">
      <c r="A366" s="519"/>
      <c r="B366" s="520"/>
      <c r="C366" s="521"/>
      <c r="D366" s="522"/>
      <c r="E366" s="517"/>
      <c r="F366" s="465"/>
      <c r="G366" s="557"/>
      <c r="H366" s="460"/>
      <c r="I366" s="557"/>
      <c r="J366" s="460"/>
      <c r="K366" s="557"/>
      <c r="L366" s="460"/>
      <c r="M366" s="557"/>
      <c r="N366" s="460"/>
    </row>
    <row r="367" spans="1:14">
      <c r="A367" s="519"/>
      <c r="B367" s="520"/>
      <c r="C367" s="521"/>
      <c r="D367" s="522"/>
      <c r="E367" s="517"/>
      <c r="F367" s="465"/>
      <c r="G367" s="557"/>
      <c r="H367" s="460"/>
      <c r="I367" s="557"/>
      <c r="J367" s="460"/>
      <c r="K367" s="557"/>
      <c r="L367" s="460"/>
      <c r="M367" s="557"/>
      <c r="N367" s="460"/>
    </row>
    <row r="368" spans="1:14">
      <c r="A368" s="519"/>
      <c r="B368" s="520"/>
      <c r="C368" s="521"/>
      <c r="D368" s="522"/>
      <c r="E368" s="517"/>
      <c r="F368" s="465"/>
      <c r="G368" s="557"/>
      <c r="H368" s="460"/>
      <c r="I368" s="557"/>
      <c r="J368" s="460"/>
      <c r="K368" s="557"/>
      <c r="L368" s="460"/>
      <c r="M368" s="557"/>
      <c r="N368" s="460"/>
    </row>
    <row r="369" spans="1:14">
      <c r="A369" s="519"/>
      <c r="B369" s="520"/>
      <c r="C369" s="521"/>
      <c r="D369" s="522"/>
      <c r="E369" s="517"/>
      <c r="F369" s="465"/>
      <c r="G369" s="557"/>
      <c r="H369" s="460"/>
      <c r="I369" s="557"/>
      <c r="J369" s="460"/>
      <c r="K369" s="557"/>
      <c r="L369" s="460"/>
      <c r="M369" s="557"/>
      <c r="N369" s="460"/>
    </row>
    <row r="370" spans="1:14">
      <c r="A370" s="519"/>
      <c r="B370" s="520"/>
      <c r="C370" s="521"/>
      <c r="D370" s="522"/>
      <c r="E370" s="517"/>
      <c r="F370" s="465"/>
      <c r="G370" s="557"/>
      <c r="H370" s="460"/>
      <c r="I370" s="557"/>
      <c r="J370" s="460"/>
      <c r="K370" s="557"/>
      <c r="L370" s="460"/>
      <c r="M370" s="557"/>
      <c r="N370" s="460"/>
    </row>
    <row r="371" spans="1:14">
      <c r="A371" s="519"/>
      <c r="B371" s="520"/>
      <c r="C371" s="521"/>
      <c r="D371" s="522"/>
      <c r="E371" s="517"/>
      <c r="F371" s="465"/>
      <c r="G371" s="557"/>
      <c r="H371" s="460"/>
      <c r="I371" s="557"/>
      <c r="J371" s="460"/>
      <c r="K371" s="557"/>
      <c r="L371" s="460"/>
      <c r="M371" s="557"/>
      <c r="N371" s="460"/>
    </row>
    <row r="372" spans="1:14">
      <c r="A372" s="519"/>
      <c r="B372" s="520"/>
      <c r="C372" s="521"/>
      <c r="D372" s="522"/>
      <c r="E372" s="517"/>
      <c r="F372" s="465"/>
      <c r="G372" s="557"/>
      <c r="H372" s="460"/>
      <c r="I372" s="557"/>
      <c r="J372" s="460"/>
      <c r="K372" s="557"/>
      <c r="L372" s="460"/>
      <c r="M372" s="557"/>
      <c r="N372" s="460"/>
    </row>
    <row r="373" spans="1:14">
      <c r="A373" s="519"/>
      <c r="B373" s="520"/>
      <c r="C373" s="521"/>
      <c r="D373" s="522"/>
      <c r="E373" s="517"/>
      <c r="F373" s="465"/>
      <c r="G373" s="557"/>
      <c r="H373" s="460"/>
      <c r="I373" s="557"/>
      <c r="J373" s="460"/>
      <c r="K373" s="557"/>
      <c r="L373" s="460"/>
      <c r="M373" s="557"/>
      <c r="N373" s="460"/>
    </row>
    <row r="374" spans="1:14">
      <c r="A374" s="519"/>
      <c r="B374" s="520"/>
      <c r="C374" s="521"/>
      <c r="D374" s="522"/>
      <c r="E374" s="517"/>
      <c r="F374" s="465"/>
      <c r="G374" s="557"/>
      <c r="H374" s="460"/>
      <c r="I374" s="557"/>
      <c r="J374" s="460"/>
      <c r="K374" s="557"/>
      <c r="L374" s="460"/>
      <c r="M374" s="557"/>
      <c r="N374" s="460"/>
    </row>
    <row r="375" spans="1:14">
      <c r="A375" s="519"/>
      <c r="B375" s="520"/>
      <c r="C375" s="521"/>
      <c r="D375" s="522"/>
      <c r="E375" s="517"/>
      <c r="F375" s="465"/>
      <c r="G375" s="557"/>
      <c r="H375" s="460"/>
      <c r="I375" s="557"/>
      <c r="J375" s="460"/>
      <c r="K375" s="557"/>
      <c r="L375" s="460"/>
      <c r="M375" s="557"/>
      <c r="N375" s="460"/>
    </row>
    <row r="376" spans="1:14">
      <c r="A376" s="519"/>
      <c r="B376" s="520"/>
      <c r="C376" s="521"/>
      <c r="D376" s="522"/>
      <c r="E376" s="517"/>
      <c r="F376" s="465"/>
      <c r="G376" s="557"/>
      <c r="H376" s="460"/>
      <c r="I376" s="557"/>
      <c r="J376" s="460"/>
      <c r="K376" s="557"/>
      <c r="L376" s="460"/>
      <c r="M376" s="557"/>
      <c r="N376" s="460"/>
    </row>
    <row r="377" spans="1:14">
      <c r="A377" s="519"/>
      <c r="B377" s="520"/>
      <c r="C377" s="521"/>
      <c r="D377" s="522"/>
      <c r="E377" s="517"/>
      <c r="F377" s="465"/>
      <c r="G377" s="557"/>
      <c r="H377" s="460"/>
      <c r="I377" s="557"/>
      <c r="J377" s="460"/>
      <c r="K377" s="557"/>
      <c r="L377" s="460"/>
      <c r="M377" s="557"/>
      <c r="N377" s="460"/>
    </row>
    <row r="378" spans="1:14">
      <c r="A378" s="519"/>
      <c r="B378" s="520"/>
      <c r="C378" s="521"/>
      <c r="D378" s="522"/>
      <c r="E378" s="517"/>
      <c r="F378" s="465"/>
      <c r="G378" s="557"/>
      <c r="H378" s="460"/>
      <c r="I378" s="557"/>
      <c r="J378" s="460"/>
      <c r="K378" s="557"/>
      <c r="L378" s="460"/>
      <c r="M378" s="557"/>
      <c r="N378" s="460"/>
    </row>
    <row r="379" spans="1:14">
      <c r="A379" s="519"/>
      <c r="B379" s="520"/>
      <c r="C379" s="521"/>
      <c r="D379" s="522"/>
      <c r="E379" s="517"/>
      <c r="F379" s="465"/>
      <c r="G379" s="557"/>
      <c r="H379" s="460"/>
      <c r="I379" s="557"/>
      <c r="J379" s="460"/>
      <c r="K379" s="557"/>
      <c r="L379" s="460"/>
      <c r="M379" s="557"/>
      <c r="N379" s="460"/>
    </row>
    <row r="380" spans="1:14">
      <c r="A380" s="519"/>
      <c r="B380" s="520"/>
      <c r="C380" s="521"/>
      <c r="D380" s="522"/>
      <c r="E380" s="517"/>
      <c r="F380" s="465"/>
      <c r="G380" s="557"/>
      <c r="H380" s="460"/>
      <c r="I380" s="557"/>
      <c r="J380" s="460"/>
      <c r="K380" s="557"/>
      <c r="L380" s="460"/>
      <c r="M380" s="557"/>
      <c r="N380" s="460"/>
    </row>
    <row r="381" spans="1:14">
      <c r="A381" s="519"/>
      <c r="B381" s="520"/>
      <c r="C381" s="521"/>
      <c r="D381" s="522"/>
      <c r="E381" s="517"/>
      <c r="F381" s="465"/>
      <c r="G381" s="557"/>
      <c r="H381" s="460"/>
      <c r="I381" s="557"/>
      <c r="J381" s="460"/>
      <c r="K381" s="557"/>
      <c r="L381" s="460"/>
      <c r="M381" s="557"/>
      <c r="N381" s="460"/>
    </row>
    <row r="382" spans="1:14">
      <c r="A382" s="519"/>
      <c r="B382" s="520"/>
      <c r="C382" s="521"/>
      <c r="D382" s="522"/>
      <c r="E382" s="517"/>
      <c r="F382" s="465"/>
      <c r="G382" s="557"/>
      <c r="H382" s="460"/>
      <c r="I382" s="557"/>
      <c r="J382" s="460"/>
      <c r="K382" s="557"/>
      <c r="L382" s="460"/>
      <c r="M382" s="557"/>
      <c r="N382" s="460"/>
    </row>
    <row r="383" spans="1:14">
      <c r="A383" s="519"/>
      <c r="B383" s="520"/>
      <c r="C383" s="521"/>
      <c r="D383" s="522"/>
      <c r="E383" s="517"/>
      <c r="F383" s="465"/>
      <c r="G383" s="557"/>
      <c r="H383" s="460"/>
      <c r="I383" s="557"/>
      <c r="J383" s="460"/>
      <c r="K383" s="557"/>
      <c r="L383" s="460"/>
      <c r="M383" s="557"/>
      <c r="N383" s="460"/>
    </row>
    <row r="384" spans="1:14">
      <c r="A384" s="519"/>
      <c r="B384" s="520"/>
      <c r="C384" s="521"/>
      <c r="D384" s="522"/>
      <c r="E384" s="517"/>
      <c r="F384" s="465"/>
      <c r="G384" s="557"/>
      <c r="H384" s="460"/>
      <c r="I384" s="557"/>
      <c r="J384" s="460"/>
      <c r="K384" s="557"/>
      <c r="L384" s="460"/>
      <c r="M384" s="557"/>
      <c r="N384" s="460"/>
    </row>
    <row r="385" spans="1:14">
      <c r="A385" s="519"/>
      <c r="B385" s="520"/>
      <c r="C385" s="521"/>
      <c r="D385" s="522"/>
      <c r="E385" s="517"/>
      <c r="F385" s="465"/>
      <c r="G385" s="557"/>
      <c r="H385" s="460"/>
      <c r="I385" s="557"/>
      <c r="J385" s="460"/>
      <c r="K385" s="557"/>
      <c r="L385" s="460"/>
      <c r="M385" s="557"/>
      <c r="N385" s="460"/>
    </row>
    <row r="386" spans="1:14">
      <c r="A386" s="519"/>
      <c r="B386" s="520"/>
      <c r="C386" s="521"/>
      <c r="D386" s="522"/>
      <c r="E386" s="517"/>
      <c r="F386" s="465"/>
      <c r="G386" s="557"/>
      <c r="H386" s="460"/>
      <c r="I386" s="557"/>
      <c r="J386" s="460"/>
      <c r="K386" s="557"/>
      <c r="L386" s="460"/>
      <c r="M386" s="557"/>
      <c r="N386" s="460"/>
    </row>
    <row r="387" spans="1:14">
      <c r="A387" s="519"/>
      <c r="B387" s="520"/>
      <c r="C387" s="521"/>
      <c r="D387" s="522"/>
      <c r="E387" s="517"/>
      <c r="F387" s="465"/>
      <c r="G387" s="557"/>
      <c r="H387" s="460"/>
      <c r="I387" s="557"/>
      <c r="J387" s="460"/>
      <c r="K387" s="557"/>
      <c r="L387" s="460"/>
      <c r="M387" s="557"/>
      <c r="N387" s="460"/>
    </row>
    <row r="388" spans="1:14">
      <c r="A388" s="519"/>
      <c r="B388" s="520"/>
      <c r="C388" s="521"/>
      <c r="D388" s="522"/>
      <c r="E388" s="517"/>
      <c r="F388" s="465"/>
      <c r="G388" s="557"/>
      <c r="H388" s="460"/>
      <c r="I388" s="557"/>
      <c r="J388" s="460"/>
      <c r="K388" s="557"/>
      <c r="L388" s="460"/>
      <c r="M388" s="557"/>
      <c r="N388" s="460"/>
    </row>
    <row r="389" spans="1:14">
      <c r="A389" s="519"/>
      <c r="B389" s="520"/>
      <c r="C389" s="521"/>
      <c r="D389" s="522"/>
      <c r="E389" s="517"/>
      <c r="F389" s="465"/>
      <c r="G389" s="557"/>
      <c r="H389" s="460"/>
      <c r="I389" s="557"/>
      <c r="J389" s="460"/>
      <c r="K389" s="557"/>
      <c r="L389" s="460"/>
      <c r="M389" s="557"/>
      <c r="N389" s="460"/>
    </row>
    <row r="390" spans="1:14">
      <c r="A390" s="519"/>
      <c r="B390" s="520"/>
      <c r="C390" s="521"/>
      <c r="D390" s="522"/>
      <c r="E390" s="517"/>
      <c r="F390" s="465"/>
      <c r="G390" s="557"/>
      <c r="H390" s="460"/>
      <c r="I390" s="557"/>
      <c r="J390" s="460"/>
      <c r="K390" s="557"/>
      <c r="L390" s="460"/>
      <c r="M390" s="557"/>
      <c r="N390" s="460"/>
    </row>
    <row r="391" spans="1:14">
      <c r="A391" s="519"/>
      <c r="B391" s="520"/>
      <c r="C391" s="521"/>
      <c r="D391" s="522"/>
      <c r="E391" s="517"/>
      <c r="F391" s="465"/>
      <c r="G391" s="557"/>
      <c r="H391" s="460"/>
      <c r="I391" s="557"/>
      <c r="J391" s="460"/>
      <c r="K391" s="557"/>
      <c r="L391" s="460"/>
      <c r="M391" s="557"/>
      <c r="N391" s="460"/>
    </row>
    <row r="392" spans="1:14">
      <c r="A392" s="519"/>
      <c r="B392" s="520"/>
      <c r="C392" s="521"/>
      <c r="D392" s="522"/>
      <c r="E392" s="517"/>
      <c r="F392" s="465"/>
      <c r="G392" s="557"/>
      <c r="H392" s="460"/>
      <c r="I392" s="557"/>
      <c r="J392" s="460"/>
      <c r="K392" s="557"/>
      <c r="L392" s="460"/>
      <c r="M392" s="557"/>
      <c r="N392" s="460"/>
    </row>
    <row r="393" spans="1:14">
      <c r="A393" s="519"/>
      <c r="B393" s="520"/>
      <c r="C393" s="521"/>
      <c r="D393" s="522"/>
      <c r="E393" s="517"/>
      <c r="F393" s="465"/>
      <c r="G393" s="557"/>
      <c r="H393" s="460"/>
      <c r="I393" s="557"/>
      <c r="J393" s="460"/>
      <c r="K393" s="557"/>
      <c r="L393" s="460"/>
      <c r="M393" s="557"/>
      <c r="N393" s="460"/>
    </row>
    <row r="394" spans="1:14">
      <c r="A394" s="519"/>
      <c r="B394" s="520"/>
      <c r="C394" s="521"/>
      <c r="D394" s="522"/>
      <c r="E394" s="517"/>
      <c r="F394" s="465"/>
      <c r="G394" s="557"/>
      <c r="H394" s="460"/>
      <c r="I394" s="557"/>
      <c r="J394" s="460"/>
      <c r="K394" s="557"/>
      <c r="L394" s="460"/>
      <c r="M394" s="557"/>
      <c r="N394" s="460"/>
    </row>
    <row r="395" spans="1:14">
      <c r="A395" s="519"/>
      <c r="B395" s="520"/>
      <c r="C395" s="521"/>
      <c r="D395" s="522"/>
      <c r="E395" s="517"/>
      <c r="F395" s="465"/>
      <c r="G395" s="557"/>
      <c r="H395" s="460"/>
      <c r="I395" s="557"/>
      <c r="J395" s="460"/>
      <c r="K395" s="557"/>
      <c r="L395" s="460"/>
      <c r="M395" s="557"/>
      <c r="N395" s="460"/>
    </row>
    <row r="396" spans="1:14">
      <c r="A396" s="519"/>
      <c r="B396" s="520"/>
      <c r="C396" s="521"/>
      <c r="D396" s="522"/>
      <c r="E396" s="517"/>
      <c r="F396" s="465"/>
      <c r="G396" s="557"/>
      <c r="H396" s="460"/>
      <c r="I396" s="557"/>
      <c r="J396" s="460"/>
      <c r="K396" s="557"/>
      <c r="L396" s="460"/>
      <c r="M396" s="557"/>
      <c r="N396" s="460"/>
    </row>
    <row r="397" spans="1:14">
      <c r="A397" s="519"/>
      <c r="B397" s="520"/>
      <c r="C397" s="521"/>
      <c r="D397" s="522"/>
      <c r="E397" s="517"/>
      <c r="F397" s="465"/>
      <c r="G397" s="557"/>
      <c r="H397" s="460"/>
      <c r="I397" s="557"/>
      <c r="J397" s="460"/>
      <c r="K397" s="557"/>
      <c r="L397" s="460"/>
      <c r="M397" s="557"/>
      <c r="N397" s="460"/>
    </row>
    <row r="398" spans="1:14">
      <c r="A398" s="519"/>
      <c r="B398" s="520"/>
      <c r="C398" s="521"/>
      <c r="D398" s="522"/>
      <c r="E398" s="517"/>
      <c r="F398" s="465"/>
      <c r="G398" s="557"/>
      <c r="H398" s="460"/>
      <c r="I398" s="557"/>
      <c r="J398" s="460"/>
      <c r="K398" s="557"/>
      <c r="L398" s="460"/>
      <c r="M398" s="557"/>
      <c r="N398" s="460"/>
    </row>
    <row r="399" spans="1:14">
      <c r="A399" s="519"/>
      <c r="B399" s="520"/>
      <c r="C399" s="521"/>
      <c r="D399" s="522"/>
      <c r="E399" s="517"/>
      <c r="F399" s="465"/>
      <c r="G399" s="557"/>
      <c r="H399" s="460"/>
      <c r="I399" s="557"/>
      <c r="J399" s="460"/>
      <c r="K399" s="557"/>
      <c r="L399" s="460"/>
      <c r="M399" s="557"/>
      <c r="N399" s="460"/>
    </row>
    <row r="400" spans="1:14">
      <c r="A400" s="519"/>
      <c r="B400" s="520"/>
      <c r="C400" s="521"/>
      <c r="D400" s="522"/>
      <c r="E400" s="517"/>
      <c r="F400" s="465"/>
      <c r="G400" s="557"/>
      <c r="H400" s="460"/>
      <c r="I400" s="557"/>
      <c r="J400" s="460"/>
      <c r="K400" s="557"/>
      <c r="L400" s="460"/>
      <c r="M400" s="557"/>
      <c r="N400" s="460"/>
    </row>
    <row r="401" spans="1:14">
      <c r="A401" s="519"/>
      <c r="B401" s="520"/>
      <c r="C401" s="521"/>
      <c r="D401" s="522"/>
      <c r="E401" s="517"/>
      <c r="F401" s="465"/>
      <c r="G401" s="557"/>
      <c r="H401" s="460"/>
      <c r="I401" s="557"/>
      <c r="J401" s="460"/>
      <c r="K401" s="557"/>
      <c r="L401" s="460"/>
      <c r="M401" s="557"/>
      <c r="N401" s="460"/>
    </row>
    <row r="402" spans="1:14">
      <c r="A402" s="519"/>
      <c r="B402" s="520"/>
      <c r="C402" s="521"/>
      <c r="D402" s="522"/>
      <c r="E402" s="517"/>
      <c r="F402" s="465"/>
      <c r="G402" s="557"/>
      <c r="H402" s="460"/>
      <c r="I402" s="557"/>
      <c r="J402" s="460"/>
      <c r="K402" s="557"/>
      <c r="L402" s="460"/>
      <c r="M402" s="557"/>
      <c r="N402" s="460"/>
    </row>
    <row r="403" spans="1:14">
      <c r="A403" s="519"/>
      <c r="B403" s="520"/>
      <c r="C403" s="521"/>
      <c r="D403" s="522"/>
      <c r="E403" s="517"/>
      <c r="F403" s="465"/>
      <c r="G403" s="557"/>
      <c r="H403" s="460"/>
      <c r="I403" s="557"/>
      <c r="J403" s="460"/>
      <c r="K403" s="557"/>
      <c r="L403" s="460"/>
      <c r="M403" s="557"/>
      <c r="N403" s="460"/>
    </row>
    <row r="404" spans="1:14">
      <c r="A404" s="519"/>
      <c r="B404" s="520"/>
      <c r="C404" s="521"/>
      <c r="D404" s="522"/>
      <c r="E404" s="517"/>
      <c r="F404" s="465"/>
      <c r="G404" s="557"/>
      <c r="H404" s="460"/>
      <c r="I404" s="557"/>
      <c r="J404" s="460"/>
      <c r="K404" s="557"/>
      <c r="L404" s="460"/>
      <c r="M404" s="557"/>
      <c r="N404" s="460"/>
    </row>
    <row r="405" spans="1:14">
      <c r="A405" s="519"/>
      <c r="B405" s="520"/>
      <c r="C405" s="521"/>
      <c r="D405" s="522"/>
      <c r="E405" s="517"/>
      <c r="F405" s="465"/>
      <c r="G405" s="557"/>
      <c r="H405" s="460"/>
      <c r="I405" s="557"/>
      <c r="J405" s="460"/>
      <c r="K405" s="557"/>
      <c r="L405" s="460"/>
      <c r="M405" s="557"/>
      <c r="N405" s="460"/>
    </row>
    <row r="406" spans="1:14">
      <c r="A406" s="519"/>
      <c r="B406" s="520"/>
      <c r="C406" s="521"/>
      <c r="D406" s="522"/>
      <c r="E406" s="517"/>
      <c r="F406" s="465"/>
      <c r="G406" s="557"/>
      <c r="H406" s="460"/>
      <c r="I406" s="557"/>
      <c r="J406" s="460"/>
      <c r="K406" s="557"/>
      <c r="L406" s="460"/>
      <c r="M406" s="557"/>
      <c r="N406" s="460"/>
    </row>
    <row r="407" spans="1:14">
      <c r="A407" s="519"/>
      <c r="B407" s="520"/>
      <c r="C407" s="521"/>
      <c r="D407" s="522"/>
      <c r="E407" s="517"/>
      <c r="F407" s="465"/>
      <c r="G407" s="557"/>
      <c r="H407" s="460"/>
      <c r="I407" s="557"/>
      <c r="J407" s="460"/>
      <c r="K407" s="557"/>
      <c r="L407" s="460"/>
      <c r="M407" s="557"/>
      <c r="N407" s="460"/>
    </row>
    <row r="408" spans="1:14">
      <c r="A408" s="519"/>
      <c r="B408" s="520"/>
      <c r="C408" s="521"/>
      <c r="D408" s="522"/>
      <c r="E408" s="517"/>
      <c r="F408" s="465"/>
      <c r="G408" s="557"/>
      <c r="H408" s="460"/>
      <c r="I408" s="557"/>
      <c r="J408" s="460"/>
      <c r="K408" s="557"/>
      <c r="L408" s="460"/>
      <c r="M408" s="557"/>
      <c r="N408" s="460"/>
    </row>
    <row r="409" spans="1:14">
      <c r="A409" s="519"/>
      <c r="B409" s="520"/>
      <c r="C409" s="521"/>
      <c r="D409" s="522"/>
      <c r="E409" s="517"/>
      <c r="F409" s="465"/>
      <c r="G409" s="557"/>
      <c r="H409" s="460"/>
      <c r="I409" s="557"/>
      <c r="J409" s="460"/>
      <c r="K409" s="557"/>
      <c r="L409" s="460"/>
      <c r="M409" s="557"/>
      <c r="N409" s="460"/>
    </row>
    <row r="410" spans="1:14">
      <c r="A410" s="519"/>
      <c r="B410" s="520"/>
      <c r="C410" s="521"/>
      <c r="D410" s="522"/>
      <c r="E410" s="517"/>
      <c r="F410" s="465"/>
      <c r="G410" s="557"/>
      <c r="H410" s="460"/>
      <c r="I410" s="557"/>
      <c r="J410" s="460"/>
      <c r="K410" s="557"/>
      <c r="L410" s="460"/>
      <c r="M410" s="557"/>
      <c r="N410" s="460"/>
    </row>
    <row r="411" spans="1:14">
      <c r="A411" s="519"/>
      <c r="B411" s="520"/>
      <c r="C411" s="521"/>
      <c r="D411" s="522"/>
      <c r="E411" s="517"/>
      <c r="F411" s="465"/>
      <c r="G411" s="557"/>
      <c r="H411" s="460"/>
      <c r="I411" s="557"/>
      <c r="J411" s="460"/>
      <c r="K411" s="557"/>
      <c r="L411" s="460"/>
      <c r="M411" s="557"/>
      <c r="N411" s="460"/>
    </row>
    <row r="412" spans="1:14">
      <c r="A412" s="519"/>
      <c r="B412" s="520"/>
      <c r="C412" s="521"/>
      <c r="D412" s="522"/>
      <c r="E412" s="517"/>
      <c r="F412" s="465"/>
      <c r="G412" s="557"/>
      <c r="H412" s="460"/>
      <c r="I412" s="557"/>
      <c r="J412" s="460"/>
      <c r="K412" s="557"/>
      <c r="L412" s="460"/>
      <c r="M412" s="557"/>
      <c r="N412" s="460"/>
    </row>
    <row r="413" spans="1:14">
      <c r="A413" s="519"/>
      <c r="B413" s="520"/>
      <c r="C413" s="521"/>
      <c r="D413" s="522"/>
      <c r="E413" s="517"/>
      <c r="F413" s="465"/>
      <c r="G413" s="557"/>
      <c r="H413" s="460"/>
      <c r="I413" s="557"/>
      <c r="J413" s="460"/>
      <c r="K413" s="557"/>
      <c r="L413" s="460"/>
      <c r="M413" s="557"/>
      <c r="N413" s="460"/>
    </row>
    <row r="414" spans="1:14">
      <c r="A414" s="519"/>
      <c r="B414" s="520"/>
      <c r="C414" s="521"/>
      <c r="D414" s="522"/>
      <c r="E414" s="517"/>
      <c r="F414" s="465"/>
      <c r="G414" s="557"/>
      <c r="H414" s="460"/>
      <c r="I414" s="557"/>
      <c r="J414" s="460"/>
      <c r="K414" s="557"/>
      <c r="L414" s="460"/>
      <c r="M414" s="557"/>
      <c r="N414" s="460"/>
    </row>
    <row r="415" spans="1:14">
      <c r="A415" s="519"/>
      <c r="B415" s="520"/>
      <c r="C415" s="521"/>
      <c r="D415" s="522"/>
      <c r="E415" s="517"/>
      <c r="F415" s="465"/>
      <c r="G415" s="557"/>
      <c r="H415" s="460"/>
      <c r="I415" s="557"/>
      <c r="J415" s="460"/>
      <c r="K415" s="557"/>
      <c r="L415" s="460"/>
      <c r="M415" s="557"/>
      <c r="N415" s="460"/>
    </row>
    <row r="416" spans="1:14">
      <c r="A416" s="519"/>
      <c r="B416" s="520"/>
      <c r="C416" s="521"/>
      <c r="D416" s="522"/>
      <c r="E416" s="517"/>
      <c r="F416" s="465"/>
      <c r="G416" s="557"/>
      <c r="H416" s="460"/>
      <c r="I416" s="557"/>
      <c r="J416" s="460"/>
      <c r="K416" s="557"/>
      <c r="L416" s="460"/>
      <c r="M416" s="557"/>
      <c r="N416" s="460"/>
    </row>
    <row r="417" spans="1:14">
      <c r="A417" s="519"/>
      <c r="B417" s="520"/>
      <c r="C417" s="521"/>
      <c r="D417" s="522"/>
      <c r="E417" s="517"/>
      <c r="F417" s="465"/>
      <c r="G417" s="557"/>
      <c r="H417" s="460"/>
      <c r="I417" s="557"/>
      <c r="J417" s="460"/>
      <c r="K417" s="557"/>
      <c r="L417" s="460"/>
      <c r="M417" s="557"/>
      <c r="N417" s="460"/>
    </row>
    <row r="418" spans="1:14">
      <c r="A418" s="519"/>
      <c r="B418" s="520"/>
      <c r="C418" s="521"/>
      <c r="D418" s="522"/>
      <c r="E418" s="517"/>
      <c r="F418" s="465"/>
      <c r="G418" s="557"/>
      <c r="H418" s="460"/>
      <c r="I418" s="557"/>
      <c r="J418" s="460"/>
      <c r="K418" s="557"/>
      <c r="L418" s="460"/>
      <c r="M418" s="557"/>
      <c r="N418" s="460"/>
    </row>
    <row r="419" spans="1:14">
      <c r="A419" s="519"/>
      <c r="B419" s="520"/>
      <c r="C419" s="521"/>
      <c r="D419" s="522"/>
      <c r="E419" s="517"/>
      <c r="F419" s="465"/>
      <c r="G419" s="557"/>
      <c r="H419" s="460"/>
      <c r="I419" s="557"/>
      <c r="J419" s="460"/>
      <c r="K419" s="557"/>
      <c r="L419" s="460"/>
      <c r="M419" s="557"/>
      <c r="N419" s="460"/>
    </row>
    <row r="420" spans="1:14">
      <c r="A420" s="519"/>
      <c r="B420" s="520"/>
      <c r="C420" s="521"/>
      <c r="D420" s="522"/>
      <c r="E420" s="517"/>
      <c r="F420" s="465"/>
      <c r="G420" s="557"/>
      <c r="H420" s="460"/>
      <c r="I420" s="557"/>
      <c r="J420" s="460"/>
      <c r="K420" s="557"/>
      <c r="L420" s="460"/>
      <c r="M420" s="557"/>
      <c r="N420" s="460"/>
    </row>
    <row r="421" spans="1:14">
      <c r="A421" s="519"/>
      <c r="B421" s="520"/>
      <c r="C421" s="521"/>
      <c r="D421" s="522"/>
      <c r="E421" s="517"/>
      <c r="F421" s="465"/>
      <c r="G421" s="557"/>
      <c r="H421" s="460"/>
      <c r="I421" s="557"/>
      <c r="J421" s="460"/>
      <c r="K421" s="557"/>
      <c r="L421" s="460"/>
      <c r="M421" s="557"/>
      <c r="N421" s="460"/>
    </row>
    <row r="422" spans="1:14">
      <c r="A422" s="519"/>
      <c r="B422" s="520"/>
      <c r="C422" s="521"/>
      <c r="D422" s="522"/>
      <c r="E422" s="517"/>
      <c r="F422" s="465"/>
      <c r="G422" s="557"/>
      <c r="H422" s="460"/>
      <c r="I422" s="557"/>
      <c r="J422" s="460"/>
      <c r="K422" s="557"/>
      <c r="L422" s="460"/>
      <c r="M422" s="557"/>
      <c r="N422" s="460"/>
    </row>
    <row r="423" spans="1:14">
      <c r="A423" s="519"/>
      <c r="B423" s="520"/>
      <c r="C423" s="521"/>
      <c r="D423" s="522"/>
      <c r="E423" s="517"/>
      <c r="F423" s="465"/>
      <c r="G423" s="557"/>
      <c r="H423" s="460"/>
      <c r="I423" s="557"/>
      <c r="J423" s="460"/>
      <c r="K423" s="557"/>
      <c r="L423" s="460"/>
      <c r="M423" s="557"/>
      <c r="N423" s="460"/>
    </row>
    <row r="424" spans="1:14">
      <c r="A424" s="519"/>
      <c r="B424" s="520"/>
      <c r="C424" s="521"/>
      <c r="D424" s="522"/>
      <c r="E424" s="517"/>
      <c r="F424" s="465"/>
      <c r="G424" s="557"/>
      <c r="H424" s="460"/>
      <c r="I424" s="557"/>
      <c r="J424" s="460"/>
      <c r="K424" s="557"/>
      <c r="L424" s="460"/>
      <c r="M424" s="557"/>
      <c r="N424" s="460"/>
    </row>
    <row r="425" spans="1:14">
      <c r="A425" s="519"/>
      <c r="B425" s="520"/>
      <c r="C425" s="521"/>
      <c r="D425" s="522"/>
      <c r="E425" s="517"/>
      <c r="F425" s="465"/>
      <c r="G425" s="557"/>
      <c r="H425" s="460"/>
      <c r="I425" s="557"/>
      <c r="J425" s="460"/>
      <c r="K425" s="557"/>
      <c r="L425" s="460"/>
      <c r="M425" s="557"/>
      <c r="N425" s="460"/>
    </row>
    <row r="426" spans="1:14">
      <c r="A426" s="519"/>
      <c r="B426" s="520"/>
      <c r="C426" s="521"/>
      <c r="D426" s="522"/>
      <c r="E426" s="517"/>
      <c r="F426" s="465"/>
      <c r="G426" s="557"/>
      <c r="H426" s="460"/>
      <c r="I426" s="557"/>
      <c r="J426" s="460"/>
      <c r="K426" s="557"/>
      <c r="L426" s="460"/>
      <c r="M426" s="557"/>
      <c r="N426" s="460"/>
    </row>
    <row r="427" spans="1:14">
      <c r="A427" s="519"/>
      <c r="B427" s="520"/>
      <c r="C427" s="521"/>
      <c r="D427" s="522"/>
      <c r="E427" s="517"/>
      <c r="F427" s="465"/>
      <c r="G427" s="557"/>
      <c r="H427" s="460"/>
      <c r="I427" s="557"/>
      <c r="J427" s="460"/>
      <c r="K427" s="557"/>
      <c r="L427" s="460"/>
      <c r="M427" s="557"/>
      <c r="N427" s="460"/>
    </row>
    <row r="428" spans="1:14">
      <c r="A428" s="519"/>
      <c r="B428" s="520"/>
      <c r="C428" s="521"/>
      <c r="D428" s="522"/>
      <c r="E428" s="517"/>
      <c r="F428" s="465"/>
      <c r="G428" s="557"/>
      <c r="H428" s="460"/>
      <c r="I428" s="557"/>
      <c r="J428" s="460"/>
      <c r="K428" s="557"/>
      <c r="L428" s="460"/>
      <c r="M428" s="557"/>
      <c r="N428" s="460"/>
    </row>
    <row r="429" spans="1:14">
      <c r="A429" s="519"/>
      <c r="B429" s="520"/>
      <c r="C429" s="521"/>
      <c r="D429" s="522"/>
      <c r="E429" s="517"/>
      <c r="F429" s="465"/>
      <c r="G429" s="557"/>
      <c r="H429" s="460"/>
      <c r="I429" s="557"/>
      <c r="J429" s="460"/>
      <c r="K429" s="557"/>
      <c r="L429" s="460"/>
      <c r="M429" s="557"/>
      <c r="N429" s="460"/>
    </row>
    <row r="430" spans="1:14">
      <c r="A430" s="519"/>
      <c r="B430" s="520"/>
      <c r="C430" s="521"/>
      <c r="D430" s="522"/>
      <c r="E430" s="517"/>
      <c r="F430" s="465"/>
      <c r="G430" s="557"/>
      <c r="H430" s="460"/>
      <c r="I430" s="557"/>
      <c r="J430" s="460"/>
      <c r="K430" s="557"/>
      <c r="L430" s="460"/>
      <c r="M430" s="557"/>
      <c r="N430" s="460"/>
    </row>
    <row r="431" spans="1:14">
      <c r="A431" s="519"/>
      <c r="B431" s="520"/>
      <c r="C431" s="521"/>
      <c r="D431" s="522"/>
      <c r="E431" s="517"/>
      <c r="F431" s="465"/>
      <c r="G431" s="557"/>
      <c r="H431" s="460"/>
      <c r="I431" s="557"/>
      <c r="J431" s="460"/>
      <c r="K431" s="557"/>
      <c r="L431" s="460"/>
      <c r="M431" s="557"/>
      <c r="N431" s="460"/>
    </row>
    <row r="432" spans="1:14">
      <c r="A432" s="519"/>
      <c r="B432" s="520"/>
      <c r="C432" s="521"/>
      <c r="D432" s="522"/>
      <c r="E432" s="517"/>
      <c r="F432" s="465"/>
      <c r="G432" s="557"/>
      <c r="H432" s="460"/>
      <c r="I432" s="557"/>
      <c r="J432" s="460"/>
      <c r="K432" s="557"/>
      <c r="L432" s="460"/>
      <c r="M432" s="557"/>
      <c r="N432" s="460"/>
    </row>
    <row r="433" spans="1:14">
      <c r="A433" s="519"/>
      <c r="B433" s="520"/>
      <c r="C433" s="521"/>
      <c r="D433" s="522"/>
      <c r="E433" s="517"/>
      <c r="F433" s="465"/>
      <c r="G433" s="557"/>
      <c r="H433" s="460"/>
      <c r="I433" s="557"/>
      <c r="J433" s="460"/>
      <c r="K433" s="557"/>
      <c r="L433" s="460"/>
      <c r="M433" s="557"/>
      <c r="N433" s="460"/>
    </row>
    <row r="434" spans="1:14">
      <c r="A434" s="519"/>
      <c r="B434" s="520"/>
      <c r="C434" s="521"/>
      <c r="D434" s="522"/>
      <c r="E434" s="517"/>
      <c r="F434" s="465"/>
      <c r="G434" s="557"/>
      <c r="H434" s="460"/>
      <c r="I434" s="557"/>
      <c r="J434" s="460"/>
      <c r="K434" s="557"/>
      <c r="L434" s="460"/>
      <c r="M434" s="557"/>
      <c r="N434" s="460"/>
    </row>
    <row r="435" spans="1:14">
      <c r="A435" s="519"/>
      <c r="B435" s="520"/>
      <c r="C435" s="521"/>
      <c r="D435" s="522"/>
      <c r="E435" s="517"/>
      <c r="F435" s="465"/>
      <c r="G435" s="557"/>
      <c r="H435" s="460"/>
      <c r="I435" s="557"/>
      <c r="J435" s="460"/>
      <c r="K435" s="557"/>
      <c r="L435" s="460"/>
      <c r="M435" s="557"/>
      <c r="N435" s="460"/>
    </row>
    <row r="436" spans="1:14">
      <c r="A436" s="519"/>
      <c r="B436" s="520"/>
      <c r="C436" s="521"/>
      <c r="D436" s="522"/>
      <c r="E436" s="517"/>
      <c r="F436" s="465"/>
      <c r="G436" s="557"/>
      <c r="H436" s="460"/>
      <c r="I436" s="557"/>
      <c r="J436" s="460"/>
      <c r="K436" s="557"/>
      <c r="L436" s="460"/>
      <c r="M436" s="557"/>
      <c r="N436" s="460"/>
    </row>
    <row r="437" spans="1:14">
      <c r="A437" s="519"/>
      <c r="B437" s="520"/>
      <c r="C437" s="521"/>
      <c r="D437" s="522"/>
      <c r="E437" s="517"/>
      <c r="F437" s="465"/>
      <c r="G437" s="557"/>
      <c r="H437" s="460"/>
      <c r="I437" s="557"/>
      <c r="J437" s="460"/>
      <c r="K437" s="557"/>
      <c r="L437" s="460"/>
      <c r="M437" s="557"/>
      <c r="N437" s="460"/>
    </row>
    <row r="438" spans="1:14">
      <c r="A438" s="519"/>
      <c r="B438" s="520"/>
      <c r="C438" s="521"/>
      <c r="D438" s="522"/>
      <c r="E438" s="517"/>
      <c r="F438" s="465"/>
      <c r="G438" s="557"/>
      <c r="H438" s="460"/>
      <c r="I438" s="557"/>
      <c r="J438" s="460"/>
      <c r="K438" s="557"/>
      <c r="L438" s="460"/>
      <c r="M438" s="557"/>
      <c r="N438" s="460"/>
    </row>
    <row r="439" spans="1:14">
      <c r="A439" s="519"/>
      <c r="B439" s="520"/>
      <c r="C439" s="521"/>
      <c r="D439" s="522"/>
      <c r="E439" s="517"/>
      <c r="F439" s="465"/>
      <c r="G439" s="557"/>
      <c r="H439" s="460"/>
      <c r="I439" s="557"/>
      <c r="J439" s="460"/>
      <c r="K439" s="557"/>
      <c r="L439" s="460"/>
      <c r="M439" s="557"/>
      <c r="N439" s="460"/>
    </row>
    <row r="440" spans="1:14">
      <c r="A440" s="519"/>
      <c r="B440" s="520"/>
      <c r="C440" s="521"/>
      <c r="D440" s="522"/>
      <c r="E440" s="517"/>
      <c r="F440" s="465"/>
      <c r="G440" s="557"/>
      <c r="H440" s="460"/>
      <c r="I440" s="557"/>
      <c r="J440" s="460"/>
      <c r="K440" s="557"/>
      <c r="L440" s="460"/>
      <c r="M440" s="557"/>
      <c r="N440" s="460"/>
    </row>
    <row r="441" spans="1:14">
      <c r="A441" s="519"/>
      <c r="B441" s="520"/>
      <c r="C441" s="521"/>
      <c r="D441" s="522"/>
      <c r="E441" s="517"/>
      <c r="F441" s="465"/>
      <c r="G441" s="557"/>
      <c r="H441" s="460"/>
      <c r="I441" s="557"/>
      <c r="J441" s="460"/>
      <c r="K441" s="557"/>
      <c r="L441" s="460"/>
      <c r="M441" s="557"/>
      <c r="N441" s="460"/>
    </row>
    <row r="442" spans="1:14">
      <c r="A442" s="519"/>
      <c r="B442" s="520"/>
      <c r="C442" s="521"/>
      <c r="D442" s="522"/>
      <c r="E442" s="517"/>
      <c r="F442" s="465"/>
      <c r="G442" s="557"/>
      <c r="H442" s="460"/>
      <c r="I442" s="557"/>
      <c r="J442" s="460"/>
      <c r="K442" s="557"/>
      <c r="L442" s="460"/>
      <c r="M442" s="557"/>
      <c r="N442" s="460"/>
    </row>
    <row r="443" spans="1:14">
      <c r="A443" s="519"/>
      <c r="B443" s="520"/>
      <c r="C443" s="521"/>
      <c r="D443" s="522"/>
      <c r="E443" s="517"/>
      <c r="F443" s="465"/>
      <c r="G443" s="557"/>
      <c r="H443" s="460"/>
      <c r="I443" s="557"/>
      <c r="J443" s="460"/>
      <c r="K443" s="557"/>
      <c r="L443" s="460"/>
      <c r="M443" s="557"/>
      <c r="N443" s="460"/>
    </row>
    <row r="444" spans="1:14">
      <c r="A444" s="519"/>
      <c r="B444" s="520"/>
      <c r="C444" s="521"/>
      <c r="D444" s="522"/>
      <c r="E444" s="517"/>
      <c r="F444" s="465"/>
      <c r="G444" s="557"/>
      <c r="H444" s="460"/>
      <c r="I444" s="557"/>
      <c r="J444" s="460"/>
      <c r="K444" s="557"/>
      <c r="L444" s="460"/>
      <c r="M444" s="557"/>
      <c r="N444" s="460"/>
    </row>
    <row r="445" spans="1:14">
      <c r="A445" s="519"/>
      <c r="B445" s="520"/>
      <c r="C445" s="521"/>
      <c r="D445" s="522"/>
      <c r="E445" s="517"/>
      <c r="F445" s="465"/>
      <c r="G445" s="557"/>
      <c r="H445" s="460"/>
      <c r="I445" s="557"/>
      <c r="J445" s="460"/>
      <c r="K445" s="557"/>
      <c r="L445" s="460"/>
      <c r="M445" s="557"/>
      <c r="N445" s="460"/>
    </row>
    <row r="446" spans="1:14">
      <c r="A446" s="519"/>
      <c r="B446" s="520"/>
      <c r="C446" s="521"/>
      <c r="D446" s="522"/>
      <c r="E446" s="517"/>
      <c r="F446" s="465"/>
      <c r="G446" s="557"/>
      <c r="H446" s="460"/>
      <c r="I446" s="557"/>
      <c r="J446" s="460"/>
      <c r="K446" s="557"/>
      <c r="L446" s="460"/>
      <c r="M446" s="557"/>
      <c r="N446" s="460"/>
    </row>
    <row r="447" spans="1:14">
      <c r="A447" s="519"/>
      <c r="B447" s="520"/>
      <c r="C447" s="521"/>
      <c r="D447" s="522"/>
      <c r="E447" s="517"/>
      <c r="F447" s="465"/>
      <c r="G447" s="557"/>
      <c r="H447" s="460"/>
      <c r="I447" s="557"/>
      <c r="J447" s="460"/>
      <c r="K447" s="557"/>
      <c r="L447" s="460"/>
      <c r="M447" s="557"/>
      <c r="N447" s="460"/>
    </row>
    <row r="448" spans="1:14">
      <c r="A448" s="519"/>
      <c r="B448" s="520"/>
      <c r="C448" s="521"/>
      <c r="D448" s="522"/>
      <c r="E448" s="517"/>
      <c r="F448" s="465"/>
      <c r="G448" s="557"/>
      <c r="H448" s="460"/>
      <c r="I448" s="557"/>
      <c r="J448" s="460"/>
      <c r="K448" s="557"/>
      <c r="L448" s="460"/>
      <c r="M448" s="557"/>
      <c r="N448" s="460"/>
    </row>
    <row r="449" spans="1:14">
      <c r="A449" s="519"/>
      <c r="B449" s="520"/>
      <c r="C449" s="521"/>
      <c r="D449" s="522"/>
      <c r="E449" s="517"/>
      <c r="F449" s="465"/>
      <c r="G449" s="557"/>
      <c r="H449" s="460"/>
      <c r="I449" s="557"/>
      <c r="J449" s="460"/>
      <c r="K449" s="557"/>
      <c r="L449" s="460"/>
      <c r="M449" s="557"/>
      <c r="N449" s="460"/>
    </row>
    <row r="450" spans="1:14">
      <c r="A450" s="519"/>
      <c r="B450" s="520"/>
      <c r="C450" s="521"/>
      <c r="D450" s="522"/>
      <c r="E450" s="517"/>
      <c r="F450" s="465"/>
      <c r="G450" s="557"/>
      <c r="H450" s="460"/>
      <c r="I450" s="557"/>
      <c r="J450" s="460"/>
      <c r="K450" s="557"/>
      <c r="L450" s="460"/>
      <c r="M450" s="557"/>
      <c r="N450" s="460"/>
    </row>
    <row r="451" spans="1:14">
      <c r="A451" s="519"/>
      <c r="B451" s="520"/>
      <c r="C451" s="521"/>
      <c r="D451" s="522"/>
      <c r="E451" s="517"/>
      <c r="F451" s="465"/>
      <c r="G451" s="557"/>
      <c r="H451" s="460"/>
      <c r="I451" s="557"/>
      <c r="J451" s="460"/>
      <c r="K451" s="557"/>
      <c r="L451" s="460"/>
      <c r="M451" s="557"/>
      <c r="N451" s="460"/>
    </row>
    <row r="452" spans="1:14">
      <c r="A452" s="519"/>
      <c r="B452" s="520"/>
      <c r="C452" s="521"/>
      <c r="D452" s="522"/>
      <c r="E452" s="517"/>
      <c r="F452" s="465"/>
      <c r="G452" s="557"/>
      <c r="H452" s="460"/>
      <c r="I452" s="557"/>
      <c r="J452" s="460"/>
      <c r="K452" s="557"/>
      <c r="L452" s="460"/>
      <c r="M452" s="557"/>
      <c r="N452" s="460"/>
    </row>
    <row r="453" spans="1:14">
      <c r="A453" s="519"/>
      <c r="B453" s="520"/>
      <c r="C453" s="521"/>
      <c r="D453" s="522"/>
      <c r="E453" s="517"/>
      <c r="F453" s="465"/>
      <c r="G453" s="557"/>
      <c r="H453" s="460"/>
      <c r="I453" s="557"/>
      <c r="J453" s="460"/>
      <c r="K453" s="557"/>
      <c r="L453" s="460"/>
      <c r="M453" s="557"/>
      <c r="N453" s="460"/>
    </row>
    <row r="454" spans="1:14">
      <c r="A454" s="519"/>
      <c r="B454" s="520"/>
      <c r="C454" s="521"/>
      <c r="D454" s="522"/>
      <c r="E454" s="517"/>
      <c r="F454" s="465"/>
      <c r="G454" s="557"/>
      <c r="H454" s="460"/>
      <c r="I454" s="557"/>
      <c r="J454" s="460"/>
      <c r="K454" s="557"/>
      <c r="L454" s="460"/>
      <c r="M454" s="557"/>
      <c r="N454" s="460"/>
    </row>
    <row r="455" spans="1:14">
      <c r="A455" s="519"/>
      <c r="B455" s="520"/>
      <c r="C455" s="521"/>
      <c r="D455" s="522"/>
      <c r="E455" s="517"/>
      <c r="F455" s="465"/>
      <c r="G455" s="557"/>
      <c r="H455" s="460"/>
      <c r="I455" s="557"/>
      <c r="J455" s="460"/>
      <c r="K455" s="557"/>
      <c r="L455" s="460"/>
      <c r="M455" s="557"/>
      <c r="N455" s="460"/>
    </row>
    <row r="456" spans="1:14">
      <c r="A456" s="519"/>
      <c r="B456" s="520"/>
      <c r="C456" s="521"/>
      <c r="D456" s="522"/>
      <c r="E456" s="517"/>
      <c r="F456" s="465"/>
      <c r="G456" s="557"/>
      <c r="H456" s="460"/>
      <c r="I456" s="557"/>
      <c r="J456" s="460"/>
      <c r="K456" s="557"/>
      <c r="L456" s="460"/>
      <c r="M456" s="557"/>
      <c r="N456" s="460"/>
    </row>
    <row r="457" spans="1:14">
      <c r="A457" s="519"/>
      <c r="B457" s="520"/>
      <c r="C457" s="521"/>
      <c r="D457" s="522"/>
      <c r="E457" s="517"/>
      <c r="F457" s="465"/>
      <c r="G457" s="557"/>
      <c r="H457" s="460"/>
      <c r="I457" s="557"/>
      <c r="J457" s="460"/>
      <c r="K457" s="557"/>
      <c r="L457" s="460"/>
      <c r="M457" s="557"/>
      <c r="N457" s="460"/>
    </row>
    <row r="458" spans="1:14">
      <c r="A458" s="519"/>
      <c r="B458" s="520"/>
      <c r="C458" s="521"/>
      <c r="D458" s="522"/>
      <c r="E458" s="517"/>
      <c r="F458" s="465"/>
      <c r="G458" s="557"/>
      <c r="H458" s="460"/>
      <c r="I458" s="557"/>
      <c r="J458" s="460"/>
      <c r="K458" s="557"/>
      <c r="L458" s="460"/>
      <c r="M458" s="557"/>
      <c r="N458" s="460"/>
    </row>
    <row r="459" spans="1:14">
      <c r="A459" s="519"/>
      <c r="B459" s="520"/>
      <c r="C459" s="521"/>
      <c r="D459" s="522"/>
      <c r="E459" s="517"/>
      <c r="F459" s="465"/>
      <c r="G459" s="557"/>
      <c r="H459" s="460"/>
      <c r="I459" s="557"/>
      <c r="J459" s="460"/>
      <c r="K459" s="557"/>
      <c r="L459" s="460"/>
      <c r="M459" s="557"/>
      <c r="N459" s="460"/>
    </row>
    <row r="460" spans="1:14">
      <c r="A460" s="519"/>
      <c r="B460" s="520"/>
      <c r="C460" s="521"/>
      <c r="D460" s="522"/>
      <c r="E460" s="517"/>
      <c r="F460" s="465"/>
      <c r="G460" s="557"/>
      <c r="H460" s="460"/>
      <c r="I460" s="557"/>
      <c r="J460" s="460"/>
      <c r="K460" s="557"/>
      <c r="L460" s="460"/>
      <c r="M460" s="557"/>
      <c r="N460" s="460"/>
    </row>
    <row r="461" spans="1:14">
      <c r="A461" s="519"/>
      <c r="B461" s="520"/>
      <c r="C461" s="521"/>
      <c r="D461" s="522"/>
      <c r="E461" s="517"/>
      <c r="F461" s="465"/>
      <c r="G461" s="557"/>
      <c r="H461" s="460"/>
      <c r="I461" s="557"/>
      <c r="J461" s="460"/>
      <c r="K461" s="557"/>
      <c r="L461" s="460"/>
      <c r="M461" s="557"/>
      <c r="N461" s="460"/>
    </row>
    <row r="462" spans="1:14">
      <c r="A462" s="519"/>
      <c r="B462" s="520"/>
      <c r="C462" s="521"/>
      <c r="D462" s="522"/>
      <c r="E462" s="517"/>
      <c r="F462" s="465"/>
      <c r="G462" s="557"/>
      <c r="H462" s="460"/>
      <c r="I462" s="557"/>
      <c r="J462" s="460"/>
      <c r="K462" s="557"/>
      <c r="L462" s="460"/>
      <c r="M462" s="557"/>
      <c r="N462" s="460"/>
    </row>
    <row r="463" spans="1:14">
      <c r="A463" s="519"/>
      <c r="B463" s="520"/>
      <c r="C463" s="521"/>
      <c r="D463" s="522"/>
      <c r="E463" s="517"/>
      <c r="F463" s="465"/>
      <c r="G463" s="557"/>
      <c r="H463" s="460"/>
      <c r="I463" s="557"/>
      <c r="J463" s="460"/>
      <c r="K463" s="557"/>
      <c r="L463" s="460"/>
      <c r="M463" s="557"/>
      <c r="N463" s="460"/>
    </row>
    <row r="464" spans="1:14">
      <c r="A464" s="519"/>
      <c r="B464" s="520"/>
      <c r="C464" s="521"/>
      <c r="D464" s="522"/>
      <c r="E464" s="517"/>
      <c r="F464" s="465"/>
      <c r="G464" s="557"/>
      <c r="H464" s="460"/>
      <c r="I464" s="557"/>
      <c r="J464" s="460"/>
      <c r="K464" s="557"/>
      <c r="L464" s="460"/>
      <c r="M464" s="557"/>
      <c r="N464" s="460"/>
    </row>
    <row r="465" spans="1:14">
      <c r="A465" s="519"/>
      <c r="B465" s="520"/>
      <c r="C465" s="521"/>
      <c r="D465" s="522"/>
      <c r="E465" s="517"/>
      <c r="F465" s="465"/>
      <c r="G465" s="557"/>
      <c r="H465" s="460"/>
      <c r="I465" s="557"/>
      <c r="J465" s="460"/>
      <c r="K465" s="557"/>
      <c r="L465" s="460"/>
      <c r="M465" s="557"/>
      <c r="N465" s="460"/>
    </row>
    <row r="466" spans="1:14">
      <c r="A466" s="519"/>
      <c r="B466" s="520"/>
      <c r="C466" s="521"/>
      <c r="D466" s="522"/>
      <c r="E466" s="517"/>
      <c r="F466" s="465"/>
      <c r="G466" s="557"/>
      <c r="H466" s="460"/>
      <c r="I466" s="557"/>
      <c r="J466" s="460"/>
      <c r="K466" s="557"/>
      <c r="L466" s="460"/>
      <c r="M466" s="557"/>
      <c r="N466" s="460"/>
    </row>
    <row r="467" spans="1:14">
      <c r="A467" s="519"/>
      <c r="B467" s="520"/>
      <c r="C467" s="521"/>
      <c r="D467" s="522"/>
      <c r="E467" s="517"/>
      <c r="F467" s="465"/>
      <c r="G467" s="557"/>
      <c r="H467" s="460"/>
      <c r="I467" s="557"/>
      <c r="J467" s="460"/>
      <c r="K467" s="557"/>
      <c r="L467" s="460"/>
      <c r="M467" s="557"/>
      <c r="N467" s="460"/>
    </row>
    <row r="468" spans="1:14">
      <c r="A468" s="519"/>
      <c r="B468" s="520"/>
      <c r="C468" s="521"/>
      <c r="D468" s="522"/>
      <c r="E468" s="517"/>
      <c r="F468" s="465"/>
      <c r="G468" s="557"/>
      <c r="H468" s="460"/>
      <c r="I468" s="557"/>
      <c r="J468" s="460"/>
      <c r="K468" s="557"/>
      <c r="L468" s="460"/>
      <c r="M468" s="557"/>
      <c r="N468" s="460"/>
    </row>
    <row r="469" spans="1:14">
      <c r="A469" s="519"/>
      <c r="B469" s="520"/>
      <c r="C469" s="521"/>
      <c r="D469" s="522"/>
      <c r="E469" s="517"/>
      <c r="F469" s="465"/>
      <c r="G469" s="557"/>
      <c r="H469" s="460"/>
      <c r="I469" s="557"/>
      <c r="J469" s="460"/>
      <c r="K469" s="557"/>
      <c r="L469" s="460"/>
      <c r="M469" s="557"/>
      <c r="N469" s="460"/>
    </row>
    <row r="470" spans="1:14">
      <c r="A470" s="519"/>
      <c r="B470" s="520"/>
      <c r="C470" s="521"/>
      <c r="D470" s="522"/>
      <c r="E470" s="517"/>
      <c r="F470" s="465"/>
      <c r="G470" s="557"/>
      <c r="H470" s="460"/>
      <c r="I470" s="557"/>
      <c r="J470" s="460"/>
      <c r="K470" s="557"/>
      <c r="L470" s="460"/>
      <c r="M470" s="557"/>
      <c r="N470" s="460"/>
    </row>
    <row r="471" spans="1:14">
      <c r="A471" s="519"/>
      <c r="B471" s="520"/>
      <c r="C471" s="521"/>
      <c r="D471" s="522"/>
      <c r="E471" s="517"/>
      <c r="F471" s="465"/>
      <c r="G471" s="557"/>
      <c r="H471" s="460"/>
      <c r="I471" s="557"/>
      <c r="J471" s="460"/>
      <c r="K471" s="557"/>
      <c r="L471" s="460"/>
      <c r="M471" s="557"/>
      <c r="N471" s="460"/>
    </row>
    <row r="472" spans="1:14">
      <c r="A472" s="519"/>
      <c r="B472" s="520"/>
      <c r="C472" s="521"/>
      <c r="D472" s="522"/>
      <c r="E472" s="517"/>
      <c r="F472" s="465"/>
      <c r="G472" s="557"/>
      <c r="H472" s="460"/>
      <c r="I472" s="557"/>
      <c r="J472" s="460"/>
      <c r="K472" s="557"/>
      <c r="L472" s="460"/>
      <c r="M472" s="557"/>
      <c r="N472" s="460"/>
    </row>
    <row r="473" spans="1:14">
      <c r="A473" s="519"/>
      <c r="B473" s="520"/>
      <c r="C473" s="521"/>
      <c r="D473" s="522"/>
      <c r="E473" s="517"/>
      <c r="F473" s="465"/>
      <c r="G473" s="557"/>
      <c r="H473" s="460"/>
      <c r="I473" s="557"/>
      <c r="J473" s="460"/>
      <c r="K473" s="557"/>
      <c r="L473" s="460"/>
      <c r="M473" s="557"/>
      <c r="N473" s="460"/>
    </row>
    <row r="474" spans="1:14">
      <c r="A474" s="519"/>
      <c r="B474" s="520"/>
      <c r="C474" s="521"/>
      <c r="D474" s="522"/>
      <c r="E474" s="517"/>
      <c r="F474" s="465"/>
      <c r="G474" s="557"/>
      <c r="H474" s="460"/>
      <c r="I474" s="557"/>
      <c r="J474" s="460"/>
      <c r="K474" s="557"/>
      <c r="L474" s="460"/>
      <c r="M474" s="557"/>
      <c r="N474" s="460"/>
    </row>
    <row r="475" spans="1:14">
      <c r="A475" s="519"/>
      <c r="B475" s="520"/>
      <c r="C475" s="521"/>
      <c r="D475" s="522"/>
      <c r="E475" s="517"/>
      <c r="F475" s="465"/>
      <c r="G475" s="557"/>
      <c r="H475" s="460"/>
      <c r="I475" s="557"/>
      <c r="J475" s="460"/>
      <c r="K475" s="557"/>
      <c r="L475" s="460"/>
      <c r="M475" s="557"/>
      <c r="N475" s="460"/>
    </row>
    <row r="476" spans="1:14">
      <c r="A476" s="519"/>
      <c r="B476" s="520"/>
      <c r="C476" s="521"/>
      <c r="D476" s="522"/>
      <c r="E476" s="517"/>
      <c r="F476" s="465"/>
      <c r="G476" s="557"/>
      <c r="H476" s="460"/>
      <c r="I476" s="557"/>
      <c r="J476" s="460"/>
      <c r="K476" s="557"/>
      <c r="L476" s="460"/>
      <c r="M476" s="557"/>
      <c r="N476" s="460"/>
    </row>
    <row r="477" spans="1:14">
      <c r="A477" s="519"/>
      <c r="B477" s="520"/>
      <c r="C477" s="521"/>
      <c r="D477" s="522"/>
      <c r="E477" s="517"/>
      <c r="F477" s="465"/>
      <c r="G477" s="557"/>
      <c r="H477" s="460"/>
      <c r="I477" s="557"/>
      <c r="J477" s="460"/>
      <c r="K477" s="557"/>
      <c r="L477" s="460"/>
      <c r="M477" s="557"/>
      <c r="N477" s="460"/>
    </row>
    <row r="478" spans="1:14">
      <c r="A478" s="519"/>
      <c r="B478" s="520"/>
      <c r="C478" s="521"/>
      <c r="D478" s="522"/>
      <c r="E478" s="517"/>
      <c r="F478" s="465"/>
      <c r="G478" s="557"/>
      <c r="H478" s="460"/>
      <c r="I478" s="557"/>
      <c r="J478" s="460"/>
      <c r="K478" s="557"/>
      <c r="L478" s="460"/>
      <c r="M478" s="557"/>
      <c r="N478" s="460"/>
    </row>
    <row r="479" spans="1:14">
      <c r="A479" s="519"/>
      <c r="B479" s="520"/>
      <c r="C479" s="521"/>
      <c r="D479" s="522"/>
      <c r="E479" s="517"/>
      <c r="F479" s="465"/>
      <c r="G479" s="557"/>
      <c r="H479" s="460"/>
      <c r="I479" s="557"/>
      <c r="J479" s="460"/>
      <c r="K479" s="557"/>
      <c r="L479" s="460"/>
      <c r="M479" s="557"/>
      <c r="N479" s="460"/>
    </row>
    <row r="480" spans="1:14">
      <c r="A480" s="519"/>
      <c r="B480" s="520"/>
      <c r="C480" s="521"/>
      <c r="D480" s="522"/>
      <c r="E480" s="517"/>
      <c r="F480" s="465"/>
      <c r="G480" s="557"/>
      <c r="H480" s="460"/>
      <c r="I480" s="557"/>
      <c r="J480" s="460"/>
      <c r="K480" s="557"/>
      <c r="L480" s="460"/>
      <c r="M480" s="557"/>
      <c r="N480" s="460"/>
    </row>
    <row r="481" spans="1:14">
      <c r="A481" s="519"/>
      <c r="B481" s="520"/>
      <c r="C481" s="521"/>
      <c r="D481" s="522"/>
      <c r="E481" s="517"/>
      <c r="F481" s="465"/>
      <c r="G481" s="557"/>
      <c r="H481" s="460"/>
      <c r="I481" s="557"/>
      <c r="J481" s="460"/>
      <c r="K481" s="557"/>
      <c r="L481" s="460"/>
      <c r="M481" s="557"/>
      <c r="N481" s="460"/>
    </row>
    <row r="482" spans="1:14">
      <c r="A482" s="519"/>
      <c r="B482" s="520"/>
      <c r="C482" s="521"/>
      <c r="D482" s="522"/>
      <c r="E482" s="517"/>
      <c r="F482" s="465"/>
      <c r="G482" s="557"/>
      <c r="H482" s="460"/>
      <c r="I482" s="557"/>
      <c r="J482" s="460"/>
      <c r="K482" s="557"/>
      <c r="L482" s="460"/>
      <c r="M482" s="557"/>
      <c r="N482" s="460"/>
    </row>
    <row r="483" spans="1:14">
      <c r="A483" s="519"/>
      <c r="B483" s="520"/>
      <c r="C483" s="521"/>
      <c r="D483" s="522"/>
      <c r="E483" s="517"/>
      <c r="F483" s="465"/>
      <c r="G483" s="557"/>
      <c r="H483" s="460"/>
      <c r="I483" s="557"/>
      <c r="J483" s="460"/>
      <c r="K483" s="557"/>
      <c r="L483" s="460"/>
      <c r="M483" s="557"/>
      <c r="N483" s="460"/>
    </row>
    <row r="484" spans="1:14">
      <c r="A484" s="519"/>
      <c r="B484" s="520"/>
      <c r="C484" s="521"/>
      <c r="D484" s="522"/>
      <c r="E484" s="517"/>
      <c r="F484" s="465"/>
      <c r="G484" s="557"/>
      <c r="H484" s="460"/>
      <c r="I484" s="557"/>
      <c r="J484" s="460"/>
      <c r="K484" s="557"/>
      <c r="L484" s="460"/>
      <c r="M484" s="557"/>
      <c r="N484" s="460"/>
    </row>
    <row r="485" spans="1:14">
      <c r="A485" s="519"/>
      <c r="B485" s="520"/>
      <c r="C485" s="521"/>
      <c r="D485" s="522"/>
      <c r="E485" s="517"/>
      <c r="F485" s="465"/>
      <c r="G485" s="557"/>
      <c r="H485" s="460"/>
      <c r="I485" s="557"/>
      <c r="J485" s="460"/>
      <c r="K485" s="557"/>
      <c r="L485" s="460"/>
      <c r="M485" s="557"/>
      <c r="N485" s="460"/>
    </row>
    <row r="486" spans="1:14">
      <c r="A486" s="519"/>
      <c r="B486" s="520"/>
      <c r="C486" s="521"/>
      <c r="D486" s="522"/>
      <c r="E486" s="517"/>
      <c r="F486" s="465"/>
      <c r="G486" s="557"/>
      <c r="H486" s="460"/>
      <c r="I486" s="557"/>
      <c r="J486" s="460"/>
      <c r="K486" s="557"/>
      <c r="L486" s="460"/>
      <c r="M486" s="557"/>
      <c r="N486" s="460"/>
    </row>
    <row r="487" spans="1:14">
      <c r="A487" s="519"/>
      <c r="B487" s="520"/>
      <c r="C487" s="521"/>
      <c r="D487" s="522"/>
      <c r="E487" s="517"/>
      <c r="F487" s="465"/>
      <c r="G487" s="557"/>
      <c r="H487" s="460"/>
      <c r="I487" s="557"/>
      <c r="J487" s="460"/>
      <c r="K487" s="557"/>
      <c r="L487" s="460"/>
      <c r="M487" s="557"/>
      <c r="N487" s="460"/>
    </row>
    <row r="488" spans="1:14">
      <c r="A488" s="519"/>
      <c r="B488" s="520"/>
      <c r="C488" s="521"/>
      <c r="D488" s="522"/>
      <c r="E488" s="517"/>
      <c r="F488" s="465"/>
      <c r="G488" s="557"/>
      <c r="H488" s="460"/>
      <c r="I488" s="557"/>
      <c r="J488" s="460"/>
      <c r="K488" s="557"/>
      <c r="L488" s="460"/>
      <c r="M488" s="557"/>
      <c r="N488" s="460"/>
    </row>
    <row r="489" spans="1:14">
      <c r="A489" s="519"/>
      <c r="B489" s="520"/>
      <c r="C489" s="521"/>
      <c r="D489" s="522"/>
      <c r="E489" s="517"/>
      <c r="F489" s="465"/>
      <c r="G489" s="557"/>
      <c r="H489" s="460"/>
      <c r="I489" s="557"/>
      <c r="J489" s="460"/>
      <c r="K489" s="557"/>
      <c r="L489" s="460"/>
      <c r="M489" s="557"/>
      <c r="N489" s="460"/>
    </row>
    <row r="490" spans="1:14">
      <c r="A490" s="519"/>
      <c r="B490" s="520"/>
      <c r="C490" s="521"/>
      <c r="D490" s="522"/>
      <c r="E490" s="517"/>
      <c r="F490" s="465"/>
      <c r="G490" s="557"/>
      <c r="H490" s="460"/>
      <c r="I490" s="557"/>
      <c r="J490" s="460"/>
      <c r="K490" s="557"/>
      <c r="L490" s="460"/>
      <c r="M490" s="557"/>
      <c r="N490" s="460"/>
    </row>
    <row r="491" spans="1:14">
      <c r="A491" s="519"/>
      <c r="B491" s="520"/>
      <c r="C491" s="521"/>
      <c r="D491" s="522"/>
      <c r="E491" s="517"/>
      <c r="F491" s="465"/>
      <c r="G491" s="557"/>
      <c r="H491" s="460"/>
      <c r="I491" s="557"/>
      <c r="J491" s="460"/>
      <c r="K491" s="557"/>
      <c r="L491" s="460"/>
      <c r="M491" s="557"/>
      <c r="N491" s="460"/>
    </row>
    <row r="492" spans="1:14">
      <c r="A492" s="519"/>
      <c r="B492" s="520"/>
      <c r="C492" s="521"/>
      <c r="D492" s="522"/>
      <c r="E492" s="517"/>
      <c r="F492" s="465"/>
      <c r="G492" s="557"/>
      <c r="H492" s="460"/>
      <c r="I492" s="557"/>
      <c r="J492" s="460"/>
      <c r="K492" s="557"/>
      <c r="L492" s="460"/>
      <c r="M492" s="557"/>
      <c r="N492" s="460"/>
    </row>
    <row r="493" spans="1:14">
      <c r="A493" s="519"/>
      <c r="B493" s="520"/>
      <c r="C493" s="521"/>
      <c r="D493" s="522"/>
      <c r="E493" s="517"/>
      <c r="F493" s="465"/>
      <c r="G493" s="557"/>
      <c r="H493" s="460"/>
      <c r="I493" s="557"/>
      <c r="J493" s="460"/>
      <c r="K493" s="557"/>
      <c r="L493" s="460"/>
      <c r="M493" s="557"/>
      <c r="N493" s="460"/>
    </row>
    <row r="494" spans="1:14">
      <c r="A494" s="519"/>
      <c r="B494" s="520"/>
      <c r="C494" s="521"/>
      <c r="D494" s="522"/>
      <c r="E494" s="517"/>
      <c r="F494" s="465"/>
      <c r="G494" s="557"/>
      <c r="H494" s="460"/>
      <c r="I494" s="557"/>
      <c r="J494" s="460"/>
      <c r="K494" s="557"/>
      <c r="L494" s="460"/>
      <c r="M494" s="557"/>
      <c r="N494" s="460"/>
    </row>
    <row r="495" spans="1:14">
      <c r="A495" s="519"/>
      <c r="B495" s="520"/>
      <c r="C495" s="521"/>
      <c r="D495" s="522"/>
      <c r="E495" s="517"/>
      <c r="F495" s="465"/>
      <c r="G495" s="557"/>
      <c r="H495" s="460"/>
      <c r="I495" s="557"/>
      <c r="J495" s="460"/>
      <c r="K495" s="557"/>
      <c r="L495" s="460"/>
      <c r="M495" s="557"/>
      <c r="N495" s="460"/>
    </row>
    <row r="496" spans="1:14">
      <c r="A496" s="519"/>
      <c r="B496" s="520"/>
      <c r="C496" s="521"/>
      <c r="D496" s="522"/>
      <c r="E496" s="517"/>
      <c r="F496" s="465"/>
      <c r="G496" s="557"/>
      <c r="H496" s="460"/>
      <c r="I496" s="557"/>
      <c r="J496" s="460"/>
      <c r="K496" s="557"/>
      <c r="L496" s="460"/>
      <c r="M496" s="557"/>
      <c r="N496" s="460"/>
    </row>
    <row r="497" spans="1:14">
      <c r="A497" s="519"/>
      <c r="B497" s="520"/>
      <c r="C497" s="521"/>
      <c r="D497" s="20"/>
      <c r="E497" s="517"/>
      <c r="F497" s="465"/>
      <c r="G497" s="557"/>
      <c r="H497" s="460"/>
      <c r="I497" s="557"/>
      <c r="J497" s="460"/>
      <c r="K497" s="557"/>
      <c r="L497" s="460"/>
      <c r="M497" s="557"/>
      <c r="N497" s="460"/>
    </row>
    <row r="498" spans="1:14">
      <c r="A498" s="519"/>
      <c r="B498" s="520"/>
      <c r="C498" s="521"/>
      <c r="D498" s="20"/>
      <c r="E498" s="517"/>
      <c r="F498" s="465"/>
      <c r="G498" s="557"/>
      <c r="H498" s="460"/>
      <c r="I498" s="557"/>
      <c r="J498" s="460"/>
      <c r="K498" s="557"/>
      <c r="L498" s="460"/>
      <c r="M498" s="557"/>
      <c r="N498" s="460"/>
    </row>
    <row r="499" spans="1:14" ht="13.5" thickBot="1">
      <c r="A499" s="21"/>
      <c r="B499" s="22"/>
      <c r="C499" s="23"/>
      <c r="D499" s="24"/>
      <c r="E499" s="37"/>
      <c r="F499" s="25"/>
      <c r="G499" s="558"/>
      <c r="H499" s="559"/>
      <c r="I499" s="558"/>
      <c r="J499" s="559"/>
      <c r="K499" s="558"/>
      <c r="L499" s="559"/>
      <c r="M499" s="558"/>
      <c r="N499" s="559"/>
    </row>
  </sheetData>
  <sheetProtection sheet="1" objects="1" scenarios="1" formatCells="0" formatColumns="0" formatRows="0" insertColumns="0" insertRows="0" insertHyperlinks="0" deleteColumns="0" deleteRows="0" sort="0" autoFilter="0" pivotTables="0"/>
  <dataConsolidate/>
  <mergeCells count="5">
    <mergeCell ref="G1:H1"/>
    <mergeCell ref="E3:F3"/>
    <mergeCell ref="I1:J1"/>
    <mergeCell ref="K1:L1"/>
    <mergeCell ref="M1:N1"/>
  </mergeCells>
  <phoneticPr fontId="14" type="noConversion"/>
  <conditionalFormatting sqref="A1">
    <cfRule type="cellIs" dxfId="10248" priority="5" stopIfTrue="1" operator="equal">
      <formula>"NOK"</formula>
    </cfRule>
  </conditionalFormatting>
  <conditionalFormatting sqref="G5:G499 I5:I499 K5:K499 M5:M499">
    <cfRule type="cellIs" dxfId="10247" priority="4" stopIfTrue="1" operator="notEqual">
      <formula>H5</formula>
    </cfRule>
  </conditionalFormatting>
  <dataValidations count="1">
    <dataValidation type="list" allowBlank="1" showInputMessage="1" showErrorMessage="1" sqref="G1 I1 K1 M1">
      <formula1>FurnaceVariablesList</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sheetPr codeName="Sheet59">
    <tabColor rgb="FF92D050"/>
  </sheetPr>
  <dimension ref="A1:U499"/>
  <sheetViews>
    <sheetView showGridLines="0" zoomScale="85" zoomScaleNormal="85" workbookViewId="0">
      <pane xSplit="6" ySplit="4" topLeftCell="O5" activePane="bottomRight" state="frozenSplit"/>
      <selection pane="topRight" activeCell="F1" sqref="F1"/>
      <selection pane="bottomLeft" activeCell="A5" sqref="A5"/>
      <selection pane="bottomRight" activeCell="R5" sqref="R5"/>
    </sheetView>
  </sheetViews>
  <sheetFormatPr defaultRowHeight="12.75"/>
  <cols>
    <col min="1" max="1" width="12" style="946" customWidth="1"/>
    <col min="2" max="2" width="7.125" style="946" customWidth="1"/>
    <col min="3" max="3" width="9" style="947"/>
    <col min="4" max="4" width="16" style="946" customWidth="1"/>
    <col min="5" max="5" width="29.875" style="946" customWidth="1"/>
    <col min="6" max="6" width="20.75" style="948" customWidth="1"/>
    <col min="7" max="7" width="9.75" style="949" customWidth="1"/>
    <col min="8" max="8" width="9.75" style="950" customWidth="1"/>
    <col min="9" max="9" width="9.75" style="949" customWidth="1"/>
    <col min="10" max="10" width="9.75" style="950" customWidth="1"/>
    <col min="11" max="11" width="9.75" style="949" customWidth="1"/>
    <col min="12" max="12" width="9.75" style="950" customWidth="1"/>
    <col min="13" max="13" width="9.75" style="949" customWidth="1"/>
    <col min="14" max="14" width="9.75" style="950" customWidth="1"/>
    <col min="15" max="15" width="9.75" style="949" customWidth="1"/>
    <col min="16" max="16" width="9.75" style="950" customWidth="1"/>
    <col min="17" max="17" width="1.25" style="899" customWidth="1"/>
    <col min="18" max="21" width="12.625" style="899" customWidth="1"/>
    <col min="22" max="264" width="9" style="899"/>
    <col min="265" max="265" width="12" style="899" customWidth="1"/>
    <col min="266" max="266" width="7.125" style="899" customWidth="1"/>
    <col min="267" max="267" width="9" style="899"/>
    <col min="268" max="268" width="16" style="899" customWidth="1"/>
    <col min="269" max="269" width="13.75" style="899" customWidth="1"/>
    <col min="270" max="271" width="9.75" style="899" customWidth="1"/>
    <col min="272" max="520" width="9" style="899"/>
    <col min="521" max="521" width="12" style="899" customWidth="1"/>
    <col min="522" max="522" width="7.125" style="899" customWidth="1"/>
    <col min="523" max="523" width="9" style="899"/>
    <col min="524" max="524" width="16" style="899" customWidth="1"/>
    <col min="525" max="525" width="13.75" style="899" customWidth="1"/>
    <col min="526" max="527" width="9.75" style="899" customWidth="1"/>
    <col min="528" max="776" width="9" style="899"/>
    <col min="777" max="777" width="12" style="899" customWidth="1"/>
    <col min="778" max="778" width="7.125" style="899" customWidth="1"/>
    <col min="779" max="779" width="9" style="899"/>
    <col min="780" max="780" width="16" style="899" customWidth="1"/>
    <col min="781" max="781" width="13.75" style="899" customWidth="1"/>
    <col min="782" max="783" width="9.75" style="899" customWidth="1"/>
    <col min="784" max="1032" width="9" style="899"/>
    <col min="1033" max="1033" width="12" style="899" customWidth="1"/>
    <col min="1034" max="1034" width="7.125" style="899" customWidth="1"/>
    <col min="1035" max="1035" width="9" style="899"/>
    <col min="1036" max="1036" width="16" style="899" customWidth="1"/>
    <col min="1037" max="1037" width="13.75" style="899" customWidth="1"/>
    <col min="1038" max="1039" width="9.75" style="899" customWidth="1"/>
    <col min="1040" max="1288" width="9" style="899"/>
    <col min="1289" max="1289" width="12" style="899" customWidth="1"/>
    <col min="1290" max="1290" width="7.125" style="899" customWidth="1"/>
    <col min="1291" max="1291" width="9" style="899"/>
    <col min="1292" max="1292" width="16" style="899" customWidth="1"/>
    <col min="1293" max="1293" width="13.75" style="899" customWidth="1"/>
    <col min="1294" max="1295" width="9.75" style="899" customWidth="1"/>
    <col min="1296" max="1544" width="9" style="899"/>
    <col min="1545" max="1545" width="12" style="899" customWidth="1"/>
    <col min="1546" max="1546" width="7.125" style="899" customWidth="1"/>
    <col min="1547" max="1547" width="9" style="899"/>
    <col min="1548" max="1548" width="16" style="899" customWidth="1"/>
    <col min="1549" max="1549" width="13.75" style="899" customWidth="1"/>
    <col min="1550" max="1551" width="9.75" style="899" customWidth="1"/>
    <col min="1552" max="1800" width="9" style="899"/>
    <col min="1801" max="1801" width="12" style="899" customWidth="1"/>
    <col min="1802" max="1802" width="7.125" style="899" customWidth="1"/>
    <col min="1803" max="1803" width="9" style="899"/>
    <col min="1804" max="1804" width="16" style="899" customWidth="1"/>
    <col min="1805" max="1805" width="13.75" style="899" customWidth="1"/>
    <col min="1806" max="1807" width="9.75" style="899" customWidth="1"/>
    <col min="1808" max="2056" width="9" style="899"/>
    <col min="2057" max="2057" width="12" style="899" customWidth="1"/>
    <col min="2058" max="2058" width="7.125" style="899" customWidth="1"/>
    <col min="2059" max="2059" width="9" style="899"/>
    <col min="2060" max="2060" width="16" style="899" customWidth="1"/>
    <col min="2061" max="2061" width="13.75" style="899" customWidth="1"/>
    <col min="2062" max="2063" width="9.75" style="899" customWidth="1"/>
    <col min="2064" max="2312" width="9" style="899"/>
    <col min="2313" max="2313" width="12" style="899" customWidth="1"/>
    <col min="2314" max="2314" width="7.125" style="899" customWidth="1"/>
    <col min="2315" max="2315" width="9" style="899"/>
    <col min="2316" max="2316" width="16" style="899" customWidth="1"/>
    <col min="2317" max="2317" width="13.75" style="899" customWidth="1"/>
    <col min="2318" max="2319" width="9.75" style="899" customWidth="1"/>
    <col min="2320" max="2568" width="9" style="899"/>
    <col min="2569" max="2569" width="12" style="899" customWidth="1"/>
    <col min="2570" max="2570" width="7.125" style="899" customWidth="1"/>
    <col min="2571" max="2571" width="9" style="899"/>
    <col min="2572" max="2572" width="16" style="899" customWidth="1"/>
    <col min="2573" max="2573" width="13.75" style="899" customWidth="1"/>
    <col min="2574" max="2575" width="9.75" style="899" customWidth="1"/>
    <col min="2576" max="2824" width="9" style="899"/>
    <col min="2825" max="2825" width="12" style="899" customWidth="1"/>
    <col min="2826" max="2826" width="7.125" style="899" customWidth="1"/>
    <col min="2827" max="2827" width="9" style="899"/>
    <col min="2828" max="2828" width="16" style="899" customWidth="1"/>
    <col min="2829" max="2829" width="13.75" style="899" customWidth="1"/>
    <col min="2830" max="2831" width="9.75" style="899" customWidth="1"/>
    <col min="2832" max="3080" width="9" style="899"/>
    <col min="3081" max="3081" width="12" style="899" customWidth="1"/>
    <col min="3082" max="3082" width="7.125" style="899" customWidth="1"/>
    <col min="3083" max="3083" width="9" style="899"/>
    <col min="3084" max="3084" width="16" style="899" customWidth="1"/>
    <col min="3085" max="3085" width="13.75" style="899" customWidth="1"/>
    <col min="3086" max="3087" width="9.75" style="899" customWidth="1"/>
    <col min="3088" max="3336" width="9" style="899"/>
    <col min="3337" max="3337" width="12" style="899" customWidth="1"/>
    <col min="3338" max="3338" width="7.125" style="899" customWidth="1"/>
    <col min="3339" max="3339" width="9" style="899"/>
    <col min="3340" max="3340" width="16" style="899" customWidth="1"/>
    <col min="3341" max="3341" width="13.75" style="899" customWidth="1"/>
    <col min="3342" max="3343" width="9.75" style="899" customWidth="1"/>
    <col min="3344" max="3592" width="9" style="899"/>
    <col min="3593" max="3593" width="12" style="899" customWidth="1"/>
    <col min="3594" max="3594" width="7.125" style="899" customWidth="1"/>
    <col min="3595" max="3595" width="9" style="899"/>
    <col min="3596" max="3596" width="16" style="899" customWidth="1"/>
    <col min="3597" max="3597" width="13.75" style="899" customWidth="1"/>
    <col min="3598" max="3599" width="9.75" style="899" customWidth="1"/>
    <col min="3600" max="3848" width="9" style="899"/>
    <col min="3849" max="3849" width="12" style="899" customWidth="1"/>
    <col min="3850" max="3850" width="7.125" style="899" customWidth="1"/>
    <col min="3851" max="3851" width="9" style="899"/>
    <col min="3852" max="3852" width="16" style="899" customWidth="1"/>
    <col min="3853" max="3853" width="13.75" style="899" customWidth="1"/>
    <col min="3854" max="3855" width="9.75" style="899" customWidth="1"/>
    <col min="3856" max="4104" width="9" style="899"/>
    <col min="4105" max="4105" width="12" style="899" customWidth="1"/>
    <col min="4106" max="4106" width="7.125" style="899" customWidth="1"/>
    <col min="4107" max="4107" width="9" style="899"/>
    <col min="4108" max="4108" width="16" style="899" customWidth="1"/>
    <col min="4109" max="4109" width="13.75" style="899" customWidth="1"/>
    <col min="4110" max="4111" width="9.75" style="899" customWidth="1"/>
    <col min="4112" max="4360" width="9" style="899"/>
    <col min="4361" max="4361" width="12" style="899" customWidth="1"/>
    <col min="4362" max="4362" width="7.125" style="899" customWidth="1"/>
    <col min="4363" max="4363" width="9" style="899"/>
    <col min="4364" max="4364" width="16" style="899" customWidth="1"/>
    <col min="4365" max="4365" width="13.75" style="899" customWidth="1"/>
    <col min="4366" max="4367" width="9.75" style="899" customWidth="1"/>
    <col min="4368" max="4616" width="9" style="899"/>
    <col min="4617" max="4617" width="12" style="899" customWidth="1"/>
    <col min="4618" max="4618" width="7.125" style="899" customWidth="1"/>
    <col min="4619" max="4619" width="9" style="899"/>
    <col min="4620" max="4620" width="16" style="899" customWidth="1"/>
    <col min="4621" max="4621" width="13.75" style="899" customWidth="1"/>
    <col min="4622" max="4623" width="9.75" style="899" customWidth="1"/>
    <col min="4624" max="4872" width="9" style="899"/>
    <col min="4873" max="4873" width="12" style="899" customWidth="1"/>
    <col min="4874" max="4874" width="7.125" style="899" customWidth="1"/>
    <col min="4875" max="4875" width="9" style="899"/>
    <col min="4876" max="4876" width="16" style="899" customWidth="1"/>
    <col min="4877" max="4877" width="13.75" style="899" customWidth="1"/>
    <col min="4878" max="4879" width="9.75" style="899" customWidth="1"/>
    <col min="4880" max="5128" width="9" style="899"/>
    <col min="5129" max="5129" width="12" style="899" customWidth="1"/>
    <col min="5130" max="5130" width="7.125" style="899" customWidth="1"/>
    <col min="5131" max="5131" width="9" style="899"/>
    <col min="5132" max="5132" width="16" style="899" customWidth="1"/>
    <col min="5133" max="5133" width="13.75" style="899" customWidth="1"/>
    <col min="5134" max="5135" width="9.75" style="899" customWidth="1"/>
    <col min="5136" max="5384" width="9" style="899"/>
    <col min="5385" max="5385" width="12" style="899" customWidth="1"/>
    <col min="5386" max="5386" width="7.125" style="899" customWidth="1"/>
    <col min="5387" max="5387" width="9" style="899"/>
    <col min="5388" max="5388" width="16" style="899" customWidth="1"/>
    <col min="5389" max="5389" width="13.75" style="899" customWidth="1"/>
    <col min="5390" max="5391" width="9.75" style="899" customWidth="1"/>
    <col min="5392" max="5640" width="9" style="899"/>
    <col min="5641" max="5641" width="12" style="899" customWidth="1"/>
    <col min="5642" max="5642" width="7.125" style="899" customWidth="1"/>
    <col min="5643" max="5643" width="9" style="899"/>
    <col min="5644" max="5644" width="16" style="899" customWidth="1"/>
    <col min="5645" max="5645" width="13.75" style="899" customWidth="1"/>
    <col min="5646" max="5647" width="9.75" style="899" customWidth="1"/>
    <col min="5648" max="5896" width="9" style="899"/>
    <col min="5897" max="5897" width="12" style="899" customWidth="1"/>
    <col min="5898" max="5898" width="7.125" style="899" customWidth="1"/>
    <col min="5899" max="5899" width="9" style="899"/>
    <col min="5900" max="5900" width="16" style="899" customWidth="1"/>
    <col min="5901" max="5901" width="13.75" style="899" customWidth="1"/>
    <col min="5902" max="5903" width="9.75" style="899" customWidth="1"/>
    <col min="5904" max="6152" width="9" style="899"/>
    <col min="6153" max="6153" width="12" style="899" customWidth="1"/>
    <col min="6154" max="6154" width="7.125" style="899" customWidth="1"/>
    <col min="6155" max="6155" width="9" style="899"/>
    <col min="6156" max="6156" width="16" style="899" customWidth="1"/>
    <col min="6157" max="6157" width="13.75" style="899" customWidth="1"/>
    <col min="6158" max="6159" width="9.75" style="899" customWidth="1"/>
    <col min="6160" max="6408" width="9" style="899"/>
    <col min="6409" max="6409" width="12" style="899" customWidth="1"/>
    <col min="6410" max="6410" width="7.125" style="899" customWidth="1"/>
    <col min="6411" max="6411" width="9" style="899"/>
    <col min="6412" max="6412" width="16" style="899" customWidth="1"/>
    <col min="6413" max="6413" width="13.75" style="899" customWidth="1"/>
    <col min="6414" max="6415" width="9.75" style="899" customWidth="1"/>
    <col min="6416" max="6664" width="9" style="899"/>
    <col min="6665" max="6665" width="12" style="899" customWidth="1"/>
    <col min="6666" max="6666" width="7.125" style="899" customWidth="1"/>
    <col min="6667" max="6667" width="9" style="899"/>
    <col min="6668" max="6668" width="16" style="899" customWidth="1"/>
    <col min="6669" max="6669" width="13.75" style="899" customWidth="1"/>
    <col min="6670" max="6671" width="9.75" style="899" customWidth="1"/>
    <col min="6672" max="6920" width="9" style="899"/>
    <col min="6921" max="6921" width="12" style="899" customWidth="1"/>
    <col min="6922" max="6922" width="7.125" style="899" customWidth="1"/>
    <col min="6923" max="6923" width="9" style="899"/>
    <col min="6924" max="6924" width="16" style="899" customWidth="1"/>
    <col min="6925" max="6925" width="13.75" style="899" customWidth="1"/>
    <col min="6926" max="6927" width="9.75" style="899" customWidth="1"/>
    <col min="6928" max="7176" width="9" style="899"/>
    <col min="7177" max="7177" width="12" style="899" customWidth="1"/>
    <col min="7178" max="7178" width="7.125" style="899" customWidth="1"/>
    <col min="7179" max="7179" width="9" style="899"/>
    <col min="7180" max="7180" width="16" style="899" customWidth="1"/>
    <col min="7181" max="7181" width="13.75" style="899" customWidth="1"/>
    <col min="7182" max="7183" width="9.75" style="899" customWidth="1"/>
    <col min="7184" max="7432" width="9" style="899"/>
    <col min="7433" max="7433" width="12" style="899" customWidth="1"/>
    <col min="7434" max="7434" width="7.125" style="899" customWidth="1"/>
    <col min="7435" max="7435" width="9" style="899"/>
    <col min="7436" max="7436" width="16" style="899" customWidth="1"/>
    <col min="7437" max="7437" width="13.75" style="899" customWidth="1"/>
    <col min="7438" max="7439" width="9.75" style="899" customWidth="1"/>
    <col min="7440" max="7688" width="9" style="899"/>
    <col min="7689" max="7689" width="12" style="899" customWidth="1"/>
    <col min="7690" max="7690" width="7.125" style="899" customWidth="1"/>
    <col min="7691" max="7691" width="9" style="899"/>
    <col min="7692" max="7692" width="16" style="899" customWidth="1"/>
    <col min="7693" max="7693" width="13.75" style="899" customWidth="1"/>
    <col min="7694" max="7695" width="9.75" style="899" customWidth="1"/>
    <col min="7696" max="7944" width="9" style="899"/>
    <col min="7945" max="7945" width="12" style="899" customWidth="1"/>
    <col min="7946" max="7946" width="7.125" style="899" customWidth="1"/>
    <col min="7947" max="7947" width="9" style="899"/>
    <col min="7948" max="7948" width="16" style="899" customWidth="1"/>
    <col min="7949" max="7949" width="13.75" style="899" customWidth="1"/>
    <col min="7950" max="7951" width="9.75" style="899" customWidth="1"/>
    <col min="7952" max="8200" width="9" style="899"/>
    <col min="8201" max="8201" width="12" style="899" customWidth="1"/>
    <col min="8202" max="8202" width="7.125" style="899" customWidth="1"/>
    <col min="8203" max="8203" width="9" style="899"/>
    <col min="8204" max="8204" width="16" style="899" customWidth="1"/>
    <col min="8205" max="8205" width="13.75" style="899" customWidth="1"/>
    <col min="8206" max="8207" width="9.75" style="899" customWidth="1"/>
    <col min="8208" max="8456" width="9" style="899"/>
    <col min="8457" max="8457" width="12" style="899" customWidth="1"/>
    <col min="8458" max="8458" width="7.125" style="899" customWidth="1"/>
    <col min="8459" max="8459" width="9" style="899"/>
    <col min="8460" max="8460" width="16" style="899" customWidth="1"/>
    <col min="8461" max="8461" width="13.75" style="899" customWidth="1"/>
    <col min="8462" max="8463" width="9.75" style="899" customWidth="1"/>
    <col min="8464" max="8712" width="9" style="899"/>
    <col min="8713" max="8713" width="12" style="899" customWidth="1"/>
    <col min="8714" max="8714" width="7.125" style="899" customWidth="1"/>
    <col min="8715" max="8715" width="9" style="899"/>
    <col min="8716" max="8716" width="16" style="899" customWidth="1"/>
    <col min="8717" max="8717" width="13.75" style="899" customWidth="1"/>
    <col min="8718" max="8719" width="9.75" style="899" customWidth="1"/>
    <col min="8720" max="8968" width="9" style="899"/>
    <col min="8969" max="8969" width="12" style="899" customWidth="1"/>
    <col min="8970" max="8970" width="7.125" style="899" customWidth="1"/>
    <col min="8971" max="8971" width="9" style="899"/>
    <col min="8972" max="8972" width="16" style="899" customWidth="1"/>
    <col min="8973" max="8973" width="13.75" style="899" customWidth="1"/>
    <col min="8974" max="8975" width="9.75" style="899" customWidth="1"/>
    <col min="8976" max="9224" width="9" style="899"/>
    <col min="9225" max="9225" width="12" style="899" customWidth="1"/>
    <col min="9226" max="9226" width="7.125" style="899" customWidth="1"/>
    <col min="9227" max="9227" width="9" style="899"/>
    <col min="9228" max="9228" width="16" style="899" customWidth="1"/>
    <col min="9229" max="9229" width="13.75" style="899" customWidth="1"/>
    <col min="9230" max="9231" width="9.75" style="899" customWidth="1"/>
    <col min="9232" max="9480" width="9" style="899"/>
    <col min="9481" max="9481" width="12" style="899" customWidth="1"/>
    <col min="9482" max="9482" width="7.125" style="899" customWidth="1"/>
    <col min="9483" max="9483" width="9" style="899"/>
    <col min="9484" max="9484" width="16" style="899" customWidth="1"/>
    <col min="9485" max="9485" width="13.75" style="899" customWidth="1"/>
    <col min="9486" max="9487" width="9.75" style="899" customWidth="1"/>
    <col min="9488" max="9736" width="9" style="899"/>
    <col min="9737" max="9737" width="12" style="899" customWidth="1"/>
    <col min="9738" max="9738" width="7.125" style="899" customWidth="1"/>
    <col min="9739" max="9739" width="9" style="899"/>
    <col min="9740" max="9740" width="16" style="899" customWidth="1"/>
    <col min="9741" max="9741" width="13.75" style="899" customWidth="1"/>
    <col min="9742" max="9743" width="9.75" style="899" customWidth="1"/>
    <col min="9744" max="9992" width="9" style="899"/>
    <col min="9993" max="9993" width="12" style="899" customWidth="1"/>
    <col min="9994" max="9994" width="7.125" style="899" customWidth="1"/>
    <col min="9995" max="9995" width="9" style="899"/>
    <col min="9996" max="9996" width="16" style="899" customWidth="1"/>
    <col min="9997" max="9997" width="13.75" style="899" customWidth="1"/>
    <col min="9998" max="9999" width="9.75" style="899" customWidth="1"/>
    <col min="10000" max="10248" width="9" style="899"/>
    <col min="10249" max="10249" width="12" style="899" customWidth="1"/>
    <col min="10250" max="10250" width="7.125" style="899" customWidth="1"/>
    <col min="10251" max="10251" width="9" style="899"/>
    <col min="10252" max="10252" width="16" style="899" customWidth="1"/>
    <col min="10253" max="10253" width="13.75" style="899" customWidth="1"/>
    <col min="10254" max="10255" width="9.75" style="899" customWidth="1"/>
    <col min="10256" max="10504" width="9" style="899"/>
    <col min="10505" max="10505" width="12" style="899" customWidth="1"/>
    <col min="10506" max="10506" width="7.125" style="899" customWidth="1"/>
    <col min="10507" max="10507" width="9" style="899"/>
    <col min="10508" max="10508" width="16" style="899" customWidth="1"/>
    <col min="10509" max="10509" width="13.75" style="899" customWidth="1"/>
    <col min="10510" max="10511" width="9.75" style="899" customWidth="1"/>
    <col min="10512" max="10760" width="9" style="899"/>
    <col min="10761" max="10761" width="12" style="899" customWidth="1"/>
    <col min="10762" max="10762" width="7.125" style="899" customWidth="1"/>
    <col min="10763" max="10763" width="9" style="899"/>
    <col min="10764" max="10764" width="16" style="899" customWidth="1"/>
    <col min="10765" max="10765" width="13.75" style="899" customWidth="1"/>
    <col min="10766" max="10767" width="9.75" style="899" customWidth="1"/>
    <col min="10768" max="11016" width="9" style="899"/>
    <col min="11017" max="11017" width="12" style="899" customWidth="1"/>
    <col min="11018" max="11018" width="7.125" style="899" customWidth="1"/>
    <col min="11019" max="11019" width="9" style="899"/>
    <col min="11020" max="11020" width="16" style="899" customWidth="1"/>
    <col min="11021" max="11021" width="13.75" style="899" customWidth="1"/>
    <col min="11022" max="11023" width="9.75" style="899" customWidth="1"/>
    <col min="11024" max="11272" width="9" style="899"/>
    <col min="11273" max="11273" width="12" style="899" customWidth="1"/>
    <col min="11274" max="11274" width="7.125" style="899" customWidth="1"/>
    <col min="11275" max="11275" width="9" style="899"/>
    <col min="11276" max="11276" width="16" style="899" customWidth="1"/>
    <col min="11277" max="11277" width="13.75" style="899" customWidth="1"/>
    <col min="11278" max="11279" width="9.75" style="899" customWidth="1"/>
    <col min="11280" max="11528" width="9" style="899"/>
    <col min="11529" max="11529" width="12" style="899" customWidth="1"/>
    <col min="11530" max="11530" width="7.125" style="899" customWidth="1"/>
    <col min="11531" max="11531" width="9" style="899"/>
    <col min="11532" max="11532" width="16" style="899" customWidth="1"/>
    <col min="11533" max="11533" width="13.75" style="899" customWidth="1"/>
    <col min="11534" max="11535" width="9.75" style="899" customWidth="1"/>
    <col min="11536" max="11784" width="9" style="899"/>
    <col min="11785" max="11785" width="12" style="899" customWidth="1"/>
    <col min="11786" max="11786" width="7.125" style="899" customWidth="1"/>
    <col min="11787" max="11787" width="9" style="899"/>
    <col min="11788" max="11788" width="16" style="899" customWidth="1"/>
    <col min="11789" max="11789" width="13.75" style="899" customWidth="1"/>
    <col min="11790" max="11791" width="9.75" style="899" customWidth="1"/>
    <col min="11792" max="12040" width="9" style="899"/>
    <col min="12041" max="12041" width="12" style="899" customWidth="1"/>
    <col min="12042" max="12042" width="7.125" style="899" customWidth="1"/>
    <col min="12043" max="12043" width="9" style="899"/>
    <col min="12044" max="12044" width="16" style="899" customWidth="1"/>
    <col min="12045" max="12045" width="13.75" style="899" customWidth="1"/>
    <col min="12046" max="12047" width="9.75" style="899" customWidth="1"/>
    <col min="12048" max="12296" width="9" style="899"/>
    <col min="12297" max="12297" width="12" style="899" customWidth="1"/>
    <col min="12298" max="12298" width="7.125" style="899" customWidth="1"/>
    <col min="12299" max="12299" width="9" style="899"/>
    <col min="12300" max="12300" width="16" style="899" customWidth="1"/>
    <col min="12301" max="12301" width="13.75" style="899" customWidth="1"/>
    <col min="12302" max="12303" width="9.75" style="899" customWidth="1"/>
    <col min="12304" max="12552" width="9" style="899"/>
    <col min="12553" max="12553" width="12" style="899" customWidth="1"/>
    <col min="12554" max="12554" width="7.125" style="899" customWidth="1"/>
    <col min="12555" max="12555" width="9" style="899"/>
    <col min="12556" max="12556" width="16" style="899" customWidth="1"/>
    <col min="12557" max="12557" width="13.75" style="899" customWidth="1"/>
    <col min="12558" max="12559" width="9.75" style="899" customWidth="1"/>
    <col min="12560" max="12808" width="9" style="899"/>
    <col min="12809" max="12809" width="12" style="899" customWidth="1"/>
    <col min="12810" max="12810" width="7.125" style="899" customWidth="1"/>
    <col min="12811" max="12811" width="9" style="899"/>
    <col min="12812" max="12812" width="16" style="899" customWidth="1"/>
    <col min="12813" max="12813" width="13.75" style="899" customWidth="1"/>
    <col min="12814" max="12815" width="9.75" style="899" customWidth="1"/>
    <col min="12816" max="13064" width="9" style="899"/>
    <col min="13065" max="13065" width="12" style="899" customWidth="1"/>
    <col min="13066" max="13066" width="7.125" style="899" customWidth="1"/>
    <col min="13067" max="13067" width="9" style="899"/>
    <col min="13068" max="13068" width="16" style="899" customWidth="1"/>
    <col min="13069" max="13069" width="13.75" style="899" customWidth="1"/>
    <col min="13070" max="13071" width="9.75" style="899" customWidth="1"/>
    <col min="13072" max="13320" width="9" style="899"/>
    <col min="13321" max="13321" width="12" style="899" customWidth="1"/>
    <col min="13322" max="13322" width="7.125" style="899" customWidth="1"/>
    <col min="13323" max="13323" width="9" style="899"/>
    <col min="13324" max="13324" width="16" style="899" customWidth="1"/>
    <col min="13325" max="13325" width="13.75" style="899" customWidth="1"/>
    <col min="13326" max="13327" width="9.75" style="899" customWidth="1"/>
    <col min="13328" max="13576" width="9" style="899"/>
    <col min="13577" max="13577" width="12" style="899" customWidth="1"/>
    <col min="13578" max="13578" width="7.125" style="899" customWidth="1"/>
    <col min="13579" max="13579" width="9" style="899"/>
    <col min="13580" max="13580" width="16" style="899" customWidth="1"/>
    <col min="13581" max="13581" width="13.75" style="899" customWidth="1"/>
    <col min="13582" max="13583" width="9.75" style="899" customWidth="1"/>
    <col min="13584" max="13832" width="9" style="899"/>
    <col min="13833" max="13833" width="12" style="899" customWidth="1"/>
    <col min="13834" max="13834" width="7.125" style="899" customWidth="1"/>
    <col min="13835" max="13835" width="9" style="899"/>
    <col min="13836" max="13836" width="16" style="899" customWidth="1"/>
    <col min="13837" max="13837" width="13.75" style="899" customWidth="1"/>
    <col min="13838" max="13839" width="9.75" style="899" customWidth="1"/>
    <col min="13840" max="14088" width="9" style="899"/>
    <col min="14089" max="14089" width="12" style="899" customWidth="1"/>
    <col min="14090" max="14090" width="7.125" style="899" customWidth="1"/>
    <col min="14091" max="14091" width="9" style="899"/>
    <col min="14092" max="14092" width="16" style="899" customWidth="1"/>
    <col min="14093" max="14093" width="13.75" style="899" customWidth="1"/>
    <col min="14094" max="14095" width="9.75" style="899" customWidth="1"/>
    <col min="14096" max="14344" width="9" style="899"/>
    <col min="14345" max="14345" width="12" style="899" customWidth="1"/>
    <col min="14346" max="14346" width="7.125" style="899" customWidth="1"/>
    <col min="14347" max="14347" width="9" style="899"/>
    <col min="14348" max="14348" width="16" style="899" customWidth="1"/>
    <col min="14349" max="14349" width="13.75" style="899" customWidth="1"/>
    <col min="14350" max="14351" width="9.75" style="899" customWidth="1"/>
    <col min="14352" max="14600" width="9" style="899"/>
    <col min="14601" max="14601" width="12" style="899" customWidth="1"/>
    <col min="14602" max="14602" width="7.125" style="899" customWidth="1"/>
    <col min="14603" max="14603" width="9" style="899"/>
    <col min="14604" max="14604" width="16" style="899" customWidth="1"/>
    <col min="14605" max="14605" width="13.75" style="899" customWidth="1"/>
    <col min="14606" max="14607" width="9.75" style="899" customWidth="1"/>
    <col min="14608" max="14856" width="9" style="899"/>
    <col min="14857" max="14857" width="12" style="899" customWidth="1"/>
    <col min="14858" max="14858" width="7.125" style="899" customWidth="1"/>
    <col min="14859" max="14859" width="9" style="899"/>
    <col min="14860" max="14860" width="16" style="899" customWidth="1"/>
    <col min="14861" max="14861" width="13.75" style="899" customWidth="1"/>
    <col min="14862" max="14863" width="9.75" style="899" customWidth="1"/>
    <col min="14864" max="15112" width="9" style="899"/>
    <col min="15113" max="15113" width="12" style="899" customWidth="1"/>
    <col min="15114" max="15114" width="7.125" style="899" customWidth="1"/>
    <col min="15115" max="15115" width="9" style="899"/>
    <col min="15116" max="15116" width="16" style="899" customWidth="1"/>
    <col min="15117" max="15117" width="13.75" style="899" customWidth="1"/>
    <col min="15118" max="15119" width="9.75" style="899" customWidth="1"/>
    <col min="15120" max="15368" width="9" style="899"/>
    <col min="15369" max="15369" width="12" style="899" customWidth="1"/>
    <col min="15370" max="15370" width="7.125" style="899" customWidth="1"/>
    <col min="15371" max="15371" width="9" style="899"/>
    <col min="15372" max="15372" width="16" style="899" customWidth="1"/>
    <col min="15373" max="15373" width="13.75" style="899" customWidth="1"/>
    <col min="15374" max="15375" width="9.75" style="899" customWidth="1"/>
    <col min="15376" max="15624" width="9" style="899"/>
    <col min="15625" max="15625" width="12" style="899" customWidth="1"/>
    <col min="15626" max="15626" width="7.125" style="899" customWidth="1"/>
    <col min="15627" max="15627" width="9" style="899"/>
    <col min="15628" max="15628" width="16" style="899" customWidth="1"/>
    <col min="15629" max="15629" width="13.75" style="899" customWidth="1"/>
    <col min="15630" max="15631" width="9.75" style="899" customWidth="1"/>
    <col min="15632" max="15880" width="9" style="899"/>
    <col min="15881" max="15881" width="12" style="899" customWidth="1"/>
    <col min="15882" max="15882" width="7.125" style="899" customWidth="1"/>
    <col min="15883" max="15883" width="9" style="899"/>
    <col min="15884" max="15884" width="16" style="899" customWidth="1"/>
    <col min="15885" max="15885" width="13.75" style="899" customWidth="1"/>
    <col min="15886" max="15887" width="9.75" style="899" customWidth="1"/>
    <col min="15888" max="16136" width="9" style="899"/>
    <col min="16137" max="16137" width="12" style="899" customWidth="1"/>
    <col min="16138" max="16138" width="7.125" style="899" customWidth="1"/>
    <col min="16139" max="16139" width="9" style="899"/>
    <col min="16140" max="16140" width="16" style="899" customWidth="1"/>
    <col min="16141" max="16141" width="13.75" style="899" customWidth="1"/>
    <col min="16142" max="16143" width="9.75" style="899" customWidth="1"/>
    <col min="16144" max="16384" width="9" style="899"/>
  </cols>
  <sheetData>
    <row r="1" spans="1:21" s="896" customFormat="1" ht="23.25" customHeight="1" thickBot="1">
      <c r="A1" s="895" t="e">
        <f>IF(SUM(2:2)=0,"OK","NOK")</f>
        <v>#DIV/0!</v>
      </c>
      <c r="F1" s="960" t="s">
        <v>7475</v>
      </c>
      <c r="G1" s="1085" t="s">
        <v>355</v>
      </c>
      <c r="H1" s="1086"/>
      <c r="I1" s="1085" t="s">
        <v>4603</v>
      </c>
      <c r="J1" s="1086"/>
      <c r="K1" s="1085" t="s">
        <v>277</v>
      </c>
      <c r="L1" s="1086"/>
      <c r="M1" s="1085" t="s">
        <v>7514</v>
      </c>
      <c r="N1" s="1086"/>
      <c r="O1" s="1085"/>
      <c r="P1" s="1086"/>
      <c r="Q1" s="961"/>
      <c r="R1" s="962" t="s">
        <v>10</v>
      </c>
    </row>
    <row r="2" spans="1:21" ht="13.5" thickBot="1">
      <c r="A2" s="897"/>
      <c r="B2" s="897"/>
      <c r="C2" s="897"/>
      <c r="D2" s="897"/>
      <c r="E2" s="897"/>
      <c r="F2" s="896"/>
      <c r="G2" s="898" t="s">
        <v>0</v>
      </c>
      <c r="H2" s="183">
        <f>SUMX2MY2(G5:G5000,H5:H5000)</f>
        <v>0</v>
      </c>
      <c r="I2" s="898" t="s">
        <v>0</v>
      </c>
      <c r="J2" s="183">
        <f>SUMX2MY2(I5:I5000,J5:J5000)</f>
        <v>5.6843418860808015E-13</v>
      </c>
      <c r="K2" s="898" t="s">
        <v>0</v>
      </c>
      <c r="L2" s="183" t="e">
        <f>SUMX2MY2(K5:K5000,L5:L5000)</f>
        <v>#DIV/0!</v>
      </c>
      <c r="M2" s="898" t="s">
        <v>0</v>
      </c>
      <c r="N2" s="183" t="e">
        <f>SUMX2MY2(M5:M5000,N5:N5000)</f>
        <v>#DIV/0!</v>
      </c>
      <c r="O2" s="898" t="s">
        <v>0</v>
      </c>
      <c r="P2" s="183">
        <f>SUMX2MY2(O5:O5000,P5:P5000)</f>
        <v>2.8421709430404007E-13</v>
      </c>
    </row>
    <row r="3" spans="1:21" ht="27.75" customHeight="1">
      <c r="A3" s="953" t="s">
        <v>1</v>
      </c>
      <c r="B3" s="954" t="s">
        <v>2</v>
      </c>
      <c r="C3" s="954" t="s">
        <v>3</v>
      </c>
      <c r="D3" s="954" t="s">
        <v>4</v>
      </c>
      <c r="E3" s="1087" t="s">
        <v>7</v>
      </c>
      <c r="F3" s="1088"/>
      <c r="G3" s="900" t="s">
        <v>5</v>
      </c>
      <c r="H3" s="901" t="s">
        <v>6</v>
      </c>
      <c r="I3" s="900" t="s">
        <v>5</v>
      </c>
      <c r="J3" s="901" t="s">
        <v>6</v>
      </c>
      <c r="K3" s="900" t="s">
        <v>5</v>
      </c>
      <c r="L3" s="901" t="s">
        <v>6</v>
      </c>
      <c r="M3" s="900" t="s">
        <v>5</v>
      </c>
      <c r="N3" s="901" t="s">
        <v>6</v>
      </c>
      <c r="O3" s="900" t="s">
        <v>5</v>
      </c>
      <c r="P3" s="901" t="s">
        <v>6</v>
      </c>
    </row>
    <row r="4" spans="1:21" ht="15.75" customHeight="1" thickBot="1">
      <c r="A4" s="952"/>
      <c r="B4" s="951"/>
      <c r="C4" s="951"/>
      <c r="D4" s="951"/>
      <c r="E4" s="958" t="s">
        <v>9</v>
      </c>
      <c r="F4" s="959" t="s">
        <v>8</v>
      </c>
      <c r="G4" s="956">
        <v>0</v>
      </c>
      <c r="H4" s="957">
        <v>0</v>
      </c>
      <c r="I4" s="956">
        <v>0</v>
      </c>
      <c r="J4" s="957">
        <v>0</v>
      </c>
      <c r="K4" s="956">
        <v>0</v>
      </c>
      <c r="L4" s="957">
        <v>0</v>
      </c>
      <c r="M4" s="956">
        <v>0</v>
      </c>
      <c r="N4" s="957">
        <v>0</v>
      </c>
      <c r="O4" s="956">
        <v>0</v>
      </c>
      <c r="P4" s="957">
        <v>0</v>
      </c>
      <c r="R4" s="973" t="s">
        <v>10743</v>
      </c>
      <c r="S4" s="974" t="s">
        <v>10744</v>
      </c>
      <c r="T4" s="974" t="s">
        <v>10745</v>
      </c>
      <c r="U4" s="975" t="s">
        <v>10746</v>
      </c>
    </row>
    <row r="5" spans="1:21">
      <c r="A5" s="902"/>
      <c r="B5" s="903"/>
      <c r="C5" s="904"/>
      <c r="D5" s="905"/>
      <c r="E5" s="905"/>
      <c r="F5" s="465" t="s">
        <v>10742</v>
      </c>
      <c r="G5" s="922">
        <v>0.95</v>
      </c>
      <c r="H5" s="460">
        <f>S5</f>
        <v>0.95</v>
      </c>
      <c r="I5" s="922">
        <v>16.365184176097401</v>
      </c>
      <c r="J5" s="460">
        <f>U5</f>
        <v>16.365184176097383</v>
      </c>
      <c r="K5" s="922">
        <v>670795.44356903003</v>
      </c>
      <c r="L5" s="460"/>
      <c r="M5" s="922">
        <v>322.373782139436</v>
      </c>
      <c r="N5" s="460"/>
      <c r="O5" s="922">
        <f>PI()/4*G5*G5*I5</f>
        <v>11.600000000000012</v>
      </c>
      <c r="P5" s="460">
        <v>11.6</v>
      </c>
      <c r="R5" s="976">
        <v>11.6</v>
      </c>
      <c r="S5" s="977">
        <v>0.95</v>
      </c>
      <c r="T5" s="977">
        <v>16</v>
      </c>
      <c r="U5" s="989">
        <f>R5*4/PI()/S5/S5</f>
        <v>16.365184176097383</v>
      </c>
    </row>
    <row r="6" spans="1:21">
      <c r="A6" s="902"/>
      <c r="B6" s="903"/>
      <c r="C6" s="904"/>
      <c r="D6" s="905"/>
      <c r="E6" s="905"/>
      <c r="F6" s="465"/>
      <c r="G6" s="922"/>
      <c r="H6" s="460"/>
      <c r="I6" s="922"/>
      <c r="J6" s="460"/>
      <c r="K6" s="922"/>
      <c r="L6" s="460"/>
      <c r="M6" s="922"/>
      <c r="N6" s="460"/>
      <c r="O6" s="922"/>
      <c r="P6" s="460"/>
    </row>
    <row r="7" spans="1:21">
      <c r="A7" s="906"/>
      <c r="B7" s="907"/>
      <c r="C7" s="908"/>
      <c r="D7" s="909"/>
      <c r="E7" s="905"/>
      <c r="F7" s="465"/>
      <c r="G7" s="922"/>
      <c r="H7" s="460"/>
      <c r="I7" s="922"/>
      <c r="J7" s="460"/>
      <c r="K7" s="922"/>
      <c r="L7" s="460"/>
      <c r="M7" s="922"/>
      <c r="N7" s="460"/>
      <c r="O7" s="922"/>
      <c r="P7" s="460"/>
    </row>
    <row r="8" spans="1:21">
      <c r="A8" s="906"/>
      <c r="B8" s="907"/>
      <c r="C8" s="908"/>
      <c r="D8" s="909"/>
      <c r="E8" s="905"/>
      <c r="F8" s="465"/>
      <c r="G8" s="922"/>
      <c r="H8" s="460"/>
      <c r="I8" s="922"/>
      <c r="J8" s="460"/>
      <c r="K8" s="922"/>
      <c r="L8" s="460"/>
      <c r="M8" s="922"/>
      <c r="N8" s="460"/>
      <c r="O8" s="922"/>
      <c r="P8" s="460"/>
    </row>
    <row r="9" spans="1:21">
      <c r="A9" s="906"/>
      <c r="B9" s="907"/>
      <c r="C9" s="908"/>
      <c r="D9" s="909"/>
      <c r="E9" s="905"/>
      <c r="F9" s="465"/>
      <c r="G9" s="922"/>
      <c r="H9" s="460"/>
      <c r="I9" s="922"/>
      <c r="J9" s="460"/>
      <c r="K9" s="922"/>
      <c r="L9" s="460"/>
      <c r="M9" s="922"/>
      <c r="N9" s="460"/>
      <c r="O9" s="922"/>
      <c r="P9" s="460"/>
    </row>
    <row r="10" spans="1:21">
      <c r="A10" s="906"/>
      <c r="B10" s="907"/>
      <c r="C10" s="908"/>
      <c r="D10" s="909"/>
      <c r="E10" s="905"/>
      <c r="F10" s="465"/>
      <c r="G10" s="922"/>
      <c r="H10" s="460"/>
      <c r="I10" s="922"/>
      <c r="J10" s="460"/>
      <c r="K10" s="922"/>
      <c r="L10" s="460"/>
      <c r="M10" s="922"/>
      <c r="N10" s="460"/>
      <c r="O10" s="922"/>
      <c r="P10" s="460"/>
    </row>
    <row r="11" spans="1:21">
      <c r="A11" s="906"/>
      <c r="B11" s="907"/>
      <c r="C11" s="908"/>
      <c r="D11" s="909"/>
      <c r="E11" s="905"/>
      <c r="F11" s="465"/>
      <c r="G11" s="922"/>
      <c r="H11" s="460"/>
      <c r="I11" s="922"/>
      <c r="J11" s="460"/>
      <c r="K11" s="922"/>
      <c r="L11" s="460"/>
      <c r="M11" s="922"/>
      <c r="N11" s="460"/>
      <c r="O11" s="922"/>
      <c r="P11" s="460"/>
    </row>
    <row r="12" spans="1:21">
      <c r="A12" s="906"/>
      <c r="B12" s="907"/>
      <c r="C12" s="908"/>
      <c r="D12" s="909"/>
      <c r="E12" s="905"/>
      <c r="F12" s="465"/>
      <c r="G12" s="922"/>
      <c r="H12" s="460"/>
      <c r="I12" s="922"/>
      <c r="J12" s="460"/>
      <c r="K12" s="922"/>
      <c r="L12" s="460"/>
      <c r="M12" s="922"/>
      <c r="N12" s="460"/>
      <c r="O12" s="922"/>
      <c r="P12" s="460"/>
    </row>
    <row r="13" spans="1:21">
      <c r="A13" s="906"/>
      <c r="B13" s="907"/>
      <c r="C13" s="908"/>
      <c r="D13" s="909"/>
      <c r="E13" s="905"/>
      <c r="F13" s="465"/>
      <c r="G13" s="922"/>
      <c r="H13" s="460"/>
      <c r="I13" s="922"/>
      <c r="J13" s="460"/>
      <c r="K13" s="922"/>
      <c r="L13" s="460"/>
      <c r="M13" s="922"/>
      <c r="N13" s="460"/>
      <c r="O13" s="922"/>
      <c r="P13" s="460"/>
    </row>
    <row r="14" spans="1:21">
      <c r="A14" s="906"/>
      <c r="B14" s="907"/>
      <c r="C14" s="908"/>
      <c r="D14" s="909"/>
      <c r="E14" s="905"/>
      <c r="F14" s="465"/>
      <c r="G14" s="922"/>
      <c r="H14" s="460"/>
      <c r="I14" s="922"/>
      <c r="J14" s="460"/>
      <c r="K14" s="922"/>
      <c r="L14" s="460"/>
      <c r="M14" s="922"/>
      <c r="N14" s="460"/>
      <c r="O14" s="922"/>
      <c r="P14" s="460"/>
    </row>
    <row r="15" spans="1:21">
      <c r="A15" s="906"/>
      <c r="B15" s="907"/>
      <c r="C15" s="908"/>
      <c r="D15" s="909"/>
      <c r="E15" s="905"/>
      <c r="F15" s="465"/>
      <c r="G15" s="922"/>
      <c r="H15" s="460"/>
      <c r="I15" s="922"/>
      <c r="J15" s="460"/>
      <c r="K15" s="922"/>
      <c r="L15" s="460"/>
      <c r="M15" s="922"/>
      <c r="N15" s="460"/>
      <c r="O15" s="922"/>
      <c r="P15" s="460"/>
    </row>
    <row r="16" spans="1:21">
      <c r="A16" s="906"/>
      <c r="B16" s="907"/>
      <c r="C16" s="908"/>
      <c r="D16" s="909"/>
      <c r="E16" s="905"/>
      <c r="F16" s="465"/>
      <c r="G16" s="922"/>
      <c r="H16" s="460"/>
      <c r="I16" s="922"/>
      <c r="J16" s="460"/>
      <c r="K16" s="922"/>
      <c r="L16" s="460"/>
      <c r="M16" s="922"/>
      <c r="N16" s="460"/>
      <c r="O16" s="922"/>
      <c r="P16" s="460"/>
    </row>
    <row r="17" spans="1:16">
      <c r="A17" s="906"/>
      <c r="B17" s="907"/>
      <c r="C17" s="908"/>
      <c r="D17" s="909"/>
      <c r="E17" s="905"/>
      <c r="F17" s="465"/>
      <c r="G17" s="922"/>
      <c r="H17" s="460"/>
      <c r="I17" s="922"/>
      <c r="J17" s="460"/>
      <c r="K17" s="922"/>
      <c r="L17" s="460"/>
      <c r="M17" s="922"/>
      <c r="N17" s="460"/>
      <c r="O17" s="922"/>
      <c r="P17" s="460"/>
    </row>
    <row r="18" spans="1:16">
      <c r="A18" s="906"/>
      <c r="B18" s="907"/>
      <c r="C18" s="908"/>
      <c r="D18" s="909"/>
      <c r="E18" s="905"/>
      <c r="F18" s="465"/>
      <c r="G18" s="922"/>
      <c r="H18" s="460"/>
      <c r="I18" s="922"/>
      <c r="J18" s="460"/>
      <c r="K18" s="922"/>
      <c r="L18" s="460"/>
      <c r="M18" s="922"/>
      <c r="N18" s="460"/>
      <c r="O18" s="922"/>
      <c r="P18" s="460"/>
    </row>
    <row r="19" spans="1:16">
      <c r="A19" s="906"/>
      <c r="B19" s="907"/>
      <c r="C19" s="908"/>
      <c r="D19" s="909"/>
      <c r="E19" s="905"/>
      <c r="F19" s="465"/>
      <c r="G19" s="922"/>
      <c r="H19" s="460"/>
      <c r="I19" s="922"/>
      <c r="J19" s="460"/>
      <c r="K19" s="922"/>
      <c r="L19" s="460"/>
      <c r="M19" s="922"/>
      <c r="N19" s="460"/>
      <c r="O19" s="922"/>
      <c r="P19" s="460"/>
    </row>
    <row r="20" spans="1:16">
      <c r="A20" s="906"/>
      <c r="B20" s="907"/>
      <c r="C20" s="908"/>
      <c r="D20" s="909"/>
      <c r="E20" s="905"/>
      <c r="F20" s="465"/>
      <c r="G20" s="922"/>
      <c r="H20" s="460"/>
      <c r="I20" s="922"/>
      <c r="J20" s="460"/>
      <c r="K20" s="922"/>
      <c r="L20" s="460"/>
      <c r="M20" s="922"/>
      <c r="N20" s="460"/>
      <c r="O20" s="922"/>
      <c r="P20" s="460"/>
    </row>
    <row r="21" spans="1:16">
      <c r="A21" s="906"/>
      <c r="B21" s="907"/>
      <c r="C21" s="908"/>
      <c r="D21" s="909"/>
      <c r="E21" s="905"/>
      <c r="F21" s="465"/>
      <c r="G21" s="922"/>
      <c r="H21" s="460"/>
      <c r="I21" s="922"/>
      <c r="J21" s="460"/>
      <c r="K21" s="922"/>
      <c r="L21" s="460"/>
      <c r="M21" s="922"/>
      <c r="N21" s="460"/>
      <c r="O21" s="922"/>
      <c r="P21" s="460"/>
    </row>
    <row r="22" spans="1:16">
      <c r="A22" s="906"/>
      <c r="B22" s="907"/>
      <c r="C22" s="908"/>
      <c r="D22" s="909"/>
      <c r="E22" s="905"/>
      <c r="F22" s="465"/>
      <c r="G22" s="922"/>
      <c r="H22" s="460"/>
      <c r="I22" s="922"/>
      <c r="J22" s="460"/>
      <c r="K22" s="922"/>
      <c r="L22" s="460"/>
      <c r="M22" s="922"/>
      <c r="N22" s="460"/>
      <c r="O22" s="922"/>
      <c r="P22" s="460"/>
    </row>
    <row r="23" spans="1:16">
      <c r="A23" s="906"/>
      <c r="B23" s="907"/>
      <c r="C23" s="908"/>
      <c r="D23" s="909"/>
      <c r="E23" s="905"/>
      <c r="F23" s="465"/>
      <c r="G23" s="922"/>
      <c r="H23" s="460"/>
      <c r="I23" s="922"/>
      <c r="J23" s="460"/>
      <c r="K23" s="922"/>
      <c r="L23" s="460"/>
      <c r="M23" s="922"/>
      <c r="N23" s="460"/>
      <c r="O23" s="922"/>
      <c r="P23" s="460"/>
    </row>
    <row r="24" spans="1:16">
      <c r="A24" s="906"/>
      <c r="B24" s="907"/>
      <c r="C24" s="908"/>
      <c r="D24" s="909"/>
      <c r="E24" s="905"/>
      <c r="F24" s="465"/>
      <c r="G24" s="922"/>
      <c r="H24" s="460"/>
      <c r="I24" s="922"/>
      <c r="J24" s="460"/>
      <c r="K24" s="922"/>
      <c r="L24" s="460"/>
      <c r="M24" s="922"/>
      <c r="N24" s="460"/>
      <c r="O24" s="922"/>
      <c r="P24" s="460"/>
    </row>
    <row r="25" spans="1:16">
      <c r="A25" s="906"/>
      <c r="B25" s="907"/>
      <c r="C25" s="908"/>
      <c r="D25" s="909"/>
      <c r="E25" s="905"/>
      <c r="F25" s="465"/>
      <c r="G25" s="922"/>
      <c r="H25" s="460"/>
      <c r="I25" s="922"/>
      <c r="J25" s="460"/>
      <c r="K25" s="922"/>
      <c r="L25" s="460"/>
      <c r="M25" s="922"/>
      <c r="N25" s="460"/>
      <c r="O25" s="922"/>
      <c r="P25" s="460"/>
    </row>
    <row r="26" spans="1:16">
      <c r="A26" s="906"/>
      <c r="B26" s="907"/>
      <c r="C26" s="908"/>
      <c r="D26" s="909"/>
      <c r="E26" s="905"/>
      <c r="F26" s="465"/>
      <c r="G26" s="922"/>
      <c r="H26" s="460"/>
      <c r="I26" s="922"/>
      <c r="J26" s="460"/>
      <c r="K26" s="922"/>
      <c r="L26" s="460"/>
      <c r="M26" s="922"/>
      <c r="N26" s="460"/>
      <c r="O26" s="922"/>
      <c r="P26" s="460"/>
    </row>
    <row r="27" spans="1:16">
      <c r="A27" s="906"/>
      <c r="B27" s="907"/>
      <c r="C27" s="908"/>
      <c r="D27" s="909"/>
      <c r="E27" s="905"/>
      <c r="F27" s="465"/>
      <c r="G27" s="922"/>
      <c r="H27" s="460"/>
      <c r="I27" s="922"/>
      <c r="J27" s="460"/>
      <c r="K27" s="922"/>
      <c r="L27" s="460"/>
      <c r="M27" s="922"/>
      <c r="N27" s="460"/>
      <c r="O27" s="922"/>
      <c r="P27" s="460"/>
    </row>
    <row r="28" spans="1:16">
      <c r="A28" s="906"/>
      <c r="B28" s="907"/>
      <c r="C28" s="908"/>
      <c r="D28" s="909"/>
      <c r="E28" s="905"/>
      <c r="F28" s="465"/>
      <c r="G28" s="922"/>
      <c r="H28" s="460"/>
      <c r="I28" s="922"/>
      <c r="J28" s="460"/>
      <c r="K28" s="922"/>
      <c r="L28" s="460"/>
      <c r="M28" s="922"/>
      <c r="N28" s="460"/>
      <c r="O28" s="922"/>
      <c r="P28" s="460"/>
    </row>
    <row r="29" spans="1:16">
      <c r="A29" s="906"/>
      <c r="B29" s="907"/>
      <c r="C29" s="908"/>
      <c r="D29" s="909"/>
      <c r="E29" s="905"/>
      <c r="F29" s="465"/>
      <c r="G29" s="922"/>
      <c r="H29" s="460"/>
      <c r="I29" s="922"/>
      <c r="J29" s="460"/>
      <c r="K29" s="922"/>
      <c r="L29" s="460"/>
      <c r="M29" s="922"/>
      <c r="N29" s="460"/>
      <c r="O29" s="922"/>
      <c r="P29" s="460"/>
    </row>
    <row r="30" spans="1:16">
      <c r="A30" s="906"/>
      <c r="B30" s="907"/>
      <c r="C30" s="908"/>
      <c r="D30" s="909"/>
      <c r="E30" s="905"/>
      <c r="F30" s="465"/>
      <c r="G30" s="922"/>
      <c r="H30" s="460"/>
      <c r="I30" s="922"/>
      <c r="J30" s="460"/>
      <c r="K30" s="922"/>
      <c r="L30" s="460"/>
      <c r="M30" s="922"/>
      <c r="N30" s="460"/>
      <c r="O30" s="922"/>
      <c r="P30" s="460"/>
    </row>
    <row r="31" spans="1:16">
      <c r="A31" s="906"/>
      <c r="B31" s="907"/>
      <c r="C31" s="908"/>
      <c r="D31" s="909"/>
      <c r="E31" s="905"/>
      <c r="F31" s="465"/>
      <c r="G31" s="922"/>
      <c r="H31" s="460"/>
      <c r="I31" s="922"/>
      <c r="J31" s="460"/>
      <c r="K31" s="922"/>
      <c r="L31" s="460"/>
      <c r="M31" s="922"/>
      <c r="N31" s="460"/>
      <c r="O31" s="922"/>
      <c r="P31" s="460"/>
    </row>
    <row r="32" spans="1:16">
      <c r="A32" s="906"/>
      <c r="B32" s="907"/>
      <c r="C32" s="908"/>
      <c r="D32" s="909"/>
      <c r="E32" s="905"/>
      <c r="F32" s="465"/>
      <c r="G32" s="922"/>
      <c r="H32" s="460"/>
      <c r="I32" s="922"/>
      <c r="J32" s="460"/>
      <c r="K32" s="922"/>
      <c r="L32" s="460"/>
      <c r="M32" s="922"/>
      <c r="N32" s="460"/>
      <c r="O32" s="922"/>
      <c r="P32" s="460"/>
    </row>
    <row r="33" spans="1:16">
      <c r="A33" s="906"/>
      <c r="B33" s="907"/>
      <c r="C33" s="908"/>
      <c r="D33" s="909"/>
      <c r="E33" s="905"/>
      <c r="F33" s="465"/>
      <c r="G33" s="922"/>
      <c r="H33" s="460"/>
      <c r="I33" s="922"/>
      <c r="J33" s="460"/>
      <c r="K33" s="922"/>
      <c r="L33" s="460"/>
      <c r="M33" s="922"/>
      <c r="N33" s="460"/>
      <c r="O33" s="922"/>
      <c r="P33" s="460"/>
    </row>
    <row r="34" spans="1:16">
      <c r="A34" s="906"/>
      <c r="B34" s="907"/>
      <c r="C34" s="908"/>
      <c r="D34" s="909"/>
      <c r="E34" s="905"/>
      <c r="F34" s="465"/>
      <c r="G34" s="922"/>
      <c r="H34" s="460"/>
      <c r="I34" s="922"/>
      <c r="J34" s="460"/>
      <c r="K34" s="922"/>
      <c r="L34" s="460"/>
      <c r="M34" s="922"/>
      <c r="N34" s="460"/>
      <c r="O34" s="922"/>
      <c r="P34" s="460"/>
    </row>
    <row r="35" spans="1:16">
      <c r="A35" s="906"/>
      <c r="B35" s="907"/>
      <c r="C35" s="908"/>
      <c r="D35" s="909"/>
      <c r="E35" s="905"/>
      <c r="F35" s="465"/>
      <c r="G35" s="922"/>
      <c r="H35" s="460"/>
      <c r="I35" s="922"/>
      <c r="J35" s="460"/>
      <c r="K35" s="922"/>
      <c r="L35" s="460"/>
      <c r="M35" s="922"/>
      <c r="N35" s="460"/>
      <c r="O35" s="922"/>
      <c r="P35" s="460"/>
    </row>
    <row r="36" spans="1:16">
      <c r="A36" s="906"/>
      <c r="B36" s="907"/>
      <c r="C36" s="908"/>
      <c r="D36" s="909"/>
      <c r="E36" s="905"/>
      <c r="F36" s="465"/>
      <c r="G36" s="922"/>
      <c r="H36" s="460"/>
      <c r="I36" s="922"/>
      <c r="J36" s="460"/>
      <c r="K36" s="922"/>
      <c r="L36" s="460"/>
      <c r="M36" s="922"/>
      <c r="N36" s="460"/>
      <c r="O36" s="922"/>
      <c r="P36" s="460"/>
    </row>
    <row r="37" spans="1:16">
      <c r="A37" s="906"/>
      <c r="B37" s="907"/>
      <c r="C37" s="908"/>
      <c r="D37" s="909"/>
      <c r="E37" s="905"/>
      <c r="F37" s="465"/>
      <c r="G37" s="922"/>
      <c r="H37" s="460"/>
      <c r="I37" s="922"/>
      <c r="J37" s="460"/>
      <c r="K37" s="922"/>
      <c r="L37" s="460"/>
      <c r="M37" s="922"/>
      <c r="N37" s="460"/>
      <c r="O37" s="922"/>
      <c r="P37" s="460"/>
    </row>
    <row r="38" spans="1:16">
      <c r="A38" s="906"/>
      <c r="B38" s="907"/>
      <c r="C38" s="908"/>
      <c r="D38" s="909"/>
      <c r="E38" s="905"/>
      <c r="F38" s="465"/>
      <c r="G38" s="922"/>
      <c r="H38" s="460"/>
      <c r="I38" s="922"/>
      <c r="J38" s="460"/>
      <c r="K38" s="922"/>
      <c r="L38" s="460"/>
      <c r="M38" s="922"/>
      <c r="N38" s="460"/>
      <c r="O38" s="922"/>
      <c r="P38" s="460"/>
    </row>
    <row r="39" spans="1:16">
      <c r="A39" s="906"/>
      <c r="B39" s="907"/>
      <c r="C39" s="908"/>
      <c r="D39" s="909"/>
      <c r="E39" s="905"/>
      <c r="F39" s="465"/>
      <c r="G39" s="922"/>
      <c r="H39" s="460"/>
      <c r="I39" s="922"/>
      <c r="J39" s="460"/>
      <c r="K39" s="922"/>
      <c r="L39" s="460"/>
      <c r="M39" s="922"/>
      <c r="N39" s="460"/>
      <c r="O39" s="922"/>
      <c r="P39" s="460"/>
    </row>
    <row r="40" spans="1:16">
      <c r="A40" s="906"/>
      <c r="B40" s="907"/>
      <c r="C40" s="908"/>
      <c r="D40" s="909"/>
      <c r="E40" s="905"/>
      <c r="F40" s="465"/>
      <c r="G40" s="922"/>
      <c r="H40" s="460"/>
      <c r="I40" s="922"/>
      <c r="J40" s="460"/>
      <c r="K40" s="922"/>
      <c r="L40" s="460"/>
      <c r="M40" s="922"/>
      <c r="N40" s="460"/>
      <c r="O40" s="922"/>
      <c r="P40" s="460"/>
    </row>
    <row r="41" spans="1:16">
      <c r="A41" s="906"/>
      <c r="B41" s="907"/>
      <c r="C41" s="908"/>
      <c r="D41" s="909"/>
      <c r="E41" s="905"/>
      <c r="F41" s="465"/>
      <c r="G41" s="922"/>
      <c r="H41" s="460"/>
      <c r="I41" s="922"/>
      <c r="J41" s="460"/>
      <c r="K41" s="922"/>
      <c r="L41" s="460"/>
      <c r="M41" s="922"/>
      <c r="N41" s="460"/>
      <c r="O41" s="922"/>
      <c r="P41" s="460"/>
    </row>
    <row r="42" spans="1:16">
      <c r="A42" s="906"/>
      <c r="B42" s="907"/>
      <c r="C42" s="908"/>
      <c r="D42" s="909"/>
      <c r="E42" s="905"/>
      <c r="F42" s="465"/>
      <c r="G42" s="922"/>
      <c r="H42" s="460"/>
      <c r="I42" s="922"/>
      <c r="J42" s="460"/>
      <c r="K42" s="922"/>
      <c r="L42" s="460"/>
      <c r="M42" s="922"/>
      <c r="N42" s="460"/>
      <c r="O42" s="922"/>
      <c r="P42" s="460"/>
    </row>
    <row r="43" spans="1:16">
      <c r="A43" s="906"/>
      <c r="B43" s="907"/>
      <c r="C43" s="908"/>
      <c r="D43" s="909"/>
      <c r="E43" s="905"/>
      <c r="F43" s="465"/>
      <c r="G43" s="922"/>
      <c r="H43" s="460"/>
      <c r="I43" s="922"/>
      <c r="J43" s="460"/>
      <c r="K43" s="922"/>
      <c r="L43" s="460"/>
      <c r="M43" s="922"/>
      <c r="N43" s="460"/>
      <c r="O43" s="922"/>
      <c r="P43" s="460"/>
    </row>
    <row r="44" spans="1:16">
      <c r="A44" s="906"/>
      <c r="B44" s="907"/>
      <c r="C44" s="908"/>
      <c r="D44" s="909"/>
      <c r="E44" s="905"/>
      <c r="F44" s="465"/>
      <c r="G44" s="922"/>
      <c r="H44" s="460"/>
      <c r="I44" s="922"/>
      <c r="J44" s="460"/>
      <c r="K44" s="922"/>
      <c r="L44" s="460"/>
      <c r="M44" s="922"/>
      <c r="N44" s="460"/>
      <c r="O44" s="922"/>
      <c r="P44" s="460"/>
    </row>
    <row r="45" spans="1:16">
      <c r="A45" s="906"/>
      <c r="B45" s="907"/>
      <c r="C45" s="908"/>
      <c r="D45" s="909"/>
      <c r="E45" s="905"/>
      <c r="F45" s="465"/>
      <c r="G45" s="922"/>
      <c r="H45" s="460"/>
      <c r="I45" s="922"/>
      <c r="J45" s="460"/>
      <c r="K45" s="922"/>
      <c r="L45" s="460"/>
      <c r="M45" s="922"/>
      <c r="N45" s="460"/>
      <c r="O45" s="922"/>
      <c r="P45" s="460"/>
    </row>
    <row r="46" spans="1:16">
      <c r="A46" s="906"/>
      <c r="B46" s="907"/>
      <c r="C46" s="908"/>
      <c r="D46" s="909"/>
      <c r="E46" s="905"/>
      <c r="F46" s="465"/>
      <c r="G46" s="922"/>
      <c r="H46" s="460"/>
      <c r="I46" s="922"/>
      <c r="J46" s="460"/>
      <c r="K46" s="922"/>
      <c r="L46" s="460"/>
      <c r="M46" s="922"/>
      <c r="N46" s="460"/>
      <c r="O46" s="922"/>
      <c r="P46" s="460"/>
    </row>
    <row r="47" spans="1:16">
      <c r="A47" s="906"/>
      <c r="B47" s="907"/>
      <c r="C47" s="908"/>
      <c r="D47" s="909"/>
      <c r="E47" s="905"/>
      <c r="F47" s="465"/>
      <c r="G47" s="922"/>
      <c r="H47" s="460"/>
      <c r="I47" s="922"/>
      <c r="J47" s="460"/>
      <c r="K47" s="922"/>
      <c r="L47" s="460"/>
      <c r="M47" s="922"/>
      <c r="N47" s="460"/>
      <c r="O47" s="922"/>
      <c r="P47" s="460"/>
    </row>
    <row r="48" spans="1:16">
      <c r="A48" s="906"/>
      <c r="B48" s="907"/>
      <c r="C48" s="908"/>
      <c r="D48" s="909"/>
      <c r="E48" s="905"/>
      <c r="F48" s="465"/>
      <c r="G48" s="922"/>
      <c r="H48" s="460"/>
      <c r="I48" s="922"/>
      <c r="J48" s="460"/>
      <c r="K48" s="922"/>
      <c r="L48" s="460"/>
      <c r="M48" s="922"/>
      <c r="N48" s="460"/>
      <c r="O48" s="922"/>
      <c r="P48" s="460"/>
    </row>
    <row r="49" spans="1:16">
      <c r="A49" s="906"/>
      <c r="B49" s="907"/>
      <c r="C49" s="908"/>
      <c r="D49" s="909"/>
      <c r="E49" s="905"/>
      <c r="F49" s="465"/>
      <c r="G49" s="922"/>
      <c r="H49" s="460"/>
      <c r="I49" s="922"/>
      <c r="J49" s="460"/>
      <c r="K49" s="922"/>
      <c r="L49" s="460"/>
      <c r="M49" s="922"/>
      <c r="N49" s="460"/>
      <c r="O49" s="922"/>
      <c r="P49" s="460"/>
    </row>
    <row r="50" spans="1:16">
      <c r="A50" s="906"/>
      <c r="B50" s="907"/>
      <c r="C50" s="908"/>
      <c r="D50" s="909"/>
      <c r="E50" s="905"/>
      <c r="F50" s="465"/>
      <c r="G50" s="922"/>
      <c r="H50" s="460"/>
      <c r="I50" s="922"/>
      <c r="J50" s="460"/>
      <c r="K50" s="922"/>
      <c r="L50" s="460"/>
      <c r="M50" s="922"/>
      <c r="N50" s="460"/>
      <c r="O50" s="922"/>
      <c r="P50" s="460"/>
    </row>
    <row r="51" spans="1:16">
      <c r="A51" s="906"/>
      <c r="B51" s="907"/>
      <c r="C51" s="908"/>
      <c r="D51" s="909"/>
      <c r="E51" s="905"/>
      <c r="F51" s="465"/>
      <c r="G51" s="922"/>
      <c r="H51" s="460"/>
      <c r="I51" s="922"/>
      <c r="J51" s="460"/>
      <c r="K51" s="922"/>
      <c r="L51" s="460"/>
      <c r="M51" s="922"/>
      <c r="N51" s="460"/>
      <c r="O51" s="922"/>
      <c r="P51" s="460"/>
    </row>
    <row r="52" spans="1:16">
      <c r="A52" s="906"/>
      <c r="B52" s="907"/>
      <c r="C52" s="908"/>
      <c r="D52" s="909"/>
      <c r="E52" s="905"/>
      <c r="F52" s="465"/>
      <c r="G52" s="922"/>
      <c r="H52" s="460"/>
      <c r="I52" s="922"/>
      <c r="J52" s="460"/>
      <c r="K52" s="922"/>
      <c r="L52" s="460"/>
      <c r="M52" s="922"/>
      <c r="N52" s="460"/>
      <c r="O52" s="922"/>
      <c r="P52" s="460"/>
    </row>
    <row r="53" spans="1:16">
      <c r="A53" s="906"/>
      <c r="B53" s="907"/>
      <c r="C53" s="908"/>
      <c r="D53" s="909"/>
      <c r="E53" s="905"/>
      <c r="F53" s="465"/>
      <c r="G53" s="922"/>
      <c r="H53" s="460"/>
      <c r="I53" s="922"/>
      <c r="J53" s="460"/>
      <c r="K53" s="922"/>
      <c r="L53" s="460"/>
      <c r="M53" s="922"/>
      <c r="N53" s="460"/>
      <c r="O53" s="922"/>
      <c r="P53" s="460"/>
    </row>
    <row r="54" spans="1:16">
      <c r="A54" s="906"/>
      <c r="B54" s="907"/>
      <c r="C54" s="908"/>
      <c r="D54" s="909"/>
      <c r="E54" s="905"/>
      <c r="F54" s="465"/>
      <c r="G54" s="922"/>
      <c r="H54" s="460"/>
      <c r="I54" s="922"/>
      <c r="J54" s="460"/>
      <c r="K54" s="922"/>
      <c r="L54" s="460"/>
      <c r="M54" s="922"/>
      <c r="N54" s="460"/>
      <c r="O54" s="922"/>
      <c r="P54" s="460"/>
    </row>
    <row r="55" spans="1:16">
      <c r="A55" s="906"/>
      <c r="B55" s="907"/>
      <c r="C55" s="908"/>
      <c r="D55" s="909"/>
      <c r="E55" s="905"/>
      <c r="F55" s="465"/>
      <c r="G55" s="922"/>
      <c r="H55" s="460"/>
      <c r="I55" s="922"/>
      <c r="J55" s="460"/>
      <c r="K55" s="922"/>
      <c r="L55" s="460"/>
      <c r="M55" s="922"/>
      <c r="N55" s="460"/>
      <c r="O55" s="922"/>
      <c r="P55" s="460"/>
    </row>
    <row r="56" spans="1:16">
      <c r="A56" s="906"/>
      <c r="B56" s="907"/>
      <c r="C56" s="908"/>
      <c r="D56" s="909"/>
      <c r="E56" s="905"/>
      <c r="F56" s="465"/>
      <c r="G56" s="922"/>
      <c r="H56" s="460"/>
      <c r="I56" s="922"/>
      <c r="J56" s="460"/>
      <c r="K56" s="922"/>
      <c r="L56" s="460"/>
      <c r="M56" s="922"/>
      <c r="N56" s="460"/>
      <c r="O56" s="922"/>
      <c r="P56" s="460"/>
    </row>
    <row r="57" spans="1:16">
      <c r="A57" s="906"/>
      <c r="B57" s="907"/>
      <c r="C57" s="908"/>
      <c r="D57" s="909"/>
      <c r="E57" s="905"/>
      <c r="F57" s="465"/>
      <c r="G57" s="922"/>
      <c r="H57" s="460"/>
      <c r="I57" s="922"/>
      <c r="J57" s="460"/>
      <c r="K57" s="922"/>
      <c r="L57" s="460"/>
      <c r="M57" s="922"/>
      <c r="N57" s="460"/>
      <c r="O57" s="922"/>
      <c r="P57" s="460"/>
    </row>
    <row r="58" spans="1:16">
      <c r="A58" s="906"/>
      <c r="B58" s="907"/>
      <c r="C58" s="908"/>
      <c r="D58" s="909"/>
      <c r="E58" s="905"/>
      <c r="F58" s="465"/>
      <c r="G58" s="922"/>
      <c r="H58" s="460"/>
      <c r="I58" s="922"/>
      <c r="J58" s="460"/>
      <c r="K58" s="922"/>
      <c r="L58" s="460"/>
      <c r="M58" s="922"/>
      <c r="N58" s="460"/>
      <c r="O58" s="922"/>
      <c r="P58" s="460"/>
    </row>
    <row r="59" spans="1:16">
      <c r="A59" s="906"/>
      <c r="B59" s="907"/>
      <c r="C59" s="908"/>
      <c r="D59" s="909"/>
      <c r="E59" s="905"/>
      <c r="F59" s="465"/>
      <c r="G59" s="922"/>
      <c r="H59" s="460"/>
      <c r="I59" s="922"/>
      <c r="J59" s="460"/>
      <c r="K59" s="922"/>
      <c r="L59" s="460"/>
      <c r="M59" s="922"/>
      <c r="N59" s="460"/>
      <c r="O59" s="922"/>
      <c r="P59" s="460"/>
    </row>
    <row r="60" spans="1:16">
      <c r="A60" s="906"/>
      <c r="B60" s="907"/>
      <c r="C60" s="908"/>
      <c r="D60" s="909"/>
      <c r="E60" s="905"/>
      <c r="F60" s="465"/>
      <c r="G60" s="922"/>
      <c r="H60" s="460"/>
      <c r="I60" s="922"/>
      <c r="J60" s="460"/>
      <c r="K60" s="922"/>
      <c r="L60" s="460"/>
      <c r="M60" s="922"/>
      <c r="N60" s="460"/>
      <c r="O60" s="922"/>
      <c r="P60" s="460"/>
    </row>
    <row r="61" spans="1:16">
      <c r="A61" s="906"/>
      <c r="B61" s="907"/>
      <c r="C61" s="908"/>
      <c r="D61" s="909"/>
      <c r="E61" s="905"/>
      <c r="F61" s="465"/>
      <c r="G61" s="922"/>
      <c r="H61" s="460"/>
      <c r="I61" s="922"/>
      <c r="J61" s="460"/>
      <c r="K61" s="922"/>
      <c r="L61" s="460"/>
      <c r="M61" s="922"/>
      <c r="N61" s="460"/>
      <c r="O61" s="922"/>
      <c r="P61" s="460"/>
    </row>
    <row r="62" spans="1:16">
      <c r="A62" s="906"/>
      <c r="B62" s="907"/>
      <c r="C62" s="908"/>
      <c r="D62" s="909"/>
      <c r="E62" s="905"/>
      <c r="F62" s="465"/>
      <c r="G62" s="922"/>
      <c r="H62" s="460"/>
      <c r="I62" s="922"/>
      <c r="J62" s="460"/>
      <c r="K62" s="922"/>
      <c r="L62" s="460"/>
      <c r="M62" s="922"/>
      <c r="N62" s="460"/>
      <c r="O62" s="922"/>
      <c r="P62" s="460"/>
    </row>
    <row r="63" spans="1:16">
      <c r="A63" s="906"/>
      <c r="B63" s="907"/>
      <c r="C63" s="908"/>
      <c r="D63" s="909"/>
      <c r="E63" s="905"/>
      <c r="F63" s="465"/>
      <c r="G63" s="922"/>
      <c r="H63" s="460"/>
      <c r="I63" s="922"/>
      <c r="J63" s="460"/>
      <c r="K63" s="922"/>
      <c r="L63" s="460"/>
      <c r="M63" s="922"/>
      <c r="N63" s="460"/>
      <c r="O63" s="922"/>
      <c r="P63" s="460"/>
    </row>
    <row r="64" spans="1:16">
      <c r="A64" s="906"/>
      <c r="B64" s="907"/>
      <c r="C64" s="908"/>
      <c r="D64" s="909"/>
      <c r="E64" s="905"/>
      <c r="F64" s="465"/>
      <c r="G64" s="922"/>
      <c r="H64" s="460"/>
      <c r="I64" s="922"/>
      <c r="J64" s="460"/>
      <c r="K64" s="922"/>
      <c r="L64" s="460"/>
      <c r="M64" s="922"/>
      <c r="N64" s="460"/>
      <c r="O64" s="922"/>
      <c r="P64" s="460"/>
    </row>
    <row r="65" spans="1:16">
      <c r="A65" s="906"/>
      <c r="B65" s="907"/>
      <c r="C65" s="908"/>
      <c r="D65" s="909"/>
      <c r="E65" s="905"/>
      <c r="F65" s="465"/>
      <c r="G65" s="922"/>
      <c r="H65" s="460"/>
      <c r="I65" s="922"/>
      <c r="J65" s="460"/>
      <c r="K65" s="922"/>
      <c r="L65" s="460"/>
      <c r="M65" s="922"/>
      <c r="N65" s="460"/>
      <c r="O65" s="922"/>
      <c r="P65" s="460"/>
    </row>
    <row r="66" spans="1:16">
      <c r="A66" s="906"/>
      <c r="B66" s="907"/>
      <c r="C66" s="908"/>
      <c r="D66" s="909"/>
      <c r="E66" s="905"/>
      <c r="F66" s="465"/>
      <c r="G66" s="922"/>
      <c r="H66" s="460"/>
      <c r="I66" s="922"/>
      <c r="J66" s="460"/>
      <c r="K66" s="922"/>
      <c r="L66" s="460"/>
      <c r="M66" s="922"/>
      <c r="N66" s="460"/>
      <c r="O66" s="922"/>
      <c r="P66" s="460"/>
    </row>
    <row r="67" spans="1:16">
      <c r="A67" s="906"/>
      <c r="B67" s="907"/>
      <c r="C67" s="908"/>
      <c r="D67" s="909"/>
      <c r="E67" s="905"/>
      <c r="F67" s="465"/>
      <c r="G67" s="922"/>
      <c r="H67" s="460"/>
      <c r="I67" s="922"/>
      <c r="J67" s="460"/>
      <c r="K67" s="922"/>
      <c r="L67" s="460"/>
      <c r="M67" s="922"/>
      <c r="N67" s="460"/>
      <c r="O67" s="922"/>
      <c r="P67" s="460"/>
    </row>
    <row r="68" spans="1:16">
      <c r="A68" s="906"/>
      <c r="B68" s="907"/>
      <c r="C68" s="908"/>
      <c r="D68" s="909"/>
      <c r="E68" s="905"/>
      <c r="F68" s="465"/>
      <c r="G68" s="922"/>
      <c r="H68" s="460"/>
      <c r="I68" s="922"/>
      <c r="J68" s="460"/>
      <c r="K68" s="922"/>
      <c r="L68" s="460"/>
      <c r="M68" s="922"/>
      <c r="N68" s="460"/>
      <c r="O68" s="922"/>
      <c r="P68" s="460"/>
    </row>
    <row r="69" spans="1:16">
      <c r="A69" s="906"/>
      <c r="B69" s="907"/>
      <c r="C69" s="908"/>
      <c r="D69" s="909"/>
      <c r="E69" s="905"/>
      <c r="F69" s="465"/>
      <c r="G69" s="922"/>
      <c r="H69" s="460"/>
      <c r="I69" s="922"/>
      <c r="J69" s="460"/>
      <c r="K69" s="922"/>
      <c r="L69" s="460"/>
      <c r="M69" s="922"/>
      <c r="N69" s="460"/>
      <c r="O69" s="922"/>
      <c r="P69" s="460"/>
    </row>
    <row r="70" spans="1:16">
      <c r="A70" s="906"/>
      <c r="B70" s="907"/>
      <c r="C70" s="908"/>
      <c r="D70" s="909"/>
      <c r="E70" s="905"/>
      <c r="F70" s="465"/>
      <c r="G70" s="922"/>
      <c r="H70" s="460"/>
      <c r="I70" s="922"/>
      <c r="J70" s="460"/>
      <c r="K70" s="922"/>
      <c r="L70" s="460"/>
      <c r="M70" s="922"/>
      <c r="N70" s="460"/>
      <c r="O70" s="922"/>
      <c r="P70" s="460"/>
    </row>
    <row r="71" spans="1:16">
      <c r="A71" s="906"/>
      <c r="B71" s="907"/>
      <c r="C71" s="908"/>
      <c r="D71" s="909"/>
      <c r="E71" s="905"/>
      <c r="F71" s="465"/>
      <c r="G71" s="922"/>
      <c r="H71" s="460"/>
      <c r="I71" s="922"/>
      <c r="J71" s="460"/>
      <c r="K71" s="922"/>
      <c r="L71" s="460"/>
      <c r="M71" s="922"/>
      <c r="N71" s="460"/>
      <c r="O71" s="922"/>
      <c r="P71" s="460"/>
    </row>
    <row r="72" spans="1:16">
      <c r="A72" s="906"/>
      <c r="B72" s="907"/>
      <c r="C72" s="908"/>
      <c r="D72" s="909"/>
      <c r="E72" s="905"/>
      <c r="F72" s="465"/>
      <c r="G72" s="922"/>
      <c r="H72" s="460"/>
      <c r="I72" s="922"/>
      <c r="J72" s="460"/>
      <c r="K72" s="922"/>
      <c r="L72" s="460"/>
      <c r="M72" s="922"/>
      <c r="N72" s="460"/>
      <c r="O72" s="922"/>
      <c r="P72" s="460"/>
    </row>
    <row r="73" spans="1:16">
      <c r="A73" s="906"/>
      <c r="B73" s="907"/>
      <c r="C73" s="908"/>
      <c r="D73" s="909"/>
      <c r="E73" s="905"/>
      <c r="F73" s="465"/>
      <c r="G73" s="922"/>
      <c r="H73" s="460"/>
      <c r="I73" s="922"/>
      <c r="J73" s="460"/>
      <c r="K73" s="922"/>
      <c r="L73" s="460"/>
      <c r="M73" s="922"/>
      <c r="N73" s="460"/>
      <c r="O73" s="922"/>
      <c r="P73" s="460"/>
    </row>
    <row r="74" spans="1:16">
      <c r="A74" s="906"/>
      <c r="B74" s="907"/>
      <c r="C74" s="908"/>
      <c r="D74" s="909"/>
      <c r="E74" s="905"/>
      <c r="F74" s="465"/>
      <c r="G74" s="922"/>
      <c r="H74" s="460"/>
      <c r="I74" s="922"/>
      <c r="J74" s="460"/>
      <c r="K74" s="922"/>
      <c r="L74" s="460"/>
      <c r="M74" s="922"/>
      <c r="N74" s="460"/>
      <c r="O74" s="922"/>
      <c r="P74" s="460"/>
    </row>
    <row r="75" spans="1:16">
      <c r="A75" s="906"/>
      <c r="B75" s="907"/>
      <c r="C75" s="908"/>
      <c r="D75" s="909"/>
      <c r="E75" s="905"/>
      <c r="F75" s="465"/>
      <c r="G75" s="922"/>
      <c r="H75" s="460"/>
      <c r="I75" s="922"/>
      <c r="J75" s="460"/>
      <c r="K75" s="922"/>
      <c r="L75" s="460"/>
      <c r="M75" s="922"/>
      <c r="N75" s="460"/>
      <c r="O75" s="922"/>
      <c r="P75" s="460"/>
    </row>
    <row r="76" spans="1:16">
      <c r="A76" s="906"/>
      <c r="B76" s="907"/>
      <c r="C76" s="908"/>
      <c r="D76" s="909"/>
      <c r="E76" s="905"/>
      <c r="F76" s="465"/>
      <c r="G76" s="922"/>
      <c r="H76" s="460"/>
      <c r="I76" s="922"/>
      <c r="J76" s="460"/>
      <c r="K76" s="922"/>
      <c r="L76" s="460"/>
      <c r="M76" s="922"/>
      <c r="N76" s="460"/>
      <c r="O76" s="922"/>
      <c r="P76" s="460"/>
    </row>
    <row r="77" spans="1:16">
      <c r="A77" s="906"/>
      <c r="B77" s="907"/>
      <c r="C77" s="908"/>
      <c r="D77" s="909"/>
      <c r="E77" s="905"/>
      <c r="F77" s="465"/>
      <c r="G77" s="922"/>
      <c r="H77" s="460"/>
      <c r="I77" s="922"/>
      <c r="J77" s="460"/>
      <c r="K77" s="922"/>
      <c r="L77" s="460"/>
      <c r="M77" s="922"/>
      <c r="N77" s="460"/>
      <c r="O77" s="922"/>
      <c r="P77" s="460"/>
    </row>
    <row r="78" spans="1:16">
      <c r="A78" s="906"/>
      <c r="B78" s="907"/>
      <c r="C78" s="908"/>
      <c r="D78" s="909"/>
      <c r="E78" s="905"/>
      <c r="F78" s="465"/>
      <c r="G78" s="922"/>
      <c r="H78" s="460"/>
      <c r="I78" s="922"/>
      <c r="J78" s="460"/>
      <c r="K78" s="922"/>
      <c r="L78" s="460"/>
      <c r="M78" s="922"/>
      <c r="N78" s="460"/>
      <c r="O78" s="922"/>
      <c r="P78" s="460"/>
    </row>
    <row r="79" spans="1:16">
      <c r="A79" s="906"/>
      <c r="B79" s="907"/>
      <c r="C79" s="908"/>
      <c r="D79" s="909"/>
      <c r="E79" s="905"/>
      <c r="F79" s="465"/>
      <c r="G79" s="922"/>
      <c r="H79" s="460"/>
      <c r="I79" s="922"/>
      <c r="J79" s="460"/>
      <c r="K79" s="922"/>
      <c r="L79" s="460"/>
      <c r="M79" s="922"/>
      <c r="N79" s="460"/>
      <c r="O79" s="922"/>
      <c r="P79" s="460"/>
    </row>
    <row r="80" spans="1:16">
      <c r="A80" s="906"/>
      <c r="B80" s="907"/>
      <c r="C80" s="908"/>
      <c r="D80" s="909"/>
      <c r="E80" s="905"/>
      <c r="F80" s="465"/>
      <c r="G80" s="922"/>
      <c r="H80" s="460"/>
      <c r="I80" s="922"/>
      <c r="J80" s="460"/>
      <c r="K80" s="922"/>
      <c r="L80" s="460"/>
      <c r="M80" s="922"/>
      <c r="N80" s="460"/>
      <c r="O80" s="922"/>
      <c r="P80" s="460"/>
    </row>
    <row r="81" spans="1:16">
      <c r="A81" s="906"/>
      <c r="B81" s="907"/>
      <c r="C81" s="908"/>
      <c r="D81" s="909"/>
      <c r="E81" s="905"/>
      <c r="F81" s="465"/>
      <c r="G81" s="922"/>
      <c r="H81" s="460"/>
      <c r="I81" s="922"/>
      <c r="J81" s="460"/>
      <c r="K81" s="922"/>
      <c r="L81" s="460"/>
      <c r="M81" s="922"/>
      <c r="N81" s="460"/>
      <c r="O81" s="922"/>
      <c r="P81" s="460"/>
    </row>
    <row r="82" spans="1:16">
      <c r="A82" s="906"/>
      <c r="B82" s="907"/>
      <c r="C82" s="908"/>
      <c r="D82" s="909"/>
      <c r="E82" s="905"/>
      <c r="F82" s="465"/>
      <c r="G82" s="922"/>
      <c r="H82" s="460"/>
      <c r="I82" s="922"/>
      <c r="J82" s="460"/>
      <c r="K82" s="922"/>
      <c r="L82" s="460"/>
      <c r="M82" s="922"/>
      <c r="N82" s="460"/>
      <c r="O82" s="922"/>
      <c r="P82" s="460"/>
    </row>
    <row r="83" spans="1:16">
      <c r="A83" s="906"/>
      <c r="B83" s="907"/>
      <c r="C83" s="908"/>
      <c r="D83" s="909"/>
      <c r="E83" s="905"/>
      <c r="F83" s="465"/>
      <c r="G83" s="922"/>
      <c r="H83" s="460"/>
      <c r="I83" s="922"/>
      <c r="J83" s="460"/>
      <c r="K83" s="922"/>
      <c r="L83" s="460"/>
      <c r="M83" s="922"/>
      <c r="N83" s="460"/>
      <c r="O83" s="922"/>
      <c r="P83" s="460"/>
    </row>
    <row r="84" spans="1:16">
      <c r="A84" s="906"/>
      <c r="B84" s="907"/>
      <c r="C84" s="908"/>
      <c r="D84" s="909"/>
      <c r="E84" s="905"/>
      <c r="F84" s="465"/>
      <c r="G84" s="922"/>
      <c r="H84" s="460"/>
      <c r="I84" s="922"/>
      <c r="J84" s="460"/>
      <c r="K84" s="922"/>
      <c r="L84" s="460"/>
      <c r="M84" s="922"/>
      <c r="N84" s="460"/>
      <c r="O84" s="922"/>
      <c r="P84" s="460"/>
    </row>
    <row r="85" spans="1:16">
      <c r="A85" s="906"/>
      <c r="B85" s="907"/>
      <c r="C85" s="908"/>
      <c r="D85" s="909"/>
      <c r="E85" s="905"/>
      <c r="F85" s="465"/>
      <c r="G85" s="922"/>
      <c r="H85" s="460"/>
      <c r="I85" s="922"/>
      <c r="J85" s="460"/>
      <c r="K85" s="922"/>
      <c r="L85" s="460"/>
      <c r="M85" s="922"/>
      <c r="N85" s="460"/>
      <c r="O85" s="922"/>
      <c r="P85" s="460"/>
    </row>
    <row r="86" spans="1:16">
      <c r="A86" s="906"/>
      <c r="B86" s="907"/>
      <c r="C86" s="908"/>
      <c r="D86" s="909"/>
      <c r="E86" s="905"/>
      <c r="F86" s="465"/>
      <c r="G86" s="922"/>
      <c r="H86" s="460"/>
      <c r="I86" s="922"/>
      <c r="J86" s="460"/>
      <c r="K86" s="922"/>
      <c r="L86" s="460"/>
      <c r="M86" s="922"/>
      <c r="N86" s="460"/>
      <c r="O86" s="922"/>
      <c r="P86" s="460"/>
    </row>
    <row r="87" spans="1:16">
      <c r="A87" s="906"/>
      <c r="B87" s="907"/>
      <c r="C87" s="908"/>
      <c r="D87" s="909"/>
      <c r="E87" s="905"/>
      <c r="F87" s="465"/>
      <c r="G87" s="922"/>
      <c r="H87" s="460"/>
      <c r="I87" s="922"/>
      <c r="J87" s="460"/>
      <c r="K87" s="922"/>
      <c r="L87" s="460"/>
      <c r="M87" s="922"/>
      <c r="N87" s="460"/>
      <c r="O87" s="922"/>
      <c r="P87" s="460"/>
    </row>
    <row r="88" spans="1:16">
      <c r="A88" s="906"/>
      <c r="B88" s="907"/>
      <c r="C88" s="908"/>
      <c r="D88" s="909"/>
      <c r="E88" s="905"/>
      <c r="F88" s="465"/>
      <c r="G88" s="922"/>
      <c r="H88" s="460"/>
      <c r="I88" s="922"/>
      <c r="J88" s="460"/>
      <c r="K88" s="922"/>
      <c r="L88" s="460"/>
      <c r="M88" s="922"/>
      <c r="N88" s="460"/>
      <c r="O88" s="922"/>
      <c r="P88" s="460"/>
    </row>
    <row r="89" spans="1:16">
      <c r="A89" s="906"/>
      <c r="B89" s="907"/>
      <c r="C89" s="908"/>
      <c r="D89" s="909"/>
      <c r="E89" s="905"/>
      <c r="F89" s="465"/>
      <c r="G89" s="922"/>
      <c r="H89" s="460"/>
      <c r="I89" s="922"/>
      <c r="J89" s="460"/>
      <c r="K89" s="922"/>
      <c r="L89" s="460"/>
      <c r="M89" s="922"/>
      <c r="N89" s="460"/>
      <c r="O89" s="922"/>
      <c r="P89" s="460"/>
    </row>
    <row r="90" spans="1:16">
      <c r="A90" s="906"/>
      <c r="B90" s="907"/>
      <c r="C90" s="908"/>
      <c r="D90" s="909"/>
      <c r="E90" s="905"/>
      <c r="F90" s="465"/>
      <c r="G90" s="922"/>
      <c r="H90" s="460"/>
      <c r="I90" s="922"/>
      <c r="J90" s="460"/>
      <c r="K90" s="922"/>
      <c r="L90" s="460"/>
      <c r="M90" s="922"/>
      <c r="N90" s="460"/>
      <c r="O90" s="922"/>
      <c r="P90" s="460"/>
    </row>
    <row r="91" spans="1:16">
      <c r="A91" s="906"/>
      <c r="B91" s="907"/>
      <c r="C91" s="908"/>
      <c r="D91" s="909"/>
      <c r="E91" s="905"/>
      <c r="F91" s="465"/>
      <c r="G91" s="922"/>
      <c r="H91" s="460"/>
      <c r="I91" s="922"/>
      <c r="J91" s="460"/>
      <c r="K91" s="922"/>
      <c r="L91" s="460"/>
      <c r="M91" s="922"/>
      <c r="N91" s="460"/>
      <c r="O91" s="922"/>
      <c r="P91" s="460"/>
    </row>
    <row r="92" spans="1:16">
      <c r="A92" s="906"/>
      <c r="B92" s="907"/>
      <c r="C92" s="908"/>
      <c r="D92" s="909"/>
      <c r="E92" s="905"/>
      <c r="F92" s="465"/>
      <c r="G92" s="922"/>
      <c r="H92" s="460"/>
      <c r="I92" s="922"/>
      <c r="J92" s="460"/>
      <c r="K92" s="922"/>
      <c r="L92" s="460"/>
      <c r="M92" s="922"/>
      <c r="N92" s="460"/>
      <c r="O92" s="922"/>
      <c r="P92" s="460"/>
    </row>
    <row r="93" spans="1:16">
      <c r="A93" s="906"/>
      <c r="B93" s="907"/>
      <c r="C93" s="908"/>
      <c r="D93" s="909"/>
      <c r="E93" s="905"/>
      <c r="F93" s="465"/>
      <c r="G93" s="922"/>
      <c r="H93" s="460"/>
      <c r="I93" s="922"/>
      <c r="J93" s="460"/>
      <c r="K93" s="922"/>
      <c r="L93" s="460"/>
      <c r="M93" s="922"/>
      <c r="N93" s="460"/>
      <c r="O93" s="922"/>
      <c r="P93" s="460"/>
    </row>
    <row r="94" spans="1:16">
      <c r="A94" s="906"/>
      <c r="B94" s="907"/>
      <c r="C94" s="908"/>
      <c r="D94" s="909"/>
      <c r="E94" s="905"/>
      <c r="F94" s="465"/>
      <c r="G94" s="922"/>
      <c r="H94" s="460"/>
      <c r="I94" s="922"/>
      <c r="J94" s="460"/>
      <c r="K94" s="922"/>
      <c r="L94" s="460"/>
      <c r="M94" s="922"/>
      <c r="N94" s="460"/>
      <c r="O94" s="922"/>
      <c r="P94" s="460"/>
    </row>
    <row r="95" spans="1:16">
      <c r="A95" s="906"/>
      <c r="B95" s="907"/>
      <c r="C95" s="908"/>
      <c r="D95" s="909"/>
      <c r="E95" s="905"/>
      <c r="F95" s="465"/>
      <c r="G95" s="922"/>
      <c r="H95" s="460"/>
      <c r="I95" s="922"/>
      <c r="J95" s="460"/>
      <c r="K95" s="922"/>
      <c r="L95" s="460"/>
      <c r="M95" s="922"/>
      <c r="N95" s="460"/>
      <c r="O95" s="922"/>
      <c r="P95" s="460"/>
    </row>
    <row r="96" spans="1:16">
      <c r="A96" s="906"/>
      <c r="B96" s="907"/>
      <c r="C96" s="908"/>
      <c r="D96" s="909"/>
      <c r="E96" s="905"/>
      <c r="F96" s="465"/>
      <c r="G96" s="922"/>
      <c r="H96" s="460"/>
      <c r="I96" s="922"/>
      <c r="J96" s="460"/>
      <c r="K96" s="922"/>
      <c r="L96" s="460"/>
      <c r="M96" s="922"/>
      <c r="N96" s="460"/>
      <c r="O96" s="922"/>
      <c r="P96" s="460"/>
    </row>
    <row r="97" spans="1:16">
      <c r="A97" s="906"/>
      <c r="B97" s="907"/>
      <c r="C97" s="908"/>
      <c r="D97" s="909"/>
      <c r="E97" s="905"/>
      <c r="F97" s="465"/>
      <c r="G97" s="922"/>
      <c r="H97" s="460"/>
      <c r="I97" s="922"/>
      <c r="J97" s="460"/>
      <c r="K97" s="922"/>
      <c r="L97" s="460"/>
      <c r="M97" s="922"/>
      <c r="N97" s="460"/>
      <c r="O97" s="922"/>
      <c r="P97" s="460"/>
    </row>
    <row r="98" spans="1:16">
      <c r="A98" s="906"/>
      <c r="B98" s="907"/>
      <c r="C98" s="908"/>
      <c r="D98" s="909"/>
      <c r="E98" s="905"/>
      <c r="F98" s="465"/>
      <c r="G98" s="922"/>
      <c r="H98" s="460"/>
      <c r="I98" s="922"/>
      <c r="J98" s="460"/>
      <c r="K98" s="922"/>
      <c r="L98" s="460"/>
      <c r="M98" s="922"/>
      <c r="N98" s="460"/>
      <c r="O98" s="922"/>
      <c r="P98" s="460"/>
    </row>
    <row r="99" spans="1:16">
      <c r="A99" s="906"/>
      <c r="B99" s="907"/>
      <c r="C99" s="908"/>
      <c r="D99" s="909"/>
      <c r="E99" s="905"/>
      <c r="F99" s="465"/>
      <c r="G99" s="922"/>
      <c r="H99" s="460"/>
      <c r="I99" s="922"/>
      <c r="J99" s="460"/>
      <c r="K99" s="922"/>
      <c r="L99" s="460"/>
      <c r="M99" s="922"/>
      <c r="N99" s="460"/>
      <c r="O99" s="922"/>
      <c r="P99" s="460"/>
    </row>
    <row r="100" spans="1:16">
      <c r="A100" s="906"/>
      <c r="B100" s="907"/>
      <c r="C100" s="908"/>
      <c r="D100" s="909"/>
      <c r="E100" s="905"/>
      <c r="F100" s="465"/>
      <c r="G100" s="922"/>
      <c r="H100" s="460"/>
      <c r="I100" s="922"/>
      <c r="J100" s="460"/>
      <c r="K100" s="922"/>
      <c r="L100" s="460"/>
      <c r="M100" s="922"/>
      <c r="N100" s="460"/>
      <c r="O100" s="922"/>
      <c r="P100" s="460"/>
    </row>
    <row r="101" spans="1:16">
      <c r="A101" s="906"/>
      <c r="B101" s="907"/>
      <c r="C101" s="908"/>
      <c r="D101" s="909"/>
      <c r="E101" s="905"/>
      <c r="F101" s="465"/>
      <c r="G101" s="922"/>
      <c r="H101" s="460"/>
      <c r="I101" s="922"/>
      <c r="J101" s="460"/>
      <c r="K101" s="922"/>
      <c r="L101" s="460"/>
      <c r="M101" s="922"/>
      <c r="N101" s="460"/>
      <c r="O101" s="922"/>
      <c r="P101" s="460"/>
    </row>
    <row r="102" spans="1:16">
      <c r="A102" s="906"/>
      <c r="B102" s="907"/>
      <c r="C102" s="908"/>
      <c r="D102" s="909"/>
      <c r="E102" s="905"/>
      <c r="F102" s="465"/>
      <c r="G102" s="922"/>
      <c r="H102" s="460"/>
      <c r="I102" s="922"/>
      <c r="J102" s="460"/>
      <c r="K102" s="922"/>
      <c r="L102" s="460"/>
      <c r="M102" s="922"/>
      <c r="N102" s="460"/>
      <c r="O102" s="922"/>
      <c r="P102" s="460"/>
    </row>
    <row r="103" spans="1:16">
      <c r="A103" s="906"/>
      <c r="B103" s="907"/>
      <c r="C103" s="908"/>
      <c r="D103" s="909"/>
      <c r="E103" s="905"/>
      <c r="F103" s="465"/>
      <c r="G103" s="922"/>
      <c r="H103" s="460"/>
      <c r="I103" s="922"/>
      <c r="J103" s="460"/>
      <c r="K103" s="922"/>
      <c r="L103" s="460"/>
      <c r="M103" s="922"/>
      <c r="N103" s="460"/>
      <c r="O103" s="922"/>
      <c r="P103" s="460"/>
    </row>
    <row r="104" spans="1:16">
      <c r="A104" s="906"/>
      <c r="B104" s="907"/>
      <c r="C104" s="908"/>
      <c r="D104" s="909"/>
      <c r="E104" s="905"/>
      <c r="F104" s="465"/>
      <c r="G104" s="922"/>
      <c r="H104" s="460"/>
      <c r="I104" s="922"/>
      <c r="J104" s="460"/>
      <c r="K104" s="922"/>
      <c r="L104" s="460"/>
      <c r="M104" s="922"/>
      <c r="N104" s="460"/>
      <c r="O104" s="922"/>
      <c r="P104" s="460"/>
    </row>
    <row r="105" spans="1:16">
      <c r="A105" s="906"/>
      <c r="B105" s="907"/>
      <c r="C105" s="908"/>
      <c r="D105" s="909"/>
      <c r="E105" s="905"/>
      <c r="F105" s="465"/>
      <c r="G105" s="922"/>
      <c r="H105" s="460"/>
      <c r="I105" s="922"/>
      <c r="J105" s="460"/>
      <c r="K105" s="922"/>
      <c r="L105" s="460"/>
      <c r="M105" s="922"/>
      <c r="N105" s="460"/>
      <c r="O105" s="922"/>
      <c r="P105" s="460"/>
    </row>
    <row r="106" spans="1:16">
      <c r="A106" s="906"/>
      <c r="B106" s="907"/>
      <c r="C106" s="908"/>
      <c r="D106" s="909"/>
      <c r="E106" s="905"/>
      <c r="F106" s="465"/>
      <c r="G106" s="922"/>
      <c r="H106" s="460"/>
      <c r="I106" s="922"/>
      <c r="J106" s="460"/>
      <c r="K106" s="922"/>
      <c r="L106" s="460"/>
      <c r="M106" s="922"/>
      <c r="N106" s="460"/>
      <c r="O106" s="922"/>
      <c r="P106" s="460"/>
    </row>
    <row r="107" spans="1:16">
      <c r="A107" s="906"/>
      <c r="B107" s="907"/>
      <c r="C107" s="908"/>
      <c r="D107" s="909"/>
      <c r="E107" s="905"/>
      <c r="F107" s="465"/>
      <c r="G107" s="922"/>
      <c r="H107" s="460"/>
      <c r="I107" s="922"/>
      <c r="J107" s="460"/>
      <c r="K107" s="922"/>
      <c r="L107" s="460"/>
      <c r="M107" s="922"/>
      <c r="N107" s="460"/>
      <c r="O107" s="922"/>
      <c r="P107" s="460"/>
    </row>
    <row r="108" spans="1:16">
      <c r="A108" s="906"/>
      <c r="B108" s="907"/>
      <c r="C108" s="908"/>
      <c r="D108" s="909"/>
      <c r="E108" s="905"/>
      <c r="F108" s="465"/>
      <c r="G108" s="922"/>
      <c r="H108" s="460"/>
      <c r="I108" s="922"/>
      <c r="J108" s="460"/>
      <c r="K108" s="922"/>
      <c r="L108" s="460"/>
      <c r="M108" s="922"/>
      <c r="N108" s="460"/>
      <c r="O108" s="922"/>
      <c r="P108" s="460"/>
    </row>
    <row r="109" spans="1:16">
      <c r="A109" s="906"/>
      <c r="B109" s="907"/>
      <c r="C109" s="908"/>
      <c r="D109" s="909"/>
      <c r="E109" s="905"/>
      <c r="F109" s="465"/>
      <c r="G109" s="922"/>
      <c r="H109" s="460"/>
      <c r="I109" s="922"/>
      <c r="J109" s="460"/>
      <c r="K109" s="922"/>
      <c r="L109" s="460"/>
      <c r="M109" s="922"/>
      <c r="N109" s="460"/>
      <c r="O109" s="922"/>
      <c r="P109" s="460"/>
    </row>
    <row r="110" spans="1:16">
      <c r="A110" s="906"/>
      <c r="B110" s="907"/>
      <c r="C110" s="908"/>
      <c r="D110" s="909"/>
      <c r="E110" s="905"/>
      <c r="F110" s="465"/>
      <c r="G110" s="922"/>
      <c r="H110" s="460"/>
      <c r="I110" s="922"/>
      <c r="J110" s="460"/>
      <c r="K110" s="922"/>
      <c r="L110" s="460"/>
      <c r="M110" s="922"/>
      <c r="N110" s="460"/>
      <c r="O110" s="922"/>
      <c r="P110" s="460"/>
    </row>
    <row r="111" spans="1:16">
      <c r="A111" s="906"/>
      <c r="B111" s="907"/>
      <c r="C111" s="908"/>
      <c r="D111" s="909"/>
      <c r="E111" s="905"/>
      <c r="F111" s="465"/>
      <c r="G111" s="922"/>
      <c r="H111" s="460"/>
      <c r="I111" s="922"/>
      <c r="J111" s="460"/>
      <c r="K111" s="922"/>
      <c r="L111" s="460"/>
      <c r="M111" s="922"/>
      <c r="N111" s="460"/>
      <c r="O111" s="922"/>
      <c r="P111" s="460"/>
    </row>
    <row r="112" spans="1:16">
      <c r="A112" s="906"/>
      <c r="B112" s="907"/>
      <c r="C112" s="908"/>
      <c r="D112" s="909"/>
      <c r="E112" s="905"/>
      <c r="F112" s="465"/>
      <c r="G112" s="922"/>
      <c r="H112" s="460"/>
      <c r="I112" s="922"/>
      <c r="J112" s="460"/>
      <c r="K112" s="922"/>
      <c r="L112" s="460"/>
      <c r="M112" s="922"/>
      <c r="N112" s="460"/>
      <c r="O112" s="922"/>
      <c r="P112" s="460"/>
    </row>
    <row r="113" spans="1:16">
      <c r="A113" s="906"/>
      <c r="B113" s="907"/>
      <c r="C113" s="908"/>
      <c r="D113" s="909"/>
      <c r="E113" s="905"/>
      <c r="F113" s="465"/>
      <c r="G113" s="922"/>
      <c r="H113" s="460"/>
      <c r="I113" s="922"/>
      <c r="J113" s="460"/>
      <c r="K113" s="922"/>
      <c r="L113" s="460"/>
      <c r="M113" s="922"/>
      <c r="N113" s="460"/>
      <c r="O113" s="922"/>
      <c r="P113" s="460"/>
    </row>
    <row r="114" spans="1:16">
      <c r="A114" s="906"/>
      <c r="B114" s="907"/>
      <c r="C114" s="908"/>
      <c r="D114" s="909"/>
      <c r="E114" s="905"/>
      <c r="F114" s="465"/>
      <c r="G114" s="922"/>
      <c r="H114" s="460"/>
      <c r="I114" s="922"/>
      <c r="J114" s="460"/>
      <c r="K114" s="922"/>
      <c r="L114" s="460"/>
      <c r="M114" s="922"/>
      <c r="N114" s="460"/>
      <c r="O114" s="922"/>
      <c r="P114" s="460"/>
    </row>
    <row r="115" spans="1:16">
      <c r="A115" s="906"/>
      <c r="B115" s="907"/>
      <c r="C115" s="908"/>
      <c r="D115" s="909"/>
      <c r="E115" s="905"/>
      <c r="F115" s="465"/>
      <c r="G115" s="922"/>
      <c r="H115" s="460"/>
      <c r="I115" s="922"/>
      <c r="J115" s="460"/>
      <c r="K115" s="922"/>
      <c r="L115" s="460"/>
      <c r="M115" s="922"/>
      <c r="N115" s="460"/>
      <c r="O115" s="922"/>
      <c r="P115" s="460"/>
    </row>
    <row r="116" spans="1:16">
      <c r="A116" s="906"/>
      <c r="B116" s="907"/>
      <c r="C116" s="908"/>
      <c r="D116" s="909"/>
      <c r="E116" s="905"/>
      <c r="F116" s="465"/>
      <c r="G116" s="922"/>
      <c r="H116" s="460"/>
      <c r="I116" s="922"/>
      <c r="J116" s="460"/>
      <c r="K116" s="922"/>
      <c r="L116" s="460"/>
      <c r="M116" s="922"/>
      <c r="N116" s="460"/>
      <c r="O116" s="922"/>
      <c r="P116" s="460"/>
    </row>
    <row r="117" spans="1:16">
      <c r="A117" s="906"/>
      <c r="B117" s="907"/>
      <c r="C117" s="908"/>
      <c r="D117" s="909"/>
      <c r="E117" s="905"/>
      <c r="F117" s="465"/>
      <c r="G117" s="922"/>
      <c r="H117" s="460"/>
      <c r="I117" s="922"/>
      <c r="J117" s="460"/>
      <c r="K117" s="922"/>
      <c r="L117" s="460"/>
      <c r="M117" s="922"/>
      <c r="N117" s="460"/>
      <c r="O117" s="922"/>
      <c r="P117" s="460"/>
    </row>
    <row r="118" spans="1:16">
      <c r="A118" s="906"/>
      <c r="B118" s="907"/>
      <c r="C118" s="908"/>
      <c r="D118" s="909"/>
      <c r="E118" s="905"/>
      <c r="F118" s="465"/>
      <c r="G118" s="922"/>
      <c r="H118" s="460"/>
      <c r="I118" s="922"/>
      <c r="J118" s="460"/>
      <c r="K118" s="922"/>
      <c r="L118" s="460"/>
      <c r="M118" s="922"/>
      <c r="N118" s="460"/>
      <c r="O118" s="922"/>
      <c r="P118" s="460"/>
    </row>
    <row r="119" spans="1:16">
      <c r="A119" s="906"/>
      <c r="B119" s="907"/>
      <c r="C119" s="908"/>
      <c r="D119" s="909"/>
      <c r="E119" s="905"/>
      <c r="F119" s="465"/>
      <c r="G119" s="922"/>
      <c r="H119" s="460"/>
      <c r="I119" s="922"/>
      <c r="J119" s="460"/>
      <c r="K119" s="922"/>
      <c r="L119" s="460"/>
      <c r="M119" s="922"/>
      <c r="N119" s="460"/>
      <c r="O119" s="922"/>
      <c r="P119" s="460"/>
    </row>
    <row r="120" spans="1:16">
      <c r="A120" s="906"/>
      <c r="B120" s="907"/>
      <c r="C120" s="908"/>
      <c r="D120" s="909"/>
      <c r="E120" s="905"/>
      <c r="F120" s="465"/>
      <c r="G120" s="922"/>
      <c r="H120" s="460"/>
      <c r="I120" s="922"/>
      <c r="J120" s="460"/>
      <c r="K120" s="922"/>
      <c r="L120" s="460"/>
      <c r="M120" s="922"/>
      <c r="N120" s="460"/>
      <c r="O120" s="922"/>
      <c r="P120" s="460"/>
    </row>
    <row r="121" spans="1:16">
      <c r="A121" s="906"/>
      <c r="B121" s="907"/>
      <c r="C121" s="908"/>
      <c r="D121" s="909"/>
      <c r="E121" s="905"/>
      <c r="F121" s="465"/>
      <c r="G121" s="922"/>
      <c r="H121" s="460"/>
      <c r="I121" s="922"/>
      <c r="J121" s="460"/>
      <c r="K121" s="922"/>
      <c r="L121" s="460"/>
      <c r="M121" s="922"/>
      <c r="N121" s="460"/>
      <c r="O121" s="922"/>
      <c r="P121" s="460"/>
    </row>
    <row r="122" spans="1:16">
      <c r="A122" s="906"/>
      <c r="B122" s="907"/>
      <c r="C122" s="908"/>
      <c r="D122" s="909"/>
      <c r="E122" s="905"/>
      <c r="F122" s="465"/>
      <c r="G122" s="922"/>
      <c r="H122" s="460"/>
      <c r="I122" s="922"/>
      <c r="J122" s="460"/>
      <c r="K122" s="922"/>
      <c r="L122" s="460"/>
      <c r="M122" s="922"/>
      <c r="N122" s="460"/>
      <c r="O122" s="922"/>
      <c r="P122" s="460"/>
    </row>
    <row r="123" spans="1:16">
      <c r="A123" s="906"/>
      <c r="B123" s="907"/>
      <c r="C123" s="908"/>
      <c r="D123" s="909"/>
      <c r="E123" s="905"/>
      <c r="F123" s="465"/>
      <c r="G123" s="922"/>
      <c r="H123" s="460"/>
      <c r="I123" s="922"/>
      <c r="J123" s="460"/>
      <c r="K123" s="922"/>
      <c r="L123" s="460"/>
      <c r="M123" s="922"/>
      <c r="N123" s="460"/>
      <c r="O123" s="922"/>
      <c r="P123" s="460"/>
    </row>
    <row r="124" spans="1:16">
      <c r="A124" s="906"/>
      <c r="B124" s="907"/>
      <c r="C124" s="908"/>
      <c r="D124" s="909"/>
      <c r="E124" s="905"/>
      <c r="F124" s="465"/>
      <c r="G124" s="922"/>
      <c r="H124" s="460"/>
      <c r="I124" s="922"/>
      <c r="J124" s="460"/>
      <c r="K124" s="922"/>
      <c r="L124" s="460"/>
      <c r="M124" s="922"/>
      <c r="N124" s="460"/>
      <c r="O124" s="922"/>
      <c r="P124" s="460"/>
    </row>
    <row r="125" spans="1:16">
      <c r="A125" s="906"/>
      <c r="B125" s="907"/>
      <c r="C125" s="908"/>
      <c r="D125" s="909"/>
      <c r="E125" s="905"/>
      <c r="F125" s="465"/>
      <c r="G125" s="922"/>
      <c r="H125" s="460"/>
      <c r="I125" s="922"/>
      <c r="J125" s="460"/>
      <c r="K125" s="922"/>
      <c r="L125" s="460"/>
      <c r="M125" s="922"/>
      <c r="N125" s="460"/>
      <c r="O125" s="922"/>
      <c r="P125" s="460"/>
    </row>
    <row r="126" spans="1:16">
      <c r="A126" s="906"/>
      <c r="B126" s="907"/>
      <c r="C126" s="908"/>
      <c r="D126" s="909"/>
      <c r="E126" s="905"/>
      <c r="F126" s="465"/>
      <c r="G126" s="922"/>
      <c r="H126" s="460"/>
      <c r="I126" s="922"/>
      <c r="J126" s="460"/>
      <c r="K126" s="922"/>
      <c r="L126" s="460"/>
      <c r="M126" s="922"/>
      <c r="N126" s="460"/>
      <c r="O126" s="922"/>
      <c r="P126" s="460"/>
    </row>
    <row r="127" spans="1:16">
      <c r="A127" s="906"/>
      <c r="B127" s="907"/>
      <c r="C127" s="908"/>
      <c r="D127" s="909"/>
      <c r="E127" s="905"/>
      <c r="F127" s="465"/>
      <c r="G127" s="922"/>
      <c r="H127" s="460"/>
      <c r="I127" s="922"/>
      <c r="J127" s="460"/>
      <c r="K127" s="922"/>
      <c r="L127" s="460"/>
      <c r="M127" s="922"/>
      <c r="N127" s="460"/>
      <c r="O127" s="922"/>
      <c r="P127" s="460"/>
    </row>
    <row r="128" spans="1:16">
      <c r="A128" s="906"/>
      <c r="B128" s="907"/>
      <c r="C128" s="908"/>
      <c r="D128" s="909"/>
      <c r="E128" s="905"/>
      <c r="F128" s="465"/>
      <c r="G128" s="922"/>
      <c r="H128" s="460"/>
      <c r="I128" s="922"/>
      <c r="J128" s="460"/>
      <c r="K128" s="922"/>
      <c r="L128" s="460"/>
      <c r="M128" s="922"/>
      <c r="N128" s="460"/>
      <c r="O128" s="922"/>
      <c r="P128" s="460"/>
    </row>
    <row r="129" spans="1:16">
      <c r="A129" s="906"/>
      <c r="B129" s="907"/>
      <c r="C129" s="908"/>
      <c r="D129" s="909"/>
      <c r="E129" s="905"/>
      <c r="F129" s="465"/>
      <c r="G129" s="922"/>
      <c r="H129" s="460"/>
      <c r="I129" s="922"/>
      <c r="J129" s="460"/>
      <c r="K129" s="922"/>
      <c r="L129" s="460"/>
      <c r="M129" s="922"/>
      <c r="N129" s="460"/>
      <c r="O129" s="922"/>
      <c r="P129" s="460"/>
    </row>
    <row r="130" spans="1:16">
      <c r="A130" s="906"/>
      <c r="B130" s="907"/>
      <c r="C130" s="908"/>
      <c r="D130" s="909"/>
      <c r="E130" s="905"/>
      <c r="F130" s="465"/>
      <c r="G130" s="922"/>
      <c r="H130" s="460"/>
      <c r="I130" s="922"/>
      <c r="J130" s="460"/>
      <c r="K130" s="922"/>
      <c r="L130" s="460"/>
      <c r="M130" s="922"/>
      <c r="N130" s="460"/>
      <c r="O130" s="922"/>
      <c r="P130" s="460"/>
    </row>
    <row r="131" spans="1:16">
      <c r="A131" s="906"/>
      <c r="B131" s="907"/>
      <c r="C131" s="908"/>
      <c r="D131" s="909"/>
      <c r="E131" s="905"/>
      <c r="F131" s="465"/>
      <c r="G131" s="922"/>
      <c r="H131" s="460"/>
      <c r="I131" s="922"/>
      <c r="J131" s="460"/>
      <c r="K131" s="922"/>
      <c r="L131" s="460"/>
      <c r="M131" s="922"/>
      <c r="N131" s="460"/>
      <c r="O131" s="922"/>
      <c r="P131" s="460"/>
    </row>
    <row r="132" spans="1:16">
      <c r="A132" s="906"/>
      <c r="B132" s="907"/>
      <c r="C132" s="908"/>
      <c r="D132" s="909"/>
      <c r="E132" s="905"/>
      <c r="F132" s="465"/>
      <c r="G132" s="922"/>
      <c r="H132" s="460"/>
      <c r="I132" s="922"/>
      <c r="J132" s="460"/>
      <c r="K132" s="922"/>
      <c r="L132" s="460"/>
      <c r="M132" s="922"/>
      <c r="N132" s="460"/>
      <c r="O132" s="922"/>
      <c r="P132" s="460"/>
    </row>
    <row r="133" spans="1:16">
      <c r="A133" s="906"/>
      <c r="B133" s="907"/>
      <c r="C133" s="908"/>
      <c r="D133" s="909"/>
      <c r="E133" s="905"/>
      <c r="F133" s="465"/>
      <c r="G133" s="922"/>
      <c r="H133" s="460"/>
      <c r="I133" s="922"/>
      <c r="J133" s="460"/>
      <c r="K133" s="922"/>
      <c r="L133" s="460"/>
      <c r="M133" s="922"/>
      <c r="N133" s="460"/>
      <c r="O133" s="922"/>
      <c r="P133" s="460"/>
    </row>
    <row r="134" spans="1:16">
      <c r="A134" s="906"/>
      <c r="B134" s="907"/>
      <c r="C134" s="908"/>
      <c r="D134" s="909"/>
      <c r="E134" s="905"/>
      <c r="F134" s="465"/>
      <c r="G134" s="922"/>
      <c r="H134" s="460"/>
      <c r="I134" s="922"/>
      <c r="J134" s="460"/>
      <c r="K134" s="922"/>
      <c r="L134" s="460"/>
      <c r="M134" s="922"/>
      <c r="N134" s="460"/>
      <c r="O134" s="922"/>
      <c r="P134" s="460"/>
    </row>
    <row r="135" spans="1:16">
      <c r="A135" s="906"/>
      <c r="B135" s="907"/>
      <c r="C135" s="908"/>
      <c r="D135" s="909"/>
      <c r="E135" s="905"/>
      <c r="F135" s="465"/>
      <c r="G135" s="922"/>
      <c r="H135" s="460"/>
      <c r="I135" s="922"/>
      <c r="J135" s="460"/>
      <c r="K135" s="922"/>
      <c r="L135" s="460"/>
      <c r="M135" s="922"/>
      <c r="N135" s="460"/>
      <c r="O135" s="922"/>
      <c r="P135" s="460"/>
    </row>
    <row r="136" spans="1:16">
      <c r="A136" s="906"/>
      <c r="B136" s="907"/>
      <c r="C136" s="908"/>
      <c r="D136" s="909"/>
      <c r="E136" s="905"/>
      <c r="F136" s="465"/>
      <c r="G136" s="922"/>
      <c r="H136" s="460"/>
      <c r="I136" s="922"/>
      <c r="J136" s="460"/>
      <c r="K136" s="922"/>
      <c r="L136" s="460"/>
      <c r="M136" s="922"/>
      <c r="N136" s="460"/>
      <c r="O136" s="922"/>
      <c r="P136" s="460"/>
    </row>
    <row r="137" spans="1:16">
      <c r="A137" s="906"/>
      <c r="B137" s="907"/>
      <c r="C137" s="908"/>
      <c r="D137" s="909"/>
      <c r="E137" s="905"/>
      <c r="F137" s="465"/>
      <c r="G137" s="922"/>
      <c r="H137" s="460"/>
      <c r="I137" s="922"/>
      <c r="J137" s="460"/>
      <c r="K137" s="922"/>
      <c r="L137" s="460"/>
      <c r="M137" s="922"/>
      <c r="N137" s="460"/>
      <c r="O137" s="922"/>
      <c r="P137" s="460"/>
    </row>
    <row r="138" spans="1:16">
      <c r="A138" s="906"/>
      <c r="B138" s="907"/>
      <c r="C138" s="908"/>
      <c r="D138" s="909"/>
      <c r="E138" s="905"/>
      <c r="F138" s="465"/>
      <c r="G138" s="922"/>
      <c r="H138" s="460"/>
      <c r="I138" s="922"/>
      <c r="J138" s="460"/>
      <c r="K138" s="922"/>
      <c r="L138" s="460"/>
      <c r="M138" s="922"/>
      <c r="N138" s="460"/>
      <c r="O138" s="922"/>
      <c r="P138" s="460"/>
    </row>
    <row r="139" spans="1:16">
      <c r="A139" s="906"/>
      <c r="B139" s="907"/>
      <c r="C139" s="908"/>
      <c r="D139" s="909"/>
      <c r="E139" s="905"/>
      <c r="F139" s="465"/>
      <c r="G139" s="922"/>
      <c r="H139" s="460"/>
      <c r="I139" s="922"/>
      <c r="J139" s="460"/>
      <c r="K139" s="922"/>
      <c r="L139" s="460"/>
      <c r="M139" s="922"/>
      <c r="N139" s="460"/>
      <c r="O139" s="922"/>
      <c r="P139" s="460"/>
    </row>
    <row r="140" spans="1:16">
      <c r="A140" s="906"/>
      <c r="B140" s="907"/>
      <c r="C140" s="908"/>
      <c r="D140" s="909"/>
      <c r="E140" s="905"/>
      <c r="F140" s="465"/>
      <c r="G140" s="922"/>
      <c r="H140" s="460"/>
      <c r="I140" s="922"/>
      <c r="J140" s="460"/>
      <c r="K140" s="922"/>
      <c r="L140" s="460"/>
      <c r="M140" s="922"/>
      <c r="N140" s="460"/>
      <c r="O140" s="922"/>
      <c r="P140" s="460"/>
    </row>
    <row r="141" spans="1:16">
      <c r="A141" s="906"/>
      <c r="B141" s="907"/>
      <c r="C141" s="908"/>
      <c r="D141" s="909"/>
      <c r="E141" s="905"/>
      <c r="F141" s="465"/>
      <c r="G141" s="922"/>
      <c r="H141" s="460"/>
      <c r="I141" s="922"/>
      <c r="J141" s="460"/>
      <c r="K141" s="922"/>
      <c r="L141" s="460"/>
      <c r="M141" s="922"/>
      <c r="N141" s="460"/>
      <c r="O141" s="922"/>
      <c r="P141" s="460"/>
    </row>
    <row r="142" spans="1:16">
      <c r="A142" s="906"/>
      <c r="B142" s="907"/>
      <c r="C142" s="908"/>
      <c r="D142" s="909"/>
      <c r="E142" s="905"/>
      <c r="F142" s="465"/>
      <c r="G142" s="922"/>
      <c r="H142" s="460"/>
      <c r="I142" s="922"/>
      <c r="J142" s="460"/>
      <c r="K142" s="922"/>
      <c r="L142" s="460"/>
      <c r="M142" s="922"/>
      <c r="N142" s="460"/>
      <c r="O142" s="922"/>
      <c r="P142" s="460"/>
    </row>
    <row r="143" spans="1:16">
      <c r="A143" s="906"/>
      <c r="B143" s="907"/>
      <c r="C143" s="908"/>
      <c r="D143" s="909"/>
      <c r="E143" s="905"/>
      <c r="F143" s="465"/>
      <c r="G143" s="922"/>
      <c r="H143" s="460"/>
      <c r="I143" s="922"/>
      <c r="J143" s="460"/>
      <c r="K143" s="922"/>
      <c r="L143" s="460"/>
      <c r="M143" s="922"/>
      <c r="N143" s="460"/>
      <c r="O143" s="922"/>
      <c r="P143" s="460"/>
    </row>
    <row r="144" spans="1:16">
      <c r="A144" s="906"/>
      <c r="B144" s="907"/>
      <c r="C144" s="908"/>
      <c r="D144" s="909"/>
      <c r="E144" s="905"/>
      <c r="F144" s="465"/>
      <c r="G144" s="922"/>
      <c r="H144" s="460"/>
      <c r="I144" s="922"/>
      <c r="J144" s="460"/>
      <c r="K144" s="922"/>
      <c r="L144" s="460"/>
      <c r="M144" s="922"/>
      <c r="N144" s="460"/>
      <c r="O144" s="922"/>
      <c r="P144" s="460"/>
    </row>
    <row r="145" spans="1:16">
      <c r="A145" s="906"/>
      <c r="B145" s="907"/>
      <c r="C145" s="908"/>
      <c r="D145" s="909"/>
      <c r="E145" s="905"/>
      <c r="F145" s="465"/>
      <c r="G145" s="922"/>
      <c r="H145" s="460"/>
      <c r="I145" s="922"/>
      <c r="J145" s="460"/>
      <c r="K145" s="922"/>
      <c r="L145" s="460"/>
      <c r="M145" s="922"/>
      <c r="N145" s="460"/>
      <c r="O145" s="922"/>
      <c r="P145" s="460"/>
    </row>
    <row r="146" spans="1:16">
      <c r="A146" s="906"/>
      <c r="B146" s="907"/>
      <c r="C146" s="908"/>
      <c r="D146" s="909"/>
      <c r="E146" s="905"/>
      <c r="F146" s="465"/>
      <c r="G146" s="922"/>
      <c r="H146" s="460"/>
      <c r="I146" s="922"/>
      <c r="J146" s="460"/>
      <c r="K146" s="922"/>
      <c r="L146" s="460"/>
      <c r="M146" s="922"/>
      <c r="N146" s="460"/>
      <c r="O146" s="922"/>
      <c r="P146" s="460"/>
    </row>
    <row r="147" spans="1:16">
      <c r="A147" s="906"/>
      <c r="B147" s="907"/>
      <c r="C147" s="908"/>
      <c r="D147" s="909"/>
      <c r="E147" s="905"/>
      <c r="F147" s="465"/>
      <c r="G147" s="922"/>
      <c r="H147" s="460"/>
      <c r="I147" s="922"/>
      <c r="J147" s="460"/>
      <c r="K147" s="922"/>
      <c r="L147" s="460"/>
      <c r="M147" s="922"/>
      <c r="N147" s="460"/>
      <c r="O147" s="922"/>
      <c r="P147" s="460"/>
    </row>
    <row r="148" spans="1:16">
      <c r="A148" s="906"/>
      <c r="B148" s="907"/>
      <c r="C148" s="908"/>
      <c r="D148" s="909"/>
      <c r="E148" s="905"/>
      <c r="F148" s="465"/>
      <c r="G148" s="922"/>
      <c r="H148" s="460"/>
      <c r="I148" s="922"/>
      <c r="J148" s="460"/>
      <c r="K148" s="922"/>
      <c r="L148" s="460"/>
      <c r="M148" s="922"/>
      <c r="N148" s="460"/>
      <c r="O148" s="922"/>
      <c r="P148" s="460"/>
    </row>
    <row r="149" spans="1:16">
      <c r="A149" s="906"/>
      <c r="B149" s="907"/>
      <c r="C149" s="908"/>
      <c r="D149" s="909"/>
      <c r="E149" s="905"/>
      <c r="F149" s="465"/>
      <c r="G149" s="922"/>
      <c r="H149" s="460"/>
      <c r="I149" s="922"/>
      <c r="J149" s="460"/>
      <c r="K149" s="922"/>
      <c r="L149" s="460"/>
      <c r="M149" s="922"/>
      <c r="N149" s="460"/>
      <c r="O149" s="922"/>
      <c r="P149" s="460"/>
    </row>
    <row r="150" spans="1:16">
      <c r="A150" s="906"/>
      <c r="B150" s="907"/>
      <c r="C150" s="908"/>
      <c r="D150" s="909"/>
      <c r="E150" s="905"/>
      <c r="F150" s="465"/>
      <c r="G150" s="922"/>
      <c r="H150" s="460"/>
      <c r="I150" s="922"/>
      <c r="J150" s="460"/>
      <c r="K150" s="922"/>
      <c r="L150" s="460"/>
      <c r="M150" s="922"/>
      <c r="N150" s="460"/>
      <c r="O150" s="922"/>
      <c r="P150" s="460"/>
    </row>
    <row r="151" spans="1:16">
      <c r="A151" s="906"/>
      <c r="B151" s="907"/>
      <c r="C151" s="908"/>
      <c r="D151" s="909"/>
      <c r="E151" s="905"/>
      <c r="F151" s="465"/>
      <c r="G151" s="922"/>
      <c r="H151" s="460"/>
      <c r="I151" s="922"/>
      <c r="J151" s="460"/>
      <c r="K151" s="922"/>
      <c r="L151" s="460"/>
      <c r="M151" s="922"/>
      <c r="N151" s="460"/>
      <c r="O151" s="922"/>
      <c r="P151" s="460"/>
    </row>
    <row r="152" spans="1:16">
      <c r="A152" s="906"/>
      <c r="B152" s="907"/>
      <c r="C152" s="908"/>
      <c r="D152" s="909"/>
      <c r="E152" s="905"/>
      <c r="F152" s="465"/>
      <c r="G152" s="922"/>
      <c r="H152" s="460"/>
      <c r="I152" s="922"/>
      <c r="J152" s="460"/>
      <c r="K152" s="922"/>
      <c r="L152" s="460"/>
      <c r="M152" s="922"/>
      <c r="N152" s="460"/>
      <c r="O152" s="922"/>
      <c r="P152" s="460"/>
    </row>
    <row r="153" spans="1:16">
      <c r="A153" s="906"/>
      <c r="B153" s="907"/>
      <c r="C153" s="908"/>
      <c r="D153" s="909"/>
      <c r="E153" s="905"/>
      <c r="F153" s="465"/>
      <c r="G153" s="922"/>
      <c r="H153" s="460"/>
      <c r="I153" s="922"/>
      <c r="J153" s="460"/>
      <c r="K153" s="922"/>
      <c r="L153" s="460"/>
      <c r="M153" s="922"/>
      <c r="N153" s="460"/>
      <c r="O153" s="922"/>
      <c r="P153" s="460"/>
    </row>
    <row r="154" spans="1:16">
      <c r="A154" s="906"/>
      <c r="B154" s="907"/>
      <c r="C154" s="908"/>
      <c r="D154" s="909"/>
      <c r="E154" s="905"/>
      <c r="F154" s="465"/>
      <c r="G154" s="922"/>
      <c r="H154" s="460"/>
      <c r="I154" s="922"/>
      <c r="J154" s="460"/>
      <c r="K154" s="922"/>
      <c r="L154" s="460"/>
      <c r="M154" s="922"/>
      <c r="N154" s="460"/>
      <c r="O154" s="922"/>
      <c r="P154" s="460"/>
    </row>
    <row r="155" spans="1:16">
      <c r="A155" s="906"/>
      <c r="B155" s="907"/>
      <c r="C155" s="908"/>
      <c r="D155" s="909"/>
      <c r="E155" s="905"/>
      <c r="F155" s="465"/>
      <c r="G155" s="922"/>
      <c r="H155" s="460"/>
      <c r="I155" s="922"/>
      <c r="J155" s="460"/>
      <c r="K155" s="922"/>
      <c r="L155" s="460"/>
      <c r="M155" s="922"/>
      <c r="N155" s="460"/>
      <c r="O155" s="922"/>
      <c r="P155" s="460"/>
    </row>
    <row r="156" spans="1:16">
      <c r="A156" s="906"/>
      <c r="B156" s="907"/>
      <c r="C156" s="908"/>
      <c r="D156" s="909"/>
      <c r="E156" s="905"/>
      <c r="F156" s="465"/>
      <c r="G156" s="922"/>
      <c r="H156" s="460"/>
      <c r="I156" s="922"/>
      <c r="J156" s="460"/>
      <c r="K156" s="922"/>
      <c r="L156" s="460"/>
      <c r="M156" s="922"/>
      <c r="N156" s="460"/>
      <c r="O156" s="922"/>
      <c r="P156" s="460"/>
    </row>
    <row r="157" spans="1:16">
      <c r="A157" s="906"/>
      <c r="B157" s="907"/>
      <c r="C157" s="908"/>
      <c r="D157" s="909"/>
      <c r="E157" s="905"/>
      <c r="F157" s="465"/>
      <c r="G157" s="922"/>
      <c r="H157" s="460"/>
      <c r="I157" s="922"/>
      <c r="J157" s="460"/>
      <c r="K157" s="922"/>
      <c r="L157" s="460"/>
      <c r="M157" s="922"/>
      <c r="N157" s="460"/>
      <c r="O157" s="922"/>
      <c r="P157" s="460"/>
    </row>
    <row r="158" spans="1:16">
      <c r="A158" s="906"/>
      <c r="B158" s="907"/>
      <c r="C158" s="908"/>
      <c r="D158" s="909"/>
      <c r="E158" s="905"/>
      <c r="F158" s="465"/>
      <c r="G158" s="922"/>
      <c r="H158" s="460"/>
      <c r="I158" s="922"/>
      <c r="J158" s="460"/>
      <c r="K158" s="922"/>
      <c r="L158" s="460"/>
      <c r="M158" s="922"/>
      <c r="N158" s="460"/>
      <c r="O158" s="922"/>
      <c r="P158" s="460"/>
    </row>
    <row r="159" spans="1:16">
      <c r="A159" s="906"/>
      <c r="B159" s="907"/>
      <c r="C159" s="908"/>
      <c r="D159" s="909"/>
      <c r="E159" s="905"/>
      <c r="F159" s="465"/>
      <c r="G159" s="922"/>
      <c r="H159" s="460"/>
      <c r="I159" s="922"/>
      <c r="J159" s="460"/>
      <c r="K159" s="922"/>
      <c r="L159" s="460"/>
      <c r="M159" s="922"/>
      <c r="N159" s="460"/>
      <c r="O159" s="922"/>
      <c r="P159" s="460"/>
    </row>
    <row r="160" spans="1:16">
      <c r="A160" s="906"/>
      <c r="B160" s="907"/>
      <c r="C160" s="908"/>
      <c r="D160" s="909"/>
      <c r="E160" s="905"/>
      <c r="F160" s="465"/>
      <c r="G160" s="922"/>
      <c r="H160" s="460"/>
      <c r="I160" s="922"/>
      <c r="J160" s="460"/>
      <c r="K160" s="922"/>
      <c r="L160" s="460"/>
      <c r="M160" s="922"/>
      <c r="N160" s="460"/>
      <c r="O160" s="922"/>
      <c r="P160" s="460"/>
    </row>
    <row r="161" spans="1:16">
      <c r="A161" s="906"/>
      <c r="B161" s="907"/>
      <c r="C161" s="908"/>
      <c r="D161" s="909"/>
      <c r="E161" s="905"/>
      <c r="F161" s="465"/>
      <c r="G161" s="922"/>
      <c r="H161" s="460"/>
      <c r="I161" s="922"/>
      <c r="J161" s="460"/>
      <c r="K161" s="922"/>
      <c r="L161" s="460"/>
      <c r="M161" s="922"/>
      <c r="N161" s="460"/>
      <c r="O161" s="922"/>
      <c r="P161" s="460"/>
    </row>
    <row r="162" spans="1:16">
      <c r="A162" s="906"/>
      <c r="B162" s="907"/>
      <c r="C162" s="908"/>
      <c r="D162" s="909"/>
      <c r="E162" s="905"/>
      <c r="F162" s="465"/>
      <c r="G162" s="922"/>
      <c r="H162" s="460"/>
      <c r="I162" s="922"/>
      <c r="J162" s="460"/>
      <c r="K162" s="922"/>
      <c r="L162" s="460"/>
      <c r="M162" s="922"/>
      <c r="N162" s="460"/>
      <c r="O162" s="922"/>
      <c r="P162" s="460"/>
    </row>
    <row r="163" spans="1:16">
      <c r="A163" s="906"/>
      <c r="B163" s="907"/>
      <c r="C163" s="908"/>
      <c r="D163" s="909"/>
      <c r="E163" s="905"/>
      <c r="F163" s="465"/>
      <c r="G163" s="922"/>
      <c r="H163" s="460"/>
      <c r="I163" s="922"/>
      <c r="J163" s="460"/>
      <c r="K163" s="922"/>
      <c r="L163" s="460"/>
      <c r="M163" s="922"/>
      <c r="N163" s="460"/>
      <c r="O163" s="922"/>
      <c r="P163" s="460"/>
    </row>
    <row r="164" spans="1:16">
      <c r="A164" s="906"/>
      <c r="B164" s="907"/>
      <c r="C164" s="908"/>
      <c r="D164" s="909"/>
      <c r="E164" s="905"/>
      <c r="F164" s="465"/>
      <c r="G164" s="922"/>
      <c r="H164" s="460"/>
      <c r="I164" s="922"/>
      <c r="J164" s="460"/>
      <c r="K164" s="922"/>
      <c r="L164" s="460"/>
      <c r="M164" s="922"/>
      <c r="N164" s="460"/>
      <c r="O164" s="922"/>
      <c r="P164" s="460"/>
    </row>
    <row r="165" spans="1:16">
      <c r="A165" s="906"/>
      <c r="B165" s="907"/>
      <c r="C165" s="908"/>
      <c r="D165" s="909"/>
      <c r="E165" s="905"/>
      <c r="F165" s="465"/>
      <c r="G165" s="922"/>
      <c r="H165" s="460"/>
      <c r="I165" s="922"/>
      <c r="J165" s="460"/>
      <c r="K165" s="922"/>
      <c r="L165" s="460"/>
      <c r="M165" s="922"/>
      <c r="N165" s="460"/>
      <c r="O165" s="922"/>
      <c r="P165" s="460"/>
    </row>
    <row r="166" spans="1:16">
      <c r="A166" s="906"/>
      <c r="B166" s="907"/>
      <c r="C166" s="908"/>
      <c r="D166" s="909"/>
      <c r="E166" s="905"/>
      <c r="F166" s="465"/>
      <c r="G166" s="922"/>
      <c r="H166" s="460"/>
      <c r="I166" s="922"/>
      <c r="J166" s="460"/>
      <c r="K166" s="922"/>
      <c r="L166" s="460"/>
      <c r="M166" s="922"/>
      <c r="N166" s="460"/>
      <c r="O166" s="922"/>
      <c r="P166" s="460"/>
    </row>
    <row r="167" spans="1:16">
      <c r="A167" s="906"/>
      <c r="B167" s="907"/>
      <c r="C167" s="908"/>
      <c r="D167" s="909"/>
      <c r="E167" s="905"/>
      <c r="F167" s="465"/>
      <c r="G167" s="922"/>
      <c r="H167" s="460"/>
      <c r="I167" s="922"/>
      <c r="J167" s="460"/>
      <c r="K167" s="922"/>
      <c r="L167" s="460"/>
      <c r="M167" s="922"/>
      <c r="N167" s="460"/>
      <c r="O167" s="922"/>
      <c r="P167" s="460"/>
    </row>
    <row r="168" spans="1:16">
      <c r="A168" s="906"/>
      <c r="B168" s="907"/>
      <c r="C168" s="908"/>
      <c r="D168" s="909"/>
      <c r="E168" s="905"/>
      <c r="F168" s="465"/>
      <c r="G168" s="922"/>
      <c r="H168" s="460"/>
      <c r="I168" s="922"/>
      <c r="J168" s="460"/>
      <c r="K168" s="922"/>
      <c r="L168" s="460"/>
      <c r="M168" s="922"/>
      <c r="N168" s="460"/>
      <c r="O168" s="922"/>
      <c r="P168" s="460"/>
    </row>
    <row r="169" spans="1:16">
      <c r="A169" s="906"/>
      <c r="B169" s="907"/>
      <c r="C169" s="908"/>
      <c r="D169" s="909"/>
      <c r="E169" s="905"/>
      <c r="F169" s="465"/>
      <c r="G169" s="922"/>
      <c r="H169" s="460"/>
      <c r="I169" s="922"/>
      <c r="J169" s="460"/>
      <c r="K169" s="922"/>
      <c r="L169" s="460"/>
      <c r="M169" s="922"/>
      <c r="N169" s="460"/>
      <c r="O169" s="922"/>
      <c r="P169" s="460"/>
    </row>
    <row r="170" spans="1:16">
      <c r="A170" s="906"/>
      <c r="B170" s="907"/>
      <c r="C170" s="908"/>
      <c r="D170" s="909"/>
      <c r="E170" s="905"/>
      <c r="F170" s="465"/>
      <c r="G170" s="922"/>
      <c r="H170" s="460"/>
      <c r="I170" s="922"/>
      <c r="J170" s="460"/>
      <c r="K170" s="922"/>
      <c r="L170" s="460"/>
      <c r="M170" s="922"/>
      <c r="N170" s="460"/>
      <c r="O170" s="922"/>
      <c r="P170" s="460"/>
    </row>
    <row r="171" spans="1:16">
      <c r="A171" s="906"/>
      <c r="B171" s="907"/>
      <c r="C171" s="908"/>
      <c r="D171" s="909"/>
      <c r="E171" s="905"/>
      <c r="F171" s="465"/>
      <c r="G171" s="922"/>
      <c r="H171" s="460"/>
      <c r="I171" s="922"/>
      <c r="J171" s="460"/>
      <c r="K171" s="922"/>
      <c r="L171" s="460"/>
      <c r="M171" s="922"/>
      <c r="N171" s="460"/>
      <c r="O171" s="922"/>
      <c r="P171" s="460"/>
    </row>
    <row r="172" spans="1:16">
      <c r="A172" s="906"/>
      <c r="B172" s="907"/>
      <c r="C172" s="908"/>
      <c r="D172" s="909"/>
      <c r="E172" s="905"/>
      <c r="F172" s="465"/>
      <c r="G172" s="922"/>
      <c r="H172" s="460"/>
      <c r="I172" s="922"/>
      <c r="J172" s="460"/>
      <c r="K172" s="922"/>
      <c r="L172" s="460"/>
      <c r="M172" s="922"/>
      <c r="N172" s="460"/>
      <c r="O172" s="922"/>
      <c r="P172" s="460"/>
    </row>
    <row r="173" spans="1:16">
      <c r="A173" s="906"/>
      <c r="B173" s="907"/>
      <c r="C173" s="908"/>
      <c r="D173" s="909"/>
      <c r="E173" s="905"/>
      <c r="F173" s="465"/>
      <c r="G173" s="922"/>
      <c r="H173" s="460"/>
      <c r="I173" s="922"/>
      <c r="J173" s="460"/>
      <c r="K173" s="922"/>
      <c r="L173" s="460"/>
      <c r="M173" s="922"/>
      <c r="N173" s="460"/>
      <c r="O173" s="922"/>
      <c r="P173" s="460"/>
    </row>
    <row r="174" spans="1:16">
      <c r="A174" s="906"/>
      <c r="B174" s="907"/>
      <c r="C174" s="908"/>
      <c r="D174" s="909"/>
      <c r="E174" s="905"/>
      <c r="F174" s="465"/>
      <c r="G174" s="922"/>
      <c r="H174" s="460"/>
      <c r="I174" s="922"/>
      <c r="J174" s="460"/>
      <c r="K174" s="922"/>
      <c r="L174" s="460"/>
      <c r="M174" s="922"/>
      <c r="N174" s="460"/>
      <c r="O174" s="922"/>
      <c r="P174" s="460"/>
    </row>
    <row r="175" spans="1:16">
      <c r="A175" s="906"/>
      <c r="B175" s="907"/>
      <c r="C175" s="908"/>
      <c r="D175" s="909"/>
      <c r="E175" s="905"/>
      <c r="F175" s="465"/>
      <c r="G175" s="922"/>
      <c r="H175" s="460"/>
      <c r="I175" s="922"/>
      <c r="J175" s="460"/>
      <c r="K175" s="922"/>
      <c r="L175" s="460"/>
      <c r="M175" s="922"/>
      <c r="N175" s="460"/>
      <c r="O175" s="922"/>
      <c r="P175" s="460"/>
    </row>
    <row r="176" spans="1:16">
      <c r="A176" s="906"/>
      <c r="B176" s="907"/>
      <c r="C176" s="908"/>
      <c r="D176" s="909"/>
      <c r="E176" s="905"/>
      <c r="F176" s="465"/>
      <c r="G176" s="922"/>
      <c r="H176" s="460"/>
      <c r="I176" s="922"/>
      <c r="J176" s="460"/>
      <c r="K176" s="922"/>
      <c r="L176" s="460"/>
      <c r="M176" s="922"/>
      <c r="N176" s="460"/>
      <c r="O176" s="922"/>
      <c r="P176" s="460"/>
    </row>
    <row r="177" spans="1:16">
      <c r="A177" s="906"/>
      <c r="B177" s="907"/>
      <c r="C177" s="908"/>
      <c r="D177" s="909"/>
      <c r="E177" s="905"/>
      <c r="F177" s="465"/>
      <c r="G177" s="922"/>
      <c r="H177" s="460"/>
      <c r="I177" s="922"/>
      <c r="J177" s="460"/>
      <c r="K177" s="922"/>
      <c r="L177" s="460"/>
      <c r="M177" s="922"/>
      <c r="N177" s="460"/>
      <c r="O177" s="922"/>
      <c r="P177" s="460"/>
    </row>
    <row r="178" spans="1:16">
      <c r="A178" s="906"/>
      <c r="B178" s="907"/>
      <c r="C178" s="908"/>
      <c r="D178" s="909"/>
      <c r="E178" s="905"/>
      <c r="F178" s="465"/>
      <c r="G178" s="922"/>
      <c r="H178" s="460"/>
      <c r="I178" s="922"/>
      <c r="J178" s="460"/>
      <c r="K178" s="922"/>
      <c r="L178" s="460"/>
      <c r="M178" s="922"/>
      <c r="N178" s="460"/>
      <c r="O178" s="922"/>
      <c r="P178" s="460"/>
    </row>
    <row r="179" spans="1:16">
      <c r="A179" s="906"/>
      <c r="B179" s="907"/>
      <c r="C179" s="908"/>
      <c r="D179" s="909"/>
      <c r="E179" s="905"/>
      <c r="F179" s="465"/>
      <c r="G179" s="922"/>
      <c r="H179" s="460"/>
      <c r="I179" s="922"/>
      <c r="J179" s="460"/>
      <c r="K179" s="922"/>
      <c r="L179" s="460"/>
      <c r="M179" s="922"/>
      <c r="N179" s="460"/>
      <c r="O179" s="922"/>
      <c r="P179" s="460"/>
    </row>
    <row r="180" spans="1:16">
      <c r="A180" s="906"/>
      <c r="B180" s="907"/>
      <c r="C180" s="908"/>
      <c r="D180" s="909"/>
      <c r="E180" s="905"/>
      <c r="F180" s="465"/>
      <c r="G180" s="922"/>
      <c r="H180" s="460"/>
      <c r="I180" s="922"/>
      <c r="J180" s="460"/>
      <c r="K180" s="922"/>
      <c r="L180" s="460"/>
      <c r="M180" s="922"/>
      <c r="N180" s="460"/>
      <c r="O180" s="922"/>
      <c r="P180" s="460"/>
    </row>
    <row r="181" spans="1:16">
      <c r="A181" s="906"/>
      <c r="B181" s="907"/>
      <c r="C181" s="908"/>
      <c r="D181" s="909"/>
      <c r="E181" s="905"/>
      <c r="F181" s="465"/>
      <c r="G181" s="922"/>
      <c r="H181" s="460"/>
      <c r="I181" s="922"/>
      <c r="J181" s="460"/>
      <c r="K181" s="922"/>
      <c r="L181" s="460"/>
      <c r="M181" s="922"/>
      <c r="N181" s="460"/>
      <c r="O181" s="922"/>
      <c r="P181" s="460"/>
    </row>
    <row r="182" spans="1:16">
      <c r="A182" s="906"/>
      <c r="B182" s="907"/>
      <c r="C182" s="908"/>
      <c r="D182" s="909"/>
      <c r="E182" s="905"/>
      <c r="F182" s="465"/>
      <c r="G182" s="922"/>
      <c r="H182" s="460"/>
      <c r="I182" s="922"/>
      <c r="J182" s="460"/>
      <c r="K182" s="922"/>
      <c r="L182" s="460"/>
      <c r="M182" s="922"/>
      <c r="N182" s="460"/>
      <c r="O182" s="922"/>
      <c r="P182" s="460"/>
    </row>
    <row r="183" spans="1:16">
      <c r="A183" s="906"/>
      <c r="B183" s="907"/>
      <c r="C183" s="908"/>
      <c r="D183" s="909"/>
      <c r="E183" s="905"/>
      <c r="F183" s="465"/>
      <c r="G183" s="922"/>
      <c r="H183" s="460"/>
      <c r="I183" s="922"/>
      <c r="J183" s="460"/>
      <c r="K183" s="922"/>
      <c r="L183" s="460"/>
      <c r="M183" s="922"/>
      <c r="N183" s="460"/>
      <c r="O183" s="922"/>
      <c r="P183" s="460"/>
    </row>
    <row r="184" spans="1:16">
      <c r="A184" s="906"/>
      <c r="B184" s="907"/>
      <c r="C184" s="908"/>
      <c r="D184" s="909"/>
      <c r="E184" s="905"/>
      <c r="F184" s="465"/>
      <c r="G184" s="922"/>
      <c r="H184" s="460"/>
      <c r="I184" s="922"/>
      <c r="J184" s="460"/>
      <c r="K184" s="922"/>
      <c r="L184" s="460"/>
      <c r="M184" s="922"/>
      <c r="N184" s="460"/>
      <c r="O184" s="922"/>
      <c r="P184" s="460"/>
    </row>
    <row r="185" spans="1:16">
      <c r="A185" s="906"/>
      <c r="B185" s="907"/>
      <c r="C185" s="908"/>
      <c r="D185" s="909"/>
      <c r="E185" s="905"/>
      <c r="F185" s="465"/>
      <c r="G185" s="922"/>
      <c r="H185" s="460"/>
      <c r="I185" s="922"/>
      <c r="J185" s="460"/>
      <c r="K185" s="922"/>
      <c r="L185" s="460"/>
      <c r="M185" s="922"/>
      <c r="N185" s="460"/>
      <c r="O185" s="922"/>
      <c r="P185" s="460"/>
    </row>
    <row r="186" spans="1:16">
      <c r="A186" s="906"/>
      <c r="B186" s="907"/>
      <c r="C186" s="908"/>
      <c r="D186" s="909"/>
      <c r="E186" s="905"/>
      <c r="F186" s="465"/>
      <c r="G186" s="922"/>
      <c r="H186" s="460"/>
      <c r="I186" s="922"/>
      <c r="J186" s="460"/>
      <c r="K186" s="922"/>
      <c r="L186" s="460"/>
      <c r="M186" s="922"/>
      <c r="N186" s="460"/>
      <c r="O186" s="922"/>
      <c r="P186" s="460"/>
    </row>
    <row r="187" spans="1:16">
      <c r="A187" s="906"/>
      <c r="B187" s="907"/>
      <c r="C187" s="908"/>
      <c r="D187" s="909"/>
      <c r="E187" s="905"/>
      <c r="F187" s="465"/>
      <c r="G187" s="922"/>
      <c r="H187" s="460"/>
      <c r="I187" s="922"/>
      <c r="J187" s="460"/>
      <c r="K187" s="922"/>
      <c r="L187" s="460"/>
      <c r="M187" s="922"/>
      <c r="N187" s="460"/>
      <c r="O187" s="922"/>
      <c r="P187" s="460"/>
    </row>
    <row r="188" spans="1:16">
      <c r="A188" s="906"/>
      <c r="B188" s="907"/>
      <c r="C188" s="908"/>
      <c r="D188" s="909"/>
      <c r="E188" s="905"/>
      <c r="F188" s="465"/>
      <c r="G188" s="922"/>
      <c r="H188" s="460"/>
      <c r="I188" s="922"/>
      <c r="J188" s="460"/>
      <c r="K188" s="922"/>
      <c r="L188" s="460"/>
      <c r="M188" s="922"/>
      <c r="N188" s="460"/>
      <c r="O188" s="922"/>
      <c r="P188" s="460"/>
    </row>
    <row r="189" spans="1:16">
      <c r="A189" s="906"/>
      <c r="B189" s="907"/>
      <c r="C189" s="908"/>
      <c r="D189" s="909"/>
      <c r="E189" s="905"/>
      <c r="F189" s="465"/>
      <c r="G189" s="922"/>
      <c r="H189" s="460"/>
      <c r="I189" s="922"/>
      <c r="J189" s="460"/>
      <c r="K189" s="922"/>
      <c r="L189" s="460"/>
      <c r="M189" s="922"/>
      <c r="N189" s="460"/>
      <c r="O189" s="922"/>
      <c r="P189" s="460"/>
    </row>
    <row r="190" spans="1:16">
      <c r="A190" s="906"/>
      <c r="B190" s="907"/>
      <c r="C190" s="908"/>
      <c r="D190" s="909"/>
      <c r="E190" s="905"/>
      <c r="F190" s="465"/>
      <c r="G190" s="922"/>
      <c r="H190" s="460"/>
      <c r="I190" s="922"/>
      <c r="J190" s="460"/>
      <c r="K190" s="922"/>
      <c r="L190" s="460"/>
      <c r="M190" s="922"/>
      <c r="N190" s="460"/>
      <c r="O190" s="922"/>
      <c r="P190" s="460"/>
    </row>
    <row r="191" spans="1:16">
      <c r="A191" s="906"/>
      <c r="B191" s="907"/>
      <c r="C191" s="908"/>
      <c r="D191" s="909"/>
      <c r="E191" s="905"/>
      <c r="F191" s="465"/>
      <c r="G191" s="922"/>
      <c r="H191" s="460"/>
      <c r="I191" s="922"/>
      <c r="J191" s="460"/>
      <c r="K191" s="922"/>
      <c r="L191" s="460"/>
      <c r="M191" s="922"/>
      <c r="N191" s="460"/>
      <c r="O191" s="922"/>
      <c r="P191" s="460"/>
    </row>
    <row r="192" spans="1:16">
      <c r="A192" s="906"/>
      <c r="B192" s="907"/>
      <c r="C192" s="908"/>
      <c r="D192" s="909"/>
      <c r="E192" s="905"/>
      <c r="F192" s="465"/>
      <c r="G192" s="922"/>
      <c r="H192" s="460"/>
      <c r="I192" s="922"/>
      <c r="J192" s="460"/>
      <c r="K192" s="922"/>
      <c r="L192" s="460"/>
      <c r="M192" s="922"/>
      <c r="N192" s="460"/>
      <c r="O192" s="922"/>
      <c r="P192" s="460"/>
    </row>
    <row r="193" spans="1:16">
      <c r="A193" s="906"/>
      <c r="B193" s="907"/>
      <c r="C193" s="908"/>
      <c r="D193" s="909"/>
      <c r="E193" s="905"/>
      <c r="F193" s="465"/>
      <c r="G193" s="922"/>
      <c r="H193" s="460"/>
      <c r="I193" s="922"/>
      <c r="J193" s="460"/>
      <c r="K193" s="922"/>
      <c r="L193" s="460"/>
      <c r="M193" s="922"/>
      <c r="N193" s="460"/>
      <c r="O193" s="922"/>
      <c r="P193" s="460"/>
    </row>
    <row r="194" spans="1:16">
      <c r="A194" s="906"/>
      <c r="B194" s="907"/>
      <c r="C194" s="908"/>
      <c r="D194" s="909"/>
      <c r="E194" s="905"/>
      <c r="F194" s="465"/>
      <c r="G194" s="922"/>
      <c r="H194" s="460"/>
      <c r="I194" s="922"/>
      <c r="J194" s="460"/>
      <c r="K194" s="922"/>
      <c r="L194" s="460"/>
      <c r="M194" s="922"/>
      <c r="N194" s="460"/>
      <c r="O194" s="922"/>
      <c r="P194" s="460"/>
    </row>
    <row r="195" spans="1:16">
      <c r="A195" s="906"/>
      <c r="B195" s="907"/>
      <c r="C195" s="908"/>
      <c r="D195" s="909"/>
      <c r="E195" s="905"/>
      <c r="F195" s="465"/>
      <c r="G195" s="922"/>
      <c r="H195" s="460"/>
      <c r="I195" s="922"/>
      <c r="J195" s="460"/>
      <c r="K195" s="922"/>
      <c r="L195" s="460"/>
      <c r="M195" s="922"/>
      <c r="N195" s="460"/>
      <c r="O195" s="922"/>
      <c r="P195" s="460"/>
    </row>
    <row r="196" spans="1:16">
      <c r="A196" s="906"/>
      <c r="B196" s="907"/>
      <c r="C196" s="908"/>
      <c r="D196" s="909"/>
      <c r="E196" s="905"/>
      <c r="F196" s="465"/>
      <c r="G196" s="922"/>
      <c r="H196" s="460"/>
      <c r="I196" s="922"/>
      <c r="J196" s="460"/>
      <c r="K196" s="922"/>
      <c r="L196" s="460"/>
      <c r="M196" s="922"/>
      <c r="N196" s="460"/>
      <c r="O196" s="922"/>
      <c r="P196" s="460"/>
    </row>
    <row r="197" spans="1:16">
      <c r="A197" s="906"/>
      <c r="B197" s="907"/>
      <c r="C197" s="908"/>
      <c r="D197" s="909"/>
      <c r="E197" s="905"/>
      <c r="F197" s="465"/>
      <c r="G197" s="922"/>
      <c r="H197" s="460"/>
      <c r="I197" s="922"/>
      <c r="J197" s="460"/>
      <c r="K197" s="922"/>
      <c r="L197" s="460"/>
      <c r="M197" s="922"/>
      <c r="N197" s="460"/>
      <c r="O197" s="922"/>
      <c r="P197" s="460"/>
    </row>
    <row r="198" spans="1:16">
      <c r="A198" s="906"/>
      <c r="B198" s="907"/>
      <c r="C198" s="908"/>
      <c r="D198" s="909"/>
      <c r="E198" s="905"/>
      <c r="F198" s="465"/>
      <c r="G198" s="922"/>
      <c r="H198" s="460"/>
      <c r="I198" s="922"/>
      <c r="J198" s="460"/>
      <c r="K198" s="922"/>
      <c r="L198" s="460"/>
      <c r="M198" s="922"/>
      <c r="N198" s="460"/>
      <c r="O198" s="922"/>
      <c r="P198" s="460"/>
    </row>
    <row r="199" spans="1:16">
      <c r="A199" s="906"/>
      <c r="B199" s="907"/>
      <c r="C199" s="908"/>
      <c r="D199" s="909"/>
      <c r="E199" s="905"/>
      <c r="F199" s="465"/>
      <c r="G199" s="922"/>
      <c r="H199" s="460"/>
      <c r="I199" s="922"/>
      <c r="J199" s="460"/>
      <c r="K199" s="922"/>
      <c r="L199" s="460"/>
      <c r="M199" s="922"/>
      <c r="N199" s="460"/>
      <c r="O199" s="922"/>
      <c r="P199" s="460"/>
    </row>
    <row r="200" spans="1:16">
      <c r="A200" s="906"/>
      <c r="B200" s="907"/>
      <c r="C200" s="908"/>
      <c r="D200" s="909"/>
      <c r="E200" s="905"/>
      <c r="F200" s="465"/>
      <c r="G200" s="922"/>
      <c r="H200" s="460"/>
      <c r="I200" s="922"/>
      <c r="J200" s="460"/>
      <c r="K200" s="922"/>
      <c r="L200" s="460"/>
      <c r="M200" s="922"/>
      <c r="N200" s="460"/>
      <c r="O200" s="922"/>
      <c r="P200" s="460"/>
    </row>
    <row r="201" spans="1:16">
      <c r="A201" s="906"/>
      <c r="B201" s="907"/>
      <c r="C201" s="908"/>
      <c r="D201" s="909"/>
      <c r="E201" s="905"/>
      <c r="F201" s="465"/>
      <c r="G201" s="922"/>
      <c r="H201" s="460"/>
      <c r="I201" s="922"/>
      <c r="J201" s="460"/>
      <c r="K201" s="922"/>
      <c r="L201" s="460"/>
      <c r="M201" s="922"/>
      <c r="N201" s="460"/>
      <c r="O201" s="922"/>
      <c r="P201" s="460"/>
    </row>
    <row r="202" spans="1:16">
      <c r="A202" s="906"/>
      <c r="B202" s="907"/>
      <c r="C202" s="908"/>
      <c r="D202" s="909"/>
      <c r="E202" s="905"/>
      <c r="F202" s="465"/>
      <c r="G202" s="922"/>
      <c r="H202" s="460"/>
      <c r="I202" s="922"/>
      <c r="J202" s="460"/>
      <c r="K202" s="922"/>
      <c r="L202" s="460"/>
      <c r="M202" s="922"/>
      <c r="N202" s="460"/>
      <c r="O202" s="922"/>
      <c r="P202" s="460"/>
    </row>
    <row r="203" spans="1:16">
      <c r="A203" s="906"/>
      <c r="B203" s="907"/>
      <c r="C203" s="908"/>
      <c r="D203" s="909"/>
      <c r="E203" s="905"/>
      <c r="F203" s="465"/>
      <c r="G203" s="922"/>
      <c r="H203" s="460"/>
      <c r="I203" s="922"/>
      <c r="J203" s="460"/>
      <c r="K203" s="922"/>
      <c r="L203" s="460"/>
      <c r="M203" s="922"/>
      <c r="N203" s="460"/>
      <c r="O203" s="922"/>
      <c r="P203" s="460"/>
    </row>
    <row r="204" spans="1:16">
      <c r="A204" s="906"/>
      <c r="B204" s="907"/>
      <c r="C204" s="908"/>
      <c r="D204" s="909"/>
      <c r="E204" s="905"/>
      <c r="F204" s="465"/>
      <c r="G204" s="922"/>
      <c r="H204" s="460"/>
      <c r="I204" s="922"/>
      <c r="J204" s="460"/>
      <c r="K204" s="922"/>
      <c r="L204" s="460"/>
      <c r="M204" s="922"/>
      <c r="N204" s="460"/>
      <c r="O204" s="922"/>
      <c r="P204" s="460"/>
    </row>
    <row r="205" spans="1:16">
      <c r="A205" s="906"/>
      <c r="B205" s="907"/>
      <c r="C205" s="908"/>
      <c r="D205" s="909"/>
      <c r="E205" s="905"/>
      <c r="F205" s="465"/>
      <c r="G205" s="922"/>
      <c r="H205" s="460"/>
      <c r="I205" s="922"/>
      <c r="J205" s="460"/>
      <c r="K205" s="922"/>
      <c r="L205" s="460"/>
      <c r="M205" s="922"/>
      <c r="N205" s="460"/>
      <c r="O205" s="922"/>
      <c r="P205" s="460"/>
    </row>
    <row r="206" spans="1:16">
      <c r="A206" s="906"/>
      <c r="B206" s="907"/>
      <c r="C206" s="908"/>
      <c r="D206" s="909"/>
      <c r="E206" s="905"/>
      <c r="F206" s="465"/>
      <c r="G206" s="922"/>
      <c r="H206" s="460"/>
      <c r="I206" s="922"/>
      <c r="J206" s="460"/>
      <c r="K206" s="922"/>
      <c r="L206" s="460"/>
      <c r="M206" s="922"/>
      <c r="N206" s="460"/>
      <c r="O206" s="922"/>
      <c r="P206" s="460"/>
    </row>
    <row r="207" spans="1:16">
      <c r="A207" s="906"/>
      <c r="B207" s="907"/>
      <c r="C207" s="908"/>
      <c r="D207" s="909"/>
      <c r="E207" s="905"/>
      <c r="F207" s="465"/>
      <c r="G207" s="922"/>
      <c r="H207" s="460"/>
      <c r="I207" s="922"/>
      <c r="J207" s="460"/>
      <c r="K207" s="922"/>
      <c r="L207" s="460"/>
      <c r="M207" s="922"/>
      <c r="N207" s="460"/>
      <c r="O207" s="922"/>
      <c r="P207" s="460"/>
    </row>
    <row r="208" spans="1:16">
      <c r="A208" s="906"/>
      <c r="B208" s="907"/>
      <c r="C208" s="908"/>
      <c r="D208" s="909"/>
      <c r="E208" s="905"/>
      <c r="F208" s="465"/>
      <c r="G208" s="922"/>
      <c r="H208" s="460"/>
      <c r="I208" s="922"/>
      <c r="J208" s="460"/>
      <c r="K208" s="922"/>
      <c r="L208" s="460"/>
      <c r="M208" s="922"/>
      <c r="N208" s="460"/>
      <c r="O208" s="922"/>
      <c r="P208" s="460"/>
    </row>
    <row r="209" spans="1:16">
      <c r="A209" s="906"/>
      <c r="B209" s="907"/>
      <c r="C209" s="908"/>
      <c r="D209" s="909"/>
      <c r="E209" s="905"/>
      <c r="F209" s="465"/>
      <c r="G209" s="922"/>
      <c r="H209" s="460"/>
      <c r="I209" s="922"/>
      <c r="J209" s="460"/>
      <c r="K209" s="922"/>
      <c r="L209" s="460"/>
      <c r="M209" s="922"/>
      <c r="N209" s="460"/>
      <c r="O209" s="922"/>
      <c r="P209" s="460"/>
    </row>
    <row r="210" spans="1:16">
      <c r="A210" s="906"/>
      <c r="B210" s="907"/>
      <c r="C210" s="908"/>
      <c r="D210" s="909"/>
      <c r="E210" s="905"/>
      <c r="F210" s="465"/>
      <c r="G210" s="922"/>
      <c r="H210" s="460"/>
      <c r="I210" s="922"/>
      <c r="J210" s="460"/>
      <c r="K210" s="922"/>
      <c r="L210" s="460"/>
      <c r="M210" s="922"/>
      <c r="N210" s="460"/>
      <c r="O210" s="922"/>
      <c r="P210" s="460"/>
    </row>
    <row r="211" spans="1:16">
      <c r="A211" s="906"/>
      <c r="B211" s="907"/>
      <c r="C211" s="908"/>
      <c r="D211" s="909"/>
      <c r="E211" s="905"/>
      <c r="F211" s="465"/>
      <c r="G211" s="922"/>
      <c r="H211" s="460"/>
      <c r="I211" s="922"/>
      <c r="J211" s="460"/>
      <c r="K211" s="922"/>
      <c r="L211" s="460"/>
      <c r="M211" s="922"/>
      <c r="N211" s="460"/>
      <c r="O211" s="922"/>
      <c r="P211" s="460"/>
    </row>
    <row r="212" spans="1:16">
      <c r="A212" s="906"/>
      <c r="B212" s="907"/>
      <c r="C212" s="908"/>
      <c r="D212" s="909"/>
      <c r="E212" s="905"/>
      <c r="F212" s="465"/>
      <c r="G212" s="922"/>
      <c r="H212" s="460"/>
      <c r="I212" s="922"/>
      <c r="J212" s="460"/>
      <c r="K212" s="922"/>
      <c r="L212" s="460"/>
      <c r="M212" s="922"/>
      <c r="N212" s="460"/>
      <c r="O212" s="922"/>
      <c r="P212" s="460"/>
    </row>
    <row r="213" spans="1:16">
      <c r="A213" s="906"/>
      <c r="B213" s="907"/>
      <c r="C213" s="908"/>
      <c r="D213" s="909"/>
      <c r="E213" s="905"/>
      <c r="F213" s="465"/>
      <c r="G213" s="922"/>
      <c r="H213" s="460"/>
      <c r="I213" s="922"/>
      <c r="J213" s="460"/>
      <c r="K213" s="922"/>
      <c r="L213" s="460"/>
      <c r="M213" s="922"/>
      <c r="N213" s="460"/>
      <c r="O213" s="922"/>
      <c r="P213" s="460"/>
    </row>
    <row r="214" spans="1:16">
      <c r="A214" s="906"/>
      <c r="B214" s="907"/>
      <c r="C214" s="908"/>
      <c r="D214" s="909"/>
      <c r="E214" s="905"/>
      <c r="F214" s="465"/>
      <c r="G214" s="922"/>
      <c r="H214" s="460"/>
      <c r="I214" s="922"/>
      <c r="J214" s="460"/>
      <c r="K214" s="922"/>
      <c r="L214" s="460"/>
      <c r="M214" s="922"/>
      <c r="N214" s="460"/>
      <c r="O214" s="922"/>
      <c r="P214" s="460"/>
    </row>
    <row r="215" spans="1:16">
      <c r="A215" s="906"/>
      <c r="B215" s="907"/>
      <c r="C215" s="908"/>
      <c r="D215" s="909"/>
      <c r="E215" s="905"/>
      <c r="F215" s="465"/>
      <c r="G215" s="922"/>
      <c r="H215" s="460"/>
      <c r="I215" s="922"/>
      <c r="J215" s="460"/>
      <c r="K215" s="922"/>
      <c r="L215" s="460"/>
      <c r="M215" s="922"/>
      <c r="N215" s="460"/>
      <c r="O215" s="922"/>
      <c r="P215" s="460"/>
    </row>
    <row r="216" spans="1:16">
      <c r="A216" s="906"/>
      <c r="B216" s="907"/>
      <c r="C216" s="908"/>
      <c r="D216" s="909"/>
      <c r="E216" s="905"/>
      <c r="F216" s="465"/>
      <c r="G216" s="922"/>
      <c r="H216" s="460"/>
      <c r="I216" s="922"/>
      <c r="J216" s="460"/>
      <c r="K216" s="922"/>
      <c r="L216" s="460"/>
      <c r="M216" s="922"/>
      <c r="N216" s="460"/>
      <c r="O216" s="922"/>
      <c r="P216" s="460"/>
    </row>
    <row r="217" spans="1:16">
      <c r="A217" s="906"/>
      <c r="B217" s="907"/>
      <c r="C217" s="908"/>
      <c r="D217" s="909"/>
      <c r="E217" s="905"/>
      <c r="F217" s="465"/>
      <c r="G217" s="922"/>
      <c r="H217" s="460"/>
      <c r="I217" s="922"/>
      <c r="J217" s="460"/>
      <c r="K217" s="922"/>
      <c r="L217" s="460"/>
      <c r="M217" s="922"/>
      <c r="N217" s="460"/>
      <c r="O217" s="922"/>
      <c r="P217" s="460"/>
    </row>
    <row r="218" spans="1:16">
      <c r="A218" s="906"/>
      <c r="B218" s="907"/>
      <c r="C218" s="908"/>
      <c r="D218" s="909"/>
      <c r="E218" s="905"/>
      <c r="F218" s="465"/>
      <c r="G218" s="922"/>
      <c r="H218" s="460"/>
      <c r="I218" s="922"/>
      <c r="J218" s="460"/>
      <c r="K218" s="922"/>
      <c r="L218" s="460"/>
      <c r="M218" s="922"/>
      <c r="N218" s="460"/>
      <c r="O218" s="922"/>
      <c r="P218" s="460"/>
    </row>
    <row r="219" spans="1:16">
      <c r="A219" s="906"/>
      <c r="B219" s="907"/>
      <c r="C219" s="908"/>
      <c r="D219" s="909"/>
      <c r="E219" s="905"/>
      <c r="F219" s="465"/>
      <c r="G219" s="922"/>
      <c r="H219" s="460"/>
      <c r="I219" s="922"/>
      <c r="J219" s="460"/>
      <c r="K219" s="922"/>
      <c r="L219" s="460"/>
      <c r="M219" s="922"/>
      <c r="N219" s="460"/>
      <c r="O219" s="922"/>
      <c r="P219" s="460"/>
    </row>
    <row r="220" spans="1:16">
      <c r="A220" s="906"/>
      <c r="B220" s="907"/>
      <c r="C220" s="908"/>
      <c r="D220" s="909"/>
      <c r="E220" s="905"/>
      <c r="F220" s="465"/>
      <c r="G220" s="922"/>
      <c r="H220" s="460"/>
      <c r="I220" s="922"/>
      <c r="J220" s="460"/>
      <c r="K220" s="922"/>
      <c r="L220" s="460"/>
      <c r="M220" s="922"/>
      <c r="N220" s="460"/>
      <c r="O220" s="922"/>
      <c r="P220" s="460"/>
    </row>
    <row r="221" spans="1:16">
      <c r="A221" s="906"/>
      <c r="B221" s="907"/>
      <c r="C221" s="908"/>
      <c r="D221" s="909"/>
      <c r="E221" s="905"/>
      <c r="F221" s="465"/>
      <c r="G221" s="922"/>
      <c r="H221" s="460"/>
      <c r="I221" s="922"/>
      <c r="J221" s="460"/>
      <c r="K221" s="922"/>
      <c r="L221" s="460"/>
      <c r="M221" s="922"/>
      <c r="N221" s="460"/>
      <c r="O221" s="922"/>
      <c r="P221" s="460"/>
    </row>
    <row r="222" spans="1:16">
      <c r="A222" s="906"/>
      <c r="B222" s="907"/>
      <c r="C222" s="908"/>
      <c r="D222" s="909"/>
      <c r="E222" s="905"/>
      <c r="F222" s="465"/>
      <c r="G222" s="922"/>
      <c r="H222" s="460"/>
      <c r="I222" s="922"/>
      <c r="J222" s="460"/>
      <c r="K222" s="922"/>
      <c r="L222" s="460"/>
      <c r="M222" s="922"/>
      <c r="N222" s="460"/>
      <c r="O222" s="922"/>
      <c r="P222" s="460"/>
    </row>
    <row r="223" spans="1:16">
      <c r="A223" s="906"/>
      <c r="B223" s="907"/>
      <c r="C223" s="908"/>
      <c r="D223" s="909"/>
      <c r="E223" s="905"/>
      <c r="F223" s="465"/>
      <c r="G223" s="922"/>
      <c r="H223" s="460"/>
      <c r="I223" s="922"/>
      <c r="J223" s="460"/>
      <c r="K223" s="922"/>
      <c r="L223" s="460"/>
      <c r="M223" s="922"/>
      <c r="N223" s="460"/>
      <c r="O223" s="922"/>
      <c r="P223" s="460"/>
    </row>
    <row r="224" spans="1:16">
      <c r="A224" s="906"/>
      <c r="B224" s="907"/>
      <c r="C224" s="908"/>
      <c r="D224" s="909"/>
      <c r="E224" s="905"/>
      <c r="F224" s="465"/>
      <c r="G224" s="922"/>
      <c r="H224" s="460"/>
      <c r="I224" s="922"/>
      <c r="J224" s="460"/>
      <c r="K224" s="922"/>
      <c r="L224" s="460"/>
      <c r="M224" s="922"/>
      <c r="N224" s="460"/>
      <c r="O224" s="922"/>
      <c r="P224" s="460"/>
    </row>
    <row r="225" spans="1:16">
      <c r="A225" s="906"/>
      <c r="B225" s="907"/>
      <c r="C225" s="908"/>
      <c r="D225" s="909"/>
      <c r="E225" s="905"/>
      <c r="F225" s="465"/>
      <c r="G225" s="922"/>
      <c r="H225" s="460"/>
      <c r="I225" s="922"/>
      <c r="J225" s="460"/>
      <c r="K225" s="922"/>
      <c r="L225" s="460"/>
      <c r="M225" s="922"/>
      <c r="N225" s="460"/>
      <c r="O225" s="922"/>
      <c r="P225" s="460"/>
    </row>
    <row r="226" spans="1:16">
      <c r="A226" s="906"/>
      <c r="B226" s="907"/>
      <c r="C226" s="908"/>
      <c r="D226" s="909"/>
      <c r="E226" s="905"/>
      <c r="F226" s="465"/>
      <c r="G226" s="922"/>
      <c r="H226" s="460"/>
      <c r="I226" s="922"/>
      <c r="J226" s="460"/>
      <c r="K226" s="922"/>
      <c r="L226" s="460"/>
      <c r="M226" s="922"/>
      <c r="N226" s="460"/>
      <c r="O226" s="922"/>
      <c r="P226" s="460"/>
    </row>
    <row r="227" spans="1:16">
      <c r="A227" s="906"/>
      <c r="B227" s="907"/>
      <c r="C227" s="908"/>
      <c r="D227" s="909"/>
      <c r="E227" s="905"/>
      <c r="F227" s="465"/>
      <c r="G227" s="922"/>
      <c r="H227" s="460"/>
      <c r="I227" s="922"/>
      <c r="J227" s="460"/>
      <c r="K227" s="922"/>
      <c r="L227" s="460"/>
      <c r="M227" s="922"/>
      <c r="N227" s="460"/>
      <c r="O227" s="922"/>
      <c r="P227" s="460"/>
    </row>
    <row r="228" spans="1:16">
      <c r="A228" s="906"/>
      <c r="B228" s="907"/>
      <c r="C228" s="908"/>
      <c r="D228" s="909"/>
      <c r="E228" s="905"/>
      <c r="F228" s="465"/>
      <c r="G228" s="922"/>
      <c r="H228" s="460"/>
      <c r="I228" s="922"/>
      <c r="J228" s="460"/>
      <c r="K228" s="922"/>
      <c r="L228" s="460"/>
      <c r="M228" s="922"/>
      <c r="N228" s="460"/>
      <c r="O228" s="922"/>
      <c r="P228" s="460"/>
    </row>
    <row r="229" spans="1:16">
      <c r="A229" s="906"/>
      <c r="B229" s="907"/>
      <c r="C229" s="908"/>
      <c r="D229" s="909"/>
      <c r="E229" s="905"/>
      <c r="F229" s="465"/>
      <c r="G229" s="922"/>
      <c r="H229" s="460"/>
      <c r="I229" s="922"/>
      <c r="J229" s="460"/>
      <c r="K229" s="922"/>
      <c r="L229" s="460"/>
      <c r="M229" s="922"/>
      <c r="N229" s="460"/>
      <c r="O229" s="922"/>
      <c r="P229" s="460"/>
    </row>
    <row r="230" spans="1:16">
      <c r="A230" s="906"/>
      <c r="B230" s="907"/>
      <c r="C230" s="908"/>
      <c r="D230" s="909"/>
      <c r="E230" s="905"/>
      <c r="F230" s="465"/>
      <c r="G230" s="922"/>
      <c r="H230" s="460"/>
      <c r="I230" s="922"/>
      <c r="J230" s="460"/>
      <c r="K230" s="922"/>
      <c r="L230" s="460"/>
      <c r="M230" s="922"/>
      <c r="N230" s="460"/>
      <c r="O230" s="922"/>
      <c r="P230" s="460"/>
    </row>
    <row r="231" spans="1:16">
      <c r="A231" s="906"/>
      <c r="B231" s="907"/>
      <c r="C231" s="908"/>
      <c r="D231" s="909"/>
      <c r="E231" s="905"/>
      <c r="F231" s="465"/>
      <c r="G231" s="922"/>
      <c r="H231" s="460"/>
      <c r="I231" s="922"/>
      <c r="J231" s="460"/>
      <c r="K231" s="922"/>
      <c r="L231" s="460"/>
      <c r="M231" s="922"/>
      <c r="N231" s="460"/>
      <c r="O231" s="922"/>
      <c r="P231" s="460"/>
    </row>
    <row r="232" spans="1:16">
      <c r="A232" s="906"/>
      <c r="B232" s="907"/>
      <c r="C232" s="908"/>
      <c r="D232" s="909"/>
      <c r="E232" s="905"/>
      <c r="F232" s="465"/>
      <c r="G232" s="922"/>
      <c r="H232" s="460"/>
      <c r="I232" s="922"/>
      <c r="J232" s="460"/>
      <c r="K232" s="922"/>
      <c r="L232" s="460"/>
      <c r="M232" s="922"/>
      <c r="N232" s="460"/>
      <c r="O232" s="922"/>
      <c r="P232" s="460"/>
    </row>
    <row r="233" spans="1:16">
      <c r="A233" s="906"/>
      <c r="B233" s="907"/>
      <c r="C233" s="908"/>
      <c r="D233" s="909"/>
      <c r="E233" s="905"/>
      <c r="F233" s="465"/>
      <c r="G233" s="922"/>
      <c r="H233" s="460"/>
      <c r="I233" s="922"/>
      <c r="J233" s="460"/>
      <c r="K233" s="922"/>
      <c r="L233" s="460"/>
      <c r="M233" s="922"/>
      <c r="N233" s="460"/>
      <c r="O233" s="922"/>
      <c r="P233" s="460"/>
    </row>
    <row r="234" spans="1:16">
      <c r="A234" s="906"/>
      <c r="B234" s="907"/>
      <c r="C234" s="908"/>
      <c r="D234" s="909"/>
      <c r="E234" s="905"/>
      <c r="F234" s="465"/>
      <c r="G234" s="922"/>
      <c r="H234" s="460"/>
      <c r="I234" s="922"/>
      <c r="J234" s="460"/>
      <c r="K234" s="922"/>
      <c r="L234" s="460"/>
      <c r="M234" s="922"/>
      <c r="N234" s="460"/>
      <c r="O234" s="922"/>
      <c r="P234" s="460"/>
    </row>
    <row r="235" spans="1:16">
      <c r="A235" s="906"/>
      <c r="B235" s="907"/>
      <c r="C235" s="908"/>
      <c r="D235" s="909"/>
      <c r="E235" s="905"/>
      <c r="F235" s="465"/>
      <c r="G235" s="922"/>
      <c r="H235" s="460"/>
      <c r="I235" s="922"/>
      <c r="J235" s="460"/>
      <c r="K235" s="922"/>
      <c r="L235" s="460"/>
      <c r="M235" s="922"/>
      <c r="N235" s="460"/>
      <c r="O235" s="922"/>
      <c r="P235" s="460"/>
    </row>
    <row r="236" spans="1:16">
      <c r="A236" s="906"/>
      <c r="B236" s="907"/>
      <c r="C236" s="908"/>
      <c r="D236" s="909"/>
      <c r="E236" s="905"/>
      <c r="F236" s="465"/>
      <c r="G236" s="922"/>
      <c r="H236" s="460"/>
      <c r="I236" s="922"/>
      <c r="J236" s="460"/>
      <c r="K236" s="922"/>
      <c r="L236" s="460"/>
      <c r="M236" s="922"/>
      <c r="N236" s="460"/>
      <c r="O236" s="922"/>
      <c r="P236" s="460"/>
    </row>
    <row r="237" spans="1:16">
      <c r="A237" s="906"/>
      <c r="B237" s="907"/>
      <c r="C237" s="908"/>
      <c r="D237" s="909"/>
      <c r="E237" s="905"/>
      <c r="F237" s="465"/>
      <c r="G237" s="922"/>
      <c r="H237" s="460"/>
      <c r="I237" s="922"/>
      <c r="J237" s="460"/>
      <c r="K237" s="922"/>
      <c r="L237" s="460"/>
      <c r="M237" s="922"/>
      <c r="N237" s="460"/>
      <c r="O237" s="922"/>
      <c r="P237" s="460"/>
    </row>
    <row r="238" spans="1:16">
      <c r="A238" s="906"/>
      <c r="B238" s="907"/>
      <c r="C238" s="908"/>
      <c r="D238" s="909"/>
      <c r="E238" s="905"/>
      <c r="F238" s="465"/>
      <c r="G238" s="922"/>
      <c r="H238" s="460"/>
      <c r="I238" s="922"/>
      <c r="J238" s="460"/>
      <c r="K238" s="922"/>
      <c r="L238" s="460"/>
      <c r="M238" s="922"/>
      <c r="N238" s="460"/>
      <c r="O238" s="922"/>
      <c r="P238" s="460"/>
    </row>
    <row r="239" spans="1:16">
      <c r="A239" s="906"/>
      <c r="B239" s="907"/>
      <c r="C239" s="908"/>
      <c r="D239" s="909"/>
      <c r="E239" s="905"/>
      <c r="F239" s="465"/>
      <c r="G239" s="922"/>
      <c r="H239" s="460"/>
      <c r="I239" s="922"/>
      <c r="J239" s="460"/>
      <c r="K239" s="922"/>
      <c r="L239" s="460"/>
      <c r="M239" s="922"/>
      <c r="N239" s="460"/>
      <c r="O239" s="922"/>
      <c r="P239" s="460"/>
    </row>
    <row r="240" spans="1:16">
      <c r="A240" s="906"/>
      <c r="B240" s="907"/>
      <c r="C240" s="908"/>
      <c r="D240" s="909"/>
      <c r="E240" s="905"/>
      <c r="F240" s="465"/>
      <c r="G240" s="922"/>
      <c r="H240" s="460"/>
      <c r="I240" s="922"/>
      <c r="J240" s="460"/>
      <c r="K240" s="922"/>
      <c r="L240" s="460"/>
      <c r="M240" s="922"/>
      <c r="N240" s="460"/>
      <c r="O240" s="922"/>
      <c r="P240" s="460"/>
    </row>
    <row r="241" spans="1:16">
      <c r="A241" s="906"/>
      <c r="B241" s="907"/>
      <c r="C241" s="908"/>
      <c r="D241" s="909"/>
      <c r="E241" s="905"/>
      <c r="F241" s="465"/>
      <c r="G241" s="922"/>
      <c r="H241" s="460"/>
      <c r="I241" s="922"/>
      <c r="J241" s="460"/>
      <c r="K241" s="922"/>
      <c r="L241" s="460"/>
      <c r="M241" s="922"/>
      <c r="N241" s="460"/>
      <c r="O241" s="922"/>
      <c r="P241" s="460"/>
    </row>
    <row r="242" spans="1:16">
      <c r="A242" s="906"/>
      <c r="B242" s="907"/>
      <c r="C242" s="908"/>
      <c r="D242" s="909"/>
      <c r="E242" s="905"/>
      <c r="F242" s="465"/>
      <c r="G242" s="922"/>
      <c r="H242" s="460"/>
      <c r="I242" s="922"/>
      <c r="J242" s="460"/>
      <c r="K242" s="922"/>
      <c r="L242" s="460"/>
      <c r="M242" s="922"/>
      <c r="N242" s="460"/>
      <c r="O242" s="922"/>
      <c r="P242" s="460"/>
    </row>
    <row r="243" spans="1:16">
      <c r="A243" s="906"/>
      <c r="B243" s="907"/>
      <c r="C243" s="908"/>
      <c r="D243" s="909"/>
      <c r="E243" s="905"/>
      <c r="F243" s="465"/>
      <c r="G243" s="922"/>
      <c r="H243" s="460"/>
      <c r="I243" s="922"/>
      <c r="J243" s="460"/>
      <c r="K243" s="922"/>
      <c r="L243" s="460"/>
      <c r="M243" s="922"/>
      <c r="N243" s="460"/>
      <c r="O243" s="922"/>
      <c r="P243" s="460"/>
    </row>
    <row r="244" spans="1:16">
      <c r="A244" s="906"/>
      <c r="B244" s="907"/>
      <c r="C244" s="908"/>
      <c r="D244" s="909"/>
      <c r="E244" s="905"/>
      <c r="F244" s="465"/>
      <c r="G244" s="922"/>
      <c r="H244" s="460"/>
      <c r="I244" s="922"/>
      <c r="J244" s="460"/>
      <c r="K244" s="922"/>
      <c r="L244" s="460"/>
      <c r="M244" s="922"/>
      <c r="N244" s="460"/>
      <c r="O244" s="922"/>
      <c r="P244" s="460"/>
    </row>
    <row r="245" spans="1:16">
      <c r="A245" s="906"/>
      <c r="B245" s="907"/>
      <c r="C245" s="908"/>
      <c r="D245" s="909"/>
      <c r="E245" s="905"/>
      <c r="F245" s="465"/>
      <c r="G245" s="922"/>
      <c r="H245" s="460"/>
      <c r="I245" s="922"/>
      <c r="J245" s="460"/>
      <c r="K245" s="922"/>
      <c r="L245" s="460"/>
      <c r="M245" s="922"/>
      <c r="N245" s="460"/>
      <c r="O245" s="922"/>
      <c r="P245" s="460"/>
    </row>
    <row r="246" spans="1:16">
      <c r="A246" s="906"/>
      <c r="B246" s="907"/>
      <c r="C246" s="908"/>
      <c r="D246" s="909"/>
      <c r="E246" s="905"/>
      <c r="F246" s="465"/>
      <c r="G246" s="922"/>
      <c r="H246" s="460"/>
      <c r="I246" s="922"/>
      <c r="J246" s="460"/>
      <c r="K246" s="922"/>
      <c r="L246" s="460"/>
      <c r="M246" s="922"/>
      <c r="N246" s="460"/>
      <c r="O246" s="922"/>
      <c r="P246" s="460"/>
    </row>
    <row r="247" spans="1:16">
      <c r="A247" s="906"/>
      <c r="B247" s="907"/>
      <c r="C247" s="908"/>
      <c r="D247" s="909"/>
      <c r="E247" s="905"/>
      <c r="F247" s="465"/>
      <c r="G247" s="922"/>
      <c r="H247" s="460"/>
      <c r="I247" s="922"/>
      <c r="J247" s="460"/>
      <c r="K247" s="922"/>
      <c r="L247" s="460"/>
      <c r="M247" s="922"/>
      <c r="N247" s="460"/>
      <c r="O247" s="922"/>
      <c r="P247" s="460"/>
    </row>
    <row r="248" spans="1:16">
      <c r="A248" s="906"/>
      <c r="B248" s="907"/>
      <c r="C248" s="908"/>
      <c r="D248" s="909"/>
      <c r="E248" s="905"/>
      <c r="F248" s="465"/>
      <c r="G248" s="922"/>
      <c r="H248" s="460"/>
      <c r="I248" s="922"/>
      <c r="J248" s="460"/>
      <c r="K248" s="922"/>
      <c r="L248" s="460"/>
      <c r="M248" s="922"/>
      <c r="N248" s="460"/>
      <c r="O248" s="922"/>
      <c r="P248" s="460"/>
    </row>
    <row r="249" spans="1:16">
      <c r="A249" s="906"/>
      <c r="B249" s="907"/>
      <c r="C249" s="908"/>
      <c r="D249" s="909"/>
      <c r="E249" s="905"/>
      <c r="F249" s="465"/>
      <c r="G249" s="922"/>
      <c r="H249" s="460"/>
      <c r="I249" s="922"/>
      <c r="J249" s="460"/>
      <c r="K249" s="922"/>
      <c r="L249" s="460"/>
      <c r="M249" s="922"/>
      <c r="N249" s="460"/>
      <c r="O249" s="922"/>
      <c r="P249" s="460"/>
    </row>
    <row r="250" spans="1:16">
      <c r="A250" s="906"/>
      <c r="B250" s="907"/>
      <c r="C250" s="908"/>
      <c r="D250" s="909"/>
      <c r="E250" s="905"/>
      <c r="F250" s="465"/>
      <c r="G250" s="922"/>
      <c r="H250" s="460"/>
      <c r="I250" s="922"/>
      <c r="J250" s="460"/>
      <c r="K250" s="922"/>
      <c r="L250" s="460"/>
      <c r="M250" s="922"/>
      <c r="N250" s="460"/>
      <c r="O250" s="922"/>
      <c r="P250" s="460"/>
    </row>
    <row r="251" spans="1:16">
      <c r="A251" s="906"/>
      <c r="B251" s="907"/>
      <c r="C251" s="908"/>
      <c r="D251" s="909"/>
      <c r="E251" s="905"/>
      <c r="F251" s="465"/>
      <c r="G251" s="922"/>
      <c r="H251" s="460"/>
      <c r="I251" s="922"/>
      <c r="J251" s="460"/>
      <c r="K251" s="922"/>
      <c r="L251" s="460"/>
      <c r="M251" s="922"/>
      <c r="N251" s="460"/>
      <c r="O251" s="922"/>
      <c r="P251" s="460"/>
    </row>
    <row r="252" spans="1:16">
      <c r="A252" s="906"/>
      <c r="B252" s="907"/>
      <c r="C252" s="908"/>
      <c r="D252" s="909"/>
      <c r="E252" s="905"/>
      <c r="F252" s="465"/>
      <c r="G252" s="922"/>
      <c r="H252" s="460"/>
      <c r="I252" s="922"/>
      <c r="J252" s="460"/>
      <c r="K252" s="922"/>
      <c r="L252" s="460"/>
      <c r="M252" s="922"/>
      <c r="N252" s="460"/>
      <c r="O252" s="922"/>
      <c r="P252" s="460"/>
    </row>
    <row r="253" spans="1:16">
      <c r="A253" s="906"/>
      <c r="B253" s="907"/>
      <c r="C253" s="908"/>
      <c r="D253" s="909"/>
      <c r="E253" s="905"/>
      <c r="F253" s="465"/>
      <c r="G253" s="922"/>
      <c r="H253" s="460"/>
      <c r="I253" s="922"/>
      <c r="J253" s="460"/>
      <c r="K253" s="922"/>
      <c r="L253" s="460"/>
      <c r="M253" s="922"/>
      <c r="N253" s="460"/>
      <c r="O253" s="922"/>
      <c r="P253" s="460"/>
    </row>
    <row r="254" spans="1:16">
      <c r="A254" s="906"/>
      <c r="B254" s="907"/>
      <c r="C254" s="908"/>
      <c r="D254" s="909"/>
      <c r="E254" s="905"/>
      <c r="F254" s="465"/>
      <c r="G254" s="922"/>
      <c r="H254" s="460"/>
      <c r="I254" s="922"/>
      <c r="J254" s="460"/>
      <c r="K254" s="922"/>
      <c r="L254" s="460"/>
      <c r="M254" s="922"/>
      <c r="N254" s="460"/>
      <c r="O254" s="922"/>
      <c r="P254" s="460"/>
    </row>
    <row r="255" spans="1:16">
      <c r="A255" s="906"/>
      <c r="B255" s="907"/>
      <c r="C255" s="908"/>
      <c r="D255" s="909"/>
      <c r="E255" s="905"/>
      <c r="F255" s="465"/>
      <c r="G255" s="922"/>
      <c r="H255" s="460"/>
      <c r="I255" s="922"/>
      <c r="J255" s="460"/>
      <c r="K255" s="922"/>
      <c r="L255" s="460"/>
      <c r="M255" s="922"/>
      <c r="N255" s="460"/>
      <c r="O255" s="922"/>
      <c r="P255" s="460"/>
    </row>
    <row r="256" spans="1:16">
      <c r="A256" s="906"/>
      <c r="B256" s="907"/>
      <c r="C256" s="908"/>
      <c r="D256" s="909"/>
      <c r="E256" s="905"/>
      <c r="F256" s="465"/>
      <c r="G256" s="922"/>
      <c r="H256" s="460"/>
      <c r="I256" s="922"/>
      <c r="J256" s="460"/>
      <c r="K256" s="922"/>
      <c r="L256" s="460"/>
      <c r="M256" s="922"/>
      <c r="N256" s="460"/>
      <c r="O256" s="922"/>
      <c r="P256" s="460"/>
    </row>
    <row r="257" spans="1:16">
      <c r="A257" s="906"/>
      <c r="B257" s="907"/>
      <c r="C257" s="908"/>
      <c r="D257" s="909"/>
      <c r="E257" s="905"/>
      <c r="F257" s="465"/>
      <c r="G257" s="922"/>
      <c r="H257" s="460"/>
      <c r="I257" s="922"/>
      <c r="J257" s="460"/>
      <c r="K257" s="922"/>
      <c r="L257" s="460"/>
      <c r="M257" s="922"/>
      <c r="N257" s="460"/>
      <c r="O257" s="922"/>
      <c r="P257" s="460"/>
    </row>
    <row r="258" spans="1:16">
      <c r="A258" s="906"/>
      <c r="B258" s="907"/>
      <c r="C258" s="908"/>
      <c r="D258" s="909"/>
      <c r="E258" s="905"/>
      <c r="F258" s="465"/>
      <c r="G258" s="922"/>
      <c r="H258" s="460"/>
      <c r="I258" s="922"/>
      <c r="J258" s="460"/>
      <c r="K258" s="922"/>
      <c r="L258" s="460"/>
      <c r="M258" s="922"/>
      <c r="N258" s="460"/>
      <c r="O258" s="922"/>
      <c r="P258" s="460"/>
    </row>
    <row r="259" spans="1:16">
      <c r="A259" s="906"/>
      <c r="B259" s="907"/>
      <c r="C259" s="908"/>
      <c r="D259" s="909"/>
      <c r="E259" s="905"/>
      <c r="F259" s="465"/>
      <c r="G259" s="922"/>
      <c r="H259" s="460"/>
      <c r="I259" s="922"/>
      <c r="J259" s="460"/>
      <c r="K259" s="922"/>
      <c r="L259" s="460"/>
      <c r="M259" s="922"/>
      <c r="N259" s="460"/>
      <c r="O259" s="922"/>
      <c r="P259" s="460"/>
    </row>
    <row r="260" spans="1:16">
      <c r="A260" s="906"/>
      <c r="B260" s="907"/>
      <c r="C260" s="908"/>
      <c r="D260" s="909"/>
      <c r="E260" s="905"/>
      <c r="F260" s="465"/>
      <c r="G260" s="922"/>
      <c r="H260" s="460"/>
      <c r="I260" s="922"/>
      <c r="J260" s="460"/>
      <c r="K260" s="922"/>
      <c r="L260" s="460"/>
      <c r="M260" s="922"/>
      <c r="N260" s="460"/>
      <c r="O260" s="922"/>
      <c r="P260" s="460"/>
    </row>
    <row r="261" spans="1:16">
      <c r="A261" s="906"/>
      <c r="B261" s="907"/>
      <c r="C261" s="908"/>
      <c r="D261" s="909"/>
      <c r="E261" s="905"/>
      <c r="F261" s="465"/>
      <c r="G261" s="922"/>
      <c r="H261" s="460"/>
      <c r="I261" s="922"/>
      <c r="J261" s="460"/>
      <c r="K261" s="922"/>
      <c r="L261" s="460"/>
      <c r="M261" s="922"/>
      <c r="N261" s="460"/>
      <c r="O261" s="922"/>
      <c r="P261" s="460"/>
    </row>
    <row r="262" spans="1:16">
      <c r="A262" s="906"/>
      <c r="B262" s="907"/>
      <c r="C262" s="908"/>
      <c r="D262" s="909"/>
      <c r="E262" s="905"/>
      <c r="F262" s="465"/>
      <c r="G262" s="922"/>
      <c r="H262" s="460"/>
      <c r="I262" s="922"/>
      <c r="J262" s="460"/>
      <c r="K262" s="922"/>
      <c r="L262" s="460"/>
      <c r="M262" s="922"/>
      <c r="N262" s="460"/>
      <c r="O262" s="922"/>
      <c r="P262" s="460"/>
    </row>
    <row r="263" spans="1:16">
      <c r="A263" s="906"/>
      <c r="B263" s="907"/>
      <c r="C263" s="908"/>
      <c r="D263" s="909"/>
      <c r="E263" s="905"/>
      <c r="F263" s="465"/>
      <c r="G263" s="922"/>
      <c r="H263" s="460"/>
      <c r="I263" s="922"/>
      <c r="J263" s="460"/>
      <c r="K263" s="922"/>
      <c r="L263" s="460"/>
      <c r="M263" s="922"/>
      <c r="N263" s="460"/>
      <c r="O263" s="922"/>
      <c r="P263" s="460"/>
    </row>
    <row r="264" spans="1:16">
      <c r="A264" s="906"/>
      <c r="B264" s="907"/>
      <c r="C264" s="908"/>
      <c r="D264" s="909"/>
      <c r="E264" s="905"/>
      <c r="F264" s="465"/>
      <c r="G264" s="922"/>
      <c r="H264" s="460"/>
      <c r="I264" s="922"/>
      <c r="J264" s="460"/>
      <c r="K264" s="922"/>
      <c r="L264" s="460"/>
      <c r="M264" s="922"/>
      <c r="N264" s="460"/>
      <c r="O264" s="922"/>
      <c r="P264" s="460"/>
    </row>
    <row r="265" spans="1:16">
      <c r="A265" s="906"/>
      <c r="B265" s="907"/>
      <c r="C265" s="908"/>
      <c r="D265" s="909"/>
      <c r="E265" s="905"/>
      <c r="F265" s="465"/>
      <c r="G265" s="922"/>
      <c r="H265" s="460"/>
      <c r="I265" s="922"/>
      <c r="J265" s="460"/>
      <c r="K265" s="922"/>
      <c r="L265" s="460"/>
      <c r="M265" s="922"/>
      <c r="N265" s="460"/>
      <c r="O265" s="922"/>
      <c r="P265" s="460"/>
    </row>
    <row r="266" spans="1:16">
      <c r="A266" s="906"/>
      <c r="B266" s="907"/>
      <c r="C266" s="908"/>
      <c r="D266" s="909"/>
      <c r="E266" s="905"/>
      <c r="F266" s="465"/>
      <c r="G266" s="922"/>
      <c r="H266" s="460"/>
      <c r="I266" s="922"/>
      <c r="J266" s="460"/>
      <c r="K266" s="922"/>
      <c r="L266" s="460"/>
      <c r="M266" s="922"/>
      <c r="N266" s="460"/>
      <c r="O266" s="922"/>
      <c r="P266" s="460"/>
    </row>
    <row r="267" spans="1:16">
      <c r="A267" s="906"/>
      <c r="B267" s="907"/>
      <c r="C267" s="908"/>
      <c r="D267" s="909"/>
      <c r="E267" s="905"/>
      <c r="F267" s="465"/>
      <c r="G267" s="922"/>
      <c r="H267" s="460"/>
      <c r="I267" s="922"/>
      <c r="J267" s="460"/>
      <c r="K267" s="922"/>
      <c r="L267" s="460"/>
      <c r="M267" s="922"/>
      <c r="N267" s="460"/>
      <c r="O267" s="922"/>
      <c r="P267" s="460"/>
    </row>
    <row r="268" spans="1:16">
      <c r="A268" s="906"/>
      <c r="B268" s="907"/>
      <c r="C268" s="908"/>
      <c r="D268" s="909"/>
      <c r="E268" s="905"/>
      <c r="F268" s="465"/>
      <c r="G268" s="922"/>
      <c r="H268" s="460"/>
      <c r="I268" s="922"/>
      <c r="J268" s="460"/>
      <c r="K268" s="922"/>
      <c r="L268" s="460"/>
      <c r="M268" s="922"/>
      <c r="N268" s="460"/>
      <c r="O268" s="922"/>
      <c r="P268" s="460"/>
    </row>
    <row r="269" spans="1:16">
      <c r="A269" s="906"/>
      <c r="B269" s="907"/>
      <c r="C269" s="908"/>
      <c r="D269" s="909"/>
      <c r="E269" s="905"/>
      <c r="F269" s="465"/>
      <c r="G269" s="922"/>
      <c r="H269" s="460"/>
      <c r="I269" s="922"/>
      <c r="J269" s="460"/>
      <c r="K269" s="922"/>
      <c r="L269" s="460"/>
      <c r="M269" s="922"/>
      <c r="N269" s="460"/>
      <c r="O269" s="922"/>
      <c r="P269" s="460"/>
    </row>
    <row r="270" spans="1:16">
      <c r="A270" s="906"/>
      <c r="B270" s="907"/>
      <c r="C270" s="908"/>
      <c r="D270" s="909"/>
      <c r="E270" s="905"/>
      <c r="F270" s="465"/>
      <c r="G270" s="922"/>
      <c r="H270" s="460"/>
      <c r="I270" s="922"/>
      <c r="J270" s="460"/>
      <c r="K270" s="922"/>
      <c r="L270" s="460"/>
      <c r="M270" s="922"/>
      <c r="N270" s="460"/>
      <c r="O270" s="922"/>
      <c r="P270" s="460"/>
    </row>
    <row r="271" spans="1:16">
      <c r="A271" s="906"/>
      <c r="B271" s="907"/>
      <c r="C271" s="908"/>
      <c r="D271" s="909"/>
      <c r="E271" s="905"/>
      <c r="F271" s="465"/>
      <c r="G271" s="922"/>
      <c r="H271" s="460"/>
      <c r="I271" s="922"/>
      <c r="J271" s="460"/>
      <c r="K271" s="922"/>
      <c r="L271" s="460"/>
      <c r="M271" s="922"/>
      <c r="N271" s="460"/>
      <c r="O271" s="922"/>
      <c r="P271" s="460"/>
    </row>
    <row r="272" spans="1:16">
      <c r="A272" s="906"/>
      <c r="B272" s="907"/>
      <c r="C272" s="908"/>
      <c r="D272" s="909"/>
      <c r="E272" s="905"/>
      <c r="F272" s="465"/>
      <c r="G272" s="922"/>
      <c r="H272" s="460"/>
      <c r="I272" s="922"/>
      <c r="J272" s="460"/>
      <c r="K272" s="922"/>
      <c r="L272" s="460"/>
      <c r="M272" s="922"/>
      <c r="N272" s="460"/>
      <c r="O272" s="922"/>
      <c r="P272" s="460"/>
    </row>
    <row r="273" spans="1:16">
      <c r="A273" s="906"/>
      <c r="B273" s="907"/>
      <c r="C273" s="908"/>
      <c r="D273" s="909"/>
      <c r="E273" s="905"/>
      <c r="F273" s="465"/>
      <c r="G273" s="922"/>
      <c r="H273" s="460"/>
      <c r="I273" s="922"/>
      <c r="J273" s="460"/>
      <c r="K273" s="922"/>
      <c r="L273" s="460"/>
      <c r="M273" s="922"/>
      <c r="N273" s="460"/>
      <c r="O273" s="922"/>
      <c r="P273" s="460"/>
    </row>
    <row r="274" spans="1:16">
      <c r="A274" s="906"/>
      <c r="B274" s="907"/>
      <c r="C274" s="908"/>
      <c r="D274" s="909"/>
      <c r="E274" s="905"/>
      <c r="F274" s="465"/>
      <c r="G274" s="922"/>
      <c r="H274" s="460"/>
      <c r="I274" s="922"/>
      <c r="J274" s="460"/>
      <c r="K274" s="922"/>
      <c r="L274" s="460"/>
      <c r="M274" s="922"/>
      <c r="N274" s="460"/>
      <c r="O274" s="922"/>
      <c r="P274" s="460"/>
    </row>
    <row r="275" spans="1:16">
      <c r="A275" s="906"/>
      <c r="B275" s="907"/>
      <c r="C275" s="908"/>
      <c r="D275" s="909"/>
      <c r="E275" s="905"/>
      <c r="F275" s="465"/>
      <c r="G275" s="922"/>
      <c r="H275" s="460"/>
      <c r="I275" s="922"/>
      <c r="J275" s="460"/>
      <c r="K275" s="922"/>
      <c r="L275" s="460"/>
      <c r="M275" s="922"/>
      <c r="N275" s="460"/>
      <c r="O275" s="922"/>
      <c r="P275" s="460"/>
    </row>
    <row r="276" spans="1:16">
      <c r="A276" s="906"/>
      <c r="B276" s="907"/>
      <c r="C276" s="908"/>
      <c r="D276" s="909"/>
      <c r="E276" s="905"/>
      <c r="F276" s="465"/>
      <c r="G276" s="922"/>
      <c r="H276" s="460"/>
      <c r="I276" s="922"/>
      <c r="J276" s="460"/>
      <c r="K276" s="922"/>
      <c r="L276" s="460"/>
      <c r="M276" s="922"/>
      <c r="N276" s="460"/>
      <c r="O276" s="922"/>
      <c r="P276" s="460"/>
    </row>
    <row r="277" spans="1:16">
      <c r="A277" s="906"/>
      <c r="B277" s="907"/>
      <c r="C277" s="908"/>
      <c r="D277" s="909"/>
      <c r="E277" s="905"/>
      <c r="F277" s="465"/>
      <c r="G277" s="922"/>
      <c r="H277" s="460"/>
      <c r="I277" s="922"/>
      <c r="J277" s="460"/>
      <c r="K277" s="922"/>
      <c r="L277" s="460"/>
      <c r="M277" s="922"/>
      <c r="N277" s="460"/>
      <c r="O277" s="922"/>
      <c r="P277" s="460"/>
    </row>
    <row r="278" spans="1:16">
      <c r="A278" s="906"/>
      <c r="B278" s="907"/>
      <c r="C278" s="908"/>
      <c r="D278" s="909"/>
      <c r="E278" s="905"/>
      <c r="F278" s="465"/>
      <c r="G278" s="922"/>
      <c r="H278" s="460"/>
      <c r="I278" s="922"/>
      <c r="J278" s="460"/>
      <c r="K278" s="922"/>
      <c r="L278" s="460"/>
      <c r="M278" s="922"/>
      <c r="N278" s="460"/>
      <c r="O278" s="922"/>
      <c r="P278" s="460"/>
    </row>
    <row r="279" spans="1:16">
      <c r="A279" s="906"/>
      <c r="B279" s="907"/>
      <c r="C279" s="908"/>
      <c r="D279" s="909"/>
      <c r="E279" s="905"/>
      <c r="F279" s="465"/>
      <c r="G279" s="922"/>
      <c r="H279" s="460"/>
      <c r="I279" s="922"/>
      <c r="J279" s="460"/>
      <c r="K279" s="922"/>
      <c r="L279" s="460"/>
      <c r="M279" s="922"/>
      <c r="N279" s="460"/>
      <c r="O279" s="922"/>
      <c r="P279" s="460"/>
    </row>
    <row r="280" spans="1:16">
      <c r="A280" s="906"/>
      <c r="B280" s="907"/>
      <c r="C280" s="908"/>
      <c r="D280" s="909"/>
      <c r="E280" s="905"/>
      <c r="F280" s="465"/>
      <c r="G280" s="922"/>
      <c r="H280" s="460"/>
      <c r="I280" s="922"/>
      <c r="J280" s="460"/>
      <c r="K280" s="922"/>
      <c r="L280" s="460"/>
      <c r="M280" s="922"/>
      <c r="N280" s="460"/>
      <c r="O280" s="922"/>
      <c r="P280" s="460"/>
    </row>
    <row r="281" spans="1:16">
      <c r="A281" s="906"/>
      <c r="B281" s="907"/>
      <c r="C281" s="908"/>
      <c r="D281" s="909"/>
      <c r="E281" s="905"/>
      <c r="F281" s="465"/>
      <c r="G281" s="922"/>
      <c r="H281" s="460"/>
      <c r="I281" s="922"/>
      <c r="J281" s="460"/>
      <c r="K281" s="922"/>
      <c r="L281" s="460"/>
      <c r="M281" s="922"/>
      <c r="N281" s="460"/>
      <c r="O281" s="922"/>
      <c r="P281" s="460"/>
    </row>
    <row r="282" spans="1:16">
      <c r="A282" s="906"/>
      <c r="B282" s="907"/>
      <c r="C282" s="908"/>
      <c r="D282" s="909"/>
      <c r="E282" s="905"/>
      <c r="F282" s="465"/>
      <c r="G282" s="922"/>
      <c r="H282" s="460"/>
      <c r="I282" s="922"/>
      <c r="J282" s="460"/>
      <c r="K282" s="922"/>
      <c r="L282" s="460"/>
      <c r="M282" s="922"/>
      <c r="N282" s="460"/>
      <c r="O282" s="922"/>
      <c r="P282" s="460"/>
    </row>
    <row r="283" spans="1:16">
      <c r="A283" s="906"/>
      <c r="B283" s="907"/>
      <c r="C283" s="908"/>
      <c r="D283" s="909"/>
      <c r="E283" s="905"/>
      <c r="F283" s="465"/>
      <c r="G283" s="922"/>
      <c r="H283" s="460"/>
      <c r="I283" s="922"/>
      <c r="J283" s="460"/>
      <c r="K283" s="922"/>
      <c r="L283" s="460"/>
      <c r="M283" s="922"/>
      <c r="N283" s="460"/>
      <c r="O283" s="922"/>
      <c r="P283" s="460"/>
    </row>
    <row r="284" spans="1:16">
      <c r="A284" s="906"/>
      <c r="B284" s="907"/>
      <c r="C284" s="908"/>
      <c r="D284" s="909"/>
      <c r="E284" s="905"/>
      <c r="F284" s="465"/>
      <c r="G284" s="922"/>
      <c r="H284" s="460"/>
      <c r="I284" s="922"/>
      <c r="J284" s="460"/>
      <c r="K284" s="922"/>
      <c r="L284" s="460"/>
      <c r="M284" s="922"/>
      <c r="N284" s="460"/>
      <c r="O284" s="922"/>
      <c r="P284" s="460"/>
    </row>
    <row r="285" spans="1:16">
      <c r="A285" s="906"/>
      <c r="B285" s="907"/>
      <c r="C285" s="908"/>
      <c r="D285" s="909"/>
      <c r="E285" s="905"/>
      <c r="F285" s="465"/>
      <c r="G285" s="922"/>
      <c r="H285" s="460"/>
      <c r="I285" s="922"/>
      <c r="J285" s="460"/>
      <c r="K285" s="922"/>
      <c r="L285" s="460"/>
      <c r="M285" s="922"/>
      <c r="N285" s="460"/>
      <c r="O285" s="922"/>
      <c r="P285" s="460"/>
    </row>
    <row r="286" spans="1:16">
      <c r="A286" s="906"/>
      <c r="B286" s="907"/>
      <c r="C286" s="908"/>
      <c r="D286" s="909"/>
      <c r="E286" s="905"/>
      <c r="F286" s="465"/>
      <c r="G286" s="922"/>
      <c r="H286" s="460"/>
      <c r="I286" s="922"/>
      <c r="J286" s="460"/>
      <c r="K286" s="922"/>
      <c r="L286" s="460"/>
      <c r="M286" s="922"/>
      <c r="N286" s="460"/>
      <c r="O286" s="922"/>
      <c r="P286" s="460"/>
    </row>
    <row r="287" spans="1:16">
      <c r="A287" s="906"/>
      <c r="B287" s="907"/>
      <c r="C287" s="908"/>
      <c r="D287" s="909"/>
      <c r="E287" s="905"/>
      <c r="F287" s="465"/>
      <c r="G287" s="922"/>
      <c r="H287" s="460"/>
      <c r="I287" s="922"/>
      <c r="J287" s="460"/>
      <c r="K287" s="922"/>
      <c r="L287" s="460"/>
      <c r="M287" s="922"/>
      <c r="N287" s="460"/>
      <c r="O287" s="922"/>
      <c r="P287" s="460"/>
    </row>
    <row r="288" spans="1:16">
      <c r="A288" s="906"/>
      <c r="B288" s="907"/>
      <c r="C288" s="908"/>
      <c r="D288" s="909"/>
      <c r="E288" s="905"/>
      <c r="F288" s="465"/>
      <c r="G288" s="922"/>
      <c r="H288" s="460"/>
      <c r="I288" s="922"/>
      <c r="J288" s="460"/>
      <c r="K288" s="922"/>
      <c r="L288" s="460"/>
      <c r="M288" s="922"/>
      <c r="N288" s="460"/>
      <c r="O288" s="922"/>
      <c r="P288" s="460"/>
    </row>
    <row r="289" spans="1:16">
      <c r="A289" s="906"/>
      <c r="B289" s="907"/>
      <c r="C289" s="908"/>
      <c r="D289" s="909"/>
      <c r="E289" s="905"/>
      <c r="F289" s="465"/>
      <c r="G289" s="922"/>
      <c r="H289" s="460"/>
      <c r="I289" s="922"/>
      <c r="J289" s="460"/>
      <c r="K289" s="922"/>
      <c r="L289" s="460"/>
      <c r="M289" s="922"/>
      <c r="N289" s="460"/>
      <c r="O289" s="922"/>
      <c r="P289" s="460"/>
    </row>
    <row r="290" spans="1:16">
      <c r="A290" s="906"/>
      <c r="B290" s="907"/>
      <c r="C290" s="908"/>
      <c r="D290" s="909"/>
      <c r="E290" s="905"/>
      <c r="F290" s="465"/>
      <c r="G290" s="922"/>
      <c r="H290" s="460"/>
      <c r="I290" s="922"/>
      <c r="J290" s="460"/>
      <c r="K290" s="922"/>
      <c r="L290" s="460"/>
      <c r="M290" s="922"/>
      <c r="N290" s="460"/>
      <c r="O290" s="922"/>
      <c r="P290" s="460"/>
    </row>
    <row r="291" spans="1:16">
      <c r="A291" s="906"/>
      <c r="B291" s="907"/>
      <c r="C291" s="908"/>
      <c r="D291" s="909"/>
      <c r="E291" s="905"/>
      <c r="F291" s="465"/>
      <c r="G291" s="922"/>
      <c r="H291" s="460"/>
      <c r="I291" s="922"/>
      <c r="J291" s="460"/>
      <c r="K291" s="922"/>
      <c r="L291" s="460"/>
      <c r="M291" s="922"/>
      <c r="N291" s="460"/>
      <c r="O291" s="922"/>
      <c r="P291" s="460"/>
    </row>
    <row r="292" spans="1:16">
      <c r="A292" s="906"/>
      <c r="B292" s="907"/>
      <c r="C292" s="908"/>
      <c r="D292" s="909"/>
      <c r="E292" s="905"/>
      <c r="F292" s="465"/>
      <c r="G292" s="922"/>
      <c r="H292" s="460"/>
      <c r="I292" s="922"/>
      <c r="J292" s="460"/>
      <c r="K292" s="922"/>
      <c r="L292" s="460"/>
      <c r="M292" s="922"/>
      <c r="N292" s="460"/>
      <c r="O292" s="922"/>
      <c r="P292" s="460"/>
    </row>
    <row r="293" spans="1:16">
      <c r="A293" s="906"/>
      <c r="B293" s="907"/>
      <c r="C293" s="908"/>
      <c r="D293" s="909"/>
      <c r="E293" s="905"/>
      <c r="F293" s="465"/>
      <c r="G293" s="922"/>
      <c r="H293" s="460"/>
      <c r="I293" s="922"/>
      <c r="J293" s="460"/>
      <c r="K293" s="922"/>
      <c r="L293" s="460"/>
      <c r="M293" s="922"/>
      <c r="N293" s="460"/>
      <c r="O293" s="922"/>
      <c r="P293" s="460"/>
    </row>
    <row r="294" spans="1:16">
      <c r="A294" s="906"/>
      <c r="B294" s="907"/>
      <c r="C294" s="908"/>
      <c r="D294" s="909"/>
      <c r="E294" s="905"/>
      <c r="F294" s="465"/>
      <c r="G294" s="922"/>
      <c r="H294" s="460"/>
      <c r="I294" s="922"/>
      <c r="J294" s="460"/>
      <c r="K294" s="922"/>
      <c r="L294" s="460"/>
      <c r="M294" s="922"/>
      <c r="N294" s="460"/>
      <c r="O294" s="922"/>
      <c r="P294" s="460"/>
    </row>
    <row r="295" spans="1:16">
      <c r="A295" s="906"/>
      <c r="B295" s="907"/>
      <c r="C295" s="908"/>
      <c r="D295" s="909"/>
      <c r="E295" s="905"/>
      <c r="F295" s="465"/>
      <c r="G295" s="922"/>
      <c r="H295" s="460"/>
      <c r="I295" s="922"/>
      <c r="J295" s="460"/>
      <c r="K295" s="922"/>
      <c r="L295" s="460"/>
      <c r="M295" s="922"/>
      <c r="N295" s="460"/>
      <c r="O295" s="922"/>
      <c r="P295" s="460"/>
    </row>
    <row r="296" spans="1:16">
      <c r="A296" s="906"/>
      <c r="B296" s="907"/>
      <c r="C296" s="908"/>
      <c r="D296" s="909"/>
      <c r="E296" s="905"/>
      <c r="F296" s="465"/>
      <c r="G296" s="922"/>
      <c r="H296" s="460"/>
      <c r="I296" s="922"/>
      <c r="J296" s="460"/>
      <c r="K296" s="922"/>
      <c r="L296" s="460"/>
      <c r="M296" s="922"/>
      <c r="N296" s="460"/>
      <c r="O296" s="922"/>
      <c r="P296" s="460"/>
    </row>
    <row r="297" spans="1:16">
      <c r="A297" s="906"/>
      <c r="B297" s="907"/>
      <c r="C297" s="908"/>
      <c r="D297" s="909"/>
      <c r="E297" s="905"/>
      <c r="F297" s="465"/>
      <c r="G297" s="922"/>
      <c r="H297" s="460"/>
      <c r="I297" s="922"/>
      <c r="J297" s="460"/>
      <c r="K297" s="922"/>
      <c r="L297" s="460"/>
      <c r="M297" s="922"/>
      <c r="N297" s="460"/>
      <c r="O297" s="922"/>
      <c r="P297" s="460"/>
    </row>
    <row r="298" spans="1:16">
      <c r="A298" s="906"/>
      <c r="B298" s="907"/>
      <c r="C298" s="908"/>
      <c r="D298" s="909"/>
      <c r="E298" s="905"/>
      <c r="F298" s="465"/>
      <c r="G298" s="922"/>
      <c r="H298" s="460"/>
      <c r="I298" s="922"/>
      <c r="J298" s="460"/>
      <c r="K298" s="922"/>
      <c r="L298" s="460"/>
      <c r="M298" s="922"/>
      <c r="N298" s="460"/>
      <c r="O298" s="922"/>
      <c r="P298" s="460"/>
    </row>
    <row r="299" spans="1:16">
      <c r="A299" s="906"/>
      <c r="B299" s="907"/>
      <c r="C299" s="908"/>
      <c r="D299" s="909"/>
      <c r="E299" s="905"/>
      <c r="F299" s="465"/>
      <c r="G299" s="922"/>
      <c r="H299" s="460"/>
      <c r="I299" s="922"/>
      <c r="J299" s="460"/>
      <c r="K299" s="922"/>
      <c r="L299" s="460"/>
      <c r="M299" s="922"/>
      <c r="N299" s="460"/>
      <c r="O299" s="922"/>
      <c r="P299" s="460"/>
    </row>
    <row r="300" spans="1:16">
      <c r="A300" s="906"/>
      <c r="B300" s="907"/>
      <c r="C300" s="908"/>
      <c r="D300" s="909"/>
      <c r="E300" s="905"/>
      <c r="F300" s="465"/>
      <c r="G300" s="922"/>
      <c r="H300" s="460"/>
      <c r="I300" s="922"/>
      <c r="J300" s="460"/>
      <c r="K300" s="922"/>
      <c r="L300" s="460"/>
      <c r="M300" s="922"/>
      <c r="N300" s="460"/>
      <c r="O300" s="922"/>
      <c r="P300" s="460"/>
    </row>
    <row r="301" spans="1:16">
      <c r="A301" s="906"/>
      <c r="B301" s="907"/>
      <c r="C301" s="908"/>
      <c r="D301" s="909"/>
      <c r="E301" s="905"/>
      <c r="F301" s="465"/>
      <c r="G301" s="922"/>
      <c r="H301" s="460"/>
      <c r="I301" s="922"/>
      <c r="J301" s="460"/>
      <c r="K301" s="922"/>
      <c r="L301" s="460"/>
      <c r="M301" s="922"/>
      <c r="N301" s="460"/>
      <c r="O301" s="922"/>
      <c r="P301" s="460"/>
    </row>
    <row r="302" spans="1:16">
      <c r="A302" s="906"/>
      <c r="B302" s="907"/>
      <c r="C302" s="908"/>
      <c r="D302" s="909"/>
      <c r="E302" s="905"/>
      <c r="F302" s="465"/>
      <c r="G302" s="922"/>
      <c r="H302" s="460"/>
      <c r="I302" s="922"/>
      <c r="J302" s="460"/>
      <c r="K302" s="922"/>
      <c r="L302" s="460"/>
      <c r="M302" s="922"/>
      <c r="N302" s="460"/>
      <c r="O302" s="922"/>
      <c r="P302" s="460"/>
    </row>
    <row r="303" spans="1:16">
      <c r="A303" s="906"/>
      <c r="B303" s="907"/>
      <c r="C303" s="908"/>
      <c r="D303" s="909"/>
      <c r="E303" s="905"/>
      <c r="F303" s="465"/>
      <c r="G303" s="922"/>
      <c r="H303" s="460"/>
      <c r="I303" s="922"/>
      <c r="J303" s="460"/>
      <c r="K303" s="922"/>
      <c r="L303" s="460"/>
      <c r="M303" s="922"/>
      <c r="N303" s="460"/>
      <c r="O303" s="922"/>
      <c r="P303" s="460"/>
    </row>
    <row r="304" spans="1:16">
      <c r="A304" s="906"/>
      <c r="B304" s="907"/>
      <c r="C304" s="908"/>
      <c r="D304" s="909"/>
      <c r="E304" s="905"/>
      <c r="F304" s="465"/>
      <c r="G304" s="922"/>
      <c r="H304" s="460"/>
      <c r="I304" s="922"/>
      <c r="J304" s="460"/>
      <c r="K304" s="922"/>
      <c r="L304" s="460"/>
      <c r="M304" s="922"/>
      <c r="N304" s="460"/>
      <c r="O304" s="922"/>
      <c r="P304" s="460"/>
    </row>
    <row r="305" spans="1:16">
      <c r="A305" s="906"/>
      <c r="B305" s="907"/>
      <c r="C305" s="908"/>
      <c r="D305" s="909"/>
      <c r="E305" s="905"/>
      <c r="F305" s="465"/>
      <c r="G305" s="922"/>
      <c r="H305" s="460"/>
      <c r="I305" s="922"/>
      <c r="J305" s="460"/>
      <c r="K305" s="922"/>
      <c r="L305" s="460"/>
      <c r="M305" s="922"/>
      <c r="N305" s="460"/>
      <c r="O305" s="922"/>
      <c r="P305" s="460"/>
    </row>
    <row r="306" spans="1:16">
      <c r="A306" s="906"/>
      <c r="B306" s="907"/>
      <c r="C306" s="908"/>
      <c r="D306" s="909"/>
      <c r="E306" s="905"/>
      <c r="F306" s="465"/>
      <c r="G306" s="922"/>
      <c r="H306" s="460"/>
      <c r="I306" s="922"/>
      <c r="J306" s="460"/>
      <c r="K306" s="922"/>
      <c r="L306" s="460"/>
      <c r="M306" s="922"/>
      <c r="N306" s="460"/>
      <c r="O306" s="922"/>
      <c r="P306" s="460"/>
    </row>
    <row r="307" spans="1:16">
      <c r="A307" s="906"/>
      <c r="B307" s="907"/>
      <c r="C307" s="908"/>
      <c r="D307" s="909"/>
      <c r="E307" s="905"/>
      <c r="F307" s="465"/>
      <c r="G307" s="922"/>
      <c r="H307" s="460"/>
      <c r="I307" s="922"/>
      <c r="J307" s="460"/>
      <c r="K307" s="922"/>
      <c r="L307" s="460"/>
      <c r="M307" s="922"/>
      <c r="N307" s="460"/>
      <c r="O307" s="922"/>
      <c r="P307" s="460"/>
    </row>
    <row r="308" spans="1:16">
      <c r="A308" s="906"/>
      <c r="B308" s="907"/>
      <c r="C308" s="908"/>
      <c r="D308" s="909"/>
      <c r="E308" s="905"/>
      <c r="F308" s="465"/>
      <c r="G308" s="922"/>
      <c r="H308" s="460"/>
      <c r="I308" s="922"/>
      <c r="J308" s="460"/>
      <c r="K308" s="922"/>
      <c r="L308" s="460"/>
      <c r="M308" s="922"/>
      <c r="N308" s="460"/>
      <c r="O308" s="922"/>
      <c r="P308" s="460"/>
    </row>
    <row r="309" spans="1:16">
      <c r="A309" s="906"/>
      <c r="B309" s="907"/>
      <c r="C309" s="908"/>
      <c r="D309" s="909"/>
      <c r="E309" s="905"/>
      <c r="F309" s="465"/>
      <c r="G309" s="922"/>
      <c r="H309" s="460"/>
      <c r="I309" s="922"/>
      <c r="J309" s="460"/>
      <c r="K309" s="922"/>
      <c r="L309" s="460"/>
      <c r="M309" s="922"/>
      <c r="N309" s="460"/>
      <c r="O309" s="922"/>
      <c r="P309" s="460"/>
    </row>
    <row r="310" spans="1:16">
      <c r="A310" s="906"/>
      <c r="B310" s="907"/>
      <c r="C310" s="908"/>
      <c r="D310" s="909"/>
      <c r="E310" s="905"/>
      <c r="F310" s="465"/>
      <c r="G310" s="922"/>
      <c r="H310" s="460"/>
      <c r="I310" s="922"/>
      <c r="J310" s="460"/>
      <c r="K310" s="922"/>
      <c r="L310" s="460"/>
      <c r="M310" s="922"/>
      <c r="N310" s="460"/>
      <c r="O310" s="922"/>
      <c r="P310" s="460"/>
    </row>
    <row r="311" spans="1:16">
      <c r="A311" s="906"/>
      <c r="B311" s="907"/>
      <c r="C311" s="908"/>
      <c r="D311" s="909"/>
      <c r="E311" s="905"/>
      <c r="F311" s="465"/>
      <c r="G311" s="922"/>
      <c r="H311" s="460"/>
      <c r="I311" s="922"/>
      <c r="J311" s="460"/>
      <c r="K311" s="922"/>
      <c r="L311" s="460"/>
      <c r="M311" s="922"/>
      <c r="N311" s="460"/>
      <c r="O311" s="922"/>
      <c r="P311" s="460"/>
    </row>
    <row r="312" spans="1:16">
      <c r="A312" s="906"/>
      <c r="B312" s="907"/>
      <c r="C312" s="908"/>
      <c r="D312" s="909"/>
      <c r="E312" s="905"/>
      <c r="F312" s="465"/>
      <c r="G312" s="922"/>
      <c r="H312" s="460"/>
      <c r="I312" s="922"/>
      <c r="J312" s="460"/>
      <c r="K312" s="922"/>
      <c r="L312" s="460"/>
      <c r="M312" s="922"/>
      <c r="N312" s="460"/>
      <c r="O312" s="922"/>
      <c r="P312" s="460"/>
    </row>
    <row r="313" spans="1:16">
      <c r="A313" s="906"/>
      <c r="B313" s="907"/>
      <c r="C313" s="908"/>
      <c r="D313" s="909"/>
      <c r="E313" s="905"/>
      <c r="F313" s="465"/>
      <c r="G313" s="922"/>
      <c r="H313" s="460"/>
      <c r="I313" s="922"/>
      <c r="J313" s="460"/>
      <c r="K313" s="922"/>
      <c r="L313" s="460"/>
      <c r="M313" s="922"/>
      <c r="N313" s="460"/>
      <c r="O313" s="922"/>
      <c r="P313" s="460"/>
    </row>
    <row r="314" spans="1:16">
      <c r="A314" s="906"/>
      <c r="B314" s="907"/>
      <c r="C314" s="908"/>
      <c r="D314" s="909"/>
      <c r="E314" s="905"/>
      <c r="F314" s="465"/>
      <c r="G314" s="922"/>
      <c r="H314" s="460"/>
      <c r="I314" s="922"/>
      <c r="J314" s="460"/>
      <c r="K314" s="922"/>
      <c r="L314" s="460"/>
      <c r="M314" s="922"/>
      <c r="N314" s="460"/>
      <c r="O314" s="922"/>
      <c r="P314" s="460"/>
    </row>
    <row r="315" spans="1:16">
      <c r="A315" s="906"/>
      <c r="B315" s="907"/>
      <c r="C315" s="908"/>
      <c r="D315" s="909"/>
      <c r="E315" s="905"/>
      <c r="F315" s="465"/>
      <c r="G315" s="922"/>
      <c r="H315" s="460"/>
      <c r="I315" s="922"/>
      <c r="J315" s="460"/>
      <c r="K315" s="922"/>
      <c r="L315" s="460"/>
      <c r="M315" s="922"/>
      <c r="N315" s="460"/>
      <c r="O315" s="922"/>
      <c r="P315" s="460"/>
    </row>
    <row r="316" spans="1:16">
      <c r="A316" s="906"/>
      <c r="B316" s="907"/>
      <c r="C316" s="908"/>
      <c r="D316" s="909"/>
      <c r="E316" s="905"/>
      <c r="F316" s="465"/>
      <c r="G316" s="922"/>
      <c r="H316" s="460"/>
      <c r="I316" s="922"/>
      <c r="J316" s="460"/>
      <c r="K316" s="922"/>
      <c r="L316" s="460"/>
      <c r="M316" s="922"/>
      <c r="N316" s="460"/>
      <c r="O316" s="922"/>
      <c r="P316" s="460"/>
    </row>
    <row r="317" spans="1:16">
      <c r="A317" s="906"/>
      <c r="B317" s="907"/>
      <c r="C317" s="908"/>
      <c r="D317" s="909"/>
      <c r="E317" s="905"/>
      <c r="F317" s="465"/>
      <c r="G317" s="922"/>
      <c r="H317" s="460"/>
      <c r="I317" s="922"/>
      <c r="J317" s="460"/>
      <c r="K317" s="922"/>
      <c r="L317" s="460"/>
      <c r="M317" s="922"/>
      <c r="N317" s="460"/>
      <c r="O317" s="922"/>
      <c r="P317" s="460"/>
    </row>
    <row r="318" spans="1:16">
      <c r="A318" s="906"/>
      <c r="B318" s="907"/>
      <c r="C318" s="908"/>
      <c r="D318" s="909"/>
      <c r="E318" s="905"/>
      <c r="F318" s="465"/>
      <c r="G318" s="922"/>
      <c r="H318" s="460"/>
      <c r="I318" s="922"/>
      <c r="J318" s="460"/>
      <c r="K318" s="922"/>
      <c r="L318" s="460"/>
      <c r="M318" s="922"/>
      <c r="N318" s="460"/>
      <c r="O318" s="922"/>
      <c r="P318" s="460"/>
    </row>
    <row r="319" spans="1:16">
      <c r="A319" s="906"/>
      <c r="B319" s="907"/>
      <c r="C319" s="908"/>
      <c r="D319" s="909"/>
      <c r="E319" s="905"/>
      <c r="F319" s="465"/>
      <c r="G319" s="922"/>
      <c r="H319" s="460"/>
      <c r="I319" s="922"/>
      <c r="J319" s="460"/>
      <c r="K319" s="922"/>
      <c r="L319" s="460"/>
      <c r="M319" s="922"/>
      <c r="N319" s="460"/>
      <c r="O319" s="922"/>
      <c r="P319" s="460"/>
    </row>
    <row r="320" spans="1:16">
      <c r="A320" s="906"/>
      <c r="B320" s="907"/>
      <c r="C320" s="908"/>
      <c r="D320" s="909"/>
      <c r="E320" s="905"/>
      <c r="F320" s="465"/>
      <c r="G320" s="922"/>
      <c r="H320" s="460"/>
      <c r="I320" s="922"/>
      <c r="J320" s="460"/>
      <c r="K320" s="922"/>
      <c r="L320" s="460"/>
      <c r="M320" s="922"/>
      <c r="N320" s="460"/>
      <c r="O320" s="922"/>
      <c r="P320" s="460"/>
    </row>
    <row r="321" spans="1:16">
      <c r="A321" s="906"/>
      <c r="B321" s="907"/>
      <c r="C321" s="908"/>
      <c r="D321" s="909"/>
      <c r="E321" s="905"/>
      <c r="F321" s="465"/>
      <c r="G321" s="922"/>
      <c r="H321" s="460"/>
      <c r="I321" s="922"/>
      <c r="J321" s="460"/>
      <c r="K321" s="922"/>
      <c r="L321" s="460"/>
      <c r="M321" s="922"/>
      <c r="N321" s="460"/>
      <c r="O321" s="922"/>
      <c r="P321" s="460"/>
    </row>
    <row r="322" spans="1:16">
      <c r="A322" s="906"/>
      <c r="B322" s="907"/>
      <c r="C322" s="908"/>
      <c r="D322" s="909"/>
      <c r="E322" s="905"/>
      <c r="F322" s="465"/>
      <c r="G322" s="922"/>
      <c r="H322" s="460"/>
      <c r="I322" s="922"/>
      <c r="J322" s="460"/>
      <c r="K322" s="922"/>
      <c r="L322" s="460"/>
      <c r="M322" s="922"/>
      <c r="N322" s="460"/>
      <c r="O322" s="922"/>
      <c r="P322" s="460"/>
    </row>
    <row r="323" spans="1:16">
      <c r="A323" s="906"/>
      <c r="B323" s="907"/>
      <c r="C323" s="908"/>
      <c r="D323" s="909"/>
      <c r="E323" s="905"/>
      <c r="F323" s="465"/>
      <c r="G323" s="922"/>
      <c r="H323" s="460"/>
      <c r="I323" s="922"/>
      <c r="J323" s="460"/>
      <c r="K323" s="922"/>
      <c r="L323" s="460"/>
      <c r="M323" s="922"/>
      <c r="N323" s="460"/>
      <c r="O323" s="922"/>
      <c r="P323" s="460"/>
    </row>
    <row r="324" spans="1:16">
      <c r="A324" s="906"/>
      <c r="B324" s="907"/>
      <c r="C324" s="908"/>
      <c r="D324" s="909"/>
      <c r="E324" s="905"/>
      <c r="F324" s="465"/>
      <c r="G324" s="922"/>
      <c r="H324" s="460"/>
      <c r="I324" s="922"/>
      <c r="J324" s="460"/>
      <c r="K324" s="922"/>
      <c r="L324" s="460"/>
      <c r="M324" s="922"/>
      <c r="N324" s="460"/>
      <c r="O324" s="922"/>
      <c r="P324" s="460"/>
    </row>
    <row r="325" spans="1:16">
      <c r="A325" s="906"/>
      <c r="B325" s="907"/>
      <c r="C325" s="908"/>
      <c r="D325" s="909"/>
      <c r="E325" s="905"/>
      <c r="F325" s="465"/>
      <c r="G325" s="922"/>
      <c r="H325" s="460"/>
      <c r="I325" s="922"/>
      <c r="J325" s="460"/>
      <c r="K325" s="922"/>
      <c r="L325" s="460"/>
      <c r="M325" s="922"/>
      <c r="N325" s="460"/>
      <c r="O325" s="922"/>
      <c r="P325" s="460"/>
    </row>
    <row r="326" spans="1:16">
      <c r="A326" s="906"/>
      <c r="B326" s="907"/>
      <c r="C326" s="908"/>
      <c r="D326" s="909"/>
      <c r="E326" s="905"/>
      <c r="F326" s="465"/>
      <c r="G326" s="922"/>
      <c r="H326" s="460"/>
      <c r="I326" s="922"/>
      <c r="J326" s="460"/>
      <c r="K326" s="922"/>
      <c r="L326" s="460"/>
      <c r="M326" s="922"/>
      <c r="N326" s="460"/>
      <c r="O326" s="922"/>
      <c r="P326" s="460"/>
    </row>
    <row r="327" spans="1:16">
      <c r="A327" s="906"/>
      <c r="B327" s="907"/>
      <c r="C327" s="908"/>
      <c r="D327" s="909"/>
      <c r="E327" s="905"/>
      <c r="F327" s="465"/>
      <c r="G327" s="922"/>
      <c r="H327" s="460"/>
      <c r="I327" s="922"/>
      <c r="J327" s="460"/>
      <c r="K327" s="922"/>
      <c r="L327" s="460"/>
      <c r="M327" s="922"/>
      <c r="N327" s="460"/>
      <c r="O327" s="922"/>
      <c r="P327" s="460"/>
    </row>
    <row r="328" spans="1:16">
      <c r="A328" s="906"/>
      <c r="B328" s="907"/>
      <c r="C328" s="908"/>
      <c r="D328" s="909"/>
      <c r="E328" s="905"/>
      <c r="F328" s="465"/>
      <c r="G328" s="922"/>
      <c r="H328" s="460"/>
      <c r="I328" s="922"/>
      <c r="J328" s="460"/>
      <c r="K328" s="922"/>
      <c r="L328" s="460"/>
      <c r="M328" s="922"/>
      <c r="N328" s="460"/>
      <c r="O328" s="922"/>
      <c r="P328" s="460"/>
    </row>
    <row r="329" spans="1:16">
      <c r="A329" s="906"/>
      <c r="B329" s="907"/>
      <c r="C329" s="908"/>
      <c r="D329" s="909"/>
      <c r="E329" s="905"/>
      <c r="F329" s="465"/>
      <c r="G329" s="922"/>
      <c r="H329" s="460"/>
      <c r="I329" s="922"/>
      <c r="J329" s="460"/>
      <c r="K329" s="922"/>
      <c r="L329" s="460"/>
      <c r="M329" s="922"/>
      <c r="N329" s="460"/>
      <c r="O329" s="922"/>
      <c r="P329" s="460"/>
    </row>
    <row r="330" spans="1:16">
      <c r="A330" s="906"/>
      <c r="B330" s="907"/>
      <c r="C330" s="908"/>
      <c r="D330" s="909"/>
      <c r="E330" s="905"/>
      <c r="F330" s="465"/>
      <c r="G330" s="922"/>
      <c r="H330" s="460"/>
      <c r="I330" s="922"/>
      <c r="J330" s="460"/>
      <c r="K330" s="922"/>
      <c r="L330" s="460"/>
      <c r="M330" s="922"/>
      <c r="N330" s="460"/>
      <c r="O330" s="922"/>
      <c r="P330" s="460"/>
    </row>
    <row r="331" spans="1:16">
      <c r="A331" s="906"/>
      <c r="B331" s="907"/>
      <c r="C331" s="908"/>
      <c r="D331" s="909"/>
      <c r="E331" s="905"/>
      <c r="F331" s="465"/>
      <c r="G331" s="922"/>
      <c r="H331" s="460"/>
      <c r="I331" s="922"/>
      <c r="J331" s="460"/>
      <c r="K331" s="922"/>
      <c r="L331" s="460"/>
      <c r="M331" s="922"/>
      <c r="N331" s="460"/>
      <c r="O331" s="922"/>
      <c r="P331" s="460"/>
    </row>
    <row r="332" spans="1:16">
      <c r="A332" s="906"/>
      <c r="B332" s="907"/>
      <c r="C332" s="908"/>
      <c r="D332" s="909"/>
      <c r="E332" s="905"/>
      <c r="F332" s="465"/>
      <c r="G332" s="922"/>
      <c r="H332" s="460"/>
      <c r="I332" s="922"/>
      <c r="J332" s="460"/>
      <c r="K332" s="922"/>
      <c r="L332" s="460"/>
      <c r="M332" s="922"/>
      <c r="N332" s="460"/>
      <c r="O332" s="922"/>
      <c r="P332" s="460"/>
    </row>
    <row r="333" spans="1:16">
      <c r="A333" s="906"/>
      <c r="B333" s="907"/>
      <c r="C333" s="908"/>
      <c r="D333" s="909"/>
      <c r="E333" s="905"/>
      <c r="F333" s="465"/>
      <c r="G333" s="922"/>
      <c r="H333" s="460"/>
      <c r="I333" s="922"/>
      <c r="J333" s="460"/>
      <c r="K333" s="922"/>
      <c r="L333" s="460"/>
      <c r="M333" s="922"/>
      <c r="N333" s="460"/>
      <c r="O333" s="922"/>
      <c r="P333" s="460"/>
    </row>
    <row r="334" spans="1:16">
      <c r="A334" s="906"/>
      <c r="B334" s="907"/>
      <c r="C334" s="908"/>
      <c r="D334" s="909"/>
      <c r="E334" s="905"/>
      <c r="F334" s="465"/>
      <c r="G334" s="922"/>
      <c r="H334" s="460"/>
      <c r="I334" s="922"/>
      <c r="J334" s="460"/>
      <c r="K334" s="922"/>
      <c r="L334" s="460"/>
      <c r="M334" s="922"/>
      <c r="N334" s="460"/>
      <c r="O334" s="922"/>
      <c r="P334" s="460"/>
    </row>
    <row r="335" spans="1:16">
      <c r="A335" s="906"/>
      <c r="B335" s="907"/>
      <c r="C335" s="908"/>
      <c r="D335" s="909"/>
      <c r="E335" s="905"/>
      <c r="F335" s="465"/>
      <c r="G335" s="922"/>
      <c r="H335" s="460"/>
      <c r="I335" s="922"/>
      <c r="J335" s="460"/>
      <c r="K335" s="922"/>
      <c r="L335" s="460"/>
      <c r="M335" s="922"/>
      <c r="N335" s="460"/>
      <c r="O335" s="922"/>
      <c r="P335" s="460"/>
    </row>
    <row r="336" spans="1:16">
      <c r="A336" s="906"/>
      <c r="B336" s="907"/>
      <c r="C336" s="908"/>
      <c r="D336" s="909"/>
      <c r="E336" s="905"/>
      <c r="F336" s="465"/>
      <c r="G336" s="922"/>
      <c r="H336" s="460"/>
      <c r="I336" s="922"/>
      <c r="J336" s="460"/>
      <c r="K336" s="922"/>
      <c r="L336" s="460"/>
      <c r="M336" s="922"/>
      <c r="N336" s="460"/>
      <c r="O336" s="922"/>
      <c r="P336" s="460"/>
    </row>
    <row r="337" spans="1:16">
      <c r="A337" s="906"/>
      <c r="B337" s="907"/>
      <c r="C337" s="908"/>
      <c r="D337" s="909"/>
      <c r="E337" s="905"/>
      <c r="F337" s="465"/>
      <c r="G337" s="922"/>
      <c r="H337" s="460"/>
      <c r="I337" s="922"/>
      <c r="J337" s="460"/>
      <c r="K337" s="922"/>
      <c r="L337" s="460"/>
      <c r="M337" s="922"/>
      <c r="N337" s="460"/>
      <c r="O337" s="922"/>
      <c r="P337" s="460"/>
    </row>
    <row r="338" spans="1:16">
      <c r="A338" s="906"/>
      <c r="B338" s="907"/>
      <c r="C338" s="908"/>
      <c r="D338" s="909"/>
      <c r="E338" s="905"/>
      <c r="F338" s="465"/>
      <c r="G338" s="922"/>
      <c r="H338" s="460"/>
      <c r="I338" s="922"/>
      <c r="J338" s="460"/>
      <c r="K338" s="922"/>
      <c r="L338" s="460"/>
      <c r="M338" s="922"/>
      <c r="N338" s="460"/>
      <c r="O338" s="922"/>
      <c r="P338" s="460"/>
    </row>
    <row r="339" spans="1:16">
      <c r="A339" s="906"/>
      <c r="B339" s="907"/>
      <c r="C339" s="908"/>
      <c r="D339" s="909"/>
      <c r="E339" s="905"/>
      <c r="F339" s="465"/>
      <c r="G339" s="922"/>
      <c r="H339" s="460"/>
      <c r="I339" s="922"/>
      <c r="J339" s="460"/>
      <c r="K339" s="922"/>
      <c r="L339" s="460"/>
      <c r="M339" s="922"/>
      <c r="N339" s="460"/>
      <c r="O339" s="922"/>
      <c r="P339" s="460"/>
    </row>
    <row r="340" spans="1:16">
      <c r="A340" s="906"/>
      <c r="B340" s="907"/>
      <c r="C340" s="908"/>
      <c r="D340" s="909"/>
      <c r="E340" s="905"/>
      <c r="F340" s="465"/>
      <c r="G340" s="922"/>
      <c r="H340" s="460"/>
      <c r="I340" s="922"/>
      <c r="J340" s="460"/>
      <c r="K340" s="922"/>
      <c r="L340" s="460"/>
      <c r="M340" s="922"/>
      <c r="N340" s="460"/>
      <c r="O340" s="922"/>
      <c r="P340" s="460"/>
    </row>
    <row r="341" spans="1:16">
      <c r="A341" s="906"/>
      <c r="B341" s="907"/>
      <c r="C341" s="908"/>
      <c r="D341" s="909"/>
      <c r="E341" s="905"/>
      <c r="F341" s="465"/>
      <c r="G341" s="922"/>
      <c r="H341" s="460"/>
      <c r="I341" s="922"/>
      <c r="J341" s="460"/>
      <c r="K341" s="922"/>
      <c r="L341" s="460"/>
      <c r="M341" s="922"/>
      <c r="N341" s="460"/>
      <c r="O341" s="922"/>
      <c r="P341" s="460"/>
    </row>
    <row r="342" spans="1:16">
      <c r="A342" s="906"/>
      <c r="B342" s="907"/>
      <c r="C342" s="908"/>
      <c r="D342" s="909"/>
      <c r="E342" s="905"/>
      <c r="F342" s="465"/>
      <c r="G342" s="922"/>
      <c r="H342" s="460"/>
      <c r="I342" s="922"/>
      <c r="J342" s="460"/>
      <c r="K342" s="922"/>
      <c r="L342" s="460"/>
      <c r="M342" s="922"/>
      <c r="N342" s="460"/>
      <c r="O342" s="922"/>
      <c r="P342" s="460"/>
    </row>
    <row r="343" spans="1:16">
      <c r="A343" s="906"/>
      <c r="B343" s="907"/>
      <c r="C343" s="908"/>
      <c r="D343" s="909"/>
      <c r="E343" s="905"/>
      <c r="F343" s="465"/>
      <c r="G343" s="922"/>
      <c r="H343" s="460"/>
      <c r="I343" s="922"/>
      <c r="J343" s="460"/>
      <c r="K343" s="922"/>
      <c r="L343" s="460"/>
      <c r="M343" s="922"/>
      <c r="N343" s="460"/>
      <c r="O343" s="922"/>
      <c r="P343" s="460"/>
    </row>
    <row r="344" spans="1:16">
      <c r="A344" s="906"/>
      <c r="B344" s="907"/>
      <c r="C344" s="908"/>
      <c r="D344" s="909"/>
      <c r="E344" s="905"/>
      <c r="F344" s="465"/>
      <c r="G344" s="922"/>
      <c r="H344" s="460"/>
      <c r="I344" s="922"/>
      <c r="J344" s="460"/>
      <c r="K344" s="922"/>
      <c r="L344" s="460"/>
      <c r="M344" s="922"/>
      <c r="N344" s="460"/>
      <c r="O344" s="922"/>
      <c r="P344" s="460"/>
    </row>
    <row r="345" spans="1:16">
      <c r="A345" s="906"/>
      <c r="B345" s="907"/>
      <c r="C345" s="908"/>
      <c r="D345" s="909"/>
      <c r="E345" s="905"/>
      <c r="F345" s="465"/>
      <c r="G345" s="922"/>
      <c r="H345" s="460"/>
      <c r="I345" s="922"/>
      <c r="J345" s="460"/>
      <c r="K345" s="922"/>
      <c r="L345" s="460"/>
      <c r="M345" s="922"/>
      <c r="N345" s="460"/>
      <c r="O345" s="922"/>
      <c r="P345" s="460"/>
    </row>
    <row r="346" spans="1:16">
      <c r="A346" s="906"/>
      <c r="B346" s="907"/>
      <c r="C346" s="908"/>
      <c r="D346" s="909"/>
      <c r="E346" s="905"/>
      <c r="F346" s="465"/>
      <c r="G346" s="922"/>
      <c r="H346" s="460"/>
      <c r="I346" s="922"/>
      <c r="J346" s="460"/>
      <c r="K346" s="922"/>
      <c r="L346" s="460"/>
      <c r="M346" s="922"/>
      <c r="N346" s="460"/>
      <c r="O346" s="922"/>
      <c r="P346" s="460"/>
    </row>
    <row r="347" spans="1:16">
      <c r="A347" s="906"/>
      <c r="B347" s="907"/>
      <c r="C347" s="908"/>
      <c r="D347" s="909"/>
      <c r="E347" s="905"/>
      <c r="F347" s="465"/>
      <c r="G347" s="922"/>
      <c r="H347" s="460"/>
      <c r="I347" s="922"/>
      <c r="J347" s="460"/>
      <c r="K347" s="922"/>
      <c r="L347" s="460"/>
      <c r="M347" s="922"/>
      <c r="N347" s="460"/>
      <c r="O347" s="922"/>
      <c r="P347" s="460"/>
    </row>
    <row r="348" spans="1:16">
      <c r="A348" s="906"/>
      <c r="B348" s="907"/>
      <c r="C348" s="908"/>
      <c r="D348" s="909"/>
      <c r="E348" s="905"/>
      <c r="F348" s="465"/>
      <c r="G348" s="922"/>
      <c r="H348" s="460"/>
      <c r="I348" s="922"/>
      <c r="J348" s="460"/>
      <c r="K348" s="922"/>
      <c r="L348" s="460"/>
      <c r="M348" s="922"/>
      <c r="N348" s="460"/>
      <c r="O348" s="922"/>
      <c r="P348" s="460"/>
    </row>
    <row r="349" spans="1:16">
      <c r="A349" s="906"/>
      <c r="B349" s="907"/>
      <c r="C349" s="908"/>
      <c r="D349" s="909"/>
      <c r="E349" s="905"/>
      <c r="F349" s="465"/>
      <c r="G349" s="922"/>
      <c r="H349" s="460"/>
      <c r="I349" s="922"/>
      <c r="J349" s="460"/>
      <c r="K349" s="922"/>
      <c r="L349" s="460"/>
      <c r="M349" s="922"/>
      <c r="N349" s="460"/>
      <c r="O349" s="922"/>
      <c r="P349" s="460"/>
    </row>
    <row r="350" spans="1:16">
      <c r="A350" s="906"/>
      <c r="B350" s="907"/>
      <c r="C350" s="908"/>
      <c r="D350" s="909"/>
      <c r="E350" s="905"/>
      <c r="F350" s="465"/>
      <c r="G350" s="922"/>
      <c r="H350" s="460"/>
      <c r="I350" s="922"/>
      <c r="J350" s="460"/>
      <c r="K350" s="922"/>
      <c r="L350" s="460"/>
      <c r="M350" s="922"/>
      <c r="N350" s="460"/>
      <c r="O350" s="922"/>
      <c r="P350" s="460"/>
    </row>
    <row r="351" spans="1:16">
      <c r="A351" s="906"/>
      <c r="B351" s="907"/>
      <c r="C351" s="908"/>
      <c r="D351" s="909"/>
      <c r="E351" s="905"/>
      <c r="F351" s="465"/>
      <c r="G351" s="922"/>
      <c r="H351" s="460"/>
      <c r="I351" s="922"/>
      <c r="J351" s="460"/>
      <c r="K351" s="922"/>
      <c r="L351" s="460"/>
      <c r="M351" s="922"/>
      <c r="N351" s="460"/>
      <c r="O351" s="922"/>
      <c r="P351" s="460"/>
    </row>
    <row r="352" spans="1:16">
      <c r="A352" s="906"/>
      <c r="B352" s="907"/>
      <c r="C352" s="908"/>
      <c r="D352" s="909"/>
      <c r="E352" s="905"/>
      <c r="F352" s="465"/>
      <c r="G352" s="922"/>
      <c r="H352" s="460"/>
      <c r="I352" s="922"/>
      <c r="J352" s="460"/>
      <c r="K352" s="922"/>
      <c r="L352" s="460"/>
      <c r="M352" s="922"/>
      <c r="N352" s="460"/>
      <c r="O352" s="922"/>
      <c r="P352" s="460"/>
    </row>
    <row r="353" spans="1:16">
      <c r="A353" s="906"/>
      <c r="B353" s="907"/>
      <c r="C353" s="908"/>
      <c r="D353" s="909"/>
      <c r="E353" s="905"/>
      <c r="F353" s="465"/>
      <c r="G353" s="922"/>
      <c r="H353" s="460"/>
      <c r="I353" s="922"/>
      <c r="J353" s="460"/>
      <c r="K353" s="922"/>
      <c r="L353" s="460"/>
      <c r="M353" s="922"/>
      <c r="N353" s="460"/>
      <c r="O353" s="922"/>
      <c r="P353" s="460"/>
    </row>
    <row r="354" spans="1:16">
      <c r="A354" s="906"/>
      <c r="B354" s="907"/>
      <c r="C354" s="908"/>
      <c r="D354" s="909"/>
      <c r="E354" s="905"/>
      <c r="F354" s="465"/>
      <c r="G354" s="922"/>
      <c r="H354" s="460"/>
      <c r="I354" s="922"/>
      <c r="J354" s="460"/>
      <c r="K354" s="922"/>
      <c r="L354" s="460"/>
      <c r="M354" s="922"/>
      <c r="N354" s="460"/>
      <c r="O354" s="922"/>
      <c r="P354" s="460"/>
    </row>
    <row r="355" spans="1:16">
      <c r="A355" s="906"/>
      <c r="B355" s="907"/>
      <c r="C355" s="908"/>
      <c r="D355" s="909"/>
      <c r="E355" s="905"/>
      <c r="F355" s="465"/>
      <c r="G355" s="922"/>
      <c r="H355" s="460"/>
      <c r="I355" s="922"/>
      <c r="J355" s="460"/>
      <c r="K355" s="922"/>
      <c r="L355" s="460"/>
      <c r="M355" s="922"/>
      <c r="N355" s="460"/>
      <c r="O355" s="922"/>
      <c r="P355" s="460"/>
    </row>
    <row r="356" spans="1:16">
      <c r="A356" s="906"/>
      <c r="B356" s="907"/>
      <c r="C356" s="908"/>
      <c r="D356" s="909"/>
      <c r="E356" s="905"/>
      <c r="F356" s="465"/>
      <c r="G356" s="922"/>
      <c r="H356" s="460"/>
      <c r="I356" s="922"/>
      <c r="J356" s="460"/>
      <c r="K356" s="922"/>
      <c r="L356" s="460"/>
      <c r="M356" s="922"/>
      <c r="N356" s="460"/>
      <c r="O356" s="922"/>
      <c r="P356" s="460"/>
    </row>
    <row r="357" spans="1:16">
      <c r="A357" s="906"/>
      <c r="B357" s="907"/>
      <c r="C357" s="908"/>
      <c r="D357" s="909"/>
      <c r="E357" s="905"/>
      <c r="F357" s="465"/>
      <c r="G357" s="922"/>
      <c r="H357" s="460"/>
      <c r="I357" s="922"/>
      <c r="J357" s="460"/>
      <c r="K357" s="922"/>
      <c r="L357" s="460"/>
      <c r="M357" s="922"/>
      <c r="N357" s="460"/>
      <c r="O357" s="922"/>
      <c r="P357" s="460"/>
    </row>
    <row r="358" spans="1:16">
      <c r="A358" s="906"/>
      <c r="B358" s="907"/>
      <c r="C358" s="908"/>
      <c r="D358" s="909"/>
      <c r="E358" s="905"/>
      <c r="F358" s="465"/>
      <c r="G358" s="922"/>
      <c r="H358" s="460"/>
      <c r="I358" s="922"/>
      <c r="J358" s="460"/>
      <c r="K358" s="922"/>
      <c r="L358" s="460"/>
      <c r="M358" s="922"/>
      <c r="N358" s="460"/>
      <c r="O358" s="922"/>
      <c r="P358" s="460"/>
    </row>
    <row r="359" spans="1:16">
      <c r="A359" s="906"/>
      <c r="B359" s="907"/>
      <c r="C359" s="908"/>
      <c r="D359" s="909"/>
      <c r="E359" s="905"/>
      <c r="F359" s="465"/>
      <c r="G359" s="922"/>
      <c r="H359" s="460"/>
      <c r="I359" s="922"/>
      <c r="J359" s="460"/>
      <c r="K359" s="922"/>
      <c r="L359" s="460"/>
      <c r="M359" s="922"/>
      <c r="N359" s="460"/>
      <c r="O359" s="922"/>
      <c r="P359" s="460"/>
    </row>
    <row r="360" spans="1:16">
      <c r="A360" s="906"/>
      <c r="B360" s="907"/>
      <c r="C360" s="908"/>
      <c r="D360" s="909"/>
      <c r="E360" s="905"/>
      <c r="F360" s="465"/>
      <c r="G360" s="922"/>
      <c r="H360" s="460"/>
      <c r="I360" s="922"/>
      <c r="J360" s="460"/>
      <c r="K360" s="922"/>
      <c r="L360" s="460"/>
      <c r="M360" s="922"/>
      <c r="N360" s="460"/>
      <c r="O360" s="922"/>
      <c r="P360" s="460"/>
    </row>
    <row r="361" spans="1:16">
      <c r="A361" s="906"/>
      <c r="B361" s="907"/>
      <c r="C361" s="908"/>
      <c r="D361" s="909"/>
      <c r="E361" s="905"/>
      <c r="F361" s="465"/>
      <c r="G361" s="922"/>
      <c r="H361" s="460"/>
      <c r="I361" s="922"/>
      <c r="J361" s="460"/>
      <c r="K361" s="922"/>
      <c r="L361" s="460"/>
      <c r="M361" s="922"/>
      <c r="N361" s="460"/>
      <c r="O361" s="922"/>
      <c r="P361" s="460"/>
    </row>
    <row r="362" spans="1:16">
      <c r="A362" s="906"/>
      <c r="B362" s="907"/>
      <c r="C362" s="908"/>
      <c r="D362" s="909"/>
      <c r="E362" s="905"/>
      <c r="F362" s="465"/>
      <c r="G362" s="922"/>
      <c r="H362" s="460"/>
      <c r="I362" s="922"/>
      <c r="J362" s="460"/>
      <c r="K362" s="922"/>
      <c r="L362" s="460"/>
      <c r="M362" s="922"/>
      <c r="N362" s="460"/>
      <c r="O362" s="922"/>
      <c r="P362" s="460"/>
    </row>
    <row r="363" spans="1:16">
      <c r="A363" s="906"/>
      <c r="B363" s="907"/>
      <c r="C363" s="908"/>
      <c r="D363" s="909"/>
      <c r="E363" s="905"/>
      <c r="F363" s="465"/>
      <c r="G363" s="922"/>
      <c r="H363" s="460"/>
      <c r="I363" s="922"/>
      <c r="J363" s="460"/>
      <c r="K363" s="922"/>
      <c r="L363" s="460"/>
      <c r="M363" s="922"/>
      <c r="N363" s="460"/>
      <c r="O363" s="922"/>
      <c r="P363" s="460"/>
    </row>
    <row r="364" spans="1:16">
      <c r="A364" s="906"/>
      <c r="B364" s="907"/>
      <c r="C364" s="908"/>
      <c r="D364" s="909"/>
      <c r="E364" s="905"/>
      <c r="F364" s="465"/>
      <c r="G364" s="922"/>
      <c r="H364" s="460"/>
      <c r="I364" s="922"/>
      <c r="J364" s="460"/>
      <c r="K364" s="922"/>
      <c r="L364" s="460"/>
      <c r="M364" s="922"/>
      <c r="N364" s="460"/>
      <c r="O364" s="922"/>
      <c r="P364" s="460"/>
    </row>
    <row r="365" spans="1:16">
      <c r="A365" s="906"/>
      <c r="B365" s="907"/>
      <c r="C365" s="908"/>
      <c r="D365" s="909"/>
      <c r="E365" s="905"/>
      <c r="F365" s="465"/>
      <c r="G365" s="922"/>
      <c r="H365" s="460"/>
      <c r="I365" s="922"/>
      <c r="J365" s="460"/>
      <c r="K365" s="922"/>
      <c r="L365" s="460"/>
      <c r="M365" s="922"/>
      <c r="N365" s="460"/>
      <c r="O365" s="922"/>
      <c r="P365" s="460"/>
    </row>
    <row r="366" spans="1:16">
      <c r="A366" s="906"/>
      <c r="B366" s="907"/>
      <c r="C366" s="908"/>
      <c r="D366" s="909"/>
      <c r="E366" s="905"/>
      <c r="F366" s="465"/>
      <c r="G366" s="922"/>
      <c r="H366" s="460"/>
      <c r="I366" s="922"/>
      <c r="J366" s="460"/>
      <c r="K366" s="922"/>
      <c r="L366" s="460"/>
      <c r="M366" s="922"/>
      <c r="N366" s="460"/>
      <c r="O366" s="922"/>
      <c r="P366" s="460"/>
    </row>
    <row r="367" spans="1:16">
      <c r="A367" s="906"/>
      <c r="B367" s="907"/>
      <c r="C367" s="908"/>
      <c r="D367" s="909"/>
      <c r="E367" s="905"/>
      <c r="F367" s="465"/>
      <c r="G367" s="922"/>
      <c r="H367" s="460"/>
      <c r="I367" s="922"/>
      <c r="J367" s="460"/>
      <c r="K367" s="922"/>
      <c r="L367" s="460"/>
      <c r="M367" s="922"/>
      <c r="N367" s="460"/>
      <c r="O367" s="922"/>
      <c r="P367" s="460"/>
    </row>
    <row r="368" spans="1:16">
      <c r="A368" s="906"/>
      <c r="B368" s="907"/>
      <c r="C368" s="908"/>
      <c r="D368" s="909"/>
      <c r="E368" s="905"/>
      <c r="F368" s="465"/>
      <c r="G368" s="922"/>
      <c r="H368" s="460"/>
      <c r="I368" s="922"/>
      <c r="J368" s="460"/>
      <c r="K368" s="922"/>
      <c r="L368" s="460"/>
      <c r="M368" s="922"/>
      <c r="N368" s="460"/>
      <c r="O368" s="922"/>
      <c r="P368" s="460"/>
    </row>
    <row r="369" spans="1:16">
      <c r="A369" s="906"/>
      <c r="B369" s="907"/>
      <c r="C369" s="908"/>
      <c r="D369" s="909"/>
      <c r="E369" s="905"/>
      <c r="F369" s="465"/>
      <c r="G369" s="922"/>
      <c r="H369" s="460"/>
      <c r="I369" s="922"/>
      <c r="J369" s="460"/>
      <c r="K369" s="922"/>
      <c r="L369" s="460"/>
      <c r="M369" s="922"/>
      <c r="N369" s="460"/>
      <c r="O369" s="922"/>
      <c r="P369" s="460"/>
    </row>
    <row r="370" spans="1:16">
      <c r="A370" s="906"/>
      <c r="B370" s="907"/>
      <c r="C370" s="908"/>
      <c r="D370" s="909"/>
      <c r="E370" s="905"/>
      <c r="F370" s="465"/>
      <c r="G370" s="922"/>
      <c r="H370" s="460"/>
      <c r="I370" s="922"/>
      <c r="J370" s="460"/>
      <c r="K370" s="922"/>
      <c r="L370" s="460"/>
      <c r="M370" s="922"/>
      <c r="N370" s="460"/>
      <c r="O370" s="922"/>
      <c r="P370" s="460"/>
    </row>
    <row r="371" spans="1:16">
      <c r="A371" s="906"/>
      <c r="B371" s="907"/>
      <c r="C371" s="908"/>
      <c r="D371" s="909"/>
      <c r="E371" s="905"/>
      <c r="F371" s="465"/>
      <c r="G371" s="922"/>
      <c r="H371" s="460"/>
      <c r="I371" s="922"/>
      <c r="J371" s="460"/>
      <c r="K371" s="922"/>
      <c r="L371" s="460"/>
      <c r="M371" s="922"/>
      <c r="N371" s="460"/>
      <c r="O371" s="922"/>
      <c r="P371" s="460"/>
    </row>
    <row r="372" spans="1:16">
      <c r="A372" s="906"/>
      <c r="B372" s="907"/>
      <c r="C372" s="908"/>
      <c r="D372" s="909"/>
      <c r="E372" s="905"/>
      <c r="F372" s="465"/>
      <c r="G372" s="922"/>
      <c r="H372" s="460"/>
      <c r="I372" s="922"/>
      <c r="J372" s="460"/>
      <c r="K372" s="922"/>
      <c r="L372" s="460"/>
      <c r="M372" s="922"/>
      <c r="N372" s="460"/>
      <c r="O372" s="922"/>
      <c r="P372" s="460"/>
    </row>
    <row r="373" spans="1:16">
      <c r="A373" s="906"/>
      <c r="B373" s="907"/>
      <c r="C373" s="908"/>
      <c r="D373" s="909"/>
      <c r="E373" s="905"/>
      <c r="F373" s="465"/>
      <c r="G373" s="922"/>
      <c r="H373" s="460"/>
      <c r="I373" s="922"/>
      <c r="J373" s="460"/>
      <c r="K373" s="922"/>
      <c r="L373" s="460"/>
      <c r="M373" s="922"/>
      <c r="N373" s="460"/>
      <c r="O373" s="922"/>
      <c r="P373" s="460"/>
    </row>
    <row r="374" spans="1:16">
      <c r="A374" s="906"/>
      <c r="B374" s="907"/>
      <c r="C374" s="908"/>
      <c r="D374" s="909"/>
      <c r="E374" s="905"/>
      <c r="F374" s="465"/>
      <c r="G374" s="922"/>
      <c r="H374" s="460"/>
      <c r="I374" s="922"/>
      <c r="J374" s="460"/>
      <c r="K374" s="922"/>
      <c r="L374" s="460"/>
      <c r="M374" s="922"/>
      <c r="N374" s="460"/>
      <c r="O374" s="922"/>
      <c r="P374" s="460"/>
    </row>
    <row r="375" spans="1:16">
      <c r="A375" s="906"/>
      <c r="B375" s="907"/>
      <c r="C375" s="908"/>
      <c r="D375" s="909"/>
      <c r="E375" s="905"/>
      <c r="F375" s="465"/>
      <c r="G375" s="922"/>
      <c r="H375" s="460"/>
      <c r="I375" s="922"/>
      <c r="J375" s="460"/>
      <c r="K375" s="922"/>
      <c r="L375" s="460"/>
      <c r="M375" s="922"/>
      <c r="N375" s="460"/>
      <c r="O375" s="922"/>
      <c r="P375" s="460"/>
    </row>
    <row r="376" spans="1:16">
      <c r="A376" s="906"/>
      <c r="B376" s="907"/>
      <c r="C376" s="908"/>
      <c r="D376" s="909"/>
      <c r="E376" s="905"/>
      <c r="F376" s="465"/>
      <c r="G376" s="922"/>
      <c r="H376" s="460"/>
      <c r="I376" s="922"/>
      <c r="J376" s="460"/>
      <c r="K376" s="922"/>
      <c r="L376" s="460"/>
      <c r="M376" s="922"/>
      <c r="N376" s="460"/>
      <c r="O376" s="922"/>
      <c r="P376" s="460"/>
    </row>
    <row r="377" spans="1:16">
      <c r="A377" s="906"/>
      <c r="B377" s="907"/>
      <c r="C377" s="908"/>
      <c r="D377" s="909"/>
      <c r="E377" s="905"/>
      <c r="F377" s="465"/>
      <c r="G377" s="922"/>
      <c r="H377" s="460"/>
      <c r="I377" s="922"/>
      <c r="J377" s="460"/>
      <c r="K377" s="922"/>
      <c r="L377" s="460"/>
      <c r="M377" s="922"/>
      <c r="N377" s="460"/>
      <c r="O377" s="922"/>
      <c r="P377" s="460"/>
    </row>
    <row r="378" spans="1:16">
      <c r="A378" s="906"/>
      <c r="B378" s="907"/>
      <c r="C378" s="908"/>
      <c r="D378" s="909"/>
      <c r="E378" s="905"/>
      <c r="F378" s="465"/>
      <c r="G378" s="922"/>
      <c r="H378" s="460"/>
      <c r="I378" s="922"/>
      <c r="J378" s="460"/>
      <c r="K378" s="922"/>
      <c r="L378" s="460"/>
      <c r="M378" s="922"/>
      <c r="N378" s="460"/>
      <c r="O378" s="922"/>
      <c r="P378" s="460"/>
    </row>
    <row r="379" spans="1:16">
      <c r="A379" s="906"/>
      <c r="B379" s="907"/>
      <c r="C379" s="908"/>
      <c r="D379" s="909"/>
      <c r="E379" s="905"/>
      <c r="F379" s="465"/>
      <c r="G379" s="922"/>
      <c r="H379" s="460"/>
      <c r="I379" s="922"/>
      <c r="J379" s="460"/>
      <c r="K379" s="922"/>
      <c r="L379" s="460"/>
      <c r="M379" s="922"/>
      <c r="N379" s="460"/>
      <c r="O379" s="922"/>
      <c r="P379" s="460"/>
    </row>
    <row r="380" spans="1:16">
      <c r="A380" s="906"/>
      <c r="B380" s="907"/>
      <c r="C380" s="908"/>
      <c r="D380" s="909"/>
      <c r="E380" s="905"/>
      <c r="F380" s="465"/>
      <c r="G380" s="922"/>
      <c r="H380" s="460"/>
      <c r="I380" s="922"/>
      <c r="J380" s="460"/>
      <c r="K380" s="922"/>
      <c r="L380" s="460"/>
      <c r="M380" s="922"/>
      <c r="N380" s="460"/>
      <c r="O380" s="922"/>
      <c r="P380" s="460"/>
    </row>
    <row r="381" spans="1:16">
      <c r="A381" s="906"/>
      <c r="B381" s="907"/>
      <c r="C381" s="908"/>
      <c r="D381" s="909"/>
      <c r="E381" s="905"/>
      <c r="F381" s="465"/>
      <c r="G381" s="922"/>
      <c r="H381" s="460"/>
      <c r="I381" s="922"/>
      <c r="J381" s="460"/>
      <c r="K381" s="922"/>
      <c r="L381" s="460"/>
      <c r="M381" s="922"/>
      <c r="N381" s="460"/>
      <c r="O381" s="922"/>
      <c r="P381" s="460"/>
    </row>
    <row r="382" spans="1:16">
      <c r="A382" s="906"/>
      <c r="B382" s="907"/>
      <c r="C382" s="908"/>
      <c r="D382" s="909"/>
      <c r="E382" s="905"/>
      <c r="F382" s="465"/>
      <c r="G382" s="922"/>
      <c r="H382" s="460"/>
      <c r="I382" s="922"/>
      <c r="J382" s="460"/>
      <c r="K382" s="922"/>
      <c r="L382" s="460"/>
      <c r="M382" s="922"/>
      <c r="N382" s="460"/>
      <c r="O382" s="922"/>
      <c r="P382" s="460"/>
    </row>
    <row r="383" spans="1:16">
      <c r="A383" s="906"/>
      <c r="B383" s="907"/>
      <c r="C383" s="908"/>
      <c r="D383" s="909"/>
      <c r="E383" s="905"/>
      <c r="F383" s="465"/>
      <c r="G383" s="922"/>
      <c r="H383" s="460"/>
      <c r="I383" s="922"/>
      <c r="J383" s="460"/>
      <c r="K383" s="922"/>
      <c r="L383" s="460"/>
      <c r="M383" s="922"/>
      <c r="N383" s="460"/>
      <c r="O383" s="922"/>
      <c r="P383" s="460"/>
    </row>
    <row r="384" spans="1:16">
      <c r="A384" s="906"/>
      <c r="B384" s="907"/>
      <c r="C384" s="908"/>
      <c r="D384" s="909"/>
      <c r="E384" s="905"/>
      <c r="F384" s="465"/>
      <c r="G384" s="922"/>
      <c r="H384" s="460"/>
      <c r="I384" s="922"/>
      <c r="J384" s="460"/>
      <c r="K384" s="922"/>
      <c r="L384" s="460"/>
      <c r="M384" s="922"/>
      <c r="N384" s="460"/>
      <c r="O384" s="922"/>
      <c r="P384" s="460"/>
    </row>
    <row r="385" spans="1:16">
      <c r="A385" s="906"/>
      <c r="B385" s="907"/>
      <c r="C385" s="908"/>
      <c r="D385" s="909"/>
      <c r="E385" s="905"/>
      <c r="F385" s="465"/>
      <c r="G385" s="922"/>
      <c r="H385" s="460"/>
      <c r="I385" s="922"/>
      <c r="J385" s="460"/>
      <c r="K385" s="922"/>
      <c r="L385" s="460"/>
      <c r="M385" s="922"/>
      <c r="N385" s="460"/>
      <c r="O385" s="922"/>
      <c r="P385" s="460"/>
    </row>
    <row r="386" spans="1:16">
      <c r="A386" s="906"/>
      <c r="B386" s="907"/>
      <c r="C386" s="908"/>
      <c r="D386" s="909"/>
      <c r="E386" s="905"/>
      <c r="F386" s="465"/>
      <c r="G386" s="922"/>
      <c r="H386" s="460"/>
      <c r="I386" s="922"/>
      <c r="J386" s="460"/>
      <c r="K386" s="922"/>
      <c r="L386" s="460"/>
      <c r="M386" s="922"/>
      <c r="N386" s="460"/>
      <c r="O386" s="922"/>
      <c r="P386" s="460"/>
    </row>
    <row r="387" spans="1:16">
      <c r="A387" s="906"/>
      <c r="B387" s="907"/>
      <c r="C387" s="908"/>
      <c r="D387" s="909"/>
      <c r="E387" s="905"/>
      <c r="F387" s="465"/>
      <c r="G387" s="922"/>
      <c r="H387" s="460"/>
      <c r="I387" s="922"/>
      <c r="J387" s="460"/>
      <c r="K387" s="922"/>
      <c r="L387" s="460"/>
      <c r="M387" s="922"/>
      <c r="N387" s="460"/>
      <c r="O387" s="922"/>
      <c r="P387" s="460"/>
    </row>
    <row r="388" spans="1:16">
      <c r="A388" s="906"/>
      <c r="B388" s="907"/>
      <c r="C388" s="908"/>
      <c r="D388" s="909"/>
      <c r="E388" s="905"/>
      <c r="F388" s="465"/>
      <c r="G388" s="922"/>
      <c r="H388" s="460"/>
      <c r="I388" s="922"/>
      <c r="J388" s="460"/>
      <c r="K388" s="922"/>
      <c r="L388" s="460"/>
      <c r="M388" s="922"/>
      <c r="N388" s="460"/>
      <c r="O388" s="922"/>
      <c r="P388" s="460"/>
    </row>
    <row r="389" spans="1:16">
      <c r="A389" s="906"/>
      <c r="B389" s="907"/>
      <c r="C389" s="908"/>
      <c r="D389" s="909"/>
      <c r="E389" s="905"/>
      <c r="F389" s="465"/>
      <c r="G389" s="922"/>
      <c r="H389" s="460"/>
      <c r="I389" s="922"/>
      <c r="J389" s="460"/>
      <c r="K389" s="922"/>
      <c r="L389" s="460"/>
      <c r="M389" s="922"/>
      <c r="N389" s="460"/>
      <c r="O389" s="922"/>
      <c r="P389" s="460"/>
    </row>
    <row r="390" spans="1:16">
      <c r="A390" s="906"/>
      <c r="B390" s="907"/>
      <c r="C390" s="908"/>
      <c r="D390" s="909"/>
      <c r="E390" s="905"/>
      <c r="F390" s="465"/>
      <c r="G390" s="922"/>
      <c r="H390" s="460"/>
      <c r="I390" s="922"/>
      <c r="J390" s="460"/>
      <c r="K390" s="922"/>
      <c r="L390" s="460"/>
      <c r="M390" s="922"/>
      <c r="N390" s="460"/>
      <c r="O390" s="922"/>
      <c r="P390" s="460"/>
    </row>
    <row r="391" spans="1:16">
      <c r="A391" s="906"/>
      <c r="B391" s="907"/>
      <c r="C391" s="908"/>
      <c r="D391" s="909"/>
      <c r="E391" s="905"/>
      <c r="F391" s="465"/>
      <c r="G391" s="922"/>
      <c r="H391" s="460"/>
      <c r="I391" s="922"/>
      <c r="J391" s="460"/>
      <c r="K391" s="922"/>
      <c r="L391" s="460"/>
      <c r="M391" s="922"/>
      <c r="N391" s="460"/>
      <c r="O391" s="922"/>
      <c r="P391" s="460"/>
    </row>
    <row r="392" spans="1:16">
      <c r="A392" s="906"/>
      <c r="B392" s="907"/>
      <c r="C392" s="908"/>
      <c r="D392" s="909"/>
      <c r="E392" s="905"/>
      <c r="F392" s="465"/>
      <c r="G392" s="922"/>
      <c r="H392" s="460"/>
      <c r="I392" s="922"/>
      <c r="J392" s="460"/>
      <c r="K392" s="922"/>
      <c r="L392" s="460"/>
      <c r="M392" s="922"/>
      <c r="N392" s="460"/>
      <c r="O392" s="922"/>
      <c r="P392" s="460"/>
    </row>
    <row r="393" spans="1:16">
      <c r="A393" s="906"/>
      <c r="B393" s="907"/>
      <c r="C393" s="908"/>
      <c r="D393" s="909"/>
      <c r="E393" s="905"/>
      <c r="F393" s="465"/>
      <c r="G393" s="922"/>
      <c r="H393" s="460"/>
      <c r="I393" s="922"/>
      <c r="J393" s="460"/>
      <c r="K393" s="922"/>
      <c r="L393" s="460"/>
      <c r="M393" s="922"/>
      <c r="N393" s="460"/>
      <c r="O393" s="922"/>
      <c r="P393" s="460"/>
    </row>
    <row r="394" spans="1:16">
      <c r="A394" s="906"/>
      <c r="B394" s="907"/>
      <c r="C394" s="908"/>
      <c r="D394" s="909"/>
      <c r="E394" s="905"/>
      <c r="F394" s="465"/>
      <c r="G394" s="922"/>
      <c r="H394" s="460"/>
      <c r="I394" s="922"/>
      <c r="J394" s="460"/>
      <c r="K394" s="922"/>
      <c r="L394" s="460"/>
      <c r="M394" s="922"/>
      <c r="N394" s="460"/>
      <c r="O394" s="922"/>
      <c r="P394" s="460"/>
    </row>
    <row r="395" spans="1:16">
      <c r="A395" s="906"/>
      <c r="B395" s="907"/>
      <c r="C395" s="908"/>
      <c r="D395" s="909"/>
      <c r="E395" s="905"/>
      <c r="F395" s="465"/>
      <c r="G395" s="922"/>
      <c r="H395" s="460"/>
      <c r="I395" s="922"/>
      <c r="J395" s="460"/>
      <c r="K395" s="922"/>
      <c r="L395" s="460"/>
      <c r="M395" s="922"/>
      <c r="N395" s="460"/>
      <c r="O395" s="922"/>
      <c r="P395" s="460"/>
    </row>
    <row r="396" spans="1:16">
      <c r="A396" s="906"/>
      <c r="B396" s="907"/>
      <c r="C396" s="908"/>
      <c r="D396" s="909"/>
      <c r="E396" s="905"/>
      <c r="F396" s="465"/>
      <c r="G396" s="922"/>
      <c r="H396" s="460"/>
      <c r="I396" s="922"/>
      <c r="J396" s="460"/>
      <c r="K396" s="922"/>
      <c r="L396" s="460"/>
      <c r="M396" s="922"/>
      <c r="N396" s="460"/>
      <c r="O396" s="922"/>
      <c r="P396" s="460"/>
    </row>
    <row r="397" spans="1:16">
      <c r="A397" s="906"/>
      <c r="B397" s="907"/>
      <c r="C397" s="908"/>
      <c r="D397" s="909"/>
      <c r="E397" s="905"/>
      <c r="F397" s="465"/>
      <c r="G397" s="922"/>
      <c r="H397" s="460"/>
      <c r="I397" s="922"/>
      <c r="J397" s="460"/>
      <c r="K397" s="922"/>
      <c r="L397" s="460"/>
      <c r="M397" s="922"/>
      <c r="N397" s="460"/>
      <c r="O397" s="922"/>
      <c r="P397" s="460"/>
    </row>
    <row r="398" spans="1:16">
      <c r="A398" s="906"/>
      <c r="B398" s="907"/>
      <c r="C398" s="908"/>
      <c r="D398" s="909"/>
      <c r="E398" s="905"/>
      <c r="F398" s="465"/>
      <c r="G398" s="922"/>
      <c r="H398" s="460"/>
      <c r="I398" s="922"/>
      <c r="J398" s="460"/>
      <c r="K398" s="922"/>
      <c r="L398" s="460"/>
      <c r="M398" s="922"/>
      <c r="N398" s="460"/>
      <c r="O398" s="922"/>
      <c r="P398" s="460"/>
    </row>
    <row r="399" spans="1:16">
      <c r="A399" s="906"/>
      <c r="B399" s="907"/>
      <c r="C399" s="908"/>
      <c r="D399" s="909"/>
      <c r="E399" s="905"/>
      <c r="F399" s="465"/>
      <c r="G399" s="922"/>
      <c r="H399" s="460"/>
      <c r="I399" s="922"/>
      <c r="J399" s="460"/>
      <c r="K399" s="922"/>
      <c r="L399" s="460"/>
      <c r="M399" s="922"/>
      <c r="N399" s="460"/>
      <c r="O399" s="922"/>
      <c r="P399" s="460"/>
    </row>
    <row r="400" spans="1:16">
      <c r="A400" s="906"/>
      <c r="B400" s="907"/>
      <c r="C400" s="908"/>
      <c r="D400" s="909"/>
      <c r="E400" s="905"/>
      <c r="F400" s="465"/>
      <c r="G400" s="922"/>
      <c r="H400" s="460"/>
      <c r="I400" s="922"/>
      <c r="J400" s="460"/>
      <c r="K400" s="922"/>
      <c r="L400" s="460"/>
      <c r="M400" s="922"/>
      <c r="N400" s="460"/>
      <c r="O400" s="922"/>
      <c r="P400" s="460"/>
    </row>
    <row r="401" spans="1:16">
      <c r="A401" s="906"/>
      <c r="B401" s="907"/>
      <c r="C401" s="908"/>
      <c r="D401" s="909"/>
      <c r="E401" s="905"/>
      <c r="F401" s="465"/>
      <c r="G401" s="922"/>
      <c r="H401" s="460"/>
      <c r="I401" s="922"/>
      <c r="J401" s="460"/>
      <c r="K401" s="922"/>
      <c r="L401" s="460"/>
      <c r="M401" s="922"/>
      <c r="N401" s="460"/>
      <c r="O401" s="922"/>
      <c r="P401" s="460"/>
    </row>
    <row r="402" spans="1:16">
      <c r="A402" s="906"/>
      <c r="B402" s="907"/>
      <c r="C402" s="908"/>
      <c r="D402" s="909"/>
      <c r="E402" s="905"/>
      <c r="F402" s="465"/>
      <c r="G402" s="922"/>
      <c r="H402" s="460"/>
      <c r="I402" s="922"/>
      <c r="J402" s="460"/>
      <c r="K402" s="922"/>
      <c r="L402" s="460"/>
      <c r="M402" s="922"/>
      <c r="N402" s="460"/>
      <c r="O402" s="922"/>
      <c r="P402" s="460"/>
    </row>
    <row r="403" spans="1:16">
      <c r="A403" s="906"/>
      <c r="B403" s="907"/>
      <c r="C403" s="908"/>
      <c r="D403" s="909"/>
      <c r="E403" s="905"/>
      <c r="F403" s="465"/>
      <c r="G403" s="922"/>
      <c r="H403" s="460"/>
      <c r="I403" s="922"/>
      <c r="J403" s="460"/>
      <c r="K403" s="922"/>
      <c r="L403" s="460"/>
      <c r="M403" s="922"/>
      <c r="N403" s="460"/>
      <c r="O403" s="922"/>
      <c r="P403" s="460"/>
    </row>
    <row r="404" spans="1:16">
      <c r="A404" s="906"/>
      <c r="B404" s="907"/>
      <c r="C404" s="908"/>
      <c r="D404" s="909"/>
      <c r="E404" s="905"/>
      <c r="F404" s="465"/>
      <c r="G404" s="922"/>
      <c r="H404" s="460"/>
      <c r="I404" s="922"/>
      <c r="J404" s="460"/>
      <c r="K404" s="922"/>
      <c r="L404" s="460"/>
      <c r="M404" s="922"/>
      <c r="N404" s="460"/>
      <c r="O404" s="922"/>
      <c r="P404" s="460"/>
    </row>
    <row r="405" spans="1:16">
      <c r="A405" s="906"/>
      <c r="B405" s="907"/>
      <c r="C405" s="908"/>
      <c r="D405" s="909"/>
      <c r="E405" s="905"/>
      <c r="F405" s="465"/>
      <c r="G405" s="922"/>
      <c r="H405" s="460"/>
      <c r="I405" s="922"/>
      <c r="J405" s="460"/>
      <c r="K405" s="922"/>
      <c r="L405" s="460"/>
      <c r="M405" s="922"/>
      <c r="N405" s="460"/>
      <c r="O405" s="922"/>
      <c r="P405" s="460"/>
    </row>
    <row r="406" spans="1:16">
      <c r="A406" s="906"/>
      <c r="B406" s="907"/>
      <c r="C406" s="908"/>
      <c r="D406" s="909"/>
      <c r="E406" s="905"/>
      <c r="F406" s="465"/>
      <c r="G406" s="922"/>
      <c r="H406" s="460"/>
      <c r="I406" s="922"/>
      <c r="J406" s="460"/>
      <c r="K406" s="922"/>
      <c r="L406" s="460"/>
      <c r="M406" s="922"/>
      <c r="N406" s="460"/>
      <c r="O406" s="922"/>
      <c r="P406" s="460"/>
    </row>
    <row r="407" spans="1:16">
      <c r="A407" s="906"/>
      <c r="B407" s="907"/>
      <c r="C407" s="908"/>
      <c r="D407" s="909"/>
      <c r="E407" s="905"/>
      <c r="F407" s="465"/>
      <c r="G407" s="922"/>
      <c r="H407" s="460"/>
      <c r="I407" s="922"/>
      <c r="J407" s="460"/>
      <c r="K407" s="922"/>
      <c r="L407" s="460"/>
      <c r="M407" s="922"/>
      <c r="N407" s="460"/>
      <c r="O407" s="922"/>
      <c r="P407" s="460"/>
    </row>
    <row r="408" spans="1:16">
      <c r="A408" s="906"/>
      <c r="B408" s="907"/>
      <c r="C408" s="908"/>
      <c r="D408" s="909"/>
      <c r="E408" s="905"/>
      <c r="F408" s="465"/>
      <c r="G408" s="922"/>
      <c r="H408" s="460"/>
      <c r="I408" s="922"/>
      <c r="J408" s="460"/>
      <c r="K408" s="922"/>
      <c r="L408" s="460"/>
      <c r="M408" s="922"/>
      <c r="N408" s="460"/>
      <c r="O408" s="922"/>
      <c r="P408" s="460"/>
    </row>
    <row r="409" spans="1:16">
      <c r="A409" s="906"/>
      <c r="B409" s="907"/>
      <c r="C409" s="908"/>
      <c r="D409" s="909"/>
      <c r="E409" s="905"/>
      <c r="F409" s="465"/>
      <c r="G409" s="922"/>
      <c r="H409" s="460"/>
      <c r="I409" s="922"/>
      <c r="J409" s="460"/>
      <c r="K409" s="922"/>
      <c r="L409" s="460"/>
      <c r="M409" s="922"/>
      <c r="N409" s="460"/>
      <c r="O409" s="922"/>
      <c r="P409" s="460"/>
    </row>
    <row r="410" spans="1:16">
      <c r="A410" s="906"/>
      <c r="B410" s="907"/>
      <c r="C410" s="908"/>
      <c r="D410" s="909"/>
      <c r="E410" s="905"/>
      <c r="F410" s="465"/>
      <c r="G410" s="922"/>
      <c r="H410" s="460"/>
      <c r="I410" s="922"/>
      <c r="J410" s="460"/>
      <c r="K410" s="922"/>
      <c r="L410" s="460"/>
      <c r="M410" s="922"/>
      <c r="N410" s="460"/>
      <c r="O410" s="922"/>
      <c r="P410" s="460"/>
    </row>
    <row r="411" spans="1:16">
      <c r="A411" s="906"/>
      <c r="B411" s="907"/>
      <c r="C411" s="908"/>
      <c r="D411" s="909"/>
      <c r="E411" s="905"/>
      <c r="F411" s="465"/>
      <c r="G411" s="922"/>
      <c r="H411" s="460"/>
      <c r="I411" s="922"/>
      <c r="J411" s="460"/>
      <c r="K411" s="922"/>
      <c r="L411" s="460"/>
      <c r="M411" s="922"/>
      <c r="N411" s="460"/>
      <c r="O411" s="922"/>
      <c r="P411" s="460"/>
    </row>
    <row r="412" spans="1:16">
      <c r="A412" s="906"/>
      <c r="B412" s="907"/>
      <c r="C412" s="908"/>
      <c r="D412" s="909"/>
      <c r="E412" s="905"/>
      <c r="F412" s="465"/>
      <c r="G412" s="922"/>
      <c r="H412" s="460"/>
      <c r="I412" s="922"/>
      <c r="J412" s="460"/>
      <c r="K412" s="922"/>
      <c r="L412" s="460"/>
      <c r="M412" s="922"/>
      <c r="N412" s="460"/>
      <c r="O412" s="922"/>
      <c r="P412" s="460"/>
    </row>
    <row r="413" spans="1:16">
      <c r="A413" s="906"/>
      <c r="B413" s="907"/>
      <c r="C413" s="908"/>
      <c r="D413" s="909"/>
      <c r="E413" s="905"/>
      <c r="F413" s="465"/>
      <c r="G413" s="922"/>
      <c r="H413" s="460"/>
      <c r="I413" s="922"/>
      <c r="J413" s="460"/>
      <c r="K413" s="922"/>
      <c r="L413" s="460"/>
      <c r="M413" s="922"/>
      <c r="N413" s="460"/>
      <c r="O413" s="922"/>
      <c r="P413" s="460"/>
    </row>
    <row r="414" spans="1:16">
      <c r="A414" s="906"/>
      <c r="B414" s="907"/>
      <c r="C414" s="908"/>
      <c r="D414" s="909"/>
      <c r="E414" s="905"/>
      <c r="F414" s="465"/>
      <c r="G414" s="922"/>
      <c r="H414" s="460"/>
      <c r="I414" s="922"/>
      <c r="J414" s="460"/>
      <c r="K414" s="922"/>
      <c r="L414" s="460"/>
      <c r="M414" s="922"/>
      <c r="N414" s="460"/>
      <c r="O414" s="922"/>
      <c r="P414" s="460"/>
    </row>
    <row r="415" spans="1:16">
      <c r="A415" s="906"/>
      <c r="B415" s="907"/>
      <c r="C415" s="908"/>
      <c r="D415" s="909"/>
      <c r="E415" s="905"/>
      <c r="F415" s="465"/>
      <c r="G415" s="922"/>
      <c r="H415" s="460"/>
      <c r="I415" s="922"/>
      <c r="J415" s="460"/>
      <c r="K415" s="922"/>
      <c r="L415" s="460"/>
      <c r="M415" s="922"/>
      <c r="N415" s="460"/>
      <c r="O415" s="922"/>
      <c r="P415" s="460"/>
    </row>
    <row r="416" spans="1:16">
      <c r="A416" s="906"/>
      <c r="B416" s="907"/>
      <c r="C416" s="908"/>
      <c r="D416" s="909"/>
      <c r="E416" s="905"/>
      <c r="F416" s="465"/>
      <c r="G416" s="922"/>
      <c r="H416" s="460"/>
      <c r="I416" s="922"/>
      <c r="J416" s="460"/>
      <c r="K416" s="922"/>
      <c r="L416" s="460"/>
      <c r="M416" s="922"/>
      <c r="N416" s="460"/>
      <c r="O416" s="922"/>
      <c r="P416" s="460"/>
    </row>
    <row r="417" spans="1:16">
      <c r="A417" s="906"/>
      <c r="B417" s="907"/>
      <c r="C417" s="908"/>
      <c r="D417" s="909"/>
      <c r="E417" s="905"/>
      <c r="F417" s="465"/>
      <c r="G417" s="922"/>
      <c r="H417" s="460"/>
      <c r="I417" s="922"/>
      <c r="J417" s="460"/>
      <c r="K417" s="922"/>
      <c r="L417" s="460"/>
      <c r="M417" s="922"/>
      <c r="N417" s="460"/>
      <c r="O417" s="922"/>
      <c r="P417" s="460"/>
    </row>
    <row r="418" spans="1:16">
      <c r="A418" s="906"/>
      <c r="B418" s="907"/>
      <c r="C418" s="908"/>
      <c r="D418" s="909"/>
      <c r="E418" s="905"/>
      <c r="F418" s="465"/>
      <c r="G418" s="922"/>
      <c r="H418" s="460"/>
      <c r="I418" s="922"/>
      <c r="J418" s="460"/>
      <c r="K418" s="922"/>
      <c r="L418" s="460"/>
      <c r="M418" s="922"/>
      <c r="N418" s="460"/>
      <c r="O418" s="922"/>
      <c r="P418" s="460"/>
    </row>
    <row r="419" spans="1:16">
      <c r="A419" s="906"/>
      <c r="B419" s="907"/>
      <c r="C419" s="908"/>
      <c r="D419" s="909"/>
      <c r="E419" s="905"/>
      <c r="F419" s="465"/>
      <c r="G419" s="922"/>
      <c r="H419" s="460"/>
      <c r="I419" s="922"/>
      <c r="J419" s="460"/>
      <c r="K419" s="922"/>
      <c r="L419" s="460"/>
      <c r="M419" s="922"/>
      <c r="N419" s="460"/>
      <c r="O419" s="922"/>
      <c r="P419" s="460"/>
    </row>
    <row r="420" spans="1:16">
      <c r="A420" s="906"/>
      <c r="B420" s="907"/>
      <c r="C420" s="908"/>
      <c r="D420" s="909"/>
      <c r="E420" s="905"/>
      <c r="F420" s="465"/>
      <c r="G420" s="922"/>
      <c r="H420" s="460"/>
      <c r="I420" s="922"/>
      <c r="J420" s="460"/>
      <c r="K420" s="922"/>
      <c r="L420" s="460"/>
      <c r="M420" s="922"/>
      <c r="N420" s="460"/>
      <c r="O420" s="922"/>
      <c r="P420" s="460"/>
    </row>
    <row r="421" spans="1:16">
      <c r="A421" s="906"/>
      <c r="B421" s="907"/>
      <c r="C421" s="908"/>
      <c r="D421" s="909"/>
      <c r="E421" s="905"/>
      <c r="F421" s="465"/>
      <c r="G421" s="922"/>
      <c r="H421" s="460"/>
      <c r="I421" s="922"/>
      <c r="J421" s="460"/>
      <c r="K421" s="922"/>
      <c r="L421" s="460"/>
      <c r="M421" s="922"/>
      <c r="N421" s="460"/>
      <c r="O421" s="922"/>
      <c r="P421" s="460"/>
    </row>
    <row r="422" spans="1:16">
      <c r="A422" s="906"/>
      <c r="B422" s="907"/>
      <c r="C422" s="908"/>
      <c r="D422" s="909"/>
      <c r="E422" s="905"/>
      <c r="F422" s="465"/>
      <c r="G422" s="922"/>
      <c r="H422" s="460"/>
      <c r="I422" s="922"/>
      <c r="J422" s="460"/>
      <c r="K422" s="922"/>
      <c r="L422" s="460"/>
      <c r="M422" s="922"/>
      <c r="N422" s="460"/>
      <c r="O422" s="922"/>
      <c r="P422" s="460"/>
    </row>
    <row r="423" spans="1:16">
      <c r="A423" s="906"/>
      <c r="B423" s="907"/>
      <c r="C423" s="908"/>
      <c r="D423" s="909"/>
      <c r="E423" s="905"/>
      <c r="F423" s="465"/>
      <c r="G423" s="922"/>
      <c r="H423" s="460"/>
      <c r="I423" s="922"/>
      <c r="J423" s="460"/>
      <c r="K423" s="922"/>
      <c r="L423" s="460"/>
      <c r="M423" s="922"/>
      <c r="N423" s="460"/>
      <c r="O423" s="922"/>
      <c r="P423" s="460"/>
    </row>
    <row r="424" spans="1:16">
      <c r="A424" s="906"/>
      <c r="B424" s="907"/>
      <c r="C424" s="908"/>
      <c r="D424" s="909"/>
      <c r="E424" s="905"/>
      <c r="F424" s="465"/>
      <c r="G424" s="922"/>
      <c r="H424" s="460"/>
      <c r="I424" s="922"/>
      <c r="J424" s="460"/>
      <c r="K424" s="922"/>
      <c r="L424" s="460"/>
      <c r="M424" s="922"/>
      <c r="N424" s="460"/>
      <c r="O424" s="922"/>
      <c r="P424" s="460"/>
    </row>
    <row r="425" spans="1:16">
      <c r="A425" s="906"/>
      <c r="B425" s="907"/>
      <c r="C425" s="908"/>
      <c r="D425" s="909"/>
      <c r="E425" s="905"/>
      <c r="F425" s="465"/>
      <c r="G425" s="922"/>
      <c r="H425" s="460"/>
      <c r="I425" s="922"/>
      <c r="J425" s="460"/>
      <c r="K425" s="922"/>
      <c r="L425" s="460"/>
      <c r="M425" s="922"/>
      <c r="N425" s="460"/>
      <c r="O425" s="922"/>
      <c r="P425" s="460"/>
    </row>
    <row r="426" spans="1:16">
      <c r="A426" s="906"/>
      <c r="B426" s="907"/>
      <c r="C426" s="908"/>
      <c r="D426" s="909"/>
      <c r="E426" s="905"/>
      <c r="F426" s="465"/>
      <c r="G426" s="922"/>
      <c r="H426" s="460"/>
      <c r="I426" s="922"/>
      <c r="J426" s="460"/>
      <c r="K426" s="922"/>
      <c r="L426" s="460"/>
      <c r="M426" s="922"/>
      <c r="N426" s="460"/>
      <c r="O426" s="922"/>
      <c r="P426" s="460"/>
    </row>
    <row r="427" spans="1:16">
      <c r="A427" s="906"/>
      <c r="B427" s="907"/>
      <c r="C427" s="908"/>
      <c r="D427" s="909"/>
      <c r="E427" s="905"/>
      <c r="F427" s="465"/>
      <c r="G427" s="922"/>
      <c r="H427" s="460"/>
      <c r="I427" s="922"/>
      <c r="J427" s="460"/>
      <c r="K427" s="922"/>
      <c r="L427" s="460"/>
      <c r="M427" s="922"/>
      <c r="N427" s="460"/>
      <c r="O427" s="922"/>
      <c r="P427" s="460"/>
    </row>
    <row r="428" spans="1:16">
      <c r="A428" s="906"/>
      <c r="B428" s="907"/>
      <c r="C428" s="908"/>
      <c r="D428" s="909"/>
      <c r="E428" s="905"/>
      <c r="F428" s="465"/>
      <c r="G428" s="922"/>
      <c r="H428" s="460"/>
      <c r="I428" s="922"/>
      <c r="J428" s="460"/>
      <c r="K428" s="922"/>
      <c r="L428" s="460"/>
      <c r="M428" s="922"/>
      <c r="N428" s="460"/>
      <c r="O428" s="922"/>
      <c r="P428" s="460"/>
    </row>
    <row r="429" spans="1:16">
      <c r="A429" s="906"/>
      <c r="B429" s="907"/>
      <c r="C429" s="908"/>
      <c r="D429" s="909"/>
      <c r="E429" s="905"/>
      <c r="F429" s="465"/>
      <c r="G429" s="922"/>
      <c r="H429" s="460"/>
      <c r="I429" s="922"/>
      <c r="J429" s="460"/>
      <c r="K429" s="922"/>
      <c r="L429" s="460"/>
      <c r="M429" s="922"/>
      <c r="N429" s="460"/>
      <c r="O429" s="922"/>
      <c r="P429" s="460"/>
    </row>
    <row r="430" spans="1:16">
      <c r="A430" s="906"/>
      <c r="B430" s="907"/>
      <c r="C430" s="908"/>
      <c r="D430" s="909"/>
      <c r="E430" s="905"/>
      <c r="F430" s="465"/>
      <c r="G430" s="922"/>
      <c r="H430" s="460"/>
      <c r="I430" s="922"/>
      <c r="J430" s="460"/>
      <c r="K430" s="922"/>
      <c r="L430" s="460"/>
      <c r="M430" s="922"/>
      <c r="N430" s="460"/>
      <c r="O430" s="922"/>
      <c r="P430" s="460"/>
    </row>
    <row r="431" spans="1:16">
      <c r="A431" s="906"/>
      <c r="B431" s="907"/>
      <c r="C431" s="908"/>
      <c r="D431" s="909"/>
      <c r="E431" s="905"/>
      <c r="F431" s="465"/>
      <c r="G431" s="922"/>
      <c r="H431" s="460"/>
      <c r="I431" s="922"/>
      <c r="J431" s="460"/>
      <c r="K431" s="922"/>
      <c r="L431" s="460"/>
      <c r="M431" s="922"/>
      <c r="N431" s="460"/>
      <c r="O431" s="922"/>
      <c r="P431" s="460"/>
    </row>
    <row r="432" spans="1:16">
      <c r="A432" s="906"/>
      <c r="B432" s="907"/>
      <c r="C432" s="908"/>
      <c r="D432" s="909"/>
      <c r="E432" s="905"/>
      <c r="F432" s="465"/>
      <c r="G432" s="922"/>
      <c r="H432" s="460"/>
      <c r="I432" s="922"/>
      <c r="J432" s="460"/>
      <c r="K432" s="922"/>
      <c r="L432" s="460"/>
      <c r="M432" s="922"/>
      <c r="N432" s="460"/>
      <c r="O432" s="922"/>
      <c r="P432" s="460"/>
    </row>
    <row r="433" spans="1:16">
      <c r="A433" s="906"/>
      <c r="B433" s="907"/>
      <c r="C433" s="908"/>
      <c r="D433" s="909"/>
      <c r="E433" s="905"/>
      <c r="F433" s="465"/>
      <c r="G433" s="922"/>
      <c r="H433" s="460"/>
      <c r="I433" s="922"/>
      <c r="J433" s="460"/>
      <c r="K433" s="922"/>
      <c r="L433" s="460"/>
      <c r="M433" s="922"/>
      <c r="N433" s="460"/>
      <c r="O433" s="922"/>
      <c r="P433" s="460"/>
    </row>
    <row r="434" spans="1:16">
      <c r="A434" s="906"/>
      <c r="B434" s="907"/>
      <c r="C434" s="908"/>
      <c r="D434" s="909"/>
      <c r="E434" s="905"/>
      <c r="F434" s="465"/>
      <c r="G434" s="922"/>
      <c r="H434" s="460"/>
      <c r="I434" s="922"/>
      <c r="J434" s="460"/>
      <c r="K434" s="922"/>
      <c r="L434" s="460"/>
      <c r="M434" s="922"/>
      <c r="N434" s="460"/>
      <c r="O434" s="922"/>
      <c r="P434" s="460"/>
    </row>
    <row r="435" spans="1:16">
      <c r="A435" s="906"/>
      <c r="B435" s="907"/>
      <c r="C435" s="908"/>
      <c r="D435" s="909"/>
      <c r="E435" s="905"/>
      <c r="F435" s="465"/>
      <c r="G435" s="922"/>
      <c r="H435" s="460"/>
      <c r="I435" s="922"/>
      <c r="J435" s="460"/>
      <c r="K435" s="922"/>
      <c r="L435" s="460"/>
      <c r="M435" s="922"/>
      <c r="N435" s="460"/>
      <c r="O435" s="922"/>
      <c r="P435" s="460"/>
    </row>
    <row r="436" spans="1:16">
      <c r="A436" s="906"/>
      <c r="B436" s="907"/>
      <c r="C436" s="908"/>
      <c r="D436" s="909"/>
      <c r="E436" s="905"/>
      <c r="F436" s="465"/>
      <c r="G436" s="922"/>
      <c r="H436" s="460"/>
      <c r="I436" s="922"/>
      <c r="J436" s="460"/>
      <c r="K436" s="922"/>
      <c r="L436" s="460"/>
      <c r="M436" s="922"/>
      <c r="N436" s="460"/>
      <c r="O436" s="922"/>
      <c r="P436" s="460"/>
    </row>
    <row r="437" spans="1:16">
      <c r="A437" s="906"/>
      <c r="B437" s="907"/>
      <c r="C437" s="908"/>
      <c r="D437" s="909"/>
      <c r="E437" s="905"/>
      <c r="F437" s="465"/>
      <c r="G437" s="922"/>
      <c r="H437" s="460"/>
      <c r="I437" s="922"/>
      <c r="J437" s="460"/>
      <c r="K437" s="922"/>
      <c r="L437" s="460"/>
      <c r="M437" s="922"/>
      <c r="N437" s="460"/>
      <c r="O437" s="922"/>
      <c r="P437" s="460"/>
    </row>
    <row r="438" spans="1:16">
      <c r="A438" s="906"/>
      <c r="B438" s="907"/>
      <c r="C438" s="908"/>
      <c r="D438" s="909"/>
      <c r="E438" s="905"/>
      <c r="F438" s="465"/>
      <c r="G438" s="922"/>
      <c r="H438" s="460"/>
      <c r="I438" s="922"/>
      <c r="J438" s="460"/>
      <c r="K438" s="922"/>
      <c r="L438" s="460"/>
      <c r="M438" s="922"/>
      <c r="N438" s="460"/>
      <c r="O438" s="922"/>
      <c r="P438" s="460"/>
    </row>
    <row r="439" spans="1:16">
      <c r="A439" s="906"/>
      <c r="B439" s="907"/>
      <c r="C439" s="908"/>
      <c r="D439" s="909"/>
      <c r="E439" s="905"/>
      <c r="F439" s="465"/>
      <c r="G439" s="922"/>
      <c r="H439" s="460"/>
      <c r="I439" s="922"/>
      <c r="J439" s="460"/>
      <c r="K439" s="922"/>
      <c r="L439" s="460"/>
      <c r="M439" s="922"/>
      <c r="N439" s="460"/>
      <c r="O439" s="922"/>
      <c r="P439" s="460"/>
    </row>
    <row r="440" spans="1:16">
      <c r="A440" s="906"/>
      <c r="B440" s="907"/>
      <c r="C440" s="908"/>
      <c r="D440" s="909"/>
      <c r="E440" s="905"/>
      <c r="F440" s="465"/>
      <c r="G440" s="922"/>
      <c r="H440" s="460"/>
      <c r="I440" s="922"/>
      <c r="J440" s="460"/>
      <c r="K440" s="922"/>
      <c r="L440" s="460"/>
      <c r="M440" s="922"/>
      <c r="N440" s="460"/>
      <c r="O440" s="922"/>
      <c r="P440" s="460"/>
    </row>
    <row r="441" spans="1:16">
      <c r="A441" s="906"/>
      <c r="B441" s="907"/>
      <c r="C441" s="908"/>
      <c r="D441" s="909"/>
      <c r="E441" s="905"/>
      <c r="F441" s="465"/>
      <c r="G441" s="922"/>
      <c r="H441" s="460"/>
      <c r="I441" s="922"/>
      <c r="J441" s="460"/>
      <c r="K441" s="922"/>
      <c r="L441" s="460"/>
      <c r="M441" s="922"/>
      <c r="N441" s="460"/>
      <c r="O441" s="922"/>
      <c r="P441" s="460"/>
    </row>
    <row r="442" spans="1:16">
      <c r="A442" s="906"/>
      <c r="B442" s="907"/>
      <c r="C442" s="908"/>
      <c r="D442" s="909"/>
      <c r="E442" s="905"/>
      <c r="F442" s="465"/>
      <c r="G442" s="922"/>
      <c r="H442" s="460"/>
      <c r="I442" s="922"/>
      <c r="J442" s="460"/>
      <c r="K442" s="922"/>
      <c r="L442" s="460"/>
      <c r="M442" s="922"/>
      <c r="N442" s="460"/>
      <c r="O442" s="922"/>
      <c r="P442" s="460"/>
    </row>
    <row r="443" spans="1:16">
      <c r="A443" s="906"/>
      <c r="B443" s="907"/>
      <c r="C443" s="908"/>
      <c r="D443" s="909"/>
      <c r="E443" s="905"/>
      <c r="F443" s="465"/>
      <c r="G443" s="922"/>
      <c r="H443" s="460"/>
      <c r="I443" s="922"/>
      <c r="J443" s="460"/>
      <c r="K443" s="922"/>
      <c r="L443" s="460"/>
      <c r="M443" s="922"/>
      <c r="N443" s="460"/>
      <c r="O443" s="922"/>
      <c r="P443" s="460"/>
    </row>
    <row r="444" spans="1:16">
      <c r="A444" s="906"/>
      <c r="B444" s="907"/>
      <c r="C444" s="908"/>
      <c r="D444" s="909"/>
      <c r="E444" s="905"/>
      <c r="F444" s="465"/>
      <c r="G444" s="922"/>
      <c r="H444" s="460"/>
      <c r="I444" s="922"/>
      <c r="J444" s="460"/>
      <c r="K444" s="922"/>
      <c r="L444" s="460"/>
      <c r="M444" s="922"/>
      <c r="N444" s="460"/>
      <c r="O444" s="922"/>
      <c r="P444" s="460"/>
    </row>
    <row r="445" spans="1:16">
      <c r="A445" s="906"/>
      <c r="B445" s="907"/>
      <c r="C445" s="908"/>
      <c r="D445" s="909"/>
      <c r="E445" s="905"/>
      <c r="F445" s="465"/>
      <c r="G445" s="922"/>
      <c r="H445" s="460"/>
      <c r="I445" s="922"/>
      <c r="J445" s="460"/>
      <c r="K445" s="922"/>
      <c r="L445" s="460"/>
      <c r="M445" s="922"/>
      <c r="N445" s="460"/>
      <c r="O445" s="922"/>
      <c r="P445" s="460"/>
    </row>
    <row r="446" spans="1:16">
      <c r="A446" s="906"/>
      <c r="B446" s="907"/>
      <c r="C446" s="908"/>
      <c r="D446" s="909"/>
      <c r="E446" s="905"/>
      <c r="F446" s="465"/>
      <c r="G446" s="922"/>
      <c r="H446" s="460"/>
      <c r="I446" s="922"/>
      <c r="J446" s="460"/>
      <c r="K446" s="922"/>
      <c r="L446" s="460"/>
      <c r="M446" s="922"/>
      <c r="N446" s="460"/>
      <c r="O446" s="922"/>
      <c r="P446" s="460"/>
    </row>
    <row r="447" spans="1:16">
      <c r="A447" s="906"/>
      <c r="B447" s="907"/>
      <c r="C447" s="908"/>
      <c r="D447" s="909"/>
      <c r="E447" s="905"/>
      <c r="F447" s="465"/>
      <c r="G447" s="922"/>
      <c r="H447" s="460"/>
      <c r="I447" s="922"/>
      <c r="J447" s="460"/>
      <c r="K447" s="922"/>
      <c r="L447" s="460"/>
      <c r="M447" s="922"/>
      <c r="N447" s="460"/>
      <c r="O447" s="922"/>
      <c r="P447" s="460"/>
    </row>
    <row r="448" spans="1:16">
      <c r="A448" s="906"/>
      <c r="B448" s="907"/>
      <c r="C448" s="908"/>
      <c r="D448" s="909"/>
      <c r="E448" s="905"/>
      <c r="F448" s="465"/>
      <c r="G448" s="922"/>
      <c r="H448" s="460"/>
      <c r="I448" s="922"/>
      <c r="J448" s="460"/>
      <c r="K448" s="922"/>
      <c r="L448" s="460"/>
      <c r="M448" s="922"/>
      <c r="N448" s="460"/>
      <c r="O448" s="922"/>
      <c r="P448" s="460"/>
    </row>
    <row r="449" spans="1:16">
      <c r="A449" s="906"/>
      <c r="B449" s="907"/>
      <c r="C449" s="908"/>
      <c r="D449" s="909"/>
      <c r="E449" s="905"/>
      <c r="F449" s="465"/>
      <c r="G449" s="922"/>
      <c r="H449" s="460"/>
      <c r="I449" s="922"/>
      <c r="J449" s="460"/>
      <c r="K449" s="922"/>
      <c r="L449" s="460"/>
      <c r="M449" s="922"/>
      <c r="N449" s="460"/>
      <c r="O449" s="922"/>
      <c r="P449" s="460"/>
    </row>
    <row r="450" spans="1:16">
      <c r="A450" s="906"/>
      <c r="B450" s="907"/>
      <c r="C450" s="908"/>
      <c r="D450" s="909"/>
      <c r="E450" s="905"/>
      <c r="F450" s="465"/>
      <c r="G450" s="922"/>
      <c r="H450" s="460"/>
      <c r="I450" s="922"/>
      <c r="J450" s="460"/>
      <c r="K450" s="922"/>
      <c r="L450" s="460"/>
      <c r="M450" s="922"/>
      <c r="N450" s="460"/>
      <c r="O450" s="922"/>
      <c r="P450" s="460"/>
    </row>
    <row r="451" spans="1:16">
      <c r="A451" s="906"/>
      <c r="B451" s="907"/>
      <c r="C451" s="908"/>
      <c r="D451" s="909"/>
      <c r="E451" s="905"/>
      <c r="F451" s="465"/>
      <c r="G451" s="922"/>
      <c r="H451" s="460"/>
      <c r="I451" s="922"/>
      <c r="J451" s="460"/>
      <c r="K451" s="922"/>
      <c r="L451" s="460"/>
      <c r="M451" s="922"/>
      <c r="N451" s="460"/>
      <c r="O451" s="922"/>
      <c r="P451" s="460"/>
    </row>
    <row r="452" spans="1:16">
      <c r="A452" s="906"/>
      <c r="B452" s="907"/>
      <c r="C452" s="908"/>
      <c r="D452" s="909"/>
      <c r="E452" s="905"/>
      <c r="F452" s="465"/>
      <c r="G452" s="922"/>
      <c r="H452" s="460"/>
      <c r="I452" s="922"/>
      <c r="J452" s="460"/>
      <c r="K452" s="922"/>
      <c r="L452" s="460"/>
      <c r="M452" s="922"/>
      <c r="N452" s="460"/>
      <c r="O452" s="922"/>
      <c r="P452" s="460"/>
    </row>
    <row r="453" spans="1:16">
      <c r="A453" s="906"/>
      <c r="B453" s="907"/>
      <c r="C453" s="908"/>
      <c r="D453" s="909"/>
      <c r="E453" s="905"/>
      <c r="F453" s="465"/>
      <c r="G453" s="922"/>
      <c r="H453" s="460"/>
      <c r="I453" s="922"/>
      <c r="J453" s="460"/>
      <c r="K453" s="922"/>
      <c r="L453" s="460"/>
      <c r="M453" s="922"/>
      <c r="N453" s="460"/>
      <c r="O453" s="922"/>
      <c r="P453" s="460"/>
    </row>
    <row r="454" spans="1:16">
      <c r="A454" s="906"/>
      <c r="B454" s="907"/>
      <c r="C454" s="908"/>
      <c r="D454" s="909"/>
      <c r="E454" s="905"/>
      <c r="F454" s="465"/>
      <c r="G454" s="922"/>
      <c r="H454" s="460"/>
      <c r="I454" s="922"/>
      <c r="J454" s="460"/>
      <c r="K454" s="922"/>
      <c r="L454" s="460"/>
      <c r="M454" s="922"/>
      <c r="N454" s="460"/>
      <c r="O454" s="922"/>
      <c r="P454" s="460"/>
    </row>
    <row r="455" spans="1:16">
      <c r="A455" s="906"/>
      <c r="B455" s="907"/>
      <c r="C455" s="908"/>
      <c r="D455" s="909"/>
      <c r="E455" s="905"/>
      <c r="F455" s="465"/>
      <c r="G455" s="922"/>
      <c r="H455" s="460"/>
      <c r="I455" s="922"/>
      <c r="J455" s="460"/>
      <c r="K455" s="922"/>
      <c r="L455" s="460"/>
      <c r="M455" s="922"/>
      <c r="N455" s="460"/>
      <c r="O455" s="922"/>
      <c r="P455" s="460"/>
    </row>
    <row r="456" spans="1:16">
      <c r="A456" s="906"/>
      <c r="B456" s="907"/>
      <c r="C456" s="908"/>
      <c r="D456" s="909"/>
      <c r="E456" s="905"/>
      <c r="F456" s="465"/>
      <c r="G456" s="922"/>
      <c r="H456" s="460"/>
      <c r="I456" s="922"/>
      <c r="J456" s="460"/>
      <c r="K456" s="922"/>
      <c r="L456" s="460"/>
      <c r="M456" s="922"/>
      <c r="N456" s="460"/>
      <c r="O456" s="922"/>
      <c r="P456" s="460"/>
    </row>
    <row r="457" spans="1:16">
      <c r="A457" s="906"/>
      <c r="B457" s="907"/>
      <c r="C457" s="908"/>
      <c r="D457" s="909"/>
      <c r="E457" s="905"/>
      <c r="F457" s="465"/>
      <c r="G457" s="922"/>
      <c r="H457" s="460"/>
      <c r="I457" s="922"/>
      <c r="J457" s="460"/>
      <c r="K457" s="922"/>
      <c r="L457" s="460"/>
      <c r="M457" s="922"/>
      <c r="N457" s="460"/>
      <c r="O457" s="922"/>
      <c r="P457" s="460"/>
    </row>
    <row r="458" spans="1:16">
      <c r="A458" s="906"/>
      <c r="B458" s="907"/>
      <c r="C458" s="908"/>
      <c r="D458" s="909"/>
      <c r="E458" s="905"/>
      <c r="F458" s="465"/>
      <c r="G458" s="922"/>
      <c r="H458" s="460"/>
      <c r="I458" s="922"/>
      <c r="J458" s="460"/>
      <c r="K458" s="922"/>
      <c r="L458" s="460"/>
      <c r="M458" s="922"/>
      <c r="N458" s="460"/>
      <c r="O458" s="922"/>
      <c r="P458" s="460"/>
    </row>
    <row r="459" spans="1:16">
      <c r="A459" s="906"/>
      <c r="B459" s="907"/>
      <c r="C459" s="908"/>
      <c r="D459" s="909"/>
      <c r="E459" s="905"/>
      <c r="F459" s="465"/>
      <c r="G459" s="922"/>
      <c r="H459" s="460"/>
      <c r="I459" s="922"/>
      <c r="J459" s="460"/>
      <c r="K459" s="922"/>
      <c r="L459" s="460"/>
      <c r="M459" s="922"/>
      <c r="N459" s="460"/>
      <c r="O459" s="922"/>
      <c r="P459" s="460"/>
    </row>
    <row r="460" spans="1:16">
      <c r="A460" s="906"/>
      <c r="B460" s="907"/>
      <c r="C460" s="908"/>
      <c r="D460" s="909"/>
      <c r="E460" s="905"/>
      <c r="F460" s="465"/>
      <c r="G460" s="922"/>
      <c r="H460" s="460"/>
      <c r="I460" s="922"/>
      <c r="J460" s="460"/>
      <c r="K460" s="922"/>
      <c r="L460" s="460"/>
      <c r="M460" s="922"/>
      <c r="N460" s="460"/>
      <c r="O460" s="922"/>
      <c r="P460" s="460"/>
    </row>
    <row r="461" spans="1:16">
      <c r="A461" s="906"/>
      <c r="B461" s="907"/>
      <c r="C461" s="908"/>
      <c r="D461" s="909"/>
      <c r="E461" s="905"/>
      <c r="F461" s="465"/>
      <c r="G461" s="922"/>
      <c r="H461" s="460"/>
      <c r="I461" s="922"/>
      <c r="J461" s="460"/>
      <c r="K461" s="922"/>
      <c r="L461" s="460"/>
      <c r="M461" s="922"/>
      <c r="N461" s="460"/>
      <c r="O461" s="922"/>
      <c r="P461" s="460"/>
    </row>
    <row r="462" spans="1:16">
      <c r="A462" s="906"/>
      <c r="B462" s="907"/>
      <c r="C462" s="908"/>
      <c r="D462" s="909"/>
      <c r="E462" s="905"/>
      <c r="F462" s="465"/>
      <c r="G462" s="922"/>
      <c r="H462" s="460"/>
      <c r="I462" s="922"/>
      <c r="J462" s="460"/>
      <c r="K462" s="922"/>
      <c r="L462" s="460"/>
      <c r="M462" s="922"/>
      <c r="N462" s="460"/>
      <c r="O462" s="922"/>
      <c r="P462" s="460"/>
    </row>
    <row r="463" spans="1:16">
      <c r="A463" s="906"/>
      <c r="B463" s="907"/>
      <c r="C463" s="908"/>
      <c r="D463" s="909"/>
      <c r="E463" s="905"/>
      <c r="F463" s="465"/>
      <c r="G463" s="922"/>
      <c r="H463" s="460"/>
      <c r="I463" s="922"/>
      <c r="J463" s="460"/>
      <c r="K463" s="922"/>
      <c r="L463" s="460"/>
      <c r="M463" s="922"/>
      <c r="N463" s="460"/>
      <c r="O463" s="922"/>
      <c r="P463" s="460"/>
    </row>
    <row r="464" spans="1:16">
      <c r="A464" s="906"/>
      <c r="B464" s="907"/>
      <c r="C464" s="908"/>
      <c r="D464" s="909"/>
      <c r="E464" s="905"/>
      <c r="F464" s="465"/>
      <c r="G464" s="922"/>
      <c r="H464" s="460"/>
      <c r="I464" s="922"/>
      <c r="J464" s="460"/>
      <c r="K464" s="922"/>
      <c r="L464" s="460"/>
      <c r="M464" s="922"/>
      <c r="N464" s="460"/>
      <c r="O464" s="922"/>
      <c r="P464" s="460"/>
    </row>
    <row r="465" spans="1:16">
      <c r="A465" s="906"/>
      <c r="B465" s="907"/>
      <c r="C465" s="908"/>
      <c r="D465" s="909"/>
      <c r="E465" s="905"/>
      <c r="F465" s="465"/>
      <c r="G465" s="922"/>
      <c r="H465" s="460"/>
      <c r="I465" s="922"/>
      <c r="J465" s="460"/>
      <c r="K465" s="922"/>
      <c r="L465" s="460"/>
      <c r="M465" s="922"/>
      <c r="N465" s="460"/>
      <c r="O465" s="922"/>
      <c r="P465" s="460"/>
    </row>
    <row r="466" spans="1:16">
      <c r="A466" s="906"/>
      <c r="B466" s="907"/>
      <c r="C466" s="908"/>
      <c r="D466" s="909"/>
      <c r="E466" s="905"/>
      <c r="F466" s="465"/>
      <c r="G466" s="922"/>
      <c r="H466" s="460"/>
      <c r="I466" s="922"/>
      <c r="J466" s="460"/>
      <c r="K466" s="922"/>
      <c r="L466" s="460"/>
      <c r="M466" s="922"/>
      <c r="N466" s="460"/>
      <c r="O466" s="922"/>
      <c r="P466" s="460"/>
    </row>
    <row r="467" spans="1:16">
      <c r="A467" s="906"/>
      <c r="B467" s="907"/>
      <c r="C467" s="908"/>
      <c r="D467" s="909"/>
      <c r="E467" s="905"/>
      <c r="F467" s="465"/>
      <c r="G467" s="922"/>
      <c r="H467" s="460"/>
      <c r="I467" s="922"/>
      <c r="J467" s="460"/>
      <c r="K467" s="922"/>
      <c r="L467" s="460"/>
      <c r="M467" s="922"/>
      <c r="N467" s="460"/>
      <c r="O467" s="922"/>
      <c r="P467" s="460"/>
    </row>
    <row r="468" spans="1:16">
      <c r="A468" s="906"/>
      <c r="B468" s="907"/>
      <c r="C468" s="908"/>
      <c r="D468" s="909"/>
      <c r="E468" s="905"/>
      <c r="F468" s="465"/>
      <c r="G468" s="922"/>
      <c r="H468" s="460"/>
      <c r="I468" s="922"/>
      <c r="J468" s="460"/>
      <c r="K468" s="922"/>
      <c r="L468" s="460"/>
      <c r="M468" s="922"/>
      <c r="N468" s="460"/>
      <c r="O468" s="922"/>
      <c r="P468" s="460"/>
    </row>
    <row r="469" spans="1:16">
      <c r="A469" s="906"/>
      <c r="B469" s="907"/>
      <c r="C469" s="908"/>
      <c r="D469" s="909"/>
      <c r="E469" s="905"/>
      <c r="F469" s="465"/>
      <c r="G469" s="922"/>
      <c r="H469" s="460"/>
      <c r="I469" s="922"/>
      <c r="J469" s="460"/>
      <c r="K469" s="922"/>
      <c r="L469" s="460"/>
      <c r="M469" s="922"/>
      <c r="N469" s="460"/>
      <c r="O469" s="922"/>
      <c r="P469" s="460"/>
    </row>
    <row r="470" spans="1:16">
      <c r="A470" s="906"/>
      <c r="B470" s="907"/>
      <c r="C470" s="908"/>
      <c r="D470" s="909"/>
      <c r="E470" s="905"/>
      <c r="F470" s="465"/>
      <c r="G470" s="922"/>
      <c r="H470" s="460"/>
      <c r="I470" s="922"/>
      <c r="J470" s="460"/>
      <c r="K470" s="922"/>
      <c r="L470" s="460"/>
      <c r="M470" s="922"/>
      <c r="N470" s="460"/>
      <c r="O470" s="922"/>
      <c r="P470" s="460"/>
    </row>
    <row r="471" spans="1:16">
      <c r="A471" s="906"/>
      <c r="B471" s="907"/>
      <c r="C471" s="908"/>
      <c r="D471" s="909"/>
      <c r="E471" s="905"/>
      <c r="F471" s="465"/>
      <c r="G471" s="922"/>
      <c r="H471" s="460"/>
      <c r="I471" s="922"/>
      <c r="J471" s="460"/>
      <c r="K471" s="922"/>
      <c r="L471" s="460"/>
      <c r="M471" s="922"/>
      <c r="N471" s="460"/>
      <c r="O471" s="922"/>
      <c r="P471" s="460"/>
    </row>
    <row r="472" spans="1:16">
      <c r="A472" s="906"/>
      <c r="B472" s="907"/>
      <c r="C472" s="908"/>
      <c r="D472" s="909"/>
      <c r="E472" s="905"/>
      <c r="F472" s="465"/>
      <c r="G472" s="922"/>
      <c r="H472" s="460"/>
      <c r="I472" s="922"/>
      <c r="J472" s="460"/>
      <c r="K472" s="922"/>
      <c r="L472" s="460"/>
      <c r="M472" s="922"/>
      <c r="N472" s="460"/>
      <c r="O472" s="922"/>
      <c r="P472" s="460"/>
    </row>
    <row r="473" spans="1:16">
      <c r="A473" s="906"/>
      <c r="B473" s="907"/>
      <c r="C473" s="908"/>
      <c r="D473" s="909"/>
      <c r="E473" s="905"/>
      <c r="F473" s="465"/>
      <c r="G473" s="922"/>
      <c r="H473" s="460"/>
      <c r="I473" s="922"/>
      <c r="J473" s="460"/>
      <c r="K473" s="922"/>
      <c r="L473" s="460"/>
      <c r="M473" s="922"/>
      <c r="N473" s="460"/>
      <c r="O473" s="922"/>
      <c r="P473" s="460"/>
    </row>
    <row r="474" spans="1:16">
      <c r="A474" s="906"/>
      <c r="B474" s="907"/>
      <c r="C474" s="908"/>
      <c r="D474" s="909"/>
      <c r="E474" s="905"/>
      <c r="F474" s="465"/>
      <c r="G474" s="922"/>
      <c r="H474" s="460"/>
      <c r="I474" s="922"/>
      <c r="J474" s="460"/>
      <c r="K474" s="922"/>
      <c r="L474" s="460"/>
      <c r="M474" s="922"/>
      <c r="N474" s="460"/>
      <c r="O474" s="922"/>
      <c r="P474" s="460"/>
    </row>
    <row r="475" spans="1:16">
      <c r="A475" s="906"/>
      <c r="B475" s="907"/>
      <c r="C475" s="908"/>
      <c r="D475" s="909"/>
      <c r="E475" s="905"/>
      <c r="F475" s="465"/>
      <c r="G475" s="922"/>
      <c r="H475" s="460"/>
      <c r="I475" s="922"/>
      <c r="J475" s="460"/>
      <c r="K475" s="922"/>
      <c r="L475" s="460"/>
      <c r="M475" s="922"/>
      <c r="N475" s="460"/>
      <c r="O475" s="922"/>
      <c r="P475" s="460"/>
    </row>
    <row r="476" spans="1:16">
      <c r="A476" s="906"/>
      <c r="B476" s="907"/>
      <c r="C476" s="908"/>
      <c r="D476" s="909"/>
      <c r="E476" s="905"/>
      <c r="F476" s="465"/>
      <c r="G476" s="922"/>
      <c r="H476" s="460"/>
      <c r="I476" s="922"/>
      <c r="J476" s="460"/>
      <c r="K476" s="922"/>
      <c r="L476" s="460"/>
      <c r="M476" s="922"/>
      <c r="N476" s="460"/>
      <c r="O476" s="922"/>
      <c r="P476" s="460"/>
    </row>
    <row r="477" spans="1:16">
      <c r="A477" s="906"/>
      <c r="B477" s="907"/>
      <c r="C477" s="908"/>
      <c r="D477" s="909"/>
      <c r="E477" s="905"/>
      <c r="F477" s="465"/>
      <c r="G477" s="922"/>
      <c r="H477" s="460"/>
      <c r="I477" s="922"/>
      <c r="J477" s="460"/>
      <c r="K477" s="922"/>
      <c r="L477" s="460"/>
      <c r="M477" s="922"/>
      <c r="N477" s="460"/>
      <c r="O477" s="922"/>
      <c r="P477" s="460"/>
    </row>
    <row r="478" spans="1:16">
      <c r="A478" s="906"/>
      <c r="B478" s="907"/>
      <c r="C478" s="908"/>
      <c r="D478" s="909"/>
      <c r="E478" s="905"/>
      <c r="F478" s="465"/>
      <c r="G478" s="922"/>
      <c r="H478" s="460"/>
      <c r="I478" s="922"/>
      <c r="J478" s="460"/>
      <c r="K478" s="922"/>
      <c r="L478" s="460"/>
      <c r="M478" s="922"/>
      <c r="N478" s="460"/>
      <c r="O478" s="922"/>
      <c r="P478" s="460"/>
    </row>
    <row r="479" spans="1:16">
      <c r="A479" s="906"/>
      <c r="B479" s="907"/>
      <c r="C479" s="908"/>
      <c r="D479" s="909"/>
      <c r="E479" s="905"/>
      <c r="F479" s="465"/>
      <c r="G479" s="922"/>
      <c r="H479" s="460"/>
      <c r="I479" s="922"/>
      <c r="J479" s="460"/>
      <c r="K479" s="922"/>
      <c r="L479" s="460"/>
      <c r="M479" s="922"/>
      <c r="N479" s="460"/>
      <c r="O479" s="922"/>
      <c r="P479" s="460"/>
    </row>
    <row r="480" spans="1:16">
      <c r="A480" s="906"/>
      <c r="B480" s="907"/>
      <c r="C480" s="908"/>
      <c r="D480" s="909"/>
      <c r="E480" s="905"/>
      <c r="F480" s="465"/>
      <c r="G480" s="922"/>
      <c r="H480" s="460"/>
      <c r="I480" s="922"/>
      <c r="J480" s="460"/>
      <c r="K480" s="922"/>
      <c r="L480" s="460"/>
      <c r="M480" s="922"/>
      <c r="N480" s="460"/>
      <c r="O480" s="922"/>
      <c r="P480" s="460"/>
    </row>
    <row r="481" spans="1:16">
      <c r="A481" s="906"/>
      <c r="B481" s="907"/>
      <c r="C481" s="908"/>
      <c r="D481" s="909"/>
      <c r="E481" s="905"/>
      <c r="F481" s="465"/>
      <c r="G481" s="922"/>
      <c r="H481" s="460"/>
      <c r="I481" s="922"/>
      <c r="J481" s="460"/>
      <c r="K481" s="922"/>
      <c r="L481" s="460"/>
      <c r="M481" s="922"/>
      <c r="N481" s="460"/>
      <c r="O481" s="922"/>
      <c r="P481" s="460"/>
    </row>
    <row r="482" spans="1:16">
      <c r="A482" s="906"/>
      <c r="B482" s="907"/>
      <c r="C482" s="908"/>
      <c r="D482" s="909"/>
      <c r="E482" s="905"/>
      <c r="F482" s="465"/>
      <c r="G482" s="922"/>
      <c r="H482" s="460"/>
      <c r="I482" s="922"/>
      <c r="J482" s="460"/>
      <c r="K482" s="922"/>
      <c r="L482" s="460"/>
      <c r="M482" s="922"/>
      <c r="N482" s="460"/>
      <c r="O482" s="922"/>
      <c r="P482" s="460"/>
    </row>
    <row r="483" spans="1:16">
      <c r="A483" s="906"/>
      <c r="B483" s="907"/>
      <c r="C483" s="908"/>
      <c r="D483" s="909"/>
      <c r="E483" s="905"/>
      <c r="F483" s="465"/>
      <c r="G483" s="922"/>
      <c r="H483" s="460"/>
      <c r="I483" s="922"/>
      <c r="J483" s="460"/>
      <c r="K483" s="922"/>
      <c r="L483" s="460"/>
      <c r="M483" s="922"/>
      <c r="N483" s="460"/>
      <c r="O483" s="922"/>
      <c r="P483" s="460"/>
    </row>
    <row r="484" spans="1:16">
      <c r="A484" s="906"/>
      <c r="B484" s="907"/>
      <c r="C484" s="908"/>
      <c r="D484" s="909"/>
      <c r="E484" s="905"/>
      <c r="F484" s="465"/>
      <c r="G484" s="922"/>
      <c r="H484" s="460"/>
      <c r="I484" s="922"/>
      <c r="J484" s="460"/>
      <c r="K484" s="922"/>
      <c r="L484" s="460"/>
      <c r="M484" s="922"/>
      <c r="N484" s="460"/>
      <c r="O484" s="922"/>
      <c r="P484" s="460"/>
    </row>
    <row r="485" spans="1:16">
      <c r="A485" s="906"/>
      <c r="B485" s="907"/>
      <c r="C485" s="908"/>
      <c r="D485" s="909"/>
      <c r="E485" s="905"/>
      <c r="F485" s="465"/>
      <c r="G485" s="922"/>
      <c r="H485" s="460"/>
      <c r="I485" s="922"/>
      <c r="J485" s="460"/>
      <c r="K485" s="922"/>
      <c r="L485" s="460"/>
      <c r="M485" s="922"/>
      <c r="N485" s="460"/>
      <c r="O485" s="922"/>
      <c r="P485" s="460"/>
    </row>
    <row r="486" spans="1:16">
      <c r="A486" s="906"/>
      <c r="B486" s="907"/>
      <c r="C486" s="908"/>
      <c r="D486" s="909"/>
      <c r="E486" s="905"/>
      <c r="F486" s="465"/>
      <c r="G486" s="922"/>
      <c r="H486" s="460"/>
      <c r="I486" s="922"/>
      <c r="J486" s="460"/>
      <c r="K486" s="922"/>
      <c r="L486" s="460"/>
      <c r="M486" s="922"/>
      <c r="N486" s="460"/>
      <c r="O486" s="922"/>
      <c r="P486" s="460"/>
    </row>
    <row r="487" spans="1:16">
      <c r="A487" s="906"/>
      <c r="B487" s="907"/>
      <c r="C487" s="908"/>
      <c r="D487" s="909"/>
      <c r="E487" s="905"/>
      <c r="F487" s="465"/>
      <c r="G487" s="922"/>
      <c r="H487" s="460"/>
      <c r="I487" s="922"/>
      <c r="J487" s="460"/>
      <c r="K487" s="922"/>
      <c r="L487" s="460"/>
      <c r="M487" s="922"/>
      <c r="N487" s="460"/>
      <c r="O487" s="922"/>
      <c r="P487" s="460"/>
    </row>
    <row r="488" spans="1:16">
      <c r="A488" s="906"/>
      <c r="B488" s="907"/>
      <c r="C488" s="908"/>
      <c r="D488" s="909"/>
      <c r="E488" s="905"/>
      <c r="F488" s="465"/>
      <c r="G488" s="922"/>
      <c r="H488" s="460"/>
      <c r="I488" s="922"/>
      <c r="J488" s="460"/>
      <c r="K488" s="922"/>
      <c r="L488" s="460"/>
      <c r="M488" s="922"/>
      <c r="N488" s="460"/>
      <c r="O488" s="922"/>
      <c r="P488" s="460"/>
    </row>
    <row r="489" spans="1:16">
      <c r="A489" s="906"/>
      <c r="B489" s="907"/>
      <c r="C489" s="908"/>
      <c r="D489" s="909"/>
      <c r="E489" s="905"/>
      <c r="F489" s="465"/>
      <c r="G489" s="922"/>
      <c r="H489" s="460"/>
      <c r="I489" s="922"/>
      <c r="J489" s="460"/>
      <c r="K489" s="922"/>
      <c r="L489" s="460"/>
      <c r="M489" s="922"/>
      <c r="N489" s="460"/>
      <c r="O489" s="922"/>
      <c r="P489" s="460"/>
    </row>
    <row r="490" spans="1:16">
      <c r="A490" s="906"/>
      <c r="B490" s="907"/>
      <c r="C490" s="908"/>
      <c r="D490" s="909"/>
      <c r="E490" s="905"/>
      <c r="F490" s="465"/>
      <c r="G490" s="922"/>
      <c r="H490" s="460"/>
      <c r="I490" s="922"/>
      <c r="J490" s="460"/>
      <c r="K490" s="922"/>
      <c r="L490" s="460"/>
      <c r="M490" s="922"/>
      <c r="N490" s="460"/>
      <c r="O490" s="922"/>
      <c r="P490" s="460"/>
    </row>
    <row r="491" spans="1:16">
      <c r="A491" s="906"/>
      <c r="B491" s="907"/>
      <c r="C491" s="908"/>
      <c r="D491" s="909"/>
      <c r="E491" s="905"/>
      <c r="F491" s="465"/>
      <c r="G491" s="922"/>
      <c r="H491" s="460"/>
      <c r="I491" s="922"/>
      <c r="J491" s="460"/>
      <c r="K491" s="922"/>
      <c r="L491" s="460"/>
      <c r="M491" s="922"/>
      <c r="N491" s="460"/>
      <c r="O491" s="922"/>
      <c r="P491" s="460"/>
    </row>
    <row r="492" spans="1:16">
      <c r="A492" s="906"/>
      <c r="B492" s="907"/>
      <c r="C492" s="908"/>
      <c r="D492" s="909"/>
      <c r="E492" s="905"/>
      <c r="F492" s="465"/>
      <c r="G492" s="922"/>
      <c r="H492" s="460"/>
      <c r="I492" s="922"/>
      <c r="J492" s="460"/>
      <c r="K492" s="922"/>
      <c r="L492" s="460"/>
      <c r="M492" s="922"/>
      <c r="N492" s="460"/>
      <c r="O492" s="922"/>
      <c r="P492" s="460"/>
    </row>
    <row r="493" spans="1:16">
      <c r="A493" s="906"/>
      <c r="B493" s="907"/>
      <c r="C493" s="908"/>
      <c r="D493" s="909"/>
      <c r="E493" s="905"/>
      <c r="F493" s="465"/>
      <c r="G493" s="922"/>
      <c r="H493" s="460"/>
      <c r="I493" s="922"/>
      <c r="J493" s="460"/>
      <c r="K493" s="922"/>
      <c r="L493" s="460"/>
      <c r="M493" s="922"/>
      <c r="N493" s="460"/>
      <c r="O493" s="922"/>
      <c r="P493" s="460"/>
    </row>
    <row r="494" spans="1:16">
      <c r="A494" s="906"/>
      <c r="B494" s="907"/>
      <c r="C494" s="908"/>
      <c r="D494" s="909"/>
      <c r="E494" s="905"/>
      <c r="F494" s="465"/>
      <c r="G494" s="922"/>
      <c r="H494" s="460"/>
      <c r="I494" s="922"/>
      <c r="J494" s="460"/>
      <c r="K494" s="922"/>
      <c r="L494" s="460"/>
      <c r="M494" s="922"/>
      <c r="N494" s="460"/>
      <c r="O494" s="922"/>
      <c r="P494" s="460"/>
    </row>
    <row r="495" spans="1:16">
      <c r="A495" s="906"/>
      <c r="B495" s="907"/>
      <c r="C495" s="908"/>
      <c r="D495" s="909"/>
      <c r="E495" s="905"/>
      <c r="F495" s="465"/>
      <c r="G495" s="922"/>
      <c r="H495" s="460"/>
      <c r="I495" s="922"/>
      <c r="J495" s="460"/>
      <c r="K495" s="922"/>
      <c r="L495" s="460"/>
      <c r="M495" s="922"/>
      <c r="N495" s="460"/>
      <c r="O495" s="922"/>
      <c r="P495" s="460"/>
    </row>
    <row r="496" spans="1:16">
      <c r="A496" s="906"/>
      <c r="B496" s="907"/>
      <c r="C496" s="908"/>
      <c r="D496" s="909"/>
      <c r="E496" s="905"/>
      <c r="F496" s="465"/>
      <c r="G496" s="922"/>
      <c r="H496" s="460"/>
      <c r="I496" s="922"/>
      <c r="J496" s="460"/>
      <c r="K496" s="922"/>
      <c r="L496" s="460"/>
      <c r="M496" s="922"/>
      <c r="N496" s="460"/>
      <c r="O496" s="922"/>
      <c r="P496" s="460"/>
    </row>
    <row r="497" spans="1:16">
      <c r="A497" s="906"/>
      <c r="B497" s="907"/>
      <c r="C497" s="908"/>
      <c r="D497" s="910"/>
      <c r="E497" s="905"/>
      <c r="F497" s="465"/>
      <c r="G497" s="922"/>
      <c r="H497" s="460"/>
      <c r="I497" s="922"/>
      <c r="J497" s="460"/>
      <c r="K497" s="922"/>
      <c r="L497" s="460"/>
      <c r="M497" s="922"/>
      <c r="N497" s="460"/>
      <c r="O497" s="922"/>
      <c r="P497" s="460"/>
    </row>
    <row r="498" spans="1:16">
      <c r="A498" s="906"/>
      <c r="B498" s="907"/>
      <c r="C498" s="908"/>
      <c r="D498" s="910"/>
      <c r="E498" s="905"/>
      <c r="F498" s="465"/>
      <c r="G498" s="922"/>
      <c r="H498" s="460"/>
      <c r="I498" s="922"/>
      <c r="J498" s="460"/>
      <c r="K498" s="922"/>
      <c r="L498" s="460"/>
      <c r="M498" s="922"/>
      <c r="N498" s="460"/>
      <c r="O498" s="922"/>
      <c r="P498" s="460"/>
    </row>
    <row r="499" spans="1:16" ht="13.5" thickBot="1">
      <c r="A499" s="911"/>
      <c r="B499" s="912"/>
      <c r="C499" s="913"/>
      <c r="D499" s="914"/>
      <c r="E499" s="955"/>
      <c r="F499" s="915"/>
      <c r="G499" s="916"/>
      <c r="H499" s="943"/>
      <c r="I499" s="916"/>
      <c r="J499" s="943"/>
      <c r="K499" s="916"/>
      <c r="L499" s="943"/>
      <c r="M499" s="916"/>
      <c r="N499" s="943"/>
      <c r="O499" s="916"/>
      <c r="P499" s="943"/>
    </row>
  </sheetData>
  <sheetProtection sheet="1" objects="1" scenarios="1" formatCells="0" formatColumns="0" formatRows="0" insertColumns="0" insertRows="0" insertHyperlinks="0" deleteColumns="0" deleteRows="0" sort="0" autoFilter="0" pivotTables="0"/>
  <dataConsolidate/>
  <mergeCells count="6">
    <mergeCell ref="O1:P1"/>
    <mergeCell ref="G1:H1"/>
    <mergeCell ref="E3:F3"/>
    <mergeCell ref="I1:J1"/>
    <mergeCell ref="K1:L1"/>
    <mergeCell ref="M1:N1"/>
  </mergeCells>
  <phoneticPr fontId="14" type="noConversion"/>
  <conditionalFormatting sqref="A1">
    <cfRule type="cellIs" dxfId="10246" priority="6" stopIfTrue="1" operator="equal">
      <formula>"NOK"</formula>
    </cfRule>
  </conditionalFormatting>
  <conditionalFormatting sqref="G5:G499">
    <cfRule type="cellIs" dxfId="10245" priority="5" stopIfTrue="1" operator="notEqual">
      <formula>H5</formula>
    </cfRule>
  </conditionalFormatting>
  <conditionalFormatting sqref="I5:I499">
    <cfRule type="cellIs" dxfId="10244" priority="4" stopIfTrue="1" operator="notEqual">
      <formula>J5</formula>
    </cfRule>
  </conditionalFormatting>
  <conditionalFormatting sqref="K5:K499">
    <cfRule type="cellIs" dxfId="10243" priority="3" stopIfTrue="1" operator="notEqual">
      <formula>L5</formula>
    </cfRule>
  </conditionalFormatting>
  <conditionalFormatting sqref="M5:M499">
    <cfRule type="cellIs" dxfId="10242" priority="2" stopIfTrue="1" operator="notEqual">
      <formula>N5</formula>
    </cfRule>
  </conditionalFormatting>
  <conditionalFormatting sqref="O5:O499">
    <cfRule type="cellIs" dxfId="10241" priority="1" stopIfTrue="1" operator="notEqual">
      <formula>P5</formula>
    </cfRule>
  </conditionalFormatting>
  <dataValidations count="2">
    <dataValidation type="list" allowBlank="1" showInputMessage="1" showErrorMessage="1" sqref="G1 I1 K1 M1">
      <formula1>GasLiquidColumnNodeVariablesList</formula1>
    </dataValidation>
    <dataValidation type="list" allowBlank="1" showInputMessage="1" showErrorMessage="1" sqref="O1">
      <formula1>GasLiquidColumnNodeVariablesList</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sheetPr codeName="Sheet69">
    <tabColor rgb="FF92D050"/>
  </sheetPr>
  <dimension ref="A1:Y498"/>
  <sheetViews>
    <sheetView showGridLines="0" zoomScale="85" zoomScaleNormal="85" workbookViewId="0">
      <pane xSplit="6" ySplit="4" topLeftCell="S5" activePane="bottomRight" state="frozenSplit"/>
      <selection pane="topRight" activeCell="F1" sqref="F1"/>
      <selection pane="bottomLeft" activeCell="A5" sqref="A5"/>
      <selection pane="bottomRight" activeCell="V10" sqref="V10"/>
    </sheetView>
  </sheetViews>
  <sheetFormatPr defaultRowHeight="12.75"/>
  <cols>
    <col min="1" max="1" width="30.625" style="28" customWidth="1"/>
    <col min="2" max="2" width="7.125" style="28" customWidth="1"/>
    <col min="3" max="3" width="9" style="29"/>
    <col min="4" max="4" width="16" style="28" customWidth="1"/>
    <col min="5" max="5" width="16.625" style="28" customWidth="1"/>
    <col min="6" max="6" width="16.625" style="30" customWidth="1"/>
    <col min="7" max="7" width="9.75" style="189" customWidth="1"/>
    <col min="8" max="8" width="9.75" style="190" customWidth="1"/>
    <col min="9" max="9" width="9.75" style="189" customWidth="1"/>
    <col min="10" max="10" width="9.75" style="190" customWidth="1"/>
    <col min="11" max="11" width="9.75" style="189" customWidth="1"/>
    <col min="12" max="12" width="9.75" style="190" customWidth="1"/>
    <col min="13" max="13" width="9.75" style="573" customWidth="1"/>
    <col min="14" max="14" width="9.75" style="574" customWidth="1"/>
    <col min="15" max="15" width="9.75" style="573" customWidth="1"/>
    <col min="16" max="16" width="9.75" style="574" customWidth="1"/>
    <col min="17" max="17" width="9.75" style="573" customWidth="1"/>
    <col min="18" max="18" width="9.75" style="574" customWidth="1"/>
    <col min="19" max="19" width="9.75" style="573" customWidth="1"/>
    <col min="20" max="20" width="9.75" style="574" customWidth="1"/>
    <col min="21" max="21" width="1.25" style="436" customWidth="1"/>
    <col min="22" max="25" width="12.625" style="436" customWidth="1"/>
    <col min="26" max="268" width="9" style="436"/>
    <col min="269" max="269" width="12" style="436" customWidth="1"/>
    <col min="270" max="270" width="7.125" style="436" customWidth="1"/>
    <col min="271" max="271" width="9" style="436"/>
    <col min="272" max="272" width="16" style="436" customWidth="1"/>
    <col min="273" max="273" width="13.75" style="436" customWidth="1"/>
    <col min="274" max="275" width="9.75" style="436" customWidth="1"/>
    <col min="276" max="524" width="9" style="436"/>
    <col min="525" max="525" width="12" style="436" customWidth="1"/>
    <col min="526" max="526" width="7.125" style="436" customWidth="1"/>
    <col min="527" max="527" width="9" style="436"/>
    <col min="528" max="528" width="16" style="436" customWidth="1"/>
    <col min="529" max="529" width="13.75" style="436" customWidth="1"/>
    <col min="530" max="531" width="9.75" style="436" customWidth="1"/>
    <col min="532" max="780" width="9" style="436"/>
    <col min="781" max="781" width="12" style="436" customWidth="1"/>
    <col min="782" max="782" width="7.125" style="436" customWidth="1"/>
    <col min="783" max="783" width="9" style="436"/>
    <col min="784" max="784" width="16" style="436" customWidth="1"/>
    <col min="785" max="785" width="13.75" style="436" customWidth="1"/>
    <col min="786" max="787" width="9.75" style="436" customWidth="1"/>
    <col min="788" max="1036" width="9" style="436"/>
    <col min="1037" max="1037" width="12" style="436" customWidth="1"/>
    <col min="1038" max="1038" width="7.125" style="436" customWidth="1"/>
    <col min="1039" max="1039" width="9" style="436"/>
    <col min="1040" max="1040" width="16" style="436" customWidth="1"/>
    <col min="1041" max="1041" width="13.75" style="436" customWidth="1"/>
    <col min="1042" max="1043" width="9.75" style="436" customWidth="1"/>
    <col min="1044" max="1292" width="9" style="436"/>
    <col min="1293" max="1293" width="12" style="436" customWidth="1"/>
    <col min="1294" max="1294" width="7.125" style="436" customWidth="1"/>
    <col min="1295" max="1295" width="9" style="436"/>
    <col min="1296" max="1296" width="16" style="436" customWidth="1"/>
    <col min="1297" max="1297" width="13.75" style="436" customWidth="1"/>
    <col min="1298" max="1299" width="9.75" style="436" customWidth="1"/>
    <col min="1300" max="1548" width="9" style="436"/>
    <col min="1549" max="1549" width="12" style="436" customWidth="1"/>
    <col min="1550" max="1550" width="7.125" style="436" customWidth="1"/>
    <col min="1551" max="1551" width="9" style="436"/>
    <col min="1552" max="1552" width="16" style="436" customWidth="1"/>
    <col min="1553" max="1553" width="13.75" style="436" customWidth="1"/>
    <col min="1554" max="1555" width="9.75" style="436" customWidth="1"/>
    <col min="1556" max="1804" width="9" style="436"/>
    <col min="1805" max="1805" width="12" style="436" customWidth="1"/>
    <col min="1806" max="1806" width="7.125" style="436" customWidth="1"/>
    <col min="1807" max="1807" width="9" style="436"/>
    <col min="1808" max="1808" width="16" style="436" customWidth="1"/>
    <col min="1809" max="1809" width="13.75" style="436" customWidth="1"/>
    <col min="1810" max="1811" width="9.75" style="436" customWidth="1"/>
    <col min="1812" max="2060" width="9" style="436"/>
    <col min="2061" max="2061" width="12" style="436" customWidth="1"/>
    <col min="2062" max="2062" width="7.125" style="436" customWidth="1"/>
    <col min="2063" max="2063" width="9" style="436"/>
    <col min="2064" max="2064" width="16" style="436" customWidth="1"/>
    <col min="2065" max="2065" width="13.75" style="436" customWidth="1"/>
    <col min="2066" max="2067" width="9.75" style="436" customWidth="1"/>
    <col min="2068" max="2316" width="9" style="436"/>
    <col min="2317" max="2317" width="12" style="436" customWidth="1"/>
    <col min="2318" max="2318" width="7.125" style="436" customWidth="1"/>
    <col min="2319" max="2319" width="9" style="436"/>
    <col min="2320" max="2320" width="16" style="436" customWidth="1"/>
    <col min="2321" max="2321" width="13.75" style="436" customWidth="1"/>
    <col min="2322" max="2323" width="9.75" style="436" customWidth="1"/>
    <col min="2324" max="2572" width="9" style="436"/>
    <col min="2573" max="2573" width="12" style="436" customWidth="1"/>
    <col min="2574" max="2574" width="7.125" style="436" customWidth="1"/>
    <col min="2575" max="2575" width="9" style="436"/>
    <col min="2576" max="2576" width="16" style="436" customWidth="1"/>
    <col min="2577" max="2577" width="13.75" style="436" customWidth="1"/>
    <col min="2578" max="2579" width="9.75" style="436" customWidth="1"/>
    <col min="2580" max="2828" width="9" style="436"/>
    <col min="2829" max="2829" width="12" style="436" customWidth="1"/>
    <col min="2830" max="2830" width="7.125" style="436" customWidth="1"/>
    <col min="2831" max="2831" width="9" style="436"/>
    <col min="2832" max="2832" width="16" style="436" customWidth="1"/>
    <col min="2833" max="2833" width="13.75" style="436" customWidth="1"/>
    <col min="2834" max="2835" width="9.75" style="436" customWidth="1"/>
    <col min="2836" max="3084" width="9" style="436"/>
    <col min="3085" max="3085" width="12" style="436" customWidth="1"/>
    <col min="3086" max="3086" width="7.125" style="436" customWidth="1"/>
    <col min="3087" max="3087" width="9" style="436"/>
    <col min="3088" max="3088" width="16" style="436" customWidth="1"/>
    <col min="3089" max="3089" width="13.75" style="436" customWidth="1"/>
    <col min="3090" max="3091" width="9.75" style="436" customWidth="1"/>
    <col min="3092" max="3340" width="9" style="436"/>
    <col min="3341" max="3341" width="12" style="436" customWidth="1"/>
    <col min="3342" max="3342" width="7.125" style="436" customWidth="1"/>
    <col min="3343" max="3343" width="9" style="436"/>
    <col min="3344" max="3344" width="16" style="436" customWidth="1"/>
    <col min="3345" max="3345" width="13.75" style="436" customWidth="1"/>
    <col min="3346" max="3347" width="9.75" style="436" customWidth="1"/>
    <col min="3348" max="3596" width="9" style="436"/>
    <col min="3597" max="3597" width="12" style="436" customWidth="1"/>
    <col min="3598" max="3598" width="7.125" style="436" customWidth="1"/>
    <col min="3599" max="3599" width="9" style="436"/>
    <col min="3600" max="3600" width="16" style="436" customWidth="1"/>
    <col min="3601" max="3601" width="13.75" style="436" customWidth="1"/>
    <col min="3602" max="3603" width="9.75" style="436" customWidth="1"/>
    <col min="3604" max="3852" width="9" style="436"/>
    <col min="3853" max="3853" width="12" style="436" customWidth="1"/>
    <col min="3854" max="3854" width="7.125" style="436" customWidth="1"/>
    <col min="3855" max="3855" width="9" style="436"/>
    <col min="3856" max="3856" width="16" style="436" customWidth="1"/>
    <col min="3857" max="3857" width="13.75" style="436" customWidth="1"/>
    <col min="3858" max="3859" width="9.75" style="436" customWidth="1"/>
    <col min="3860" max="4108" width="9" style="436"/>
    <col min="4109" max="4109" width="12" style="436" customWidth="1"/>
    <col min="4110" max="4110" width="7.125" style="436" customWidth="1"/>
    <col min="4111" max="4111" width="9" style="436"/>
    <col min="4112" max="4112" width="16" style="436" customWidth="1"/>
    <col min="4113" max="4113" width="13.75" style="436" customWidth="1"/>
    <col min="4114" max="4115" width="9.75" style="436" customWidth="1"/>
    <col min="4116" max="4364" width="9" style="436"/>
    <col min="4365" max="4365" width="12" style="436" customWidth="1"/>
    <col min="4366" max="4366" width="7.125" style="436" customWidth="1"/>
    <col min="4367" max="4367" width="9" style="436"/>
    <col min="4368" max="4368" width="16" style="436" customWidth="1"/>
    <col min="4369" max="4369" width="13.75" style="436" customWidth="1"/>
    <col min="4370" max="4371" width="9.75" style="436" customWidth="1"/>
    <col min="4372" max="4620" width="9" style="436"/>
    <col min="4621" max="4621" width="12" style="436" customWidth="1"/>
    <col min="4622" max="4622" width="7.125" style="436" customWidth="1"/>
    <col min="4623" max="4623" width="9" style="436"/>
    <col min="4624" max="4624" width="16" style="436" customWidth="1"/>
    <col min="4625" max="4625" width="13.75" style="436" customWidth="1"/>
    <col min="4626" max="4627" width="9.75" style="436" customWidth="1"/>
    <col min="4628" max="4876" width="9" style="436"/>
    <col min="4877" max="4877" width="12" style="436" customWidth="1"/>
    <col min="4878" max="4878" width="7.125" style="436" customWidth="1"/>
    <col min="4879" max="4879" width="9" style="436"/>
    <col min="4880" max="4880" width="16" style="436" customWidth="1"/>
    <col min="4881" max="4881" width="13.75" style="436" customWidth="1"/>
    <col min="4882" max="4883" width="9.75" style="436" customWidth="1"/>
    <col min="4884" max="5132" width="9" style="436"/>
    <col min="5133" max="5133" width="12" style="436" customWidth="1"/>
    <col min="5134" max="5134" width="7.125" style="436" customWidth="1"/>
    <col min="5135" max="5135" width="9" style="436"/>
    <col min="5136" max="5136" width="16" style="436" customWidth="1"/>
    <col min="5137" max="5137" width="13.75" style="436" customWidth="1"/>
    <col min="5138" max="5139" width="9.75" style="436" customWidth="1"/>
    <col min="5140" max="5388" width="9" style="436"/>
    <col min="5389" max="5389" width="12" style="436" customWidth="1"/>
    <col min="5390" max="5390" width="7.125" style="436" customWidth="1"/>
    <col min="5391" max="5391" width="9" style="436"/>
    <col min="5392" max="5392" width="16" style="436" customWidth="1"/>
    <col min="5393" max="5393" width="13.75" style="436" customWidth="1"/>
    <col min="5394" max="5395" width="9.75" style="436" customWidth="1"/>
    <col min="5396" max="5644" width="9" style="436"/>
    <col min="5645" max="5645" width="12" style="436" customWidth="1"/>
    <col min="5646" max="5646" width="7.125" style="436" customWidth="1"/>
    <col min="5647" max="5647" width="9" style="436"/>
    <col min="5648" max="5648" width="16" style="436" customWidth="1"/>
    <col min="5649" max="5649" width="13.75" style="436" customWidth="1"/>
    <col min="5650" max="5651" width="9.75" style="436" customWidth="1"/>
    <col min="5652" max="5900" width="9" style="436"/>
    <col min="5901" max="5901" width="12" style="436" customWidth="1"/>
    <col min="5902" max="5902" width="7.125" style="436" customWidth="1"/>
    <col min="5903" max="5903" width="9" style="436"/>
    <col min="5904" max="5904" width="16" style="436" customWidth="1"/>
    <col min="5905" max="5905" width="13.75" style="436" customWidth="1"/>
    <col min="5906" max="5907" width="9.75" style="436" customWidth="1"/>
    <col min="5908" max="6156" width="9" style="436"/>
    <col min="6157" max="6157" width="12" style="436" customWidth="1"/>
    <col min="6158" max="6158" width="7.125" style="436" customWidth="1"/>
    <col min="6159" max="6159" width="9" style="436"/>
    <col min="6160" max="6160" width="16" style="436" customWidth="1"/>
    <col min="6161" max="6161" width="13.75" style="436" customWidth="1"/>
    <col min="6162" max="6163" width="9.75" style="436" customWidth="1"/>
    <col min="6164" max="6412" width="9" style="436"/>
    <col min="6413" max="6413" width="12" style="436" customWidth="1"/>
    <col min="6414" max="6414" width="7.125" style="436" customWidth="1"/>
    <col min="6415" max="6415" width="9" style="436"/>
    <col min="6416" max="6416" width="16" style="436" customWidth="1"/>
    <col min="6417" max="6417" width="13.75" style="436" customWidth="1"/>
    <col min="6418" max="6419" width="9.75" style="436" customWidth="1"/>
    <col min="6420" max="6668" width="9" style="436"/>
    <col min="6669" max="6669" width="12" style="436" customWidth="1"/>
    <col min="6670" max="6670" width="7.125" style="436" customWidth="1"/>
    <col min="6671" max="6671" width="9" style="436"/>
    <col min="6672" max="6672" width="16" style="436" customWidth="1"/>
    <col min="6673" max="6673" width="13.75" style="436" customWidth="1"/>
    <col min="6674" max="6675" width="9.75" style="436" customWidth="1"/>
    <col min="6676" max="6924" width="9" style="436"/>
    <col min="6925" max="6925" width="12" style="436" customWidth="1"/>
    <col min="6926" max="6926" width="7.125" style="436" customWidth="1"/>
    <col min="6927" max="6927" width="9" style="436"/>
    <col min="6928" max="6928" width="16" style="436" customWidth="1"/>
    <col min="6929" max="6929" width="13.75" style="436" customWidth="1"/>
    <col min="6930" max="6931" width="9.75" style="436" customWidth="1"/>
    <col min="6932" max="7180" width="9" style="436"/>
    <col min="7181" max="7181" width="12" style="436" customWidth="1"/>
    <col min="7182" max="7182" width="7.125" style="436" customWidth="1"/>
    <col min="7183" max="7183" width="9" style="436"/>
    <col min="7184" max="7184" width="16" style="436" customWidth="1"/>
    <col min="7185" max="7185" width="13.75" style="436" customWidth="1"/>
    <col min="7186" max="7187" width="9.75" style="436" customWidth="1"/>
    <col min="7188" max="7436" width="9" style="436"/>
    <col min="7437" max="7437" width="12" style="436" customWidth="1"/>
    <col min="7438" max="7438" width="7.125" style="436" customWidth="1"/>
    <col min="7439" max="7439" width="9" style="436"/>
    <col min="7440" max="7440" width="16" style="436" customWidth="1"/>
    <col min="7441" max="7441" width="13.75" style="436" customWidth="1"/>
    <col min="7442" max="7443" width="9.75" style="436" customWidth="1"/>
    <col min="7444" max="7692" width="9" style="436"/>
    <col min="7693" max="7693" width="12" style="436" customWidth="1"/>
    <col min="7694" max="7694" width="7.125" style="436" customWidth="1"/>
    <col min="7695" max="7695" width="9" style="436"/>
    <col min="7696" max="7696" width="16" style="436" customWidth="1"/>
    <col min="7697" max="7697" width="13.75" style="436" customWidth="1"/>
    <col min="7698" max="7699" width="9.75" style="436" customWidth="1"/>
    <col min="7700" max="7948" width="9" style="436"/>
    <col min="7949" max="7949" width="12" style="436" customWidth="1"/>
    <col min="7950" max="7950" width="7.125" style="436" customWidth="1"/>
    <col min="7951" max="7951" width="9" style="436"/>
    <col min="7952" max="7952" width="16" style="436" customWidth="1"/>
    <col min="7953" max="7953" width="13.75" style="436" customWidth="1"/>
    <col min="7954" max="7955" width="9.75" style="436" customWidth="1"/>
    <col min="7956" max="8204" width="9" style="436"/>
    <col min="8205" max="8205" width="12" style="436" customWidth="1"/>
    <col min="8206" max="8206" width="7.125" style="436" customWidth="1"/>
    <col min="8207" max="8207" width="9" style="436"/>
    <col min="8208" max="8208" width="16" style="436" customWidth="1"/>
    <col min="8209" max="8209" width="13.75" style="436" customWidth="1"/>
    <col min="8210" max="8211" width="9.75" style="436" customWidth="1"/>
    <col min="8212" max="8460" width="9" style="436"/>
    <col min="8461" max="8461" width="12" style="436" customWidth="1"/>
    <col min="8462" max="8462" width="7.125" style="436" customWidth="1"/>
    <col min="8463" max="8463" width="9" style="436"/>
    <col min="8464" max="8464" width="16" style="436" customWidth="1"/>
    <col min="8465" max="8465" width="13.75" style="436" customWidth="1"/>
    <col min="8466" max="8467" width="9.75" style="436" customWidth="1"/>
    <col min="8468" max="8716" width="9" style="436"/>
    <col min="8717" max="8717" width="12" style="436" customWidth="1"/>
    <col min="8718" max="8718" width="7.125" style="436" customWidth="1"/>
    <col min="8719" max="8719" width="9" style="436"/>
    <col min="8720" max="8720" width="16" style="436" customWidth="1"/>
    <col min="8721" max="8721" width="13.75" style="436" customWidth="1"/>
    <col min="8722" max="8723" width="9.75" style="436" customWidth="1"/>
    <col min="8724" max="8972" width="9" style="436"/>
    <col min="8973" max="8973" width="12" style="436" customWidth="1"/>
    <col min="8974" max="8974" width="7.125" style="436" customWidth="1"/>
    <col min="8975" max="8975" width="9" style="436"/>
    <col min="8976" max="8976" width="16" style="436" customWidth="1"/>
    <col min="8977" max="8977" width="13.75" style="436" customWidth="1"/>
    <col min="8978" max="8979" width="9.75" style="436" customWidth="1"/>
    <col min="8980" max="9228" width="9" style="436"/>
    <col min="9229" max="9229" width="12" style="436" customWidth="1"/>
    <col min="9230" max="9230" width="7.125" style="436" customWidth="1"/>
    <col min="9231" max="9231" width="9" style="436"/>
    <col min="9232" max="9232" width="16" style="436" customWidth="1"/>
    <col min="9233" max="9233" width="13.75" style="436" customWidth="1"/>
    <col min="9234" max="9235" width="9.75" style="436" customWidth="1"/>
    <col min="9236" max="9484" width="9" style="436"/>
    <col min="9485" max="9485" width="12" style="436" customWidth="1"/>
    <col min="9486" max="9486" width="7.125" style="436" customWidth="1"/>
    <col min="9487" max="9487" width="9" style="436"/>
    <col min="9488" max="9488" width="16" style="436" customWidth="1"/>
    <col min="9489" max="9489" width="13.75" style="436" customWidth="1"/>
    <col min="9490" max="9491" width="9.75" style="436" customWidth="1"/>
    <col min="9492" max="9740" width="9" style="436"/>
    <col min="9741" max="9741" width="12" style="436" customWidth="1"/>
    <col min="9742" max="9742" width="7.125" style="436" customWidth="1"/>
    <col min="9743" max="9743" width="9" style="436"/>
    <col min="9744" max="9744" width="16" style="436" customWidth="1"/>
    <col min="9745" max="9745" width="13.75" style="436" customWidth="1"/>
    <col min="9746" max="9747" width="9.75" style="436" customWidth="1"/>
    <col min="9748" max="9996" width="9" style="436"/>
    <col min="9997" max="9997" width="12" style="436" customWidth="1"/>
    <col min="9998" max="9998" width="7.125" style="436" customWidth="1"/>
    <col min="9999" max="9999" width="9" style="436"/>
    <col min="10000" max="10000" width="16" style="436" customWidth="1"/>
    <col min="10001" max="10001" width="13.75" style="436" customWidth="1"/>
    <col min="10002" max="10003" width="9.75" style="436" customWidth="1"/>
    <col min="10004" max="10252" width="9" style="436"/>
    <col min="10253" max="10253" width="12" style="436" customWidth="1"/>
    <col min="10254" max="10254" width="7.125" style="436" customWidth="1"/>
    <col min="10255" max="10255" width="9" style="436"/>
    <col min="10256" max="10256" width="16" style="436" customWidth="1"/>
    <col min="10257" max="10257" width="13.75" style="436" customWidth="1"/>
    <col min="10258" max="10259" width="9.75" style="436" customWidth="1"/>
    <col min="10260" max="10508" width="9" style="436"/>
    <col min="10509" max="10509" width="12" style="436" customWidth="1"/>
    <col min="10510" max="10510" width="7.125" style="436" customWidth="1"/>
    <col min="10511" max="10511" width="9" style="436"/>
    <col min="10512" max="10512" width="16" style="436" customWidth="1"/>
    <col min="10513" max="10513" width="13.75" style="436" customWidth="1"/>
    <col min="10514" max="10515" width="9.75" style="436" customWidth="1"/>
    <col min="10516" max="10764" width="9" style="436"/>
    <col min="10765" max="10765" width="12" style="436" customWidth="1"/>
    <col min="10766" max="10766" width="7.125" style="436" customWidth="1"/>
    <col min="10767" max="10767" width="9" style="436"/>
    <col min="10768" max="10768" width="16" style="436" customWidth="1"/>
    <col min="10769" max="10769" width="13.75" style="436" customWidth="1"/>
    <col min="10770" max="10771" width="9.75" style="436" customWidth="1"/>
    <col min="10772" max="11020" width="9" style="436"/>
    <col min="11021" max="11021" width="12" style="436" customWidth="1"/>
    <col min="11022" max="11022" width="7.125" style="436" customWidth="1"/>
    <col min="11023" max="11023" width="9" style="436"/>
    <col min="11024" max="11024" width="16" style="436" customWidth="1"/>
    <col min="11025" max="11025" width="13.75" style="436" customWidth="1"/>
    <col min="11026" max="11027" width="9.75" style="436" customWidth="1"/>
    <col min="11028" max="11276" width="9" style="436"/>
    <col min="11277" max="11277" width="12" style="436" customWidth="1"/>
    <col min="11278" max="11278" width="7.125" style="436" customWidth="1"/>
    <col min="11279" max="11279" width="9" style="436"/>
    <col min="11280" max="11280" width="16" style="436" customWidth="1"/>
    <col min="11281" max="11281" width="13.75" style="436" customWidth="1"/>
    <col min="11282" max="11283" width="9.75" style="436" customWidth="1"/>
    <col min="11284" max="11532" width="9" style="436"/>
    <col min="11533" max="11533" width="12" style="436" customWidth="1"/>
    <col min="11534" max="11534" width="7.125" style="436" customWidth="1"/>
    <col min="11535" max="11535" width="9" style="436"/>
    <col min="11536" max="11536" width="16" style="436" customWidth="1"/>
    <col min="11537" max="11537" width="13.75" style="436" customWidth="1"/>
    <col min="11538" max="11539" width="9.75" style="436" customWidth="1"/>
    <col min="11540" max="11788" width="9" style="436"/>
    <col min="11789" max="11789" width="12" style="436" customWidth="1"/>
    <col min="11790" max="11790" width="7.125" style="436" customWidth="1"/>
    <col min="11791" max="11791" width="9" style="436"/>
    <col min="11792" max="11792" width="16" style="436" customWidth="1"/>
    <col min="11793" max="11793" width="13.75" style="436" customWidth="1"/>
    <col min="11794" max="11795" width="9.75" style="436" customWidth="1"/>
    <col min="11796" max="12044" width="9" style="436"/>
    <col min="12045" max="12045" width="12" style="436" customWidth="1"/>
    <col min="12046" max="12046" width="7.125" style="436" customWidth="1"/>
    <col min="12047" max="12047" width="9" style="436"/>
    <col min="12048" max="12048" width="16" style="436" customWidth="1"/>
    <col min="12049" max="12049" width="13.75" style="436" customWidth="1"/>
    <col min="12050" max="12051" width="9.75" style="436" customWidth="1"/>
    <col min="12052" max="12300" width="9" style="436"/>
    <col min="12301" max="12301" width="12" style="436" customWidth="1"/>
    <col min="12302" max="12302" width="7.125" style="436" customWidth="1"/>
    <col min="12303" max="12303" width="9" style="436"/>
    <col min="12304" max="12304" width="16" style="436" customWidth="1"/>
    <col min="12305" max="12305" width="13.75" style="436" customWidth="1"/>
    <col min="12306" max="12307" width="9.75" style="436" customWidth="1"/>
    <col min="12308" max="12556" width="9" style="436"/>
    <col min="12557" max="12557" width="12" style="436" customWidth="1"/>
    <col min="12558" max="12558" width="7.125" style="436" customWidth="1"/>
    <col min="12559" max="12559" width="9" style="436"/>
    <col min="12560" max="12560" width="16" style="436" customWidth="1"/>
    <col min="12561" max="12561" width="13.75" style="436" customWidth="1"/>
    <col min="12562" max="12563" width="9.75" style="436" customWidth="1"/>
    <col min="12564" max="12812" width="9" style="436"/>
    <col min="12813" max="12813" width="12" style="436" customWidth="1"/>
    <col min="12814" max="12814" width="7.125" style="436" customWidth="1"/>
    <col min="12815" max="12815" width="9" style="436"/>
    <col min="12816" max="12816" width="16" style="436" customWidth="1"/>
    <col min="12817" max="12817" width="13.75" style="436" customWidth="1"/>
    <col min="12818" max="12819" width="9.75" style="436" customWidth="1"/>
    <col min="12820" max="13068" width="9" style="436"/>
    <col min="13069" max="13069" width="12" style="436" customWidth="1"/>
    <col min="13070" max="13070" width="7.125" style="436" customWidth="1"/>
    <col min="13071" max="13071" width="9" style="436"/>
    <col min="13072" max="13072" width="16" style="436" customWidth="1"/>
    <col min="13073" max="13073" width="13.75" style="436" customWidth="1"/>
    <col min="13074" max="13075" width="9.75" style="436" customWidth="1"/>
    <col min="13076" max="13324" width="9" style="436"/>
    <col min="13325" max="13325" width="12" style="436" customWidth="1"/>
    <col min="13326" max="13326" width="7.125" style="436" customWidth="1"/>
    <col min="13327" max="13327" width="9" style="436"/>
    <col min="13328" max="13328" width="16" style="436" customWidth="1"/>
    <col min="13329" max="13329" width="13.75" style="436" customWidth="1"/>
    <col min="13330" max="13331" width="9.75" style="436" customWidth="1"/>
    <col min="13332" max="13580" width="9" style="436"/>
    <col min="13581" max="13581" width="12" style="436" customWidth="1"/>
    <col min="13582" max="13582" width="7.125" style="436" customWidth="1"/>
    <col min="13583" max="13583" width="9" style="436"/>
    <col min="13584" max="13584" width="16" style="436" customWidth="1"/>
    <col min="13585" max="13585" width="13.75" style="436" customWidth="1"/>
    <col min="13586" max="13587" width="9.75" style="436" customWidth="1"/>
    <col min="13588" max="13836" width="9" style="436"/>
    <col min="13837" max="13837" width="12" style="436" customWidth="1"/>
    <col min="13838" max="13838" width="7.125" style="436" customWidth="1"/>
    <col min="13839" max="13839" width="9" style="436"/>
    <col min="13840" max="13840" width="16" style="436" customWidth="1"/>
    <col min="13841" max="13841" width="13.75" style="436" customWidth="1"/>
    <col min="13842" max="13843" width="9.75" style="436" customWidth="1"/>
    <col min="13844" max="14092" width="9" style="436"/>
    <col min="14093" max="14093" width="12" style="436" customWidth="1"/>
    <col min="14094" max="14094" width="7.125" style="436" customWidth="1"/>
    <col min="14095" max="14095" width="9" style="436"/>
    <col min="14096" max="14096" width="16" style="436" customWidth="1"/>
    <col min="14097" max="14097" width="13.75" style="436" customWidth="1"/>
    <col min="14098" max="14099" width="9.75" style="436" customWidth="1"/>
    <col min="14100" max="14348" width="9" style="436"/>
    <col min="14349" max="14349" width="12" style="436" customWidth="1"/>
    <col min="14350" max="14350" width="7.125" style="436" customWidth="1"/>
    <col min="14351" max="14351" width="9" style="436"/>
    <col min="14352" max="14352" width="16" style="436" customWidth="1"/>
    <col min="14353" max="14353" width="13.75" style="436" customWidth="1"/>
    <col min="14354" max="14355" width="9.75" style="436" customWidth="1"/>
    <col min="14356" max="14604" width="9" style="436"/>
    <col min="14605" max="14605" width="12" style="436" customWidth="1"/>
    <col min="14606" max="14606" width="7.125" style="436" customWidth="1"/>
    <col min="14607" max="14607" width="9" style="436"/>
    <col min="14608" max="14608" width="16" style="436" customWidth="1"/>
    <col min="14609" max="14609" width="13.75" style="436" customWidth="1"/>
    <col min="14610" max="14611" width="9.75" style="436" customWidth="1"/>
    <col min="14612" max="14860" width="9" style="436"/>
    <col min="14861" max="14861" width="12" style="436" customWidth="1"/>
    <col min="14862" max="14862" width="7.125" style="436" customWidth="1"/>
    <col min="14863" max="14863" width="9" style="436"/>
    <col min="14864" max="14864" width="16" style="436" customWidth="1"/>
    <col min="14865" max="14865" width="13.75" style="436" customWidth="1"/>
    <col min="14866" max="14867" width="9.75" style="436" customWidth="1"/>
    <col min="14868" max="15116" width="9" style="436"/>
    <col min="15117" max="15117" width="12" style="436" customWidth="1"/>
    <col min="15118" max="15118" width="7.125" style="436" customWidth="1"/>
    <col min="15119" max="15119" width="9" style="436"/>
    <col min="15120" max="15120" width="16" style="436" customWidth="1"/>
    <col min="15121" max="15121" width="13.75" style="436" customWidth="1"/>
    <col min="15122" max="15123" width="9.75" style="436" customWidth="1"/>
    <col min="15124" max="15372" width="9" style="436"/>
    <col min="15373" max="15373" width="12" style="436" customWidth="1"/>
    <col min="15374" max="15374" width="7.125" style="436" customWidth="1"/>
    <col min="15375" max="15375" width="9" style="436"/>
    <col min="15376" max="15376" width="16" style="436" customWidth="1"/>
    <col min="15377" max="15377" width="13.75" style="436" customWidth="1"/>
    <col min="15378" max="15379" width="9.75" style="436" customWidth="1"/>
    <col min="15380" max="15628" width="9" style="436"/>
    <col min="15629" max="15629" width="12" style="436" customWidth="1"/>
    <col min="15630" max="15630" width="7.125" style="436" customWidth="1"/>
    <col min="15631" max="15631" width="9" style="436"/>
    <col min="15632" max="15632" width="16" style="436" customWidth="1"/>
    <col min="15633" max="15633" width="13.75" style="436" customWidth="1"/>
    <col min="15634" max="15635" width="9.75" style="436" customWidth="1"/>
    <col min="15636" max="15884" width="9" style="436"/>
    <col min="15885" max="15885" width="12" style="436" customWidth="1"/>
    <col min="15886" max="15886" width="7.125" style="436" customWidth="1"/>
    <col min="15887" max="15887" width="9" style="436"/>
    <col min="15888" max="15888" width="16" style="436" customWidth="1"/>
    <col min="15889" max="15889" width="13.75" style="436" customWidth="1"/>
    <col min="15890" max="15891" width="9.75" style="436" customWidth="1"/>
    <col min="15892" max="16140" width="9" style="436"/>
    <col min="16141" max="16141" width="12" style="436" customWidth="1"/>
    <col min="16142" max="16142" width="7.125" style="436" customWidth="1"/>
    <col min="16143" max="16143" width="9" style="436"/>
    <col min="16144" max="16144" width="16" style="436" customWidth="1"/>
    <col min="16145" max="16145" width="13.75" style="436" customWidth="1"/>
    <col min="16146" max="16147" width="9.75" style="436" customWidth="1"/>
    <col min="16148" max="16384" width="9" style="436"/>
  </cols>
  <sheetData>
    <row r="1" spans="1:25" s="2" customFormat="1" ht="23.25" customHeight="1" thickBot="1">
      <c r="A1" s="1" t="e">
        <f>IF(SUM(2:2)=0,"OK","NOK")</f>
        <v>#DIV/0!</v>
      </c>
      <c r="F1" s="43" t="s">
        <v>7178</v>
      </c>
      <c r="G1" s="1085" t="s">
        <v>7185</v>
      </c>
      <c r="H1" s="1086"/>
      <c r="I1" s="1085" t="s">
        <v>7198</v>
      </c>
      <c r="J1" s="1086"/>
      <c r="K1" s="1085" t="s">
        <v>7199</v>
      </c>
      <c r="L1" s="1086"/>
      <c r="M1" s="1085" t="s">
        <v>7184</v>
      </c>
      <c r="N1" s="1086"/>
      <c r="O1" s="1085" t="s">
        <v>7186</v>
      </c>
      <c r="P1" s="1086"/>
      <c r="Q1" s="1085" t="s">
        <v>365</v>
      </c>
      <c r="R1" s="1086"/>
      <c r="S1" s="1085" t="s">
        <v>8842</v>
      </c>
      <c r="T1" s="1086"/>
      <c r="U1" s="44"/>
      <c r="V1" s="48" t="s">
        <v>10</v>
      </c>
    </row>
    <row r="2" spans="1:25" ht="13.5" thickBot="1">
      <c r="A2" s="3"/>
      <c r="B2" s="3"/>
      <c r="C2" s="3"/>
      <c r="D2" s="3"/>
      <c r="E2" s="3"/>
      <c r="F2" s="2"/>
      <c r="G2" s="182" t="s">
        <v>0</v>
      </c>
      <c r="H2" s="183">
        <f>SUMX2MY2(G5:G4999,H5:H4999)</f>
        <v>0</v>
      </c>
      <c r="I2" s="182" t="s">
        <v>0</v>
      </c>
      <c r="J2" s="183">
        <f>SUMX2MY2(I5:I4999,J5:J4999)</f>
        <v>-4.6571813072660007E-10</v>
      </c>
      <c r="K2" s="182" t="s">
        <v>0</v>
      </c>
      <c r="L2" s="183">
        <f>SUMX2MY2(K5:K4999,L5:L4999)</f>
        <v>0</v>
      </c>
      <c r="M2" s="567" t="s">
        <v>0</v>
      </c>
      <c r="N2" s="183" t="e">
        <f>SUMX2MY2(M5:M4999,N5:N4999)</f>
        <v>#DIV/0!</v>
      </c>
      <c r="O2" s="567" t="s">
        <v>0</v>
      </c>
      <c r="P2" s="183">
        <f>SUMX2MY2(O5:O4999,P5:P4999)</f>
        <v>0</v>
      </c>
      <c r="Q2" s="567" t="s">
        <v>0</v>
      </c>
      <c r="R2" s="183">
        <f>SUMX2MY2(Q5:Q4999,R5:R4999)</f>
        <v>0</v>
      </c>
      <c r="S2" s="567" t="s">
        <v>0</v>
      </c>
      <c r="T2" s="183" t="e">
        <f>SUMX2MY2(S5:S4999,T5:T4999)</f>
        <v>#DIV/0!</v>
      </c>
    </row>
    <row r="3" spans="1:25" ht="27.75" customHeight="1">
      <c r="A3" s="35" t="s">
        <v>1</v>
      </c>
      <c r="B3" s="36" t="s">
        <v>2</v>
      </c>
      <c r="C3" s="36" t="s">
        <v>3</v>
      </c>
      <c r="D3" s="36" t="s">
        <v>4</v>
      </c>
      <c r="E3" s="1087" t="s">
        <v>7</v>
      </c>
      <c r="F3" s="1088"/>
      <c r="G3" s="185" t="s">
        <v>5</v>
      </c>
      <c r="H3" s="186" t="s">
        <v>6</v>
      </c>
      <c r="I3" s="185" t="s">
        <v>5</v>
      </c>
      <c r="J3" s="186" t="s">
        <v>6</v>
      </c>
      <c r="K3" s="185" t="s">
        <v>5</v>
      </c>
      <c r="L3" s="186" t="s">
        <v>6</v>
      </c>
      <c r="M3" s="568" t="s">
        <v>5</v>
      </c>
      <c r="N3" s="569" t="s">
        <v>6</v>
      </c>
      <c r="O3" s="568" t="s">
        <v>5</v>
      </c>
      <c r="P3" s="569" t="s">
        <v>6</v>
      </c>
      <c r="Q3" s="568" t="s">
        <v>5</v>
      </c>
      <c r="R3" s="569" t="s">
        <v>6</v>
      </c>
      <c r="S3" s="568" t="s">
        <v>5</v>
      </c>
      <c r="T3" s="569" t="s">
        <v>6</v>
      </c>
    </row>
    <row r="4" spans="1:25" ht="15.75" customHeight="1" thickBot="1">
      <c r="A4" s="34"/>
      <c r="B4" s="33"/>
      <c r="C4" s="33"/>
      <c r="D4" s="33"/>
      <c r="E4" s="41" t="s">
        <v>9</v>
      </c>
      <c r="F4" s="42" t="s">
        <v>8</v>
      </c>
      <c r="G4" s="191">
        <v>0</v>
      </c>
      <c r="H4" s="192">
        <v>0</v>
      </c>
      <c r="I4" s="191">
        <v>0</v>
      </c>
      <c r="J4" s="192">
        <v>0</v>
      </c>
      <c r="K4" s="191">
        <v>0</v>
      </c>
      <c r="L4" s="192">
        <v>0</v>
      </c>
      <c r="M4" s="575">
        <v>0</v>
      </c>
      <c r="N4" s="576">
        <v>0</v>
      </c>
      <c r="O4" s="575">
        <v>0</v>
      </c>
      <c r="P4" s="576">
        <v>0</v>
      </c>
      <c r="Q4" s="575">
        <v>0</v>
      </c>
      <c r="R4" s="576">
        <v>0</v>
      </c>
      <c r="S4" s="575">
        <v>0</v>
      </c>
      <c r="T4" s="576">
        <v>0</v>
      </c>
      <c r="V4" s="828" t="s">
        <v>10518</v>
      </c>
      <c r="W4" s="829" t="s">
        <v>10519</v>
      </c>
      <c r="X4" s="829" t="s">
        <v>10520</v>
      </c>
      <c r="Y4" s="836" t="s">
        <v>10521</v>
      </c>
    </row>
    <row r="5" spans="1:25">
      <c r="A5" s="734" t="str">
        <f>VLOOKUP($D5,Column_from_BP!$N:$AC,2,FALSE)</f>
        <v>0001-05-21-0001.tif</v>
      </c>
      <c r="B5" s="446"/>
      <c r="C5" s="447"/>
      <c r="D5" s="730" t="s">
        <v>9065</v>
      </c>
      <c r="E5" s="609"/>
      <c r="F5" s="556" t="s">
        <v>7892</v>
      </c>
      <c r="G5" s="466">
        <v>31</v>
      </c>
      <c r="H5" s="468">
        <v>31</v>
      </c>
      <c r="I5" s="466">
        <v>1634.8221599999999</v>
      </c>
      <c r="J5" s="468">
        <f>3.14/4*(7.2*7.2*9.325+8*8*24.987)</f>
        <v>1634.8221600000002</v>
      </c>
      <c r="K5" s="466">
        <v>0</v>
      </c>
      <c r="L5" s="468">
        <v>0</v>
      </c>
      <c r="M5" s="570" t="b">
        <v>0</v>
      </c>
      <c r="N5" s="460" t="b">
        <v>0</v>
      </c>
      <c r="O5" s="570">
        <v>3</v>
      </c>
      <c r="P5" s="460">
        <v>3</v>
      </c>
      <c r="Q5" s="570">
        <v>293.14999999999998</v>
      </c>
      <c r="R5" s="460">
        <v>293.14999999999998</v>
      </c>
      <c r="S5" s="570">
        <v>347001.61729544599</v>
      </c>
      <c r="T5" s="460"/>
      <c r="V5" s="828">
        <v>1735</v>
      </c>
      <c r="W5" s="831">
        <v>8</v>
      </c>
      <c r="X5" s="831">
        <v>38.332000000000001</v>
      </c>
      <c r="Y5" s="835">
        <f>SQRT(4*V5/PI()/X5)</f>
        <v>7.5914381693431672</v>
      </c>
    </row>
    <row r="6" spans="1:25">
      <c r="A6" s="201" t="str">
        <f>VLOOKUP($D6,Column_from_BP!$N:$AC,2,FALSE)</f>
        <v>Tz2102 2104  0535-05-21-0033.tif</v>
      </c>
      <c r="B6" s="446"/>
      <c r="C6" s="447"/>
      <c r="D6" s="730" t="s">
        <v>7599</v>
      </c>
      <c r="E6" s="609"/>
      <c r="F6" s="556" t="s">
        <v>7599</v>
      </c>
      <c r="G6" s="466">
        <v>5</v>
      </c>
      <c r="H6" s="468">
        <v>5</v>
      </c>
      <c r="I6" s="466">
        <v>15.7</v>
      </c>
      <c r="J6" s="468">
        <f>3.14/4*(2.5*2.5)*3.2</f>
        <v>15.700000000000001</v>
      </c>
      <c r="K6" s="466">
        <v>0</v>
      </c>
      <c r="L6" s="468">
        <v>0</v>
      </c>
      <c r="M6" s="570" t="b">
        <v>1</v>
      </c>
      <c r="N6" s="460" t="b">
        <v>1</v>
      </c>
      <c r="O6" s="570">
        <v>3</v>
      </c>
      <c r="P6" s="460">
        <v>3</v>
      </c>
      <c r="Q6" s="570">
        <v>293.14999999999998</v>
      </c>
      <c r="R6" s="460">
        <v>293.14999999999998</v>
      </c>
      <c r="S6" s="570">
        <v>361289.28724142502</v>
      </c>
      <c r="T6" s="460"/>
      <c r="V6" s="828">
        <v>47.6</v>
      </c>
      <c r="W6" s="831">
        <v>2.48</v>
      </c>
      <c r="X6" s="831">
        <v>8.7200000000000006</v>
      </c>
      <c r="Y6" s="835">
        <f t="shared" ref="Y6:Y10" si="0">SQRT(4*V6/PI()/X6)</f>
        <v>2.6363331657266484</v>
      </c>
    </row>
    <row r="7" spans="1:25">
      <c r="A7" s="201" t="str">
        <f>VLOOKUP($D7,Column_from_BP!$N:$AC,2,FALSE)</f>
        <v>Tz2103-2105   0535-05-21-0031.tif</v>
      </c>
      <c r="B7" s="462"/>
      <c r="C7" s="463"/>
      <c r="D7" s="730" t="s">
        <v>8899</v>
      </c>
      <c r="E7" s="609"/>
      <c r="F7" s="556" t="s">
        <v>1383</v>
      </c>
      <c r="G7" s="466">
        <v>5</v>
      </c>
      <c r="H7" s="468">
        <v>5</v>
      </c>
      <c r="I7" s="466">
        <v>7.2596800000000004</v>
      </c>
      <c r="J7" s="468">
        <f>3.14/4*(1.7*1.7)*3.2</f>
        <v>7.2596800000000004</v>
      </c>
      <c r="K7" s="466">
        <v>0</v>
      </c>
      <c r="L7" s="468">
        <v>0</v>
      </c>
      <c r="M7" s="570" t="b">
        <v>1</v>
      </c>
      <c r="N7" s="460" t="b">
        <v>1</v>
      </c>
      <c r="O7" s="570">
        <v>3</v>
      </c>
      <c r="P7" s="460">
        <v>3</v>
      </c>
      <c r="Q7" s="570">
        <v>293.14999999999998</v>
      </c>
      <c r="R7" s="460">
        <v>293.14999999999998</v>
      </c>
      <c r="S7" s="570">
        <v>359243.03042393102</v>
      </c>
      <c r="T7" s="460"/>
      <c r="V7" s="828">
        <v>19.7</v>
      </c>
      <c r="W7" s="831">
        <v>1.7</v>
      </c>
      <c r="X7" s="831">
        <v>8.23</v>
      </c>
      <c r="Y7" s="835">
        <f t="shared" si="0"/>
        <v>1.7457749389478612</v>
      </c>
    </row>
    <row r="8" spans="1:25">
      <c r="A8" s="201" t="str">
        <f>VLOOKUP($D8,Column_from_BP!$N:$AC,2,FALSE)</f>
        <v>0001-05-22-0073.tif</v>
      </c>
      <c r="B8" s="462"/>
      <c r="C8" s="463"/>
      <c r="D8" s="730" t="s">
        <v>9066</v>
      </c>
      <c r="E8" s="609"/>
      <c r="F8" s="465" t="s">
        <v>8305</v>
      </c>
      <c r="G8" s="466">
        <v>35</v>
      </c>
      <c r="H8" s="555">
        <v>35</v>
      </c>
      <c r="I8" s="570">
        <v>600</v>
      </c>
      <c r="J8" s="555">
        <v>600</v>
      </c>
      <c r="K8" s="570">
        <v>0</v>
      </c>
      <c r="L8" s="555">
        <v>0</v>
      </c>
      <c r="M8" s="570" t="b">
        <v>0</v>
      </c>
      <c r="N8" s="460" t="b">
        <v>0</v>
      </c>
      <c r="O8" s="570">
        <v>3</v>
      </c>
      <c r="P8" s="460">
        <v>3</v>
      </c>
      <c r="Q8" s="570">
        <v>293.14999999999998</v>
      </c>
      <c r="R8" s="460">
        <v>293.14999999999998</v>
      </c>
      <c r="S8" s="570">
        <v>931342.618577093</v>
      </c>
      <c r="T8" s="460"/>
      <c r="V8" s="828">
        <v>383</v>
      </c>
      <c r="W8" s="831">
        <v>3.4</v>
      </c>
      <c r="X8" s="831">
        <v>35.11</v>
      </c>
      <c r="Y8" s="835">
        <f t="shared" si="0"/>
        <v>3.7268252698068576</v>
      </c>
    </row>
    <row r="9" spans="1:25">
      <c r="A9" s="201" t="str">
        <f>VLOOKUP($D9,Column_from_BP!$N:$AC,2,FALSE)</f>
        <v>0001-05-22-0087.tif</v>
      </c>
      <c r="B9" s="462"/>
      <c r="C9" s="463"/>
      <c r="D9" s="730" t="s">
        <v>9067</v>
      </c>
      <c r="E9" s="609"/>
      <c r="F9" s="465" t="s">
        <v>1390</v>
      </c>
      <c r="G9" s="466">
        <v>30</v>
      </c>
      <c r="H9" s="555">
        <v>30</v>
      </c>
      <c r="I9" s="570">
        <v>1155</v>
      </c>
      <c r="J9" s="555">
        <v>1155</v>
      </c>
      <c r="K9" s="570">
        <v>0</v>
      </c>
      <c r="L9" s="555">
        <v>0</v>
      </c>
      <c r="M9" s="570" t="b">
        <v>0</v>
      </c>
      <c r="N9" s="460" t="b">
        <v>0</v>
      </c>
      <c r="O9" s="570">
        <v>2.2999999999999998</v>
      </c>
      <c r="P9" s="460">
        <v>2.2999999999999998</v>
      </c>
      <c r="Q9" s="570">
        <v>293.14999999999998</v>
      </c>
      <c r="R9" s="460">
        <v>293.14999999999998</v>
      </c>
      <c r="S9" s="570">
        <v>191851.61856910601</v>
      </c>
      <c r="T9" s="460"/>
      <c r="V9" s="828">
        <v>1250</v>
      </c>
      <c r="W9" s="831">
        <v>6.2720000000000002</v>
      </c>
      <c r="X9" s="831">
        <v>33.664999999999999</v>
      </c>
      <c r="Y9" s="835">
        <f t="shared" si="0"/>
        <v>6.8757607486830832</v>
      </c>
    </row>
    <row r="10" spans="1:25">
      <c r="A10" s="201" t="str">
        <f>VLOOKUP($D10,Column_from_BP!$N:$AC,2,FALSE)</f>
        <v>0001-05-22-0021.tif</v>
      </c>
      <c r="B10" s="462"/>
      <c r="C10" s="463"/>
      <c r="D10" s="730" t="s">
        <v>9068</v>
      </c>
      <c r="E10" s="609"/>
      <c r="F10" s="465" t="s">
        <v>1394</v>
      </c>
      <c r="G10" s="466">
        <v>10</v>
      </c>
      <c r="H10" s="555">
        <v>10</v>
      </c>
      <c r="I10" s="570">
        <v>107</v>
      </c>
      <c r="J10" s="555">
        <v>107</v>
      </c>
      <c r="K10" s="570">
        <v>0</v>
      </c>
      <c r="L10" s="555">
        <v>0</v>
      </c>
      <c r="M10" s="570" t="b">
        <v>0</v>
      </c>
      <c r="N10" s="460" t="b">
        <v>0</v>
      </c>
      <c r="O10" s="570">
        <v>1</v>
      </c>
      <c r="P10" s="460">
        <v>1</v>
      </c>
      <c r="Q10" s="570">
        <v>293.14999999999998</v>
      </c>
      <c r="R10" s="460">
        <v>293.14999999999998</v>
      </c>
      <c r="S10" s="570">
        <v>199716.61871029099</v>
      </c>
      <c r="T10" s="460"/>
      <c r="V10" s="828">
        <v>114</v>
      </c>
      <c r="W10" s="831">
        <v>3.98</v>
      </c>
      <c r="X10" s="831">
        <v>11.89</v>
      </c>
      <c r="Y10" s="835">
        <f t="shared" si="0"/>
        <v>3.4939489696965302</v>
      </c>
    </row>
    <row r="11" spans="1:25">
      <c r="A11" s="461"/>
      <c r="B11" s="462"/>
      <c r="C11" s="463"/>
      <c r="D11" s="464"/>
      <c r="E11" s="459"/>
      <c r="F11" s="465"/>
      <c r="G11" s="466"/>
      <c r="H11" s="460"/>
      <c r="I11" s="466"/>
      <c r="J11" s="460"/>
      <c r="K11" s="466"/>
      <c r="L11" s="460"/>
      <c r="M11" s="570"/>
      <c r="N11" s="460"/>
      <c r="O11" s="570"/>
      <c r="P11" s="460"/>
      <c r="Q11" s="570"/>
      <c r="R11" s="460"/>
      <c r="S11" s="570"/>
      <c r="T11" s="460"/>
    </row>
    <row r="12" spans="1:25">
      <c r="A12" s="461"/>
      <c r="B12" s="462"/>
      <c r="C12" s="463"/>
      <c r="D12" s="464"/>
      <c r="E12" s="459"/>
      <c r="F12" s="465"/>
      <c r="G12" s="466"/>
      <c r="H12" s="460"/>
      <c r="I12" s="466"/>
      <c r="J12" s="460"/>
      <c r="K12" s="466"/>
      <c r="L12" s="460"/>
      <c r="M12" s="570"/>
      <c r="N12" s="460"/>
      <c r="O12" s="570"/>
      <c r="P12" s="460"/>
      <c r="Q12" s="570"/>
      <c r="R12" s="460"/>
      <c r="S12" s="570"/>
      <c r="T12" s="460"/>
    </row>
    <row r="13" spans="1:25">
      <c r="A13" s="461"/>
      <c r="B13" s="462"/>
      <c r="C13" s="463"/>
      <c r="D13" s="464"/>
      <c r="E13" s="459"/>
      <c r="F13" s="465"/>
      <c r="G13" s="466"/>
      <c r="H13" s="460"/>
      <c r="I13" s="466"/>
      <c r="J13" s="460"/>
      <c r="K13" s="466"/>
      <c r="L13" s="460"/>
      <c r="M13" s="570"/>
      <c r="N13" s="460"/>
      <c r="O13" s="570"/>
      <c r="P13" s="460"/>
      <c r="Q13" s="570"/>
      <c r="R13" s="460"/>
      <c r="S13" s="570"/>
      <c r="T13" s="460"/>
    </row>
    <row r="14" spans="1:25">
      <c r="A14" s="461"/>
      <c r="B14" s="462"/>
      <c r="C14" s="463"/>
      <c r="D14" s="464"/>
      <c r="E14" s="459"/>
      <c r="F14" s="465"/>
      <c r="G14" s="466"/>
      <c r="H14" s="460"/>
      <c r="I14" s="466"/>
      <c r="J14" s="460"/>
      <c r="K14" s="466"/>
      <c r="L14" s="460"/>
      <c r="M14" s="570"/>
      <c r="N14" s="460"/>
      <c r="O14" s="570"/>
      <c r="P14" s="460"/>
      <c r="Q14" s="570"/>
      <c r="R14" s="460"/>
      <c r="S14" s="570"/>
      <c r="T14" s="460"/>
    </row>
    <row r="15" spans="1:25">
      <c r="A15" s="461"/>
      <c r="B15" s="462"/>
      <c r="C15" s="463"/>
      <c r="D15" s="464"/>
      <c r="E15" s="459"/>
      <c r="F15" s="465"/>
      <c r="G15" s="466"/>
      <c r="H15" s="460"/>
      <c r="I15" s="466"/>
      <c r="J15" s="460"/>
      <c r="K15" s="466"/>
      <c r="L15" s="460"/>
      <c r="M15" s="570"/>
      <c r="N15" s="460"/>
      <c r="O15" s="570"/>
      <c r="P15" s="460"/>
      <c r="Q15" s="570"/>
      <c r="R15" s="460"/>
      <c r="S15" s="570"/>
      <c r="T15" s="460"/>
    </row>
    <row r="16" spans="1:25">
      <c r="A16" s="461"/>
      <c r="B16" s="462"/>
      <c r="C16" s="463"/>
      <c r="D16" s="464"/>
      <c r="E16" s="459"/>
      <c r="F16" s="465"/>
      <c r="G16" s="466"/>
      <c r="H16" s="460"/>
      <c r="I16" s="466"/>
      <c r="J16" s="460"/>
      <c r="K16" s="466"/>
      <c r="L16" s="460"/>
      <c r="M16" s="570"/>
      <c r="N16" s="460"/>
      <c r="O16" s="570"/>
      <c r="P16" s="460"/>
      <c r="Q16" s="570"/>
      <c r="R16" s="460"/>
      <c r="S16" s="570"/>
      <c r="T16" s="460"/>
    </row>
    <row r="17" spans="1:20">
      <c r="A17" s="461"/>
      <c r="B17" s="462"/>
      <c r="C17" s="463"/>
      <c r="D17" s="464"/>
      <c r="E17" s="459"/>
      <c r="F17" s="465"/>
      <c r="G17" s="466"/>
      <c r="H17" s="460"/>
      <c r="I17" s="466"/>
      <c r="J17" s="460"/>
      <c r="K17" s="466"/>
      <c r="L17" s="460"/>
      <c r="M17" s="570"/>
      <c r="N17" s="460"/>
      <c r="O17" s="570"/>
      <c r="P17" s="460"/>
      <c r="Q17" s="570"/>
      <c r="R17" s="460"/>
      <c r="S17" s="570"/>
      <c r="T17" s="460"/>
    </row>
    <row r="18" spans="1:20">
      <c r="A18" s="461"/>
      <c r="B18" s="462"/>
      <c r="C18" s="463"/>
      <c r="D18" s="464"/>
      <c r="E18" s="459"/>
      <c r="F18" s="465"/>
      <c r="G18" s="466"/>
      <c r="H18" s="460"/>
      <c r="I18" s="466"/>
      <c r="J18" s="460"/>
      <c r="K18" s="466"/>
      <c r="L18" s="460"/>
      <c r="M18" s="570"/>
      <c r="N18" s="460"/>
      <c r="O18" s="570"/>
      <c r="P18" s="460"/>
      <c r="Q18" s="570"/>
      <c r="R18" s="460"/>
      <c r="S18" s="570"/>
      <c r="T18" s="460"/>
    </row>
    <row r="19" spans="1:20">
      <c r="A19" s="461"/>
      <c r="B19" s="462"/>
      <c r="C19" s="463"/>
      <c r="D19" s="464"/>
      <c r="E19" s="459"/>
      <c r="F19" s="465"/>
      <c r="G19" s="466"/>
      <c r="H19" s="460"/>
      <c r="I19" s="466"/>
      <c r="J19" s="460"/>
      <c r="K19" s="466"/>
      <c r="L19" s="460"/>
      <c r="M19" s="570"/>
      <c r="N19" s="460"/>
      <c r="O19" s="570"/>
      <c r="P19" s="460"/>
      <c r="Q19" s="570"/>
      <c r="R19" s="460"/>
      <c r="S19" s="570"/>
      <c r="T19" s="460"/>
    </row>
    <row r="20" spans="1:20">
      <c r="A20" s="461"/>
      <c r="B20" s="462"/>
      <c r="C20" s="463"/>
      <c r="D20" s="464"/>
      <c r="E20" s="459"/>
      <c r="F20" s="465"/>
      <c r="G20" s="466"/>
      <c r="H20" s="460"/>
      <c r="I20" s="466"/>
      <c r="J20" s="460"/>
      <c r="K20" s="466"/>
      <c r="L20" s="460"/>
      <c r="M20" s="570"/>
      <c r="N20" s="460"/>
      <c r="O20" s="570"/>
      <c r="P20" s="460"/>
      <c r="Q20" s="570"/>
      <c r="R20" s="460"/>
      <c r="S20" s="570"/>
      <c r="T20" s="460"/>
    </row>
    <row r="21" spans="1:20">
      <c r="A21" s="461"/>
      <c r="B21" s="462"/>
      <c r="C21" s="463"/>
      <c r="D21" s="464"/>
      <c r="E21" s="459"/>
      <c r="F21" s="465"/>
      <c r="G21" s="466"/>
      <c r="H21" s="460"/>
      <c r="I21" s="466"/>
      <c r="J21" s="460"/>
      <c r="K21" s="466"/>
      <c r="L21" s="460"/>
      <c r="M21" s="570"/>
      <c r="N21" s="460"/>
      <c r="O21" s="570"/>
      <c r="P21" s="460"/>
      <c r="Q21" s="570"/>
      <c r="R21" s="460"/>
      <c r="S21" s="570"/>
      <c r="T21" s="460"/>
    </row>
    <row r="22" spans="1:20">
      <c r="A22" s="461"/>
      <c r="B22" s="462"/>
      <c r="C22" s="463"/>
      <c r="D22" s="464"/>
      <c r="E22" s="459"/>
      <c r="F22" s="465"/>
      <c r="G22" s="466"/>
      <c r="H22" s="460"/>
      <c r="I22" s="466"/>
      <c r="J22" s="460"/>
      <c r="K22" s="466"/>
      <c r="L22" s="460"/>
      <c r="M22" s="570"/>
      <c r="N22" s="460"/>
      <c r="O22" s="570"/>
      <c r="P22" s="460"/>
      <c r="Q22" s="570"/>
      <c r="R22" s="460"/>
      <c r="S22" s="570"/>
      <c r="T22" s="460"/>
    </row>
    <row r="23" spans="1:20">
      <c r="A23" s="461"/>
      <c r="B23" s="462"/>
      <c r="C23" s="463"/>
      <c r="D23" s="464"/>
      <c r="E23" s="459"/>
      <c r="F23" s="465"/>
      <c r="G23" s="466"/>
      <c r="H23" s="460"/>
      <c r="I23" s="466"/>
      <c r="J23" s="460"/>
      <c r="K23" s="466"/>
      <c r="L23" s="460"/>
      <c r="M23" s="570"/>
      <c r="N23" s="460"/>
      <c r="O23" s="570"/>
      <c r="P23" s="460"/>
      <c r="Q23" s="570"/>
      <c r="R23" s="460"/>
      <c r="S23" s="570"/>
      <c r="T23" s="460"/>
    </row>
    <row r="24" spans="1:20">
      <c r="A24" s="461"/>
      <c r="B24" s="462"/>
      <c r="C24" s="463"/>
      <c r="D24" s="464"/>
      <c r="E24" s="459"/>
      <c r="F24" s="465"/>
      <c r="G24" s="466"/>
      <c r="H24" s="460"/>
      <c r="I24" s="466"/>
      <c r="J24" s="460"/>
      <c r="K24" s="466"/>
      <c r="L24" s="460"/>
      <c r="M24" s="570"/>
      <c r="N24" s="460"/>
      <c r="O24" s="570"/>
      <c r="P24" s="460"/>
      <c r="Q24" s="570"/>
      <c r="R24" s="460"/>
      <c r="S24" s="570"/>
      <c r="T24" s="460"/>
    </row>
    <row r="25" spans="1:20">
      <c r="A25" s="461"/>
      <c r="B25" s="462"/>
      <c r="C25" s="463"/>
      <c r="D25" s="464"/>
      <c r="E25" s="459"/>
      <c r="F25" s="465"/>
      <c r="G25" s="466"/>
      <c r="H25" s="460"/>
      <c r="I25" s="466"/>
      <c r="J25" s="460"/>
      <c r="K25" s="466"/>
      <c r="L25" s="460"/>
      <c r="M25" s="570"/>
      <c r="N25" s="460"/>
      <c r="O25" s="570"/>
      <c r="P25" s="460"/>
      <c r="Q25" s="570"/>
      <c r="R25" s="460"/>
      <c r="S25" s="570"/>
      <c r="T25" s="460"/>
    </row>
    <row r="26" spans="1:20">
      <c r="A26" s="461"/>
      <c r="B26" s="462"/>
      <c r="C26" s="463"/>
      <c r="D26" s="464"/>
      <c r="E26" s="459"/>
      <c r="F26" s="465"/>
      <c r="G26" s="466"/>
      <c r="H26" s="460"/>
      <c r="I26" s="466"/>
      <c r="J26" s="460"/>
      <c r="K26" s="466"/>
      <c r="L26" s="460"/>
      <c r="M26" s="570"/>
      <c r="N26" s="460"/>
      <c r="O26" s="570"/>
      <c r="P26" s="460"/>
      <c r="Q26" s="570"/>
      <c r="R26" s="460"/>
      <c r="S26" s="570"/>
      <c r="T26" s="460"/>
    </row>
    <row r="27" spans="1:20">
      <c r="A27" s="461"/>
      <c r="B27" s="462"/>
      <c r="C27" s="463"/>
      <c r="D27" s="464"/>
      <c r="E27" s="459"/>
      <c r="F27" s="465"/>
      <c r="G27" s="466"/>
      <c r="H27" s="460"/>
      <c r="I27" s="466"/>
      <c r="J27" s="460"/>
      <c r="K27" s="466"/>
      <c r="L27" s="460"/>
      <c r="M27" s="570"/>
      <c r="N27" s="460"/>
      <c r="O27" s="570"/>
      <c r="P27" s="460"/>
      <c r="Q27" s="570"/>
      <c r="R27" s="460"/>
      <c r="S27" s="570"/>
      <c r="T27" s="460"/>
    </row>
    <row r="28" spans="1:20">
      <c r="A28" s="461"/>
      <c r="B28" s="462"/>
      <c r="C28" s="463"/>
      <c r="D28" s="464"/>
      <c r="E28" s="459"/>
      <c r="F28" s="465"/>
      <c r="G28" s="466"/>
      <c r="H28" s="460"/>
      <c r="I28" s="466"/>
      <c r="J28" s="460"/>
      <c r="K28" s="466"/>
      <c r="L28" s="460"/>
      <c r="M28" s="570"/>
      <c r="N28" s="460"/>
      <c r="O28" s="570"/>
      <c r="P28" s="460"/>
      <c r="Q28" s="570"/>
      <c r="R28" s="460"/>
      <c r="S28" s="570"/>
      <c r="T28" s="460"/>
    </row>
    <row r="29" spans="1:20">
      <c r="A29" s="461"/>
      <c r="B29" s="462"/>
      <c r="C29" s="463"/>
      <c r="D29" s="464"/>
      <c r="E29" s="459"/>
      <c r="F29" s="465"/>
      <c r="G29" s="466"/>
      <c r="H29" s="460"/>
      <c r="I29" s="466"/>
      <c r="J29" s="460"/>
      <c r="K29" s="466"/>
      <c r="L29" s="460"/>
      <c r="M29" s="570"/>
      <c r="N29" s="460"/>
      <c r="O29" s="570"/>
      <c r="P29" s="460"/>
      <c r="Q29" s="570"/>
      <c r="R29" s="460"/>
      <c r="S29" s="570"/>
      <c r="T29" s="460"/>
    </row>
    <row r="30" spans="1:20">
      <c r="A30" s="461"/>
      <c r="B30" s="462"/>
      <c r="C30" s="463"/>
      <c r="D30" s="464"/>
      <c r="E30" s="459"/>
      <c r="F30" s="465"/>
      <c r="G30" s="466"/>
      <c r="H30" s="460"/>
      <c r="I30" s="466"/>
      <c r="J30" s="460"/>
      <c r="K30" s="466"/>
      <c r="L30" s="460"/>
      <c r="M30" s="570"/>
      <c r="N30" s="460"/>
      <c r="O30" s="570"/>
      <c r="P30" s="460"/>
      <c r="Q30" s="570"/>
      <c r="R30" s="460"/>
      <c r="S30" s="570"/>
      <c r="T30" s="460"/>
    </row>
    <row r="31" spans="1:20">
      <c r="A31" s="461"/>
      <c r="B31" s="462"/>
      <c r="C31" s="463"/>
      <c r="D31" s="464"/>
      <c r="E31" s="459"/>
      <c r="F31" s="465"/>
      <c r="G31" s="466"/>
      <c r="H31" s="460"/>
      <c r="I31" s="466"/>
      <c r="J31" s="460"/>
      <c r="K31" s="466"/>
      <c r="L31" s="460"/>
      <c r="M31" s="570"/>
      <c r="N31" s="460"/>
      <c r="O31" s="570"/>
      <c r="P31" s="460"/>
      <c r="Q31" s="570"/>
      <c r="R31" s="460"/>
      <c r="S31" s="570"/>
      <c r="T31" s="460"/>
    </row>
    <row r="32" spans="1:20">
      <c r="A32" s="461"/>
      <c r="B32" s="462"/>
      <c r="C32" s="463"/>
      <c r="D32" s="464"/>
      <c r="E32" s="459"/>
      <c r="F32" s="465"/>
      <c r="G32" s="466"/>
      <c r="H32" s="460"/>
      <c r="I32" s="466"/>
      <c r="J32" s="460"/>
      <c r="K32" s="466"/>
      <c r="L32" s="460"/>
      <c r="M32" s="570"/>
      <c r="N32" s="460"/>
      <c r="O32" s="570"/>
      <c r="P32" s="460"/>
      <c r="Q32" s="570"/>
      <c r="R32" s="460"/>
      <c r="S32" s="570"/>
      <c r="T32" s="460"/>
    </row>
    <row r="33" spans="1:20">
      <c r="A33" s="461"/>
      <c r="B33" s="462"/>
      <c r="C33" s="463"/>
      <c r="D33" s="464"/>
      <c r="E33" s="459"/>
      <c r="F33" s="465"/>
      <c r="G33" s="466"/>
      <c r="H33" s="460"/>
      <c r="I33" s="466"/>
      <c r="J33" s="460"/>
      <c r="K33" s="466"/>
      <c r="L33" s="460"/>
      <c r="M33" s="570"/>
      <c r="N33" s="460"/>
      <c r="O33" s="570"/>
      <c r="P33" s="460"/>
      <c r="Q33" s="570"/>
      <c r="R33" s="460"/>
      <c r="S33" s="570"/>
      <c r="T33" s="460"/>
    </row>
    <row r="34" spans="1:20">
      <c r="A34" s="461"/>
      <c r="B34" s="462"/>
      <c r="C34" s="463"/>
      <c r="D34" s="464"/>
      <c r="E34" s="459"/>
      <c r="F34" s="465"/>
      <c r="G34" s="466"/>
      <c r="H34" s="460"/>
      <c r="I34" s="466"/>
      <c r="J34" s="460"/>
      <c r="K34" s="466"/>
      <c r="L34" s="460"/>
      <c r="M34" s="570"/>
      <c r="N34" s="460"/>
      <c r="O34" s="570"/>
      <c r="P34" s="460"/>
      <c r="Q34" s="570"/>
      <c r="R34" s="460"/>
      <c r="S34" s="570"/>
      <c r="T34" s="460"/>
    </row>
    <row r="35" spans="1:20">
      <c r="A35" s="461"/>
      <c r="B35" s="462"/>
      <c r="C35" s="463"/>
      <c r="D35" s="464"/>
      <c r="E35" s="459"/>
      <c r="F35" s="465"/>
      <c r="G35" s="466"/>
      <c r="H35" s="460"/>
      <c r="I35" s="466"/>
      <c r="J35" s="460"/>
      <c r="K35" s="466"/>
      <c r="L35" s="460"/>
      <c r="M35" s="570"/>
      <c r="N35" s="460"/>
      <c r="O35" s="570"/>
      <c r="P35" s="460"/>
      <c r="Q35" s="570"/>
      <c r="R35" s="460"/>
      <c r="S35" s="570"/>
      <c r="T35" s="460"/>
    </row>
    <row r="36" spans="1:20">
      <c r="A36" s="461"/>
      <c r="B36" s="462"/>
      <c r="C36" s="463"/>
      <c r="D36" s="464"/>
      <c r="E36" s="459"/>
      <c r="F36" s="465"/>
      <c r="G36" s="466"/>
      <c r="H36" s="460"/>
      <c r="I36" s="466"/>
      <c r="J36" s="460"/>
      <c r="K36" s="466"/>
      <c r="L36" s="460"/>
      <c r="M36" s="570"/>
      <c r="N36" s="460"/>
      <c r="O36" s="570"/>
      <c r="P36" s="460"/>
      <c r="Q36" s="570"/>
      <c r="R36" s="460"/>
      <c r="S36" s="570"/>
      <c r="T36" s="460"/>
    </row>
    <row r="37" spans="1:20">
      <c r="A37" s="461"/>
      <c r="B37" s="462"/>
      <c r="C37" s="463"/>
      <c r="D37" s="464"/>
      <c r="E37" s="459"/>
      <c r="F37" s="465"/>
      <c r="G37" s="466"/>
      <c r="H37" s="460"/>
      <c r="I37" s="466"/>
      <c r="J37" s="460"/>
      <c r="K37" s="466"/>
      <c r="L37" s="460"/>
      <c r="M37" s="570"/>
      <c r="N37" s="460"/>
      <c r="O37" s="570"/>
      <c r="P37" s="460"/>
      <c r="Q37" s="570"/>
      <c r="R37" s="460"/>
      <c r="S37" s="570"/>
      <c r="T37" s="460"/>
    </row>
    <row r="38" spans="1:20">
      <c r="A38" s="461"/>
      <c r="B38" s="462"/>
      <c r="C38" s="463"/>
      <c r="D38" s="464"/>
      <c r="E38" s="459"/>
      <c r="F38" s="465"/>
      <c r="G38" s="466"/>
      <c r="H38" s="460"/>
      <c r="I38" s="466"/>
      <c r="J38" s="460"/>
      <c r="K38" s="466"/>
      <c r="L38" s="460"/>
      <c r="M38" s="570"/>
      <c r="N38" s="460"/>
      <c r="O38" s="570"/>
      <c r="P38" s="460"/>
      <c r="Q38" s="570"/>
      <c r="R38" s="460"/>
      <c r="S38" s="570"/>
      <c r="T38" s="460"/>
    </row>
    <row r="39" spans="1:20">
      <c r="A39" s="461"/>
      <c r="B39" s="462"/>
      <c r="C39" s="463"/>
      <c r="D39" s="464"/>
      <c r="E39" s="459"/>
      <c r="F39" s="465"/>
      <c r="G39" s="466"/>
      <c r="H39" s="460"/>
      <c r="I39" s="466"/>
      <c r="J39" s="460"/>
      <c r="K39" s="466"/>
      <c r="L39" s="460"/>
      <c r="M39" s="570"/>
      <c r="N39" s="460"/>
      <c r="O39" s="570"/>
      <c r="P39" s="460"/>
      <c r="Q39" s="570"/>
      <c r="R39" s="460"/>
      <c r="S39" s="570"/>
      <c r="T39" s="460"/>
    </row>
    <row r="40" spans="1:20">
      <c r="A40" s="461"/>
      <c r="B40" s="462"/>
      <c r="C40" s="463"/>
      <c r="D40" s="464"/>
      <c r="E40" s="459"/>
      <c r="F40" s="465"/>
      <c r="G40" s="466"/>
      <c r="H40" s="460"/>
      <c r="I40" s="466"/>
      <c r="J40" s="460"/>
      <c r="K40" s="466"/>
      <c r="L40" s="460"/>
      <c r="M40" s="570"/>
      <c r="N40" s="460"/>
      <c r="O40" s="570"/>
      <c r="P40" s="460"/>
      <c r="Q40" s="570"/>
      <c r="R40" s="460"/>
      <c r="S40" s="570"/>
      <c r="T40" s="460"/>
    </row>
    <row r="41" spans="1:20">
      <c r="A41" s="461"/>
      <c r="B41" s="462"/>
      <c r="C41" s="463"/>
      <c r="D41" s="464"/>
      <c r="E41" s="459"/>
      <c r="F41" s="465"/>
      <c r="G41" s="466"/>
      <c r="H41" s="460"/>
      <c r="I41" s="466"/>
      <c r="J41" s="460"/>
      <c r="K41" s="466"/>
      <c r="L41" s="460"/>
      <c r="M41" s="570"/>
      <c r="N41" s="460"/>
      <c r="O41" s="570"/>
      <c r="P41" s="460"/>
      <c r="Q41" s="570"/>
      <c r="R41" s="460"/>
      <c r="S41" s="570"/>
      <c r="T41" s="460"/>
    </row>
    <row r="42" spans="1:20">
      <c r="A42" s="461"/>
      <c r="B42" s="462"/>
      <c r="C42" s="463"/>
      <c r="D42" s="464"/>
      <c r="E42" s="459"/>
      <c r="F42" s="465"/>
      <c r="G42" s="466"/>
      <c r="H42" s="460"/>
      <c r="I42" s="466"/>
      <c r="J42" s="460"/>
      <c r="K42" s="466"/>
      <c r="L42" s="460"/>
      <c r="M42" s="570"/>
      <c r="N42" s="460"/>
      <c r="O42" s="570"/>
      <c r="P42" s="460"/>
      <c r="Q42" s="570"/>
      <c r="R42" s="460"/>
      <c r="S42" s="570"/>
      <c r="T42" s="460"/>
    </row>
    <row r="43" spans="1:20">
      <c r="A43" s="461"/>
      <c r="B43" s="462"/>
      <c r="C43" s="463"/>
      <c r="D43" s="464"/>
      <c r="E43" s="459"/>
      <c r="F43" s="465"/>
      <c r="G43" s="466"/>
      <c r="H43" s="460"/>
      <c r="I43" s="466"/>
      <c r="J43" s="460"/>
      <c r="K43" s="466"/>
      <c r="L43" s="460"/>
      <c r="M43" s="570"/>
      <c r="N43" s="460"/>
      <c r="O43" s="570"/>
      <c r="P43" s="460"/>
      <c r="Q43" s="570"/>
      <c r="R43" s="460"/>
      <c r="S43" s="570"/>
      <c r="T43" s="460"/>
    </row>
    <row r="44" spans="1:20">
      <c r="A44" s="461"/>
      <c r="B44" s="462"/>
      <c r="C44" s="463"/>
      <c r="D44" s="464"/>
      <c r="E44" s="459"/>
      <c r="F44" s="465"/>
      <c r="G44" s="466"/>
      <c r="H44" s="460"/>
      <c r="I44" s="466"/>
      <c r="J44" s="460"/>
      <c r="K44" s="466"/>
      <c r="L44" s="460"/>
      <c r="M44" s="570"/>
      <c r="N44" s="460"/>
      <c r="O44" s="570"/>
      <c r="P44" s="460"/>
      <c r="Q44" s="570"/>
      <c r="R44" s="460"/>
      <c r="S44" s="570"/>
      <c r="T44" s="460"/>
    </row>
    <row r="45" spans="1:20">
      <c r="A45" s="461"/>
      <c r="B45" s="462"/>
      <c r="C45" s="463"/>
      <c r="D45" s="464"/>
      <c r="E45" s="459"/>
      <c r="F45" s="465"/>
      <c r="G45" s="466"/>
      <c r="H45" s="460"/>
      <c r="I45" s="466"/>
      <c r="J45" s="460"/>
      <c r="K45" s="466"/>
      <c r="L45" s="460"/>
      <c r="M45" s="570"/>
      <c r="N45" s="460"/>
      <c r="O45" s="570"/>
      <c r="P45" s="460"/>
      <c r="Q45" s="570"/>
      <c r="R45" s="460"/>
      <c r="S45" s="570"/>
      <c r="T45" s="460"/>
    </row>
    <row r="46" spans="1:20">
      <c r="A46" s="461"/>
      <c r="B46" s="462"/>
      <c r="C46" s="463"/>
      <c r="D46" s="464"/>
      <c r="E46" s="459"/>
      <c r="F46" s="465"/>
      <c r="G46" s="466"/>
      <c r="H46" s="460"/>
      <c r="I46" s="466"/>
      <c r="J46" s="460"/>
      <c r="K46" s="466"/>
      <c r="L46" s="460"/>
      <c r="M46" s="570"/>
      <c r="N46" s="460"/>
      <c r="O46" s="570"/>
      <c r="P46" s="460"/>
      <c r="Q46" s="570"/>
      <c r="R46" s="460"/>
      <c r="S46" s="570"/>
      <c r="T46" s="460"/>
    </row>
    <row r="47" spans="1:20">
      <c r="A47" s="461"/>
      <c r="B47" s="462"/>
      <c r="C47" s="463"/>
      <c r="D47" s="464"/>
      <c r="E47" s="459"/>
      <c r="F47" s="465"/>
      <c r="G47" s="466"/>
      <c r="H47" s="460"/>
      <c r="I47" s="466"/>
      <c r="J47" s="460"/>
      <c r="K47" s="466"/>
      <c r="L47" s="460"/>
      <c r="M47" s="570"/>
      <c r="N47" s="460"/>
      <c r="O47" s="570"/>
      <c r="P47" s="460"/>
      <c r="Q47" s="570"/>
      <c r="R47" s="460"/>
      <c r="S47" s="570"/>
      <c r="T47" s="460"/>
    </row>
    <row r="48" spans="1:20">
      <c r="A48" s="461"/>
      <c r="B48" s="462"/>
      <c r="C48" s="463"/>
      <c r="D48" s="464"/>
      <c r="E48" s="459"/>
      <c r="F48" s="465"/>
      <c r="G48" s="466"/>
      <c r="H48" s="460"/>
      <c r="I48" s="466"/>
      <c r="J48" s="460"/>
      <c r="K48" s="466"/>
      <c r="L48" s="460"/>
      <c r="M48" s="570"/>
      <c r="N48" s="460"/>
      <c r="O48" s="570"/>
      <c r="P48" s="460"/>
      <c r="Q48" s="570"/>
      <c r="R48" s="460"/>
      <c r="S48" s="570"/>
      <c r="T48" s="460"/>
    </row>
    <row r="49" spans="1:20">
      <c r="A49" s="461"/>
      <c r="B49" s="462"/>
      <c r="C49" s="463"/>
      <c r="D49" s="464"/>
      <c r="E49" s="459"/>
      <c r="F49" s="465"/>
      <c r="G49" s="466"/>
      <c r="H49" s="460"/>
      <c r="I49" s="466"/>
      <c r="J49" s="460"/>
      <c r="K49" s="466"/>
      <c r="L49" s="460"/>
      <c r="M49" s="570"/>
      <c r="N49" s="460"/>
      <c r="O49" s="570"/>
      <c r="P49" s="460"/>
      <c r="Q49" s="570"/>
      <c r="R49" s="460"/>
      <c r="S49" s="570"/>
      <c r="T49" s="460"/>
    </row>
    <row r="50" spans="1:20">
      <c r="A50" s="461"/>
      <c r="B50" s="462"/>
      <c r="C50" s="463"/>
      <c r="D50" s="464"/>
      <c r="E50" s="459"/>
      <c r="F50" s="465"/>
      <c r="G50" s="466"/>
      <c r="H50" s="460"/>
      <c r="I50" s="466"/>
      <c r="J50" s="460"/>
      <c r="K50" s="466"/>
      <c r="L50" s="460"/>
      <c r="M50" s="570"/>
      <c r="N50" s="460"/>
      <c r="O50" s="570"/>
      <c r="P50" s="460"/>
      <c r="Q50" s="570"/>
      <c r="R50" s="460"/>
      <c r="S50" s="570"/>
      <c r="T50" s="460"/>
    </row>
    <row r="51" spans="1:20">
      <c r="A51" s="461"/>
      <c r="B51" s="462"/>
      <c r="C51" s="463"/>
      <c r="D51" s="464"/>
      <c r="E51" s="459"/>
      <c r="F51" s="465"/>
      <c r="G51" s="466"/>
      <c r="H51" s="460"/>
      <c r="I51" s="466"/>
      <c r="J51" s="460"/>
      <c r="K51" s="466"/>
      <c r="L51" s="460"/>
      <c r="M51" s="570"/>
      <c r="N51" s="460"/>
      <c r="O51" s="570"/>
      <c r="P51" s="460"/>
      <c r="Q51" s="570"/>
      <c r="R51" s="460"/>
      <c r="S51" s="570"/>
      <c r="T51" s="460"/>
    </row>
    <row r="52" spans="1:20">
      <c r="A52" s="461"/>
      <c r="B52" s="462"/>
      <c r="C52" s="463"/>
      <c r="D52" s="464"/>
      <c r="E52" s="459"/>
      <c r="F52" s="465"/>
      <c r="G52" s="466"/>
      <c r="H52" s="460"/>
      <c r="I52" s="466"/>
      <c r="J52" s="460"/>
      <c r="K52" s="466"/>
      <c r="L52" s="460"/>
      <c r="M52" s="570"/>
      <c r="N52" s="460"/>
      <c r="O52" s="570"/>
      <c r="P52" s="460"/>
      <c r="Q52" s="570"/>
      <c r="R52" s="460"/>
      <c r="S52" s="570"/>
      <c r="T52" s="460"/>
    </row>
    <row r="53" spans="1:20">
      <c r="A53" s="461"/>
      <c r="B53" s="462"/>
      <c r="C53" s="463"/>
      <c r="D53" s="464"/>
      <c r="E53" s="459"/>
      <c r="F53" s="465"/>
      <c r="G53" s="466"/>
      <c r="H53" s="460"/>
      <c r="I53" s="466"/>
      <c r="J53" s="460"/>
      <c r="K53" s="466"/>
      <c r="L53" s="460"/>
      <c r="M53" s="570"/>
      <c r="N53" s="460"/>
      <c r="O53" s="570"/>
      <c r="P53" s="460"/>
      <c r="Q53" s="570"/>
      <c r="R53" s="460"/>
      <c r="S53" s="570"/>
      <c r="T53" s="460"/>
    </row>
    <row r="54" spans="1:20">
      <c r="A54" s="461"/>
      <c r="B54" s="462"/>
      <c r="C54" s="463"/>
      <c r="D54" s="464"/>
      <c r="E54" s="459"/>
      <c r="F54" s="465"/>
      <c r="G54" s="466"/>
      <c r="H54" s="460"/>
      <c r="I54" s="466"/>
      <c r="J54" s="460"/>
      <c r="K54" s="466"/>
      <c r="L54" s="460"/>
      <c r="M54" s="570"/>
      <c r="N54" s="460"/>
      <c r="O54" s="570"/>
      <c r="P54" s="460"/>
      <c r="Q54" s="570"/>
      <c r="R54" s="460"/>
      <c r="S54" s="570"/>
      <c r="T54" s="460"/>
    </row>
    <row r="55" spans="1:20">
      <c r="A55" s="461"/>
      <c r="B55" s="462"/>
      <c r="C55" s="463"/>
      <c r="D55" s="464"/>
      <c r="E55" s="459"/>
      <c r="F55" s="465"/>
      <c r="G55" s="466"/>
      <c r="H55" s="460"/>
      <c r="I55" s="466"/>
      <c r="J55" s="460"/>
      <c r="K55" s="466"/>
      <c r="L55" s="460"/>
      <c r="M55" s="570"/>
      <c r="N55" s="460"/>
      <c r="O55" s="570"/>
      <c r="P55" s="460"/>
      <c r="Q55" s="570"/>
      <c r="R55" s="460"/>
      <c r="S55" s="570"/>
      <c r="T55" s="460"/>
    </row>
    <row r="56" spans="1:20">
      <c r="A56" s="461"/>
      <c r="B56" s="462"/>
      <c r="C56" s="463"/>
      <c r="D56" s="464"/>
      <c r="E56" s="459"/>
      <c r="F56" s="465"/>
      <c r="G56" s="466"/>
      <c r="H56" s="460"/>
      <c r="I56" s="466"/>
      <c r="J56" s="460"/>
      <c r="K56" s="466"/>
      <c r="L56" s="460"/>
      <c r="M56" s="570"/>
      <c r="N56" s="460"/>
      <c r="O56" s="570"/>
      <c r="P56" s="460"/>
      <c r="Q56" s="570"/>
      <c r="R56" s="460"/>
      <c r="S56" s="570"/>
      <c r="T56" s="460"/>
    </row>
    <row r="57" spans="1:20">
      <c r="A57" s="461"/>
      <c r="B57" s="462"/>
      <c r="C57" s="463"/>
      <c r="D57" s="464"/>
      <c r="E57" s="459"/>
      <c r="F57" s="465"/>
      <c r="G57" s="466"/>
      <c r="H57" s="460"/>
      <c r="I57" s="466"/>
      <c r="J57" s="460"/>
      <c r="K57" s="466"/>
      <c r="L57" s="460"/>
      <c r="M57" s="570"/>
      <c r="N57" s="460"/>
      <c r="O57" s="570"/>
      <c r="P57" s="460"/>
      <c r="Q57" s="570"/>
      <c r="R57" s="460"/>
      <c r="S57" s="570"/>
      <c r="T57" s="460"/>
    </row>
    <row r="58" spans="1:20">
      <c r="A58" s="461"/>
      <c r="B58" s="462"/>
      <c r="C58" s="463"/>
      <c r="D58" s="464"/>
      <c r="E58" s="459"/>
      <c r="F58" s="465"/>
      <c r="G58" s="466"/>
      <c r="H58" s="460"/>
      <c r="I58" s="466"/>
      <c r="J58" s="460"/>
      <c r="K58" s="466"/>
      <c r="L58" s="460"/>
      <c r="M58" s="570"/>
      <c r="N58" s="460"/>
      <c r="O58" s="570"/>
      <c r="P58" s="460"/>
      <c r="Q58" s="570"/>
      <c r="R58" s="460"/>
      <c r="S58" s="570"/>
      <c r="T58" s="460"/>
    </row>
    <row r="59" spans="1:20">
      <c r="A59" s="461"/>
      <c r="B59" s="462"/>
      <c r="C59" s="463"/>
      <c r="D59" s="464"/>
      <c r="E59" s="459"/>
      <c r="F59" s="465"/>
      <c r="G59" s="466"/>
      <c r="H59" s="460"/>
      <c r="I59" s="466"/>
      <c r="J59" s="460"/>
      <c r="K59" s="466"/>
      <c r="L59" s="460"/>
      <c r="M59" s="570"/>
      <c r="N59" s="460"/>
      <c r="O59" s="570"/>
      <c r="P59" s="460"/>
      <c r="Q59" s="570"/>
      <c r="R59" s="460"/>
      <c r="S59" s="570"/>
      <c r="T59" s="460"/>
    </row>
    <row r="60" spans="1:20">
      <c r="A60" s="461"/>
      <c r="B60" s="462"/>
      <c r="C60" s="463"/>
      <c r="D60" s="464"/>
      <c r="E60" s="459"/>
      <c r="F60" s="465"/>
      <c r="G60" s="466"/>
      <c r="H60" s="460"/>
      <c r="I60" s="466"/>
      <c r="J60" s="460"/>
      <c r="K60" s="466"/>
      <c r="L60" s="460"/>
      <c r="M60" s="570"/>
      <c r="N60" s="460"/>
      <c r="O60" s="570"/>
      <c r="P60" s="460"/>
      <c r="Q60" s="570"/>
      <c r="R60" s="460"/>
      <c r="S60" s="570"/>
      <c r="T60" s="460"/>
    </row>
    <row r="61" spans="1:20">
      <c r="A61" s="461"/>
      <c r="B61" s="462"/>
      <c r="C61" s="463"/>
      <c r="D61" s="464"/>
      <c r="E61" s="459"/>
      <c r="F61" s="465"/>
      <c r="G61" s="466"/>
      <c r="H61" s="460"/>
      <c r="I61" s="466"/>
      <c r="J61" s="460"/>
      <c r="K61" s="466"/>
      <c r="L61" s="460"/>
      <c r="M61" s="570"/>
      <c r="N61" s="460"/>
      <c r="O61" s="570"/>
      <c r="P61" s="460"/>
      <c r="Q61" s="570"/>
      <c r="R61" s="460"/>
      <c r="S61" s="570"/>
      <c r="T61" s="460"/>
    </row>
    <row r="62" spans="1:20">
      <c r="A62" s="461"/>
      <c r="B62" s="462"/>
      <c r="C62" s="463"/>
      <c r="D62" s="464"/>
      <c r="E62" s="459"/>
      <c r="F62" s="465"/>
      <c r="G62" s="466"/>
      <c r="H62" s="460"/>
      <c r="I62" s="466"/>
      <c r="J62" s="460"/>
      <c r="K62" s="466"/>
      <c r="L62" s="460"/>
      <c r="M62" s="570"/>
      <c r="N62" s="460"/>
      <c r="O62" s="570"/>
      <c r="P62" s="460"/>
      <c r="Q62" s="570"/>
      <c r="R62" s="460"/>
      <c r="S62" s="570"/>
      <c r="T62" s="460"/>
    </row>
    <row r="63" spans="1:20">
      <c r="A63" s="461"/>
      <c r="B63" s="462"/>
      <c r="C63" s="463"/>
      <c r="D63" s="464"/>
      <c r="E63" s="459"/>
      <c r="F63" s="465"/>
      <c r="G63" s="466"/>
      <c r="H63" s="460"/>
      <c r="I63" s="466"/>
      <c r="J63" s="460"/>
      <c r="K63" s="466"/>
      <c r="L63" s="460"/>
      <c r="M63" s="570"/>
      <c r="N63" s="460"/>
      <c r="O63" s="570"/>
      <c r="P63" s="460"/>
      <c r="Q63" s="570"/>
      <c r="R63" s="460"/>
      <c r="S63" s="570"/>
      <c r="T63" s="460"/>
    </row>
    <row r="64" spans="1:20">
      <c r="A64" s="461"/>
      <c r="B64" s="462"/>
      <c r="C64" s="463"/>
      <c r="D64" s="464"/>
      <c r="E64" s="459"/>
      <c r="F64" s="465"/>
      <c r="G64" s="466"/>
      <c r="H64" s="460"/>
      <c r="I64" s="466"/>
      <c r="J64" s="460"/>
      <c r="K64" s="466"/>
      <c r="L64" s="460"/>
      <c r="M64" s="570"/>
      <c r="N64" s="460"/>
      <c r="O64" s="570"/>
      <c r="P64" s="460"/>
      <c r="Q64" s="570"/>
      <c r="R64" s="460"/>
      <c r="S64" s="570"/>
      <c r="T64" s="460"/>
    </row>
    <row r="65" spans="1:20">
      <c r="A65" s="461"/>
      <c r="B65" s="462"/>
      <c r="C65" s="463"/>
      <c r="D65" s="464"/>
      <c r="E65" s="459"/>
      <c r="F65" s="465"/>
      <c r="G65" s="466"/>
      <c r="H65" s="460"/>
      <c r="I65" s="466"/>
      <c r="J65" s="460"/>
      <c r="K65" s="466"/>
      <c r="L65" s="460"/>
      <c r="M65" s="570"/>
      <c r="N65" s="460"/>
      <c r="O65" s="570"/>
      <c r="P65" s="460"/>
      <c r="Q65" s="570"/>
      <c r="R65" s="460"/>
      <c r="S65" s="570"/>
      <c r="T65" s="460"/>
    </row>
    <row r="66" spans="1:20">
      <c r="A66" s="461"/>
      <c r="B66" s="462"/>
      <c r="C66" s="463"/>
      <c r="D66" s="464"/>
      <c r="E66" s="459"/>
      <c r="F66" s="465"/>
      <c r="G66" s="466"/>
      <c r="H66" s="460"/>
      <c r="I66" s="466"/>
      <c r="J66" s="460"/>
      <c r="K66" s="466"/>
      <c r="L66" s="460"/>
      <c r="M66" s="570"/>
      <c r="N66" s="460"/>
      <c r="O66" s="570"/>
      <c r="P66" s="460"/>
      <c r="Q66" s="570"/>
      <c r="R66" s="460"/>
      <c r="S66" s="570"/>
      <c r="T66" s="460"/>
    </row>
    <row r="67" spans="1:20">
      <c r="A67" s="461"/>
      <c r="B67" s="462"/>
      <c r="C67" s="463"/>
      <c r="D67" s="464"/>
      <c r="E67" s="459"/>
      <c r="F67" s="465"/>
      <c r="G67" s="466"/>
      <c r="H67" s="460"/>
      <c r="I67" s="466"/>
      <c r="J67" s="460"/>
      <c r="K67" s="466"/>
      <c r="L67" s="460"/>
      <c r="M67" s="570"/>
      <c r="N67" s="460"/>
      <c r="O67" s="570"/>
      <c r="P67" s="460"/>
      <c r="Q67" s="570"/>
      <c r="R67" s="460"/>
      <c r="S67" s="570"/>
      <c r="T67" s="460"/>
    </row>
    <row r="68" spans="1:20">
      <c r="A68" s="461"/>
      <c r="B68" s="462"/>
      <c r="C68" s="463"/>
      <c r="D68" s="464"/>
      <c r="E68" s="459"/>
      <c r="F68" s="465"/>
      <c r="G68" s="466"/>
      <c r="H68" s="460"/>
      <c r="I68" s="466"/>
      <c r="J68" s="460"/>
      <c r="K68" s="466"/>
      <c r="L68" s="460"/>
      <c r="M68" s="570"/>
      <c r="N68" s="460"/>
      <c r="O68" s="570"/>
      <c r="P68" s="460"/>
      <c r="Q68" s="570"/>
      <c r="R68" s="460"/>
      <c r="S68" s="570"/>
      <c r="T68" s="460"/>
    </row>
    <row r="69" spans="1:20">
      <c r="A69" s="461"/>
      <c r="B69" s="462"/>
      <c r="C69" s="463"/>
      <c r="D69" s="464"/>
      <c r="E69" s="459"/>
      <c r="F69" s="465"/>
      <c r="G69" s="466"/>
      <c r="H69" s="460"/>
      <c r="I69" s="466"/>
      <c r="J69" s="460"/>
      <c r="K69" s="466"/>
      <c r="L69" s="460"/>
      <c r="M69" s="570"/>
      <c r="N69" s="460"/>
      <c r="O69" s="570"/>
      <c r="P69" s="460"/>
      <c r="Q69" s="570"/>
      <c r="R69" s="460"/>
      <c r="S69" s="570"/>
      <c r="T69" s="460"/>
    </row>
    <row r="70" spans="1:20">
      <c r="A70" s="461"/>
      <c r="B70" s="462"/>
      <c r="C70" s="463"/>
      <c r="D70" s="464"/>
      <c r="E70" s="459"/>
      <c r="F70" s="465"/>
      <c r="G70" s="466"/>
      <c r="H70" s="460"/>
      <c r="I70" s="466"/>
      <c r="J70" s="460"/>
      <c r="K70" s="466"/>
      <c r="L70" s="460"/>
      <c r="M70" s="570"/>
      <c r="N70" s="460"/>
      <c r="O70" s="570"/>
      <c r="P70" s="460"/>
      <c r="Q70" s="570"/>
      <c r="R70" s="460"/>
      <c r="S70" s="570"/>
      <c r="T70" s="460"/>
    </row>
    <row r="71" spans="1:20">
      <c r="A71" s="461"/>
      <c r="B71" s="462"/>
      <c r="C71" s="463"/>
      <c r="D71" s="464"/>
      <c r="E71" s="459"/>
      <c r="F71" s="465"/>
      <c r="G71" s="466"/>
      <c r="H71" s="460"/>
      <c r="I71" s="466"/>
      <c r="J71" s="460"/>
      <c r="K71" s="466"/>
      <c r="L71" s="460"/>
      <c r="M71" s="570"/>
      <c r="N71" s="460"/>
      <c r="O71" s="570"/>
      <c r="P71" s="460"/>
      <c r="Q71" s="570"/>
      <c r="R71" s="460"/>
      <c r="S71" s="570"/>
      <c r="T71" s="460"/>
    </row>
    <row r="72" spans="1:20">
      <c r="A72" s="461"/>
      <c r="B72" s="462"/>
      <c r="C72" s="463"/>
      <c r="D72" s="464"/>
      <c r="E72" s="459"/>
      <c r="F72" s="465"/>
      <c r="G72" s="466"/>
      <c r="H72" s="460"/>
      <c r="I72" s="466"/>
      <c r="J72" s="460"/>
      <c r="K72" s="466"/>
      <c r="L72" s="460"/>
      <c r="M72" s="570"/>
      <c r="N72" s="460"/>
      <c r="O72" s="570"/>
      <c r="P72" s="460"/>
      <c r="Q72" s="570"/>
      <c r="R72" s="460"/>
      <c r="S72" s="570"/>
      <c r="T72" s="460"/>
    </row>
    <row r="73" spans="1:20">
      <c r="A73" s="461"/>
      <c r="B73" s="462"/>
      <c r="C73" s="463"/>
      <c r="D73" s="464"/>
      <c r="E73" s="459"/>
      <c r="F73" s="465"/>
      <c r="G73" s="466"/>
      <c r="H73" s="460"/>
      <c r="I73" s="466"/>
      <c r="J73" s="460"/>
      <c r="K73" s="466"/>
      <c r="L73" s="460"/>
      <c r="M73" s="570"/>
      <c r="N73" s="460"/>
      <c r="O73" s="570"/>
      <c r="P73" s="460"/>
      <c r="Q73" s="570"/>
      <c r="R73" s="460"/>
      <c r="S73" s="570"/>
      <c r="T73" s="460"/>
    </row>
    <row r="74" spans="1:20">
      <c r="A74" s="461"/>
      <c r="B74" s="462"/>
      <c r="C74" s="463"/>
      <c r="D74" s="464"/>
      <c r="E74" s="459"/>
      <c r="F74" s="465"/>
      <c r="G74" s="466"/>
      <c r="H74" s="460"/>
      <c r="I74" s="466"/>
      <c r="J74" s="460"/>
      <c r="K74" s="466"/>
      <c r="L74" s="460"/>
      <c r="M74" s="570"/>
      <c r="N74" s="460"/>
      <c r="O74" s="570"/>
      <c r="P74" s="460"/>
      <c r="Q74" s="570"/>
      <c r="R74" s="460"/>
      <c r="S74" s="570"/>
      <c r="T74" s="460"/>
    </row>
    <row r="75" spans="1:20">
      <c r="A75" s="461"/>
      <c r="B75" s="462"/>
      <c r="C75" s="463"/>
      <c r="D75" s="464"/>
      <c r="E75" s="459"/>
      <c r="F75" s="465"/>
      <c r="G75" s="466"/>
      <c r="H75" s="460"/>
      <c r="I75" s="466"/>
      <c r="J75" s="460"/>
      <c r="K75" s="466"/>
      <c r="L75" s="460"/>
      <c r="M75" s="570"/>
      <c r="N75" s="460"/>
      <c r="O75" s="570"/>
      <c r="P75" s="460"/>
      <c r="Q75" s="570"/>
      <c r="R75" s="460"/>
      <c r="S75" s="570"/>
      <c r="T75" s="460"/>
    </row>
    <row r="76" spans="1:20">
      <c r="A76" s="461"/>
      <c r="B76" s="462"/>
      <c r="C76" s="463"/>
      <c r="D76" s="464"/>
      <c r="E76" s="459"/>
      <c r="F76" s="465"/>
      <c r="G76" s="466"/>
      <c r="H76" s="460"/>
      <c r="I76" s="466"/>
      <c r="J76" s="460"/>
      <c r="K76" s="466"/>
      <c r="L76" s="460"/>
      <c r="M76" s="570"/>
      <c r="N76" s="460"/>
      <c r="O76" s="570"/>
      <c r="P76" s="460"/>
      <c r="Q76" s="570"/>
      <c r="R76" s="460"/>
      <c r="S76" s="570"/>
      <c r="T76" s="460"/>
    </row>
    <row r="77" spans="1:20">
      <c r="A77" s="461"/>
      <c r="B77" s="462"/>
      <c r="C77" s="463"/>
      <c r="D77" s="464"/>
      <c r="E77" s="459"/>
      <c r="F77" s="465"/>
      <c r="G77" s="466"/>
      <c r="H77" s="460"/>
      <c r="I77" s="466"/>
      <c r="J77" s="460"/>
      <c r="K77" s="466"/>
      <c r="L77" s="460"/>
      <c r="M77" s="570"/>
      <c r="N77" s="460"/>
      <c r="O77" s="570"/>
      <c r="P77" s="460"/>
      <c r="Q77" s="570"/>
      <c r="R77" s="460"/>
      <c r="S77" s="570"/>
      <c r="T77" s="460"/>
    </row>
    <row r="78" spans="1:20">
      <c r="A78" s="461"/>
      <c r="B78" s="462"/>
      <c r="C78" s="463"/>
      <c r="D78" s="464"/>
      <c r="E78" s="459"/>
      <c r="F78" s="465"/>
      <c r="G78" s="466"/>
      <c r="H78" s="460"/>
      <c r="I78" s="466"/>
      <c r="J78" s="460"/>
      <c r="K78" s="466"/>
      <c r="L78" s="460"/>
      <c r="M78" s="570"/>
      <c r="N78" s="460"/>
      <c r="O78" s="570"/>
      <c r="P78" s="460"/>
      <c r="Q78" s="570"/>
      <c r="R78" s="460"/>
      <c r="S78" s="570"/>
      <c r="T78" s="460"/>
    </row>
    <row r="79" spans="1:20">
      <c r="A79" s="461"/>
      <c r="B79" s="462"/>
      <c r="C79" s="463"/>
      <c r="D79" s="464"/>
      <c r="E79" s="459"/>
      <c r="F79" s="465"/>
      <c r="G79" s="466"/>
      <c r="H79" s="460"/>
      <c r="I79" s="466"/>
      <c r="J79" s="460"/>
      <c r="K79" s="466"/>
      <c r="L79" s="460"/>
      <c r="M79" s="570"/>
      <c r="N79" s="460"/>
      <c r="O79" s="570"/>
      <c r="P79" s="460"/>
      <c r="Q79" s="570"/>
      <c r="R79" s="460"/>
      <c r="S79" s="570"/>
      <c r="T79" s="460"/>
    </row>
    <row r="80" spans="1:20">
      <c r="A80" s="461"/>
      <c r="B80" s="462"/>
      <c r="C80" s="463"/>
      <c r="D80" s="464"/>
      <c r="E80" s="459"/>
      <c r="F80" s="465"/>
      <c r="G80" s="466"/>
      <c r="H80" s="460"/>
      <c r="I80" s="466"/>
      <c r="J80" s="460"/>
      <c r="K80" s="466"/>
      <c r="L80" s="460"/>
      <c r="M80" s="570"/>
      <c r="N80" s="460"/>
      <c r="O80" s="570"/>
      <c r="P80" s="460"/>
      <c r="Q80" s="570"/>
      <c r="R80" s="460"/>
      <c r="S80" s="570"/>
      <c r="T80" s="460"/>
    </row>
    <row r="81" spans="1:20">
      <c r="A81" s="461"/>
      <c r="B81" s="462"/>
      <c r="C81" s="463"/>
      <c r="D81" s="464"/>
      <c r="E81" s="459"/>
      <c r="F81" s="465"/>
      <c r="G81" s="466"/>
      <c r="H81" s="460"/>
      <c r="I81" s="466"/>
      <c r="J81" s="460"/>
      <c r="K81" s="466"/>
      <c r="L81" s="460"/>
      <c r="M81" s="570"/>
      <c r="N81" s="460"/>
      <c r="O81" s="570"/>
      <c r="P81" s="460"/>
      <c r="Q81" s="570"/>
      <c r="R81" s="460"/>
      <c r="S81" s="570"/>
      <c r="T81" s="460"/>
    </row>
    <row r="82" spans="1:20">
      <c r="A82" s="461"/>
      <c r="B82" s="462"/>
      <c r="C82" s="463"/>
      <c r="D82" s="464"/>
      <c r="E82" s="459"/>
      <c r="F82" s="465"/>
      <c r="G82" s="466"/>
      <c r="H82" s="460"/>
      <c r="I82" s="466"/>
      <c r="J82" s="460"/>
      <c r="K82" s="466"/>
      <c r="L82" s="460"/>
      <c r="M82" s="570"/>
      <c r="N82" s="460"/>
      <c r="O82" s="570"/>
      <c r="P82" s="460"/>
      <c r="Q82" s="570"/>
      <c r="R82" s="460"/>
      <c r="S82" s="570"/>
      <c r="T82" s="460"/>
    </row>
    <row r="83" spans="1:20">
      <c r="A83" s="461"/>
      <c r="B83" s="462"/>
      <c r="C83" s="463"/>
      <c r="D83" s="464"/>
      <c r="E83" s="459"/>
      <c r="F83" s="465"/>
      <c r="G83" s="466"/>
      <c r="H83" s="460"/>
      <c r="I83" s="466"/>
      <c r="J83" s="460"/>
      <c r="K83" s="466"/>
      <c r="L83" s="460"/>
      <c r="M83" s="570"/>
      <c r="N83" s="460"/>
      <c r="O83" s="570"/>
      <c r="P83" s="460"/>
      <c r="Q83" s="570"/>
      <c r="R83" s="460"/>
      <c r="S83" s="570"/>
      <c r="T83" s="460"/>
    </row>
    <row r="84" spans="1:20">
      <c r="A84" s="461"/>
      <c r="B84" s="462"/>
      <c r="C84" s="463"/>
      <c r="D84" s="464"/>
      <c r="E84" s="459"/>
      <c r="F84" s="465"/>
      <c r="G84" s="466"/>
      <c r="H84" s="460"/>
      <c r="I84" s="466"/>
      <c r="J84" s="460"/>
      <c r="K84" s="466"/>
      <c r="L84" s="460"/>
      <c r="M84" s="570"/>
      <c r="N84" s="460"/>
      <c r="O84" s="570"/>
      <c r="P84" s="460"/>
      <c r="Q84" s="570"/>
      <c r="R84" s="460"/>
      <c r="S84" s="570"/>
      <c r="T84" s="460"/>
    </row>
    <row r="85" spans="1:20">
      <c r="A85" s="461"/>
      <c r="B85" s="462"/>
      <c r="C85" s="463"/>
      <c r="D85" s="464"/>
      <c r="E85" s="459"/>
      <c r="F85" s="465"/>
      <c r="G85" s="466"/>
      <c r="H85" s="460"/>
      <c r="I85" s="466"/>
      <c r="J85" s="460"/>
      <c r="K85" s="466"/>
      <c r="L85" s="460"/>
      <c r="M85" s="570"/>
      <c r="N85" s="460"/>
      <c r="O85" s="570"/>
      <c r="P85" s="460"/>
      <c r="Q85" s="570"/>
      <c r="R85" s="460"/>
      <c r="S85" s="570"/>
      <c r="T85" s="460"/>
    </row>
    <row r="86" spans="1:20">
      <c r="A86" s="461"/>
      <c r="B86" s="462"/>
      <c r="C86" s="463"/>
      <c r="D86" s="464"/>
      <c r="E86" s="459"/>
      <c r="F86" s="465"/>
      <c r="G86" s="466"/>
      <c r="H86" s="460"/>
      <c r="I86" s="466"/>
      <c r="J86" s="460"/>
      <c r="K86" s="466"/>
      <c r="L86" s="460"/>
      <c r="M86" s="570"/>
      <c r="N86" s="460"/>
      <c r="O86" s="570"/>
      <c r="P86" s="460"/>
      <c r="Q86" s="570"/>
      <c r="R86" s="460"/>
      <c r="S86" s="570"/>
      <c r="T86" s="460"/>
    </row>
    <row r="87" spans="1:20">
      <c r="A87" s="461"/>
      <c r="B87" s="462"/>
      <c r="C87" s="463"/>
      <c r="D87" s="464"/>
      <c r="E87" s="459"/>
      <c r="F87" s="465"/>
      <c r="G87" s="466"/>
      <c r="H87" s="460"/>
      <c r="I87" s="466"/>
      <c r="J87" s="460"/>
      <c r="K87" s="466"/>
      <c r="L87" s="460"/>
      <c r="M87" s="570"/>
      <c r="N87" s="460"/>
      <c r="O87" s="570"/>
      <c r="P87" s="460"/>
      <c r="Q87" s="570"/>
      <c r="R87" s="460"/>
      <c r="S87" s="570"/>
      <c r="T87" s="460"/>
    </row>
    <row r="88" spans="1:20">
      <c r="A88" s="461"/>
      <c r="B88" s="462"/>
      <c r="C88" s="463"/>
      <c r="D88" s="464"/>
      <c r="E88" s="459"/>
      <c r="F88" s="465"/>
      <c r="G88" s="466"/>
      <c r="H88" s="460"/>
      <c r="I88" s="466"/>
      <c r="J88" s="460"/>
      <c r="K88" s="466"/>
      <c r="L88" s="460"/>
      <c r="M88" s="570"/>
      <c r="N88" s="460"/>
      <c r="O88" s="570"/>
      <c r="P88" s="460"/>
      <c r="Q88" s="570"/>
      <c r="R88" s="460"/>
      <c r="S88" s="570"/>
      <c r="T88" s="460"/>
    </row>
    <row r="89" spans="1:20">
      <c r="A89" s="461"/>
      <c r="B89" s="462"/>
      <c r="C89" s="463"/>
      <c r="D89" s="464"/>
      <c r="E89" s="459"/>
      <c r="F89" s="465"/>
      <c r="G89" s="466"/>
      <c r="H89" s="460"/>
      <c r="I89" s="466"/>
      <c r="J89" s="460"/>
      <c r="K89" s="466"/>
      <c r="L89" s="460"/>
      <c r="M89" s="570"/>
      <c r="N89" s="460"/>
      <c r="O89" s="570"/>
      <c r="P89" s="460"/>
      <c r="Q89" s="570"/>
      <c r="R89" s="460"/>
      <c r="S89" s="570"/>
      <c r="T89" s="460"/>
    </row>
    <row r="90" spans="1:20">
      <c r="A90" s="461"/>
      <c r="B90" s="462"/>
      <c r="C90" s="463"/>
      <c r="D90" s="464"/>
      <c r="E90" s="459"/>
      <c r="F90" s="465"/>
      <c r="G90" s="466"/>
      <c r="H90" s="460"/>
      <c r="I90" s="466"/>
      <c r="J90" s="460"/>
      <c r="K90" s="466"/>
      <c r="L90" s="460"/>
      <c r="M90" s="570"/>
      <c r="N90" s="460"/>
      <c r="O90" s="570"/>
      <c r="P90" s="460"/>
      <c r="Q90" s="570"/>
      <c r="R90" s="460"/>
      <c r="S90" s="570"/>
      <c r="T90" s="460"/>
    </row>
    <row r="91" spans="1:20">
      <c r="A91" s="461"/>
      <c r="B91" s="462"/>
      <c r="C91" s="463"/>
      <c r="D91" s="464"/>
      <c r="E91" s="459"/>
      <c r="F91" s="465"/>
      <c r="G91" s="466"/>
      <c r="H91" s="460"/>
      <c r="I91" s="466"/>
      <c r="J91" s="460"/>
      <c r="K91" s="466"/>
      <c r="L91" s="460"/>
      <c r="M91" s="570"/>
      <c r="N91" s="460"/>
      <c r="O91" s="570"/>
      <c r="P91" s="460"/>
      <c r="Q91" s="570"/>
      <c r="R91" s="460"/>
      <c r="S91" s="570"/>
      <c r="T91" s="460"/>
    </row>
    <row r="92" spans="1:20">
      <c r="A92" s="461"/>
      <c r="B92" s="462"/>
      <c r="C92" s="463"/>
      <c r="D92" s="464"/>
      <c r="E92" s="459"/>
      <c r="F92" s="465"/>
      <c r="G92" s="466"/>
      <c r="H92" s="460"/>
      <c r="I92" s="466"/>
      <c r="J92" s="460"/>
      <c r="K92" s="466"/>
      <c r="L92" s="460"/>
      <c r="M92" s="570"/>
      <c r="N92" s="460"/>
      <c r="O92" s="570"/>
      <c r="P92" s="460"/>
      <c r="Q92" s="570"/>
      <c r="R92" s="460"/>
      <c r="S92" s="570"/>
      <c r="T92" s="460"/>
    </row>
    <row r="93" spans="1:20">
      <c r="A93" s="461"/>
      <c r="B93" s="462"/>
      <c r="C93" s="463"/>
      <c r="D93" s="464"/>
      <c r="E93" s="459"/>
      <c r="F93" s="465"/>
      <c r="G93" s="466"/>
      <c r="H93" s="460"/>
      <c r="I93" s="466"/>
      <c r="J93" s="460"/>
      <c r="K93" s="466"/>
      <c r="L93" s="460"/>
      <c r="M93" s="570"/>
      <c r="N93" s="460"/>
      <c r="O93" s="570"/>
      <c r="P93" s="460"/>
      <c r="Q93" s="570"/>
      <c r="R93" s="460"/>
      <c r="S93" s="570"/>
      <c r="T93" s="460"/>
    </row>
    <row r="94" spans="1:20">
      <c r="A94" s="461"/>
      <c r="B94" s="462"/>
      <c r="C94" s="463"/>
      <c r="D94" s="464"/>
      <c r="E94" s="459"/>
      <c r="F94" s="465"/>
      <c r="G94" s="466"/>
      <c r="H94" s="460"/>
      <c r="I94" s="466"/>
      <c r="J94" s="460"/>
      <c r="K94" s="466"/>
      <c r="L94" s="460"/>
      <c r="M94" s="570"/>
      <c r="N94" s="460"/>
      <c r="O94" s="570"/>
      <c r="P94" s="460"/>
      <c r="Q94" s="570"/>
      <c r="R94" s="460"/>
      <c r="S94" s="570"/>
      <c r="T94" s="460"/>
    </row>
    <row r="95" spans="1:20">
      <c r="A95" s="461"/>
      <c r="B95" s="462"/>
      <c r="C95" s="463"/>
      <c r="D95" s="464"/>
      <c r="E95" s="459"/>
      <c r="F95" s="465"/>
      <c r="G95" s="466"/>
      <c r="H95" s="460"/>
      <c r="I95" s="466"/>
      <c r="J95" s="460"/>
      <c r="K95" s="466"/>
      <c r="L95" s="460"/>
      <c r="M95" s="570"/>
      <c r="N95" s="460"/>
      <c r="O95" s="570"/>
      <c r="P95" s="460"/>
      <c r="Q95" s="570"/>
      <c r="R95" s="460"/>
      <c r="S95" s="570"/>
      <c r="T95" s="460"/>
    </row>
    <row r="96" spans="1:20">
      <c r="A96" s="461"/>
      <c r="B96" s="462"/>
      <c r="C96" s="463"/>
      <c r="D96" s="464"/>
      <c r="E96" s="459"/>
      <c r="F96" s="465"/>
      <c r="G96" s="466"/>
      <c r="H96" s="460"/>
      <c r="I96" s="466"/>
      <c r="J96" s="460"/>
      <c r="K96" s="466"/>
      <c r="L96" s="460"/>
      <c r="M96" s="570"/>
      <c r="N96" s="460"/>
      <c r="O96" s="570"/>
      <c r="P96" s="460"/>
      <c r="Q96" s="570"/>
      <c r="R96" s="460"/>
      <c r="S96" s="570"/>
      <c r="T96" s="460"/>
    </row>
    <row r="97" spans="1:20">
      <c r="A97" s="461"/>
      <c r="B97" s="462"/>
      <c r="C97" s="463"/>
      <c r="D97" s="464"/>
      <c r="E97" s="459"/>
      <c r="F97" s="465"/>
      <c r="G97" s="466"/>
      <c r="H97" s="460"/>
      <c r="I97" s="466"/>
      <c r="J97" s="460"/>
      <c r="K97" s="466"/>
      <c r="L97" s="460"/>
      <c r="M97" s="570"/>
      <c r="N97" s="460"/>
      <c r="O97" s="570"/>
      <c r="P97" s="460"/>
      <c r="Q97" s="570"/>
      <c r="R97" s="460"/>
      <c r="S97" s="570"/>
      <c r="T97" s="460"/>
    </row>
    <row r="98" spans="1:20">
      <c r="A98" s="461"/>
      <c r="B98" s="462"/>
      <c r="C98" s="463"/>
      <c r="D98" s="464"/>
      <c r="E98" s="459"/>
      <c r="F98" s="465"/>
      <c r="G98" s="466"/>
      <c r="H98" s="460"/>
      <c r="I98" s="466"/>
      <c r="J98" s="460"/>
      <c r="K98" s="466"/>
      <c r="L98" s="460"/>
      <c r="M98" s="570"/>
      <c r="N98" s="460"/>
      <c r="O98" s="570"/>
      <c r="P98" s="460"/>
      <c r="Q98" s="570"/>
      <c r="R98" s="460"/>
      <c r="S98" s="570"/>
      <c r="T98" s="460"/>
    </row>
    <row r="99" spans="1:20">
      <c r="A99" s="461"/>
      <c r="B99" s="462"/>
      <c r="C99" s="463"/>
      <c r="D99" s="464"/>
      <c r="E99" s="459"/>
      <c r="F99" s="465"/>
      <c r="G99" s="466"/>
      <c r="H99" s="460"/>
      <c r="I99" s="466"/>
      <c r="J99" s="460"/>
      <c r="K99" s="466"/>
      <c r="L99" s="460"/>
      <c r="M99" s="570"/>
      <c r="N99" s="460"/>
      <c r="O99" s="570"/>
      <c r="P99" s="460"/>
      <c r="Q99" s="570"/>
      <c r="R99" s="460"/>
      <c r="S99" s="570"/>
      <c r="T99" s="460"/>
    </row>
    <row r="100" spans="1:20">
      <c r="A100" s="461"/>
      <c r="B100" s="462"/>
      <c r="C100" s="463"/>
      <c r="D100" s="464"/>
      <c r="E100" s="459"/>
      <c r="F100" s="465"/>
      <c r="G100" s="466"/>
      <c r="H100" s="460"/>
      <c r="I100" s="466"/>
      <c r="J100" s="460"/>
      <c r="K100" s="466"/>
      <c r="L100" s="460"/>
      <c r="M100" s="570"/>
      <c r="N100" s="460"/>
      <c r="O100" s="570"/>
      <c r="P100" s="460"/>
      <c r="Q100" s="570"/>
      <c r="R100" s="460"/>
      <c r="S100" s="570"/>
      <c r="T100" s="460"/>
    </row>
    <row r="101" spans="1:20">
      <c r="A101" s="461"/>
      <c r="B101" s="462"/>
      <c r="C101" s="463"/>
      <c r="D101" s="464"/>
      <c r="E101" s="459"/>
      <c r="F101" s="465"/>
      <c r="G101" s="466"/>
      <c r="H101" s="460"/>
      <c r="I101" s="466"/>
      <c r="J101" s="460"/>
      <c r="K101" s="466"/>
      <c r="L101" s="460"/>
      <c r="M101" s="570"/>
      <c r="N101" s="460"/>
      <c r="O101" s="570"/>
      <c r="P101" s="460"/>
      <c r="Q101" s="570"/>
      <c r="R101" s="460"/>
      <c r="S101" s="570"/>
      <c r="T101" s="460"/>
    </row>
    <row r="102" spans="1:20">
      <c r="A102" s="461"/>
      <c r="B102" s="462"/>
      <c r="C102" s="463"/>
      <c r="D102" s="464"/>
      <c r="E102" s="459"/>
      <c r="F102" s="465"/>
      <c r="G102" s="466"/>
      <c r="H102" s="460"/>
      <c r="I102" s="466"/>
      <c r="J102" s="460"/>
      <c r="K102" s="466"/>
      <c r="L102" s="460"/>
      <c r="M102" s="570"/>
      <c r="N102" s="460"/>
      <c r="O102" s="570"/>
      <c r="P102" s="460"/>
      <c r="Q102" s="570"/>
      <c r="R102" s="460"/>
      <c r="S102" s="570"/>
      <c r="T102" s="460"/>
    </row>
    <row r="103" spans="1:20">
      <c r="A103" s="461"/>
      <c r="B103" s="462"/>
      <c r="C103" s="463"/>
      <c r="D103" s="464"/>
      <c r="E103" s="459"/>
      <c r="F103" s="465"/>
      <c r="G103" s="466"/>
      <c r="H103" s="460"/>
      <c r="I103" s="466"/>
      <c r="J103" s="460"/>
      <c r="K103" s="466"/>
      <c r="L103" s="460"/>
      <c r="M103" s="570"/>
      <c r="N103" s="460"/>
      <c r="O103" s="570"/>
      <c r="P103" s="460"/>
      <c r="Q103" s="570"/>
      <c r="R103" s="460"/>
      <c r="S103" s="570"/>
      <c r="T103" s="460"/>
    </row>
    <row r="104" spans="1:20">
      <c r="A104" s="461"/>
      <c r="B104" s="462"/>
      <c r="C104" s="463"/>
      <c r="D104" s="464"/>
      <c r="E104" s="459"/>
      <c r="F104" s="465"/>
      <c r="G104" s="466"/>
      <c r="H104" s="460"/>
      <c r="I104" s="466"/>
      <c r="J104" s="460"/>
      <c r="K104" s="466"/>
      <c r="L104" s="460"/>
      <c r="M104" s="570"/>
      <c r="N104" s="460"/>
      <c r="O104" s="570"/>
      <c r="P104" s="460"/>
      <c r="Q104" s="570"/>
      <c r="R104" s="460"/>
      <c r="S104" s="570"/>
      <c r="T104" s="460"/>
    </row>
    <row r="105" spans="1:20">
      <c r="A105" s="461"/>
      <c r="B105" s="462"/>
      <c r="C105" s="463"/>
      <c r="D105" s="464"/>
      <c r="E105" s="459"/>
      <c r="F105" s="465"/>
      <c r="G105" s="466"/>
      <c r="H105" s="460"/>
      <c r="I105" s="466"/>
      <c r="J105" s="460"/>
      <c r="K105" s="466"/>
      <c r="L105" s="460"/>
      <c r="M105" s="570"/>
      <c r="N105" s="460"/>
      <c r="O105" s="570"/>
      <c r="P105" s="460"/>
      <c r="Q105" s="570"/>
      <c r="R105" s="460"/>
      <c r="S105" s="570"/>
      <c r="T105" s="460"/>
    </row>
    <row r="106" spans="1:20">
      <c r="A106" s="461"/>
      <c r="B106" s="462"/>
      <c r="C106" s="463"/>
      <c r="D106" s="464"/>
      <c r="E106" s="459"/>
      <c r="F106" s="465"/>
      <c r="G106" s="466"/>
      <c r="H106" s="460"/>
      <c r="I106" s="466"/>
      <c r="J106" s="460"/>
      <c r="K106" s="466"/>
      <c r="L106" s="460"/>
      <c r="M106" s="570"/>
      <c r="N106" s="460"/>
      <c r="O106" s="570"/>
      <c r="P106" s="460"/>
      <c r="Q106" s="570"/>
      <c r="R106" s="460"/>
      <c r="S106" s="570"/>
      <c r="T106" s="460"/>
    </row>
    <row r="107" spans="1:20">
      <c r="A107" s="461"/>
      <c r="B107" s="462"/>
      <c r="C107" s="463"/>
      <c r="D107" s="464"/>
      <c r="E107" s="459"/>
      <c r="F107" s="465"/>
      <c r="G107" s="466"/>
      <c r="H107" s="460"/>
      <c r="I107" s="466"/>
      <c r="J107" s="460"/>
      <c r="K107" s="466"/>
      <c r="L107" s="460"/>
      <c r="M107" s="570"/>
      <c r="N107" s="460"/>
      <c r="O107" s="570"/>
      <c r="P107" s="460"/>
      <c r="Q107" s="570"/>
      <c r="R107" s="460"/>
      <c r="S107" s="570"/>
      <c r="T107" s="460"/>
    </row>
    <row r="108" spans="1:20">
      <c r="A108" s="461"/>
      <c r="B108" s="462"/>
      <c r="C108" s="463"/>
      <c r="D108" s="464"/>
      <c r="E108" s="459"/>
      <c r="F108" s="465"/>
      <c r="G108" s="466"/>
      <c r="H108" s="460"/>
      <c r="I108" s="466"/>
      <c r="J108" s="460"/>
      <c r="K108" s="466"/>
      <c r="L108" s="460"/>
      <c r="M108" s="570"/>
      <c r="N108" s="460"/>
      <c r="O108" s="570"/>
      <c r="P108" s="460"/>
      <c r="Q108" s="570"/>
      <c r="R108" s="460"/>
      <c r="S108" s="570"/>
      <c r="T108" s="460"/>
    </row>
    <row r="109" spans="1:20">
      <c r="A109" s="461"/>
      <c r="B109" s="462"/>
      <c r="C109" s="463"/>
      <c r="D109" s="464"/>
      <c r="E109" s="459"/>
      <c r="F109" s="465"/>
      <c r="G109" s="466"/>
      <c r="H109" s="460"/>
      <c r="I109" s="466"/>
      <c r="J109" s="460"/>
      <c r="K109" s="466"/>
      <c r="L109" s="460"/>
      <c r="M109" s="570"/>
      <c r="N109" s="460"/>
      <c r="O109" s="570"/>
      <c r="P109" s="460"/>
      <c r="Q109" s="570"/>
      <c r="R109" s="460"/>
      <c r="S109" s="570"/>
      <c r="T109" s="460"/>
    </row>
    <row r="110" spans="1:20">
      <c r="A110" s="461"/>
      <c r="B110" s="462"/>
      <c r="C110" s="463"/>
      <c r="D110" s="464"/>
      <c r="E110" s="459"/>
      <c r="F110" s="465"/>
      <c r="G110" s="466"/>
      <c r="H110" s="460"/>
      <c r="I110" s="466"/>
      <c r="J110" s="460"/>
      <c r="K110" s="466"/>
      <c r="L110" s="460"/>
      <c r="M110" s="570"/>
      <c r="N110" s="460"/>
      <c r="O110" s="570"/>
      <c r="P110" s="460"/>
      <c r="Q110" s="570"/>
      <c r="R110" s="460"/>
      <c r="S110" s="570"/>
      <c r="T110" s="460"/>
    </row>
    <row r="111" spans="1:20">
      <c r="A111" s="461"/>
      <c r="B111" s="462"/>
      <c r="C111" s="463"/>
      <c r="D111" s="464"/>
      <c r="E111" s="459"/>
      <c r="F111" s="465"/>
      <c r="G111" s="466"/>
      <c r="H111" s="460"/>
      <c r="I111" s="466"/>
      <c r="J111" s="460"/>
      <c r="K111" s="466"/>
      <c r="L111" s="460"/>
      <c r="M111" s="570"/>
      <c r="N111" s="460"/>
      <c r="O111" s="570"/>
      <c r="P111" s="460"/>
      <c r="Q111" s="570"/>
      <c r="R111" s="460"/>
      <c r="S111" s="570"/>
      <c r="T111" s="460"/>
    </row>
    <row r="112" spans="1:20">
      <c r="A112" s="461"/>
      <c r="B112" s="462"/>
      <c r="C112" s="463"/>
      <c r="D112" s="464"/>
      <c r="E112" s="459"/>
      <c r="F112" s="465"/>
      <c r="G112" s="466"/>
      <c r="H112" s="460"/>
      <c r="I112" s="466"/>
      <c r="J112" s="460"/>
      <c r="K112" s="466"/>
      <c r="L112" s="460"/>
      <c r="M112" s="570"/>
      <c r="N112" s="460"/>
      <c r="O112" s="570"/>
      <c r="P112" s="460"/>
      <c r="Q112" s="570"/>
      <c r="R112" s="460"/>
      <c r="S112" s="570"/>
      <c r="T112" s="460"/>
    </row>
    <row r="113" spans="1:20">
      <c r="A113" s="461"/>
      <c r="B113" s="462"/>
      <c r="C113" s="463"/>
      <c r="D113" s="464"/>
      <c r="E113" s="459"/>
      <c r="F113" s="465"/>
      <c r="G113" s="466"/>
      <c r="H113" s="460"/>
      <c r="I113" s="466"/>
      <c r="J113" s="460"/>
      <c r="K113" s="466"/>
      <c r="L113" s="460"/>
      <c r="M113" s="570"/>
      <c r="N113" s="460"/>
      <c r="O113" s="570"/>
      <c r="P113" s="460"/>
      <c r="Q113" s="570"/>
      <c r="R113" s="460"/>
      <c r="S113" s="570"/>
      <c r="T113" s="460"/>
    </row>
    <row r="114" spans="1:20">
      <c r="A114" s="461"/>
      <c r="B114" s="462"/>
      <c r="C114" s="463"/>
      <c r="D114" s="464"/>
      <c r="E114" s="459"/>
      <c r="F114" s="465"/>
      <c r="G114" s="466"/>
      <c r="H114" s="460"/>
      <c r="I114" s="466"/>
      <c r="J114" s="460"/>
      <c r="K114" s="466"/>
      <c r="L114" s="460"/>
      <c r="M114" s="570"/>
      <c r="N114" s="460"/>
      <c r="O114" s="570"/>
      <c r="P114" s="460"/>
      <c r="Q114" s="570"/>
      <c r="R114" s="460"/>
      <c r="S114" s="570"/>
      <c r="T114" s="460"/>
    </row>
    <row r="115" spans="1:20">
      <c r="A115" s="461"/>
      <c r="B115" s="462"/>
      <c r="C115" s="463"/>
      <c r="D115" s="464"/>
      <c r="E115" s="459"/>
      <c r="F115" s="465"/>
      <c r="G115" s="466"/>
      <c r="H115" s="460"/>
      <c r="I115" s="466"/>
      <c r="J115" s="460"/>
      <c r="K115" s="466"/>
      <c r="L115" s="460"/>
      <c r="M115" s="570"/>
      <c r="N115" s="460"/>
      <c r="O115" s="570"/>
      <c r="P115" s="460"/>
      <c r="Q115" s="570"/>
      <c r="R115" s="460"/>
      <c r="S115" s="570"/>
      <c r="T115" s="460"/>
    </row>
    <row r="116" spans="1:20">
      <c r="A116" s="461"/>
      <c r="B116" s="462"/>
      <c r="C116" s="463"/>
      <c r="D116" s="464"/>
      <c r="E116" s="459"/>
      <c r="F116" s="465"/>
      <c r="G116" s="466"/>
      <c r="H116" s="460"/>
      <c r="I116" s="466"/>
      <c r="J116" s="460"/>
      <c r="K116" s="466"/>
      <c r="L116" s="460"/>
      <c r="M116" s="570"/>
      <c r="N116" s="460"/>
      <c r="O116" s="570"/>
      <c r="P116" s="460"/>
      <c r="Q116" s="570"/>
      <c r="R116" s="460"/>
      <c r="S116" s="570"/>
      <c r="T116" s="460"/>
    </row>
    <row r="117" spans="1:20">
      <c r="A117" s="461"/>
      <c r="B117" s="462"/>
      <c r="C117" s="463"/>
      <c r="D117" s="464"/>
      <c r="E117" s="459"/>
      <c r="F117" s="465"/>
      <c r="G117" s="466"/>
      <c r="H117" s="460"/>
      <c r="I117" s="466"/>
      <c r="J117" s="460"/>
      <c r="K117" s="466"/>
      <c r="L117" s="460"/>
      <c r="M117" s="570"/>
      <c r="N117" s="460"/>
      <c r="O117" s="570"/>
      <c r="P117" s="460"/>
      <c r="Q117" s="570"/>
      <c r="R117" s="460"/>
      <c r="S117" s="570"/>
      <c r="T117" s="460"/>
    </row>
    <row r="118" spans="1:20">
      <c r="A118" s="461"/>
      <c r="B118" s="462"/>
      <c r="C118" s="463"/>
      <c r="D118" s="464"/>
      <c r="E118" s="459"/>
      <c r="F118" s="465"/>
      <c r="G118" s="466"/>
      <c r="H118" s="460"/>
      <c r="I118" s="466"/>
      <c r="J118" s="460"/>
      <c r="K118" s="466"/>
      <c r="L118" s="460"/>
      <c r="M118" s="570"/>
      <c r="N118" s="460"/>
      <c r="O118" s="570"/>
      <c r="P118" s="460"/>
      <c r="Q118" s="570"/>
      <c r="R118" s="460"/>
      <c r="S118" s="570"/>
      <c r="T118" s="460"/>
    </row>
    <row r="119" spans="1:20">
      <c r="A119" s="461"/>
      <c r="B119" s="462"/>
      <c r="C119" s="463"/>
      <c r="D119" s="464"/>
      <c r="E119" s="459"/>
      <c r="F119" s="465"/>
      <c r="G119" s="466"/>
      <c r="H119" s="460"/>
      <c r="I119" s="466"/>
      <c r="J119" s="460"/>
      <c r="K119" s="466"/>
      <c r="L119" s="460"/>
      <c r="M119" s="570"/>
      <c r="N119" s="460"/>
      <c r="O119" s="570"/>
      <c r="P119" s="460"/>
      <c r="Q119" s="570"/>
      <c r="R119" s="460"/>
      <c r="S119" s="570"/>
      <c r="T119" s="460"/>
    </row>
    <row r="120" spans="1:20">
      <c r="A120" s="461"/>
      <c r="B120" s="462"/>
      <c r="C120" s="463"/>
      <c r="D120" s="464"/>
      <c r="E120" s="459"/>
      <c r="F120" s="465"/>
      <c r="G120" s="466"/>
      <c r="H120" s="460"/>
      <c r="I120" s="466"/>
      <c r="J120" s="460"/>
      <c r="K120" s="466"/>
      <c r="L120" s="460"/>
      <c r="M120" s="570"/>
      <c r="N120" s="460"/>
      <c r="O120" s="570"/>
      <c r="P120" s="460"/>
      <c r="Q120" s="570"/>
      <c r="R120" s="460"/>
      <c r="S120" s="570"/>
      <c r="T120" s="460"/>
    </row>
    <row r="121" spans="1:20">
      <c r="A121" s="461"/>
      <c r="B121" s="462"/>
      <c r="C121" s="463"/>
      <c r="D121" s="464"/>
      <c r="E121" s="459"/>
      <c r="F121" s="465"/>
      <c r="G121" s="466"/>
      <c r="H121" s="460"/>
      <c r="I121" s="466"/>
      <c r="J121" s="460"/>
      <c r="K121" s="466"/>
      <c r="L121" s="460"/>
      <c r="M121" s="570"/>
      <c r="N121" s="460"/>
      <c r="O121" s="570"/>
      <c r="P121" s="460"/>
      <c r="Q121" s="570"/>
      <c r="R121" s="460"/>
      <c r="S121" s="570"/>
      <c r="T121" s="460"/>
    </row>
    <row r="122" spans="1:20">
      <c r="A122" s="461"/>
      <c r="B122" s="462"/>
      <c r="C122" s="463"/>
      <c r="D122" s="464"/>
      <c r="E122" s="459"/>
      <c r="F122" s="465"/>
      <c r="G122" s="466"/>
      <c r="H122" s="460"/>
      <c r="I122" s="466"/>
      <c r="J122" s="460"/>
      <c r="K122" s="466"/>
      <c r="L122" s="460"/>
      <c r="M122" s="570"/>
      <c r="N122" s="460"/>
      <c r="O122" s="570"/>
      <c r="P122" s="460"/>
      <c r="Q122" s="570"/>
      <c r="R122" s="460"/>
      <c r="S122" s="570"/>
      <c r="T122" s="460"/>
    </row>
    <row r="123" spans="1:20">
      <c r="A123" s="461"/>
      <c r="B123" s="462"/>
      <c r="C123" s="463"/>
      <c r="D123" s="464"/>
      <c r="E123" s="459"/>
      <c r="F123" s="465"/>
      <c r="G123" s="466"/>
      <c r="H123" s="460"/>
      <c r="I123" s="466"/>
      <c r="J123" s="460"/>
      <c r="K123" s="466"/>
      <c r="L123" s="460"/>
      <c r="M123" s="570"/>
      <c r="N123" s="460"/>
      <c r="O123" s="570"/>
      <c r="P123" s="460"/>
      <c r="Q123" s="570"/>
      <c r="R123" s="460"/>
      <c r="S123" s="570"/>
      <c r="T123" s="460"/>
    </row>
    <row r="124" spans="1:20">
      <c r="A124" s="461"/>
      <c r="B124" s="462"/>
      <c r="C124" s="463"/>
      <c r="D124" s="464"/>
      <c r="E124" s="459"/>
      <c r="F124" s="465"/>
      <c r="G124" s="466"/>
      <c r="H124" s="460"/>
      <c r="I124" s="466"/>
      <c r="J124" s="460"/>
      <c r="K124" s="466"/>
      <c r="L124" s="460"/>
      <c r="M124" s="570"/>
      <c r="N124" s="460"/>
      <c r="O124" s="570"/>
      <c r="P124" s="460"/>
      <c r="Q124" s="570"/>
      <c r="R124" s="460"/>
      <c r="S124" s="570"/>
      <c r="T124" s="460"/>
    </row>
    <row r="125" spans="1:20">
      <c r="A125" s="461"/>
      <c r="B125" s="462"/>
      <c r="C125" s="463"/>
      <c r="D125" s="464"/>
      <c r="E125" s="459"/>
      <c r="F125" s="465"/>
      <c r="G125" s="466"/>
      <c r="H125" s="460"/>
      <c r="I125" s="466"/>
      <c r="J125" s="460"/>
      <c r="K125" s="466"/>
      <c r="L125" s="460"/>
      <c r="M125" s="570"/>
      <c r="N125" s="460"/>
      <c r="O125" s="570"/>
      <c r="P125" s="460"/>
      <c r="Q125" s="570"/>
      <c r="R125" s="460"/>
      <c r="S125" s="570"/>
      <c r="T125" s="460"/>
    </row>
    <row r="126" spans="1:20">
      <c r="A126" s="461"/>
      <c r="B126" s="462"/>
      <c r="C126" s="463"/>
      <c r="D126" s="464"/>
      <c r="E126" s="459"/>
      <c r="F126" s="465"/>
      <c r="G126" s="466"/>
      <c r="H126" s="460"/>
      <c r="I126" s="466"/>
      <c r="J126" s="460"/>
      <c r="K126" s="466"/>
      <c r="L126" s="460"/>
      <c r="M126" s="570"/>
      <c r="N126" s="460"/>
      <c r="O126" s="570"/>
      <c r="P126" s="460"/>
      <c r="Q126" s="570"/>
      <c r="R126" s="460"/>
      <c r="S126" s="570"/>
      <c r="T126" s="460"/>
    </row>
    <row r="127" spans="1:20">
      <c r="A127" s="461"/>
      <c r="B127" s="462"/>
      <c r="C127" s="463"/>
      <c r="D127" s="464"/>
      <c r="E127" s="459"/>
      <c r="F127" s="465"/>
      <c r="G127" s="466"/>
      <c r="H127" s="460"/>
      <c r="I127" s="466"/>
      <c r="J127" s="460"/>
      <c r="K127" s="466"/>
      <c r="L127" s="460"/>
      <c r="M127" s="570"/>
      <c r="N127" s="460"/>
      <c r="O127" s="570"/>
      <c r="P127" s="460"/>
      <c r="Q127" s="570"/>
      <c r="R127" s="460"/>
      <c r="S127" s="570"/>
      <c r="T127" s="460"/>
    </row>
    <row r="128" spans="1:20">
      <c r="A128" s="461"/>
      <c r="B128" s="462"/>
      <c r="C128" s="463"/>
      <c r="D128" s="464"/>
      <c r="E128" s="459"/>
      <c r="F128" s="465"/>
      <c r="G128" s="466"/>
      <c r="H128" s="460"/>
      <c r="I128" s="466"/>
      <c r="J128" s="460"/>
      <c r="K128" s="466"/>
      <c r="L128" s="460"/>
      <c r="M128" s="570"/>
      <c r="N128" s="460"/>
      <c r="O128" s="570"/>
      <c r="P128" s="460"/>
      <c r="Q128" s="570"/>
      <c r="R128" s="460"/>
      <c r="S128" s="570"/>
      <c r="T128" s="460"/>
    </row>
    <row r="129" spans="1:20">
      <c r="A129" s="461"/>
      <c r="B129" s="462"/>
      <c r="C129" s="463"/>
      <c r="D129" s="464"/>
      <c r="E129" s="459"/>
      <c r="F129" s="465"/>
      <c r="G129" s="466"/>
      <c r="H129" s="460"/>
      <c r="I129" s="466"/>
      <c r="J129" s="460"/>
      <c r="K129" s="466"/>
      <c r="L129" s="460"/>
      <c r="M129" s="570"/>
      <c r="N129" s="460"/>
      <c r="O129" s="570"/>
      <c r="P129" s="460"/>
      <c r="Q129" s="570"/>
      <c r="R129" s="460"/>
      <c r="S129" s="570"/>
      <c r="T129" s="460"/>
    </row>
    <row r="130" spans="1:20">
      <c r="A130" s="461"/>
      <c r="B130" s="462"/>
      <c r="C130" s="463"/>
      <c r="D130" s="464"/>
      <c r="E130" s="459"/>
      <c r="F130" s="465"/>
      <c r="G130" s="466"/>
      <c r="H130" s="460"/>
      <c r="I130" s="466"/>
      <c r="J130" s="460"/>
      <c r="K130" s="466"/>
      <c r="L130" s="460"/>
      <c r="M130" s="570"/>
      <c r="N130" s="460"/>
      <c r="O130" s="570"/>
      <c r="P130" s="460"/>
      <c r="Q130" s="570"/>
      <c r="R130" s="460"/>
      <c r="S130" s="570"/>
      <c r="T130" s="460"/>
    </row>
    <row r="131" spans="1:20">
      <c r="A131" s="461"/>
      <c r="B131" s="462"/>
      <c r="C131" s="463"/>
      <c r="D131" s="464"/>
      <c r="E131" s="459"/>
      <c r="F131" s="465"/>
      <c r="G131" s="466"/>
      <c r="H131" s="460"/>
      <c r="I131" s="466"/>
      <c r="J131" s="460"/>
      <c r="K131" s="466"/>
      <c r="L131" s="460"/>
      <c r="M131" s="570"/>
      <c r="N131" s="460"/>
      <c r="O131" s="570"/>
      <c r="P131" s="460"/>
      <c r="Q131" s="570"/>
      <c r="R131" s="460"/>
      <c r="S131" s="570"/>
      <c r="T131" s="460"/>
    </row>
    <row r="132" spans="1:20">
      <c r="A132" s="461"/>
      <c r="B132" s="462"/>
      <c r="C132" s="463"/>
      <c r="D132" s="464"/>
      <c r="E132" s="459"/>
      <c r="F132" s="465"/>
      <c r="G132" s="466"/>
      <c r="H132" s="460"/>
      <c r="I132" s="466"/>
      <c r="J132" s="460"/>
      <c r="K132" s="466"/>
      <c r="L132" s="460"/>
      <c r="M132" s="570"/>
      <c r="N132" s="460"/>
      <c r="O132" s="570"/>
      <c r="P132" s="460"/>
      <c r="Q132" s="570"/>
      <c r="R132" s="460"/>
      <c r="S132" s="570"/>
      <c r="T132" s="460"/>
    </row>
    <row r="133" spans="1:20">
      <c r="A133" s="461"/>
      <c r="B133" s="462"/>
      <c r="C133" s="463"/>
      <c r="D133" s="464"/>
      <c r="E133" s="459"/>
      <c r="F133" s="465"/>
      <c r="G133" s="466"/>
      <c r="H133" s="460"/>
      <c r="I133" s="466"/>
      <c r="J133" s="460"/>
      <c r="K133" s="466"/>
      <c r="L133" s="460"/>
      <c r="M133" s="570"/>
      <c r="N133" s="460"/>
      <c r="O133" s="570"/>
      <c r="P133" s="460"/>
      <c r="Q133" s="570"/>
      <c r="R133" s="460"/>
      <c r="S133" s="570"/>
      <c r="T133" s="460"/>
    </row>
    <row r="134" spans="1:20">
      <c r="A134" s="461"/>
      <c r="B134" s="462"/>
      <c r="C134" s="463"/>
      <c r="D134" s="464"/>
      <c r="E134" s="459"/>
      <c r="F134" s="465"/>
      <c r="G134" s="466"/>
      <c r="H134" s="460"/>
      <c r="I134" s="466"/>
      <c r="J134" s="460"/>
      <c r="K134" s="466"/>
      <c r="L134" s="460"/>
      <c r="M134" s="570"/>
      <c r="N134" s="460"/>
      <c r="O134" s="570"/>
      <c r="P134" s="460"/>
      <c r="Q134" s="570"/>
      <c r="R134" s="460"/>
      <c r="S134" s="570"/>
      <c r="T134" s="460"/>
    </row>
    <row r="135" spans="1:20">
      <c r="A135" s="461"/>
      <c r="B135" s="462"/>
      <c r="C135" s="463"/>
      <c r="D135" s="464"/>
      <c r="E135" s="459"/>
      <c r="F135" s="465"/>
      <c r="G135" s="466"/>
      <c r="H135" s="460"/>
      <c r="I135" s="466"/>
      <c r="J135" s="460"/>
      <c r="K135" s="466"/>
      <c r="L135" s="460"/>
      <c r="M135" s="570"/>
      <c r="N135" s="460"/>
      <c r="O135" s="570"/>
      <c r="P135" s="460"/>
      <c r="Q135" s="570"/>
      <c r="R135" s="460"/>
      <c r="S135" s="570"/>
      <c r="T135" s="460"/>
    </row>
    <row r="136" spans="1:20">
      <c r="A136" s="461"/>
      <c r="B136" s="462"/>
      <c r="C136" s="463"/>
      <c r="D136" s="464"/>
      <c r="E136" s="459"/>
      <c r="F136" s="465"/>
      <c r="G136" s="466"/>
      <c r="H136" s="460"/>
      <c r="I136" s="466"/>
      <c r="J136" s="460"/>
      <c r="K136" s="466"/>
      <c r="L136" s="460"/>
      <c r="M136" s="570"/>
      <c r="N136" s="460"/>
      <c r="O136" s="570"/>
      <c r="P136" s="460"/>
      <c r="Q136" s="570"/>
      <c r="R136" s="460"/>
      <c r="S136" s="570"/>
      <c r="T136" s="460"/>
    </row>
    <row r="137" spans="1:20">
      <c r="A137" s="461"/>
      <c r="B137" s="462"/>
      <c r="C137" s="463"/>
      <c r="D137" s="464"/>
      <c r="E137" s="459"/>
      <c r="F137" s="465"/>
      <c r="G137" s="466"/>
      <c r="H137" s="460"/>
      <c r="I137" s="466"/>
      <c r="J137" s="460"/>
      <c r="K137" s="466"/>
      <c r="L137" s="460"/>
      <c r="M137" s="570"/>
      <c r="N137" s="460"/>
      <c r="O137" s="570"/>
      <c r="P137" s="460"/>
      <c r="Q137" s="570"/>
      <c r="R137" s="460"/>
      <c r="S137" s="570"/>
      <c r="T137" s="460"/>
    </row>
    <row r="138" spans="1:20">
      <c r="A138" s="461"/>
      <c r="B138" s="462"/>
      <c r="C138" s="463"/>
      <c r="D138" s="464"/>
      <c r="E138" s="459"/>
      <c r="F138" s="465"/>
      <c r="G138" s="466"/>
      <c r="H138" s="460"/>
      <c r="I138" s="466"/>
      <c r="J138" s="460"/>
      <c r="K138" s="466"/>
      <c r="L138" s="460"/>
      <c r="M138" s="570"/>
      <c r="N138" s="460"/>
      <c r="O138" s="570"/>
      <c r="P138" s="460"/>
      <c r="Q138" s="570"/>
      <c r="R138" s="460"/>
      <c r="S138" s="570"/>
      <c r="T138" s="460"/>
    </row>
    <row r="139" spans="1:20">
      <c r="A139" s="461"/>
      <c r="B139" s="462"/>
      <c r="C139" s="463"/>
      <c r="D139" s="464"/>
      <c r="E139" s="459"/>
      <c r="F139" s="465"/>
      <c r="G139" s="466"/>
      <c r="H139" s="460"/>
      <c r="I139" s="466"/>
      <c r="J139" s="460"/>
      <c r="K139" s="466"/>
      <c r="L139" s="460"/>
      <c r="M139" s="570"/>
      <c r="N139" s="460"/>
      <c r="O139" s="570"/>
      <c r="P139" s="460"/>
      <c r="Q139" s="570"/>
      <c r="R139" s="460"/>
      <c r="S139" s="570"/>
      <c r="T139" s="460"/>
    </row>
    <row r="140" spans="1:20">
      <c r="A140" s="461"/>
      <c r="B140" s="462"/>
      <c r="C140" s="463"/>
      <c r="D140" s="464"/>
      <c r="E140" s="459"/>
      <c r="F140" s="465"/>
      <c r="G140" s="466"/>
      <c r="H140" s="460"/>
      <c r="I140" s="466"/>
      <c r="J140" s="460"/>
      <c r="K140" s="466"/>
      <c r="L140" s="460"/>
      <c r="M140" s="570"/>
      <c r="N140" s="460"/>
      <c r="O140" s="570"/>
      <c r="P140" s="460"/>
      <c r="Q140" s="570"/>
      <c r="R140" s="460"/>
      <c r="S140" s="570"/>
      <c r="T140" s="460"/>
    </row>
    <row r="141" spans="1:20">
      <c r="A141" s="461"/>
      <c r="B141" s="462"/>
      <c r="C141" s="463"/>
      <c r="D141" s="464"/>
      <c r="E141" s="459"/>
      <c r="F141" s="465"/>
      <c r="G141" s="466"/>
      <c r="H141" s="460"/>
      <c r="I141" s="466"/>
      <c r="J141" s="460"/>
      <c r="K141" s="466"/>
      <c r="L141" s="460"/>
      <c r="M141" s="570"/>
      <c r="N141" s="460"/>
      <c r="O141" s="570"/>
      <c r="P141" s="460"/>
      <c r="Q141" s="570"/>
      <c r="R141" s="460"/>
      <c r="S141" s="570"/>
      <c r="T141" s="460"/>
    </row>
    <row r="142" spans="1:20">
      <c r="A142" s="461"/>
      <c r="B142" s="462"/>
      <c r="C142" s="463"/>
      <c r="D142" s="464"/>
      <c r="E142" s="459"/>
      <c r="F142" s="465"/>
      <c r="G142" s="466"/>
      <c r="H142" s="460"/>
      <c r="I142" s="466"/>
      <c r="J142" s="460"/>
      <c r="K142" s="466"/>
      <c r="L142" s="460"/>
      <c r="M142" s="570"/>
      <c r="N142" s="460"/>
      <c r="O142" s="570"/>
      <c r="P142" s="460"/>
      <c r="Q142" s="570"/>
      <c r="R142" s="460"/>
      <c r="S142" s="570"/>
      <c r="T142" s="460"/>
    </row>
    <row r="143" spans="1:20">
      <c r="A143" s="461"/>
      <c r="B143" s="462"/>
      <c r="C143" s="463"/>
      <c r="D143" s="464"/>
      <c r="E143" s="459"/>
      <c r="F143" s="465"/>
      <c r="G143" s="466"/>
      <c r="H143" s="460"/>
      <c r="I143" s="466"/>
      <c r="J143" s="460"/>
      <c r="K143" s="466"/>
      <c r="L143" s="460"/>
      <c r="M143" s="570"/>
      <c r="N143" s="460"/>
      <c r="O143" s="570"/>
      <c r="P143" s="460"/>
      <c r="Q143" s="570"/>
      <c r="R143" s="460"/>
      <c r="S143" s="570"/>
      <c r="T143" s="460"/>
    </row>
    <row r="144" spans="1:20">
      <c r="A144" s="461"/>
      <c r="B144" s="462"/>
      <c r="C144" s="463"/>
      <c r="D144" s="464"/>
      <c r="E144" s="459"/>
      <c r="F144" s="465"/>
      <c r="G144" s="466"/>
      <c r="H144" s="460"/>
      <c r="I144" s="466"/>
      <c r="J144" s="460"/>
      <c r="K144" s="466"/>
      <c r="L144" s="460"/>
      <c r="M144" s="570"/>
      <c r="N144" s="460"/>
      <c r="O144" s="570"/>
      <c r="P144" s="460"/>
      <c r="Q144" s="570"/>
      <c r="R144" s="460"/>
      <c r="S144" s="570"/>
      <c r="T144" s="460"/>
    </row>
    <row r="145" spans="1:20">
      <c r="A145" s="461"/>
      <c r="B145" s="462"/>
      <c r="C145" s="463"/>
      <c r="D145" s="464"/>
      <c r="E145" s="459"/>
      <c r="F145" s="465"/>
      <c r="G145" s="466"/>
      <c r="H145" s="460"/>
      <c r="I145" s="466"/>
      <c r="J145" s="460"/>
      <c r="K145" s="466"/>
      <c r="L145" s="460"/>
      <c r="M145" s="570"/>
      <c r="N145" s="460"/>
      <c r="O145" s="570"/>
      <c r="P145" s="460"/>
      <c r="Q145" s="570"/>
      <c r="R145" s="460"/>
      <c r="S145" s="570"/>
      <c r="T145" s="460"/>
    </row>
    <row r="146" spans="1:20">
      <c r="A146" s="461"/>
      <c r="B146" s="462"/>
      <c r="C146" s="463"/>
      <c r="D146" s="464"/>
      <c r="E146" s="459"/>
      <c r="F146" s="465"/>
      <c r="G146" s="466"/>
      <c r="H146" s="460"/>
      <c r="I146" s="466"/>
      <c r="J146" s="460"/>
      <c r="K146" s="466"/>
      <c r="L146" s="460"/>
      <c r="M146" s="570"/>
      <c r="N146" s="460"/>
      <c r="O146" s="570"/>
      <c r="P146" s="460"/>
      <c r="Q146" s="570"/>
      <c r="R146" s="460"/>
      <c r="S146" s="570"/>
      <c r="T146" s="460"/>
    </row>
    <row r="147" spans="1:20">
      <c r="A147" s="461"/>
      <c r="B147" s="462"/>
      <c r="C147" s="463"/>
      <c r="D147" s="464"/>
      <c r="E147" s="459"/>
      <c r="F147" s="465"/>
      <c r="G147" s="466"/>
      <c r="H147" s="460"/>
      <c r="I147" s="466"/>
      <c r="J147" s="460"/>
      <c r="K147" s="466"/>
      <c r="L147" s="460"/>
      <c r="M147" s="570"/>
      <c r="N147" s="460"/>
      <c r="O147" s="570"/>
      <c r="P147" s="460"/>
      <c r="Q147" s="570"/>
      <c r="R147" s="460"/>
      <c r="S147" s="570"/>
      <c r="T147" s="460"/>
    </row>
    <row r="148" spans="1:20">
      <c r="A148" s="461"/>
      <c r="B148" s="462"/>
      <c r="C148" s="463"/>
      <c r="D148" s="464"/>
      <c r="E148" s="459"/>
      <c r="F148" s="465"/>
      <c r="G148" s="466"/>
      <c r="H148" s="460"/>
      <c r="I148" s="466"/>
      <c r="J148" s="460"/>
      <c r="K148" s="466"/>
      <c r="L148" s="460"/>
      <c r="M148" s="570"/>
      <c r="N148" s="460"/>
      <c r="O148" s="570"/>
      <c r="P148" s="460"/>
      <c r="Q148" s="570"/>
      <c r="R148" s="460"/>
      <c r="S148" s="570"/>
      <c r="T148" s="460"/>
    </row>
    <row r="149" spans="1:20">
      <c r="A149" s="461"/>
      <c r="B149" s="462"/>
      <c r="C149" s="463"/>
      <c r="D149" s="464"/>
      <c r="E149" s="459"/>
      <c r="F149" s="465"/>
      <c r="G149" s="466"/>
      <c r="H149" s="460"/>
      <c r="I149" s="466"/>
      <c r="J149" s="460"/>
      <c r="K149" s="466"/>
      <c r="L149" s="460"/>
      <c r="M149" s="570"/>
      <c r="N149" s="460"/>
      <c r="O149" s="570"/>
      <c r="P149" s="460"/>
      <c r="Q149" s="570"/>
      <c r="R149" s="460"/>
      <c r="S149" s="570"/>
      <c r="T149" s="460"/>
    </row>
    <row r="150" spans="1:20">
      <c r="A150" s="461"/>
      <c r="B150" s="462"/>
      <c r="C150" s="463"/>
      <c r="D150" s="464"/>
      <c r="E150" s="459"/>
      <c r="F150" s="465"/>
      <c r="G150" s="466"/>
      <c r="H150" s="460"/>
      <c r="I150" s="466"/>
      <c r="J150" s="460"/>
      <c r="K150" s="466"/>
      <c r="L150" s="460"/>
      <c r="M150" s="570"/>
      <c r="N150" s="460"/>
      <c r="O150" s="570"/>
      <c r="P150" s="460"/>
      <c r="Q150" s="570"/>
      <c r="R150" s="460"/>
      <c r="S150" s="570"/>
      <c r="T150" s="460"/>
    </row>
    <row r="151" spans="1:20">
      <c r="A151" s="461"/>
      <c r="B151" s="462"/>
      <c r="C151" s="463"/>
      <c r="D151" s="464"/>
      <c r="E151" s="459"/>
      <c r="F151" s="465"/>
      <c r="G151" s="466"/>
      <c r="H151" s="460"/>
      <c r="I151" s="466"/>
      <c r="J151" s="460"/>
      <c r="K151" s="466"/>
      <c r="L151" s="460"/>
      <c r="M151" s="570"/>
      <c r="N151" s="460"/>
      <c r="O151" s="570"/>
      <c r="P151" s="460"/>
      <c r="Q151" s="570"/>
      <c r="R151" s="460"/>
      <c r="S151" s="570"/>
      <c r="T151" s="460"/>
    </row>
    <row r="152" spans="1:20">
      <c r="A152" s="461"/>
      <c r="B152" s="462"/>
      <c r="C152" s="463"/>
      <c r="D152" s="464"/>
      <c r="E152" s="459"/>
      <c r="F152" s="465"/>
      <c r="G152" s="466"/>
      <c r="H152" s="460"/>
      <c r="I152" s="466"/>
      <c r="J152" s="460"/>
      <c r="K152" s="466"/>
      <c r="L152" s="460"/>
      <c r="M152" s="570"/>
      <c r="N152" s="460"/>
      <c r="O152" s="570"/>
      <c r="P152" s="460"/>
      <c r="Q152" s="570"/>
      <c r="R152" s="460"/>
      <c r="S152" s="570"/>
      <c r="T152" s="460"/>
    </row>
    <row r="153" spans="1:20">
      <c r="A153" s="461"/>
      <c r="B153" s="462"/>
      <c r="C153" s="463"/>
      <c r="D153" s="464"/>
      <c r="E153" s="459"/>
      <c r="F153" s="465"/>
      <c r="G153" s="466"/>
      <c r="H153" s="460"/>
      <c r="I153" s="466"/>
      <c r="J153" s="460"/>
      <c r="K153" s="466"/>
      <c r="L153" s="460"/>
      <c r="M153" s="570"/>
      <c r="N153" s="460"/>
      <c r="O153" s="570"/>
      <c r="P153" s="460"/>
      <c r="Q153" s="570"/>
      <c r="R153" s="460"/>
      <c r="S153" s="570"/>
      <c r="T153" s="460"/>
    </row>
    <row r="154" spans="1:20">
      <c r="A154" s="461"/>
      <c r="B154" s="462"/>
      <c r="C154" s="463"/>
      <c r="D154" s="464"/>
      <c r="E154" s="459"/>
      <c r="F154" s="465"/>
      <c r="G154" s="466"/>
      <c r="H154" s="460"/>
      <c r="I154" s="466"/>
      <c r="J154" s="460"/>
      <c r="K154" s="466"/>
      <c r="L154" s="460"/>
      <c r="M154" s="570"/>
      <c r="N154" s="460"/>
      <c r="O154" s="570"/>
      <c r="P154" s="460"/>
      <c r="Q154" s="570"/>
      <c r="R154" s="460"/>
      <c r="S154" s="570"/>
      <c r="T154" s="460"/>
    </row>
    <row r="155" spans="1:20">
      <c r="A155" s="461"/>
      <c r="B155" s="462"/>
      <c r="C155" s="463"/>
      <c r="D155" s="464"/>
      <c r="E155" s="459"/>
      <c r="F155" s="465"/>
      <c r="G155" s="466"/>
      <c r="H155" s="460"/>
      <c r="I155" s="466"/>
      <c r="J155" s="460"/>
      <c r="K155" s="466"/>
      <c r="L155" s="460"/>
      <c r="M155" s="570"/>
      <c r="N155" s="460"/>
      <c r="O155" s="570"/>
      <c r="P155" s="460"/>
      <c r="Q155" s="570"/>
      <c r="R155" s="460"/>
      <c r="S155" s="570"/>
      <c r="T155" s="460"/>
    </row>
    <row r="156" spans="1:20">
      <c r="A156" s="461"/>
      <c r="B156" s="462"/>
      <c r="C156" s="463"/>
      <c r="D156" s="464"/>
      <c r="E156" s="459"/>
      <c r="F156" s="465"/>
      <c r="G156" s="466"/>
      <c r="H156" s="460"/>
      <c r="I156" s="466"/>
      <c r="J156" s="460"/>
      <c r="K156" s="466"/>
      <c r="L156" s="460"/>
      <c r="M156" s="570"/>
      <c r="N156" s="460"/>
      <c r="O156" s="570"/>
      <c r="P156" s="460"/>
      <c r="Q156" s="570"/>
      <c r="R156" s="460"/>
      <c r="S156" s="570"/>
      <c r="T156" s="460"/>
    </row>
    <row r="157" spans="1:20">
      <c r="A157" s="461"/>
      <c r="B157" s="462"/>
      <c r="C157" s="463"/>
      <c r="D157" s="464"/>
      <c r="E157" s="459"/>
      <c r="F157" s="465"/>
      <c r="G157" s="466"/>
      <c r="H157" s="460"/>
      <c r="I157" s="466"/>
      <c r="J157" s="460"/>
      <c r="K157" s="466"/>
      <c r="L157" s="460"/>
      <c r="M157" s="570"/>
      <c r="N157" s="460"/>
      <c r="O157" s="570"/>
      <c r="P157" s="460"/>
      <c r="Q157" s="570"/>
      <c r="R157" s="460"/>
      <c r="S157" s="570"/>
      <c r="T157" s="460"/>
    </row>
    <row r="158" spans="1:20">
      <c r="A158" s="461"/>
      <c r="B158" s="462"/>
      <c r="C158" s="463"/>
      <c r="D158" s="464"/>
      <c r="E158" s="459"/>
      <c r="F158" s="465"/>
      <c r="G158" s="466"/>
      <c r="H158" s="460"/>
      <c r="I158" s="466"/>
      <c r="J158" s="460"/>
      <c r="K158" s="466"/>
      <c r="L158" s="460"/>
      <c r="M158" s="570"/>
      <c r="N158" s="460"/>
      <c r="O158" s="570"/>
      <c r="P158" s="460"/>
      <c r="Q158" s="570"/>
      <c r="R158" s="460"/>
      <c r="S158" s="570"/>
      <c r="T158" s="460"/>
    </row>
    <row r="159" spans="1:20">
      <c r="A159" s="461"/>
      <c r="B159" s="462"/>
      <c r="C159" s="463"/>
      <c r="D159" s="464"/>
      <c r="E159" s="459"/>
      <c r="F159" s="465"/>
      <c r="G159" s="466"/>
      <c r="H159" s="460"/>
      <c r="I159" s="466"/>
      <c r="J159" s="460"/>
      <c r="K159" s="466"/>
      <c r="L159" s="460"/>
      <c r="M159" s="570"/>
      <c r="N159" s="460"/>
      <c r="O159" s="570"/>
      <c r="P159" s="460"/>
      <c r="Q159" s="570"/>
      <c r="R159" s="460"/>
      <c r="S159" s="570"/>
      <c r="T159" s="460"/>
    </row>
    <row r="160" spans="1:20">
      <c r="A160" s="461"/>
      <c r="B160" s="462"/>
      <c r="C160" s="463"/>
      <c r="D160" s="464"/>
      <c r="E160" s="459"/>
      <c r="F160" s="465"/>
      <c r="G160" s="466"/>
      <c r="H160" s="460"/>
      <c r="I160" s="466"/>
      <c r="J160" s="460"/>
      <c r="K160" s="466"/>
      <c r="L160" s="460"/>
      <c r="M160" s="570"/>
      <c r="N160" s="460"/>
      <c r="O160" s="570"/>
      <c r="P160" s="460"/>
      <c r="Q160" s="570"/>
      <c r="R160" s="460"/>
      <c r="S160" s="570"/>
      <c r="T160" s="460"/>
    </row>
    <row r="161" spans="1:20">
      <c r="A161" s="461"/>
      <c r="B161" s="462"/>
      <c r="C161" s="463"/>
      <c r="D161" s="464"/>
      <c r="E161" s="459"/>
      <c r="F161" s="465"/>
      <c r="G161" s="466"/>
      <c r="H161" s="460"/>
      <c r="I161" s="466"/>
      <c r="J161" s="460"/>
      <c r="K161" s="466"/>
      <c r="L161" s="460"/>
      <c r="M161" s="570"/>
      <c r="N161" s="460"/>
      <c r="O161" s="570"/>
      <c r="P161" s="460"/>
      <c r="Q161" s="570"/>
      <c r="R161" s="460"/>
      <c r="S161" s="570"/>
      <c r="T161" s="460"/>
    </row>
    <row r="162" spans="1:20">
      <c r="A162" s="461"/>
      <c r="B162" s="462"/>
      <c r="C162" s="463"/>
      <c r="D162" s="464"/>
      <c r="E162" s="459"/>
      <c r="F162" s="465"/>
      <c r="G162" s="466"/>
      <c r="H162" s="460"/>
      <c r="I162" s="466"/>
      <c r="J162" s="460"/>
      <c r="K162" s="466"/>
      <c r="L162" s="460"/>
      <c r="M162" s="570"/>
      <c r="N162" s="460"/>
      <c r="O162" s="570"/>
      <c r="P162" s="460"/>
      <c r="Q162" s="570"/>
      <c r="R162" s="460"/>
      <c r="S162" s="570"/>
      <c r="T162" s="460"/>
    </row>
    <row r="163" spans="1:20">
      <c r="A163" s="461"/>
      <c r="B163" s="462"/>
      <c r="C163" s="463"/>
      <c r="D163" s="464"/>
      <c r="E163" s="459"/>
      <c r="F163" s="465"/>
      <c r="G163" s="466"/>
      <c r="H163" s="460"/>
      <c r="I163" s="466"/>
      <c r="J163" s="460"/>
      <c r="K163" s="466"/>
      <c r="L163" s="460"/>
      <c r="M163" s="570"/>
      <c r="N163" s="460"/>
      <c r="O163" s="570"/>
      <c r="P163" s="460"/>
      <c r="Q163" s="570"/>
      <c r="R163" s="460"/>
      <c r="S163" s="570"/>
      <c r="T163" s="460"/>
    </row>
    <row r="164" spans="1:20">
      <c r="A164" s="461"/>
      <c r="B164" s="462"/>
      <c r="C164" s="463"/>
      <c r="D164" s="464"/>
      <c r="E164" s="459"/>
      <c r="F164" s="465"/>
      <c r="G164" s="466"/>
      <c r="H164" s="460"/>
      <c r="I164" s="466"/>
      <c r="J164" s="460"/>
      <c r="K164" s="466"/>
      <c r="L164" s="460"/>
      <c r="M164" s="570"/>
      <c r="N164" s="460"/>
      <c r="O164" s="570"/>
      <c r="P164" s="460"/>
      <c r="Q164" s="570"/>
      <c r="R164" s="460"/>
      <c r="S164" s="570"/>
      <c r="T164" s="460"/>
    </row>
    <row r="165" spans="1:20">
      <c r="A165" s="461"/>
      <c r="B165" s="462"/>
      <c r="C165" s="463"/>
      <c r="D165" s="464"/>
      <c r="E165" s="459"/>
      <c r="F165" s="465"/>
      <c r="G165" s="466"/>
      <c r="H165" s="460"/>
      <c r="I165" s="466"/>
      <c r="J165" s="460"/>
      <c r="K165" s="466"/>
      <c r="L165" s="460"/>
      <c r="M165" s="570"/>
      <c r="N165" s="460"/>
      <c r="O165" s="570"/>
      <c r="P165" s="460"/>
      <c r="Q165" s="570"/>
      <c r="R165" s="460"/>
      <c r="S165" s="570"/>
      <c r="T165" s="460"/>
    </row>
    <row r="166" spans="1:20">
      <c r="A166" s="461"/>
      <c r="B166" s="462"/>
      <c r="C166" s="463"/>
      <c r="D166" s="464"/>
      <c r="E166" s="459"/>
      <c r="F166" s="465"/>
      <c r="G166" s="466"/>
      <c r="H166" s="460"/>
      <c r="I166" s="466"/>
      <c r="J166" s="460"/>
      <c r="K166" s="466"/>
      <c r="L166" s="460"/>
      <c r="M166" s="570"/>
      <c r="N166" s="460"/>
      <c r="O166" s="570"/>
      <c r="P166" s="460"/>
      <c r="Q166" s="570"/>
      <c r="R166" s="460"/>
      <c r="S166" s="570"/>
      <c r="T166" s="460"/>
    </row>
    <row r="167" spans="1:20">
      <c r="A167" s="461"/>
      <c r="B167" s="462"/>
      <c r="C167" s="463"/>
      <c r="D167" s="464"/>
      <c r="E167" s="459"/>
      <c r="F167" s="465"/>
      <c r="G167" s="466"/>
      <c r="H167" s="460"/>
      <c r="I167" s="466"/>
      <c r="J167" s="460"/>
      <c r="K167" s="466"/>
      <c r="L167" s="460"/>
      <c r="M167" s="570"/>
      <c r="N167" s="460"/>
      <c r="O167" s="570"/>
      <c r="P167" s="460"/>
      <c r="Q167" s="570"/>
      <c r="R167" s="460"/>
      <c r="S167" s="570"/>
      <c r="T167" s="460"/>
    </row>
    <row r="168" spans="1:20">
      <c r="A168" s="461"/>
      <c r="B168" s="462"/>
      <c r="C168" s="463"/>
      <c r="D168" s="464"/>
      <c r="E168" s="459"/>
      <c r="F168" s="465"/>
      <c r="G168" s="466"/>
      <c r="H168" s="460"/>
      <c r="I168" s="466"/>
      <c r="J168" s="460"/>
      <c r="K168" s="466"/>
      <c r="L168" s="460"/>
      <c r="M168" s="570"/>
      <c r="N168" s="460"/>
      <c r="O168" s="570"/>
      <c r="P168" s="460"/>
      <c r="Q168" s="570"/>
      <c r="R168" s="460"/>
      <c r="S168" s="570"/>
      <c r="T168" s="460"/>
    </row>
    <row r="169" spans="1:20">
      <c r="A169" s="461"/>
      <c r="B169" s="462"/>
      <c r="C169" s="463"/>
      <c r="D169" s="464"/>
      <c r="E169" s="459"/>
      <c r="F169" s="465"/>
      <c r="G169" s="466"/>
      <c r="H169" s="460"/>
      <c r="I169" s="466"/>
      <c r="J169" s="460"/>
      <c r="K169" s="466"/>
      <c r="L169" s="460"/>
      <c r="M169" s="570"/>
      <c r="N169" s="460"/>
      <c r="O169" s="570"/>
      <c r="P169" s="460"/>
      <c r="Q169" s="570"/>
      <c r="R169" s="460"/>
      <c r="S169" s="570"/>
      <c r="T169" s="460"/>
    </row>
    <row r="170" spans="1:20">
      <c r="A170" s="461"/>
      <c r="B170" s="462"/>
      <c r="C170" s="463"/>
      <c r="D170" s="464"/>
      <c r="E170" s="459"/>
      <c r="F170" s="465"/>
      <c r="G170" s="466"/>
      <c r="H170" s="460"/>
      <c r="I170" s="466"/>
      <c r="J170" s="460"/>
      <c r="K170" s="466"/>
      <c r="L170" s="460"/>
      <c r="M170" s="570"/>
      <c r="N170" s="460"/>
      <c r="O170" s="570"/>
      <c r="P170" s="460"/>
      <c r="Q170" s="570"/>
      <c r="R170" s="460"/>
      <c r="S170" s="570"/>
      <c r="T170" s="460"/>
    </row>
    <row r="171" spans="1:20">
      <c r="A171" s="461"/>
      <c r="B171" s="462"/>
      <c r="C171" s="463"/>
      <c r="D171" s="464"/>
      <c r="E171" s="459"/>
      <c r="F171" s="465"/>
      <c r="G171" s="466"/>
      <c r="H171" s="460"/>
      <c r="I171" s="466"/>
      <c r="J171" s="460"/>
      <c r="K171" s="466"/>
      <c r="L171" s="460"/>
      <c r="M171" s="570"/>
      <c r="N171" s="460"/>
      <c r="O171" s="570"/>
      <c r="P171" s="460"/>
      <c r="Q171" s="570"/>
      <c r="R171" s="460"/>
      <c r="S171" s="570"/>
      <c r="T171" s="460"/>
    </row>
    <row r="172" spans="1:20">
      <c r="A172" s="461"/>
      <c r="B172" s="462"/>
      <c r="C172" s="463"/>
      <c r="D172" s="464"/>
      <c r="E172" s="459"/>
      <c r="F172" s="465"/>
      <c r="G172" s="466"/>
      <c r="H172" s="460"/>
      <c r="I172" s="466"/>
      <c r="J172" s="460"/>
      <c r="K172" s="466"/>
      <c r="L172" s="460"/>
      <c r="M172" s="570"/>
      <c r="N172" s="460"/>
      <c r="O172" s="570"/>
      <c r="P172" s="460"/>
      <c r="Q172" s="570"/>
      <c r="R172" s="460"/>
      <c r="S172" s="570"/>
      <c r="T172" s="460"/>
    </row>
    <row r="173" spans="1:20">
      <c r="A173" s="461"/>
      <c r="B173" s="462"/>
      <c r="C173" s="463"/>
      <c r="D173" s="464"/>
      <c r="E173" s="459"/>
      <c r="F173" s="465"/>
      <c r="G173" s="466"/>
      <c r="H173" s="460"/>
      <c r="I173" s="466"/>
      <c r="J173" s="460"/>
      <c r="K173" s="466"/>
      <c r="L173" s="460"/>
      <c r="M173" s="570"/>
      <c r="N173" s="460"/>
      <c r="O173" s="570"/>
      <c r="P173" s="460"/>
      <c r="Q173" s="570"/>
      <c r="R173" s="460"/>
      <c r="S173" s="570"/>
      <c r="T173" s="460"/>
    </row>
    <row r="174" spans="1:20">
      <c r="A174" s="461"/>
      <c r="B174" s="462"/>
      <c r="C174" s="463"/>
      <c r="D174" s="464"/>
      <c r="E174" s="459"/>
      <c r="F174" s="465"/>
      <c r="G174" s="466"/>
      <c r="H174" s="460"/>
      <c r="I174" s="466"/>
      <c r="J174" s="460"/>
      <c r="K174" s="466"/>
      <c r="L174" s="460"/>
      <c r="M174" s="570"/>
      <c r="N174" s="460"/>
      <c r="O174" s="570"/>
      <c r="P174" s="460"/>
      <c r="Q174" s="570"/>
      <c r="R174" s="460"/>
      <c r="S174" s="570"/>
      <c r="T174" s="460"/>
    </row>
    <row r="175" spans="1:20">
      <c r="A175" s="461"/>
      <c r="B175" s="462"/>
      <c r="C175" s="463"/>
      <c r="D175" s="464"/>
      <c r="E175" s="459"/>
      <c r="F175" s="465"/>
      <c r="G175" s="466"/>
      <c r="H175" s="460"/>
      <c r="I175" s="466"/>
      <c r="J175" s="460"/>
      <c r="K175" s="466"/>
      <c r="L175" s="460"/>
      <c r="M175" s="570"/>
      <c r="N175" s="460"/>
      <c r="O175" s="570"/>
      <c r="P175" s="460"/>
      <c r="Q175" s="570"/>
      <c r="R175" s="460"/>
      <c r="S175" s="570"/>
      <c r="T175" s="460"/>
    </row>
    <row r="176" spans="1:20">
      <c r="A176" s="461"/>
      <c r="B176" s="462"/>
      <c r="C176" s="463"/>
      <c r="D176" s="464"/>
      <c r="E176" s="459"/>
      <c r="F176" s="465"/>
      <c r="G176" s="466"/>
      <c r="H176" s="460"/>
      <c r="I176" s="466"/>
      <c r="J176" s="460"/>
      <c r="K176" s="466"/>
      <c r="L176" s="460"/>
      <c r="M176" s="570"/>
      <c r="N176" s="460"/>
      <c r="O176" s="570"/>
      <c r="P176" s="460"/>
      <c r="Q176" s="570"/>
      <c r="R176" s="460"/>
      <c r="S176" s="570"/>
      <c r="T176" s="460"/>
    </row>
    <row r="177" spans="1:20">
      <c r="A177" s="461"/>
      <c r="B177" s="462"/>
      <c r="C177" s="463"/>
      <c r="D177" s="464"/>
      <c r="E177" s="459"/>
      <c r="F177" s="465"/>
      <c r="G177" s="466"/>
      <c r="H177" s="460"/>
      <c r="I177" s="466"/>
      <c r="J177" s="460"/>
      <c r="K177" s="466"/>
      <c r="L177" s="460"/>
      <c r="M177" s="570"/>
      <c r="N177" s="460"/>
      <c r="O177" s="570"/>
      <c r="P177" s="460"/>
      <c r="Q177" s="570"/>
      <c r="R177" s="460"/>
      <c r="S177" s="570"/>
      <c r="T177" s="460"/>
    </row>
    <row r="178" spans="1:20">
      <c r="A178" s="461"/>
      <c r="B178" s="462"/>
      <c r="C178" s="463"/>
      <c r="D178" s="464"/>
      <c r="E178" s="459"/>
      <c r="F178" s="465"/>
      <c r="G178" s="466"/>
      <c r="H178" s="460"/>
      <c r="I178" s="466"/>
      <c r="J178" s="460"/>
      <c r="K178" s="466"/>
      <c r="L178" s="460"/>
      <c r="M178" s="570"/>
      <c r="N178" s="460"/>
      <c r="O178" s="570"/>
      <c r="P178" s="460"/>
      <c r="Q178" s="570"/>
      <c r="R178" s="460"/>
      <c r="S178" s="570"/>
      <c r="T178" s="460"/>
    </row>
    <row r="179" spans="1:20">
      <c r="A179" s="461"/>
      <c r="B179" s="462"/>
      <c r="C179" s="463"/>
      <c r="D179" s="464"/>
      <c r="E179" s="459"/>
      <c r="F179" s="465"/>
      <c r="G179" s="466"/>
      <c r="H179" s="460"/>
      <c r="I179" s="466"/>
      <c r="J179" s="460"/>
      <c r="K179" s="466"/>
      <c r="L179" s="460"/>
      <c r="M179" s="570"/>
      <c r="N179" s="460"/>
      <c r="O179" s="570"/>
      <c r="P179" s="460"/>
      <c r="Q179" s="570"/>
      <c r="R179" s="460"/>
      <c r="S179" s="570"/>
      <c r="T179" s="460"/>
    </row>
    <row r="180" spans="1:20">
      <c r="A180" s="461"/>
      <c r="B180" s="462"/>
      <c r="C180" s="463"/>
      <c r="D180" s="464"/>
      <c r="E180" s="459"/>
      <c r="F180" s="465"/>
      <c r="G180" s="466"/>
      <c r="H180" s="460"/>
      <c r="I180" s="466"/>
      <c r="J180" s="460"/>
      <c r="K180" s="466"/>
      <c r="L180" s="460"/>
      <c r="M180" s="570"/>
      <c r="N180" s="460"/>
      <c r="O180" s="570"/>
      <c r="P180" s="460"/>
      <c r="Q180" s="570"/>
      <c r="R180" s="460"/>
      <c r="S180" s="570"/>
      <c r="T180" s="460"/>
    </row>
    <row r="181" spans="1:20">
      <c r="A181" s="461"/>
      <c r="B181" s="462"/>
      <c r="C181" s="463"/>
      <c r="D181" s="464"/>
      <c r="E181" s="459"/>
      <c r="F181" s="465"/>
      <c r="G181" s="466"/>
      <c r="H181" s="460"/>
      <c r="I181" s="466"/>
      <c r="J181" s="460"/>
      <c r="K181" s="466"/>
      <c r="L181" s="460"/>
      <c r="M181" s="570"/>
      <c r="N181" s="460"/>
      <c r="O181" s="570"/>
      <c r="P181" s="460"/>
      <c r="Q181" s="570"/>
      <c r="R181" s="460"/>
      <c r="S181" s="570"/>
      <c r="T181" s="460"/>
    </row>
    <row r="182" spans="1:20">
      <c r="A182" s="461"/>
      <c r="B182" s="462"/>
      <c r="C182" s="463"/>
      <c r="D182" s="464"/>
      <c r="E182" s="459"/>
      <c r="F182" s="465"/>
      <c r="G182" s="466"/>
      <c r="H182" s="460"/>
      <c r="I182" s="466"/>
      <c r="J182" s="460"/>
      <c r="K182" s="466"/>
      <c r="L182" s="460"/>
      <c r="M182" s="570"/>
      <c r="N182" s="460"/>
      <c r="O182" s="570"/>
      <c r="P182" s="460"/>
      <c r="Q182" s="570"/>
      <c r="R182" s="460"/>
      <c r="S182" s="570"/>
      <c r="T182" s="460"/>
    </row>
    <row r="183" spans="1:20">
      <c r="A183" s="461"/>
      <c r="B183" s="462"/>
      <c r="C183" s="463"/>
      <c r="D183" s="464"/>
      <c r="E183" s="459"/>
      <c r="F183" s="465"/>
      <c r="G183" s="466"/>
      <c r="H183" s="460"/>
      <c r="I183" s="466"/>
      <c r="J183" s="460"/>
      <c r="K183" s="466"/>
      <c r="L183" s="460"/>
      <c r="M183" s="570"/>
      <c r="N183" s="460"/>
      <c r="O183" s="570"/>
      <c r="P183" s="460"/>
      <c r="Q183" s="570"/>
      <c r="R183" s="460"/>
      <c r="S183" s="570"/>
      <c r="T183" s="460"/>
    </row>
    <row r="184" spans="1:20">
      <c r="A184" s="461"/>
      <c r="B184" s="462"/>
      <c r="C184" s="463"/>
      <c r="D184" s="464"/>
      <c r="E184" s="459"/>
      <c r="F184" s="465"/>
      <c r="G184" s="466"/>
      <c r="H184" s="460"/>
      <c r="I184" s="466"/>
      <c r="J184" s="460"/>
      <c r="K184" s="466"/>
      <c r="L184" s="460"/>
      <c r="M184" s="570"/>
      <c r="N184" s="460"/>
      <c r="O184" s="570"/>
      <c r="P184" s="460"/>
      <c r="Q184" s="570"/>
      <c r="R184" s="460"/>
      <c r="S184" s="570"/>
      <c r="T184" s="460"/>
    </row>
    <row r="185" spans="1:20">
      <c r="A185" s="461"/>
      <c r="B185" s="462"/>
      <c r="C185" s="463"/>
      <c r="D185" s="464"/>
      <c r="E185" s="459"/>
      <c r="F185" s="465"/>
      <c r="G185" s="466"/>
      <c r="H185" s="460"/>
      <c r="I185" s="466"/>
      <c r="J185" s="460"/>
      <c r="K185" s="466"/>
      <c r="L185" s="460"/>
      <c r="M185" s="570"/>
      <c r="N185" s="460"/>
      <c r="O185" s="570"/>
      <c r="P185" s="460"/>
      <c r="Q185" s="570"/>
      <c r="R185" s="460"/>
      <c r="S185" s="570"/>
      <c r="T185" s="460"/>
    </row>
    <row r="186" spans="1:20">
      <c r="A186" s="461"/>
      <c r="B186" s="462"/>
      <c r="C186" s="463"/>
      <c r="D186" s="464"/>
      <c r="E186" s="459"/>
      <c r="F186" s="465"/>
      <c r="G186" s="466"/>
      <c r="H186" s="460"/>
      <c r="I186" s="466"/>
      <c r="J186" s="460"/>
      <c r="K186" s="466"/>
      <c r="L186" s="460"/>
      <c r="M186" s="570"/>
      <c r="N186" s="460"/>
      <c r="O186" s="570"/>
      <c r="P186" s="460"/>
      <c r="Q186" s="570"/>
      <c r="R186" s="460"/>
      <c r="S186" s="570"/>
      <c r="T186" s="460"/>
    </row>
    <row r="187" spans="1:20">
      <c r="A187" s="461"/>
      <c r="B187" s="462"/>
      <c r="C187" s="463"/>
      <c r="D187" s="464"/>
      <c r="E187" s="459"/>
      <c r="F187" s="465"/>
      <c r="G187" s="466"/>
      <c r="H187" s="460"/>
      <c r="I187" s="466"/>
      <c r="J187" s="460"/>
      <c r="K187" s="466"/>
      <c r="L187" s="460"/>
      <c r="M187" s="570"/>
      <c r="N187" s="460"/>
      <c r="O187" s="570"/>
      <c r="P187" s="460"/>
      <c r="Q187" s="570"/>
      <c r="R187" s="460"/>
      <c r="S187" s="570"/>
      <c r="T187" s="460"/>
    </row>
    <row r="188" spans="1:20">
      <c r="A188" s="461"/>
      <c r="B188" s="462"/>
      <c r="C188" s="463"/>
      <c r="D188" s="464"/>
      <c r="E188" s="459"/>
      <c r="F188" s="465"/>
      <c r="G188" s="466"/>
      <c r="H188" s="460"/>
      <c r="I188" s="466"/>
      <c r="J188" s="460"/>
      <c r="K188" s="466"/>
      <c r="L188" s="460"/>
      <c r="M188" s="570"/>
      <c r="N188" s="460"/>
      <c r="O188" s="570"/>
      <c r="P188" s="460"/>
      <c r="Q188" s="570"/>
      <c r="R188" s="460"/>
      <c r="S188" s="570"/>
      <c r="T188" s="460"/>
    </row>
    <row r="189" spans="1:20">
      <c r="A189" s="461"/>
      <c r="B189" s="462"/>
      <c r="C189" s="463"/>
      <c r="D189" s="464"/>
      <c r="E189" s="459"/>
      <c r="F189" s="465"/>
      <c r="G189" s="466"/>
      <c r="H189" s="460"/>
      <c r="I189" s="466"/>
      <c r="J189" s="460"/>
      <c r="K189" s="466"/>
      <c r="L189" s="460"/>
      <c r="M189" s="570"/>
      <c r="N189" s="460"/>
      <c r="O189" s="570"/>
      <c r="P189" s="460"/>
      <c r="Q189" s="570"/>
      <c r="R189" s="460"/>
      <c r="S189" s="570"/>
      <c r="T189" s="460"/>
    </row>
    <row r="190" spans="1:20">
      <c r="A190" s="461"/>
      <c r="B190" s="462"/>
      <c r="C190" s="463"/>
      <c r="D190" s="464"/>
      <c r="E190" s="459"/>
      <c r="F190" s="465"/>
      <c r="G190" s="466"/>
      <c r="H190" s="460"/>
      <c r="I190" s="466"/>
      <c r="J190" s="460"/>
      <c r="K190" s="466"/>
      <c r="L190" s="460"/>
      <c r="M190" s="570"/>
      <c r="N190" s="460"/>
      <c r="O190" s="570"/>
      <c r="P190" s="460"/>
      <c r="Q190" s="570"/>
      <c r="R190" s="460"/>
      <c r="S190" s="570"/>
      <c r="T190" s="460"/>
    </row>
    <row r="191" spans="1:20">
      <c r="A191" s="461"/>
      <c r="B191" s="462"/>
      <c r="C191" s="463"/>
      <c r="D191" s="464"/>
      <c r="E191" s="459"/>
      <c r="F191" s="465"/>
      <c r="G191" s="466"/>
      <c r="H191" s="460"/>
      <c r="I191" s="466"/>
      <c r="J191" s="460"/>
      <c r="K191" s="466"/>
      <c r="L191" s="460"/>
      <c r="M191" s="570"/>
      <c r="N191" s="460"/>
      <c r="O191" s="570"/>
      <c r="P191" s="460"/>
      <c r="Q191" s="570"/>
      <c r="R191" s="460"/>
      <c r="S191" s="570"/>
      <c r="T191" s="460"/>
    </row>
    <row r="192" spans="1:20">
      <c r="A192" s="461"/>
      <c r="B192" s="462"/>
      <c r="C192" s="463"/>
      <c r="D192" s="464"/>
      <c r="E192" s="459"/>
      <c r="F192" s="465"/>
      <c r="G192" s="466"/>
      <c r="H192" s="460"/>
      <c r="I192" s="466"/>
      <c r="J192" s="460"/>
      <c r="K192" s="466"/>
      <c r="L192" s="460"/>
      <c r="M192" s="570"/>
      <c r="N192" s="460"/>
      <c r="O192" s="570"/>
      <c r="P192" s="460"/>
      <c r="Q192" s="570"/>
      <c r="R192" s="460"/>
      <c r="S192" s="570"/>
      <c r="T192" s="460"/>
    </row>
    <row r="193" spans="1:20">
      <c r="A193" s="461"/>
      <c r="B193" s="462"/>
      <c r="C193" s="463"/>
      <c r="D193" s="464"/>
      <c r="E193" s="459"/>
      <c r="F193" s="465"/>
      <c r="G193" s="466"/>
      <c r="H193" s="460"/>
      <c r="I193" s="466"/>
      <c r="J193" s="460"/>
      <c r="K193" s="466"/>
      <c r="L193" s="460"/>
      <c r="M193" s="570"/>
      <c r="N193" s="460"/>
      <c r="O193" s="570"/>
      <c r="P193" s="460"/>
      <c r="Q193" s="570"/>
      <c r="R193" s="460"/>
      <c r="S193" s="570"/>
      <c r="T193" s="460"/>
    </row>
    <row r="194" spans="1:20">
      <c r="A194" s="461"/>
      <c r="B194" s="462"/>
      <c r="C194" s="463"/>
      <c r="D194" s="464"/>
      <c r="E194" s="459"/>
      <c r="F194" s="465"/>
      <c r="G194" s="466"/>
      <c r="H194" s="460"/>
      <c r="I194" s="466"/>
      <c r="J194" s="460"/>
      <c r="K194" s="466"/>
      <c r="L194" s="460"/>
      <c r="M194" s="570"/>
      <c r="N194" s="460"/>
      <c r="O194" s="570"/>
      <c r="P194" s="460"/>
      <c r="Q194" s="570"/>
      <c r="R194" s="460"/>
      <c r="S194" s="570"/>
      <c r="T194" s="460"/>
    </row>
    <row r="195" spans="1:20">
      <c r="A195" s="461"/>
      <c r="B195" s="462"/>
      <c r="C195" s="463"/>
      <c r="D195" s="464"/>
      <c r="E195" s="459"/>
      <c r="F195" s="465"/>
      <c r="G195" s="466"/>
      <c r="H195" s="460"/>
      <c r="I195" s="466"/>
      <c r="J195" s="460"/>
      <c r="K195" s="466"/>
      <c r="L195" s="460"/>
      <c r="M195" s="570"/>
      <c r="N195" s="460"/>
      <c r="O195" s="570"/>
      <c r="P195" s="460"/>
      <c r="Q195" s="570"/>
      <c r="R195" s="460"/>
      <c r="S195" s="570"/>
      <c r="T195" s="460"/>
    </row>
    <row r="196" spans="1:20">
      <c r="A196" s="461"/>
      <c r="B196" s="462"/>
      <c r="C196" s="463"/>
      <c r="D196" s="464"/>
      <c r="E196" s="459"/>
      <c r="F196" s="465"/>
      <c r="G196" s="466"/>
      <c r="H196" s="460"/>
      <c r="I196" s="466"/>
      <c r="J196" s="460"/>
      <c r="K196" s="466"/>
      <c r="L196" s="460"/>
      <c r="M196" s="570"/>
      <c r="N196" s="460"/>
      <c r="O196" s="570"/>
      <c r="P196" s="460"/>
      <c r="Q196" s="570"/>
      <c r="R196" s="460"/>
      <c r="S196" s="570"/>
      <c r="T196" s="460"/>
    </row>
    <row r="197" spans="1:20">
      <c r="A197" s="461"/>
      <c r="B197" s="462"/>
      <c r="C197" s="463"/>
      <c r="D197" s="464"/>
      <c r="E197" s="459"/>
      <c r="F197" s="465"/>
      <c r="G197" s="466"/>
      <c r="H197" s="460"/>
      <c r="I197" s="466"/>
      <c r="J197" s="460"/>
      <c r="K197" s="466"/>
      <c r="L197" s="460"/>
      <c r="M197" s="570"/>
      <c r="N197" s="460"/>
      <c r="O197" s="570"/>
      <c r="P197" s="460"/>
      <c r="Q197" s="570"/>
      <c r="R197" s="460"/>
      <c r="S197" s="570"/>
      <c r="T197" s="460"/>
    </row>
    <row r="198" spans="1:20">
      <c r="A198" s="461"/>
      <c r="B198" s="462"/>
      <c r="C198" s="463"/>
      <c r="D198" s="464"/>
      <c r="E198" s="459"/>
      <c r="F198" s="465"/>
      <c r="G198" s="466"/>
      <c r="H198" s="460"/>
      <c r="I198" s="466"/>
      <c r="J198" s="460"/>
      <c r="K198" s="466"/>
      <c r="L198" s="460"/>
      <c r="M198" s="570"/>
      <c r="N198" s="460"/>
      <c r="O198" s="570"/>
      <c r="P198" s="460"/>
      <c r="Q198" s="570"/>
      <c r="R198" s="460"/>
      <c r="S198" s="570"/>
      <c r="T198" s="460"/>
    </row>
    <row r="199" spans="1:20">
      <c r="A199" s="461"/>
      <c r="B199" s="462"/>
      <c r="C199" s="463"/>
      <c r="D199" s="464"/>
      <c r="E199" s="459"/>
      <c r="F199" s="465"/>
      <c r="G199" s="466"/>
      <c r="H199" s="460"/>
      <c r="I199" s="466"/>
      <c r="J199" s="460"/>
      <c r="K199" s="466"/>
      <c r="L199" s="460"/>
      <c r="M199" s="570"/>
      <c r="N199" s="460"/>
      <c r="O199" s="570"/>
      <c r="P199" s="460"/>
      <c r="Q199" s="570"/>
      <c r="R199" s="460"/>
      <c r="S199" s="570"/>
      <c r="T199" s="460"/>
    </row>
    <row r="200" spans="1:20">
      <c r="A200" s="461"/>
      <c r="B200" s="462"/>
      <c r="C200" s="463"/>
      <c r="D200" s="464"/>
      <c r="E200" s="459"/>
      <c r="F200" s="465"/>
      <c r="G200" s="466"/>
      <c r="H200" s="460"/>
      <c r="I200" s="466"/>
      <c r="J200" s="460"/>
      <c r="K200" s="466"/>
      <c r="L200" s="460"/>
      <c r="M200" s="570"/>
      <c r="N200" s="460"/>
      <c r="O200" s="570"/>
      <c r="P200" s="460"/>
      <c r="Q200" s="570"/>
      <c r="R200" s="460"/>
      <c r="S200" s="570"/>
      <c r="T200" s="460"/>
    </row>
    <row r="201" spans="1:20">
      <c r="A201" s="461"/>
      <c r="B201" s="462"/>
      <c r="C201" s="463"/>
      <c r="D201" s="464"/>
      <c r="E201" s="459"/>
      <c r="F201" s="465"/>
      <c r="G201" s="466"/>
      <c r="H201" s="460"/>
      <c r="I201" s="466"/>
      <c r="J201" s="460"/>
      <c r="K201" s="466"/>
      <c r="L201" s="460"/>
      <c r="M201" s="570"/>
      <c r="N201" s="460"/>
      <c r="O201" s="570"/>
      <c r="P201" s="460"/>
      <c r="Q201" s="570"/>
      <c r="R201" s="460"/>
      <c r="S201" s="570"/>
      <c r="T201" s="460"/>
    </row>
    <row r="202" spans="1:20">
      <c r="A202" s="461"/>
      <c r="B202" s="462"/>
      <c r="C202" s="463"/>
      <c r="D202" s="464"/>
      <c r="E202" s="459"/>
      <c r="F202" s="465"/>
      <c r="G202" s="466"/>
      <c r="H202" s="460"/>
      <c r="I202" s="466"/>
      <c r="J202" s="460"/>
      <c r="K202" s="466"/>
      <c r="L202" s="460"/>
      <c r="M202" s="570"/>
      <c r="N202" s="460"/>
      <c r="O202" s="570"/>
      <c r="P202" s="460"/>
      <c r="Q202" s="570"/>
      <c r="R202" s="460"/>
      <c r="S202" s="570"/>
      <c r="T202" s="460"/>
    </row>
    <row r="203" spans="1:20">
      <c r="A203" s="461"/>
      <c r="B203" s="462"/>
      <c r="C203" s="463"/>
      <c r="D203" s="464"/>
      <c r="E203" s="459"/>
      <c r="F203" s="465"/>
      <c r="G203" s="466"/>
      <c r="H203" s="460"/>
      <c r="I203" s="466"/>
      <c r="J203" s="460"/>
      <c r="K203" s="466"/>
      <c r="L203" s="460"/>
      <c r="M203" s="570"/>
      <c r="N203" s="460"/>
      <c r="O203" s="570"/>
      <c r="P203" s="460"/>
      <c r="Q203" s="570"/>
      <c r="R203" s="460"/>
      <c r="S203" s="570"/>
      <c r="T203" s="460"/>
    </row>
    <row r="204" spans="1:20">
      <c r="A204" s="461"/>
      <c r="B204" s="462"/>
      <c r="C204" s="463"/>
      <c r="D204" s="464"/>
      <c r="E204" s="459"/>
      <c r="F204" s="465"/>
      <c r="G204" s="466"/>
      <c r="H204" s="460"/>
      <c r="I204" s="466"/>
      <c r="J204" s="460"/>
      <c r="K204" s="466"/>
      <c r="L204" s="460"/>
      <c r="M204" s="570"/>
      <c r="N204" s="460"/>
      <c r="O204" s="570"/>
      <c r="P204" s="460"/>
      <c r="Q204" s="570"/>
      <c r="R204" s="460"/>
      <c r="S204" s="570"/>
      <c r="T204" s="460"/>
    </row>
    <row r="205" spans="1:20">
      <c r="A205" s="461"/>
      <c r="B205" s="462"/>
      <c r="C205" s="463"/>
      <c r="D205" s="464"/>
      <c r="E205" s="459"/>
      <c r="F205" s="465"/>
      <c r="G205" s="466"/>
      <c r="H205" s="460"/>
      <c r="I205" s="466"/>
      <c r="J205" s="460"/>
      <c r="K205" s="466"/>
      <c r="L205" s="460"/>
      <c r="M205" s="570"/>
      <c r="N205" s="460"/>
      <c r="O205" s="570"/>
      <c r="P205" s="460"/>
      <c r="Q205" s="570"/>
      <c r="R205" s="460"/>
      <c r="S205" s="570"/>
      <c r="T205" s="460"/>
    </row>
    <row r="206" spans="1:20">
      <c r="A206" s="461"/>
      <c r="B206" s="462"/>
      <c r="C206" s="463"/>
      <c r="D206" s="464"/>
      <c r="E206" s="459"/>
      <c r="F206" s="465"/>
      <c r="G206" s="466"/>
      <c r="H206" s="460"/>
      <c r="I206" s="466"/>
      <c r="J206" s="460"/>
      <c r="K206" s="466"/>
      <c r="L206" s="460"/>
      <c r="M206" s="570"/>
      <c r="N206" s="460"/>
      <c r="O206" s="570"/>
      <c r="P206" s="460"/>
      <c r="Q206" s="570"/>
      <c r="R206" s="460"/>
      <c r="S206" s="570"/>
      <c r="T206" s="460"/>
    </row>
    <row r="207" spans="1:20">
      <c r="A207" s="461"/>
      <c r="B207" s="462"/>
      <c r="C207" s="463"/>
      <c r="D207" s="464"/>
      <c r="E207" s="459"/>
      <c r="F207" s="465"/>
      <c r="G207" s="466"/>
      <c r="H207" s="460"/>
      <c r="I207" s="466"/>
      <c r="J207" s="460"/>
      <c r="K207" s="466"/>
      <c r="L207" s="460"/>
      <c r="M207" s="570"/>
      <c r="N207" s="460"/>
      <c r="O207" s="570"/>
      <c r="P207" s="460"/>
      <c r="Q207" s="570"/>
      <c r="R207" s="460"/>
      <c r="S207" s="570"/>
      <c r="T207" s="460"/>
    </row>
    <row r="208" spans="1:20">
      <c r="A208" s="461"/>
      <c r="B208" s="462"/>
      <c r="C208" s="463"/>
      <c r="D208" s="464"/>
      <c r="E208" s="459"/>
      <c r="F208" s="465"/>
      <c r="G208" s="466"/>
      <c r="H208" s="460"/>
      <c r="I208" s="466"/>
      <c r="J208" s="460"/>
      <c r="K208" s="466"/>
      <c r="L208" s="460"/>
      <c r="M208" s="570"/>
      <c r="N208" s="460"/>
      <c r="O208" s="570"/>
      <c r="P208" s="460"/>
      <c r="Q208" s="570"/>
      <c r="R208" s="460"/>
      <c r="S208" s="570"/>
      <c r="T208" s="460"/>
    </row>
    <row r="209" spans="1:20">
      <c r="A209" s="461"/>
      <c r="B209" s="462"/>
      <c r="C209" s="463"/>
      <c r="D209" s="464"/>
      <c r="E209" s="459"/>
      <c r="F209" s="465"/>
      <c r="G209" s="466"/>
      <c r="H209" s="460"/>
      <c r="I209" s="466"/>
      <c r="J209" s="460"/>
      <c r="K209" s="466"/>
      <c r="L209" s="460"/>
      <c r="M209" s="570"/>
      <c r="N209" s="460"/>
      <c r="O209" s="570"/>
      <c r="P209" s="460"/>
      <c r="Q209" s="570"/>
      <c r="R209" s="460"/>
      <c r="S209" s="570"/>
      <c r="T209" s="460"/>
    </row>
    <row r="210" spans="1:20">
      <c r="A210" s="461"/>
      <c r="B210" s="462"/>
      <c r="C210" s="463"/>
      <c r="D210" s="464"/>
      <c r="E210" s="459"/>
      <c r="F210" s="465"/>
      <c r="G210" s="466"/>
      <c r="H210" s="460"/>
      <c r="I210" s="466"/>
      <c r="J210" s="460"/>
      <c r="K210" s="466"/>
      <c r="L210" s="460"/>
      <c r="M210" s="570"/>
      <c r="N210" s="460"/>
      <c r="O210" s="570"/>
      <c r="P210" s="460"/>
      <c r="Q210" s="570"/>
      <c r="R210" s="460"/>
      <c r="S210" s="570"/>
      <c r="T210" s="460"/>
    </row>
    <row r="211" spans="1:20">
      <c r="A211" s="461"/>
      <c r="B211" s="462"/>
      <c r="C211" s="463"/>
      <c r="D211" s="464"/>
      <c r="E211" s="459"/>
      <c r="F211" s="465"/>
      <c r="G211" s="466"/>
      <c r="H211" s="460"/>
      <c r="I211" s="466"/>
      <c r="J211" s="460"/>
      <c r="K211" s="466"/>
      <c r="L211" s="460"/>
      <c r="M211" s="570"/>
      <c r="N211" s="460"/>
      <c r="O211" s="570"/>
      <c r="P211" s="460"/>
      <c r="Q211" s="570"/>
      <c r="R211" s="460"/>
      <c r="S211" s="570"/>
      <c r="T211" s="460"/>
    </row>
    <row r="212" spans="1:20">
      <c r="A212" s="461"/>
      <c r="B212" s="462"/>
      <c r="C212" s="463"/>
      <c r="D212" s="464"/>
      <c r="E212" s="459"/>
      <c r="F212" s="465"/>
      <c r="G212" s="466"/>
      <c r="H212" s="460"/>
      <c r="I212" s="466"/>
      <c r="J212" s="460"/>
      <c r="K212" s="466"/>
      <c r="L212" s="460"/>
      <c r="M212" s="570"/>
      <c r="N212" s="460"/>
      <c r="O212" s="570"/>
      <c r="P212" s="460"/>
      <c r="Q212" s="570"/>
      <c r="R212" s="460"/>
      <c r="S212" s="570"/>
      <c r="T212" s="460"/>
    </row>
    <row r="213" spans="1:20">
      <c r="A213" s="461"/>
      <c r="B213" s="462"/>
      <c r="C213" s="463"/>
      <c r="D213" s="464"/>
      <c r="E213" s="459"/>
      <c r="F213" s="465"/>
      <c r="G213" s="466"/>
      <c r="H213" s="460"/>
      <c r="I213" s="466"/>
      <c r="J213" s="460"/>
      <c r="K213" s="466"/>
      <c r="L213" s="460"/>
      <c r="M213" s="570"/>
      <c r="N213" s="460"/>
      <c r="O213" s="570"/>
      <c r="P213" s="460"/>
      <c r="Q213" s="570"/>
      <c r="R213" s="460"/>
      <c r="S213" s="570"/>
      <c r="T213" s="460"/>
    </row>
    <row r="214" spans="1:20">
      <c r="A214" s="461"/>
      <c r="B214" s="462"/>
      <c r="C214" s="463"/>
      <c r="D214" s="464"/>
      <c r="E214" s="459"/>
      <c r="F214" s="465"/>
      <c r="G214" s="466"/>
      <c r="H214" s="460"/>
      <c r="I214" s="466"/>
      <c r="J214" s="460"/>
      <c r="K214" s="466"/>
      <c r="L214" s="460"/>
      <c r="M214" s="570"/>
      <c r="N214" s="460"/>
      <c r="O214" s="570"/>
      <c r="P214" s="460"/>
      <c r="Q214" s="570"/>
      <c r="R214" s="460"/>
      <c r="S214" s="570"/>
      <c r="T214" s="460"/>
    </row>
    <row r="215" spans="1:20">
      <c r="A215" s="461"/>
      <c r="B215" s="462"/>
      <c r="C215" s="463"/>
      <c r="D215" s="464"/>
      <c r="E215" s="459"/>
      <c r="F215" s="465"/>
      <c r="G215" s="466"/>
      <c r="H215" s="460"/>
      <c r="I215" s="466"/>
      <c r="J215" s="460"/>
      <c r="K215" s="466"/>
      <c r="L215" s="460"/>
      <c r="M215" s="570"/>
      <c r="N215" s="460"/>
      <c r="O215" s="570"/>
      <c r="P215" s="460"/>
      <c r="Q215" s="570"/>
      <c r="R215" s="460"/>
      <c r="S215" s="570"/>
      <c r="T215" s="460"/>
    </row>
    <row r="216" spans="1:20">
      <c r="A216" s="461"/>
      <c r="B216" s="462"/>
      <c r="C216" s="463"/>
      <c r="D216" s="464"/>
      <c r="E216" s="459"/>
      <c r="F216" s="465"/>
      <c r="G216" s="466"/>
      <c r="H216" s="460"/>
      <c r="I216" s="466"/>
      <c r="J216" s="460"/>
      <c r="K216" s="466"/>
      <c r="L216" s="460"/>
      <c r="M216" s="570"/>
      <c r="N216" s="460"/>
      <c r="O216" s="570"/>
      <c r="P216" s="460"/>
      <c r="Q216" s="570"/>
      <c r="R216" s="460"/>
      <c r="S216" s="570"/>
      <c r="T216" s="460"/>
    </row>
    <row r="217" spans="1:20">
      <c r="A217" s="461"/>
      <c r="B217" s="462"/>
      <c r="C217" s="463"/>
      <c r="D217" s="464"/>
      <c r="E217" s="459"/>
      <c r="F217" s="465"/>
      <c r="G217" s="466"/>
      <c r="H217" s="460"/>
      <c r="I217" s="466"/>
      <c r="J217" s="460"/>
      <c r="K217" s="466"/>
      <c r="L217" s="460"/>
      <c r="M217" s="570"/>
      <c r="N217" s="460"/>
      <c r="O217" s="570"/>
      <c r="P217" s="460"/>
      <c r="Q217" s="570"/>
      <c r="R217" s="460"/>
      <c r="S217" s="570"/>
      <c r="T217" s="460"/>
    </row>
    <row r="218" spans="1:20">
      <c r="A218" s="461"/>
      <c r="B218" s="462"/>
      <c r="C218" s="463"/>
      <c r="D218" s="464"/>
      <c r="E218" s="459"/>
      <c r="F218" s="465"/>
      <c r="G218" s="466"/>
      <c r="H218" s="460"/>
      <c r="I218" s="466"/>
      <c r="J218" s="460"/>
      <c r="K218" s="466"/>
      <c r="L218" s="460"/>
      <c r="M218" s="570"/>
      <c r="N218" s="460"/>
      <c r="O218" s="570"/>
      <c r="P218" s="460"/>
      <c r="Q218" s="570"/>
      <c r="R218" s="460"/>
      <c r="S218" s="570"/>
      <c r="T218" s="460"/>
    </row>
    <row r="219" spans="1:20">
      <c r="A219" s="461"/>
      <c r="B219" s="462"/>
      <c r="C219" s="463"/>
      <c r="D219" s="464"/>
      <c r="E219" s="459"/>
      <c r="F219" s="465"/>
      <c r="G219" s="466"/>
      <c r="H219" s="460"/>
      <c r="I219" s="466"/>
      <c r="J219" s="460"/>
      <c r="K219" s="466"/>
      <c r="L219" s="460"/>
      <c r="M219" s="570"/>
      <c r="N219" s="460"/>
      <c r="O219" s="570"/>
      <c r="P219" s="460"/>
      <c r="Q219" s="570"/>
      <c r="R219" s="460"/>
      <c r="S219" s="570"/>
      <c r="T219" s="460"/>
    </row>
    <row r="220" spans="1:20">
      <c r="A220" s="461"/>
      <c r="B220" s="462"/>
      <c r="C220" s="463"/>
      <c r="D220" s="464"/>
      <c r="E220" s="459"/>
      <c r="F220" s="465"/>
      <c r="G220" s="466"/>
      <c r="H220" s="460"/>
      <c r="I220" s="466"/>
      <c r="J220" s="460"/>
      <c r="K220" s="466"/>
      <c r="L220" s="460"/>
      <c r="M220" s="570"/>
      <c r="N220" s="460"/>
      <c r="O220" s="570"/>
      <c r="P220" s="460"/>
      <c r="Q220" s="570"/>
      <c r="R220" s="460"/>
      <c r="S220" s="570"/>
      <c r="T220" s="460"/>
    </row>
    <row r="221" spans="1:20">
      <c r="A221" s="461"/>
      <c r="B221" s="462"/>
      <c r="C221" s="463"/>
      <c r="D221" s="464"/>
      <c r="E221" s="459"/>
      <c r="F221" s="465"/>
      <c r="G221" s="466"/>
      <c r="H221" s="460"/>
      <c r="I221" s="466"/>
      <c r="J221" s="460"/>
      <c r="K221" s="466"/>
      <c r="L221" s="460"/>
      <c r="M221" s="570"/>
      <c r="N221" s="460"/>
      <c r="O221" s="570"/>
      <c r="P221" s="460"/>
      <c r="Q221" s="570"/>
      <c r="R221" s="460"/>
      <c r="S221" s="570"/>
      <c r="T221" s="460"/>
    </row>
    <row r="222" spans="1:20">
      <c r="A222" s="461"/>
      <c r="B222" s="462"/>
      <c r="C222" s="463"/>
      <c r="D222" s="464"/>
      <c r="E222" s="459"/>
      <c r="F222" s="465"/>
      <c r="G222" s="466"/>
      <c r="H222" s="460"/>
      <c r="I222" s="466"/>
      <c r="J222" s="460"/>
      <c r="K222" s="466"/>
      <c r="L222" s="460"/>
      <c r="M222" s="570"/>
      <c r="N222" s="460"/>
      <c r="O222" s="570"/>
      <c r="P222" s="460"/>
      <c r="Q222" s="570"/>
      <c r="R222" s="460"/>
      <c r="S222" s="570"/>
      <c r="T222" s="460"/>
    </row>
    <row r="223" spans="1:20">
      <c r="A223" s="461"/>
      <c r="B223" s="462"/>
      <c r="C223" s="463"/>
      <c r="D223" s="464"/>
      <c r="E223" s="459"/>
      <c r="F223" s="465"/>
      <c r="G223" s="466"/>
      <c r="H223" s="460"/>
      <c r="I223" s="466"/>
      <c r="J223" s="460"/>
      <c r="K223" s="466"/>
      <c r="L223" s="460"/>
      <c r="M223" s="570"/>
      <c r="N223" s="460"/>
      <c r="O223" s="570"/>
      <c r="P223" s="460"/>
      <c r="Q223" s="570"/>
      <c r="R223" s="460"/>
      <c r="S223" s="570"/>
      <c r="T223" s="460"/>
    </row>
    <row r="224" spans="1:20">
      <c r="A224" s="461"/>
      <c r="B224" s="462"/>
      <c r="C224" s="463"/>
      <c r="D224" s="464"/>
      <c r="E224" s="459"/>
      <c r="F224" s="465"/>
      <c r="G224" s="466"/>
      <c r="H224" s="460"/>
      <c r="I224" s="466"/>
      <c r="J224" s="460"/>
      <c r="K224" s="466"/>
      <c r="L224" s="460"/>
      <c r="M224" s="570"/>
      <c r="N224" s="460"/>
      <c r="O224" s="570"/>
      <c r="P224" s="460"/>
      <c r="Q224" s="570"/>
      <c r="R224" s="460"/>
      <c r="S224" s="570"/>
      <c r="T224" s="460"/>
    </row>
    <row r="225" spans="1:20">
      <c r="A225" s="461"/>
      <c r="B225" s="462"/>
      <c r="C225" s="463"/>
      <c r="D225" s="464"/>
      <c r="E225" s="459"/>
      <c r="F225" s="465"/>
      <c r="G225" s="466"/>
      <c r="H225" s="460"/>
      <c r="I225" s="466"/>
      <c r="J225" s="460"/>
      <c r="K225" s="466"/>
      <c r="L225" s="460"/>
      <c r="M225" s="570"/>
      <c r="N225" s="460"/>
      <c r="O225" s="570"/>
      <c r="P225" s="460"/>
      <c r="Q225" s="570"/>
      <c r="R225" s="460"/>
      <c r="S225" s="570"/>
      <c r="T225" s="460"/>
    </row>
    <row r="226" spans="1:20">
      <c r="A226" s="461"/>
      <c r="B226" s="462"/>
      <c r="C226" s="463"/>
      <c r="D226" s="464"/>
      <c r="E226" s="459"/>
      <c r="F226" s="465"/>
      <c r="G226" s="466"/>
      <c r="H226" s="460"/>
      <c r="I226" s="466"/>
      <c r="J226" s="460"/>
      <c r="K226" s="466"/>
      <c r="L226" s="460"/>
      <c r="M226" s="570"/>
      <c r="N226" s="460"/>
      <c r="O226" s="570"/>
      <c r="P226" s="460"/>
      <c r="Q226" s="570"/>
      <c r="R226" s="460"/>
      <c r="S226" s="570"/>
      <c r="T226" s="460"/>
    </row>
    <row r="227" spans="1:20">
      <c r="A227" s="461"/>
      <c r="B227" s="462"/>
      <c r="C227" s="463"/>
      <c r="D227" s="464"/>
      <c r="E227" s="459"/>
      <c r="F227" s="465"/>
      <c r="G227" s="466"/>
      <c r="H227" s="460"/>
      <c r="I227" s="466"/>
      <c r="J227" s="460"/>
      <c r="K227" s="466"/>
      <c r="L227" s="460"/>
      <c r="M227" s="570"/>
      <c r="N227" s="460"/>
      <c r="O227" s="570"/>
      <c r="P227" s="460"/>
      <c r="Q227" s="570"/>
      <c r="R227" s="460"/>
      <c r="S227" s="570"/>
      <c r="T227" s="460"/>
    </row>
    <row r="228" spans="1:20">
      <c r="A228" s="461"/>
      <c r="B228" s="462"/>
      <c r="C228" s="463"/>
      <c r="D228" s="464"/>
      <c r="E228" s="459"/>
      <c r="F228" s="465"/>
      <c r="G228" s="466"/>
      <c r="H228" s="460"/>
      <c r="I228" s="466"/>
      <c r="J228" s="460"/>
      <c r="K228" s="466"/>
      <c r="L228" s="460"/>
      <c r="M228" s="570"/>
      <c r="N228" s="460"/>
      <c r="O228" s="570"/>
      <c r="P228" s="460"/>
      <c r="Q228" s="570"/>
      <c r="R228" s="460"/>
      <c r="S228" s="570"/>
      <c r="T228" s="460"/>
    </row>
    <row r="229" spans="1:20">
      <c r="A229" s="461"/>
      <c r="B229" s="462"/>
      <c r="C229" s="463"/>
      <c r="D229" s="464"/>
      <c r="E229" s="459"/>
      <c r="F229" s="465"/>
      <c r="G229" s="466"/>
      <c r="H229" s="460"/>
      <c r="I229" s="466"/>
      <c r="J229" s="460"/>
      <c r="K229" s="466"/>
      <c r="L229" s="460"/>
      <c r="M229" s="570"/>
      <c r="N229" s="460"/>
      <c r="O229" s="570"/>
      <c r="P229" s="460"/>
      <c r="Q229" s="570"/>
      <c r="R229" s="460"/>
      <c r="S229" s="570"/>
      <c r="T229" s="460"/>
    </row>
    <row r="230" spans="1:20">
      <c r="A230" s="461"/>
      <c r="B230" s="462"/>
      <c r="C230" s="463"/>
      <c r="D230" s="464"/>
      <c r="E230" s="459"/>
      <c r="F230" s="465"/>
      <c r="G230" s="466"/>
      <c r="H230" s="460"/>
      <c r="I230" s="466"/>
      <c r="J230" s="460"/>
      <c r="K230" s="466"/>
      <c r="L230" s="460"/>
      <c r="M230" s="570"/>
      <c r="N230" s="460"/>
      <c r="O230" s="570"/>
      <c r="P230" s="460"/>
      <c r="Q230" s="570"/>
      <c r="R230" s="460"/>
      <c r="S230" s="570"/>
      <c r="T230" s="460"/>
    </row>
    <row r="231" spans="1:20">
      <c r="A231" s="461"/>
      <c r="B231" s="462"/>
      <c r="C231" s="463"/>
      <c r="D231" s="464"/>
      <c r="E231" s="459"/>
      <c r="F231" s="465"/>
      <c r="G231" s="466"/>
      <c r="H231" s="460"/>
      <c r="I231" s="466"/>
      <c r="J231" s="460"/>
      <c r="K231" s="466"/>
      <c r="L231" s="460"/>
      <c r="M231" s="570"/>
      <c r="N231" s="460"/>
      <c r="O231" s="570"/>
      <c r="P231" s="460"/>
      <c r="Q231" s="570"/>
      <c r="R231" s="460"/>
      <c r="S231" s="570"/>
      <c r="T231" s="460"/>
    </row>
    <row r="232" spans="1:20">
      <c r="A232" s="461"/>
      <c r="B232" s="462"/>
      <c r="C232" s="463"/>
      <c r="D232" s="464"/>
      <c r="E232" s="459"/>
      <c r="F232" s="465"/>
      <c r="G232" s="466"/>
      <c r="H232" s="460"/>
      <c r="I232" s="466"/>
      <c r="J232" s="460"/>
      <c r="K232" s="466"/>
      <c r="L232" s="460"/>
      <c r="M232" s="570"/>
      <c r="N232" s="460"/>
      <c r="O232" s="570"/>
      <c r="P232" s="460"/>
      <c r="Q232" s="570"/>
      <c r="R232" s="460"/>
      <c r="S232" s="570"/>
      <c r="T232" s="460"/>
    </row>
    <row r="233" spans="1:20">
      <c r="A233" s="461"/>
      <c r="B233" s="462"/>
      <c r="C233" s="463"/>
      <c r="D233" s="464"/>
      <c r="E233" s="459"/>
      <c r="F233" s="465"/>
      <c r="G233" s="466"/>
      <c r="H233" s="460"/>
      <c r="I233" s="466"/>
      <c r="J233" s="460"/>
      <c r="K233" s="466"/>
      <c r="L233" s="460"/>
      <c r="M233" s="570"/>
      <c r="N233" s="460"/>
      <c r="O233" s="570"/>
      <c r="P233" s="460"/>
      <c r="Q233" s="570"/>
      <c r="R233" s="460"/>
      <c r="S233" s="570"/>
      <c r="T233" s="460"/>
    </row>
    <row r="234" spans="1:20">
      <c r="A234" s="461"/>
      <c r="B234" s="462"/>
      <c r="C234" s="463"/>
      <c r="D234" s="464"/>
      <c r="E234" s="459"/>
      <c r="F234" s="465"/>
      <c r="G234" s="466"/>
      <c r="H234" s="460"/>
      <c r="I234" s="466"/>
      <c r="J234" s="460"/>
      <c r="K234" s="466"/>
      <c r="L234" s="460"/>
      <c r="M234" s="570"/>
      <c r="N234" s="460"/>
      <c r="O234" s="570"/>
      <c r="P234" s="460"/>
      <c r="Q234" s="570"/>
      <c r="R234" s="460"/>
      <c r="S234" s="570"/>
      <c r="T234" s="460"/>
    </row>
    <row r="235" spans="1:20">
      <c r="A235" s="461"/>
      <c r="B235" s="462"/>
      <c r="C235" s="463"/>
      <c r="D235" s="464"/>
      <c r="E235" s="459"/>
      <c r="F235" s="465"/>
      <c r="G235" s="466"/>
      <c r="H235" s="460"/>
      <c r="I235" s="466"/>
      <c r="J235" s="460"/>
      <c r="K235" s="466"/>
      <c r="L235" s="460"/>
      <c r="M235" s="570"/>
      <c r="N235" s="460"/>
      <c r="O235" s="570"/>
      <c r="P235" s="460"/>
      <c r="Q235" s="570"/>
      <c r="R235" s="460"/>
      <c r="S235" s="570"/>
      <c r="T235" s="460"/>
    </row>
    <row r="236" spans="1:20">
      <c r="A236" s="461"/>
      <c r="B236" s="462"/>
      <c r="C236" s="463"/>
      <c r="D236" s="464"/>
      <c r="E236" s="459"/>
      <c r="F236" s="465"/>
      <c r="G236" s="466"/>
      <c r="H236" s="460"/>
      <c r="I236" s="466"/>
      <c r="J236" s="460"/>
      <c r="K236" s="466"/>
      <c r="L236" s="460"/>
      <c r="M236" s="570"/>
      <c r="N236" s="460"/>
      <c r="O236" s="570"/>
      <c r="P236" s="460"/>
      <c r="Q236" s="570"/>
      <c r="R236" s="460"/>
      <c r="S236" s="570"/>
      <c r="T236" s="460"/>
    </row>
    <row r="237" spans="1:20">
      <c r="A237" s="461"/>
      <c r="B237" s="462"/>
      <c r="C237" s="463"/>
      <c r="D237" s="464"/>
      <c r="E237" s="459"/>
      <c r="F237" s="465"/>
      <c r="G237" s="466"/>
      <c r="H237" s="460"/>
      <c r="I237" s="466"/>
      <c r="J237" s="460"/>
      <c r="K237" s="466"/>
      <c r="L237" s="460"/>
      <c r="M237" s="570"/>
      <c r="N237" s="460"/>
      <c r="O237" s="570"/>
      <c r="P237" s="460"/>
      <c r="Q237" s="570"/>
      <c r="R237" s="460"/>
      <c r="S237" s="570"/>
      <c r="T237" s="460"/>
    </row>
    <row r="238" spans="1:20">
      <c r="A238" s="461"/>
      <c r="B238" s="462"/>
      <c r="C238" s="463"/>
      <c r="D238" s="464"/>
      <c r="E238" s="459"/>
      <c r="F238" s="465"/>
      <c r="G238" s="466"/>
      <c r="H238" s="460"/>
      <c r="I238" s="466"/>
      <c r="J238" s="460"/>
      <c r="K238" s="466"/>
      <c r="L238" s="460"/>
      <c r="M238" s="570"/>
      <c r="N238" s="460"/>
      <c r="O238" s="570"/>
      <c r="P238" s="460"/>
      <c r="Q238" s="570"/>
      <c r="R238" s="460"/>
      <c r="S238" s="570"/>
      <c r="T238" s="460"/>
    </row>
    <row r="239" spans="1:20">
      <c r="A239" s="461"/>
      <c r="B239" s="462"/>
      <c r="C239" s="463"/>
      <c r="D239" s="464"/>
      <c r="E239" s="459"/>
      <c r="F239" s="465"/>
      <c r="G239" s="466"/>
      <c r="H239" s="460"/>
      <c r="I239" s="466"/>
      <c r="J239" s="460"/>
      <c r="K239" s="466"/>
      <c r="L239" s="460"/>
      <c r="M239" s="570"/>
      <c r="N239" s="460"/>
      <c r="O239" s="570"/>
      <c r="P239" s="460"/>
      <c r="Q239" s="570"/>
      <c r="R239" s="460"/>
      <c r="S239" s="570"/>
      <c r="T239" s="460"/>
    </row>
    <row r="240" spans="1:20">
      <c r="A240" s="461"/>
      <c r="B240" s="462"/>
      <c r="C240" s="463"/>
      <c r="D240" s="464"/>
      <c r="E240" s="459"/>
      <c r="F240" s="465"/>
      <c r="G240" s="466"/>
      <c r="H240" s="460"/>
      <c r="I240" s="466"/>
      <c r="J240" s="460"/>
      <c r="K240" s="466"/>
      <c r="L240" s="460"/>
      <c r="M240" s="570"/>
      <c r="N240" s="460"/>
      <c r="O240" s="570"/>
      <c r="P240" s="460"/>
      <c r="Q240" s="570"/>
      <c r="R240" s="460"/>
      <c r="S240" s="570"/>
      <c r="T240" s="460"/>
    </row>
    <row r="241" spans="1:20">
      <c r="A241" s="461"/>
      <c r="B241" s="462"/>
      <c r="C241" s="463"/>
      <c r="D241" s="464"/>
      <c r="E241" s="459"/>
      <c r="F241" s="465"/>
      <c r="G241" s="466"/>
      <c r="H241" s="460"/>
      <c r="I241" s="466"/>
      <c r="J241" s="460"/>
      <c r="K241" s="466"/>
      <c r="L241" s="460"/>
      <c r="M241" s="570"/>
      <c r="N241" s="460"/>
      <c r="O241" s="570"/>
      <c r="P241" s="460"/>
      <c r="Q241" s="570"/>
      <c r="R241" s="460"/>
      <c r="S241" s="570"/>
      <c r="T241" s="460"/>
    </row>
    <row r="242" spans="1:20">
      <c r="A242" s="461"/>
      <c r="B242" s="462"/>
      <c r="C242" s="463"/>
      <c r="D242" s="464"/>
      <c r="E242" s="459"/>
      <c r="F242" s="465"/>
      <c r="G242" s="466"/>
      <c r="H242" s="460"/>
      <c r="I242" s="466"/>
      <c r="J242" s="460"/>
      <c r="K242" s="466"/>
      <c r="L242" s="460"/>
      <c r="M242" s="570"/>
      <c r="N242" s="460"/>
      <c r="O242" s="570"/>
      <c r="P242" s="460"/>
      <c r="Q242" s="570"/>
      <c r="R242" s="460"/>
      <c r="S242" s="570"/>
      <c r="T242" s="460"/>
    </row>
    <row r="243" spans="1:20">
      <c r="A243" s="461"/>
      <c r="B243" s="462"/>
      <c r="C243" s="463"/>
      <c r="D243" s="464"/>
      <c r="E243" s="459"/>
      <c r="F243" s="465"/>
      <c r="G243" s="466"/>
      <c r="H243" s="460"/>
      <c r="I243" s="466"/>
      <c r="J243" s="460"/>
      <c r="K243" s="466"/>
      <c r="L243" s="460"/>
      <c r="M243" s="570"/>
      <c r="N243" s="460"/>
      <c r="O243" s="570"/>
      <c r="P243" s="460"/>
      <c r="Q243" s="570"/>
      <c r="R243" s="460"/>
      <c r="S243" s="570"/>
      <c r="T243" s="460"/>
    </row>
    <row r="244" spans="1:20">
      <c r="A244" s="461"/>
      <c r="B244" s="462"/>
      <c r="C244" s="463"/>
      <c r="D244" s="464"/>
      <c r="E244" s="459"/>
      <c r="F244" s="465"/>
      <c r="G244" s="466"/>
      <c r="H244" s="460"/>
      <c r="I244" s="466"/>
      <c r="J244" s="460"/>
      <c r="K244" s="466"/>
      <c r="L244" s="460"/>
      <c r="M244" s="570"/>
      <c r="N244" s="460"/>
      <c r="O244" s="570"/>
      <c r="P244" s="460"/>
      <c r="Q244" s="570"/>
      <c r="R244" s="460"/>
      <c r="S244" s="570"/>
      <c r="T244" s="460"/>
    </row>
    <row r="245" spans="1:20">
      <c r="A245" s="461"/>
      <c r="B245" s="462"/>
      <c r="C245" s="463"/>
      <c r="D245" s="464"/>
      <c r="E245" s="459"/>
      <c r="F245" s="465"/>
      <c r="G245" s="466"/>
      <c r="H245" s="460"/>
      <c r="I245" s="466"/>
      <c r="J245" s="460"/>
      <c r="K245" s="466"/>
      <c r="L245" s="460"/>
      <c r="M245" s="570"/>
      <c r="N245" s="460"/>
      <c r="O245" s="570"/>
      <c r="P245" s="460"/>
      <c r="Q245" s="570"/>
      <c r="R245" s="460"/>
      <c r="S245" s="570"/>
      <c r="T245" s="460"/>
    </row>
    <row r="246" spans="1:20">
      <c r="A246" s="461"/>
      <c r="B246" s="462"/>
      <c r="C246" s="463"/>
      <c r="D246" s="464"/>
      <c r="E246" s="459"/>
      <c r="F246" s="465"/>
      <c r="G246" s="466"/>
      <c r="H246" s="460"/>
      <c r="I246" s="466"/>
      <c r="J246" s="460"/>
      <c r="K246" s="466"/>
      <c r="L246" s="460"/>
      <c r="M246" s="570"/>
      <c r="N246" s="460"/>
      <c r="O246" s="570"/>
      <c r="P246" s="460"/>
      <c r="Q246" s="570"/>
      <c r="R246" s="460"/>
      <c r="S246" s="570"/>
      <c r="T246" s="460"/>
    </row>
    <row r="247" spans="1:20">
      <c r="A247" s="461"/>
      <c r="B247" s="462"/>
      <c r="C247" s="463"/>
      <c r="D247" s="464"/>
      <c r="E247" s="459"/>
      <c r="F247" s="465"/>
      <c r="G247" s="466"/>
      <c r="H247" s="460"/>
      <c r="I247" s="466"/>
      <c r="J247" s="460"/>
      <c r="K247" s="466"/>
      <c r="L247" s="460"/>
      <c r="M247" s="570"/>
      <c r="N247" s="460"/>
      <c r="O247" s="570"/>
      <c r="P247" s="460"/>
      <c r="Q247" s="570"/>
      <c r="R247" s="460"/>
      <c r="S247" s="570"/>
      <c r="T247" s="460"/>
    </row>
    <row r="248" spans="1:20">
      <c r="A248" s="461"/>
      <c r="B248" s="462"/>
      <c r="C248" s="463"/>
      <c r="D248" s="464"/>
      <c r="E248" s="459"/>
      <c r="F248" s="465"/>
      <c r="G248" s="466"/>
      <c r="H248" s="460"/>
      <c r="I248" s="466"/>
      <c r="J248" s="460"/>
      <c r="K248" s="466"/>
      <c r="L248" s="460"/>
      <c r="M248" s="570"/>
      <c r="N248" s="460"/>
      <c r="O248" s="570"/>
      <c r="P248" s="460"/>
      <c r="Q248" s="570"/>
      <c r="R248" s="460"/>
      <c r="S248" s="570"/>
      <c r="T248" s="460"/>
    </row>
    <row r="249" spans="1:20">
      <c r="A249" s="461"/>
      <c r="B249" s="462"/>
      <c r="C249" s="463"/>
      <c r="D249" s="464"/>
      <c r="E249" s="459"/>
      <c r="F249" s="465"/>
      <c r="G249" s="466"/>
      <c r="H249" s="460"/>
      <c r="I249" s="466"/>
      <c r="J249" s="460"/>
      <c r="K249" s="466"/>
      <c r="L249" s="460"/>
      <c r="M249" s="570"/>
      <c r="N249" s="460"/>
      <c r="O249" s="570"/>
      <c r="P249" s="460"/>
      <c r="Q249" s="570"/>
      <c r="R249" s="460"/>
      <c r="S249" s="570"/>
      <c r="T249" s="460"/>
    </row>
    <row r="250" spans="1:20">
      <c r="A250" s="461"/>
      <c r="B250" s="462"/>
      <c r="C250" s="463"/>
      <c r="D250" s="464"/>
      <c r="E250" s="459"/>
      <c r="F250" s="465"/>
      <c r="G250" s="466"/>
      <c r="H250" s="460"/>
      <c r="I250" s="466"/>
      <c r="J250" s="460"/>
      <c r="K250" s="466"/>
      <c r="L250" s="460"/>
      <c r="M250" s="570"/>
      <c r="N250" s="460"/>
      <c r="O250" s="570"/>
      <c r="P250" s="460"/>
      <c r="Q250" s="570"/>
      <c r="R250" s="460"/>
      <c r="S250" s="570"/>
      <c r="T250" s="460"/>
    </row>
    <row r="251" spans="1:20">
      <c r="A251" s="461"/>
      <c r="B251" s="462"/>
      <c r="C251" s="463"/>
      <c r="D251" s="464"/>
      <c r="E251" s="459"/>
      <c r="F251" s="465"/>
      <c r="G251" s="466"/>
      <c r="H251" s="460"/>
      <c r="I251" s="466"/>
      <c r="J251" s="460"/>
      <c r="K251" s="466"/>
      <c r="L251" s="460"/>
      <c r="M251" s="570"/>
      <c r="N251" s="460"/>
      <c r="O251" s="570"/>
      <c r="P251" s="460"/>
      <c r="Q251" s="570"/>
      <c r="R251" s="460"/>
      <c r="S251" s="570"/>
      <c r="T251" s="460"/>
    </row>
    <row r="252" spans="1:20">
      <c r="A252" s="461"/>
      <c r="B252" s="462"/>
      <c r="C252" s="463"/>
      <c r="D252" s="464"/>
      <c r="E252" s="459"/>
      <c r="F252" s="465"/>
      <c r="G252" s="466"/>
      <c r="H252" s="460"/>
      <c r="I252" s="466"/>
      <c r="J252" s="460"/>
      <c r="K252" s="466"/>
      <c r="L252" s="460"/>
      <c r="M252" s="570"/>
      <c r="N252" s="460"/>
      <c r="O252" s="570"/>
      <c r="P252" s="460"/>
      <c r="Q252" s="570"/>
      <c r="R252" s="460"/>
      <c r="S252" s="570"/>
      <c r="T252" s="460"/>
    </row>
    <row r="253" spans="1:20">
      <c r="A253" s="461"/>
      <c r="B253" s="462"/>
      <c r="C253" s="463"/>
      <c r="D253" s="464"/>
      <c r="E253" s="459"/>
      <c r="F253" s="465"/>
      <c r="G253" s="466"/>
      <c r="H253" s="460"/>
      <c r="I253" s="466"/>
      <c r="J253" s="460"/>
      <c r="K253" s="466"/>
      <c r="L253" s="460"/>
      <c r="M253" s="570"/>
      <c r="N253" s="460"/>
      <c r="O253" s="570"/>
      <c r="P253" s="460"/>
      <c r="Q253" s="570"/>
      <c r="R253" s="460"/>
      <c r="S253" s="570"/>
      <c r="T253" s="460"/>
    </row>
    <row r="254" spans="1:20">
      <c r="A254" s="461"/>
      <c r="B254" s="462"/>
      <c r="C254" s="463"/>
      <c r="D254" s="464"/>
      <c r="E254" s="459"/>
      <c r="F254" s="465"/>
      <c r="G254" s="466"/>
      <c r="H254" s="460"/>
      <c r="I254" s="466"/>
      <c r="J254" s="460"/>
      <c r="K254" s="466"/>
      <c r="L254" s="460"/>
      <c r="M254" s="570"/>
      <c r="N254" s="460"/>
      <c r="O254" s="570"/>
      <c r="P254" s="460"/>
      <c r="Q254" s="570"/>
      <c r="R254" s="460"/>
      <c r="S254" s="570"/>
      <c r="T254" s="460"/>
    </row>
    <row r="255" spans="1:20">
      <c r="A255" s="461"/>
      <c r="B255" s="462"/>
      <c r="C255" s="463"/>
      <c r="D255" s="464"/>
      <c r="E255" s="459"/>
      <c r="F255" s="465"/>
      <c r="G255" s="466"/>
      <c r="H255" s="460"/>
      <c r="I255" s="466"/>
      <c r="J255" s="460"/>
      <c r="K255" s="466"/>
      <c r="L255" s="460"/>
      <c r="M255" s="570"/>
      <c r="N255" s="460"/>
      <c r="O255" s="570"/>
      <c r="P255" s="460"/>
      <c r="Q255" s="570"/>
      <c r="R255" s="460"/>
      <c r="S255" s="570"/>
      <c r="T255" s="460"/>
    </row>
    <row r="256" spans="1:20">
      <c r="A256" s="461"/>
      <c r="B256" s="462"/>
      <c r="C256" s="463"/>
      <c r="D256" s="464"/>
      <c r="E256" s="459"/>
      <c r="F256" s="465"/>
      <c r="G256" s="466"/>
      <c r="H256" s="460"/>
      <c r="I256" s="466"/>
      <c r="J256" s="460"/>
      <c r="K256" s="466"/>
      <c r="L256" s="460"/>
      <c r="M256" s="570"/>
      <c r="N256" s="460"/>
      <c r="O256" s="570"/>
      <c r="P256" s="460"/>
      <c r="Q256" s="570"/>
      <c r="R256" s="460"/>
      <c r="S256" s="570"/>
      <c r="T256" s="460"/>
    </row>
    <row r="257" spans="1:20">
      <c r="A257" s="461"/>
      <c r="B257" s="462"/>
      <c r="C257" s="463"/>
      <c r="D257" s="464"/>
      <c r="E257" s="459"/>
      <c r="F257" s="465"/>
      <c r="G257" s="466"/>
      <c r="H257" s="460"/>
      <c r="I257" s="466"/>
      <c r="J257" s="460"/>
      <c r="K257" s="466"/>
      <c r="L257" s="460"/>
      <c r="M257" s="570"/>
      <c r="N257" s="460"/>
      <c r="O257" s="570"/>
      <c r="P257" s="460"/>
      <c r="Q257" s="570"/>
      <c r="R257" s="460"/>
      <c r="S257" s="570"/>
      <c r="T257" s="460"/>
    </row>
    <row r="258" spans="1:20">
      <c r="A258" s="461"/>
      <c r="B258" s="462"/>
      <c r="C258" s="463"/>
      <c r="D258" s="464"/>
      <c r="E258" s="459"/>
      <c r="F258" s="465"/>
      <c r="G258" s="466"/>
      <c r="H258" s="460"/>
      <c r="I258" s="466"/>
      <c r="J258" s="460"/>
      <c r="K258" s="466"/>
      <c r="L258" s="460"/>
      <c r="M258" s="570"/>
      <c r="N258" s="460"/>
      <c r="O258" s="570"/>
      <c r="P258" s="460"/>
      <c r="Q258" s="570"/>
      <c r="R258" s="460"/>
      <c r="S258" s="570"/>
      <c r="T258" s="460"/>
    </row>
    <row r="259" spans="1:20">
      <c r="A259" s="461"/>
      <c r="B259" s="462"/>
      <c r="C259" s="463"/>
      <c r="D259" s="464"/>
      <c r="E259" s="459"/>
      <c r="F259" s="465"/>
      <c r="G259" s="466"/>
      <c r="H259" s="460"/>
      <c r="I259" s="466"/>
      <c r="J259" s="460"/>
      <c r="K259" s="466"/>
      <c r="L259" s="460"/>
      <c r="M259" s="570"/>
      <c r="N259" s="460"/>
      <c r="O259" s="570"/>
      <c r="P259" s="460"/>
      <c r="Q259" s="570"/>
      <c r="R259" s="460"/>
      <c r="S259" s="570"/>
      <c r="T259" s="460"/>
    </row>
    <row r="260" spans="1:20">
      <c r="A260" s="461"/>
      <c r="B260" s="462"/>
      <c r="C260" s="463"/>
      <c r="D260" s="464"/>
      <c r="E260" s="459"/>
      <c r="F260" s="465"/>
      <c r="G260" s="466"/>
      <c r="H260" s="460"/>
      <c r="I260" s="466"/>
      <c r="J260" s="460"/>
      <c r="K260" s="466"/>
      <c r="L260" s="460"/>
      <c r="M260" s="570"/>
      <c r="N260" s="460"/>
      <c r="O260" s="570"/>
      <c r="P260" s="460"/>
      <c r="Q260" s="570"/>
      <c r="R260" s="460"/>
      <c r="S260" s="570"/>
      <c r="T260" s="460"/>
    </row>
    <row r="261" spans="1:20">
      <c r="A261" s="461"/>
      <c r="B261" s="462"/>
      <c r="C261" s="463"/>
      <c r="D261" s="464"/>
      <c r="E261" s="459"/>
      <c r="F261" s="465"/>
      <c r="G261" s="466"/>
      <c r="H261" s="460"/>
      <c r="I261" s="466"/>
      <c r="J261" s="460"/>
      <c r="K261" s="466"/>
      <c r="L261" s="460"/>
      <c r="M261" s="570"/>
      <c r="N261" s="460"/>
      <c r="O261" s="570"/>
      <c r="P261" s="460"/>
      <c r="Q261" s="570"/>
      <c r="R261" s="460"/>
      <c r="S261" s="570"/>
      <c r="T261" s="460"/>
    </row>
    <row r="262" spans="1:20">
      <c r="A262" s="461"/>
      <c r="B262" s="462"/>
      <c r="C262" s="463"/>
      <c r="D262" s="464"/>
      <c r="E262" s="459"/>
      <c r="F262" s="465"/>
      <c r="G262" s="466"/>
      <c r="H262" s="460"/>
      <c r="I262" s="466"/>
      <c r="J262" s="460"/>
      <c r="K262" s="466"/>
      <c r="L262" s="460"/>
      <c r="M262" s="570"/>
      <c r="N262" s="460"/>
      <c r="O262" s="570"/>
      <c r="P262" s="460"/>
      <c r="Q262" s="570"/>
      <c r="R262" s="460"/>
      <c r="S262" s="570"/>
      <c r="T262" s="460"/>
    </row>
    <row r="263" spans="1:20">
      <c r="A263" s="461"/>
      <c r="B263" s="462"/>
      <c r="C263" s="463"/>
      <c r="D263" s="464"/>
      <c r="E263" s="459"/>
      <c r="F263" s="465"/>
      <c r="G263" s="466"/>
      <c r="H263" s="460"/>
      <c r="I263" s="466"/>
      <c r="J263" s="460"/>
      <c r="K263" s="466"/>
      <c r="L263" s="460"/>
      <c r="M263" s="570"/>
      <c r="N263" s="460"/>
      <c r="O263" s="570"/>
      <c r="P263" s="460"/>
      <c r="Q263" s="570"/>
      <c r="R263" s="460"/>
      <c r="S263" s="570"/>
      <c r="T263" s="460"/>
    </row>
    <row r="264" spans="1:20">
      <c r="A264" s="461"/>
      <c r="B264" s="462"/>
      <c r="C264" s="463"/>
      <c r="D264" s="464"/>
      <c r="E264" s="459"/>
      <c r="F264" s="465"/>
      <c r="G264" s="466"/>
      <c r="H264" s="460"/>
      <c r="I264" s="466"/>
      <c r="J264" s="460"/>
      <c r="K264" s="466"/>
      <c r="L264" s="460"/>
      <c r="M264" s="570"/>
      <c r="N264" s="460"/>
      <c r="O264" s="570"/>
      <c r="P264" s="460"/>
      <c r="Q264" s="570"/>
      <c r="R264" s="460"/>
      <c r="S264" s="570"/>
      <c r="T264" s="460"/>
    </row>
    <row r="265" spans="1:20">
      <c r="A265" s="461"/>
      <c r="B265" s="462"/>
      <c r="C265" s="463"/>
      <c r="D265" s="464"/>
      <c r="E265" s="459"/>
      <c r="F265" s="465"/>
      <c r="G265" s="466"/>
      <c r="H265" s="460"/>
      <c r="I265" s="466"/>
      <c r="J265" s="460"/>
      <c r="K265" s="466"/>
      <c r="L265" s="460"/>
      <c r="M265" s="570"/>
      <c r="N265" s="460"/>
      <c r="O265" s="570"/>
      <c r="P265" s="460"/>
      <c r="Q265" s="570"/>
      <c r="R265" s="460"/>
      <c r="S265" s="570"/>
      <c r="T265" s="460"/>
    </row>
    <row r="266" spans="1:20">
      <c r="A266" s="461"/>
      <c r="B266" s="462"/>
      <c r="C266" s="463"/>
      <c r="D266" s="464"/>
      <c r="E266" s="459"/>
      <c r="F266" s="465"/>
      <c r="G266" s="466"/>
      <c r="H266" s="460"/>
      <c r="I266" s="466"/>
      <c r="J266" s="460"/>
      <c r="K266" s="466"/>
      <c r="L266" s="460"/>
      <c r="M266" s="570"/>
      <c r="N266" s="460"/>
      <c r="O266" s="570"/>
      <c r="P266" s="460"/>
      <c r="Q266" s="570"/>
      <c r="R266" s="460"/>
      <c r="S266" s="570"/>
      <c r="T266" s="460"/>
    </row>
    <row r="267" spans="1:20">
      <c r="A267" s="461"/>
      <c r="B267" s="462"/>
      <c r="C267" s="463"/>
      <c r="D267" s="464"/>
      <c r="E267" s="459"/>
      <c r="F267" s="465"/>
      <c r="G267" s="466"/>
      <c r="H267" s="460"/>
      <c r="I267" s="466"/>
      <c r="J267" s="460"/>
      <c r="K267" s="466"/>
      <c r="L267" s="460"/>
      <c r="M267" s="570"/>
      <c r="N267" s="460"/>
      <c r="O267" s="570"/>
      <c r="P267" s="460"/>
      <c r="Q267" s="570"/>
      <c r="R267" s="460"/>
      <c r="S267" s="570"/>
      <c r="T267" s="460"/>
    </row>
    <row r="268" spans="1:20">
      <c r="A268" s="461"/>
      <c r="B268" s="462"/>
      <c r="C268" s="463"/>
      <c r="D268" s="464"/>
      <c r="E268" s="459"/>
      <c r="F268" s="465"/>
      <c r="G268" s="466"/>
      <c r="H268" s="460"/>
      <c r="I268" s="466"/>
      <c r="J268" s="460"/>
      <c r="K268" s="466"/>
      <c r="L268" s="460"/>
      <c r="M268" s="570"/>
      <c r="N268" s="460"/>
      <c r="O268" s="570"/>
      <c r="P268" s="460"/>
      <c r="Q268" s="570"/>
      <c r="R268" s="460"/>
      <c r="S268" s="570"/>
      <c r="T268" s="460"/>
    </row>
    <row r="269" spans="1:20">
      <c r="A269" s="461"/>
      <c r="B269" s="462"/>
      <c r="C269" s="463"/>
      <c r="D269" s="464"/>
      <c r="E269" s="459"/>
      <c r="F269" s="465"/>
      <c r="G269" s="466"/>
      <c r="H269" s="460"/>
      <c r="I269" s="466"/>
      <c r="J269" s="460"/>
      <c r="K269" s="466"/>
      <c r="L269" s="460"/>
      <c r="M269" s="570"/>
      <c r="N269" s="460"/>
      <c r="O269" s="570"/>
      <c r="P269" s="460"/>
      <c r="Q269" s="570"/>
      <c r="R269" s="460"/>
      <c r="S269" s="570"/>
      <c r="T269" s="460"/>
    </row>
    <row r="270" spans="1:20">
      <c r="A270" s="461"/>
      <c r="B270" s="462"/>
      <c r="C270" s="463"/>
      <c r="D270" s="464"/>
      <c r="E270" s="459"/>
      <c r="F270" s="465"/>
      <c r="G270" s="466"/>
      <c r="H270" s="460"/>
      <c r="I270" s="466"/>
      <c r="J270" s="460"/>
      <c r="K270" s="466"/>
      <c r="L270" s="460"/>
      <c r="M270" s="570"/>
      <c r="N270" s="460"/>
      <c r="O270" s="570"/>
      <c r="P270" s="460"/>
      <c r="Q270" s="570"/>
      <c r="R270" s="460"/>
      <c r="S270" s="570"/>
      <c r="T270" s="460"/>
    </row>
    <row r="271" spans="1:20">
      <c r="A271" s="461"/>
      <c r="B271" s="462"/>
      <c r="C271" s="463"/>
      <c r="D271" s="464"/>
      <c r="E271" s="459"/>
      <c r="F271" s="465"/>
      <c r="G271" s="466"/>
      <c r="H271" s="460"/>
      <c r="I271" s="466"/>
      <c r="J271" s="460"/>
      <c r="K271" s="466"/>
      <c r="L271" s="460"/>
      <c r="M271" s="570"/>
      <c r="N271" s="460"/>
      <c r="O271" s="570"/>
      <c r="P271" s="460"/>
      <c r="Q271" s="570"/>
      <c r="R271" s="460"/>
      <c r="S271" s="570"/>
      <c r="T271" s="460"/>
    </row>
    <row r="272" spans="1:20">
      <c r="A272" s="461"/>
      <c r="B272" s="462"/>
      <c r="C272" s="463"/>
      <c r="D272" s="464"/>
      <c r="E272" s="459"/>
      <c r="F272" s="465"/>
      <c r="G272" s="466"/>
      <c r="H272" s="460"/>
      <c r="I272" s="466"/>
      <c r="J272" s="460"/>
      <c r="K272" s="466"/>
      <c r="L272" s="460"/>
      <c r="M272" s="570"/>
      <c r="N272" s="460"/>
      <c r="O272" s="570"/>
      <c r="P272" s="460"/>
      <c r="Q272" s="570"/>
      <c r="R272" s="460"/>
      <c r="S272" s="570"/>
      <c r="T272" s="460"/>
    </row>
    <row r="273" spans="1:20">
      <c r="A273" s="461"/>
      <c r="B273" s="462"/>
      <c r="C273" s="463"/>
      <c r="D273" s="464"/>
      <c r="E273" s="459"/>
      <c r="F273" s="465"/>
      <c r="G273" s="466"/>
      <c r="H273" s="460"/>
      <c r="I273" s="466"/>
      <c r="J273" s="460"/>
      <c r="K273" s="466"/>
      <c r="L273" s="460"/>
      <c r="M273" s="570"/>
      <c r="N273" s="460"/>
      <c r="O273" s="570"/>
      <c r="P273" s="460"/>
      <c r="Q273" s="570"/>
      <c r="R273" s="460"/>
      <c r="S273" s="570"/>
      <c r="T273" s="460"/>
    </row>
    <row r="274" spans="1:20">
      <c r="A274" s="461"/>
      <c r="B274" s="462"/>
      <c r="C274" s="463"/>
      <c r="D274" s="464"/>
      <c r="E274" s="459"/>
      <c r="F274" s="465"/>
      <c r="G274" s="466"/>
      <c r="H274" s="460"/>
      <c r="I274" s="466"/>
      <c r="J274" s="460"/>
      <c r="K274" s="466"/>
      <c r="L274" s="460"/>
      <c r="M274" s="570"/>
      <c r="N274" s="460"/>
      <c r="O274" s="570"/>
      <c r="P274" s="460"/>
      <c r="Q274" s="570"/>
      <c r="R274" s="460"/>
      <c r="S274" s="570"/>
      <c r="T274" s="460"/>
    </row>
    <row r="275" spans="1:20">
      <c r="A275" s="461"/>
      <c r="B275" s="462"/>
      <c r="C275" s="463"/>
      <c r="D275" s="464"/>
      <c r="E275" s="459"/>
      <c r="F275" s="465"/>
      <c r="G275" s="466"/>
      <c r="H275" s="460"/>
      <c r="I275" s="466"/>
      <c r="J275" s="460"/>
      <c r="K275" s="466"/>
      <c r="L275" s="460"/>
      <c r="M275" s="570"/>
      <c r="N275" s="460"/>
      <c r="O275" s="570"/>
      <c r="P275" s="460"/>
      <c r="Q275" s="570"/>
      <c r="R275" s="460"/>
      <c r="S275" s="570"/>
      <c r="T275" s="460"/>
    </row>
    <row r="276" spans="1:20">
      <c r="A276" s="461"/>
      <c r="B276" s="462"/>
      <c r="C276" s="463"/>
      <c r="D276" s="464"/>
      <c r="E276" s="459"/>
      <c r="F276" s="465"/>
      <c r="G276" s="466"/>
      <c r="H276" s="460"/>
      <c r="I276" s="466"/>
      <c r="J276" s="460"/>
      <c r="K276" s="466"/>
      <c r="L276" s="460"/>
      <c r="M276" s="570"/>
      <c r="N276" s="460"/>
      <c r="O276" s="570"/>
      <c r="P276" s="460"/>
      <c r="Q276" s="570"/>
      <c r="R276" s="460"/>
      <c r="S276" s="570"/>
      <c r="T276" s="460"/>
    </row>
    <row r="277" spans="1:20">
      <c r="A277" s="461"/>
      <c r="B277" s="462"/>
      <c r="C277" s="463"/>
      <c r="D277" s="464"/>
      <c r="E277" s="459"/>
      <c r="F277" s="465"/>
      <c r="G277" s="466"/>
      <c r="H277" s="460"/>
      <c r="I277" s="466"/>
      <c r="J277" s="460"/>
      <c r="K277" s="466"/>
      <c r="L277" s="460"/>
      <c r="M277" s="570"/>
      <c r="N277" s="460"/>
      <c r="O277" s="570"/>
      <c r="P277" s="460"/>
      <c r="Q277" s="570"/>
      <c r="R277" s="460"/>
      <c r="S277" s="570"/>
      <c r="T277" s="460"/>
    </row>
    <row r="278" spans="1:20">
      <c r="A278" s="461"/>
      <c r="B278" s="462"/>
      <c r="C278" s="463"/>
      <c r="D278" s="464"/>
      <c r="E278" s="459"/>
      <c r="F278" s="465"/>
      <c r="G278" s="466"/>
      <c r="H278" s="460"/>
      <c r="I278" s="466"/>
      <c r="J278" s="460"/>
      <c r="K278" s="466"/>
      <c r="L278" s="460"/>
      <c r="M278" s="570"/>
      <c r="N278" s="460"/>
      <c r="O278" s="570"/>
      <c r="P278" s="460"/>
      <c r="Q278" s="570"/>
      <c r="R278" s="460"/>
      <c r="S278" s="570"/>
      <c r="T278" s="460"/>
    </row>
    <row r="279" spans="1:20">
      <c r="A279" s="461"/>
      <c r="B279" s="462"/>
      <c r="C279" s="463"/>
      <c r="D279" s="464"/>
      <c r="E279" s="459"/>
      <c r="F279" s="465"/>
      <c r="G279" s="466"/>
      <c r="H279" s="460"/>
      <c r="I279" s="466"/>
      <c r="J279" s="460"/>
      <c r="K279" s="466"/>
      <c r="L279" s="460"/>
      <c r="M279" s="570"/>
      <c r="N279" s="460"/>
      <c r="O279" s="570"/>
      <c r="P279" s="460"/>
      <c r="Q279" s="570"/>
      <c r="R279" s="460"/>
      <c r="S279" s="570"/>
      <c r="T279" s="460"/>
    </row>
    <row r="280" spans="1:20">
      <c r="A280" s="461"/>
      <c r="B280" s="462"/>
      <c r="C280" s="463"/>
      <c r="D280" s="464"/>
      <c r="E280" s="459"/>
      <c r="F280" s="465"/>
      <c r="G280" s="466"/>
      <c r="H280" s="460"/>
      <c r="I280" s="466"/>
      <c r="J280" s="460"/>
      <c r="K280" s="466"/>
      <c r="L280" s="460"/>
      <c r="M280" s="570"/>
      <c r="N280" s="460"/>
      <c r="O280" s="570"/>
      <c r="P280" s="460"/>
      <c r="Q280" s="570"/>
      <c r="R280" s="460"/>
      <c r="S280" s="570"/>
      <c r="T280" s="460"/>
    </row>
    <row r="281" spans="1:20">
      <c r="A281" s="461"/>
      <c r="B281" s="462"/>
      <c r="C281" s="463"/>
      <c r="D281" s="464"/>
      <c r="E281" s="459"/>
      <c r="F281" s="465"/>
      <c r="G281" s="466"/>
      <c r="H281" s="460"/>
      <c r="I281" s="466"/>
      <c r="J281" s="460"/>
      <c r="K281" s="466"/>
      <c r="L281" s="460"/>
      <c r="M281" s="570"/>
      <c r="N281" s="460"/>
      <c r="O281" s="570"/>
      <c r="P281" s="460"/>
      <c r="Q281" s="570"/>
      <c r="R281" s="460"/>
      <c r="S281" s="570"/>
      <c r="T281" s="460"/>
    </row>
    <row r="282" spans="1:20">
      <c r="A282" s="461"/>
      <c r="B282" s="462"/>
      <c r="C282" s="463"/>
      <c r="D282" s="464"/>
      <c r="E282" s="459"/>
      <c r="F282" s="465"/>
      <c r="G282" s="466"/>
      <c r="H282" s="460"/>
      <c r="I282" s="466"/>
      <c r="J282" s="460"/>
      <c r="K282" s="466"/>
      <c r="L282" s="460"/>
      <c r="M282" s="570"/>
      <c r="N282" s="460"/>
      <c r="O282" s="570"/>
      <c r="P282" s="460"/>
      <c r="Q282" s="570"/>
      <c r="R282" s="460"/>
      <c r="S282" s="570"/>
      <c r="T282" s="460"/>
    </row>
    <row r="283" spans="1:20">
      <c r="A283" s="461"/>
      <c r="B283" s="462"/>
      <c r="C283" s="463"/>
      <c r="D283" s="464"/>
      <c r="E283" s="459"/>
      <c r="F283" s="465"/>
      <c r="G283" s="466"/>
      <c r="H283" s="460"/>
      <c r="I283" s="466"/>
      <c r="J283" s="460"/>
      <c r="K283" s="466"/>
      <c r="L283" s="460"/>
      <c r="M283" s="570"/>
      <c r="N283" s="460"/>
      <c r="O283" s="570"/>
      <c r="P283" s="460"/>
      <c r="Q283" s="570"/>
      <c r="R283" s="460"/>
      <c r="S283" s="570"/>
      <c r="T283" s="460"/>
    </row>
    <row r="284" spans="1:20">
      <c r="A284" s="461"/>
      <c r="B284" s="462"/>
      <c r="C284" s="463"/>
      <c r="D284" s="464"/>
      <c r="E284" s="459"/>
      <c r="F284" s="465"/>
      <c r="G284" s="466"/>
      <c r="H284" s="460"/>
      <c r="I284" s="466"/>
      <c r="J284" s="460"/>
      <c r="K284" s="466"/>
      <c r="L284" s="460"/>
      <c r="M284" s="570"/>
      <c r="N284" s="460"/>
      <c r="O284" s="570"/>
      <c r="P284" s="460"/>
      <c r="Q284" s="570"/>
      <c r="R284" s="460"/>
      <c r="S284" s="570"/>
      <c r="T284" s="460"/>
    </row>
    <row r="285" spans="1:20">
      <c r="A285" s="461"/>
      <c r="B285" s="462"/>
      <c r="C285" s="463"/>
      <c r="D285" s="464"/>
      <c r="E285" s="459"/>
      <c r="F285" s="465"/>
      <c r="G285" s="466"/>
      <c r="H285" s="460"/>
      <c r="I285" s="466"/>
      <c r="J285" s="460"/>
      <c r="K285" s="466"/>
      <c r="L285" s="460"/>
      <c r="M285" s="570"/>
      <c r="N285" s="460"/>
      <c r="O285" s="570"/>
      <c r="P285" s="460"/>
      <c r="Q285" s="570"/>
      <c r="R285" s="460"/>
      <c r="S285" s="570"/>
      <c r="T285" s="460"/>
    </row>
    <row r="286" spans="1:20">
      <c r="A286" s="461"/>
      <c r="B286" s="462"/>
      <c r="C286" s="463"/>
      <c r="D286" s="464"/>
      <c r="E286" s="459"/>
      <c r="F286" s="465"/>
      <c r="G286" s="466"/>
      <c r="H286" s="460"/>
      <c r="I286" s="466"/>
      <c r="J286" s="460"/>
      <c r="K286" s="466"/>
      <c r="L286" s="460"/>
      <c r="M286" s="570"/>
      <c r="N286" s="460"/>
      <c r="O286" s="570"/>
      <c r="P286" s="460"/>
      <c r="Q286" s="570"/>
      <c r="R286" s="460"/>
      <c r="S286" s="570"/>
      <c r="T286" s="460"/>
    </row>
    <row r="287" spans="1:20">
      <c r="A287" s="461"/>
      <c r="B287" s="462"/>
      <c r="C287" s="463"/>
      <c r="D287" s="464"/>
      <c r="E287" s="459"/>
      <c r="F287" s="465"/>
      <c r="G287" s="466"/>
      <c r="H287" s="460"/>
      <c r="I287" s="466"/>
      <c r="J287" s="460"/>
      <c r="K287" s="466"/>
      <c r="L287" s="460"/>
      <c r="M287" s="570"/>
      <c r="N287" s="460"/>
      <c r="O287" s="570"/>
      <c r="P287" s="460"/>
      <c r="Q287" s="570"/>
      <c r="R287" s="460"/>
      <c r="S287" s="570"/>
      <c r="T287" s="460"/>
    </row>
    <row r="288" spans="1:20">
      <c r="A288" s="461"/>
      <c r="B288" s="462"/>
      <c r="C288" s="463"/>
      <c r="D288" s="464"/>
      <c r="E288" s="459"/>
      <c r="F288" s="465"/>
      <c r="G288" s="466"/>
      <c r="H288" s="460"/>
      <c r="I288" s="466"/>
      <c r="J288" s="460"/>
      <c r="K288" s="466"/>
      <c r="L288" s="460"/>
      <c r="M288" s="570"/>
      <c r="N288" s="460"/>
      <c r="O288" s="570"/>
      <c r="P288" s="460"/>
      <c r="Q288" s="570"/>
      <c r="R288" s="460"/>
      <c r="S288" s="570"/>
      <c r="T288" s="460"/>
    </row>
    <row r="289" spans="1:20">
      <c r="A289" s="461"/>
      <c r="B289" s="462"/>
      <c r="C289" s="463"/>
      <c r="D289" s="464"/>
      <c r="E289" s="459"/>
      <c r="F289" s="465"/>
      <c r="G289" s="466"/>
      <c r="H289" s="460"/>
      <c r="I289" s="466"/>
      <c r="J289" s="460"/>
      <c r="K289" s="466"/>
      <c r="L289" s="460"/>
      <c r="M289" s="570"/>
      <c r="N289" s="460"/>
      <c r="O289" s="570"/>
      <c r="P289" s="460"/>
      <c r="Q289" s="570"/>
      <c r="R289" s="460"/>
      <c r="S289" s="570"/>
      <c r="T289" s="460"/>
    </row>
    <row r="290" spans="1:20">
      <c r="A290" s="461"/>
      <c r="B290" s="462"/>
      <c r="C290" s="463"/>
      <c r="D290" s="464"/>
      <c r="E290" s="459"/>
      <c r="F290" s="465"/>
      <c r="G290" s="466"/>
      <c r="H290" s="460"/>
      <c r="I290" s="466"/>
      <c r="J290" s="460"/>
      <c r="K290" s="466"/>
      <c r="L290" s="460"/>
      <c r="M290" s="570"/>
      <c r="N290" s="460"/>
      <c r="O290" s="570"/>
      <c r="P290" s="460"/>
      <c r="Q290" s="570"/>
      <c r="R290" s="460"/>
      <c r="S290" s="570"/>
      <c r="T290" s="460"/>
    </row>
    <row r="291" spans="1:20">
      <c r="A291" s="461"/>
      <c r="B291" s="462"/>
      <c r="C291" s="463"/>
      <c r="D291" s="464"/>
      <c r="E291" s="459"/>
      <c r="F291" s="465"/>
      <c r="G291" s="466"/>
      <c r="H291" s="460"/>
      <c r="I291" s="466"/>
      <c r="J291" s="460"/>
      <c r="K291" s="466"/>
      <c r="L291" s="460"/>
      <c r="M291" s="570"/>
      <c r="N291" s="460"/>
      <c r="O291" s="570"/>
      <c r="P291" s="460"/>
      <c r="Q291" s="570"/>
      <c r="R291" s="460"/>
      <c r="S291" s="570"/>
      <c r="T291" s="460"/>
    </row>
    <row r="292" spans="1:20">
      <c r="A292" s="461"/>
      <c r="B292" s="462"/>
      <c r="C292" s="463"/>
      <c r="D292" s="464"/>
      <c r="E292" s="459"/>
      <c r="F292" s="465"/>
      <c r="G292" s="466"/>
      <c r="H292" s="460"/>
      <c r="I292" s="466"/>
      <c r="J292" s="460"/>
      <c r="K292" s="466"/>
      <c r="L292" s="460"/>
      <c r="M292" s="570"/>
      <c r="N292" s="460"/>
      <c r="O292" s="570"/>
      <c r="P292" s="460"/>
      <c r="Q292" s="570"/>
      <c r="R292" s="460"/>
      <c r="S292" s="570"/>
      <c r="T292" s="460"/>
    </row>
    <row r="293" spans="1:20">
      <c r="A293" s="461"/>
      <c r="B293" s="462"/>
      <c r="C293" s="463"/>
      <c r="D293" s="464"/>
      <c r="E293" s="459"/>
      <c r="F293" s="465"/>
      <c r="G293" s="466"/>
      <c r="H293" s="460"/>
      <c r="I293" s="466"/>
      <c r="J293" s="460"/>
      <c r="K293" s="466"/>
      <c r="L293" s="460"/>
      <c r="M293" s="570"/>
      <c r="N293" s="460"/>
      <c r="O293" s="570"/>
      <c r="P293" s="460"/>
      <c r="Q293" s="570"/>
      <c r="R293" s="460"/>
      <c r="S293" s="570"/>
      <c r="T293" s="460"/>
    </row>
    <row r="294" spans="1:20">
      <c r="A294" s="461"/>
      <c r="B294" s="462"/>
      <c r="C294" s="463"/>
      <c r="D294" s="464"/>
      <c r="E294" s="459"/>
      <c r="F294" s="465"/>
      <c r="G294" s="466"/>
      <c r="H294" s="460"/>
      <c r="I294" s="466"/>
      <c r="J294" s="460"/>
      <c r="K294" s="466"/>
      <c r="L294" s="460"/>
      <c r="M294" s="570"/>
      <c r="N294" s="460"/>
      <c r="O294" s="570"/>
      <c r="P294" s="460"/>
      <c r="Q294" s="570"/>
      <c r="R294" s="460"/>
      <c r="S294" s="570"/>
      <c r="T294" s="460"/>
    </row>
    <row r="295" spans="1:20">
      <c r="A295" s="461"/>
      <c r="B295" s="462"/>
      <c r="C295" s="463"/>
      <c r="D295" s="464"/>
      <c r="E295" s="459"/>
      <c r="F295" s="465"/>
      <c r="G295" s="466"/>
      <c r="H295" s="460"/>
      <c r="I295" s="466"/>
      <c r="J295" s="460"/>
      <c r="K295" s="466"/>
      <c r="L295" s="460"/>
      <c r="M295" s="570"/>
      <c r="N295" s="460"/>
      <c r="O295" s="570"/>
      <c r="P295" s="460"/>
      <c r="Q295" s="570"/>
      <c r="R295" s="460"/>
      <c r="S295" s="570"/>
      <c r="T295" s="460"/>
    </row>
    <row r="296" spans="1:20">
      <c r="A296" s="461"/>
      <c r="B296" s="462"/>
      <c r="C296" s="463"/>
      <c r="D296" s="464"/>
      <c r="E296" s="459"/>
      <c r="F296" s="465"/>
      <c r="G296" s="466"/>
      <c r="H296" s="460"/>
      <c r="I296" s="466"/>
      <c r="J296" s="460"/>
      <c r="K296" s="466"/>
      <c r="L296" s="460"/>
      <c r="M296" s="570"/>
      <c r="N296" s="460"/>
      <c r="O296" s="570"/>
      <c r="P296" s="460"/>
      <c r="Q296" s="570"/>
      <c r="R296" s="460"/>
      <c r="S296" s="570"/>
      <c r="T296" s="460"/>
    </row>
    <row r="297" spans="1:20">
      <c r="A297" s="461"/>
      <c r="B297" s="462"/>
      <c r="C297" s="463"/>
      <c r="D297" s="464"/>
      <c r="E297" s="459"/>
      <c r="F297" s="465"/>
      <c r="G297" s="466"/>
      <c r="H297" s="460"/>
      <c r="I297" s="466"/>
      <c r="J297" s="460"/>
      <c r="K297" s="466"/>
      <c r="L297" s="460"/>
      <c r="M297" s="570"/>
      <c r="N297" s="460"/>
      <c r="O297" s="570"/>
      <c r="P297" s="460"/>
      <c r="Q297" s="570"/>
      <c r="R297" s="460"/>
      <c r="S297" s="570"/>
      <c r="T297" s="460"/>
    </row>
    <row r="298" spans="1:20">
      <c r="A298" s="461"/>
      <c r="B298" s="462"/>
      <c r="C298" s="463"/>
      <c r="D298" s="464"/>
      <c r="E298" s="459"/>
      <c r="F298" s="465"/>
      <c r="G298" s="466"/>
      <c r="H298" s="460"/>
      <c r="I298" s="466"/>
      <c r="J298" s="460"/>
      <c r="K298" s="466"/>
      <c r="L298" s="460"/>
      <c r="M298" s="570"/>
      <c r="N298" s="460"/>
      <c r="O298" s="570"/>
      <c r="P298" s="460"/>
      <c r="Q298" s="570"/>
      <c r="R298" s="460"/>
      <c r="S298" s="570"/>
      <c r="T298" s="460"/>
    </row>
    <row r="299" spans="1:20">
      <c r="A299" s="461"/>
      <c r="B299" s="462"/>
      <c r="C299" s="463"/>
      <c r="D299" s="464"/>
      <c r="E299" s="459"/>
      <c r="F299" s="465"/>
      <c r="G299" s="466"/>
      <c r="H299" s="460"/>
      <c r="I299" s="466"/>
      <c r="J299" s="460"/>
      <c r="K299" s="466"/>
      <c r="L299" s="460"/>
      <c r="M299" s="570"/>
      <c r="N299" s="460"/>
      <c r="O299" s="570"/>
      <c r="P299" s="460"/>
      <c r="Q299" s="570"/>
      <c r="R299" s="460"/>
      <c r="S299" s="570"/>
      <c r="T299" s="460"/>
    </row>
    <row r="300" spans="1:20">
      <c r="A300" s="461"/>
      <c r="B300" s="462"/>
      <c r="C300" s="463"/>
      <c r="D300" s="464"/>
      <c r="E300" s="459"/>
      <c r="F300" s="465"/>
      <c r="G300" s="466"/>
      <c r="H300" s="460"/>
      <c r="I300" s="466"/>
      <c r="J300" s="460"/>
      <c r="K300" s="466"/>
      <c r="L300" s="460"/>
      <c r="M300" s="570"/>
      <c r="N300" s="460"/>
      <c r="O300" s="570"/>
      <c r="P300" s="460"/>
      <c r="Q300" s="570"/>
      <c r="R300" s="460"/>
      <c r="S300" s="570"/>
      <c r="T300" s="460"/>
    </row>
    <row r="301" spans="1:20">
      <c r="A301" s="461"/>
      <c r="B301" s="462"/>
      <c r="C301" s="463"/>
      <c r="D301" s="464"/>
      <c r="E301" s="459"/>
      <c r="F301" s="465"/>
      <c r="G301" s="466"/>
      <c r="H301" s="460"/>
      <c r="I301" s="466"/>
      <c r="J301" s="460"/>
      <c r="K301" s="466"/>
      <c r="L301" s="460"/>
      <c r="M301" s="570"/>
      <c r="N301" s="460"/>
      <c r="O301" s="570"/>
      <c r="P301" s="460"/>
      <c r="Q301" s="570"/>
      <c r="R301" s="460"/>
      <c r="S301" s="570"/>
      <c r="T301" s="460"/>
    </row>
    <row r="302" spans="1:20">
      <c r="A302" s="461"/>
      <c r="B302" s="462"/>
      <c r="C302" s="463"/>
      <c r="D302" s="464"/>
      <c r="E302" s="459"/>
      <c r="F302" s="465"/>
      <c r="G302" s="466"/>
      <c r="H302" s="460"/>
      <c r="I302" s="466"/>
      <c r="J302" s="460"/>
      <c r="K302" s="466"/>
      <c r="L302" s="460"/>
      <c r="M302" s="570"/>
      <c r="N302" s="460"/>
      <c r="O302" s="570"/>
      <c r="P302" s="460"/>
      <c r="Q302" s="570"/>
      <c r="R302" s="460"/>
      <c r="S302" s="570"/>
      <c r="T302" s="460"/>
    </row>
    <row r="303" spans="1:20">
      <c r="A303" s="461"/>
      <c r="B303" s="462"/>
      <c r="C303" s="463"/>
      <c r="D303" s="464"/>
      <c r="E303" s="459"/>
      <c r="F303" s="465"/>
      <c r="G303" s="466"/>
      <c r="H303" s="460"/>
      <c r="I303" s="466"/>
      <c r="J303" s="460"/>
      <c r="K303" s="466"/>
      <c r="L303" s="460"/>
      <c r="M303" s="570"/>
      <c r="N303" s="460"/>
      <c r="O303" s="570"/>
      <c r="P303" s="460"/>
      <c r="Q303" s="570"/>
      <c r="R303" s="460"/>
      <c r="S303" s="570"/>
      <c r="T303" s="460"/>
    </row>
    <row r="304" spans="1:20">
      <c r="A304" s="461"/>
      <c r="B304" s="462"/>
      <c r="C304" s="463"/>
      <c r="D304" s="464"/>
      <c r="E304" s="459"/>
      <c r="F304" s="465"/>
      <c r="G304" s="466"/>
      <c r="H304" s="460"/>
      <c r="I304" s="466"/>
      <c r="J304" s="460"/>
      <c r="K304" s="466"/>
      <c r="L304" s="460"/>
      <c r="M304" s="570"/>
      <c r="N304" s="460"/>
      <c r="O304" s="570"/>
      <c r="P304" s="460"/>
      <c r="Q304" s="570"/>
      <c r="R304" s="460"/>
      <c r="S304" s="570"/>
      <c r="T304" s="460"/>
    </row>
    <row r="305" spans="1:20">
      <c r="A305" s="461"/>
      <c r="B305" s="462"/>
      <c r="C305" s="463"/>
      <c r="D305" s="464"/>
      <c r="E305" s="459"/>
      <c r="F305" s="465"/>
      <c r="G305" s="466"/>
      <c r="H305" s="460"/>
      <c r="I305" s="466"/>
      <c r="J305" s="460"/>
      <c r="K305" s="466"/>
      <c r="L305" s="460"/>
      <c r="M305" s="570"/>
      <c r="N305" s="460"/>
      <c r="O305" s="570"/>
      <c r="P305" s="460"/>
      <c r="Q305" s="570"/>
      <c r="R305" s="460"/>
      <c r="S305" s="570"/>
      <c r="T305" s="460"/>
    </row>
    <row r="306" spans="1:20">
      <c r="A306" s="461"/>
      <c r="B306" s="462"/>
      <c r="C306" s="463"/>
      <c r="D306" s="464"/>
      <c r="E306" s="459"/>
      <c r="F306" s="465"/>
      <c r="G306" s="466"/>
      <c r="H306" s="460"/>
      <c r="I306" s="466"/>
      <c r="J306" s="460"/>
      <c r="K306" s="466"/>
      <c r="L306" s="460"/>
      <c r="M306" s="570"/>
      <c r="N306" s="460"/>
      <c r="O306" s="570"/>
      <c r="P306" s="460"/>
      <c r="Q306" s="570"/>
      <c r="R306" s="460"/>
      <c r="S306" s="570"/>
      <c r="T306" s="460"/>
    </row>
    <row r="307" spans="1:20">
      <c r="A307" s="461"/>
      <c r="B307" s="462"/>
      <c r="C307" s="463"/>
      <c r="D307" s="464"/>
      <c r="E307" s="459"/>
      <c r="F307" s="465"/>
      <c r="G307" s="466"/>
      <c r="H307" s="460"/>
      <c r="I307" s="466"/>
      <c r="J307" s="460"/>
      <c r="K307" s="466"/>
      <c r="L307" s="460"/>
      <c r="M307" s="570"/>
      <c r="N307" s="460"/>
      <c r="O307" s="570"/>
      <c r="P307" s="460"/>
      <c r="Q307" s="570"/>
      <c r="R307" s="460"/>
      <c r="S307" s="570"/>
      <c r="T307" s="460"/>
    </row>
    <row r="308" spans="1:20">
      <c r="A308" s="461"/>
      <c r="B308" s="462"/>
      <c r="C308" s="463"/>
      <c r="D308" s="464"/>
      <c r="E308" s="459"/>
      <c r="F308" s="465"/>
      <c r="G308" s="466"/>
      <c r="H308" s="460"/>
      <c r="I308" s="466"/>
      <c r="J308" s="460"/>
      <c r="K308" s="466"/>
      <c r="L308" s="460"/>
      <c r="M308" s="570"/>
      <c r="N308" s="460"/>
      <c r="O308" s="570"/>
      <c r="P308" s="460"/>
      <c r="Q308" s="570"/>
      <c r="R308" s="460"/>
      <c r="S308" s="570"/>
      <c r="T308" s="460"/>
    </row>
    <row r="309" spans="1:20">
      <c r="A309" s="461"/>
      <c r="B309" s="462"/>
      <c r="C309" s="463"/>
      <c r="D309" s="464"/>
      <c r="E309" s="459"/>
      <c r="F309" s="465"/>
      <c r="G309" s="466"/>
      <c r="H309" s="460"/>
      <c r="I309" s="466"/>
      <c r="J309" s="460"/>
      <c r="K309" s="466"/>
      <c r="L309" s="460"/>
      <c r="M309" s="570"/>
      <c r="N309" s="460"/>
      <c r="O309" s="570"/>
      <c r="P309" s="460"/>
      <c r="Q309" s="570"/>
      <c r="R309" s="460"/>
      <c r="S309" s="570"/>
      <c r="T309" s="460"/>
    </row>
    <row r="310" spans="1:20">
      <c r="A310" s="461"/>
      <c r="B310" s="462"/>
      <c r="C310" s="463"/>
      <c r="D310" s="464"/>
      <c r="E310" s="459"/>
      <c r="F310" s="465"/>
      <c r="G310" s="466"/>
      <c r="H310" s="460"/>
      <c r="I310" s="466"/>
      <c r="J310" s="460"/>
      <c r="K310" s="466"/>
      <c r="L310" s="460"/>
      <c r="M310" s="570"/>
      <c r="N310" s="460"/>
      <c r="O310" s="570"/>
      <c r="P310" s="460"/>
      <c r="Q310" s="570"/>
      <c r="R310" s="460"/>
      <c r="S310" s="570"/>
      <c r="T310" s="460"/>
    </row>
    <row r="311" spans="1:20">
      <c r="A311" s="461"/>
      <c r="B311" s="462"/>
      <c r="C311" s="463"/>
      <c r="D311" s="464"/>
      <c r="E311" s="459"/>
      <c r="F311" s="465"/>
      <c r="G311" s="466"/>
      <c r="H311" s="460"/>
      <c r="I311" s="466"/>
      <c r="J311" s="460"/>
      <c r="K311" s="466"/>
      <c r="L311" s="460"/>
      <c r="M311" s="570"/>
      <c r="N311" s="460"/>
      <c r="O311" s="570"/>
      <c r="P311" s="460"/>
      <c r="Q311" s="570"/>
      <c r="R311" s="460"/>
      <c r="S311" s="570"/>
      <c r="T311" s="460"/>
    </row>
    <row r="312" spans="1:20">
      <c r="A312" s="461"/>
      <c r="B312" s="462"/>
      <c r="C312" s="463"/>
      <c r="D312" s="464"/>
      <c r="E312" s="459"/>
      <c r="F312" s="465"/>
      <c r="G312" s="466"/>
      <c r="H312" s="460"/>
      <c r="I312" s="466"/>
      <c r="J312" s="460"/>
      <c r="K312" s="466"/>
      <c r="L312" s="460"/>
      <c r="M312" s="570"/>
      <c r="N312" s="460"/>
      <c r="O312" s="570"/>
      <c r="P312" s="460"/>
      <c r="Q312" s="570"/>
      <c r="R312" s="460"/>
      <c r="S312" s="570"/>
      <c r="T312" s="460"/>
    </row>
    <row r="313" spans="1:20">
      <c r="A313" s="461"/>
      <c r="B313" s="462"/>
      <c r="C313" s="463"/>
      <c r="D313" s="464"/>
      <c r="E313" s="459"/>
      <c r="F313" s="465"/>
      <c r="G313" s="466"/>
      <c r="H313" s="460"/>
      <c r="I313" s="466"/>
      <c r="J313" s="460"/>
      <c r="K313" s="466"/>
      <c r="L313" s="460"/>
      <c r="M313" s="570"/>
      <c r="N313" s="460"/>
      <c r="O313" s="570"/>
      <c r="P313" s="460"/>
      <c r="Q313" s="570"/>
      <c r="R313" s="460"/>
      <c r="S313" s="570"/>
      <c r="T313" s="460"/>
    </row>
    <row r="314" spans="1:20">
      <c r="A314" s="461"/>
      <c r="B314" s="462"/>
      <c r="C314" s="463"/>
      <c r="D314" s="464"/>
      <c r="E314" s="459"/>
      <c r="F314" s="465"/>
      <c r="G314" s="466"/>
      <c r="H314" s="460"/>
      <c r="I314" s="466"/>
      <c r="J314" s="460"/>
      <c r="K314" s="466"/>
      <c r="L314" s="460"/>
      <c r="M314" s="570"/>
      <c r="N314" s="460"/>
      <c r="O314" s="570"/>
      <c r="P314" s="460"/>
      <c r="Q314" s="570"/>
      <c r="R314" s="460"/>
      <c r="S314" s="570"/>
      <c r="T314" s="460"/>
    </row>
    <row r="315" spans="1:20">
      <c r="A315" s="461"/>
      <c r="B315" s="462"/>
      <c r="C315" s="463"/>
      <c r="D315" s="464"/>
      <c r="E315" s="459"/>
      <c r="F315" s="465"/>
      <c r="G315" s="466"/>
      <c r="H315" s="460"/>
      <c r="I315" s="466"/>
      <c r="J315" s="460"/>
      <c r="K315" s="466"/>
      <c r="L315" s="460"/>
      <c r="M315" s="570"/>
      <c r="N315" s="460"/>
      <c r="O315" s="570"/>
      <c r="P315" s="460"/>
      <c r="Q315" s="570"/>
      <c r="R315" s="460"/>
      <c r="S315" s="570"/>
      <c r="T315" s="460"/>
    </row>
    <row r="316" spans="1:20">
      <c r="A316" s="461"/>
      <c r="B316" s="462"/>
      <c r="C316" s="463"/>
      <c r="D316" s="464"/>
      <c r="E316" s="459"/>
      <c r="F316" s="465"/>
      <c r="G316" s="466"/>
      <c r="H316" s="460"/>
      <c r="I316" s="466"/>
      <c r="J316" s="460"/>
      <c r="K316" s="466"/>
      <c r="L316" s="460"/>
      <c r="M316" s="570"/>
      <c r="N316" s="460"/>
      <c r="O316" s="570"/>
      <c r="P316" s="460"/>
      <c r="Q316" s="570"/>
      <c r="R316" s="460"/>
      <c r="S316" s="570"/>
      <c r="T316" s="460"/>
    </row>
    <row r="317" spans="1:20">
      <c r="A317" s="461"/>
      <c r="B317" s="462"/>
      <c r="C317" s="463"/>
      <c r="D317" s="464"/>
      <c r="E317" s="459"/>
      <c r="F317" s="465"/>
      <c r="G317" s="466"/>
      <c r="H317" s="460"/>
      <c r="I317" s="466"/>
      <c r="J317" s="460"/>
      <c r="K317" s="466"/>
      <c r="L317" s="460"/>
      <c r="M317" s="570"/>
      <c r="N317" s="460"/>
      <c r="O317" s="570"/>
      <c r="P317" s="460"/>
      <c r="Q317" s="570"/>
      <c r="R317" s="460"/>
      <c r="S317" s="570"/>
      <c r="T317" s="460"/>
    </row>
    <row r="318" spans="1:20">
      <c r="A318" s="461"/>
      <c r="B318" s="462"/>
      <c r="C318" s="463"/>
      <c r="D318" s="464"/>
      <c r="E318" s="459"/>
      <c r="F318" s="465"/>
      <c r="G318" s="466"/>
      <c r="H318" s="460"/>
      <c r="I318" s="466"/>
      <c r="J318" s="460"/>
      <c r="K318" s="466"/>
      <c r="L318" s="460"/>
      <c r="M318" s="570"/>
      <c r="N318" s="460"/>
      <c r="O318" s="570"/>
      <c r="P318" s="460"/>
      <c r="Q318" s="570"/>
      <c r="R318" s="460"/>
      <c r="S318" s="570"/>
      <c r="T318" s="460"/>
    </row>
    <row r="319" spans="1:20">
      <c r="A319" s="461"/>
      <c r="B319" s="462"/>
      <c r="C319" s="463"/>
      <c r="D319" s="464"/>
      <c r="E319" s="459"/>
      <c r="F319" s="465"/>
      <c r="G319" s="466"/>
      <c r="H319" s="460"/>
      <c r="I319" s="466"/>
      <c r="J319" s="460"/>
      <c r="K319" s="466"/>
      <c r="L319" s="460"/>
      <c r="M319" s="570"/>
      <c r="N319" s="460"/>
      <c r="O319" s="570"/>
      <c r="P319" s="460"/>
      <c r="Q319" s="570"/>
      <c r="R319" s="460"/>
      <c r="S319" s="570"/>
      <c r="T319" s="460"/>
    </row>
    <row r="320" spans="1:20">
      <c r="A320" s="461"/>
      <c r="B320" s="462"/>
      <c r="C320" s="463"/>
      <c r="D320" s="464"/>
      <c r="E320" s="459"/>
      <c r="F320" s="465"/>
      <c r="G320" s="466"/>
      <c r="H320" s="460"/>
      <c r="I320" s="466"/>
      <c r="J320" s="460"/>
      <c r="K320" s="466"/>
      <c r="L320" s="460"/>
      <c r="M320" s="570"/>
      <c r="N320" s="460"/>
      <c r="O320" s="570"/>
      <c r="P320" s="460"/>
      <c r="Q320" s="570"/>
      <c r="R320" s="460"/>
      <c r="S320" s="570"/>
      <c r="T320" s="460"/>
    </row>
    <row r="321" spans="1:20">
      <c r="A321" s="461"/>
      <c r="B321" s="462"/>
      <c r="C321" s="463"/>
      <c r="D321" s="464"/>
      <c r="E321" s="459"/>
      <c r="F321" s="465"/>
      <c r="G321" s="466"/>
      <c r="H321" s="460"/>
      <c r="I321" s="466"/>
      <c r="J321" s="460"/>
      <c r="K321" s="466"/>
      <c r="L321" s="460"/>
      <c r="M321" s="570"/>
      <c r="N321" s="460"/>
      <c r="O321" s="570"/>
      <c r="P321" s="460"/>
      <c r="Q321" s="570"/>
      <c r="R321" s="460"/>
      <c r="S321" s="570"/>
      <c r="T321" s="460"/>
    </row>
    <row r="322" spans="1:20">
      <c r="A322" s="461"/>
      <c r="B322" s="462"/>
      <c r="C322" s="463"/>
      <c r="D322" s="464"/>
      <c r="E322" s="459"/>
      <c r="F322" s="465"/>
      <c r="G322" s="466"/>
      <c r="H322" s="460"/>
      <c r="I322" s="466"/>
      <c r="J322" s="460"/>
      <c r="K322" s="466"/>
      <c r="L322" s="460"/>
      <c r="M322" s="570"/>
      <c r="N322" s="460"/>
      <c r="O322" s="570"/>
      <c r="P322" s="460"/>
      <c r="Q322" s="570"/>
      <c r="R322" s="460"/>
      <c r="S322" s="570"/>
      <c r="T322" s="460"/>
    </row>
    <row r="323" spans="1:20">
      <c r="A323" s="461"/>
      <c r="B323" s="462"/>
      <c r="C323" s="463"/>
      <c r="D323" s="464"/>
      <c r="E323" s="459"/>
      <c r="F323" s="465"/>
      <c r="G323" s="466"/>
      <c r="H323" s="460"/>
      <c r="I323" s="466"/>
      <c r="J323" s="460"/>
      <c r="K323" s="466"/>
      <c r="L323" s="460"/>
      <c r="M323" s="570"/>
      <c r="N323" s="460"/>
      <c r="O323" s="570"/>
      <c r="P323" s="460"/>
      <c r="Q323" s="570"/>
      <c r="R323" s="460"/>
      <c r="S323" s="570"/>
      <c r="T323" s="460"/>
    </row>
    <row r="324" spans="1:20">
      <c r="A324" s="461"/>
      <c r="B324" s="462"/>
      <c r="C324" s="463"/>
      <c r="D324" s="464"/>
      <c r="E324" s="459"/>
      <c r="F324" s="465"/>
      <c r="G324" s="466"/>
      <c r="H324" s="460"/>
      <c r="I324" s="466"/>
      <c r="J324" s="460"/>
      <c r="K324" s="466"/>
      <c r="L324" s="460"/>
      <c r="M324" s="570"/>
      <c r="N324" s="460"/>
      <c r="O324" s="570"/>
      <c r="P324" s="460"/>
      <c r="Q324" s="570"/>
      <c r="R324" s="460"/>
      <c r="S324" s="570"/>
      <c r="T324" s="460"/>
    </row>
    <row r="325" spans="1:20">
      <c r="A325" s="461"/>
      <c r="B325" s="462"/>
      <c r="C325" s="463"/>
      <c r="D325" s="464"/>
      <c r="E325" s="459"/>
      <c r="F325" s="465"/>
      <c r="G325" s="466"/>
      <c r="H325" s="460"/>
      <c r="I325" s="466"/>
      <c r="J325" s="460"/>
      <c r="K325" s="466"/>
      <c r="L325" s="460"/>
      <c r="M325" s="570"/>
      <c r="N325" s="460"/>
      <c r="O325" s="570"/>
      <c r="P325" s="460"/>
      <c r="Q325" s="570"/>
      <c r="R325" s="460"/>
      <c r="S325" s="570"/>
      <c r="T325" s="460"/>
    </row>
    <row r="326" spans="1:20">
      <c r="A326" s="461"/>
      <c r="B326" s="462"/>
      <c r="C326" s="463"/>
      <c r="D326" s="464"/>
      <c r="E326" s="459"/>
      <c r="F326" s="465"/>
      <c r="G326" s="466"/>
      <c r="H326" s="460"/>
      <c r="I326" s="466"/>
      <c r="J326" s="460"/>
      <c r="K326" s="466"/>
      <c r="L326" s="460"/>
      <c r="M326" s="570"/>
      <c r="N326" s="460"/>
      <c r="O326" s="570"/>
      <c r="P326" s="460"/>
      <c r="Q326" s="570"/>
      <c r="R326" s="460"/>
      <c r="S326" s="570"/>
      <c r="T326" s="460"/>
    </row>
    <row r="327" spans="1:20">
      <c r="A327" s="461"/>
      <c r="B327" s="462"/>
      <c r="C327" s="463"/>
      <c r="D327" s="464"/>
      <c r="E327" s="459"/>
      <c r="F327" s="465"/>
      <c r="G327" s="466"/>
      <c r="H327" s="460"/>
      <c r="I327" s="466"/>
      <c r="J327" s="460"/>
      <c r="K327" s="466"/>
      <c r="L327" s="460"/>
      <c r="M327" s="570"/>
      <c r="N327" s="460"/>
      <c r="O327" s="570"/>
      <c r="P327" s="460"/>
      <c r="Q327" s="570"/>
      <c r="R327" s="460"/>
      <c r="S327" s="570"/>
      <c r="T327" s="460"/>
    </row>
    <row r="328" spans="1:20">
      <c r="A328" s="461"/>
      <c r="B328" s="462"/>
      <c r="C328" s="463"/>
      <c r="D328" s="464"/>
      <c r="E328" s="459"/>
      <c r="F328" s="465"/>
      <c r="G328" s="466"/>
      <c r="H328" s="460"/>
      <c r="I328" s="466"/>
      <c r="J328" s="460"/>
      <c r="K328" s="466"/>
      <c r="L328" s="460"/>
      <c r="M328" s="570"/>
      <c r="N328" s="460"/>
      <c r="O328" s="570"/>
      <c r="P328" s="460"/>
      <c r="Q328" s="570"/>
      <c r="R328" s="460"/>
      <c r="S328" s="570"/>
      <c r="T328" s="460"/>
    </row>
    <row r="329" spans="1:20">
      <c r="A329" s="461"/>
      <c r="B329" s="462"/>
      <c r="C329" s="463"/>
      <c r="D329" s="464"/>
      <c r="E329" s="459"/>
      <c r="F329" s="465"/>
      <c r="G329" s="466"/>
      <c r="H329" s="460"/>
      <c r="I329" s="466"/>
      <c r="J329" s="460"/>
      <c r="K329" s="466"/>
      <c r="L329" s="460"/>
      <c r="M329" s="570"/>
      <c r="N329" s="460"/>
      <c r="O329" s="570"/>
      <c r="P329" s="460"/>
      <c r="Q329" s="570"/>
      <c r="R329" s="460"/>
      <c r="S329" s="570"/>
      <c r="T329" s="460"/>
    </row>
    <row r="330" spans="1:20">
      <c r="A330" s="461"/>
      <c r="B330" s="462"/>
      <c r="C330" s="463"/>
      <c r="D330" s="464"/>
      <c r="E330" s="459"/>
      <c r="F330" s="465"/>
      <c r="G330" s="466"/>
      <c r="H330" s="460"/>
      <c r="I330" s="466"/>
      <c r="J330" s="460"/>
      <c r="K330" s="466"/>
      <c r="L330" s="460"/>
      <c r="M330" s="570"/>
      <c r="N330" s="460"/>
      <c r="O330" s="570"/>
      <c r="P330" s="460"/>
      <c r="Q330" s="570"/>
      <c r="R330" s="460"/>
      <c r="S330" s="570"/>
      <c r="T330" s="460"/>
    </row>
    <row r="331" spans="1:20">
      <c r="A331" s="461"/>
      <c r="B331" s="462"/>
      <c r="C331" s="463"/>
      <c r="D331" s="464"/>
      <c r="E331" s="459"/>
      <c r="F331" s="465"/>
      <c r="G331" s="466"/>
      <c r="H331" s="460"/>
      <c r="I331" s="466"/>
      <c r="J331" s="460"/>
      <c r="K331" s="466"/>
      <c r="L331" s="460"/>
      <c r="M331" s="570"/>
      <c r="N331" s="460"/>
      <c r="O331" s="570"/>
      <c r="P331" s="460"/>
      <c r="Q331" s="570"/>
      <c r="R331" s="460"/>
      <c r="S331" s="570"/>
      <c r="T331" s="460"/>
    </row>
    <row r="332" spans="1:20">
      <c r="A332" s="461"/>
      <c r="B332" s="462"/>
      <c r="C332" s="463"/>
      <c r="D332" s="464"/>
      <c r="E332" s="459"/>
      <c r="F332" s="465"/>
      <c r="G332" s="466"/>
      <c r="H332" s="460"/>
      <c r="I332" s="466"/>
      <c r="J332" s="460"/>
      <c r="K332" s="466"/>
      <c r="L332" s="460"/>
      <c r="M332" s="570"/>
      <c r="N332" s="460"/>
      <c r="O332" s="570"/>
      <c r="P332" s="460"/>
      <c r="Q332" s="570"/>
      <c r="R332" s="460"/>
      <c r="S332" s="570"/>
      <c r="T332" s="460"/>
    </row>
    <row r="333" spans="1:20">
      <c r="A333" s="461"/>
      <c r="B333" s="462"/>
      <c r="C333" s="463"/>
      <c r="D333" s="464"/>
      <c r="E333" s="459"/>
      <c r="F333" s="465"/>
      <c r="G333" s="466"/>
      <c r="H333" s="460"/>
      <c r="I333" s="466"/>
      <c r="J333" s="460"/>
      <c r="K333" s="466"/>
      <c r="L333" s="460"/>
      <c r="M333" s="570"/>
      <c r="N333" s="460"/>
      <c r="O333" s="570"/>
      <c r="P333" s="460"/>
      <c r="Q333" s="570"/>
      <c r="R333" s="460"/>
      <c r="S333" s="570"/>
      <c r="T333" s="460"/>
    </row>
    <row r="334" spans="1:20">
      <c r="A334" s="461"/>
      <c r="B334" s="462"/>
      <c r="C334" s="463"/>
      <c r="D334" s="464"/>
      <c r="E334" s="459"/>
      <c r="F334" s="465"/>
      <c r="G334" s="466"/>
      <c r="H334" s="460"/>
      <c r="I334" s="466"/>
      <c r="J334" s="460"/>
      <c r="K334" s="466"/>
      <c r="L334" s="460"/>
      <c r="M334" s="570"/>
      <c r="N334" s="460"/>
      <c r="O334" s="570"/>
      <c r="P334" s="460"/>
      <c r="Q334" s="570"/>
      <c r="R334" s="460"/>
      <c r="S334" s="570"/>
      <c r="T334" s="460"/>
    </row>
    <row r="335" spans="1:20">
      <c r="A335" s="461"/>
      <c r="B335" s="462"/>
      <c r="C335" s="463"/>
      <c r="D335" s="464"/>
      <c r="E335" s="459"/>
      <c r="F335" s="465"/>
      <c r="G335" s="466"/>
      <c r="H335" s="460"/>
      <c r="I335" s="466"/>
      <c r="J335" s="460"/>
      <c r="K335" s="466"/>
      <c r="L335" s="460"/>
      <c r="M335" s="570"/>
      <c r="N335" s="460"/>
      <c r="O335" s="570"/>
      <c r="P335" s="460"/>
      <c r="Q335" s="570"/>
      <c r="R335" s="460"/>
      <c r="S335" s="570"/>
      <c r="T335" s="460"/>
    </row>
    <row r="336" spans="1:20">
      <c r="A336" s="461"/>
      <c r="B336" s="462"/>
      <c r="C336" s="463"/>
      <c r="D336" s="464"/>
      <c r="E336" s="459"/>
      <c r="F336" s="465"/>
      <c r="G336" s="466"/>
      <c r="H336" s="460"/>
      <c r="I336" s="466"/>
      <c r="J336" s="460"/>
      <c r="K336" s="466"/>
      <c r="L336" s="460"/>
      <c r="M336" s="570"/>
      <c r="N336" s="460"/>
      <c r="O336" s="570"/>
      <c r="P336" s="460"/>
      <c r="Q336" s="570"/>
      <c r="R336" s="460"/>
      <c r="S336" s="570"/>
      <c r="T336" s="460"/>
    </row>
    <row r="337" spans="1:20">
      <c r="A337" s="461"/>
      <c r="B337" s="462"/>
      <c r="C337" s="463"/>
      <c r="D337" s="464"/>
      <c r="E337" s="459"/>
      <c r="F337" s="465"/>
      <c r="G337" s="466"/>
      <c r="H337" s="460"/>
      <c r="I337" s="466"/>
      <c r="J337" s="460"/>
      <c r="K337" s="466"/>
      <c r="L337" s="460"/>
      <c r="M337" s="570"/>
      <c r="N337" s="460"/>
      <c r="O337" s="570"/>
      <c r="P337" s="460"/>
      <c r="Q337" s="570"/>
      <c r="R337" s="460"/>
      <c r="S337" s="570"/>
      <c r="T337" s="460"/>
    </row>
    <row r="338" spans="1:20">
      <c r="A338" s="461"/>
      <c r="B338" s="462"/>
      <c r="C338" s="463"/>
      <c r="D338" s="464"/>
      <c r="E338" s="459"/>
      <c r="F338" s="465"/>
      <c r="G338" s="466"/>
      <c r="H338" s="460"/>
      <c r="I338" s="466"/>
      <c r="J338" s="460"/>
      <c r="K338" s="466"/>
      <c r="L338" s="460"/>
      <c r="M338" s="570"/>
      <c r="N338" s="460"/>
      <c r="O338" s="570"/>
      <c r="P338" s="460"/>
      <c r="Q338" s="570"/>
      <c r="R338" s="460"/>
      <c r="S338" s="570"/>
      <c r="T338" s="460"/>
    </row>
    <row r="339" spans="1:20">
      <c r="A339" s="461"/>
      <c r="B339" s="462"/>
      <c r="C339" s="463"/>
      <c r="D339" s="464"/>
      <c r="E339" s="459"/>
      <c r="F339" s="465"/>
      <c r="G339" s="466"/>
      <c r="H339" s="460"/>
      <c r="I339" s="466"/>
      <c r="J339" s="460"/>
      <c r="K339" s="466"/>
      <c r="L339" s="460"/>
      <c r="M339" s="570"/>
      <c r="N339" s="460"/>
      <c r="O339" s="570"/>
      <c r="P339" s="460"/>
      <c r="Q339" s="570"/>
      <c r="R339" s="460"/>
      <c r="S339" s="570"/>
      <c r="T339" s="460"/>
    </row>
    <row r="340" spans="1:20">
      <c r="A340" s="461"/>
      <c r="B340" s="462"/>
      <c r="C340" s="463"/>
      <c r="D340" s="464"/>
      <c r="E340" s="459"/>
      <c r="F340" s="465"/>
      <c r="G340" s="466"/>
      <c r="H340" s="460"/>
      <c r="I340" s="466"/>
      <c r="J340" s="460"/>
      <c r="K340" s="466"/>
      <c r="L340" s="460"/>
      <c r="M340" s="570"/>
      <c r="N340" s="460"/>
      <c r="O340" s="570"/>
      <c r="P340" s="460"/>
      <c r="Q340" s="570"/>
      <c r="R340" s="460"/>
      <c r="S340" s="570"/>
      <c r="T340" s="460"/>
    </row>
    <row r="341" spans="1:20">
      <c r="A341" s="461"/>
      <c r="B341" s="462"/>
      <c r="C341" s="463"/>
      <c r="D341" s="464"/>
      <c r="E341" s="459"/>
      <c r="F341" s="465"/>
      <c r="G341" s="466"/>
      <c r="H341" s="460"/>
      <c r="I341" s="466"/>
      <c r="J341" s="460"/>
      <c r="K341" s="466"/>
      <c r="L341" s="460"/>
      <c r="M341" s="570"/>
      <c r="N341" s="460"/>
      <c r="O341" s="570"/>
      <c r="P341" s="460"/>
      <c r="Q341" s="570"/>
      <c r="R341" s="460"/>
      <c r="S341" s="570"/>
      <c r="T341" s="460"/>
    </row>
    <row r="342" spans="1:20">
      <c r="A342" s="461"/>
      <c r="B342" s="462"/>
      <c r="C342" s="463"/>
      <c r="D342" s="464"/>
      <c r="E342" s="459"/>
      <c r="F342" s="465"/>
      <c r="G342" s="466"/>
      <c r="H342" s="460"/>
      <c r="I342" s="466"/>
      <c r="J342" s="460"/>
      <c r="K342" s="466"/>
      <c r="L342" s="460"/>
      <c r="M342" s="570"/>
      <c r="N342" s="460"/>
      <c r="O342" s="570"/>
      <c r="P342" s="460"/>
      <c r="Q342" s="570"/>
      <c r="R342" s="460"/>
      <c r="S342" s="570"/>
      <c r="T342" s="460"/>
    </row>
    <row r="343" spans="1:20">
      <c r="A343" s="461"/>
      <c r="B343" s="462"/>
      <c r="C343" s="463"/>
      <c r="D343" s="464"/>
      <c r="E343" s="459"/>
      <c r="F343" s="465"/>
      <c r="G343" s="466"/>
      <c r="H343" s="460"/>
      <c r="I343" s="466"/>
      <c r="J343" s="460"/>
      <c r="K343" s="466"/>
      <c r="L343" s="460"/>
      <c r="M343" s="570"/>
      <c r="N343" s="460"/>
      <c r="O343" s="570"/>
      <c r="P343" s="460"/>
      <c r="Q343" s="570"/>
      <c r="R343" s="460"/>
      <c r="S343" s="570"/>
      <c r="T343" s="460"/>
    </row>
    <row r="344" spans="1:20">
      <c r="A344" s="461"/>
      <c r="B344" s="462"/>
      <c r="C344" s="463"/>
      <c r="D344" s="464"/>
      <c r="E344" s="459"/>
      <c r="F344" s="465"/>
      <c r="G344" s="466"/>
      <c r="H344" s="460"/>
      <c r="I344" s="466"/>
      <c r="J344" s="460"/>
      <c r="K344" s="466"/>
      <c r="L344" s="460"/>
      <c r="M344" s="570"/>
      <c r="N344" s="460"/>
      <c r="O344" s="570"/>
      <c r="P344" s="460"/>
      <c r="Q344" s="570"/>
      <c r="R344" s="460"/>
      <c r="S344" s="570"/>
      <c r="T344" s="460"/>
    </row>
    <row r="345" spans="1:20">
      <c r="A345" s="461"/>
      <c r="B345" s="462"/>
      <c r="C345" s="463"/>
      <c r="D345" s="464"/>
      <c r="E345" s="459"/>
      <c r="F345" s="465"/>
      <c r="G345" s="466"/>
      <c r="H345" s="460"/>
      <c r="I345" s="466"/>
      <c r="J345" s="460"/>
      <c r="K345" s="466"/>
      <c r="L345" s="460"/>
      <c r="M345" s="570"/>
      <c r="N345" s="460"/>
      <c r="O345" s="570"/>
      <c r="P345" s="460"/>
      <c r="Q345" s="570"/>
      <c r="R345" s="460"/>
      <c r="S345" s="570"/>
      <c r="T345" s="460"/>
    </row>
    <row r="346" spans="1:20">
      <c r="A346" s="461"/>
      <c r="B346" s="462"/>
      <c r="C346" s="463"/>
      <c r="D346" s="464"/>
      <c r="E346" s="459"/>
      <c r="F346" s="465"/>
      <c r="G346" s="466"/>
      <c r="H346" s="460"/>
      <c r="I346" s="466"/>
      <c r="J346" s="460"/>
      <c r="K346" s="466"/>
      <c r="L346" s="460"/>
      <c r="M346" s="570"/>
      <c r="N346" s="460"/>
      <c r="O346" s="570"/>
      <c r="P346" s="460"/>
      <c r="Q346" s="570"/>
      <c r="R346" s="460"/>
      <c r="S346" s="570"/>
      <c r="T346" s="460"/>
    </row>
    <row r="347" spans="1:20">
      <c r="A347" s="461"/>
      <c r="B347" s="462"/>
      <c r="C347" s="463"/>
      <c r="D347" s="464"/>
      <c r="E347" s="459"/>
      <c r="F347" s="465"/>
      <c r="G347" s="466"/>
      <c r="H347" s="460"/>
      <c r="I347" s="466"/>
      <c r="J347" s="460"/>
      <c r="K347" s="466"/>
      <c r="L347" s="460"/>
      <c r="M347" s="570"/>
      <c r="N347" s="460"/>
      <c r="O347" s="570"/>
      <c r="P347" s="460"/>
      <c r="Q347" s="570"/>
      <c r="R347" s="460"/>
      <c r="S347" s="570"/>
      <c r="T347" s="460"/>
    </row>
    <row r="348" spans="1:20">
      <c r="A348" s="461"/>
      <c r="B348" s="462"/>
      <c r="C348" s="463"/>
      <c r="D348" s="464"/>
      <c r="E348" s="459"/>
      <c r="F348" s="465"/>
      <c r="G348" s="466"/>
      <c r="H348" s="460"/>
      <c r="I348" s="466"/>
      <c r="J348" s="460"/>
      <c r="K348" s="466"/>
      <c r="L348" s="460"/>
      <c r="M348" s="570"/>
      <c r="N348" s="460"/>
      <c r="O348" s="570"/>
      <c r="P348" s="460"/>
      <c r="Q348" s="570"/>
      <c r="R348" s="460"/>
      <c r="S348" s="570"/>
      <c r="T348" s="460"/>
    </row>
    <row r="349" spans="1:20">
      <c r="A349" s="461"/>
      <c r="B349" s="462"/>
      <c r="C349" s="463"/>
      <c r="D349" s="464"/>
      <c r="E349" s="459"/>
      <c r="F349" s="465"/>
      <c r="G349" s="466"/>
      <c r="H349" s="460"/>
      <c r="I349" s="466"/>
      <c r="J349" s="460"/>
      <c r="K349" s="466"/>
      <c r="L349" s="460"/>
      <c r="M349" s="570"/>
      <c r="N349" s="460"/>
      <c r="O349" s="570"/>
      <c r="P349" s="460"/>
      <c r="Q349" s="570"/>
      <c r="R349" s="460"/>
      <c r="S349" s="570"/>
      <c r="T349" s="460"/>
    </row>
    <row r="350" spans="1:20">
      <c r="A350" s="461"/>
      <c r="B350" s="462"/>
      <c r="C350" s="463"/>
      <c r="D350" s="464"/>
      <c r="E350" s="459"/>
      <c r="F350" s="465"/>
      <c r="G350" s="466"/>
      <c r="H350" s="460"/>
      <c r="I350" s="466"/>
      <c r="J350" s="460"/>
      <c r="K350" s="466"/>
      <c r="L350" s="460"/>
      <c r="M350" s="570"/>
      <c r="N350" s="460"/>
      <c r="O350" s="570"/>
      <c r="P350" s="460"/>
      <c r="Q350" s="570"/>
      <c r="R350" s="460"/>
      <c r="S350" s="570"/>
      <c r="T350" s="460"/>
    </row>
    <row r="351" spans="1:20">
      <c r="A351" s="461"/>
      <c r="B351" s="462"/>
      <c r="C351" s="463"/>
      <c r="D351" s="464"/>
      <c r="E351" s="459"/>
      <c r="F351" s="465"/>
      <c r="G351" s="466"/>
      <c r="H351" s="460"/>
      <c r="I351" s="466"/>
      <c r="J351" s="460"/>
      <c r="K351" s="466"/>
      <c r="L351" s="460"/>
      <c r="M351" s="570"/>
      <c r="N351" s="460"/>
      <c r="O351" s="570"/>
      <c r="P351" s="460"/>
      <c r="Q351" s="570"/>
      <c r="R351" s="460"/>
      <c r="S351" s="570"/>
      <c r="T351" s="460"/>
    </row>
    <row r="352" spans="1:20">
      <c r="A352" s="461"/>
      <c r="B352" s="462"/>
      <c r="C352" s="463"/>
      <c r="D352" s="464"/>
      <c r="E352" s="459"/>
      <c r="F352" s="465"/>
      <c r="G352" s="466"/>
      <c r="H352" s="460"/>
      <c r="I352" s="466"/>
      <c r="J352" s="460"/>
      <c r="K352" s="466"/>
      <c r="L352" s="460"/>
      <c r="M352" s="570"/>
      <c r="N352" s="460"/>
      <c r="O352" s="570"/>
      <c r="P352" s="460"/>
      <c r="Q352" s="570"/>
      <c r="R352" s="460"/>
      <c r="S352" s="570"/>
      <c r="T352" s="460"/>
    </row>
    <row r="353" spans="1:20">
      <c r="A353" s="461"/>
      <c r="B353" s="462"/>
      <c r="C353" s="463"/>
      <c r="D353" s="464"/>
      <c r="E353" s="459"/>
      <c r="F353" s="465"/>
      <c r="G353" s="466"/>
      <c r="H353" s="460"/>
      <c r="I353" s="466"/>
      <c r="J353" s="460"/>
      <c r="K353" s="466"/>
      <c r="L353" s="460"/>
      <c r="M353" s="570"/>
      <c r="N353" s="460"/>
      <c r="O353" s="570"/>
      <c r="P353" s="460"/>
      <c r="Q353" s="570"/>
      <c r="R353" s="460"/>
      <c r="S353" s="570"/>
      <c r="T353" s="460"/>
    </row>
    <row r="354" spans="1:20">
      <c r="A354" s="461"/>
      <c r="B354" s="462"/>
      <c r="C354" s="463"/>
      <c r="D354" s="464"/>
      <c r="E354" s="459"/>
      <c r="F354" s="465"/>
      <c r="G354" s="466"/>
      <c r="H354" s="460"/>
      <c r="I354" s="466"/>
      <c r="J354" s="460"/>
      <c r="K354" s="466"/>
      <c r="L354" s="460"/>
      <c r="M354" s="570"/>
      <c r="N354" s="460"/>
      <c r="O354" s="570"/>
      <c r="P354" s="460"/>
      <c r="Q354" s="570"/>
      <c r="R354" s="460"/>
      <c r="S354" s="570"/>
      <c r="T354" s="460"/>
    </row>
    <row r="355" spans="1:20">
      <c r="A355" s="461"/>
      <c r="B355" s="462"/>
      <c r="C355" s="463"/>
      <c r="D355" s="464"/>
      <c r="E355" s="459"/>
      <c r="F355" s="465"/>
      <c r="G355" s="466"/>
      <c r="H355" s="460"/>
      <c r="I355" s="466"/>
      <c r="J355" s="460"/>
      <c r="K355" s="466"/>
      <c r="L355" s="460"/>
      <c r="M355" s="570"/>
      <c r="N355" s="460"/>
      <c r="O355" s="570"/>
      <c r="P355" s="460"/>
      <c r="Q355" s="570"/>
      <c r="R355" s="460"/>
      <c r="S355" s="570"/>
      <c r="T355" s="460"/>
    </row>
    <row r="356" spans="1:20">
      <c r="A356" s="461"/>
      <c r="B356" s="462"/>
      <c r="C356" s="463"/>
      <c r="D356" s="464"/>
      <c r="E356" s="459"/>
      <c r="F356" s="465"/>
      <c r="G356" s="466"/>
      <c r="H356" s="460"/>
      <c r="I356" s="466"/>
      <c r="J356" s="460"/>
      <c r="K356" s="466"/>
      <c r="L356" s="460"/>
      <c r="M356" s="570"/>
      <c r="N356" s="460"/>
      <c r="O356" s="570"/>
      <c r="P356" s="460"/>
      <c r="Q356" s="570"/>
      <c r="R356" s="460"/>
      <c r="S356" s="570"/>
      <c r="T356" s="460"/>
    </row>
    <row r="357" spans="1:20">
      <c r="A357" s="461"/>
      <c r="B357" s="462"/>
      <c r="C357" s="463"/>
      <c r="D357" s="464"/>
      <c r="E357" s="459"/>
      <c r="F357" s="465"/>
      <c r="G357" s="466"/>
      <c r="H357" s="460"/>
      <c r="I357" s="466"/>
      <c r="J357" s="460"/>
      <c r="K357" s="466"/>
      <c r="L357" s="460"/>
      <c r="M357" s="570"/>
      <c r="N357" s="460"/>
      <c r="O357" s="570"/>
      <c r="P357" s="460"/>
      <c r="Q357" s="570"/>
      <c r="R357" s="460"/>
      <c r="S357" s="570"/>
      <c r="T357" s="460"/>
    </row>
    <row r="358" spans="1:20">
      <c r="A358" s="461"/>
      <c r="B358" s="462"/>
      <c r="C358" s="463"/>
      <c r="D358" s="464"/>
      <c r="E358" s="459"/>
      <c r="F358" s="465"/>
      <c r="G358" s="466"/>
      <c r="H358" s="460"/>
      <c r="I358" s="466"/>
      <c r="J358" s="460"/>
      <c r="K358" s="466"/>
      <c r="L358" s="460"/>
      <c r="M358" s="570"/>
      <c r="N358" s="460"/>
      <c r="O358" s="570"/>
      <c r="P358" s="460"/>
      <c r="Q358" s="570"/>
      <c r="R358" s="460"/>
      <c r="S358" s="570"/>
      <c r="T358" s="460"/>
    </row>
    <row r="359" spans="1:20">
      <c r="A359" s="461"/>
      <c r="B359" s="462"/>
      <c r="C359" s="463"/>
      <c r="D359" s="464"/>
      <c r="E359" s="459"/>
      <c r="F359" s="465"/>
      <c r="G359" s="466"/>
      <c r="H359" s="460"/>
      <c r="I359" s="466"/>
      <c r="J359" s="460"/>
      <c r="K359" s="466"/>
      <c r="L359" s="460"/>
      <c r="M359" s="570"/>
      <c r="N359" s="460"/>
      <c r="O359" s="570"/>
      <c r="P359" s="460"/>
      <c r="Q359" s="570"/>
      <c r="R359" s="460"/>
      <c r="S359" s="570"/>
      <c r="T359" s="460"/>
    </row>
    <row r="360" spans="1:20">
      <c r="A360" s="461"/>
      <c r="B360" s="462"/>
      <c r="C360" s="463"/>
      <c r="D360" s="464"/>
      <c r="E360" s="459"/>
      <c r="F360" s="465"/>
      <c r="G360" s="466"/>
      <c r="H360" s="460"/>
      <c r="I360" s="466"/>
      <c r="J360" s="460"/>
      <c r="K360" s="466"/>
      <c r="L360" s="460"/>
      <c r="M360" s="570"/>
      <c r="N360" s="460"/>
      <c r="O360" s="570"/>
      <c r="P360" s="460"/>
      <c r="Q360" s="570"/>
      <c r="R360" s="460"/>
      <c r="S360" s="570"/>
      <c r="T360" s="460"/>
    </row>
    <row r="361" spans="1:20">
      <c r="A361" s="461"/>
      <c r="B361" s="462"/>
      <c r="C361" s="463"/>
      <c r="D361" s="464"/>
      <c r="E361" s="459"/>
      <c r="F361" s="465"/>
      <c r="G361" s="466"/>
      <c r="H361" s="460"/>
      <c r="I361" s="466"/>
      <c r="J361" s="460"/>
      <c r="K361" s="466"/>
      <c r="L361" s="460"/>
      <c r="M361" s="570"/>
      <c r="N361" s="460"/>
      <c r="O361" s="570"/>
      <c r="P361" s="460"/>
      <c r="Q361" s="570"/>
      <c r="R361" s="460"/>
      <c r="S361" s="570"/>
      <c r="T361" s="460"/>
    </row>
    <row r="362" spans="1:20">
      <c r="A362" s="461"/>
      <c r="B362" s="462"/>
      <c r="C362" s="463"/>
      <c r="D362" s="464"/>
      <c r="E362" s="459"/>
      <c r="F362" s="465"/>
      <c r="G362" s="466"/>
      <c r="H362" s="460"/>
      <c r="I362" s="466"/>
      <c r="J362" s="460"/>
      <c r="K362" s="466"/>
      <c r="L362" s="460"/>
      <c r="M362" s="570"/>
      <c r="N362" s="460"/>
      <c r="O362" s="570"/>
      <c r="P362" s="460"/>
      <c r="Q362" s="570"/>
      <c r="R362" s="460"/>
      <c r="S362" s="570"/>
      <c r="T362" s="460"/>
    </row>
    <row r="363" spans="1:20">
      <c r="A363" s="461"/>
      <c r="B363" s="462"/>
      <c r="C363" s="463"/>
      <c r="D363" s="464"/>
      <c r="E363" s="459"/>
      <c r="F363" s="465"/>
      <c r="G363" s="466"/>
      <c r="H363" s="460"/>
      <c r="I363" s="466"/>
      <c r="J363" s="460"/>
      <c r="K363" s="466"/>
      <c r="L363" s="460"/>
      <c r="M363" s="570"/>
      <c r="N363" s="460"/>
      <c r="O363" s="570"/>
      <c r="P363" s="460"/>
      <c r="Q363" s="570"/>
      <c r="R363" s="460"/>
      <c r="S363" s="570"/>
      <c r="T363" s="460"/>
    </row>
    <row r="364" spans="1:20">
      <c r="A364" s="461"/>
      <c r="B364" s="462"/>
      <c r="C364" s="463"/>
      <c r="D364" s="464"/>
      <c r="E364" s="459"/>
      <c r="F364" s="465"/>
      <c r="G364" s="466"/>
      <c r="H364" s="460"/>
      <c r="I364" s="466"/>
      <c r="J364" s="460"/>
      <c r="K364" s="466"/>
      <c r="L364" s="460"/>
      <c r="M364" s="570"/>
      <c r="N364" s="460"/>
      <c r="O364" s="570"/>
      <c r="P364" s="460"/>
      <c r="Q364" s="570"/>
      <c r="R364" s="460"/>
      <c r="S364" s="570"/>
      <c r="T364" s="460"/>
    </row>
    <row r="365" spans="1:20">
      <c r="A365" s="461"/>
      <c r="B365" s="462"/>
      <c r="C365" s="463"/>
      <c r="D365" s="464"/>
      <c r="E365" s="459"/>
      <c r="F365" s="465"/>
      <c r="G365" s="466"/>
      <c r="H365" s="460"/>
      <c r="I365" s="466"/>
      <c r="J365" s="460"/>
      <c r="K365" s="466"/>
      <c r="L365" s="460"/>
      <c r="M365" s="570"/>
      <c r="N365" s="460"/>
      <c r="O365" s="570"/>
      <c r="P365" s="460"/>
      <c r="Q365" s="570"/>
      <c r="R365" s="460"/>
      <c r="S365" s="570"/>
      <c r="T365" s="460"/>
    </row>
    <row r="366" spans="1:20">
      <c r="A366" s="461"/>
      <c r="B366" s="462"/>
      <c r="C366" s="463"/>
      <c r="D366" s="464"/>
      <c r="E366" s="459"/>
      <c r="F366" s="465"/>
      <c r="G366" s="466"/>
      <c r="H366" s="460"/>
      <c r="I366" s="466"/>
      <c r="J366" s="460"/>
      <c r="K366" s="466"/>
      <c r="L366" s="460"/>
      <c r="M366" s="570"/>
      <c r="N366" s="460"/>
      <c r="O366" s="570"/>
      <c r="P366" s="460"/>
      <c r="Q366" s="570"/>
      <c r="R366" s="460"/>
      <c r="S366" s="570"/>
      <c r="T366" s="460"/>
    </row>
    <row r="367" spans="1:20">
      <c r="A367" s="461"/>
      <c r="B367" s="462"/>
      <c r="C367" s="463"/>
      <c r="D367" s="464"/>
      <c r="E367" s="459"/>
      <c r="F367" s="465"/>
      <c r="G367" s="466"/>
      <c r="H367" s="460"/>
      <c r="I367" s="466"/>
      <c r="J367" s="460"/>
      <c r="K367" s="466"/>
      <c r="L367" s="460"/>
      <c r="M367" s="570"/>
      <c r="N367" s="460"/>
      <c r="O367" s="570"/>
      <c r="P367" s="460"/>
      <c r="Q367" s="570"/>
      <c r="R367" s="460"/>
      <c r="S367" s="570"/>
      <c r="T367" s="460"/>
    </row>
    <row r="368" spans="1:20">
      <c r="A368" s="461"/>
      <c r="B368" s="462"/>
      <c r="C368" s="463"/>
      <c r="D368" s="464"/>
      <c r="E368" s="459"/>
      <c r="F368" s="465"/>
      <c r="G368" s="466"/>
      <c r="H368" s="460"/>
      <c r="I368" s="466"/>
      <c r="J368" s="460"/>
      <c r="K368" s="466"/>
      <c r="L368" s="460"/>
      <c r="M368" s="570"/>
      <c r="N368" s="460"/>
      <c r="O368" s="570"/>
      <c r="P368" s="460"/>
      <c r="Q368" s="570"/>
      <c r="R368" s="460"/>
      <c r="S368" s="570"/>
      <c r="T368" s="460"/>
    </row>
    <row r="369" spans="1:20">
      <c r="A369" s="461"/>
      <c r="B369" s="462"/>
      <c r="C369" s="463"/>
      <c r="D369" s="464"/>
      <c r="E369" s="459"/>
      <c r="F369" s="465"/>
      <c r="G369" s="466"/>
      <c r="H369" s="460"/>
      <c r="I369" s="466"/>
      <c r="J369" s="460"/>
      <c r="K369" s="466"/>
      <c r="L369" s="460"/>
      <c r="M369" s="570"/>
      <c r="N369" s="460"/>
      <c r="O369" s="570"/>
      <c r="P369" s="460"/>
      <c r="Q369" s="570"/>
      <c r="R369" s="460"/>
      <c r="S369" s="570"/>
      <c r="T369" s="460"/>
    </row>
    <row r="370" spans="1:20">
      <c r="A370" s="461"/>
      <c r="B370" s="462"/>
      <c r="C370" s="463"/>
      <c r="D370" s="464"/>
      <c r="E370" s="459"/>
      <c r="F370" s="465"/>
      <c r="G370" s="466"/>
      <c r="H370" s="460"/>
      <c r="I370" s="466"/>
      <c r="J370" s="460"/>
      <c r="K370" s="466"/>
      <c r="L370" s="460"/>
      <c r="M370" s="570"/>
      <c r="N370" s="460"/>
      <c r="O370" s="570"/>
      <c r="P370" s="460"/>
      <c r="Q370" s="570"/>
      <c r="R370" s="460"/>
      <c r="S370" s="570"/>
      <c r="T370" s="460"/>
    </row>
    <row r="371" spans="1:20">
      <c r="A371" s="461"/>
      <c r="B371" s="462"/>
      <c r="C371" s="463"/>
      <c r="D371" s="464"/>
      <c r="E371" s="459"/>
      <c r="F371" s="465"/>
      <c r="G371" s="466"/>
      <c r="H371" s="460"/>
      <c r="I371" s="466"/>
      <c r="J371" s="460"/>
      <c r="K371" s="466"/>
      <c r="L371" s="460"/>
      <c r="M371" s="570"/>
      <c r="N371" s="460"/>
      <c r="O371" s="570"/>
      <c r="P371" s="460"/>
      <c r="Q371" s="570"/>
      <c r="R371" s="460"/>
      <c r="S371" s="570"/>
      <c r="T371" s="460"/>
    </row>
    <row r="372" spans="1:20">
      <c r="A372" s="461"/>
      <c r="B372" s="462"/>
      <c r="C372" s="463"/>
      <c r="D372" s="464"/>
      <c r="E372" s="459"/>
      <c r="F372" s="465"/>
      <c r="G372" s="466"/>
      <c r="H372" s="460"/>
      <c r="I372" s="466"/>
      <c r="J372" s="460"/>
      <c r="K372" s="466"/>
      <c r="L372" s="460"/>
      <c r="M372" s="570"/>
      <c r="N372" s="460"/>
      <c r="O372" s="570"/>
      <c r="P372" s="460"/>
      <c r="Q372" s="570"/>
      <c r="R372" s="460"/>
      <c r="S372" s="570"/>
      <c r="T372" s="460"/>
    </row>
    <row r="373" spans="1:20">
      <c r="A373" s="461"/>
      <c r="B373" s="462"/>
      <c r="C373" s="463"/>
      <c r="D373" s="464"/>
      <c r="E373" s="459"/>
      <c r="F373" s="465"/>
      <c r="G373" s="466"/>
      <c r="H373" s="460"/>
      <c r="I373" s="466"/>
      <c r="J373" s="460"/>
      <c r="K373" s="466"/>
      <c r="L373" s="460"/>
      <c r="M373" s="570"/>
      <c r="N373" s="460"/>
      <c r="O373" s="570"/>
      <c r="P373" s="460"/>
      <c r="Q373" s="570"/>
      <c r="R373" s="460"/>
      <c r="S373" s="570"/>
      <c r="T373" s="460"/>
    </row>
    <row r="374" spans="1:20">
      <c r="A374" s="461"/>
      <c r="B374" s="462"/>
      <c r="C374" s="463"/>
      <c r="D374" s="464"/>
      <c r="E374" s="459"/>
      <c r="F374" s="465"/>
      <c r="G374" s="466"/>
      <c r="H374" s="460"/>
      <c r="I374" s="466"/>
      <c r="J374" s="460"/>
      <c r="K374" s="466"/>
      <c r="L374" s="460"/>
      <c r="M374" s="570"/>
      <c r="N374" s="460"/>
      <c r="O374" s="570"/>
      <c r="P374" s="460"/>
      <c r="Q374" s="570"/>
      <c r="R374" s="460"/>
      <c r="S374" s="570"/>
      <c r="T374" s="460"/>
    </row>
    <row r="375" spans="1:20">
      <c r="A375" s="461"/>
      <c r="B375" s="462"/>
      <c r="C375" s="463"/>
      <c r="D375" s="464"/>
      <c r="E375" s="459"/>
      <c r="F375" s="465"/>
      <c r="G375" s="466"/>
      <c r="H375" s="460"/>
      <c r="I375" s="466"/>
      <c r="J375" s="460"/>
      <c r="K375" s="466"/>
      <c r="L375" s="460"/>
      <c r="M375" s="570"/>
      <c r="N375" s="460"/>
      <c r="O375" s="570"/>
      <c r="P375" s="460"/>
      <c r="Q375" s="570"/>
      <c r="R375" s="460"/>
      <c r="S375" s="570"/>
      <c r="T375" s="460"/>
    </row>
    <row r="376" spans="1:20">
      <c r="A376" s="461"/>
      <c r="B376" s="462"/>
      <c r="C376" s="463"/>
      <c r="D376" s="464"/>
      <c r="E376" s="459"/>
      <c r="F376" s="465"/>
      <c r="G376" s="466"/>
      <c r="H376" s="460"/>
      <c r="I376" s="466"/>
      <c r="J376" s="460"/>
      <c r="K376" s="466"/>
      <c r="L376" s="460"/>
      <c r="M376" s="570"/>
      <c r="N376" s="460"/>
      <c r="O376" s="570"/>
      <c r="P376" s="460"/>
      <c r="Q376" s="570"/>
      <c r="R376" s="460"/>
      <c r="S376" s="570"/>
      <c r="T376" s="460"/>
    </row>
    <row r="377" spans="1:20">
      <c r="A377" s="461"/>
      <c r="B377" s="462"/>
      <c r="C377" s="463"/>
      <c r="D377" s="464"/>
      <c r="E377" s="459"/>
      <c r="F377" s="465"/>
      <c r="G377" s="466"/>
      <c r="H377" s="460"/>
      <c r="I377" s="466"/>
      <c r="J377" s="460"/>
      <c r="K377" s="466"/>
      <c r="L377" s="460"/>
      <c r="M377" s="570"/>
      <c r="N377" s="460"/>
      <c r="O377" s="570"/>
      <c r="P377" s="460"/>
      <c r="Q377" s="570"/>
      <c r="R377" s="460"/>
      <c r="S377" s="570"/>
      <c r="T377" s="460"/>
    </row>
    <row r="378" spans="1:20">
      <c r="A378" s="461"/>
      <c r="B378" s="462"/>
      <c r="C378" s="463"/>
      <c r="D378" s="464"/>
      <c r="E378" s="459"/>
      <c r="F378" s="465"/>
      <c r="G378" s="466"/>
      <c r="H378" s="460"/>
      <c r="I378" s="466"/>
      <c r="J378" s="460"/>
      <c r="K378" s="466"/>
      <c r="L378" s="460"/>
      <c r="M378" s="570"/>
      <c r="N378" s="460"/>
      <c r="O378" s="570"/>
      <c r="P378" s="460"/>
      <c r="Q378" s="570"/>
      <c r="R378" s="460"/>
      <c r="S378" s="570"/>
      <c r="T378" s="460"/>
    </row>
    <row r="379" spans="1:20">
      <c r="A379" s="461"/>
      <c r="B379" s="462"/>
      <c r="C379" s="463"/>
      <c r="D379" s="464"/>
      <c r="E379" s="459"/>
      <c r="F379" s="465"/>
      <c r="G379" s="466"/>
      <c r="H379" s="460"/>
      <c r="I379" s="466"/>
      <c r="J379" s="460"/>
      <c r="K379" s="466"/>
      <c r="L379" s="460"/>
      <c r="M379" s="570"/>
      <c r="N379" s="460"/>
      <c r="O379" s="570"/>
      <c r="P379" s="460"/>
      <c r="Q379" s="570"/>
      <c r="R379" s="460"/>
      <c r="S379" s="570"/>
      <c r="T379" s="460"/>
    </row>
    <row r="380" spans="1:20">
      <c r="A380" s="461"/>
      <c r="B380" s="462"/>
      <c r="C380" s="463"/>
      <c r="D380" s="464"/>
      <c r="E380" s="459"/>
      <c r="F380" s="465"/>
      <c r="G380" s="466"/>
      <c r="H380" s="460"/>
      <c r="I380" s="466"/>
      <c r="J380" s="460"/>
      <c r="K380" s="466"/>
      <c r="L380" s="460"/>
      <c r="M380" s="570"/>
      <c r="N380" s="460"/>
      <c r="O380" s="570"/>
      <c r="P380" s="460"/>
      <c r="Q380" s="570"/>
      <c r="R380" s="460"/>
      <c r="S380" s="570"/>
      <c r="T380" s="460"/>
    </row>
    <row r="381" spans="1:20">
      <c r="A381" s="461"/>
      <c r="B381" s="462"/>
      <c r="C381" s="463"/>
      <c r="D381" s="464"/>
      <c r="E381" s="459"/>
      <c r="F381" s="465"/>
      <c r="G381" s="466"/>
      <c r="H381" s="460"/>
      <c r="I381" s="466"/>
      <c r="J381" s="460"/>
      <c r="K381" s="466"/>
      <c r="L381" s="460"/>
      <c r="M381" s="570"/>
      <c r="N381" s="460"/>
      <c r="O381" s="570"/>
      <c r="P381" s="460"/>
      <c r="Q381" s="570"/>
      <c r="R381" s="460"/>
      <c r="S381" s="570"/>
      <c r="T381" s="460"/>
    </row>
    <row r="382" spans="1:20">
      <c r="A382" s="461"/>
      <c r="B382" s="462"/>
      <c r="C382" s="463"/>
      <c r="D382" s="464"/>
      <c r="E382" s="459"/>
      <c r="F382" s="465"/>
      <c r="G382" s="466"/>
      <c r="H382" s="460"/>
      <c r="I382" s="466"/>
      <c r="J382" s="460"/>
      <c r="K382" s="466"/>
      <c r="L382" s="460"/>
      <c r="M382" s="570"/>
      <c r="N382" s="460"/>
      <c r="O382" s="570"/>
      <c r="P382" s="460"/>
      <c r="Q382" s="570"/>
      <c r="R382" s="460"/>
      <c r="S382" s="570"/>
      <c r="T382" s="460"/>
    </row>
    <row r="383" spans="1:20">
      <c r="A383" s="461"/>
      <c r="B383" s="462"/>
      <c r="C383" s="463"/>
      <c r="D383" s="464"/>
      <c r="E383" s="459"/>
      <c r="F383" s="465"/>
      <c r="G383" s="466"/>
      <c r="H383" s="460"/>
      <c r="I383" s="466"/>
      <c r="J383" s="460"/>
      <c r="K383" s="466"/>
      <c r="L383" s="460"/>
      <c r="M383" s="570"/>
      <c r="N383" s="460"/>
      <c r="O383" s="570"/>
      <c r="P383" s="460"/>
      <c r="Q383" s="570"/>
      <c r="R383" s="460"/>
      <c r="S383" s="570"/>
      <c r="T383" s="460"/>
    </row>
    <row r="384" spans="1:20">
      <c r="A384" s="461"/>
      <c r="B384" s="462"/>
      <c r="C384" s="463"/>
      <c r="D384" s="464"/>
      <c r="E384" s="459"/>
      <c r="F384" s="465"/>
      <c r="G384" s="466"/>
      <c r="H384" s="460"/>
      <c r="I384" s="466"/>
      <c r="J384" s="460"/>
      <c r="K384" s="466"/>
      <c r="L384" s="460"/>
      <c r="M384" s="570"/>
      <c r="N384" s="460"/>
      <c r="O384" s="570"/>
      <c r="P384" s="460"/>
      <c r="Q384" s="570"/>
      <c r="R384" s="460"/>
      <c r="S384" s="570"/>
      <c r="T384" s="460"/>
    </row>
    <row r="385" spans="1:20">
      <c r="A385" s="461"/>
      <c r="B385" s="462"/>
      <c r="C385" s="463"/>
      <c r="D385" s="464"/>
      <c r="E385" s="459"/>
      <c r="F385" s="465"/>
      <c r="G385" s="466"/>
      <c r="H385" s="460"/>
      <c r="I385" s="466"/>
      <c r="J385" s="460"/>
      <c r="K385" s="466"/>
      <c r="L385" s="460"/>
      <c r="M385" s="570"/>
      <c r="N385" s="460"/>
      <c r="O385" s="570"/>
      <c r="P385" s="460"/>
      <c r="Q385" s="570"/>
      <c r="R385" s="460"/>
      <c r="S385" s="570"/>
      <c r="T385" s="460"/>
    </row>
    <row r="386" spans="1:20">
      <c r="A386" s="461"/>
      <c r="B386" s="462"/>
      <c r="C386" s="463"/>
      <c r="D386" s="464"/>
      <c r="E386" s="459"/>
      <c r="F386" s="465"/>
      <c r="G386" s="466"/>
      <c r="H386" s="460"/>
      <c r="I386" s="466"/>
      <c r="J386" s="460"/>
      <c r="K386" s="466"/>
      <c r="L386" s="460"/>
      <c r="M386" s="570"/>
      <c r="N386" s="460"/>
      <c r="O386" s="570"/>
      <c r="P386" s="460"/>
      <c r="Q386" s="570"/>
      <c r="R386" s="460"/>
      <c r="S386" s="570"/>
      <c r="T386" s="460"/>
    </row>
    <row r="387" spans="1:20">
      <c r="A387" s="461"/>
      <c r="B387" s="462"/>
      <c r="C387" s="463"/>
      <c r="D387" s="464"/>
      <c r="E387" s="459"/>
      <c r="F387" s="465"/>
      <c r="G387" s="466"/>
      <c r="H387" s="460"/>
      <c r="I387" s="466"/>
      <c r="J387" s="460"/>
      <c r="K387" s="466"/>
      <c r="L387" s="460"/>
      <c r="M387" s="570"/>
      <c r="N387" s="460"/>
      <c r="O387" s="570"/>
      <c r="P387" s="460"/>
      <c r="Q387" s="570"/>
      <c r="R387" s="460"/>
      <c r="S387" s="570"/>
      <c r="T387" s="460"/>
    </row>
    <row r="388" spans="1:20">
      <c r="A388" s="461"/>
      <c r="B388" s="462"/>
      <c r="C388" s="463"/>
      <c r="D388" s="464"/>
      <c r="E388" s="459"/>
      <c r="F388" s="465"/>
      <c r="G388" s="466"/>
      <c r="H388" s="460"/>
      <c r="I388" s="466"/>
      <c r="J388" s="460"/>
      <c r="K388" s="466"/>
      <c r="L388" s="460"/>
      <c r="M388" s="570"/>
      <c r="N388" s="460"/>
      <c r="O388" s="570"/>
      <c r="P388" s="460"/>
      <c r="Q388" s="570"/>
      <c r="R388" s="460"/>
      <c r="S388" s="570"/>
      <c r="T388" s="460"/>
    </row>
    <row r="389" spans="1:20">
      <c r="A389" s="461"/>
      <c r="B389" s="462"/>
      <c r="C389" s="463"/>
      <c r="D389" s="464"/>
      <c r="E389" s="459"/>
      <c r="F389" s="465"/>
      <c r="G389" s="466"/>
      <c r="H389" s="460"/>
      <c r="I389" s="466"/>
      <c r="J389" s="460"/>
      <c r="K389" s="466"/>
      <c r="L389" s="460"/>
      <c r="M389" s="570"/>
      <c r="N389" s="460"/>
      <c r="O389" s="570"/>
      <c r="P389" s="460"/>
      <c r="Q389" s="570"/>
      <c r="R389" s="460"/>
      <c r="S389" s="570"/>
      <c r="T389" s="460"/>
    </row>
    <row r="390" spans="1:20">
      <c r="A390" s="461"/>
      <c r="B390" s="462"/>
      <c r="C390" s="463"/>
      <c r="D390" s="464"/>
      <c r="E390" s="459"/>
      <c r="F390" s="465"/>
      <c r="G390" s="466"/>
      <c r="H390" s="460"/>
      <c r="I390" s="466"/>
      <c r="J390" s="460"/>
      <c r="K390" s="466"/>
      <c r="L390" s="460"/>
      <c r="M390" s="570"/>
      <c r="N390" s="460"/>
      <c r="O390" s="570"/>
      <c r="P390" s="460"/>
      <c r="Q390" s="570"/>
      <c r="R390" s="460"/>
      <c r="S390" s="570"/>
      <c r="T390" s="460"/>
    </row>
    <row r="391" spans="1:20">
      <c r="A391" s="461"/>
      <c r="B391" s="462"/>
      <c r="C391" s="463"/>
      <c r="D391" s="464"/>
      <c r="E391" s="459"/>
      <c r="F391" s="465"/>
      <c r="G391" s="466"/>
      <c r="H391" s="460"/>
      <c r="I391" s="466"/>
      <c r="J391" s="460"/>
      <c r="K391" s="466"/>
      <c r="L391" s="460"/>
      <c r="M391" s="570"/>
      <c r="N391" s="460"/>
      <c r="O391" s="570"/>
      <c r="P391" s="460"/>
      <c r="Q391" s="570"/>
      <c r="R391" s="460"/>
      <c r="S391" s="570"/>
      <c r="T391" s="460"/>
    </row>
    <row r="392" spans="1:20">
      <c r="A392" s="461"/>
      <c r="B392" s="462"/>
      <c r="C392" s="463"/>
      <c r="D392" s="464"/>
      <c r="E392" s="459"/>
      <c r="F392" s="465"/>
      <c r="G392" s="466"/>
      <c r="H392" s="460"/>
      <c r="I392" s="466"/>
      <c r="J392" s="460"/>
      <c r="K392" s="466"/>
      <c r="L392" s="460"/>
      <c r="M392" s="570"/>
      <c r="N392" s="460"/>
      <c r="O392" s="570"/>
      <c r="P392" s="460"/>
      <c r="Q392" s="570"/>
      <c r="R392" s="460"/>
      <c r="S392" s="570"/>
      <c r="T392" s="460"/>
    </row>
    <row r="393" spans="1:20">
      <c r="A393" s="461"/>
      <c r="B393" s="462"/>
      <c r="C393" s="463"/>
      <c r="D393" s="464"/>
      <c r="E393" s="459"/>
      <c r="F393" s="465"/>
      <c r="G393" s="466"/>
      <c r="H393" s="460"/>
      <c r="I393" s="466"/>
      <c r="J393" s="460"/>
      <c r="K393" s="466"/>
      <c r="L393" s="460"/>
      <c r="M393" s="570"/>
      <c r="N393" s="460"/>
      <c r="O393" s="570"/>
      <c r="P393" s="460"/>
      <c r="Q393" s="570"/>
      <c r="R393" s="460"/>
      <c r="S393" s="570"/>
      <c r="T393" s="460"/>
    </row>
    <row r="394" spans="1:20">
      <c r="A394" s="461"/>
      <c r="B394" s="462"/>
      <c r="C394" s="463"/>
      <c r="D394" s="464"/>
      <c r="E394" s="459"/>
      <c r="F394" s="465"/>
      <c r="G394" s="466"/>
      <c r="H394" s="460"/>
      <c r="I394" s="466"/>
      <c r="J394" s="460"/>
      <c r="K394" s="466"/>
      <c r="L394" s="460"/>
      <c r="M394" s="570"/>
      <c r="N394" s="460"/>
      <c r="O394" s="570"/>
      <c r="P394" s="460"/>
      <c r="Q394" s="570"/>
      <c r="R394" s="460"/>
      <c r="S394" s="570"/>
      <c r="T394" s="460"/>
    </row>
    <row r="395" spans="1:20">
      <c r="A395" s="461"/>
      <c r="B395" s="462"/>
      <c r="C395" s="463"/>
      <c r="D395" s="464"/>
      <c r="E395" s="459"/>
      <c r="F395" s="465"/>
      <c r="G395" s="466"/>
      <c r="H395" s="460"/>
      <c r="I395" s="466"/>
      <c r="J395" s="460"/>
      <c r="K395" s="466"/>
      <c r="L395" s="460"/>
      <c r="M395" s="570"/>
      <c r="N395" s="460"/>
      <c r="O395" s="570"/>
      <c r="P395" s="460"/>
      <c r="Q395" s="570"/>
      <c r="R395" s="460"/>
      <c r="S395" s="570"/>
      <c r="T395" s="460"/>
    </row>
    <row r="396" spans="1:20">
      <c r="A396" s="461"/>
      <c r="B396" s="462"/>
      <c r="C396" s="463"/>
      <c r="D396" s="464"/>
      <c r="E396" s="459"/>
      <c r="F396" s="465"/>
      <c r="G396" s="466"/>
      <c r="H396" s="460"/>
      <c r="I396" s="466"/>
      <c r="J396" s="460"/>
      <c r="K396" s="466"/>
      <c r="L396" s="460"/>
      <c r="M396" s="570"/>
      <c r="N396" s="460"/>
      <c r="O396" s="570"/>
      <c r="P396" s="460"/>
      <c r="Q396" s="570"/>
      <c r="R396" s="460"/>
      <c r="S396" s="570"/>
      <c r="T396" s="460"/>
    </row>
    <row r="397" spans="1:20">
      <c r="A397" s="461"/>
      <c r="B397" s="462"/>
      <c r="C397" s="463"/>
      <c r="D397" s="464"/>
      <c r="E397" s="459"/>
      <c r="F397" s="465"/>
      <c r="G397" s="466"/>
      <c r="H397" s="460"/>
      <c r="I397" s="466"/>
      <c r="J397" s="460"/>
      <c r="K397" s="466"/>
      <c r="L397" s="460"/>
      <c r="M397" s="570"/>
      <c r="N397" s="460"/>
      <c r="O397" s="570"/>
      <c r="P397" s="460"/>
      <c r="Q397" s="570"/>
      <c r="R397" s="460"/>
      <c r="S397" s="570"/>
      <c r="T397" s="460"/>
    </row>
    <row r="398" spans="1:20">
      <c r="A398" s="461"/>
      <c r="B398" s="462"/>
      <c r="C398" s="463"/>
      <c r="D398" s="464"/>
      <c r="E398" s="459"/>
      <c r="F398" s="465"/>
      <c r="G398" s="466"/>
      <c r="H398" s="460"/>
      <c r="I398" s="466"/>
      <c r="J398" s="460"/>
      <c r="K398" s="466"/>
      <c r="L398" s="460"/>
      <c r="M398" s="570"/>
      <c r="N398" s="460"/>
      <c r="O398" s="570"/>
      <c r="P398" s="460"/>
      <c r="Q398" s="570"/>
      <c r="R398" s="460"/>
      <c r="S398" s="570"/>
      <c r="T398" s="460"/>
    </row>
    <row r="399" spans="1:20">
      <c r="A399" s="461"/>
      <c r="B399" s="462"/>
      <c r="C399" s="463"/>
      <c r="D399" s="464"/>
      <c r="E399" s="459"/>
      <c r="F399" s="465"/>
      <c r="G399" s="466"/>
      <c r="H399" s="460"/>
      <c r="I399" s="466"/>
      <c r="J399" s="460"/>
      <c r="K399" s="466"/>
      <c r="L399" s="460"/>
      <c r="M399" s="570"/>
      <c r="N399" s="460"/>
      <c r="O399" s="570"/>
      <c r="P399" s="460"/>
      <c r="Q399" s="570"/>
      <c r="R399" s="460"/>
      <c r="S399" s="570"/>
      <c r="T399" s="460"/>
    </row>
    <row r="400" spans="1:20">
      <c r="A400" s="461"/>
      <c r="B400" s="462"/>
      <c r="C400" s="463"/>
      <c r="D400" s="464"/>
      <c r="E400" s="459"/>
      <c r="F400" s="465"/>
      <c r="G400" s="466"/>
      <c r="H400" s="460"/>
      <c r="I400" s="466"/>
      <c r="J400" s="460"/>
      <c r="K400" s="466"/>
      <c r="L400" s="460"/>
      <c r="M400" s="570"/>
      <c r="N400" s="460"/>
      <c r="O400" s="570"/>
      <c r="P400" s="460"/>
      <c r="Q400" s="570"/>
      <c r="R400" s="460"/>
      <c r="S400" s="570"/>
      <c r="T400" s="460"/>
    </row>
    <row r="401" spans="1:20">
      <c r="A401" s="461"/>
      <c r="B401" s="462"/>
      <c r="C401" s="463"/>
      <c r="D401" s="464"/>
      <c r="E401" s="459"/>
      <c r="F401" s="465"/>
      <c r="G401" s="466"/>
      <c r="H401" s="460"/>
      <c r="I401" s="466"/>
      <c r="J401" s="460"/>
      <c r="K401" s="466"/>
      <c r="L401" s="460"/>
      <c r="M401" s="570"/>
      <c r="N401" s="460"/>
      <c r="O401" s="570"/>
      <c r="P401" s="460"/>
      <c r="Q401" s="570"/>
      <c r="R401" s="460"/>
      <c r="S401" s="570"/>
      <c r="T401" s="460"/>
    </row>
    <row r="402" spans="1:20">
      <c r="A402" s="461"/>
      <c r="B402" s="462"/>
      <c r="C402" s="463"/>
      <c r="D402" s="464"/>
      <c r="E402" s="459"/>
      <c r="F402" s="465"/>
      <c r="G402" s="466"/>
      <c r="H402" s="460"/>
      <c r="I402" s="466"/>
      <c r="J402" s="460"/>
      <c r="K402" s="466"/>
      <c r="L402" s="460"/>
      <c r="M402" s="570"/>
      <c r="N402" s="460"/>
      <c r="O402" s="570"/>
      <c r="P402" s="460"/>
      <c r="Q402" s="570"/>
      <c r="R402" s="460"/>
      <c r="S402" s="570"/>
      <c r="T402" s="460"/>
    </row>
    <row r="403" spans="1:20">
      <c r="A403" s="461"/>
      <c r="B403" s="462"/>
      <c r="C403" s="463"/>
      <c r="D403" s="464"/>
      <c r="E403" s="459"/>
      <c r="F403" s="465"/>
      <c r="G403" s="466"/>
      <c r="H403" s="460"/>
      <c r="I403" s="466"/>
      <c r="J403" s="460"/>
      <c r="K403" s="466"/>
      <c r="L403" s="460"/>
      <c r="M403" s="570"/>
      <c r="N403" s="460"/>
      <c r="O403" s="570"/>
      <c r="P403" s="460"/>
      <c r="Q403" s="570"/>
      <c r="R403" s="460"/>
      <c r="S403" s="570"/>
      <c r="T403" s="460"/>
    </row>
    <row r="404" spans="1:20">
      <c r="A404" s="461"/>
      <c r="B404" s="462"/>
      <c r="C404" s="463"/>
      <c r="D404" s="464"/>
      <c r="E404" s="459"/>
      <c r="F404" s="465"/>
      <c r="G404" s="466"/>
      <c r="H404" s="460"/>
      <c r="I404" s="466"/>
      <c r="J404" s="460"/>
      <c r="K404" s="466"/>
      <c r="L404" s="460"/>
      <c r="M404" s="570"/>
      <c r="N404" s="460"/>
      <c r="O404" s="570"/>
      <c r="P404" s="460"/>
      <c r="Q404" s="570"/>
      <c r="R404" s="460"/>
      <c r="S404" s="570"/>
      <c r="T404" s="460"/>
    </row>
    <row r="405" spans="1:20">
      <c r="A405" s="461"/>
      <c r="B405" s="462"/>
      <c r="C405" s="463"/>
      <c r="D405" s="464"/>
      <c r="E405" s="459"/>
      <c r="F405" s="465"/>
      <c r="G405" s="466"/>
      <c r="H405" s="460"/>
      <c r="I405" s="466"/>
      <c r="J405" s="460"/>
      <c r="K405" s="466"/>
      <c r="L405" s="460"/>
      <c r="M405" s="570"/>
      <c r="N405" s="460"/>
      <c r="O405" s="570"/>
      <c r="P405" s="460"/>
      <c r="Q405" s="570"/>
      <c r="R405" s="460"/>
      <c r="S405" s="570"/>
      <c r="T405" s="460"/>
    </row>
    <row r="406" spans="1:20">
      <c r="A406" s="461"/>
      <c r="B406" s="462"/>
      <c r="C406" s="463"/>
      <c r="D406" s="464"/>
      <c r="E406" s="459"/>
      <c r="F406" s="465"/>
      <c r="G406" s="466"/>
      <c r="H406" s="460"/>
      <c r="I406" s="466"/>
      <c r="J406" s="460"/>
      <c r="K406" s="466"/>
      <c r="L406" s="460"/>
      <c r="M406" s="570"/>
      <c r="N406" s="460"/>
      <c r="O406" s="570"/>
      <c r="P406" s="460"/>
      <c r="Q406" s="570"/>
      <c r="R406" s="460"/>
      <c r="S406" s="570"/>
      <c r="T406" s="460"/>
    </row>
    <row r="407" spans="1:20">
      <c r="A407" s="461"/>
      <c r="B407" s="462"/>
      <c r="C407" s="463"/>
      <c r="D407" s="464"/>
      <c r="E407" s="459"/>
      <c r="F407" s="465"/>
      <c r="G407" s="466"/>
      <c r="H407" s="460"/>
      <c r="I407" s="466"/>
      <c r="J407" s="460"/>
      <c r="K407" s="466"/>
      <c r="L407" s="460"/>
      <c r="M407" s="570"/>
      <c r="N407" s="460"/>
      <c r="O407" s="570"/>
      <c r="P407" s="460"/>
      <c r="Q407" s="570"/>
      <c r="R407" s="460"/>
      <c r="S407" s="570"/>
      <c r="T407" s="460"/>
    </row>
    <row r="408" spans="1:20">
      <c r="A408" s="461"/>
      <c r="B408" s="462"/>
      <c r="C408" s="463"/>
      <c r="D408" s="464"/>
      <c r="E408" s="459"/>
      <c r="F408" s="465"/>
      <c r="G408" s="466"/>
      <c r="H408" s="460"/>
      <c r="I408" s="466"/>
      <c r="J408" s="460"/>
      <c r="K408" s="466"/>
      <c r="L408" s="460"/>
      <c r="M408" s="570"/>
      <c r="N408" s="460"/>
      <c r="O408" s="570"/>
      <c r="P408" s="460"/>
      <c r="Q408" s="570"/>
      <c r="R408" s="460"/>
      <c r="S408" s="570"/>
      <c r="T408" s="460"/>
    </row>
    <row r="409" spans="1:20">
      <c r="A409" s="461"/>
      <c r="B409" s="462"/>
      <c r="C409" s="463"/>
      <c r="D409" s="464"/>
      <c r="E409" s="459"/>
      <c r="F409" s="465"/>
      <c r="G409" s="466"/>
      <c r="H409" s="460"/>
      <c r="I409" s="466"/>
      <c r="J409" s="460"/>
      <c r="K409" s="466"/>
      <c r="L409" s="460"/>
      <c r="M409" s="570"/>
      <c r="N409" s="460"/>
      <c r="O409" s="570"/>
      <c r="P409" s="460"/>
      <c r="Q409" s="570"/>
      <c r="R409" s="460"/>
      <c r="S409" s="570"/>
      <c r="T409" s="460"/>
    </row>
    <row r="410" spans="1:20">
      <c r="A410" s="461"/>
      <c r="B410" s="462"/>
      <c r="C410" s="463"/>
      <c r="D410" s="464"/>
      <c r="E410" s="459"/>
      <c r="F410" s="465"/>
      <c r="G410" s="466"/>
      <c r="H410" s="460"/>
      <c r="I410" s="466"/>
      <c r="J410" s="460"/>
      <c r="K410" s="466"/>
      <c r="L410" s="460"/>
      <c r="M410" s="570"/>
      <c r="N410" s="460"/>
      <c r="O410" s="570"/>
      <c r="P410" s="460"/>
      <c r="Q410" s="570"/>
      <c r="R410" s="460"/>
      <c r="S410" s="570"/>
      <c r="T410" s="460"/>
    </row>
    <row r="411" spans="1:20">
      <c r="A411" s="461"/>
      <c r="B411" s="462"/>
      <c r="C411" s="463"/>
      <c r="D411" s="464"/>
      <c r="E411" s="459"/>
      <c r="F411" s="465"/>
      <c r="G411" s="466"/>
      <c r="H411" s="460"/>
      <c r="I411" s="466"/>
      <c r="J411" s="460"/>
      <c r="K411" s="466"/>
      <c r="L411" s="460"/>
      <c r="M411" s="570"/>
      <c r="N411" s="460"/>
      <c r="O411" s="570"/>
      <c r="P411" s="460"/>
      <c r="Q411" s="570"/>
      <c r="R411" s="460"/>
      <c r="S411" s="570"/>
      <c r="T411" s="460"/>
    </row>
    <row r="412" spans="1:20">
      <c r="A412" s="461"/>
      <c r="B412" s="462"/>
      <c r="C412" s="463"/>
      <c r="D412" s="464"/>
      <c r="E412" s="459"/>
      <c r="F412" s="465"/>
      <c r="G412" s="466"/>
      <c r="H412" s="460"/>
      <c r="I412" s="466"/>
      <c r="J412" s="460"/>
      <c r="K412" s="466"/>
      <c r="L412" s="460"/>
      <c r="M412" s="570"/>
      <c r="N412" s="460"/>
      <c r="O412" s="570"/>
      <c r="P412" s="460"/>
      <c r="Q412" s="570"/>
      <c r="R412" s="460"/>
      <c r="S412" s="570"/>
      <c r="T412" s="460"/>
    </row>
    <row r="413" spans="1:20">
      <c r="A413" s="461"/>
      <c r="B413" s="462"/>
      <c r="C413" s="463"/>
      <c r="D413" s="464"/>
      <c r="E413" s="459"/>
      <c r="F413" s="465"/>
      <c r="G413" s="466"/>
      <c r="H413" s="460"/>
      <c r="I413" s="466"/>
      <c r="J413" s="460"/>
      <c r="K413" s="466"/>
      <c r="L413" s="460"/>
      <c r="M413" s="570"/>
      <c r="N413" s="460"/>
      <c r="O413" s="570"/>
      <c r="P413" s="460"/>
      <c r="Q413" s="570"/>
      <c r="R413" s="460"/>
      <c r="S413" s="570"/>
      <c r="T413" s="460"/>
    </row>
    <row r="414" spans="1:20">
      <c r="A414" s="461"/>
      <c r="B414" s="462"/>
      <c r="C414" s="463"/>
      <c r="D414" s="464"/>
      <c r="E414" s="459"/>
      <c r="F414" s="465"/>
      <c r="G414" s="466"/>
      <c r="H414" s="460"/>
      <c r="I414" s="466"/>
      <c r="J414" s="460"/>
      <c r="K414" s="466"/>
      <c r="L414" s="460"/>
      <c r="M414" s="570"/>
      <c r="N414" s="460"/>
      <c r="O414" s="570"/>
      <c r="P414" s="460"/>
      <c r="Q414" s="570"/>
      <c r="R414" s="460"/>
      <c r="S414" s="570"/>
      <c r="T414" s="460"/>
    </row>
    <row r="415" spans="1:20">
      <c r="A415" s="461"/>
      <c r="B415" s="462"/>
      <c r="C415" s="463"/>
      <c r="D415" s="464"/>
      <c r="E415" s="459"/>
      <c r="F415" s="465"/>
      <c r="G415" s="466"/>
      <c r="H415" s="460"/>
      <c r="I415" s="466"/>
      <c r="J415" s="460"/>
      <c r="K415" s="466"/>
      <c r="L415" s="460"/>
      <c r="M415" s="570"/>
      <c r="N415" s="460"/>
      <c r="O415" s="570"/>
      <c r="P415" s="460"/>
      <c r="Q415" s="570"/>
      <c r="R415" s="460"/>
      <c r="S415" s="570"/>
      <c r="T415" s="460"/>
    </row>
    <row r="416" spans="1:20">
      <c r="A416" s="461"/>
      <c r="B416" s="462"/>
      <c r="C416" s="463"/>
      <c r="D416" s="464"/>
      <c r="E416" s="459"/>
      <c r="F416" s="465"/>
      <c r="G416" s="466"/>
      <c r="H416" s="460"/>
      <c r="I416" s="466"/>
      <c r="J416" s="460"/>
      <c r="K416" s="466"/>
      <c r="L416" s="460"/>
      <c r="M416" s="570"/>
      <c r="N416" s="460"/>
      <c r="O416" s="570"/>
      <c r="P416" s="460"/>
      <c r="Q416" s="570"/>
      <c r="R416" s="460"/>
      <c r="S416" s="570"/>
      <c r="T416" s="460"/>
    </row>
    <row r="417" spans="1:20">
      <c r="A417" s="461"/>
      <c r="B417" s="462"/>
      <c r="C417" s="463"/>
      <c r="D417" s="464"/>
      <c r="E417" s="459"/>
      <c r="F417" s="465"/>
      <c r="G417" s="466"/>
      <c r="H417" s="460"/>
      <c r="I417" s="466"/>
      <c r="J417" s="460"/>
      <c r="K417" s="466"/>
      <c r="L417" s="460"/>
      <c r="M417" s="570"/>
      <c r="N417" s="460"/>
      <c r="O417" s="570"/>
      <c r="P417" s="460"/>
      <c r="Q417" s="570"/>
      <c r="R417" s="460"/>
      <c r="S417" s="570"/>
      <c r="T417" s="460"/>
    </row>
    <row r="418" spans="1:20">
      <c r="A418" s="461"/>
      <c r="B418" s="462"/>
      <c r="C418" s="463"/>
      <c r="D418" s="464"/>
      <c r="E418" s="459"/>
      <c r="F418" s="465"/>
      <c r="G418" s="466"/>
      <c r="H418" s="460"/>
      <c r="I418" s="466"/>
      <c r="J418" s="460"/>
      <c r="K418" s="466"/>
      <c r="L418" s="460"/>
      <c r="M418" s="570"/>
      <c r="N418" s="460"/>
      <c r="O418" s="570"/>
      <c r="P418" s="460"/>
      <c r="Q418" s="570"/>
      <c r="R418" s="460"/>
      <c r="S418" s="570"/>
      <c r="T418" s="460"/>
    </row>
    <row r="419" spans="1:20">
      <c r="A419" s="461"/>
      <c r="B419" s="462"/>
      <c r="C419" s="463"/>
      <c r="D419" s="464"/>
      <c r="E419" s="459"/>
      <c r="F419" s="465"/>
      <c r="G419" s="466"/>
      <c r="H419" s="460"/>
      <c r="I419" s="466"/>
      <c r="J419" s="460"/>
      <c r="K419" s="466"/>
      <c r="L419" s="460"/>
      <c r="M419" s="570"/>
      <c r="N419" s="460"/>
      <c r="O419" s="570"/>
      <c r="P419" s="460"/>
      <c r="Q419" s="570"/>
      <c r="R419" s="460"/>
      <c r="S419" s="570"/>
      <c r="T419" s="460"/>
    </row>
    <row r="420" spans="1:20">
      <c r="A420" s="461"/>
      <c r="B420" s="462"/>
      <c r="C420" s="463"/>
      <c r="D420" s="464"/>
      <c r="E420" s="459"/>
      <c r="F420" s="465"/>
      <c r="G420" s="466"/>
      <c r="H420" s="460"/>
      <c r="I420" s="466"/>
      <c r="J420" s="460"/>
      <c r="K420" s="466"/>
      <c r="L420" s="460"/>
      <c r="M420" s="570"/>
      <c r="N420" s="460"/>
      <c r="O420" s="570"/>
      <c r="P420" s="460"/>
      <c r="Q420" s="570"/>
      <c r="R420" s="460"/>
      <c r="S420" s="570"/>
      <c r="T420" s="460"/>
    </row>
    <row r="421" spans="1:20">
      <c r="A421" s="461"/>
      <c r="B421" s="462"/>
      <c r="C421" s="463"/>
      <c r="D421" s="464"/>
      <c r="E421" s="459"/>
      <c r="F421" s="465"/>
      <c r="G421" s="466"/>
      <c r="H421" s="460"/>
      <c r="I421" s="466"/>
      <c r="J421" s="460"/>
      <c r="K421" s="466"/>
      <c r="L421" s="460"/>
      <c r="M421" s="570"/>
      <c r="N421" s="460"/>
      <c r="O421" s="570"/>
      <c r="P421" s="460"/>
      <c r="Q421" s="570"/>
      <c r="R421" s="460"/>
      <c r="S421" s="570"/>
      <c r="T421" s="460"/>
    </row>
    <row r="422" spans="1:20">
      <c r="A422" s="461"/>
      <c r="B422" s="462"/>
      <c r="C422" s="463"/>
      <c r="D422" s="464"/>
      <c r="E422" s="459"/>
      <c r="F422" s="465"/>
      <c r="G422" s="466"/>
      <c r="H422" s="460"/>
      <c r="I422" s="466"/>
      <c r="J422" s="460"/>
      <c r="K422" s="466"/>
      <c r="L422" s="460"/>
      <c r="M422" s="570"/>
      <c r="N422" s="460"/>
      <c r="O422" s="570"/>
      <c r="P422" s="460"/>
      <c r="Q422" s="570"/>
      <c r="R422" s="460"/>
      <c r="S422" s="570"/>
      <c r="T422" s="460"/>
    </row>
    <row r="423" spans="1:20">
      <c r="A423" s="461"/>
      <c r="B423" s="462"/>
      <c r="C423" s="463"/>
      <c r="D423" s="464"/>
      <c r="E423" s="459"/>
      <c r="F423" s="465"/>
      <c r="G423" s="466"/>
      <c r="H423" s="460"/>
      <c r="I423" s="466"/>
      <c r="J423" s="460"/>
      <c r="K423" s="466"/>
      <c r="L423" s="460"/>
      <c r="M423" s="570"/>
      <c r="N423" s="460"/>
      <c r="O423" s="570"/>
      <c r="P423" s="460"/>
      <c r="Q423" s="570"/>
      <c r="R423" s="460"/>
      <c r="S423" s="570"/>
      <c r="T423" s="460"/>
    </row>
    <row r="424" spans="1:20">
      <c r="A424" s="461"/>
      <c r="B424" s="462"/>
      <c r="C424" s="463"/>
      <c r="D424" s="464"/>
      <c r="E424" s="459"/>
      <c r="F424" s="465"/>
      <c r="G424" s="466"/>
      <c r="H424" s="460"/>
      <c r="I424" s="466"/>
      <c r="J424" s="460"/>
      <c r="K424" s="466"/>
      <c r="L424" s="460"/>
      <c r="M424" s="570"/>
      <c r="N424" s="460"/>
      <c r="O424" s="570"/>
      <c r="P424" s="460"/>
      <c r="Q424" s="570"/>
      <c r="R424" s="460"/>
      <c r="S424" s="570"/>
      <c r="T424" s="460"/>
    </row>
    <row r="425" spans="1:20">
      <c r="A425" s="461"/>
      <c r="B425" s="462"/>
      <c r="C425" s="463"/>
      <c r="D425" s="464"/>
      <c r="E425" s="459"/>
      <c r="F425" s="465"/>
      <c r="G425" s="466"/>
      <c r="H425" s="460"/>
      <c r="I425" s="466"/>
      <c r="J425" s="460"/>
      <c r="K425" s="466"/>
      <c r="L425" s="460"/>
      <c r="M425" s="570"/>
      <c r="N425" s="460"/>
      <c r="O425" s="570"/>
      <c r="P425" s="460"/>
      <c r="Q425" s="570"/>
      <c r="R425" s="460"/>
      <c r="S425" s="570"/>
      <c r="T425" s="460"/>
    </row>
    <row r="426" spans="1:20">
      <c r="A426" s="461"/>
      <c r="B426" s="462"/>
      <c r="C426" s="463"/>
      <c r="D426" s="464"/>
      <c r="E426" s="459"/>
      <c r="F426" s="465"/>
      <c r="G426" s="466"/>
      <c r="H426" s="460"/>
      <c r="I426" s="466"/>
      <c r="J426" s="460"/>
      <c r="K426" s="466"/>
      <c r="L426" s="460"/>
      <c r="M426" s="570"/>
      <c r="N426" s="460"/>
      <c r="O426" s="570"/>
      <c r="P426" s="460"/>
      <c r="Q426" s="570"/>
      <c r="R426" s="460"/>
      <c r="S426" s="570"/>
      <c r="T426" s="460"/>
    </row>
    <row r="427" spans="1:20">
      <c r="A427" s="461"/>
      <c r="B427" s="462"/>
      <c r="C427" s="463"/>
      <c r="D427" s="464"/>
      <c r="E427" s="459"/>
      <c r="F427" s="465"/>
      <c r="G427" s="466"/>
      <c r="H427" s="460"/>
      <c r="I427" s="466"/>
      <c r="J427" s="460"/>
      <c r="K427" s="466"/>
      <c r="L427" s="460"/>
      <c r="M427" s="570"/>
      <c r="N427" s="460"/>
      <c r="O427" s="570"/>
      <c r="P427" s="460"/>
      <c r="Q427" s="570"/>
      <c r="R427" s="460"/>
      <c r="S427" s="570"/>
      <c r="T427" s="460"/>
    </row>
    <row r="428" spans="1:20">
      <c r="A428" s="461"/>
      <c r="B428" s="462"/>
      <c r="C428" s="463"/>
      <c r="D428" s="464"/>
      <c r="E428" s="459"/>
      <c r="F428" s="465"/>
      <c r="G428" s="466"/>
      <c r="H428" s="460"/>
      <c r="I428" s="466"/>
      <c r="J428" s="460"/>
      <c r="K428" s="466"/>
      <c r="L428" s="460"/>
      <c r="M428" s="570"/>
      <c r="N428" s="460"/>
      <c r="O428" s="570"/>
      <c r="P428" s="460"/>
      <c r="Q428" s="570"/>
      <c r="R428" s="460"/>
      <c r="S428" s="570"/>
      <c r="T428" s="460"/>
    </row>
    <row r="429" spans="1:20">
      <c r="A429" s="461"/>
      <c r="B429" s="462"/>
      <c r="C429" s="463"/>
      <c r="D429" s="464"/>
      <c r="E429" s="459"/>
      <c r="F429" s="465"/>
      <c r="G429" s="466"/>
      <c r="H429" s="460"/>
      <c r="I429" s="466"/>
      <c r="J429" s="460"/>
      <c r="K429" s="466"/>
      <c r="L429" s="460"/>
      <c r="M429" s="570"/>
      <c r="N429" s="460"/>
      <c r="O429" s="570"/>
      <c r="P429" s="460"/>
      <c r="Q429" s="570"/>
      <c r="R429" s="460"/>
      <c r="S429" s="570"/>
      <c r="T429" s="460"/>
    </row>
    <row r="430" spans="1:20">
      <c r="A430" s="461"/>
      <c r="B430" s="462"/>
      <c r="C430" s="463"/>
      <c r="D430" s="464"/>
      <c r="E430" s="459"/>
      <c r="F430" s="465"/>
      <c r="G430" s="466"/>
      <c r="H430" s="460"/>
      <c r="I430" s="466"/>
      <c r="J430" s="460"/>
      <c r="K430" s="466"/>
      <c r="L430" s="460"/>
      <c r="M430" s="570"/>
      <c r="N430" s="460"/>
      <c r="O430" s="570"/>
      <c r="P430" s="460"/>
      <c r="Q430" s="570"/>
      <c r="R430" s="460"/>
      <c r="S430" s="570"/>
      <c r="T430" s="460"/>
    </row>
    <row r="431" spans="1:20">
      <c r="A431" s="461"/>
      <c r="B431" s="462"/>
      <c r="C431" s="463"/>
      <c r="D431" s="464"/>
      <c r="E431" s="459"/>
      <c r="F431" s="465"/>
      <c r="G431" s="466"/>
      <c r="H431" s="460"/>
      <c r="I431" s="466"/>
      <c r="J431" s="460"/>
      <c r="K431" s="466"/>
      <c r="L431" s="460"/>
      <c r="M431" s="570"/>
      <c r="N431" s="460"/>
      <c r="O431" s="570"/>
      <c r="P431" s="460"/>
      <c r="Q431" s="570"/>
      <c r="R431" s="460"/>
      <c r="S431" s="570"/>
      <c r="T431" s="460"/>
    </row>
    <row r="432" spans="1:20">
      <c r="A432" s="461"/>
      <c r="B432" s="462"/>
      <c r="C432" s="463"/>
      <c r="D432" s="464"/>
      <c r="E432" s="459"/>
      <c r="F432" s="465"/>
      <c r="G432" s="466"/>
      <c r="H432" s="460"/>
      <c r="I432" s="466"/>
      <c r="J432" s="460"/>
      <c r="K432" s="466"/>
      <c r="L432" s="460"/>
      <c r="M432" s="570"/>
      <c r="N432" s="460"/>
      <c r="O432" s="570"/>
      <c r="P432" s="460"/>
      <c r="Q432" s="570"/>
      <c r="R432" s="460"/>
      <c r="S432" s="570"/>
      <c r="T432" s="460"/>
    </row>
    <row r="433" spans="1:20">
      <c r="A433" s="461"/>
      <c r="B433" s="462"/>
      <c r="C433" s="463"/>
      <c r="D433" s="464"/>
      <c r="E433" s="459"/>
      <c r="F433" s="465"/>
      <c r="G433" s="466"/>
      <c r="H433" s="460"/>
      <c r="I433" s="466"/>
      <c r="J433" s="460"/>
      <c r="K433" s="466"/>
      <c r="L433" s="460"/>
      <c r="M433" s="570"/>
      <c r="N433" s="460"/>
      <c r="O433" s="570"/>
      <c r="P433" s="460"/>
      <c r="Q433" s="570"/>
      <c r="R433" s="460"/>
      <c r="S433" s="570"/>
      <c r="T433" s="460"/>
    </row>
    <row r="434" spans="1:20">
      <c r="A434" s="461"/>
      <c r="B434" s="462"/>
      <c r="C434" s="463"/>
      <c r="D434" s="464"/>
      <c r="E434" s="459"/>
      <c r="F434" s="465"/>
      <c r="G434" s="466"/>
      <c r="H434" s="460"/>
      <c r="I434" s="466"/>
      <c r="J434" s="460"/>
      <c r="K434" s="466"/>
      <c r="L434" s="460"/>
      <c r="M434" s="570"/>
      <c r="N434" s="460"/>
      <c r="O434" s="570"/>
      <c r="P434" s="460"/>
      <c r="Q434" s="570"/>
      <c r="R434" s="460"/>
      <c r="S434" s="570"/>
      <c r="T434" s="460"/>
    </row>
    <row r="435" spans="1:20">
      <c r="A435" s="461"/>
      <c r="B435" s="462"/>
      <c r="C435" s="463"/>
      <c r="D435" s="464"/>
      <c r="E435" s="459"/>
      <c r="F435" s="465"/>
      <c r="G435" s="466"/>
      <c r="H435" s="460"/>
      <c r="I435" s="466"/>
      <c r="J435" s="460"/>
      <c r="K435" s="466"/>
      <c r="L435" s="460"/>
      <c r="M435" s="570"/>
      <c r="N435" s="460"/>
      <c r="O435" s="570"/>
      <c r="P435" s="460"/>
      <c r="Q435" s="570"/>
      <c r="R435" s="460"/>
      <c r="S435" s="570"/>
      <c r="T435" s="460"/>
    </row>
    <row r="436" spans="1:20">
      <c r="A436" s="461"/>
      <c r="B436" s="462"/>
      <c r="C436" s="463"/>
      <c r="D436" s="464"/>
      <c r="E436" s="459"/>
      <c r="F436" s="465"/>
      <c r="G436" s="466"/>
      <c r="H436" s="460"/>
      <c r="I436" s="466"/>
      <c r="J436" s="460"/>
      <c r="K436" s="466"/>
      <c r="L436" s="460"/>
      <c r="M436" s="570"/>
      <c r="N436" s="460"/>
      <c r="O436" s="570"/>
      <c r="P436" s="460"/>
      <c r="Q436" s="570"/>
      <c r="R436" s="460"/>
      <c r="S436" s="570"/>
      <c r="T436" s="460"/>
    </row>
    <row r="437" spans="1:20">
      <c r="A437" s="461"/>
      <c r="B437" s="462"/>
      <c r="C437" s="463"/>
      <c r="D437" s="464"/>
      <c r="E437" s="459"/>
      <c r="F437" s="465"/>
      <c r="G437" s="466"/>
      <c r="H437" s="460"/>
      <c r="I437" s="466"/>
      <c r="J437" s="460"/>
      <c r="K437" s="466"/>
      <c r="L437" s="460"/>
      <c r="M437" s="570"/>
      <c r="N437" s="460"/>
      <c r="O437" s="570"/>
      <c r="P437" s="460"/>
      <c r="Q437" s="570"/>
      <c r="R437" s="460"/>
      <c r="S437" s="570"/>
      <c r="T437" s="460"/>
    </row>
    <row r="438" spans="1:20">
      <c r="A438" s="461"/>
      <c r="B438" s="462"/>
      <c r="C438" s="463"/>
      <c r="D438" s="464"/>
      <c r="E438" s="459"/>
      <c r="F438" s="465"/>
      <c r="G438" s="466"/>
      <c r="H438" s="460"/>
      <c r="I438" s="466"/>
      <c r="J438" s="460"/>
      <c r="K438" s="466"/>
      <c r="L438" s="460"/>
      <c r="M438" s="570"/>
      <c r="N438" s="460"/>
      <c r="O438" s="570"/>
      <c r="P438" s="460"/>
      <c r="Q438" s="570"/>
      <c r="R438" s="460"/>
      <c r="S438" s="570"/>
      <c r="T438" s="460"/>
    </row>
    <row r="439" spans="1:20">
      <c r="A439" s="461"/>
      <c r="B439" s="462"/>
      <c r="C439" s="463"/>
      <c r="D439" s="464"/>
      <c r="E439" s="459"/>
      <c r="F439" s="465"/>
      <c r="G439" s="466"/>
      <c r="H439" s="460"/>
      <c r="I439" s="466"/>
      <c r="J439" s="460"/>
      <c r="K439" s="466"/>
      <c r="L439" s="460"/>
      <c r="M439" s="570"/>
      <c r="N439" s="460"/>
      <c r="O439" s="570"/>
      <c r="P439" s="460"/>
      <c r="Q439" s="570"/>
      <c r="R439" s="460"/>
      <c r="S439" s="570"/>
      <c r="T439" s="460"/>
    </row>
    <row r="440" spans="1:20">
      <c r="A440" s="461"/>
      <c r="B440" s="462"/>
      <c r="C440" s="463"/>
      <c r="D440" s="464"/>
      <c r="E440" s="459"/>
      <c r="F440" s="465"/>
      <c r="G440" s="466"/>
      <c r="H440" s="460"/>
      <c r="I440" s="466"/>
      <c r="J440" s="460"/>
      <c r="K440" s="466"/>
      <c r="L440" s="460"/>
      <c r="M440" s="570"/>
      <c r="N440" s="460"/>
      <c r="O440" s="570"/>
      <c r="P440" s="460"/>
      <c r="Q440" s="570"/>
      <c r="R440" s="460"/>
      <c r="S440" s="570"/>
      <c r="T440" s="460"/>
    </row>
    <row r="441" spans="1:20">
      <c r="A441" s="461"/>
      <c r="B441" s="462"/>
      <c r="C441" s="463"/>
      <c r="D441" s="464"/>
      <c r="E441" s="459"/>
      <c r="F441" s="465"/>
      <c r="G441" s="466"/>
      <c r="H441" s="460"/>
      <c r="I441" s="466"/>
      <c r="J441" s="460"/>
      <c r="K441" s="466"/>
      <c r="L441" s="460"/>
      <c r="M441" s="570"/>
      <c r="N441" s="460"/>
      <c r="O441" s="570"/>
      <c r="P441" s="460"/>
      <c r="Q441" s="570"/>
      <c r="R441" s="460"/>
      <c r="S441" s="570"/>
      <c r="T441" s="460"/>
    </row>
    <row r="442" spans="1:20">
      <c r="A442" s="461"/>
      <c r="B442" s="462"/>
      <c r="C442" s="463"/>
      <c r="D442" s="464"/>
      <c r="E442" s="459"/>
      <c r="F442" s="465"/>
      <c r="G442" s="466"/>
      <c r="H442" s="460"/>
      <c r="I442" s="466"/>
      <c r="J442" s="460"/>
      <c r="K442" s="466"/>
      <c r="L442" s="460"/>
      <c r="M442" s="570"/>
      <c r="N442" s="460"/>
      <c r="O442" s="570"/>
      <c r="P442" s="460"/>
      <c r="Q442" s="570"/>
      <c r="R442" s="460"/>
      <c r="S442" s="570"/>
      <c r="T442" s="460"/>
    </row>
    <row r="443" spans="1:20">
      <c r="A443" s="461"/>
      <c r="B443" s="462"/>
      <c r="C443" s="463"/>
      <c r="D443" s="464"/>
      <c r="E443" s="459"/>
      <c r="F443" s="465"/>
      <c r="G443" s="466"/>
      <c r="H443" s="460"/>
      <c r="I443" s="466"/>
      <c r="J443" s="460"/>
      <c r="K443" s="466"/>
      <c r="L443" s="460"/>
      <c r="M443" s="570"/>
      <c r="N443" s="460"/>
      <c r="O443" s="570"/>
      <c r="P443" s="460"/>
      <c r="Q443" s="570"/>
      <c r="R443" s="460"/>
      <c r="S443" s="570"/>
      <c r="T443" s="460"/>
    </row>
    <row r="444" spans="1:20">
      <c r="A444" s="461"/>
      <c r="B444" s="462"/>
      <c r="C444" s="463"/>
      <c r="D444" s="464"/>
      <c r="E444" s="459"/>
      <c r="F444" s="465"/>
      <c r="G444" s="466"/>
      <c r="H444" s="460"/>
      <c r="I444" s="466"/>
      <c r="J444" s="460"/>
      <c r="K444" s="466"/>
      <c r="L444" s="460"/>
      <c r="M444" s="570"/>
      <c r="N444" s="460"/>
      <c r="O444" s="570"/>
      <c r="P444" s="460"/>
      <c r="Q444" s="570"/>
      <c r="R444" s="460"/>
      <c r="S444" s="570"/>
      <c r="T444" s="460"/>
    </row>
    <row r="445" spans="1:20">
      <c r="A445" s="461"/>
      <c r="B445" s="462"/>
      <c r="C445" s="463"/>
      <c r="D445" s="464"/>
      <c r="E445" s="459"/>
      <c r="F445" s="465"/>
      <c r="G445" s="466"/>
      <c r="H445" s="460"/>
      <c r="I445" s="466"/>
      <c r="J445" s="460"/>
      <c r="K445" s="466"/>
      <c r="L445" s="460"/>
      <c r="M445" s="570"/>
      <c r="N445" s="460"/>
      <c r="O445" s="570"/>
      <c r="P445" s="460"/>
      <c r="Q445" s="570"/>
      <c r="R445" s="460"/>
      <c r="S445" s="570"/>
      <c r="T445" s="460"/>
    </row>
    <row r="446" spans="1:20">
      <c r="A446" s="461"/>
      <c r="B446" s="462"/>
      <c r="C446" s="463"/>
      <c r="D446" s="464"/>
      <c r="E446" s="459"/>
      <c r="F446" s="465"/>
      <c r="G446" s="466"/>
      <c r="H446" s="460"/>
      <c r="I446" s="466"/>
      <c r="J446" s="460"/>
      <c r="K446" s="466"/>
      <c r="L446" s="460"/>
      <c r="M446" s="570"/>
      <c r="N446" s="460"/>
      <c r="O446" s="570"/>
      <c r="P446" s="460"/>
      <c r="Q446" s="570"/>
      <c r="R446" s="460"/>
      <c r="S446" s="570"/>
      <c r="T446" s="460"/>
    </row>
    <row r="447" spans="1:20">
      <c r="A447" s="461"/>
      <c r="B447" s="462"/>
      <c r="C447" s="463"/>
      <c r="D447" s="464"/>
      <c r="E447" s="459"/>
      <c r="F447" s="465"/>
      <c r="G447" s="466"/>
      <c r="H447" s="460"/>
      <c r="I447" s="466"/>
      <c r="J447" s="460"/>
      <c r="K447" s="466"/>
      <c r="L447" s="460"/>
      <c r="M447" s="570"/>
      <c r="N447" s="460"/>
      <c r="O447" s="570"/>
      <c r="P447" s="460"/>
      <c r="Q447" s="570"/>
      <c r="R447" s="460"/>
      <c r="S447" s="570"/>
      <c r="T447" s="460"/>
    </row>
    <row r="448" spans="1:20">
      <c r="A448" s="461"/>
      <c r="B448" s="462"/>
      <c r="C448" s="463"/>
      <c r="D448" s="464"/>
      <c r="E448" s="459"/>
      <c r="F448" s="465"/>
      <c r="G448" s="466"/>
      <c r="H448" s="460"/>
      <c r="I448" s="466"/>
      <c r="J448" s="460"/>
      <c r="K448" s="466"/>
      <c r="L448" s="460"/>
      <c r="M448" s="570"/>
      <c r="N448" s="460"/>
      <c r="O448" s="570"/>
      <c r="P448" s="460"/>
      <c r="Q448" s="570"/>
      <c r="R448" s="460"/>
      <c r="S448" s="570"/>
      <c r="T448" s="460"/>
    </row>
    <row r="449" spans="1:20">
      <c r="A449" s="461"/>
      <c r="B449" s="462"/>
      <c r="C449" s="463"/>
      <c r="D449" s="464"/>
      <c r="E449" s="459"/>
      <c r="F449" s="465"/>
      <c r="G449" s="466"/>
      <c r="H449" s="460"/>
      <c r="I449" s="466"/>
      <c r="J449" s="460"/>
      <c r="K449" s="466"/>
      <c r="L449" s="460"/>
      <c r="M449" s="570"/>
      <c r="N449" s="460"/>
      <c r="O449" s="570"/>
      <c r="P449" s="460"/>
      <c r="Q449" s="570"/>
      <c r="R449" s="460"/>
      <c r="S449" s="570"/>
      <c r="T449" s="460"/>
    </row>
    <row r="450" spans="1:20">
      <c r="A450" s="461"/>
      <c r="B450" s="462"/>
      <c r="C450" s="463"/>
      <c r="D450" s="464"/>
      <c r="E450" s="459"/>
      <c r="F450" s="465"/>
      <c r="G450" s="466"/>
      <c r="H450" s="460"/>
      <c r="I450" s="466"/>
      <c r="J450" s="460"/>
      <c r="K450" s="466"/>
      <c r="L450" s="460"/>
      <c r="M450" s="570"/>
      <c r="N450" s="460"/>
      <c r="O450" s="570"/>
      <c r="P450" s="460"/>
      <c r="Q450" s="570"/>
      <c r="R450" s="460"/>
      <c r="S450" s="570"/>
      <c r="T450" s="460"/>
    </row>
    <row r="451" spans="1:20">
      <c r="A451" s="461"/>
      <c r="B451" s="462"/>
      <c r="C451" s="463"/>
      <c r="D451" s="464"/>
      <c r="E451" s="459"/>
      <c r="F451" s="465"/>
      <c r="G451" s="466"/>
      <c r="H451" s="460"/>
      <c r="I451" s="466"/>
      <c r="J451" s="460"/>
      <c r="K451" s="466"/>
      <c r="L451" s="460"/>
      <c r="M451" s="570"/>
      <c r="N451" s="460"/>
      <c r="O451" s="570"/>
      <c r="P451" s="460"/>
      <c r="Q451" s="570"/>
      <c r="R451" s="460"/>
      <c r="S451" s="570"/>
      <c r="T451" s="460"/>
    </row>
    <row r="452" spans="1:20">
      <c r="A452" s="461"/>
      <c r="B452" s="462"/>
      <c r="C452" s="463"/>
      <c r="D452" s="464"/>
      <c r="E452" s="459"/>
      <c r="F452" s="465"/>
      <c r="G452" s="466"/>
      <c r="H452" s="460"/>
      <c r="I452" s="466"/>
      <c r="J452" s="460"/>
      <c r="K452" s="466"/>
      <c r="L452" s="460"/>
      <c r="M452" s="570"/>
      <c r="N452" s="460"/>
      <c r="O452" s="570"/>
      <c r="P452" s="460"/>
      <c r="Q452" s="570"/>
      <c r="R452" s="460"/>
      <c r="S452" s="570"/>
      <c r="T452" s="460"/>
    </row>
    <row r="453" spans="1:20">
      <c r="A453" s="461"/>
      <c r="B453" s="462"/>
      <c r="C453" s="463"/>
      <c r="D453" s="464"/>
      <c r="E453" s="459"/>
      <c r="F453" s="465"/>
      <c r="G453" s="466"/>
      <c r="H453" s="460"/>
      <c r="I453" s="466"/>
      <c r="J453" s="460"/>
      <c r="K453" s="466"/>
      <c r="L453" s="460"/>
      <c r="M453" s="570"/>
      <c r="N453" s="460"/>
      <c r="O453" s="570"/>
      <c r="P453" s="460"/>
      <c r="Q453" s="570"/>
      <c r="R453" s="460"/>
      <c r="S453" s="570"/>
      <c r="T453" s="460"/>
    </row>
    <row r="454" spans="1:20">
      <c r="A454" s="461"/>
      <c r="B454" s="462"/>
      <c r="C454" s="463"/>
      <c r="D454" s="464"/>
      <c r="E454" s="459"/>
      <c r="F454" s="465"/>
      <c r="G454" s="466"/>
      <c r="H454" s="460"/>
      <c r="I454" s="466"/>
      <c r="J454" s="460"/>
      <c r="K454" s="466"/>
      <c r="L454" s="460"/>
      <c r="M454" s="570"/>
      <c r="N454" s="460"/>
      <c r="O454" s="570"/>
      <c r="P454" s="460"/>
      <c r="Q454" s="570"/>
      <c r="R454" s="460"/>
      <c r="S454" s="570"/>
      <c r="T454" s="460"/>
    </row>
    <row r="455" spans="1:20">
      <c r="A455" s="461"/>
      <c r="B455" s="462"/>
      <c r="C455" s="463"/>
      <c r="D455" s="464"/>
      <c r="E455" s="459"/>
      <c r="F455" s="465"/>
      <c r="G455" s="466"/>
      <c r="H455" s="460"/>
      <c r="I455" s="466"/>
      <c r="J455" s="460"/>
      <c r="K455" s="466"/>
      <c r="L455" s="460"/>
      <c r="M455" s="570"/>
      <c r="N455" s="460"/>
      <c r="O455" s="570"/>
      <c r="P455" s="460"/>
      <c r="Q455" s="570"/>
      <c r="R455" s="460"/>
      <c r="S455" s="570"/>
      <c r="T455" s="460"/>
    </row>
    <row r="456" spans="1:20">
      <c r="A456" s="461"/>
      <c r="B456" s="462"/>
      <c r="C456" s="463"/>
      <c r="D456" s="464"/>
      <c r="E456" s="459"/>
      <c r="F456" s="465"/>
      <c r="G456" s="466"/>
      <c r="H456" s="460"/>
      <c r="I456" s="466"/>
      <c r="J456" s="460"/>
      <c r="K456" s="466"/>
      <c r="L456" s="460"/>
      <c r="M456" s="570"/>
      <c r="N456" s="460"/>
      <c r="O456" s="570"/>
      <c r="P456" s="460"/>
      <c r="Q456" s="570"/>
      <c r="R456" s="460"/>
      <c r="S456" s="570"/>
      <c r="T456" s="460"/>
    </row>
    <row r="457" spans="1:20">
      <c r="A457" s="461"/>
      <c r="B457" s="462"/>
      <c r="C457" s="463"/>
      <c r="D457" s="464"/>
      <c r="E457" s="459"/>
      <c r="F457" s="465"/>
      <c r="G457" s="466"/>
      <c r="H457" s="460"/>
      <c r="I457" s="466"/>
      <c r="J457" s="460"/>
      <c r="K457" s="466"/>
      <c r="L457" s="460"/>
      <c r="M457" s="570"/>
      <c r="N457" s="460"/>
      <c r="O457" s="570"/>
      <c r="P457" s="460"/>
      <c r="Q457" s="570"/>
      <c r="R457" s="460"/>
      <c r="S457" s="570"/>
      <c r="T457" s="460"/>
    </row>
    <row r="458" spans="1:20">
      <c r="A458" s="461"/>
      <c r="B458" s="462"/>
      <c r="C458" s="463"/>
      <c r="D458" s="464"/>
      <c r="E458" s="459"/>
      <c r="F458" s="465"/>
      <c r="G458" s="466"/>
      <c r="H458" s="460"/>
      <c r="I458" s="466"/>
      <c r="J458" s="460"/>
      <c r="K458" s="466"/>
      <c r="L458" s="460"/>
      <c r="M458" s="570"/>
      <c r="N458" s="460"/>
      <c r="O458" s="570"/>
      <c r="P458" s="460"/>
      <c r="Q458" s="570"/>
      <c r="R458" s="460"/>
      <c r="S458" s="570"/>
      <c r="T458" s="460"/>
    </row>
    <row r="459" spans="1:20">
      <c r="A459" s="461"/>
      <c r="B459" s="462"/>
      <c r="C459" s="463"/>
      <c r="D459" s="464"/>
      <c r="E459" s="459"/>
      <c r="F459" s="465"/>
      <c r="G459" s="466"/>
      <c r="H459" s="460"/>
      <c r="I459" s="466"/>
      <c r="J459" s="460"/>
      <c r="K459" s="466"/>
      <c r="L459" s="460"/>
      <c r="M459" s="570"/>
      <c r="N459" s="460"/>
      <c r="O459" s="570"/>
      <c r="P459" s="460"/>
      <c r="Q459" s="570"/>
      <c r="R459" s="460"/>
      <c r="S459" s="570"/>
      <c r="T459" s="460"/>
    </row>
    <row r="460" spans="1:20">
      <c r="A460" s="461"/>
      <c r="B460" s="462"/>
      <c r="C460" s="463"/>
      <c r="D460" s="464"/>
      <c r="E460" s="459"/>
      <c r="F460" s="465"/>
      <c r="G460" s="466"/>
      <c r="H460" s="460"/>
      <c r="I460" s="466"/>
      <c r="J460" s="460"/>
      <c r="K460" s="466"/>
      <c r="L460" s="460"/>
      <c r="M460" s="570"/>
      <c r="N460" s="460"/>
      <c r="O460" s="570"/>
      <c r="P460" s="460"/>
      <c r="Q460" s="570"/>
      <c r="R460" s="460"/>
      <c r="S460" s="570"/>
      <c r="T460" s="460"/>
    </row>
    <row r="461" spans="1:20">
      <c r="A461" s="461"/>
      <c r="B461" s="462"/>
      <c r="C461" s="463"/>
      <c r="D461" s="464"/>
      <c r="E461" s="459"/>
      <c r="F461" s="465"/>
      <c r="G461" s="466"/>
      <c r="H461" s="460"/>
      <c r="I461" s="466"/>
      <c r="J461" s="460"/>
      <c r="K461" s="466"/>
      <c r="L461" s="460"/>
      <c r="M461" s="570"/>
      <c r="N461" s="460"/>
      <c r="O461" s="570"/>
      <c r="P461" s="460"/>
      <c r="Q461" s="570"/>
      <c r="R461" s="460"/>
      <c r="S461" s="570"/>
      <c r="T461" s="460"/>
    </row>
    <row r="462" spans="1:20">
      <c r="A462" s="461"/>
      <c r="B462" s="462"/>
      <c r="C462" s="463"/>
      <c r="D462" s="464"/>
      <c r="E462" s="459"/>
      <c r="F462" s="465"/>
      <c r="G462" s="466"/>
      <c r="H462" s="460"/>
      <c r="I462" s="466"/>
      <c r="J462" s="460"/>
      <c r="K462" s="466"/>
      <c r="L462" s="460"/>
      <c r="M462" s="570"/>
      <c r="N462" s="460"/>
      <c r="O462" s="570"/>
      <c r="P462" s="460"/>
      <c r="Q462" s="570"/>
      <c r="R462" s="460"/>
      <c r="S462" s="570"/>
      <c r="T462" s="460"/>
    </row>
    <row r="463" spans="1:20">
      <c r="A463" s="461"/>
      <c r="B463" s="462"/>
      <c r="C463" s="463"/>
      <c r="D463" s="464"/>
      <c r="E463" s="459"/>
      <c r="F463" s="465"/>
      <c r="G463" s="466"/>
      <c r="H463" s="460"/>
      <c r="I463" s="466"/>
      <c r="J463" s="460"/>
      <c r="K463" s="466"/>
      <c r="L463" s="460"/>
      <c r="M463" s="570"/>
      <c r="N463" s="460"/>
      <c r="O463" s="570"/>
      <c r="P463" s="460"/>
      <c r="Q463" s="570"/>
      <c r="R463" s="460"/>
      <c r="S463" s="570"/>
      <c r="T463" s="460"/>
    </row>
    <row r="464" spans="1:20">
      <c r="A464" s="461"/>
      <c r="B464" s="462"/>
      <c r="C464" s="463"/>
      <c r="D464" s="464"/>
      <c r="E464" s="459"/>
      <c r="F464" s="465"/>
      <c r="G464" s="466"/>
      <c r="H464" s="460"/>
      <c r="I464" s="466"/>
      <c r="J464" s="460"/>
      <c r="K464" s="466"/>
      <c r="L464" s="460"/>
      <c r="M464" s="570"/>
      <c r="N464" s="460"/>
      <c r="O464" s="570"/>
      <c r="P464" s="460"/>
      <c r="Q464" s="570"/>
      <c r="R464" s="460"/>
      <c r="S464" s="570"/>
      <c r="T464" s="460"/>
    </row>
    <row r="465" spans="1:20">
      <c r="A465" s="461"/>
      <c r="B465" s="462"/>
      <c r="C465" s="463"/>
      <c r="D465" s="464"/>
      <c r="E465" s="459"/>
      <c r="F465" s="465"/>
      <c r="G465" s="466"/>
      <c r="H465" s="460"/>
      <c r="I465" s="466"/>
      <c r="J465" s="460"/>
      <c r="K465" s="466"/>
      <c r="L465" s="460"/>
      <c r="M465" s="570"/>
      <c r="N465" s="460"/>
      <c r="O465" s="570"/>
      <c r="P465" s="460"/>
      <c r="Q465" s="570"/>
      <c r="R465" s="460"/>
      <c r="S465" s="570"/>
      <c r="T465" s="460"/>
    </row>
    <row r="466" spans="1:20">
      <c r="A466" s="461"/>
      <c r="B466" s="462"/>
      <c r="C466" s="463"/>
      <c r="D466" s="464"/>
      <c r="E466" s="459"/>
      <c r="F466" s="465"/>
      <c r="G466" s="466"/>
      <c r="H466" s="460"/>
      <c r="I466" s="466"/>
      <c r="J466" s="460"/>
      <c r="K466" s="466"/>
      <c r="L466" s="460"/>
      <c r="M466" s="570"/>
      <c r="N466" s="460"/>
      <c r="O466" s="570"/>
      <c r="P466" s="460"/>
      <c r="Q466" s="570"/>
      <c r="R466" s="460"/>
      <c r="S466" s="570"/>
      <c r="T466" s="460"/>
    </row>
    <row r="467" spans="1:20">
      <c r="A467" s="461"/>
      <c r="B467" s="462"/>
      <c r="C467" s="463"/>
      <c r="D467" s="464"/>
      <c r="E467" s="459"/>
      <c r="F467" s="465"/>
      <c r="G467" s="466"/>
      <c r="H467" s="460"/>
      <c r="I467" s="466"/>
      <c r="J467" s="460"/>
      <c r="K467" s="466"/>
      <c r="L467" s="460"/>
      <c r="M467" s="570"/>
      <c r="N467" s="460"/>
      <c r="O467" s="570"/>
      <c r="P467" s="460"/>
      <c r="Q467" s="570"/>
      <c r="R467" s="460"/>
      <c r="S467" s="570"/>
      <c r="T467" s="460"/>
    </row>
    <row r="468" spans="1:20">
      <c r="A468" s="461"/>
      <c r="B468" s="462"/>
      <c r="C468" s="463"/>
      <c r="D468" s="464"/>
      <c r="E468" s="459"/>
      <c r="F468" s="465"/>
      <c r="G468" s="466"/>
      <c r="H468" s="460"/>
      <c r="I468" s="466"/>
      <c r="J468" s="460"/>
      <c r="K468" s="466"/>
      <c r="L468" s="460"/>
      <c r="M468" s="570"/>
      <c r="N468" s="460"/>
      <c r="O468" s="570"/>
      <c r="P468" s="460"/>
      <c r="Q468" s="570"/>
      <c r="R468" s="460"/>
      <c r="S468" s="570"/>
      <c r="T468" s="460"/>
    </row>
    <row r="469" spans="1:20">
      <c r="A469" s="461"/>
      <c r="B469" s="462"/>
      <c r="C469" s="463"/>
      <c r="D469" s="464"/>
      <c r="E469" s="459"/>
      <c r="F469" s="465"/>
      <c r="G469" s="466"/>
      <c r="H469" s="460"/>
      <c r="I469" s="466"/>
      <c r="J469" s="460"/>
      <c r="K469" s="466"/>
      <c r="L469" s="460"/>
      <c r="M469" s="570"/>
      <c r="N469" s="460"/>
      <c r="O469" s="570"/>
      <c r="P469" s="460"/>
      <c r="Q469" s="570"/>
      <c r="R469" s="460"/>
      <c r="S469" s="570"/>
      <c r="T469" s="460"/>
    </row>
    <row r="470" spans="1:20">
      <c r="A470" s="461"/>
      <c r="B470" s="462"/>
      <c r="C470" s="463"/>
      <c r="D470" s="464"/>
      <c r="E470" s="459"/>
      <c r="F470" s="465"/>
      <c r="G470" s="466"/>
      <c r="H470" s="460"/>
      <c r="I470" s="466"/>
      <c r="J470" s="460"/>
      <c r="K470" s="466"/>
      <c r="L470" s="460"/>
      <c r="M470" s="570"/>
      <c r="N470" s="460"/>
      <c r="O470" s="570"/>
      <c r="P470" s="460"/>
      <c r="Q470" s="570"/>
      <c r="R470" s="460"/>
      <c r="S470" s="570"/>
      <c r="T470" s="460"/>
    </row>
    <row r="471" spans="1:20">
      <c r="A471" s="461"/>
      <c r="B471" s="462"/>
      <c r="C471" s="463"/>
      <c r="D471" s="464"/>
      <c r="E471" s="459"/>
      <c r="F471" s="465"/>
      <c r="G471" s="466"/>
      <c r="H471" s="460"/>
      <c r="I471" s="466"/>
      <c r="J471" s="460"/>
      <c r="K471" s="466"/>
      <c r="L471" s="460"/>
      <c r="M471" s="570"/>
      <c r="N471" s="460"/>
      <c r="O471" s="570"/>
      <c r="P471" s="460"/>
      <c r="Q471" s="570"/>
      <c r="R471" s="460"/>
      <c r="S471" s="570"/>
      <c r="T471" s="460"/>
    </row>
    <row r="472" spans="1:20">
      <c r="A472" s="461"/>
      <c r="B472" s="462"/>
      <c r="C472" s="463"/>
      <c r="D472" s="464"/>
      <c r="E472" s="459"/>
      <c r="F472" s="465"/>
      <c r="G472" s="466"/>
      <c r="H472" s="460"/>
      <c r="I472" s="466"/>
      <c r="J472" s="460"/>
      <c r="K472" s="466"/>
      <c r="L472" s="460"/>
      <c r="M472" s="570"/>
      <c r="N472" s="460"/>
      <c r="O472" s="570"/>
      <c r="P472" s="460"/>
      <c r="Q472" s="570"/>
      <c r="R472" s="460"/>
      <c r="S472" s="570"/>
      <c r="T472" s="460"/>
    </row>
    <row r="473" spans="1:20">
      <c r="A473" s="461"/>
      <c r="B473" s="462"/>
      <c r="C473" s="463"/>
      <c r="D473" s="464"/>
      <c r="E473" s="459"/>
      <c r="F473" s="465"/>
      <c r="G473" s="466"/>
      <c r="H473" s="460"/>
      <c r="I473" s="466"/>
      <c r="J473" s="460"/>
      <c r="K473" s="466"/>
      <c r="L473" s="460"/>
      <c r="M473" s="570"/>
      <c r="N473" s="460"/>
      <c r="O473" s="570"/>
      <c r="P473" s="460"/>
      <c r="Q473" s="570"/>
      <c r="R473" s="460"/>
      <c r="S473" s="570"/>
      <c r="T473" s="460"/>
    </row>
    <row r="474" spans="1:20">
      <c r="A474" s="461"/>
      <c r="B474" s="462"/>
      <c r="C474" s="463"/>
      <c r="D474" s="464"/>
      <c r="E474" s="459"/>
      <c r="F474" s="465"/>
      <c r="G474" s="466"/>
      <c r="H474" s="460"/>
      <c r="I474" s="466"/>
      <c r="J474" s="460"/>
      <c r="K474" s="466"/>
      <c r="L474" s="460"/>
      <c r="M474" s="570"/>
      <c r="N474" s="460"/>
      <c r="O474" s="570"/>
      <c r="P474" s="460"/>
      <c r="Q474" s="570"/>
      <c r="R474" s="460"/>
      <c r="S474" s="570"/>
      <c r="T474" s="460"/>
    </row>
    <row r="475" spans="1:20">
      <c r="A475" s="461"/>
      <c r="B475" s="462"/>
      <c r="C475" s="463"/>
      <c r="D475" s="464"/>
      <c r="E475" s="459"/>
      <c r="F475" s="465"/>
      <c r="G475" s="466"/>
      <c r="H475" s="460"/>
      <c r="I475" s="466"/>
      <c r="J475" s="460"/>
      <c r="K475" s="466"/>
      <c r="L475" s="460"/>
      <c r="M475" s="570"/>
      <c r="N475" s="460"/>
      <c r="O475" s="570"/>
      <c r="P475" s="460"/>
      <c r="Q475" s="570"/>
      <c r="R475" s="460"/>
      <c r="S475" s="570"/>
      <c r="T475" s="460"/>
    </row>
    <row r="476" spans="1:20">
      <c r="A476" s="461"/>
      <c r="B476" s="462"/>
      <c r="C476" s="463"/>
      <c r="D476" s="464"/>
      <c r="E476" s="459"/>
      <c r="F476" s="465"/>
      <c r="G476" s="466"/>
      <c r="H476" s="460"/>
      <c r="I476" s="466"/>
      <c r="J476" s="460"/>
      <c r="K476" s="466"/>
      <c r="L476" s="460"/>
      <c r="M476" s="570"/>
      <c r="N476" s="460"/>
      <c r="O476" s="570"/>
      <c r="P476" s="460"/>
      <c r="Q476" s="570"/>
      <c r="R476" s="460"/>
      <c r="S476" s="570"/>
      <c r="T476" s="460"/>
    </row>
    <row r="477" spans="1:20">
      <c r="A477" s="461"/>
      <c r="B477" s="462"/>
      <c r="C477" s="463"/>
      <c r="D477" s="464"/>
      <c r="E477" s="459"/>
      <c r="F477" s="465"/>
      <c r="G477" s="466"/>
      <c r="H477" s="460"/>
      <c r="I477" s="466"/>
      <c r="J477" s="460"/>
      <c r="K477" s="466"/>
      <c r="L477" s="460"/>
      <c r="M477" s="570"/>
      <c r="N477" s="460"/>
      <c r="O477" s="570"/>
      <c r="P477" s="460"/>
      <c r="Q477" s="570"/>
      <c r="R477" s="460"/>
      <c r="S477" s="570"/>
      <c r="T477" s="460"/>
    </row>
    <row r="478" spans="1:20">
      <c r="A478" s="461"/>
      <c r="B478" s="462"/>
      <c r="C478" s="463"/>
      <c r="D478" s="464"/>
      <c r="E478" s="459"/>
      <c r="F478" s="465"/>
      <c r="G478" s="466"/>
      <c r="H478" s="460"/>
      <c r="I478" s="466"/>
      <c r="J478" s="460"/>
      <c r="K478" s="466"/>
      <c r="L478" s="460"/>
      <c r="M478" s="570"/>
      <c r="N478" s="460"/>
      <c r="O478" s="570"/>
      <c r="P478" s="460"/>
      <c r="Q478" s="570"/>
      <c r="R478" s="460"/>
      <c r="S478" s="570"/>
      <c r="T478" s="460"/>
    </row>
    <row r="479" spans="1:20">
      <c r="A479" s="461"/>
      <c r="B479" s="462"/>
      <c r="C479" s="463"/>
      <c r="D479" s="464"/>
      <c r="E479" s="459"/>
      <c r="F479" s="465"/>
      <c r="G479" s="466"/>
      <c r="H479" s="460"/>
      <c r="I479" s="466"/>
      <c r="J479" s="460"/>
      <c r="K479" s="466"/>
      <c r="L479" s="460"/>
      <c r="M479" s="570"/>
      <c r="N479" s="460"/>
      <c r="O479" s="570"/>
      <c r="P479" s="460"/>
      <c r="Q479" s="570"/>
      <c r="R479" s="460"/>
      <c r="S479" s="570"/>
      <c r="T479" s="460"/>
    </row>
    <row r="480" spans="1:20">
      <c r="A480" s="461"/>
      <c r="B480" s="462"/>
      <c r="C480" s="463"/>
      <c r="D480" s="464"/>
      <c r="E480" s="459"/>
      <c r="F480" s="465"/>
      <c r="G480" s="466"/>
      <c r="H480" s="460"/>
      <c r="I480" s="466"/>
      <c r="J480" s="460"/>
      <c r="K480" s="466"/>
      <c r="L480" s="460"/>
      <c r="M480" s="570"/>
      <c r="N480" s="460"/>
      <c r="O480" s="570"/>
      <c r="P480" s="460"/>
      <c r="Q480" s="570"/>
      <c r="R480" s="460"/>
      <c r="S480" s="570"/>
      <c r="T480" s="460"/>
    </row>
    <row r="481" spans="1:20">
      <c r="A481" s="461"/>
      <c r="B481" s="462"/>
      <c r="C481" s="463"/>
      <c r="D481" s="464"/>
      <c r="E481" s="459"/>
      <c r="F481" s="465"/>
      <c r="G481" s="466"/>
      <c r="H481" s="460"/>
      <c r="I481" s="466"/>
      <c r="J481" s="460"/>
      <c r="K481" s="466"/>
      <c r="L481" s="460"/>
      <c r="M481" s="570"/>
      <c r="N481" s="460"/>
      <c r="O481" s="570"/>
      <c r="P481" s="460"/>
      <c r="Q481" s="570"/>
      <c r="R481" s="460"/>
      <c r="S481" s="570"/>
      <c r="T481" s="460"/>
    </row>
    <row r="482" spans="1:20">
      <c r="A482" s="461"/>
      <c r="B482" s="462"/>
      <c r="C482" s="463"/>
      <c r="D482" s="464"/>
      <c r="E482" s="459"/>
      <c r="F482" s="465"/>
      <c r="G482" s="466"/>
      <c r="H482" s="460"/>
      <c r="I482" s="466"/>
      <c r="J482" s="460"/>
      <c r="K482" s="466"/>
      <c r="L482" s="460"/>
      <c r="M482" s="570"/>
      <c r="N482" s="460"/>
      <c r="O482" s="570"/>
      <c r="P482" s="460"/>
      <c r="Q482" s="570"/>
      <c r="R482" s="460"/>
      <c r="S482" s="570"/>
      <c r="T482" s="460"/>
    </row>
    <row r="483" spans="1:20">
      <c r="A483" s="461"/>
      <c r="B483" s="462"/>
      <c r="C483" s="463"/>
      <c r="D483" s="464"/>
      <c r="E483" s="459"/>
      <c r="F483" s="465"/>
      <c r="G483" s="466"/>
      <c r="H483" s="460"/>
      <c r="I483" s="466"/>
      <c r="J483" s="460"/>
      <c r="K483" s="466"/>
      <c r="L483" s="460"/>
      <c r="M483" s="570"/>
      <c r="N483" s="460"/>
      <c r="O483" s="570"/>
      <c r="P483" s="460"/>
      <c r="Q483" s="570"/>
      <c r="R483" s="460"/>
      <c r="S483" s="570"/>
      <c r="T483" s="460"/>
    </row>
    <row r="484" spans="1:20">
      <c r="A484" s="461"/>
      <c r="B484" s="462"/>
      <c r="C484" s="463"/>
      <c r="D484" s="464"/>
      <c r="E484" s="459"/>
      <c r="F484" s="465"/>
      <c r="G484" s="466"/>
      <c r="H484" s="460"/>
      <c r="I484" s="466"/>
      <c r="J484" s="460"/>
      <c r="K484" s="466"/>
      <c r="L484" s="460"/>
      <c r="M484" s="570"/>
      <c r="N484" s="460"/>
      <c r="O484" s="570"/>
      <c r="P484" s="460"/>
      <c r="Q484" s="570"/>
      <c r="R484" s="460"/>
      <c r="S484" s="570"/>
      <c r="T484" s="460"/>
    </row>
    <row r="485" spans="1:20">
      <c r="A485" s="461"/>
      <c r="B485" s="462"/>
      <c r="C485" s="463"/>
      <c r="D485" s="464"/>
      <c r="E485" s="459"/>
      <c r="F485" s="465"/>
      <c r="G485" s="466"/>
      <c r="H485" s="460"/>
      <c r="I485" s="466"/>
      <c r="J485" s="460"/>
      <c r="K485" s="466"/>
      <c r="L485" s="460"/>
      <c r="M485" s="570"/>
      <c r="N485" s="460"/>
      <c r="O485" s="570"/>
      <c r="P485" s="460"/>
      <c r="Q485" s="570"/>
      <c r="R485" s="460"/>
      <c r="S485" s="570"/>
      <c r="T485" s="460"/>
    </row>
    <row r="486" spans="1:20">
      <c r="A486" s="461"/>
      <c r="B486" s="462"/>
      <c r="C486" s="463"/>
      <c r="D486" s="464"/>
      <c r="E486" s="459"/>
      <c r="F486" s="465"/>
      <c r="G486" s="466"/>
      <c r="H486" s="460"/>
      <c r="I486" s="466"/>
      <c r="J486" s="460"/>
      <c r="K486" s="466"/>
      <c r="L486" s="460"/>
      <c r="M486" s="570"/>
      <c r="N486" s="460"/>
      <c r="O486" s="570"/>
      <c r="P486" s="460"/>
      <c r="Q486" s="570"/>
      <c r="R486" s="460"/>
      <c r="S486" s="570"/>
      <c r="T486" s="460"/>
    </row>
    <row r="487" spans="1:20">
      <c r="A487" s="461"/>
      <c r="B487" s="462"/>
      <c r="C487" s="463"/>
      <c r="D487" s="464"/>
      <c r="E487" s="459"/>
      <c r="F487" s="465"/>
      <c r="G487" s="466"/>
      <c r="H487" s="460"/>
      <c r="I487" s="466"/>
      <c r="J487" s="460"/>
      <c r="K487" s="466"/>
      <c r="L487" s="460"/>
      <c r="M487" s="570"/>
      <c r="N487" s="460"/>
      <c r="O487" s="570"/>
      <c r="P487" s="460"/>
      <c r="Q487" s="570"/>
      <c r="R487" s="460"/>
      <c r="S487" s="570"/>
      <c r="T487" s="460"/>
    </row>
    <row r="488" spans="1:20">
      <c r="A488" s="461"/>
      <c r="B488" s="462"/>
      <c r="C488" s="463"/>
      <c r="D488" s="464"/>
      <c r="E488" s="459"/>
      <c r="F488" s="465"/>
      <c r="G488" s="466"/>
      <c r="H488" s="460"/>
      <c r="I488" s="466"/>
      <c r="J488" s="460"/>
      <c r="K488" s="466"/>
      <c r="L488" s="460"/>
      <c r="M488" s="570"/>
      <c r="N488" s="460"/>
      <c r="O488" s="570"/>
      <c r="P488" s="460"/>
      <c r="Q488" s="570"/>
      <c r="R488" s="460"/>
      <c r="S488" s="570"/>
      <c r="T488" s="460"/>
    </row>
    <row r="489" spans="1:20">
      <c r="A489" s="461"/>
      <c r="B489" s="462"/>
      <c r="C489" s="463"/>
      <c r="D489" s="464"/>
      <c r="E489" s="459"/>
      <c r="F489" s="465"/>
      <c r="G489" s="466"/>
      <c r="H489" s="460"/>
      <c r="I489" s="466"/>
      <c r="J489" s="460"/>
      <c r="K489" s="466"/>
      <c r="L489" s="460"/>
      <c r="M489" s="570"/>
      <c r="N489" s="460"/>
      <c r="O489" s="570"/>
      <c r="P489" s="460"/>
      <c r="Q489" s="570"/>
      <c r="R489" s="460"/>
      <c r="S489" s="570"/>
      <c r="T489" s="460"/>
    </row>
    <row r="490" spans="1:20">
      <c r="A490" s="461"/>
      <c r="B490" s="462"/>
      <c r="C490" s="463"/>
      <c r="D490" s="464"/>
      <c r="E490" s="459"/>
      <c r="F490" s="465"/>
      <c r="G490" s="466"/>
      <c r="H490" s="460"/>
      <c r="I490" s="466"/>
      <c r="J490" s="460"/>
      <c r="K490" s="466"/>
      <c r="L490" s="460"/>
      <c r="M490" s="570"/>
      <c r="N490" s="460"/>
      <c r="O490" s="570"/>
      <c r="P490" s="460"/>
      <c r="Q490" s="570"/>
      <c r="R490" s="460"/>
      <c r="S490" s="570"/>
      <c r="T490" s="460"/>
    </row>
    <row r="491" spans="1:20">
      <c r="A491" s="461"/>
      <c r="B491" s="462"/>
      <c r="C491" s="463"/>
      <c r="D491" s="464"/>
      <c r="E491" s="459"/>
      <c r="F491" s="465"/>
      <c r="G491" s="466"/>
      <c r="H491" s="460"/>
      <c r="I491" s="466"/>
      <c r="J491" s="460"/>
      <c r="K491" s="466"/>
      <c r="L491" s="460"/>
      <c r="M491" s="570"/>
      <c r="N491" s="460"/>
      <c r="O491" s="570"/>
      <c r="P491" s="460"/>
      <c r="Q491" s="570"/>
      <c r="R491" s="460"/>
      <c r="S491" s="570"/>
      <c r="T491" s="460"/>
    </row>
    <row r="492" spans="1:20">
      <c r="A492" s="461"/>
      <c r="B492" s="462"/>
      <c r="C492" s="463"/>
      <c r="D492" s="464"/>
      <c r="E492" s="459"/>
      <c r="F492" s="465"/>
      <c r="G492" s="466"/>
      <c r="H492" s="460"/>
      <c r="I492" s="466"/>
      <c r="J492" s="460"/>
      <c r="K492" s="466"/>
      <c r="L492" s="460"/>
      <c r="M492" s="570"/>
      <c r="N492" s="460"/>
      <c r="O492" s="570"/>
      <c r="P492" s="460"/>
      <c r="Q492" s="570"/>
      <c r="R492" s="460"/>
      <c r="S492" s="570"/>
      <c r="T492" s="460"/>
    </row>
    <row r="493" spans="1:20">
      <c r="A493" s="461"/>
      <c r="B493" s="462"/>
      <c r="C493" s="463"/>
      <c r="D493" s="464"/>
      <c r="E493" s="459"/>
      <c r="F493" s="465"/>
      <c r="G493" s="466"/>
      <c r="H493" s="460"/>
      <c r="I493" s="466"/>
      <c r="J493" s="460"/>
      <c r="K493" s="466"/>
      <c r="L493" s="460"/>
      <c r="M493" s="570"/>
      <c r="N493" s="460"/>
      <c r="O493" s="570"/>
      <c r="P493" s="460"/>
      <c r="Q493" s="570"/>
      <c r="R493" s="460"/>
      <c r="S493" s="570"/>
      <c r="T493" s="460"/>
    </row>
    <row r="494" spans="1:20">
      <c r="A494" s="461"/>
      <c r="B494" s="462"/>
      <c r="C494" s="463"/>
      <c r="D494" s="464"/>
      <c r="E494" s="459"/>
      <c r="F494" s="465"/>
      <c r="G494" s="466"/>
      <c r="H494" s="460"/>
      <c r="I494" s="466"/>
      <c r="J494" s="460"/>
      <c r="K494" s="466"/>
      <c r="L494" s="460"/>
      <c r="M494" s="570"/>
      <c r="N494" s="460"/>
      <c r="O494" s="570"/>
      <c r="P494" s="460"/>
      <c r="Q494" s="570"/>
      <c r="R494" s="460"/>
      <c r="S494" s="570"/>
      <c r="T494" s="460"/>
    </row>
    <row r="495" spans="1:20">
      <c r="A495" s="461"/>
      <c r="B495" s="462"/>
      <c r="C495" s="463"/>
      <c r="D495" s="464"/>
      <c r="E495" s="459"/>
      <c r="F495" s="465"/>
      <c r="G495" s="466"/>
      <c r="H495" s="460"/>
      <c r="I495" s="466"/>
      <c r="J495" s="460"/>
      <c r="K495" s="466"/>
      <c r="L495" s="460"/>
      <c r="M495" s="570"/>
      <c r="N495" s="460"/>
      <c r="O495" s="570"/>
      <c r="P495" s="460"/>
      <c r="Q495" s="570"/>
      <c r="R495" s="460"/>
      <c r="S495" s="570"/>
      <c r="T495" s="460"/>
    </row>
    <row r="496" spans="1:20">
      <c r="A496" s="461"/>
      <c r="B496" s="462"/>
      <c r="C496" s="463"/>
      <c r="D496" s="20"/>
      <c r="E496" s="459"/>
      <c r="F496" s="465"/>
      <c r="G496" s="466"/>
      <c r="H496" s="460"/>
      <c r="I496" s="466"/>
      <c r="J496" s="460"/>
      <c r="K496" s="466"/>
      <c r="L496" s="460"/>
      <c r="M496" s="570"/>
      <c r="N496" s="460"/>
      <c r="O496" s="570"/>
      <c r="P496" s="460"/>
      <c r="Q496" s="570"/>
      <c r="R496" s="460"/>
      <c r="S496" s="570"/>
      <c r="T496" s="460"/>
    </row>
    <row r="497" spans="1:20">
      <c r="A497" s="461"/>
      <c r="B497" s="462"/>
      <c r="C497" s="463"/>
      <c r="D497" s="20"/>
      <c r="E497" s="459"/>
      <c r="F497" s="465"/>
      <c r="G497" s="466"/>
      <c r="H497" s="460"/>
      <c r="I497" s="466"/>
      <c r="J497" s="460"/>
      <c r="K497" s="466"/>
      <c r="L497" s="460"/>
      <c r="M497" s="570"/>
      <c r="N497" s="460"/>
      <c r="O497" s="570"/>
      <c r="P497" s="460"/>
      <c r="Q497" s="570"/>
      <c r="R497" s="460"/>
      <c r="S497" s="570"/>
      <c r="T497" s="460"/>
    </row>
    <row r="498" spans="1:20" ht="13.5" thickBot="1">
      <c r="A498" s="21"/>
      <c r="B498" s="22"/>
      <c r="C498" s="23"/>
      <c r="D498" s="24"/>
      <c r="E498" s="37"/>
      <c r="F498" s="25"/>
      <c r="G498" s="187"/>
      <c r="H498" s="188"/>
      <c r="I498" s="187"/>
      <c r="J498" s="188"/>
      <c r="K498" s="187"/>
      <c r="L498" s="188"/>
      <c r="M498" s="571"/>
      <c r="N498" s="572"/>
      <c r="O498" s="571"/>
      <c r="P498" s="572"/>
      <c r="Q498" s="571"/>
      <c r="R498" s="572"/>
      <c r="S498" s="571"/>
      <c r="T498" s="572"/>
    </row>
  </sheetData>
  <sheetProtection sheet="1" objects="1" scenarios="1" formatCells="0" formatColumns="0" formatRows="0" insertColumns="0" insertRows="0" insertHyperlinks="0" deleteColumns="0" deleteRows="0" sort="0" autoFilter="0" pivotTables="0"/>
  <dataConsolidate/>
  <mergeCells count="8">
    <mergeCell ref="O1:P1"/>
    <mergeCell ref="Q1:R1"/>
    <mergeCell ref="S1:T1"/>
    <mergeCell ref="G1:H1"/>
    <mergeCell ref="E3:F3"/>
    <mergeCell ref="I1:J1"/>
    <mergeCell ref="K1:L1"/>
    <mergeCell ref="M1:N1"/>
  </mergeCells>
  <phoneticPr fontId="14" type="noConversion"/>
  <conditionalFormatting sqref="A1">
    <cfRule type="cellIs" dxfId="10240" priority="11" stopIfTrue="1" operator="equal">
      <formula>"NOK"</formula>
    </cfRule>
  </conditionalFormatting>
  <conditionalFormatting sqref="G5:G498 I5:I498 K5:K498 M5:M498 O5:O498 Q5:Q498 S5:S498">
    <cfRule type="cellIs" dxfId="10239" priority="10" stopIfTrue="1" operator="notEqual">
      <formula>H5</formula>
    </cfRule>
  </conditionalFormatting>
  <dataValidations count="1">
    <dataValidation type="list" allowBlank="1" showInputMessage="1" showErrorMessage="1" sqref="G1 I1 K1 M1 O1 Q1 S1">
      <formula1>ColumnVariablesList</formula1>
    </dataValidation>
  </dataValidation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sheetPr codeName="Sheet68">
    <tabColor rgb="FF92D050"/>
  </sheetPr>
  <dimension ref="A1:Y498"/>
  <sheetViews>
    <sheetView showGridLines="0" zoomScale="85" zoomScaleNormal="85" workbookViewId="0">
      <pane xSplit="6" ySplit="4" topLeftCell="S5" activePane="bottomRight" state="frozenSplit"/>
      <selection pane="topRight" activeCell="F1" sqref="F1"/>
      <selection pane="bottomLeft" activeCell="A5" sqref="A5"/>
      <selection pane="bottomRight" activeCell="V10" sqref="V10"/>
    </sheetView>
  </sheetViews>
  <sheetFormatPr defaultRowHeight="12.75"/>
  <cols>
    <col min="1" max="1" width="30.625" style="28" customWidth="1"/>
    <col min="2" max="2" width="7.125" style="28" customWidth="1"/>
    <col min="3" max="3" width="9" style="29"/>
    <col min="4" max="4" width="16" style="28" customWidth="1"/>
    <col min="5" max="5" width="16.625" style="28" customWidth="1"/>
    <col min="6" max="6" width="16.625" style="30" customWidth="1"/>
    <col min="7" max="7" width="9.75" style="189" customWidth="1"/>
    <col min="8" max="8" width="9.75" style="190" customWidth="1"/>
    <col min="9" max="9" width="9.75" style="189" customWidth="1"/>
    <col min="10" max="10" width="9.75" style="190" customWidth="1"/>
    <col min="11" max="11" width="9.75" style="573" customWidth="1"/>
    <col min="12" max="12" width="9.75" style="574" customWidth="1"/>
    <col min="13" max="13" width="9.75" style="573" customWidth="1"/>
    <col min="14" max="14" width="9.75" style="574" customWidth="1"/>
    <col min="15" max="15" width="9.75" style="573" customWidth="1"/>
    <col min="16" max="16" width="9.75" style="574" customWidth="1"/>
    <col min="17" max="17" width="9.75" style="573" customWidth="1"/>
    <col min="18" max="18" width="9.75" style="574" customWidth="1"/>
    <col min="19" max="19" width="9.75" style="856" customWidth="1"/>
    <col min="20" max="20" width="9.75" style="857" customWidth="1"/>
    <col min="21" max="21" width="1.25" style="436" customWidth="1"/>
    <col min="22" max="25" width="12.625" style="436" customWidth="1"/>
    <col min="26" max="268" width="9" style="436"/>
    <col min="269" max="269" width="12" style="436" customWidth="1"/>
    <col min="270" max="270" width="7.125" style="436" customWidth="1"/>
    <col min="271" max="271" width="9" style="436"/>
    <col min="272" max="272" width="16" style="436" customWidth="1"/>
    <col min="273" max="273" width="13.75" style="436" customWidth="1"/>
    <col min="274" max="275" width="9.75" style="436" customWidth="1"/>
    <col min="276" max="524" width="9" style="436"/>
    <col min="525" max="525" width="12" style="436" customWidth="1"/>
    <col min="526" max="526" width="7.125" style="436" customWidth="1"/>
    <col min="527" max="527" width="9" style="436"/>
    <col min="528" max="528" width="16" style="436" customWidth="1"/>
    <col min="529" max="529" width="13.75" style="436" customWidth="1"/>
    <col min="530" max="531" width="9.75" style="436" customWidth="1"/>
    <col min="532" max="780" width="9" style="436"/>
    <col min="781" max="781" width="12" style="436" customWidth="1"/>
    <col min="782" max="782" width="7.125" style="436" customWidth="1"/>
    <col min="783" max="783" width="9" style="436"/>
    <col min="784" max="784" width="16" style="436" customWidth="1"/>
    <col min="785" max="785" width="13.75" style="436" customWidth="1"/>
    <col min="786" max="787" width="9.75" style="436" customWidth="1"/>
    <col min="788" max="1036" width="9" style="436"/>
    <col min="1037" max="1037" width="12" style="436" customWidth="1"/>
    <col min="1038" max="1038" width="7.125" style="436" customWidth="1"/>
    <col min="1039" max="1039" width="9" style="436"/>
    <col min="1040" max="1040" width="16" style="436" customWidth="1"/>
    <col min="1041" max="1041" width="13.75" style="436" customWidth="1"/>
    <col min="1042" max="1043" width="9.75" style="436" customWidth="1"/>
    <col min="1044" max="1292" width="9" style="436"/>
    <col min="1293" max="1293" width="12" style="436" customWidth="1"/>
    <col min="1294" max="1294" width="7.125" style="436" customWidth="1"/>
    <col min="1295" max="1295" width="9" style="436"/>
    <col min="1296" max="1296" width="16" style="436" customWidth="1"/>
    <col min="1297" max="1297" width="13.75" style="436" customWidth="1"/>
    <col min="1298" max="1299" width="9.75" style="436" customWidth="1"/>
    <col min="1300" max="1548" width="9" style="436"/>
    <col min="1549" max="1549" width="12" style="436" customWidth="1"/>
    <col min="1550" max="1550" width="7.125" style="436" customWidth="1"/>
    <col min="1551" max="1551" width="9" style="436"/>
    <col min="1552" max="1552" width="16" style="436" customWidth="1"/>
    <col min="1553" max="1553" width="13.75" style="436" customWidth="1"/>
    <col min="1554" max="1555" width="9.75" style="436" customWidth="1"/>
    <col min="1556" max="1804" width="9" style="436"/>
    <col min="1805" max="1805" width="12" style="436" customWidth="1"/>
    <col min="1806" max="1806" width="7.125" style="436" customWidth="1"/>
    <col min="1807" max="1807" width="9" style="436"/>
    <col min="1808" max="1808" width="16" style="436" customWidth="1"/>
    <col min="1809" max="1809" width="13.75" style="436" customWidth="1"/>
    <col min="1810" max="1811" width="9.75" style="436" customWidth="1"/>
    <col min="1812" max="2060" width="9" style="436"/>
    <col min="2061" max="2061" width="12" style="436" customWidth="1"/>
    <col min="2062" max="2062" width="7.125" style="436" customWidth="1"/>
    <col min="2063" max="2063" width="9" style="436"/>
    <col min="2064" max="2064" width="16" style="436" customWidth="1"/>
    <col min="2065" max="2065" width="13.75" style="436" customWidth="1"/>
    <col min="2066" max="2067" width="9.75" style="436" customWidth="1"/>
    <col min="2068" max="2316" width="9" style="436"/>
    <col min="2317" max="2317" width="12" style="436" customWidth="1"/>
    <col min="2318" max="2318" width="7.125" style="436" customWidth="1"/>
    <col min="2319" max="2319" width="9" style="436"/>
    <col min="2320" max="2320" width="16" style="436" customWidth="1"/>
    <col min="2321" max="2321" width="13.75" style="436" customWidth="1"/>
    <col min="2322" max="2323" width="9.75" style="436" customWidth="1"/>
    <col min="2324" max="2572" width="9" style="436"/>
    <col min="2573" max="2573" width="12" style="436" customWidth="1"/>
    <col min="2574" max="2574" width="7.125" style="436" customWidth="1"/>
    <col min="2575" max="2575" width="9" style="436"/>
    <col min="2576" max="2576" width="16" style="436" customWidth="1"/>
    <col min="2577" max="2577" width="13.75" style="436" customWidth="1"/>
    <col min="2578" max="2579" width="9.75" style="436" customWidth="1"/>
    <col min="2580" max="2828" width="9" style="436"/>
    <col min="2829" max="2829" width="12" style="436" customWidth="1"/>
    <col min="2830" max="2830" width="7.125" style="436" customWidth="1"/>
    <col min="2831" max="2831" width="9" style="436"/>
    <col min="2832" max="2832" width="16" style="436" customWidth="1"/>
    <col min="2833" max="2833" width="13.75" style="436" customWidth="1"/>
    <col min="2834" max="2835" width="9.75" style="436" customWidth="1"/>
    <col min="2836" max="3084" width="9" style="436"/>
    <col min="3085" max="3085" width="12" style="436" customWidth="1"/>
    <col min="3086" max="3086" width="7.125" style="436" customWidth="1"/>
    <col min="3087" max="3087" width="9" style="436"/>
    <col min="3088" max="3088" width="16" style="436" customWidth="1"/>
    <col min="3089" max="3089" width="13.75" style="436" customWidth="1"/>
    <col min="3090" max="3091" width="9.75" style="436" customWidth="1"/>
    <col min="3092" max="3340" width="9" style="436"/>
    <col min="3341" max="3341" width="12" style="436" customWidth="1"/>
    <col min="3342" max="3342" width="7.125" style="436" customWidth="1"/>
    <col min="3343" max="3343" width="9" style="436"/>
    <col min="3344" max="3344" width="16" style="436" customWidth="1"/>
    <col min="3345" max="3345" width="13.75" style="436" customWidth="1"/>
    <col min="3346" max="3347" width="9.75" style="436" customWidth="1"/>
    <col min="3348" max="3596" width="9" style="436"/>
    <col min="3597" max="3597" width="12" style="436" customWidth="1"/>
    <col min="3598" max="3598" width="7.125" style="436" customWidth="1"/>
    <col min="3599" max="3599" width="9" style="436"/>
    <col min="3600" max="3600" width="16" style="436" customWidth="1"/>
    <col min="3601" max="3601" width="13.75" style="436" customWidth="1"/>
    <col min="3602" max="3603" width="9.75" style="436" customWidth="1"/>
    <col min="3604" max="3852" width="9" style="436"/>
    <col min="3853" max="3853" width="12" style="436" customWidth="1"/>
    <col min="3854" max="3854" width="7.125" style="436" customWidth="1"/>
    <col min="3855" max="3855" width="9" style="436"/>
    <col min="3856" max="3856" width="16" style="436" customWidth="1"/>
    <col min="3857" max="3857" width="13.75" style="436" customWidth="1"/>
    <col min="3858" max="3859" width="9.75" style="436" customWidth="1"/>
    <col min="3860" max="4108" width="9" style="436"/>
    <col min="4109" max="4109" width="12" style="436" customWidth="1"/>
    <col min="4110" max="4110" width="7.125" style="436" customWidth="1"/>
    <col min="4111" max="4111" width="9" style="436"/>
    <col min="4112" max="4112" width="16" style="436" customWidth="1"/>
    <col min="4113" max="4113" width="13.75" style="436" customWidth="1"/>
    <col min="4114" max="4115" width="9.75" style="436" customWidth="1"/>
    <col min="4116" max="4364" width="9" style="436"/>
    <col min="4365" max="4365" width="12" style="436" customWidth="1"/>
    <col min="4366" max="4366" width="7.125" style="436" customWidth="1"/>
    <col min="4367" max="4367" width="9" style="436"/>
    <col min="4368" max="4368" width="16" style="436" customWidth="1"/>
    <col min="4369" max="4369" width="13.75" style="436" customWidth="1"/>
    <col min="4370" max="4371" width="9.75" style="436" customWidth="1"/>
    <col min="4372" max="4620" width="9" style="436"/>
    <col min="4621" max="4621" width="12" style="436" customWidth="1"/>
    <col min="4622" max="4622" width="7.125" style="436" customWidth="1"/>
    <col min="4623" max="4623" width="9" style="436"/>
    <col min="4624" max="4624" width="16" style="436" customWidth="1"/>
    <col min="4625" max="4625" width="13.75" style="436" customWidth="1"/>
    <col min="4626" max="4627" width="9.75" style="436" customWidth="1"/>
    <col min="4628" max="4876" width="9" style="436"/>
    <col min="4877" max="4877" width="12" style="436" customWidth="1"/>
    <col min="4878" max="4878" width="7.125" style="436" customWidth="1"/>
    <col min="4879" max="4879" width="9" style="436"/>
    <col min="4880" max="4880" width="16" style="436" customWidth="1"/>
    <col min="4881" max="4881" width="13.75" style="436" customWidth="1"/>
    <col min="4882" max="4883" width="9.75" style="436" customWidth="1"/>
    <col min="4884" max="5132" width="9" style="436"/>
    <col min="5133" max="5133" width="12" style="436" customWidth="1"/>
    <col min="5134" max="5134" width="7.125" style="436" customWidth="1"/>
    <col min="5135" max="5135" width="9" style="436"/>
    <col min="5136" max="5136" width="16" style="436" customWidth="1"/>
    <col min="5137" max="5137" width="13.75" style="436" customWidth="1"/>
    <col min="5138" max="5139" width="9.75" style="436" customWidth="1"/>
    <col min="5140" max="5388" width="9" style="436"/>
    <col min="5389" max="5389" width="12" style="436" customWidth="1"/>
    <col min="5390" max="5390" width="7.125" style="436" customWidth="1"/>
    <col min="5391" max="5391" width="9" style="436"/>
    <col min="5392" max="5392" width="16" style="436" customWidth="1"/>
    <col min="5393" max="5393" width="13.75" style="436" customWidth="1"/>
    <col min="5394" max="5395" width="9.75" style="436" customWidth="1"/>
    <col min="5396" max="5644" width="9" style="436"/>
    <col min="5645" max="5645" width="12" style="436" customWidth="1"/>
    <col min="5646" max="5646" width="7.125" style="436" customWidth="1"/>
    <col min="5647" max="5647" width="9" style="436"/>
    <col min="5648" max="5648" width="16" style="436" customWidth="1"/>
    <col min="5649" max="5649" width="13.75" style="436" customWidth="1"/>
    <col min="5650" max="5651" width="9.75" style="436" customWidth="1"/>
    <col min="5652" max="5900" width="9" style="436"/>
    <col min="5901" max="5901" width="12" style="436" customWidth="1"/>
    <col min="5902" max="5902" width="7.125" style="436" customWidth="1"/>
    <col min="5903" max="5903" width="9" style="436"/>
    <col min="5904" max="5904" width="16" style="436" customWidth="1"/>
    <col min="5905" max="5905" width="13.75" style="436" customWidth="1"/>
    <col min="5906" max="5907" width="9.75" style="436" customWidth="1"/>
    <col min="5908" max="6156" width="9" style="436"/>
    <col min="6157" max="6157" width="12" style="436" customWidth="1"/>
    <col min="6158" max="6158" width="7.125" style="436" customWidth="1"/>
    <col min="6159" max="6159" width="9" style="436"/>
    <col min="6160" max="6160" width="16" style="436" customWidth="1"/>
    <col min="6161" max="6161" width="13.75" style="436" customWidth="1"/>
    <col min="6162" max="6163" width="9.75" style="436" customWidth="1"/>
    <col min="6164" max="6412" width="9" style="436"/>
    <col min="6413" max="6413" width="12" style="436" customWidth="1"/>
    <col min="6414" max="6414" width="7.125" style="436" customWidth="1"/>
    <col min="6415" max="6415" width="9" style="436"/>
    <col min="6416" max="6416" width="16" style="436" customWidth="1"/>
    <col min="6417" max="6417" width="13.75" style="436" customWidth="1"/>
    <col min="6418" max="6419" width="9.75" style="436" customWidth="1"/>
    <col min="6420" max="6668" width="9" style="436"/>
    <col min="6669" max="6669" width="12" style="436" customWidth="1"/>
    <col min="6670" max="6670" width="7.125" style="436" customWidth="1"/>
    <col min="6671" max="6671" width="9" style="436"/>
    <col min="6672" max="6672" width="16" style="436" customWidth="1"/>
    <col min="6673" max="6673" width="13.75" style="436" customWidth="1"/>
    <col min="6674" max="6675" width="9.75" style="436" customWidth="1"/>
    <col min="6676" max="6924" width="9" style="436"/>
    <col min="6925" max="6925" width="12" style="436" customWidth="1"/>
    <col min="6926" max="6926" width="7.125" style="436" customWidth="1"/>
    <col min="6927" max="6927" width="9" style="436"/>
    <col min="6928" max="6928" width="16" style="436" customWidth="1"/>
    <col min="6929" max="6929" width="13.75" style="436" customWidth="1"/>
    <col min="6930" max="6931" width="9.75" style="436" customWidth="1"/>
    <col min="6932" max="7180" width="9" style="436"/>
    <col min="7181" max="7181" width="12" style="436" customWidth="1"/>
    <col min="7182" max="7182" width="7.125" style="436" customWidth="1"/>
    <col min="7183" max="7183" width="9" style="436"/>
    <col min="7184" max="7184" width="16" style="436" customWidth="1"/>
    <col min="7185" max="7185" width="13.75" style="436" customWidth="1"/>
    <col min="7186" max="7187" width="9.75" style="436" customWidth="1"/>
    <col min="7188" max="7436" width="9" style="436"/>
    <col min="7437" max="7437" width="12" style="436" customWidth="1"/>
    <col min="7438" max="7438" width="7.125" style="436" customWidth="1"/>
    <col min="7439" max="7439" width="9" style="436"/>
    <col min="7440" max="7440" width="16" style="436" customWidth="1"/>
    <col min="7441" max="7441" width="13.75" style="436" customWidth="1"/>
    <col min="7442" max="7443" width="9.75" style="436" customWidth="1"/>
    <col min="7444" max="7692" width="9" style="436"/>
    <col min="7693" max="7693" width="12" style="436" customWidth="1"/>
    <col min="7694" max="7694" width="7.125" style="436" customWidth="1"/>
    <col min="7695" max="7695" width="9" style="436"/>
    <col min="7696" max="7696" width="16" style="436" customWidth="1"/>
    <col min="7697" max="7697" width="13.75" style="436" customWidth="1"/>
    <col min="7698" max="7699" width="9.75" style="436" customWidth="1"/>
    <col min="7700" max="7948" width="9" style="436"/>
    <col min="7949" max="7949" width="12" style="436" customWidth="1"/>
    <col min="7950" max="7950" width="7.125" style="436" customWidth="1"/>
    <col min="7951" max="7951" width="9" style="436"/>
    <col min="7952" max="7952" width="16" style="436" customWidth="1"/>
    <col min="7953" max="7953" width="13.75" style="436" customWidth="1"/>
    <col min="7954" max="7955" width="9.75" style="436" customWidth="1"/>
    <col min="7956" max="8204" width="9" style="436"/>
    <col min="8205" max="8205" width="12" style="436" customWidth="1"/>
    <col min="8206" max="8206" width="7.125" style="436" customWidth="1"/>
    <col min="8207" max="8207" width="9" style="436"/>
    <col min="8208" max="8208" width="16" style="436" customWidth="1"/>
    <col min="8209" max="8209" width="13.75" style="436" customWidth="1"/>
    <col min="8210" max="8211" width="9.75" style="436" customWidth="1"/>
    <col min="8212" max="8460" width="9" style="436"/>
    <col min="8461" max="8461" width="12" style="436" customWidth="1"/>
    <col min="8462" max="8462" width="7.125" style="436" customWidth="1"/>
    <col min="8463" max="8463" width="9" style="436"/>
    <col min="8464" max="8464" width="16" style="436" customWidth="1"/>
    <col min="8465" max="8465" width="13.75" style="436" customWidth="1"/>
    <col min="8466" max="8467" width="9.75" style="436" customWidth="1"/>
    <col min="8468" max="8716" width="9" style="436"/>
    <col min="8717" max="8717" width="12" style="436" customWidth="1"/>
    <col min="8718" max="8718" width="7.125" style="436" customWidth="1"/>
    <col min="8719" max="8719" width="9" style="436"/>
    <col min="8720" max="8720" width="16" style="436" customWidth="1"/>
    <col min="8721" max="8721" width="13.75" style="436" customWidth="1"/>
    <col min="8722" max="8723" width="9.75" style="436" customWidth="1"/>
    <col min="8724" max="8972" width="9" style="436"/>
    <col min="8973" max="8973" width="12" style="436" customWidth="1"/>
    <col min="8974" max="8974" width="7.125" style="436" customWidth="1"/>
    <col min="8975" max="8975" width="9" style="436"/>
    <col min="8976" max="8976" width="16" style="436" customWidth="1"/>
    <col min="8977" max="8977" width="13.75" style="436" customWidth="1"/>
    <col min="8978" max="8979" width="9.75" style="436" customWidth="1"/>
    <col min="8980" max="9228" width="9" style="436"/>
    <col min="9229" max="9229" width="12" style="436" customWidth="1"/>
    <col min="9230" max="9230" width="7.125" style="436" customWidth="1"/>
    <col min="9231" max="9231" width="9" style="436"/>
    <col min="9232" max="9232" width="16" style="436" customWidth="1"/>
    <col min="9233" max="9233" width="13.75" style="436" customWidth="1"/>
    <col min="9234" max="9235" width="9.75" style="436" customWidth="1"/>
    <col min="9236" max="9484" width="9" style="436"/>
    <col min="9485" max="9485" width="12" style="436" customWidth="1"/>
    <col min="9486" max="9486" width="7.125" style="436" customWidth="1"/>
    <col min="9487" max="9487" width="9" style="436"/>
    <col min="9488" max="9488" width="16" style="436" customWidth="1"/>
    <col min="9489" max="9489" width="13.75" style="436" customWidth="1"/>
    <col min="9490" max="9491" width="9.75" style="436" customWidth="1"/>
    <col min="9492" max="9740" width="9" style="436"/>
    <col min="9741" max="9741" width="12" style="436" customWidth="1"/>
    <col min="9742" max="9742" width="7.125" style="436" customWidth="1"/>
    <col min="9743" max="9743" width="9" style="436"/>
    <col min="9744" max="9744" width="16" style="436" customWidth="1"/>
    <col min="9745" max="9745" width="13.75" style="436" customWidth="1"/>
    <col min="9746" max="9747" width="9.75" style="436" customWidth="1"/>
    <col min="9748" max="9996" width="9" style="436"/>
    <col min="9997" max="9997" width="12" style="436" customWidth="1"/>
    <col min="9998" max="9998" width="7.125" style="436" customWidth="1"/>
    <col min="9999" max="9999" width="9" style="436"/>
    <col min="10000" max="10000" width="16" style="436" customWidth="1"/>
    <col min="10001" max="10001" width="13.75" style="436" customWidth="1"/>
    <col min="10002" max="10003" width="9.75" style="436" customWidth="1"/>
    <col min="10004" max="10252" width="9" style="436"/>
    <col min="10253" max="10253" width="12" style="436" customWidth="1"/>
    <col min="10254" max="10254" width="7.125" style="436" customWidth="1"/>
    <col min="10255" max="10255" width="9" style="436"/>
    <col min="10256" max="10256" width="16" style="436" customWidth="1"/>
    <col min="10257" max="10257" width="13.75" style="436" customWidth="1"/>
    <col min="10258" max="10259" width="9.75" style="436" customWidth="1"/>
    <col min="10260" max="10508" width="9" style="436"/>
    <col min="10509" max="10509" width="12" style="436" customWidth="1"/>
    <col min="10510" max="10510" width="7.125" style="436" customWidth="1"/>
    <col min="10511" max="10511" width="9" style="436"/>
    <col min="10512" max="10512" width="16" style="436" customWidth="1"/>
    <col min="10513" max="10513" width="13.75" style="436" customWidth="1"/>
    <col min="10514" max="10515" width="9.75" style="436" customWidth="1"/>
    <col min="10516" max="10764" width="9" style="436"/>
    <col min="10765" max="10765" width="12" style="436" customWidth="1"/>
    <col min="10766" max="10766" width="7.125" style="436" customWidth="1"/>
    <col min="10767" max="10767" width="9" style="436"/>
    <col min="10768" max="10768" width="16" style="436" customWidth="1"/>
    <col min="10769" max="10769" width="13.75" style="436" customWidth="1"/>
    <col min="10770" max="10771" width="9.75" style="436" customWidth="1"/>
    <col min="10772" max="11020" width="9" style="436"/>
    <col min="11021" max="11021" width="12" style="436" customWidth="1"/>
    <col min="11022" max="11022" width="7.125" style="436" customWidth="1"/>
    <col min="11023" max="11023" width="9" style="436"/>
    <col min="11024" max="11024" width="16" style="436" customWidth="1"/>
    <col min="11025" max="11025" width="13.75" style="436" customWidth="1"/>
    <col min="11026" max="11027" width="9.75" style="436" customWidth="1"/>
    <col min="11028" max="11276" width="9" style="436"/>
    <col min="11277" max="11277" width="12" style="436" customWidth="1"/>
    <col min="11278" max="11278" width="7.125" style="436" customWidth="1"/>
    <col min="11279" max="11279" width="9" style="436"/>
    <col min="11280" max="11280" width="16" style="436" customWidth="1"/>
    <col min="11281" max="11281" width="13.75" style="436" customWidth="1"/>
    <col min="11282" max="11283" width="9.75" style="436" customWidth="1"/>
    <col min="11284" max="11532" width="9" style="436"/>
    <col min="11533" max="11533" width="12" style="436" customWidth="1"/>
    <col min="11534" max="11534" width="7.125" style="436" customWidth="1"/>
    <col min="11535" max="11535" width="9" style="436"/>
    <col min="11536" max="11536" width="16" style="436" customWidth="1"/>
    <col min="11537" max="11537" width="13.75" style="436" customWidth="1"/>
    <col min="11538" max="11539" width="9.75" style="436" customWidth="1"/>
    <col min="11540" max="11788" width="9" style="436"/>
    <col min="11789" max="11789" width="12" style="436" customWidth="1"/>
    <col min="11790" max="11790" width="7.125" style="436" customWidth="1"/>
    <col min="11791" max="11791" width="9" style="436"/>
    <col min="11792" max="11792" width="16" style="436" customWidth="1"/>
    <col min="11793" max="11793" width="13.75" style="436" customWidth="1"/>
    <col min="11794" max="11795" width="9.75" style="436" customWidth="1"/>
    <col min="11796" max="12044" width="9" style="436"/>
    <col min="12045" max="12045" width="12" style="436" customWidth="1"/>
    <col min="12046" max="12046" width="7.125" style="436" customWidth="1"/>
    <col min="12047" max="12047" width="9" style="436"/>
    <col min="12048" max="12048" width="16" style="436" customWidth="1"/>
    <col min="12049" max="12049" width="13.75" style="436" customWidth="1"/>
    <col min="12050" max="12051" width="9.75" style="436" customWidth="1"/>
    <col min="12052" max="12300" width="9" style="436"/>
    <col min="12301" max="12301" width="12" style="436" customWidth="1"/>
    <col min="12302" max="12302" width="7.125" style="436" customWidth="1"/>
    <col min="12303" max="12303" width="9" style="436"/>
    <col min="12304" max="12304" width="16" style="436" customWidth="1"/>
    <col min="12305" max="12305" width="13.75" style="436" customWidth="1"/>
    <col min="12306" max="12307" width="9.75" style="436" customWidth="1"/>
    <col min="12308" max="12556" width="9" style="436"/>
    <col min="12557" max="12557" width="12" style="436" customWidth="1"/>
    <col min="12558" max="12558" width="7.125" style="436" customWidth="1"/>
    <col min="12559" max="12559" width="9" style="436"/>
    <col min="12560" max="12560" width="16" style="436" customWidth="1"/>
    <col min="12561" max="12561" width="13.75" style="436" customWidth="1"/>
    <col min="12562" max="12563" width="9.75" style="436" customWidth="1"/>
    <col min="12564" max="12812" width="9" style="436"/>
    <col min="12813" max="12813" width="12" style="436" customWidth="1"/>
    <col min="12814" max="12814" width="7.125" style="436" customWidth="1"/>
    <col min="12815" max="12815" width="9" style="436"/>
    <col min="12816" max="12816" width="16" style="436" customWidth="1"/>
    <col min="12817" max="12817" width="13.75" style="436" customWidth="1"/>
    <col min="12818" max="12819" width="9.75" style="436" customWidth="1"/>
    <col min="12820" max="13068" width="9" style="436"/>
    <col min="13069" max="13069" width="12" style="436" customWidth="1"/>
    <col min="13070" max="13070" width="7.125" style="436" customWidth="1"/>
    <col min="13071" max="13071" width="9" style="436"/>
    <col min="13072" max="13072" width="16" style="436" customWidth="1"/>
    <col min="13073" max="13073" width="13.75" style="436" customWidth="1"/>
    <col min="13074" max="13075" width="9.75" style="436" customWidth="1"/>
    <col min="13076" max="13324" width="9" style="436"/>
    <col min="13325" max="13325" width="12" style="436" customWidth="1"/>
    <col min="13326" max="13326" width="7.125" style="436" customWidth="1"/>
    <col min="13327" max="13327" width="9" style="436"/>
    <col min="13328" max="13328" width="16" style="436" customWidth="1"/>
    <col min="13329" max="13329" width="13.75" style="436" customWidth="1"/>
    <col min="13330" max="13331" width="9.75" style="436" customWidth="1"/>
    <col min="13332" max="13580" width="9" style="436"/>
    <col min="13581" max="13581" width="12" style="436" customWidth="1"/>
    <col min="13582" max="13582" width="7.125" style="436" customWidth="1"/>
    <col min="13583" max="13583" width="9" style="436"/>
    <col min="13584" max="13584" width="16" style="436" customWidth="1"/>
    <col min="13585" max="13585" width="13.75" style="436" customWidth="1"/>
    <col min="13586" max="13587" width="9.75" style="436" customWidth="1"/>
    <col min="13588" max="13836" width="9" style="436"/>
    <col min="13837" max="13837" width="12" style="436" customWidth="1"/>
    <col min="13838" max="13838" width="7.125" style="436" customWidth="1"/>
    <col min="13839" max="13839" width="9" style="436"/>
    <col min="13840" max="13840" width="16" style="436" customWidth="1"/>
    <col min="13841" max="13841" width="13.75" style="436" customWidth="1"/>
    <col min="13842" max="13843" width="9.75" style="436" customWidth="1"/>
    <col min="13844" max="14092" width="9" style="436"/>
    <col min="14093" max="14093" width="12" style="436" customWidth="1"/>
    <col min="14094" max="14094" width="7.125" style="436" customWidth="1"/>
    <col min="14095" max="14095" width="9" style="436"/>
    <col min="14096" max="14096" width="16" style="436" customWidth="1"/>
    <col min="14097" max="14097" width="13.75" style="436" customWidth="1"/>
    <col min="14098" max="14099" width="9.75" style="436" customWidth="1"/>
    <col min="14100" max="14348" width="9" style="436"/>
    <col min="14349" max="14349" width="12" style="436" customWidth="1"/>
    <col min="14350" max="14350" width="7.125" style="436" customWidth="1"/>
    <col min="14351" max="14351" width="9" style="436"/>
    <col min="14352" max="14352" width="16" style="436" customWidth="1"/>
    <col min="14353" max="14353" width="13.75" style="436" customWidth="1"/>
    <col min="14354" max="14355" width="9.75" style="436" customWidth="1"/>
    <col min="14356" max="14604" width="9" style="436"/>
    <col min="14605" max="14605" width="12" style="436" customWidth="1"/>
    <col min="14606" max="14606" width="7.125" style="436" customWidth="1"/>
    <col min="14607" max="14607" width="9" style="436"/>
    <col min="14608" max="14608" width="16" style="436" customWidth="1"/>
    <col min="14609" max="14609" width="13.75" style="436" customWidth="1"/>
    <col min="14610" max="14611" width="9.75" style="436" customWidth="1"/>
    <col min="14612" max="14860" width="9" style="436"/>
    <col min="14861" max="14861" width="12" style="436" customWidth="1"/>
    <col min="14862" max="14862" width="7.125" style="436" customWidth="1"/>
    <col min="14863" max="14863" width="9" style="436"/>
    <col min="14864" max="14864" width="16" style="436" customWidth="1"/>
    <col min="14865" max="14865" width="13.75" style="436" customWidth="1"/>
    <col min="14866" max="14867" width="9.75" style="436" customWidth="1"/>
    <col min="14868" max="15116" width="9" style="436"/>
    <col min="15117" max="15117" width="12" style="436" customWidth="1"/>
    <col min="15118" max="15118" width="7.125" style="436" customWidth="1"/>
    <col min="15119" max="15119" width="9" style="436"/>
    <col min="15120" max="15120" width="16" style="436" customWidth="1"/>
    <col min="15121" max="15121" width="13.75" style="436" customWidth="1"/>
    <col min="15122" max="15123" width="9.75" style="436" customWidth="1"/>
    <col min="15124" max="15372" width="9" style="436"/>
    <col min="15373" max="15373" width="12" style="436" customWidth="1"/>
    <col min="15374" max="15374" width="7.125" style="436" customWidth="1"/>
    <col min="15375" max="15375" width="9" style="436"/>
    <col min="15376" max="15376" width="16" style="436" customWidth="1"/>
    <col min="15377" max="15377" width="13.75" style="436" customWidth="1"/>
    <col min="15378" max="15379" width="9.75" style="436" customWidth="1"/>
    <col min="15380" max="15628" width="9" style="436"/>
    <col min="15629" max="15629" width="12" style="436" customWidth="1"/>
    <col min="15630" max="15630" width="7.125" style="436" customWidth="1"/>
    <col min="15631" max="15631" width="9" style="436"/>
    <col min="15632" max="15632" width="16" style="436" customWidth="1"/>
    <col min="15633" max="15633" width="13.75" style="436" customWidth="1"/>
    <col min="15634" max="15635" width="9.75" style="436" customWidth="1"/>
    <col min="15636" max="15884" width="9" style="436"/>
    <col min="15885" max="15885" width="12" style="436" customWidth="1"/>
    <col min="15886" max="15886" width="7.125" style="436" customWidth="1"/>
    <col min="15887" max="15887" width="9" style="436"/>
    <col min="15888" max="15888" width="16" style="436" customWidth="1"/>
    <col min="15889" max="15889" width="13.75" style="436" customWidth="1"/>
    <col min="15890" max="15891" width="9.75" style="436" customWidth="1"/>
    <col min="15892" max="16140" width="9" style="436"/>
    <col min="16141" max="16141" width="12" style="436" customWidth="1"/>
    <col min="16142" max="16142" width="7.125" style="436" customWidth="1"/>
    <col min="16143" max="16143" width="9" style="436"/>
    <col min="16144" max="16144" width="16" style="436" customWidth="1"/>
    <col min="16145" max="16145" width="13.75" style="436" customWidth="1"/>
    <col min="16146" max="16147" width="9.75" style="436" customWidth="1"/>
    <col min="16148" max="16384" width="9" style="436"/>
  </cols>
  <sheetData>
    <row r="1" spans="1:25" s="2" customFormat="1" ht="23.25" customHeight="1" thickBot="1">
      <c r="A1" s="1" t="e">
        <f>IF(SUM(2:2)=0,"OK","NOK")</f>
        <v>#DIV/0!</v>
      </c>
      <c r="F1" s="43" t="s">
        <v>7132</v>
      </c>
      <c r="G1" s="1085" t="s">
        <v>4603</v>
      </c>
      <c r="H1" s="1086"/>
      <c r="I1" s="1085" t="s">
        <v>355</v>
      </c>
      <c r="J1" s="1086"/>
      <c r="K1" s="1085" t="s">
        <v>4596</v>
      </c>
      <c r="L1" s="1086"/>
      <c r="M1" s="1085" t="s">
        <v>365</v>
      </c>
      <c r="N1" s="1086"/>
      <c r="O1" s="1085" t="s">
        <v>277</v>
      </c>
      <c r="P1" s="1086"/>
      <c r="Q1" s="1085" t="s">
        <v>8311</v>
      </c>
      <c r="R1" s="1086"/>
      <c r="S1" s="1085" t="s">
        <v>8289</v>
      </c>
      <c r="T1" s="1086"/>
      <c r="U1" s="44"/>
      <c r="V1" s="48" t="s">
        <v>10</v>
      </c>
    </row>
    <row r="2" spans="1:25" ht="13.5" thickBot="1">
      <c r="A2" s="3"/>
      <c r="B2" s="3"/>
      <c r="C2" s="3"/>
      <c r="D2" s="3"/>
      <c r="E2" s="3"/>
      <c r="F2" s="2"/>
      <c r="G2" s="182" t="s">
        <v>0</v>
      </c>
      <c r="H2" s="183">
        <f>SUMX2MY2(G5:G4999,H5:H4999)</f>
        <v>-5.5422333389287814E-13</v>
      </c>
      <c r="I2" s="182" t="s">
        <v>0</v>
      </c>
      <c r="J2" s="183">
        <f>SUMX2MY2(I5:I4999,J5:J4999)</f>
        <v>0</v>
      </c>
      <c r="K2" s="567" t="s">
        <v>0</v>
      </c>
      <c r="L2" s="183">
        <f>SUMX2MY2(K5:K4999,L5:L4999)</f>
        <v>0</v>
      </c>
      <c r="M2" s="567" t="s">
        <v>0</v>
      </c>
      <c r="N2" s="183">
        <f>SUMX2MY2(M5:M4999,N5:N4999)</f>
        <v>0</v>
      </c>
      <c r="O2" s="567" t="s">
        <v>0</v>
      </c>
      <c r="P2" s="183" t="e">
        <f>SUMX2MY2(O5:O4999,P5:P4999)</f>
        <v>#DIV/0!</v>
      </c>
      <c r="Q2" s="567" t="s">
        <v>0</v>
      </c>
      <c r="R2" s="183" t="e">
        <f>SUMX2MY2(Q5:Q4999,R5:R4999)</f>
        <v>#DIV/0!</v>
      </c>
      <c r="S2" s="850" t="s">
        <v>0</v>
      </c>
      <c r="T2" s="183">
        <f>SUMX2MY2(S5:S4999,T5:T4999)</f>
        <v>0</v>
      </c>
    </row>
    <row r="3" spans="1:25" ht="27.75" customHeight="1">
      <c r="A3" s="35" t="s">
        <v>1</v>
      </c>
      <c r="B3" s="36" t="s">
        <v>2</v>
      </c>
      <c r="C3" s="36" t="s">
        <v>3</v>
      </c>
      <c r="D3" s="36" t="s">
        <v>4</v>
      </c>
      <c r="E3" s="1087" t="s">
        <v>7</v>
      </c>
      <c r="F3" s="1088"/>
      <c r="G3" s="185" t="s">
        <v>5</v>
      </c>
      <c r="H3" s="186" t="s">
        <v>6</v>
      </c>
      <c r="I3" s="185" t="s">
        <v>5</v>
      </c>
      <c r="J3" s="186" t="s">
        <v>6</v>
      </c>
      <c r="K3" s="568" t="s">
        <v>5</v>
      </c>
      <c r="L3" s="569" t="s">
        <v>6</v>
      </c>
      <c r="M3" s="568" t="s">
        <v>5</v>
      </c>
      <c r="N3" s="569" t="s">
        <v>6</v>
      </c>
      <c r="O3" s="568" t="s">
        <v>5</v>
      </c>
      <c r="P3" s="569" t="s">
        <v>6</v>
      </c>
      <c r="Q3" s="568" t="s">
        <v>5</v>
      </c>
      <c r="R3" s="569" t="s">
        <v>6</v>
      </c>
      <c r="S3" s="851" t="s">
        <v>5</v>
      </c>
      <c r="T3" s="852" t="s">
        <v>6</v>
      </c>
    </row>
    <row r="4" spans="1:25" ht="15.75" customHeight="1" thickBot="1">
      <c r="A4" s="34"/>
      <c r="B4" s="33"/>
      <c r="C4" s="33"/>
      <c r="D4" s="33"/>
      <c r="E4" s="41" t="s">
        <v>9</v>
      </c>
      <c r="F4" s="42" t="s">
        <v>8</v>
      </c>
      <c r="G4" s="191">
        <v>0</v>
      </c>
      <c r="H4" s="192">
        <v>0</v>
      </c>
      <c r="I4" s="191">
        <v>0</v>
      </c>
      <c r="J4" s="192">
        <v>0</v>
      </c>
      <c r="K4" s="575">
        <v>0</v>
      </c>
      <c r="L4" s="576">
        <v>0</v>
      </c>
      <c r="M4" s="575">
        <v>0</v>
      </c>
      <c r="N4" s="576">
        <v>0</v>
      </c>
      <c r="O4" s="575">
        <v>0</v>
      </c>
      <c r="P4" s="576">
        <v>0</v>
      </c>
      <c r="Q4" s="575">
        <v>0</v>
      </c>
      <c r="R4" s="576">
        <v>0</v>
      </c>
      <c r="S4" s="858">
        <v>0</v>
      </c>
      <c r="T4" s="859">
        <v>0</v>
      </c>
      <c r="V4" s="828" t="s">
        <v>10518</v>
      </c>
      <c r="W4" s="829" t="s">
        <v>10519</v>
      </c>
      <c r="X4" s="829" t="s">
        <v>10520</v>
      </c>
      <c r="Y4" s="836" t="s">
        <v>10521</v>
      </c>
    </row>
    <row r="5" spans="1:25">
      <c r="A5" s="733" t="str">
        <f>VLOOKUP($D5,Column_from_BP!$N:$AC,2,FALSE)</f>
        <v>0001-05-21-0001.tif</v>
      </c>
      <c r="B5" s="199"/>
      <c r="C5" s="447"/>
      <c r="D5" s="730" t="s">
        <v>9065</v>
      </c>
      <c r="E5" s="490"/>
      <c r="F5" s="496" t="s">
        <v>7893</v>
      </c>
      <c r="G5" s="853">
        <v>34.516728283054803</v>
      </c>
      <c r="H5" s="772">
        <f>Y5</f>
        <v>34.516728283054803</v>
      </c>
      <c r="I5" s="497">
        <v>8</v>
      </c>
      <c r="J5" s="468">
        <f>W5</f>
        <v>8</v>
      </c>
      <c r="K5" s="570">
        <v>1</v>
      </c>
      <c r="L5" s="460">
        <v>1</v>
      </c>
      <c r="M5" s="570">
        <v>293.14999999999998</v>
      </c>
      <c r="N5" s="460">
        <v>293.14999999999998</v>
      </c>
      <c r="O5" s="570">
        <v>361664.40366086899</v>
      </c>
      <c r="P5" s="460"/>
      <c r="Q5" s="570">
        <v>601.86928833150205</v>
      </c>
      <c r="R5" s="460"/>
      <c r="S5" s="853">
        <v>1735</v>
      </c>
      <c r="T5" s="460">
        <v>1735</v>
      </c>
      <c r="V5" s="828">
        <v>1735</v>
      </c>
      <c r="W5" s="831">
        <v>8</v>
      </c>
      <c r="X5" s="831">
        <v>38.332000000000001</v>
      </c>
      <c r="Y5" s="836">
        <f>V5*4/PI()/W5/W5</f>
        <v>34.516728283054803</v>
      </c>
    </row>
    <row r="6" spans="1:25">
      <c r="A6" s="201" t="str">
        <f>VLOOKUP($D6,Column_from_BP!$N:$AC,2,FALSE)</f>
        <v>Tz2102 2104  0535-05-21-0033.tif</v>
      </c>
      <c r="B6" s="199"/>
      <c r="C6" s="447"/>
      <c r="D6" s="730" t="s">
        <v>7599</v>
      </c>
      <c r="E6" s="490"/>
      <c r="F6" s="467" t="s">
        <v>7598</v>
      </c>
      <c r="G6" s="497">
        <v>9.8540261331610495</v>
      </c>
      <c r="H6" s="772">
        <f t="shared" ref="H6:H10" si="0">Y6</f>
        <v>9.854026133161053</v>
      </c>
      <c r="I6" s="497">
        <v>2.48</v>
      </c>
      <c r="J6" s="772">
        <f t="shared" ref="J6:J10" si="1">W6</f>
        <v>2.48</v>
      </c>
      <c r="K6" s="570">
        <v>1</v>
      </c>
      <c r="L6" s="460">
        <v>1</v>
      </c>
      <c r="M6" s="570">
        <v>293.14999999999998</v>
      </c>
      <c r="N6" s="460">
        <v>293.14999999999998</v>
      </c>
      <c r="O6" s="570">
        <v>361451.84186217398</v>
      </c>
      <c r="P6" s="460"/>
      <c r="Q6" s="570">
        <v>536.77668353758997</v>
      </c>
      <c r="R6" s="460"/>
      <c r="S6" s="853">
        <v>47.6</v>
      </c>
      <c r="T6" s="460">
        <v>47.6</v>
      </c>
      <c r="V6" s="828">
        <v>47.6</v>
      </c>
      <c r="W6" s="831">
        <v>2.48</v>
      </c>
      <c r="X6" s="831">
        <v>8.7200000000000006</v>
      </c>
      <c r="Y6" s="836">
        <f t="shared" ref="Y6:Y10" si="2">V6*4/PI()/W6/W6</f>
        <v>9.854026133161053</v>
      </c>
    </row>
    <row r="7" spans="1:25">
      <c r="A7" s="201" t="str">
        <f>VLOOKUP($D7,Column_from_BP!$N:$AC,2,FALSE)</f>
        <v>Tz2103-2105   0535-05-21-0031.tif</v>
      </c>
      <c r="B7" s="200"/>
      <c r="C7" s="463"/>
      <c r="D7" s="730" t="s">
        <v>8899</v>
      </c>
      <c r="E7" s="490"/>
      <c r="F7" s="467" t="s">
        <v>7600</v>
      </c>
      <c r="G7" s="497">
        <v>8.6791761353919394</v>
      </c>
      <c r="H7" s="772">
        <f t="shared" si="0"/>
        <v>8.6791761353919394</v>
      </c>
      <c r="I7" s="497">
        <v>1.7</v>
      </c>
      <c r="J7" s="772">
        <f t="shared" si="1"/>
        <v>1.7</v>
      </c>
      <c r="K7" s="570">
        <v>1</v>
      </c>
      <c r="L7" s="460">
        <v>1</v>
      </c>
      <c r="M7" s="570">
        <v>293.14999999999998</v>
      </c>
      <c r="N7" s="460">
        <v>293.14999999999998</v>
      </c>
      <c r="O7" s="570">
        <v>359396.798981336</v>
      </c>
      <c r="P7" s="460"/>
      <c r="Q7" s="570">
        <v>612.112142239381</v>
      </c>
      <c r="R7" s="460"/>
      <c r="S7" s="853">
        <v>19.7</v>
      </c>
      <c r="T7" s="460">
        <v>19.7</v>
      </c>
      <c r="V7" s="828">
        <v>19.7</v>
      </c>
      <c r="W7" s="831">
        <v>1.7</v>
      </c>
      <c r="X7" s="831">
        <v>8.23</v>
      </c>
      <c r="Y7" s="836">
        <f t="shared" si="2"/>
        <v>8.6791761353919394</v>
      </c>
    </row>
    <row r="8" spans="1:25">
      <c r="A8" s="201" t="str">
        <f>VLOOKUP($D8,Column_from_BP!$N:$AC,2,FALSE)</f>
        <v>0001-05-22-0073.tif</v>
      </c>
      <c r="B8" s="200"/>
      <c r="C8" s="463"/>
      <c r="D8" s="730" t="s">
        <v>9066</v>
      </c>
      <c r="E8" s="724"/>
      <c r="F8" s="465" t="s">
        <v>8312</v>
      </c>
      <c r="G8" s="466">
        <v>42.184320556537003</v>
      </c>
      <c r="H8" s="772">
        <f t="shared" si="0"/>
        <v>42.184320556536967</v>
      </c>
      <c r="I8" s="466">
        <v>3.4</v>
      </c>
      <c r="J8" s="772">
        <f t="shared" si="1"/>
        <v>3.4</v>
      </c>
      <c r="K8" s="570">
        <v>1</v>
      </c>
      <c r="L8" s="460">
        <v>1</v>
      </c>
      <c r="M8" s="570">
        <v>293.14999999999998</v>
      </c>
      <c r="N8" s="460">
        <v>293.14999999999998</v>
      </c>
      <c r="O8" s="570">
        <v>946300.84159317496</v>
      </c>
      <c r="P8" s="460"/>
      <c r="Q8" s="570">
        <v>475.20427985809499</v>
      </c>
      <c r="R8" s="460"/>
      <c r="S8" s="853">
        <v>383</v>
      </c>
      <c r="T8" s="460">
        <v>383</v>
      </c>
      <c r="V8" s="828">
        <v>383</v>
      </c>
      <c r="W8" s="831">
        <v>3.4</v>
      </c>
      <c r="X8" s="831">
        <v>35.11</v>
      </c>
      <c r="Y8" s="836">
        <f t="shared" si="2"/>
        <v>42.184320556536967</v>
      </c>
    </row>
    <row r="9" spans="1:25">
      <c r="A9" s="201" t="str">
        <f>VLOOKUP($D9,Column_from_BP!$N:$AC,2,FALSE)</f>
        <v>0001-05-22-0087.tif</v>
      </c>
      <c r="B9" s="200"/>
      <c r="C9" s="463"/>
      <c r="D9" s="730" t="s">
        <v>9067</v>
      </c>
      <c r="E9" s="724"/>
      <c r="F9" s="465" t="s">
        <v>8314</v>
      </c>
      <c r="G9" s="570">
        <v>40.458337440956598</v>
      </c>
      <c r="H9" s="772">
        <f t="shared" si="0"/>
        <v>40.45833744095664</v>
      </c>
      <c r="I9" s="570">
        <v>6.2720000000000002</v>
      </c>
      <c r="J9" s="772">
        <f t="shared" si="1"/>
        <v>6.2720000000000002</v>
      </c>
      <c r="K9" s="570">
        <v>1</v>
      </c>
      <c r="L9" s="460">
        <v>1</v>
      </c>
      <c r="M9" s="570">
        <v>293.14999999999998</v>
      </c>
      <c r="N9" s="460">
        <v>293.14999999999998</v>
      </c>
      <c r="O9" s="570">
        <v>200645.952529022</v>
      </c>
      <c r="P9" s="460"/>
      <c r="Q9" s="570">
        <v>474.446717229103</v>
      </c>
      <c r="R9" s="460"/>
      <c r="S9" s="853">
        <v>1250</v>
      </c>
      <c r="T9" s="460">
        <v>1250</v>
      </c>
      <c r="V9" s="828">
        <v>1250</v>
      </c>
      <c r="W9" s="831">
        <v>6.2720000000000002</v>
      </c>
      <c r="X9" s="831">
        <v>33.664999999999999</v>
      </c>
      <c r="Y9" s="836">
        <f t="shared" si="2"/>
        <v>40.45833744095664</v>
      </c>
    </row>
    <row r="10" spans="1:25">
      <c r="A10" s="201" t="str">
        <f>VLOOKUP($D10,Column_from_BP!$N:$AC,2,FALSE)</f>
        <v>0001-05-22-0021.tif</v>
      </c>
      <c r="B10" s="200"/>
      <c r="C10" s="463"/>
      <c r="D10" s="730" t="s">
        <v>9068</v>
      </c>
      <c r="E10" s="724"/>
      <c r="F10" s="465" t="s">
        <v>8313</v>
      </c>
      <c r="G10" s="570">
        <v>9.1632350256185795</v>
      </c>
      <c r="H10" s="772">
        <f t="shared" si="0"/>
        <v>9.1632350256185813</v>
      </c>
      <c r="I10" s="570">
        <v>3.98</v>
      </c>
      <c r="J10" s="772">
        <f t="shared" si="1"/>
        <v>3.98</v>
      </c>
      <c r="K10" s="570">
        <v>1</v>
      </c>
      <c r="L10" s="460">
        <v>1</v>
      </c>
      <c r="M10" s="570">
        <v>293.14999999999998</v>
      </c>
      <c r="N10" s="460">
        <v>293.14999999999998</v>
      </c>
      <c r="O10" s="570">
        <v>202306.70391619799</v>
      </c>
      <c r="P10" s="460"/>
      <c r="Q10" s="570">
        <v>412.573407333278</v>
      </c>
      <c r="R10" s="460"/>
      <c r="S10" s="853">
        <v>114</v>
      </c>
      <c r="T10" s="460">
        <v>114</v>
      </c>
      <c r="V10" s="828">
        <v>114</v>
      </c>
      <c r="W10" s="831">
        <v>3.98</v>
      </c>
      <c r="X10" s="831">
        <v>11.89</v>
      </c>
      <c r="Y10" s="836">
        <f t="shared" si="2"/>
        <v>9.1632350256185813</v>
      </c>
    </row>
    <row r="11" spans="1:25">
      <c r="A11" s="461"/>
      <c r="B11" s="462"/>
      <c r="C11" s="463"/>
      <c r="D11" s="464"/>
      <c r="E11" s="459"/>
      <c r="F11" s="465"/>
      <c r="G11" s="466"/>
      <c r="H11" s="460"/>
      <c r="I11" s="466"/>
      <c r="J11" s="460"/>
      <c r="K11" s="570"/>
      <c r="L11" s="460"/>
      <c r="M11" s="570"/>
      <c r="N11" s="460"/>
      <c r="O11" s="570"/>
      <c r="P11" s="460"/>
      <c r="Q11" s="570"/>
      <c r="R11" s="460"/>
      <c r="S11" s="853"/>
      <c r="T11" s="460"/>
    </row>
    <row r="12" spans="1:25">
      <c r="A12" s="461"/>
      <c r="B12" s="462"/>
      <c r="C12" s="463"/>
      <c r="D12" s="464"/>
      <c r="E12" s="459"/>
      <c r="F12" s="465"/>
      <c r="G12" s="466"/>
      <c r="H12" s="460"/>
      <c r="I12" s="466"/>
      <c r="J12" s="460"/>
      <c r="K12" s="570"/>
      <c r="L12" s="460"/>
      <c r="M12" s="570"/>
      <c r="N12" s="460"/>
      <c r="O12" s="570"/>
      <c r="P12" s="460"/>
      <c r="Q12" s="570"/>
      <c r="R12" s="460"/>
      <c r="S12" s="853"/>
      <c r="T12" s="460"/>
    </row>
    <row r="13" spans="1:25">
      <c r="A13" s="461"/>
      <c r="B13" s="462"/>
      <c r="C13" s="463"/>
      <c r="D13" s="464"/>
      <c r="E13" s="459"/>
      <c r="F13" s="465"/>
      <c r="G13" s="466"/>
      <c r="H13" s="460"/>
      <c r="I13" s="466"/>
      <c r="J13" s="460"/>
      <c r="K13" s="570"/>
      <c r="L13" s="460"/>
      <c r="M13" s="570"/>
      <c r="N13" s="460"/>
      <c r="O13" s="570"/>
      <c r="P13" s="460"/>
      <c r="Q13" s="570"/>
      <c r="R13" s="460"/>
      <c r="S13" s="853"/>
      <c r="T13" s="460"/>
    </row>
    <row r="14" spans="1:25">
      <c r="A14" s="461"/>
      <c r="B14" s="462"/>
      <c r="C14" s="463"/>
      <c r="D14" s="464"/>
      <c r="E14" s="459"/>
      <c r="F14" s="465"/>
      <c r="G14" s="466"/>
      <c r="H14" s="460"/>
      <c r="I14" s="466"/>
      <c r="J14" s="460"/>
      <c r="K14" s="570"/>
      <c r="L14" s="460"/>
      <c r="M14" s="570"/>
      <c r="N14" s="460"/>
      <c r="O14" s="570"/>
      <c r="P14" s="460"/>
      <c r="Q14" s="570"/>
      <c r="R14" s="460"/>
      <c r="S14" s="853"/>
      <c r="T14" s="460"/>
    </row>
    <row r="15" spans="1:25">
      <c r="A15" s="461"/>
      <c r="B15" s="462"/>
      <c r="C15" s="463"/>
      <c r="D15" s="464"/>
      <c r="E15" s="459"/>
      <c r="F15" s="465"/>
      <c r="G15" s="466"/>
      <c r="H15" s="460"/>
      <c r="I15" s="466"/>
      <c r="J15" s="460"/>
      <c r="K15" s="570"/>
      <c r="L15" s="460"/>
      <c r="M15" s="570"/>
      <c r="N15" s="460"/>
      <c r="O15" s="570"/>
      <c r="P15" s="460"/>
      <c r="Q15" s="570"/>
      <c r="R15" s="460"/>
      <c r="S15" s="853"/>
      <c r="T15" s="460"/>
    </row>
    <row r="16" spans="1:25">
      <c r="A16" s="461"/>
      <c r="B16" s="462"/>
      <c r="C16" s="463"/>
      <c r="D16" s="464"/>
      <c r="E16" s="459"/>
      <c r="F16" s="465"/>
      <c r="G16" s="466"/>
      <c r="H16" s="460"/>
      <c r="I16" s="466"/>
      <c r="J16" s="460"/>
      <c r="K16" s="570"/>
      <c r="L16" s="460"/>
      <c r="M16" s="570"/>
      <c r="N16" s="460"/>
      <c r="O16" s="570"/>
      <c r="P16" s="460"/>
      <c r="Q16" s="570"/>
      <c r="R16" s="460"/>
      <c r="S16" s="853"/>
      <c r="T16" s="460"/>
    </row>
    <row r="17" spans="1:20">
      <c r="A17" s="461"/>
      <c r="B17" s="462"/>
      <c r="C17" s="463"/>
      <c r="D17" s="464"/>
      <c r="E17" s="459"/>
      <c r="F17" s="465"/>
      <c r="G17" s="466"/>
      <c r="H17" s="460"/>
      <c r="I17" s="466"/>
      <c r="J17" s="460"/>
      <c r="K17" s="570"/>
      <c r="L17" s="460"/>
      <c r="M17" s="570"/>
      <c r="N17" s="460"/>
      <c r="O17" s="570"/>
      <c r="P17" s="460"/>
      <c r="Q17" s="570"/>
      <c r="R17" s="460"/>
      <c r="S17" s="853"/>
      <c r="T17" s="460"/>
    </row>
    <row r="18" spans="1:20">
      <c r="A18" s="461"/>
      <c r="B18" s="462"/>
      <c r="C18" s="463"/>
      <c r="D18" s="464"/>
      <c r="E18" s="459"/>
      <c r="F18" s="465"/>
      <c r="G18" s="466"/>
      <c r="H18" s="460"/>
      <c r="I18" s="466"/>
      <c r="J18" s="460"/>
      <c r="K18" s="570"/>
      <c r="L18" s="460"/>
      <c r="M18" s="570"/>
      <c r="N18" s="460"/>
      <c r="O18" s="570"/>
      <c r="P18" s="460"/>
      <c r="Q18" s="570"/>
      <c r="R18" s="460"/>
      <c r="S18" s="853"/>
      <c r="T18" s="460"/>
    </row>
    <row r="19" spans="1:20">
      <c r="A19" s="461"/>
      <c r="B19" s="462"/>
      <c r="C19" s="463"/>
      <c r="D19" s="464"/>
      <c r="E19" s="459"/>
      <c r="F19" s="465"/>
      <c r="G19" s="466"/>
      <c r="H19" s="460"/>
      <c r="I19" s="466"/>
      <c r="J19" s="460"/>
      <c r="K19" s="570"/>
      <c r="L19" s="460"/>
      <c r="M19" s="570"/>
      <c r="N19" s="460"/>
      <c r="O19" s="570"/>
      <c r="P19" s="460"/>
      <c r="Q19" s="570"/>
      <c r="R19" s="460"/>
      <c r="S19" s="853"/>
      <c r="T19" s="460"/>
    </row>
    <row r="20" spans="1:20">
      <c r="A20" s="461"/>
      <c r="B20" s="462"/>
      <c r="C20" s="463"/>
      <c r="D20" s="464"/>
      <c r="E20" s="459"/>
      <c r="F20" s="465"/>
      <c r="G20" s="466"/>
      <c r="H20" s="460"/>
      <c r="I20" s="466"/>
      <c r="J20" s="460"/>
      <c r="K20" s="570"/>
      <c r="L20" s="460"/>
      <c r="M20" s="570"/>
      <c r="N20" s="460"/>
      <c r="O20" s="570"/>
      <c r="P20" s="460"/>
      <c r="Q20" s="570"/>
      <c r="R20" s="460"/>
      <c r="S20" s="853"/>
      <c r="T20" s="460"/>
    </row>
    <row r="21" spans="1:20">
      <c r="A21" s="461"/>
      <c r="B21" s="462"/>
      <c r="C21" s="463"/>
      <c r="D21" s="464"/>
      <c r="E21" s="459"/>
      <c r="F21" s="465"/>
      <c r="G21" s="466"/>
      <c r="H21" s="460"/>
      <c r="I21" s="466"/>
      <c r="J21" s="460"/>
      <c r="K21" s="570"/>
      <c r="L21" s="460"/>
      <c r="M21" s="570"/>
      <c r="N21" s="460"/>
      <c r="O21" s="570"/>
      <c r="P21" s="460"/>
      <c r="Q21" s="570"/>
      <c r="R21" s="460"/>
      <c r="S21" s="853"/>
      <c r="T21" s="460"/>
    </row>
    <row r="22" spans="1:20">
      <c r="A22" s="461"/>
      <c r="B22" s="462"/>
      <c r="C22" s="463"/>
      <c r="D22" s="464"/>
      <c r="E22" s="459"/>
      <c r="F22" s="465"/>
      <c r="G22" s="466"/>
      <c r="H22" s="460"/>
      <c r="I22" s="466"/>
      <c r="J22" s="460"/>
      <c r="K22" s="570"/>
      <c r="L22" s="460"/>
      <c r="M22" s="570"/>
      <c r="N22" s="460"/>
      <c r="O22" s="570"/>
      <c r="P22" s="460"/>
      <c r="Q22" s="570"/>
      <c r="R22" s="460"/>
      <c r="S22" s="853"/>
      <c r="T22" s="460"/>
    </row>
    <row r="23" spans="1:20">
      <c r="A23" s="461"/>
      <c r="B23" s="462"/>
      <c r="C23" s="463"/>
      <c r="D23" s="464"/>
      <c r="E23" s="459"/>
      <c r="F23" s="465"/>
      <c r="G23" s="466"/>
      <c r="H23" s="460"/>
      <c r="I23" s="466"/>
      <c r="J23" s="460"/>
      <c r="K23" s="570"/>
      <c r="L23" s="460"/>
      <c r="M23" s="570"/>
      <c r="N23" s="460"/>
      <c r="O23" s="570"/>
      <c r="P23" s="460"/>
      <c r="Q23" s="570"/>
      <c r="R23" s="460"/>
      <c r="S23" s="853"/>
      <c r="T23" s="460"/>
    </row>
    <row r="24" spans="1:20">
      <c r="A24" s="461"/>
      <c r="B24" s="462"/>
      <c r="C24" s="463"/>
      <c r="D24" s="464"/>
      <c r="E24" s="459"/>
      <c r="F24" s="465"/>
      <c r="G24" s="466"/>
      <c r="H24" s="460"/>
      <c r="I24" s="466"/>
      <c r="J24" s="460"/>
      <c r="K24" s="570"/>
      <c r="L24" s="460"/>
      <c r="M24" s="570"/>
      <c r="N24" s="460"/>
      <c r="O24" s="570"/>
      <c r="P24" s="460"/>
      <c r="Q24" s="570"/>
      <c r="R24" s="460"/>
      <c r="S24" s="853"/>
      <c r="T24" s="460"/>
    </row>
    <row r="25" spans="1:20">
      <c r="A25" s="461"/>
      <c r="B25" s="462"/>
      <c r="C25" s="463"/>
      <c r="D25" s="464"/>
      <c r="E25" s="459"/>
      <c r="F25" s="465"/>
      <c r="G25" s="466"/>
      <c r="H25" s="460"/>
      <c r="I25" s="466"/>
      <c r="J25" s="460"/>
      <c r="K25" s="570"/>
      <c r="L25" s="460"/>
      <c r="M25" s="570"/>
      <c r="N25" s="460"/>
      <c r="O25" s="570"/>
      <c r="P25" s="460"/>
      <c r="Q25" s="570"/>
      <c r="R25" s="460"/>
      <c r="S25" s="853"/>
      <c r="T25" s="460"/>
    </row>
    <row r="26" spans="1:20">
      <c r="A26" s="461"/>
      <c r="B26" s="462"/>
      <c r="C26" s="463"/>
      <c r="D26" s="464"/>
      <c r="E26" s="459"/>
      <c r="F26" s="465"/>
      <c r="G26" s="466"/>
      <c r="H26" s="460"/>
      <c r="I26" s="466"/>
      <c r="J26" s="460"/>
      <c r="K26" s="570"/>
      <c r="L26" s="460"/>
      <c r="M26" s="570"/>
      <c r="N26" s="460"/>
      <c r="O26" s="570"/>
      <c r="P26" s="460"/>
      <c r="Q26" s="570"/>
      <c r="R26" s="460"/>
      <c r="S26" s="853"/>
      <c r="T26" s="460"/>
    </row>
    <row r="27" spans="1:20">
      <c r="A27" s="461"/>
      <c r="B27" s="462"/>
      <c r="C27" s="463"/>
      <c r="D27" s="464"/>
      <c r="E27" s="459"/>
      <c r="F27" s="465"/>
      <c r="G27" s="466"/>
      <c r="H27" s="460"/>
      <c r="I27" s="466"/>
      <c r="J27" s="460"/>
      <c r="K27" s="570"/>
      <c r="L27" s="460"/>
      <c r="M27" s="570"/>
      <c r="N27" s="460"/>
      <c r="O27" s="570"/>
      <c r="P27" s="460"/>
      <c r="Q27" s="570"/>
      <c r="R27" s="460"/>
      <c r="S27" s="853"/>
      <c r="T27" s="460"/>
    </row>
    <row r="28" spans="1:20">
      <c r="A28" s="461"/>
      <c r="B28" s="462"/>
      <c r="C28" s="463"/>
      <c r="D28" s="464"/>
      <c r="E28" s="459"/>
      <c r="F28" s="465"/>
      <c r="G28" s="466"/>
      <c r="H28" s="460"/>
      <c r="I28" s="466"/>
      <c r="J28" s="460"/>
      <c r="K28" s="570"/>
      <c r="L28" s="460"/>
      <c r="M28" s="570"/>
      <c r="N28" s="460"/>
      <c r="O28" s="570"/>
      <c r="P28" s="460"/>
      <c r="Q28" s="570"/>
      <c r="R28" s="460"/>
      <c r="S28" s="853"/>
      <c r="T28" s="460"/>
    </row>
    <row r="29" spans="1:20">
      <c r="A29" s="461"/>
      <c r="B29" s="462"/>
      <c r="C29" s="463"/>
      <c r="D29" s="464"/>
      <c r="E29" s="459"/>
      <c r="F29" s="465"/>
      <c r="G29" s="466"/>
      <c r="H29" s="460"/>
      <c r="I29" s="466"/>
      <c r="J29" s="460"/>
      <c r="K29" s="570"/>
      <c r="L29" s="460"/>
      <c r="M29" s="570"/>
      <c r="N29" s="460"/>
      <c r="O29" s="570"/>
      <c r="P29" s="460"/>
      <c r="Q29" s="570"/>
      <c r="R29" s="460"/>
      <c r="S29" s="853"/>
      <c r="T29" s="460"/>
    </row>
    <row r="30" spans="1:20">
      <c r="A30" s="461"/>
      <c r="B30" s="462"/>
      <c r="C30" s="463"/>
      <c r="D30" s="464"/>
      <c r="E30" s="459"/>
      <c r="F30" s="465"/>
      <c r="G30" s="466"/>
      <c r="H30" s="460"/>
      <c r="I30" s="466"/>
      <c r="J30" s="460"/>
      <c r="K30" s="570"/>
      <c r="L30" s="460"/>
      <c r="M30" s="570"/>
      <c r="N30" s="460"/>
      <c r="O30" s="570"/>
      <c r="P30" s="460"/>
      <c r="Q30" s="570"/>
      <c r="R30" s="460"/>
      <c r="S30" s="853"/>
      <c r="T30" s="460"/>
    </row>
    <row r="31" spans="1:20">
      <c r="A31" s="461"/>
      <c r="B31" s="462"/>
      <c r="C31" s="463"/>
      <c r="D31" s="464"/>
      <c r="E31" s="459"/>
      <c r="F31" s="465"/>
      <c r="G31" s="466"/>
      <c r="H31" s="460"/>
      <c r="I31" s="466"/>
      <c r="J31" s="460"/>
      <c r="K31" s="570"/>
      <c r="L31" s="460"/>
      <c r="M31" s="570"/>
      <c r="N31" s="460"/>
      <c r="O31" s="570"/>
      <c r="P31" s="460"/>
      <c r="Q31" s="570"/>
      <c r="R31" s="460"/>
      <c r="S31" s="853"/>
      <c r="T31" s="460"/>
    </row>
    <row r="32" spans="1:20">
      <c r="A32" s="461"/>
      <c r="B32" s="462"/>
      <c r="C32" s="463"/>
      <c r="D32" s="464"/>
      <c r="E32" s="459"/>
      <c r="F32" s="465"/>
      <c r="G32" s="466"/>
      <c r="H32" s="460"/>
      <c r="I32" s="466"/>
      <c r="J32" s="460"/>
      <c r="K32" s="570"/>
      <c r="L32" s="460"/>
      <c r="M32" s="570"/>
      <c r="N32" s="460"/>
      <c r="O32" s="570"/>
      <c r="P32" s="460"/>
      <c r="Q32" s="570"/>
      <c r="R32" s="460"/>
      <c r="S32" s="853"/>
      <c r="T32" s="460"/>
    </row>
    <row r="33" spans="1:20">
      <c r="A33" s="461"/>
      <c r="B33" s="462"/>
      <c r="C33" s="463"/>
      <c r="D33" s="464"/>
      <c r="E33" s="459"/>
      <c r="F33" s="465"/>
      <c r="G33" s="466"/>
      <c r="H33" s="460"/>
      <c r="I33" s="466"/>
      <c r="J33" s="460"/>
      <c r="K33" s="570"/>
      <c r="L33" s="460"/>
      <c r="M33" s="570"/>
      <c r="N33" s="460"/>
      <c r="O33" s="570"/>
      <c r="P33" s="460"/>
      <c r="Q33" s="570"/>
      <c r="R33" s="460"/>
      <c r="S33" s="853"/>
      <c r="T33" s="460"/>
    </row>
    <row r="34" spans="1:20">
      <c r="A34" s="461"/>
      <c r="B34" s="462"/>
      <c r="C34" s="463"/>
      <c r="D34" s="464"/>
      <c r="E34" s="459"/>
      <c r="F34" s="465"/>
      <c r="G34" s="466"/>
      <c r="H34" s="460"/>
      <c r="I34" s="466"/>
      <c r="J34" s="460"/>
      <c r="K34" s="570"/>
      <c r="L34" s="460"/>
      <c r="M34" s="570"/>
      <c r="N34" s="460"/>
      <c r="O34" s="570"/>
      <c r="P34" s="460"/>
      <c r="Q34" s="570"/>
      <c r="R34" s="460"/>
      <c r="S34" s="853"/>
      <c r="T34" s="460"/>
    </row>
    <row r="35" spans="1:20">
      <c r="A35" s="461"/>
      <c r="B35" s="462"/>
      <c r="C35" s="463"/>
      <c r="D35" s="464"/>
      <c r="E35" s="459"/>
      <c r="F35" s="465"/>
      <c r="G35" s="466"/>
      <c r="H35" s="460"/>
      <c r="I35" s="466"/>
      <c r="J35" s="460"/>
      <c r="K35" s="570"/>
      <c r="L35" s="460"/>
      <c r="M35" s="570"/>
      <c r="N35" s="460"/>
      <c r="O35" s="570"/>
      <c r="P35" s="460"/>
      <c r="Q35" s="570"/>
      <c r="R35" s="460"/>
      <c r="S35" s="853"/>
      <c r="T35" s="460"/>
    </row>
    <row r="36" spans="1:20">
      <c r="A36" s="461"/>
      <c r="B36" s="462"/>
      <c r="C36" s="463"/>
      <c r="D36" s="464"/>
      <c r="E36" s="459"/>
      <c r="F36" s="465"/>
      <c r="G36" s="466"/>
      <c r="H36" s="460"/>
      <c r="I36" s="466"/>
      <c r="J36" s="460"/>
      <c r="K36" s="570"/>
      <c r="L36" s="460"/>
      <c r="M36" s="570"/>
      <c r="N36" s="460"/>
      <c r="O36" s="570"/>
      <c r="P36" s="460"/>
      <c r="Q36" s="570"/>
      <c r="R36" s="460"/>
      <c r="S36" s="853"/>
      <c r="T36" s="460"/>
    </row>
    <row r="37" spans="1:20">
      <c r="A37" s="461"/>
      <c r="B37" s="462"/>
      <c r="C37" s="463"/>
      <c r="D37" s="464"/>
      <c r="E37" s="459"/>
      <c r="F37" s="465"/>
      <c r="G37" s="466"/>
      <c r="H37" s="460"/>
      <c r="I37" s="466"/>
      <c r="J37" s="460"/>
      <c r="K37" s="570"/>
      <c r="L37" s="460"/>
      <c r="M37" s="570"/>
      <c r="N37" s="460"/>
      <c r="O37" s="570"/>
      <c r="P37" s="460"/>
      <c r="Q37" s="570"/>
      <c r="R37" s="460"/>
      <c r="S37" s="853"/>
      <c r="T37" s="460"/>
    </row>
    <row r="38" spans="1:20">
      <c r="A38" s="461"/>
      <c r="B38" s="462"/>
      <c r="C38" s="463"/>
      <c r="D38" s="464"/>
      <c r="E38" s="459"/>
      <c r="F38" s="465"/>
      <c r="G38" s="466"/>
      <c r="H38" s="460"/>
      <c r="I38" s="466"/>
      <c r="J38" s="460"/>
      <c r="K38" s="570"/>
      <c r="L38" s="460"/>
      <c r="M38" s="570"/>
      <c r="N38" s="460"/>
      <c r="O38" s="570"/>
      <c r="P38" s="460"/>
      <c r="Q38" s="570"/>
      <c r="R38" s="460"/>
      <c r="S38" s="853"/>
      <c r="T38" s="460"/>
    </row>
    <row r="39" spans="1:20">
      <c r="A39" s="461"/>
      <c r="B39" s="462"/>
      <c r="C39" s="463"/>
      <c r="D39" s="464"/>
      <c r="E39" s="459"/>
      <c r="F39" s="465"/>
      <c r="G39" s="466"/>
      <c r="H39" s="460"/>
      <c r="I39" s="466"/>
      <c r="J39" s="460"/>
      <c r="K39" s="570"/>
      <c r="L39" s="460"/>
      <c r="M39" s="570"/>
      <c r="N39" s="460"/>
      <c r="O39" s="570"/>
      <c r="P39" s="460"/>
      <c r="Q39" s="570"/>
      <c r="R39" s="460"/>
      <c r="S39" s="853"/>
      <c r="T39" s="460"/>
    </row>
    <row r="40" spans="1:20">
      <c r="A40" s="461"/>
      <c r="B40" s="462"/>
      <c r="C40" s="463"/>
      <c r="D40" s="464"/>
      <c r="E40" s="459"/>
      <c r="F40" s="465"/>
      <c r="G40" s="466"/>
      <c r="H40" s="460"/>
      <c r="I40" s="466"/>
      <c r="J40" s="460"/>
      <c r="K40" s="570"/>
      <c r="L40" s="460"/>
      <c r="M40" s="570"/>
      <c r="N40" s="460"/>
      <c r="O40" s="570"/>
      <c r="P40" s="460"/>
      <c r="Q40" s="570"/>
      <c r="R40" s="460"/>
      <c r="S40" s="853"/>
      <c r="T40" s="460"/>
    </row>
    <row r="41" spans="1:20">
      <c r="A41" s="461"/>
      <c r="B41" s="462"/>
      <c r="C41" s="463"/>
      <c r="D41" s="464"/>
      <c r="E41" s="459"/>
      <c r="F41" s="465"/>
      <c r="G41" s="466"/>
      <c r="H41" s="460"/>
      <c r="I41" s="466"/>
      <c r="J41" s="460"/>
      <c r="K41" s="570"/>
      <c r="L41" s="460"/>
      <c r="M41" s="570"/>
      <c r="N41" s="460"/>
      <c r="O41" s="570"/>
      <c r="P41" s="460"/>
      <c r="Q41" s="570"/>
      <c r="R41" s="460"/>
      <c r="S41" s="853"/>
      <c r="T41" s="460"/>
    </row>
    <row r="42" spans="1:20">
      <c r="A42" s="461"/>
      <c r="B42" s="462"/>
      <c r="C42" s="463"/>
      <c r="D42" s="464"/>
      <c r="E42" s="459"/>
      <c r="F42" s="465"/>
      <c r="G42" s="466"/>
      <c r="H42" s="460"/>
      <c r="I42" s="466"/>
      <c r="J42" s="460"/>
      <c r="K42" s="570"/>
      <c r="L42" s="460"/>
      <c r="M42" s="570"/>
      <c r="N42" s="460"/>
      <c r="O42" s="570"/>
      <c r="P42" s="460"/>
      <c r="Q42" s="570"/>
      <c r="R42" s="460"/>
      <c r="S42" s="853"/>
      <c r="T42" s="460"/>
    </row>
    <row r="43" spans="1:20">
      <c r="A43" s="461"/>
      <c r="B43" s="462"/>
      <c r="C43" s="463"/>
      <c r="D43" s="464"/>
      <c r="E43" s="459"/>
      <c r="F43" s="465"/>
      <c r="G43" s="466"/>
      <c r="H43" s="460"/>
      <c r="I43" s="466"/>
      <c r="J43" s="460"/>
      <c r="K43" s="570"/>
      <c r="L43" s="460"/>
      <c r="M43" s="570"/>
      <c r="N43" s="460"/>
      <c r="O43" s="570"/>
      <c r="P43" s="460"/>
      <c r="Q43" s="570"/>
      <c r="R43" s="460"/>
      <c r="S43" s="853"/>
      <c r="T43" s="460"/>
    </row>
    <row r="44" spans="1:20">
      <c r="A44" s="461"/>
      <c r="B44" s="462"/>
      <c r="C44" s="463"/>
      <c r="D44" s="464"/>
      <c r="E44" s="459"/>
      <c r="F44" s="465"/>
      <c r="G44" s="466"/>
      <c r="H44" s="460"/>
      <c r="I44" s="466"/>
      <c r="J44" s="460"/>
      <c r="K44" s="570"/>
      <c r="L44" s="460"/>
      <c r="M44" s="570"/>
      <c r="N44" s="460"/>
      <c r="O44" s="570"/>
      <c r="P44" s="460"/>
      <c r="Q44" s="570"/>
      <c r="R44" s="460"/>
      <c r="S44" s="853"/>
      <c r="T44" s="460"/>
    </row>
    <row r="45" spans="1:20">
      <c r="A45" s="461"/>
      <c r="B45" s="462"/>
      <c r="C45" s="463"/>
      <c r="D45" s="464"/>
      <c r="E45" s="459"/>
      <c r="F45" s="465"/>
      <c r="G45" s="466"/>
      <c r="H45" s="460"/>
      <c r="I45" s="466"/>
      <c r="J45" s="460"/>
      <c r="K45" s="570"/>
      <c r="L45" s="460"/>
      <c r="M45" s="570"/>
      <c r="N45" s="460"/>
      <c r="O45" s="570"/>
      <c r="P45" s="460"/>
      <c r="Q45" s="570"/>
      <c r="R45" s="460"/>
      <c r="S45" s="853"/>
      <c r="T45" s="460"/>
    </row>
    <row r="46" spans="1:20">
      <c r="A46" s="461"/>
      <c r="B46" s="462"/>
      <c r="C46" s="463"/>
      <c r="D46" s="464"/>
      <c r="E46" s="459"/>
      <c r="F46" s="465"/>
      <c r="G46" s="466"/>
      <c r="H46" s="460"/>
      <c r="I46" s="466"/>
      <c r="J46" s="460"/>
      <c r="K46" s="570"/>
      <c r="L46" s="460"/>
      <c r="M46" s="570"/>
      <c r="N46" s="460"/>
      <c r="O46" s="570"/>
      <c r="P46" s="460"/>
      <c r="Q46" s="570"/>
      <c r="R46" s="460"/>
      <c r="S46" s="853"/>
      <c r="T46" s="460"/>
    </row>
    <row r="47" spans="1:20">
      <c r="A47" s="461"/>
      <c r="B47" s="462"/>
      <c r="C47" s="463"/>
      <c r="D47" s="464"/>
      <c r="E47" s="459"/>
      <c r="F47" s="465"/>
      <c r="G47" s="466"/>
      <c r="H47" s="460"/>
      <c r="I47" s="466"/>
      <c r="J47" s="460"/>
      <c r="K47" s="570"/>
      <c r="L47" s="460"/>
      <c r="M47" s="570"/>
      <c r="N47" s="460"/>
      <c r="O47" s="570"/>
      <c r="P47" s="460"/>
      <c r="Q47" s="570"/>
      <c r="R47" s="460"/>
      <c r="S47" s="853"/>
      <c r="T47" s="460"/>
    </row>
    <row r="48" spans="1:20">
      <c r="A48" s="461"/>
      <c r="B48" s="462"/>
      <c r="C48" s="463"/>
      <c r="D48" s="464"/>
      <c r="E48" s="459"/>
      <c r="F48" s="465"/>
      <c r="G48" s="466"/>
      <c r="H48" s="460"/>
      <c r="I48" s="466"/>
      <c r="J48" s="460"/>
      <c r="K48" s="570"/>
      <c r="L48" s="460"/>
      <c r="M48" s="570"/>
      <c r="N48" s="460"/>
      <c r="O48" s="570"/>
      <c r="P48" s="460"/>
      <c r="Q48" s="570"/>
      <c r="R48" s="460"/>
      <c r="S48" s="853"/>
      <c r="T48" s="460"/>
    </row>
    <row r="49" spans="1:20">
      <c r="A49" s="461"/>
      <c r="B49" s="462"/>
      <c r="C49" s="463"/>
      <c r="D49" s="464"/>
      <c r="E49" s="459"/>
      <c r="F49" s="465"/>
      <c r="G49" s="466"/>
      <c r="H49" s="460"/>
      <c r="I49" s="466"/>
      <c r="J49" s="460"/>
      <c r="K49" s="570"/>
      <c r="L49" s="460"/>
      <c r="M49" s="570"/>
      <c r="N49" s="460"/>
      <c r="O49" s="570"/>
      <c r="P49" s="460"/>
      <c r="Q49" s="570"/>
      <c r="R49" s="460"/>
      <c r="S49" s="853"/>
      <c r="T49" s="460"/>
    </row>
    <row r="50" spans="1:20">
      <c r="A50" s="461"/>
      <c r="B50" s="462"/>
      <c r="C50" s="463"/>
      <c r="D50" s="464"/>
      <c r="E50" s="459"/>
      <c r="F50" s="465"/>
      <c r="G50" s="466"/>
      <c r="H50" s="460"/>
      <c r="I50" s="466"/>
      <c r="J50" s="460"/>
      <c r="K50" s="570"/>
      <c r="L50" s="460"/>
      <c r="M50" s="570"/>
      <c r="N50" s="460"/>
      <c r="O50" s="570"/>
      <c r="P50" s="460"/>
      <c r="Q50" s="570"/>
      <c r="R50" s="460"/>
      <c r="S50" s="853"/>
      <c r="T50" s="460"/>
    </row>
    <row r="51" spans="1:20">
      <c r="A51" s="461"/>
      <c r="B51" s="462"/>
      <c r="C51" s="463"/>
      <c r="D51" s="464"/>
      <c r="E51" s="459"/>
      <c r="F51" s="465"/>
      <c r="G51" s="466"/>
      <c r="H51" s="460"/>
      <c r="I51" s="466"/>
      <c r="J51" s="460"/>
      <c r="K51" s="570"/>
      <c r="L51" s="460"/>
      <c r="M51" s="570"/>
      <c r="N51" s="460"/>
      <c r="O51" s="570"/>
      <c r="P51" s="460"/>
      <c r="Q51" s="570"/>
      <c r="R51" s="460"/>
      <c r="S51" s="853"/>
      <c r="T51" s="460"/>
    </row>
    <row r="52" spans="1:20">
      <c r="A52" s="461"/>
      <c r="B52" s="462"/>
      <c r="C52" s="463"/>
      <c r="D52" s="464"/>
      <c r="E52" s="459"/>
      <c r="F52" s="465"/>
      <c r="G52" s="466"/>
      <c r="H52" s="460"/>
      <c r="I52" s="466"/>
      <c r="J52" s="460"/>
      <c r="K52" s="570"/>
      <c r="L52" s="460"/>
      <c r="M52" s="570"/>
      <c r="N52" s="460"/>
      <c r="O52" s="570"/>
      <c r="P52" s="460"/>
      <c r="Q52" s="570"/>
      <c r="R52" s="460"/>
      <c r="S52" s="853"/>
      <c r="T52" s="460"/>
    </row>
    <row r="53" spans="1:20">
      <c r="A53" s="461"/>
      <c r="B53" s="462"/>
      <c r="C53" s="463"/>
      <c r="D53" s="464"/>
      <c r="E53" s="459"/>
      <c r="F53" s="465"/>
      <c r="G53" s="466"/>
      <c r="H53" s="460"/>
      <c r="I53" s="466"/>
      <c r="J53" s="460"/>
      <c r="K53" s="570"/>
      <c r="L53" s="460"/>
      <c r="M53" s="570"/>
      <c r="N53" s="460"/>
      <c r="O53" s="570"/>
      <c r="P53" s="460"/>
      <c r="Q53" s="570"/>
      <c r="R53" s="460"/>
      <c r="S53" s="853"/>
      <c r="T53" s="460"/>
    </row>
    <row r="54" spans="1:20">
      <c r="A54" s="461"/>
      <c r="B54" s="462"/>
      <c r="C54" s="463"/>
      <c r="D54" s="464"/>
      <c r="E54" s="459"/>
      <c r="F54" s="465"/>
      <c r="G54" s="466"/>
      <c r="H54" s="460"/>
      <c r="I54" s="466"/>
      <c r="J54" s="460"/>
      <c r="K54" s="570"/>
      <c r="L54" s="460"/>
      <c r="M54" s="570"/>
      <c r="N54" s="460"/>
      <c r="O54" s="570"/>
      <c r="P54" s="460"/>
      <c r="Q54" s="570"/>
      <c r="R54" s="460"/>
      <c r="S54" s="853"/>
      <c r="T54" s="460"/>
    </row>
    <row r="55" spans="1:20">
      <c r="A55" s="461"/>
      <c r="B55" s="462"/>
      <c r="C55" s="463"/>
      <c r="D55" s="464"/>
      <c r="E55" s="459"/>
      <c r="F55" s="465"/>
      <c r="G55" s="466"/>
      <c r="H55" s="460"/>
      <c r="I55" s="466"/>
      <c r="J55" s="460"/>
      <c r="K55" s="570"/>
      <c r="L55" s="460"/>
      <c r="M55" s="570"/>
      <c r="N55" s="460"/>
      <c r="O55" s="570"/>
      <c r="P55" s="460"/>
      <c r="Q55" s="570"/>
      <c r="R55" s="460"/>
      <c r="S55" s="853"/>
      <c r="T55" s="460"/>
    </row>
    <row r="56" spans="1:20">
      <c r="A56" s="461"/>
      <c r="B56" s="462"/>
      <c r="C56" s="463"/>
      <c r="D56" s="464"/>
      <c r="E56" s="459"/>
      <c r="F56" s="465"/>
      <c r="G56" s="466"/>
      <c r="H56" s="460"/>
      <c r="I56" s="466"/>
      <c r="J56" s="460"/>
      <c r="K56" s="570"/>
      <c r="L56" s="460"/>
      <c r="M56" s="570"/>
      <c r="N56" s="460"/>
      <c r="O56" s="570"/>
      <c r="P56" s="460"/>
      <c r="Q56" s="570"/>
      <c r="R56" s="460"/>
      <c r="S56" s="853"/>
      <c r="T56" s="460"/>
    </row>
    <row r="57" spans="1:20">
      <c r="A57" s="461"/>
      <c r="B57" s="462"/>
      <c r="C57" s="463"/>
      <c r="D57" s="464"/>
      <c r="E57" s="459"/>
      <c r="F57" s="465"/>
      <c r="G57" s="466"/>
      <c r="H57" s="460"/>
      <c r="I57" s="466"/>
      <c r="J57" s="460"/>
      <c r="K57" s="570"/>
      <c r="L57" s="460"/>
      <c r="M57" s="570"/>
      <c r="N57" s="460"/>
      <c r="O57" s="570"/>
      <c r="P57" s="460"/>
      <c r="Q57" s="570"/>
      <c r="R57" s="460"/>
      <c r="S57" s="853"/>
      <c r="T57" s="460"/>
    </row>
    <row r="58" spans="1:20">
      <c r="A58" s="461"/>
      <c r="B58" s="462"/>
      <c r="C58" s="463"/>
      <c r="D58" s="464"/>
      <c r="E58" s="459"/>
      <c r="F58" s="465"/>
      <c r="G58" s="466"/>
      <c r="H58" s="460"/>
      <c r="I58" s="466"/>
      <c r="J58" s="460"/>
      <c r="K58" s="570"/>
      <c r="L58" s="460"/>
      <c r="M58" s="570"/>
      <c r="N58" s="460"/>
      <c r="O58" s="570"/>
      <c r="P58" s="460"/>
      <c r="Q58" s="570"/>
      <c r="R58" s="460"/>
      <c r="S58" s="853"/>
      <c r="T58" s="460"/>
    </row>
    <row r="59" spans="1:20">
      <c r="A59" s="461"/>
      <c r="B59" s="462"/>
      <c r="C59" s="463"/>
      <c r="D59" s="464"/>
      <c r="E59" s="459"/>
      <c r="F59" s="465"/>
      <c r="G59" s="466"/>
      <c r="H59" s="460"/>
      <c r="I59" s="466"/>
      <c r="J59" s="460"/>
      <c r="K59" s="570"/>
      <c r="L59" s="460"/>
      <c r="M59" s="570"/>
      <c r="N59" s="460"/>
      <c r="O59" s="570"/>
      <c r="P59" s="460"/>
      <c r="Q59" s="570"/>
      <c r="R59" s="460"/>
      <c r="S59" s="853"/>
      <c r="T59" s="460"/>
    </row>
    <row r="60" spans="1:20">
      <c r="A60" s="461"/>
      <c r="B60" s="462"/>
      <c r="C60" s="463"/>
      <c r="D60" s="464"/>
      <c r="E60" s="459"/>
      <c r="F60" s="465"/>
      <c r="G60" s="466"/>
      <c r="H60" s="460"/>
      <c r="I60" s="466"/>
      <c r="J60" s="460"/>
      <c r="K60" s="570"/>
      <c r="L60" s="460"/>
      <c r="M60" s="570"/>
      <c r="N60" s="460"/>
      <c r="O60" s="570"/>
      <c r="P60" s="460"/>
      <c r="Q60" s="570"/>
      <c r="R60" s="460"/>
      <c r="S60" s="853"/>
      <c r="T60" s="460"/>
    </row>
    <row r="61" spans="1:20">
      <c r="A61" s="461"/>
      <c r="B61" s="462"/>
      <c r="C61" s="463"/>
      <c r="D61" s="464"/>
      <c r="E61" s="459"/>
      <c r="F61" s="465"/>
      <c r="G61" s="466"/>
      <c r="H61" s="460"/>
      <c r="I61" s="466"/>
      <c r="J61" s="460"/>
      <c r="K61" s="570"/>
      <c r="L61" s="460"/>
      <c r="M61" s="570"/>
      <c r="N61" s="460"/>
      <c r="O61" s="570"/>
      <c r="P61" s="460"/>
      <c r="Q61" s="570"/>
      <c r="R61" s="460"/>
      <c r="S61" s="853"/>
      <c r="T61" s="460"/>
    </row>
    <row r="62" spans="1:20">
      <c r="A62" s="461"/>
      <c r="B62" s="462"/>
      <c r="C62" s="463"/>
      <c r="D62" s="464"/>
      <c r="E62" s="459"/>
      <c r="F62" s="465"/>
      <c r="G62" s="466"/>
      <c r="H62" s="460"/>
      <c r="I62" s="466"/>
      <c r="J62" s="460"/>
      <c r="K62" s="570"/>
      <c r="L62" s="460"/>
      <c r="M62" s="570"/>
      <c r="N62" s="460"/>
      <c r="O62" s="570"/>
      <c r="P62" s="460"/>
      <c r="Q62" s="570"/>
      <c r="R62" s="460"/>
      <c r="S62" s="853"/>
      <c r="T62" s="460"/>
    </row>
    <row r="63" spans="1:20">
      <c r="A63" s="461"/>
      <c r="B63" s="462"/>
      <c r="C63" s="463"/>
      <c r="D63" s="464"/>
      <c r="E63" s="459"/>
      <c r="F63" s="465"/>
      <c r="G63" s="466"/>
      <c r="H63" s="460"/>
      <c r="I63" s="466"/>
      <c r="J63" s="460"/>
      <c r="K63" s="570"/>
      <c r="L63" s="460"/>
      <c r="M63" s="570"/>
      <c r="N63" s="460"/>
      <c r="O63" s="570"/>
      <c r="P63" s="460"/>
      <c r="Q63" s="570"/>
      <c r="R63" s="460"/>
      <c r="S63" s="853"/>
      <c r="T63" s="460"/>
    </row>
    <row r="64" spans="1:20">
      <c r="A64" s="461"/>
      <c r="B64" s="462"/>
      <c r="C64" s="463"/>
      <c r="D64" s="464"/>
      <c r="E64" s="459"/>
      <c r="F64" s="465"/>
      <c r="G64" s="466"/>
      <c r="H64" s="460"/>
      <c r="I64" s="466"/>
      <c r="J64" s="460"/>
      <c r="K64" s="570"/>
      <c r="L64" s="460"/>
      <c r="M64" s="570"/>
      <c r="N64" s="460"/>
      <c r="O64" s="570"/>
      <c r="P64" s="460"/>
      <c r="Q64" s="570"/>
      <c r="R64" s="460"/>
      <c r="S64" s="853"/>
      <c r="T64" s="460"/>
    </row>
    <row r="65" spans="1:20">
      <c r="A65" s="461"/>
      <c r="B65" s="462"/>
      <c r="C65" s="463"/>
      <c r="D65" s="464"/>
      <c r="E65" s="459"/>
      <c r="F65" s="465"/>
      <c r="G65" s="466"/>
      <c r="H65" s="460"/>
      <c r="I65" s="466"/>
      <c r="J65" s="460"/>
      <c r="K65" s="570"/>
      <c r="L65" s="460"/>
      <c r="M65" s="570"/>
      <c r="N65" s="460"/>
      <c r="O65" s="570"/>
      <c r="P65" s="460"/>
      <c r="Q65" s="570"/>
      <c r="R65" s="460"/>
      <c r="S65" s="853"/>
      <c r="T65" s="460"/>
    </row>
    <row r="66" spans="1:20">
      <c r="A66" s="461"/>
      <c r="B66" s="462"/>
      <c r="C66" s="463"/>
      <c r="D66" s="464"/>
      <c r="E66" s="459"/>
      <c r="F66" s="465"/>
      <c r="G66" s="466"/>
      <c r="H66" s="460"/>
      <c r="I66" s="466"/>
      <c r="J66" s="460"/>
      <c r="K66" s="570"/>
      <c r="L66" s="460"/>
      <c r="M66" s="570"/>
      <c r="N66" s="460"/>
      <c r="O66" s="570"/>
      <c r="P66" s="460"/>
      <c r="Q66" s="570"/>
      <c r="R66" s="460"/>
      <c r="S66" s="853"/>
      <c r="T66" s="460"/>
    </row>
    <row r="67" spans="1:20">
      <c r="A67" s="461"/>
      <c r="B67" s="462"/>
      <c r="C67" s="463"/>
      <c r="D67" s="464"/>
      <c r="E67" s="459"/>
      <c r="F67" s="465"/>
      <c r="G67" s="466"/>
      <c r="H67" s="460"/>
      <c r="I67" s="466"/>
      <c r="J67" s="460"/>
      <c r="K67" s="570"/>
      <c r="L67" s="460"/>
      <c r="M67" s="570"/>
      <c r="N67" s="460"/>
      <c r="O67" s="570"/>
      <c r="P67" s="460"/>
      <c r="Q67" s="570"/>
      <c r="R67" s="460"/>
      <c r="S67" s="853"/>
      <c r="T67" s="460"/>
    </row>
    <row r="68" spans="1:20">
      <c r="A68" s="461"/>
      <c r="B68" s="462"/>
      <c r="C68" s="463"/>
      <c r="D68" s="464"/>
      <c r="E68" s="459"/>
      <c r="F68" s="465"/>
      <c r="G68" s="466"/>
      <c r="H68" s="460"/>
      <c r="I68" s="466"/>
      <c r="J68" s="460"/>
      <c r="K68" s="570"/>
      <c r="L68" s="460"/>
      <c r="M68" s="570"/>
      <c r="N68" s="460"/>
      <c r="O68" s="570"/>
      <c r="P68" s="460"/>
      <c r="Q68" s="570"/>
      <c r="R68" s="460"/>
      <c r="S68" s="853"/>
      <c r="T68" s="460"/>
    </row>
    <row r="69" spans="1:20">
      <c r="A69" s="461"/>
      <c r="B69" s="462"/>
      <c r="C69" s="463"/>
      <c r="D69" s="464"/>
      <c r="E69" s="459"/>
      <c r="F69" s="465"/>
      <c r="G69" s="466"/>
      <c r="H69" s="460"/>
      <c r="I69" s="466"/>
      <c r="J69" s="460"/>
      <c r="K69" s="570"/>
      <c r="L69" s="460"/>
      <c r="M69" s="570"/>
      <c r="N69" s="460"/>
      <c r="O69" s="570"/>
      <c r="P69" s="460"/>
      <c r="Q69" s="570"/>
      <c r="R69" s="460"/>
      <c r="S69" s="853"/>
      <c r="T69" s="460"/>
    </row>
    <row r="70" spans="1:20">
      <c r="A70" s="461"/>
      <c r="B70" s="462"/>
      <c r="C70" s="463"/>
      <c r="D70" s="464"/>
      <c r="E70" s="459"/>
      <c r="F70" s="465"/>
      <c r="G70" s="466"/>
      <c r="H70" s="460"/>
      <c r="I70" s="466"/>
      <c r="J70" s="460"/>
      <c r="K70" s="570"/>
      <c r="L70" s="460"/>
      <c r="M70" s="570"/>
      <c r="N70" s="460"/>
      <c r="O70" s="570"/>
      <c r="P70" s="460"/>
      <c r="Q70" s="570"/>
      <c r="R70" s="460"/>
      <c r="S70" s="853"/>
      <c r="T70" s="460"/>
    </row>
    <row r="71" spans="1:20">
      <c r="A71" s="461"/>
      <c r="B71" s="462"/>
      <c r="C71" s="463"/>
      <c r="D71" s="464"/>
      <c r="E71" s="459"/>
      <c r="F71" s="465"/>
      <c r="G71" s="466"/>
      <c r="H71" s="460"/>
      <c r="I71" s="466"/>
      <c r="J71" s="460"/>
      <c r="K71" s="570"/>
      <c r="L71" s="460"/>
      <c r="M71" s="570"/>
      <c r="N71" s="460"/>
      <c r="O71" s="570"/>
      <c r="P71" s="460"/>
      <c r="Q71" s="570"/>
      <c r="R71" s="460"/>
      <c r="S71" s="853"/>
      <c r="T71" s="460"/>
    </row>
    <row r="72" spans="1:20">
      <c r="A72" s="461"/>
      <c r="B72" s="462"/>
      <c r="C72" s="463"/>
      <c r="D72" s="464"/>
      <c r="E72" s="459"/>
      <c r="F72" s="465"/>
      <c r="G72" s="466"/>
      <c r="H72" s="460"/>
      <c r="I72" s="466"/>
      <c r="J72" s="460"/>
      <c r="K72" s="570"/>
      <c r="L72" s="460"/>
      <c r="M72" s="570"/>
      <c r="N72" s="460"/>
      <c r="O72" s="570"/>
      <c r="P72" s="460"/>
      <c r="Q72" s="570"/>
      <c r="R72" s="460"/>
      <c r="S72" s="853"/>
      <c r="T72" s="460"/>
    </row>
    <row r="73" spans="1:20">
      <c r="A73" s="461"/>
      <c r="B73" s="462"/>
      <c r="C73" s="463"/>
      <c r="D73" s="464"/>
      <c r="E73" s="459"/>
      <c r="F73" s="465"/>
      <c r="G73" s="466"/>
      <c r="H73" s="460"/>
      <c r="I73" s="466"/>
      <c r="J73" s="460"/>
      <c r="K73" s="570"/>
      <c r="L73" s="460"/>
      <c r="M73" s="570"/>
      <c r="N73" s="460"/>
      <c r="O73" s="570"/>
      <c r="P73" s="460"/>
      <c r="Q73" s="570"/>
      <c r="R73" s="460"/>
      <c r="S73" s="853"/>
      <c r="T73" s="460"/>
    </row>
    <row r="74" spans="1:20">
      <c r="A74" s="461"/>
      <c r="B74" s="462"/>
      <c r="C74" s="463"/>
      <c r="D74" s="464"/>
      <c r="E74" s="459"/>
      <c r="F74" s="465"/>
      <c r="G74" s="466"/>
      <c r="H74" s="460"/>
      <c r="I74" s="466"/>
      <c r="J74" s="460"/>
      <c r="K74" s="570"/>
      <c r="L74" s="460"/>
      <c r="M74" s="570"/>
      <c r="N74" s="460"/>
      <c r="O74" s="570"/>
      <c r="P74" s="460"/>
      <c r="Q74" s="570"/>
      <c r="R74" s="460"/>
      <c r="S74" s="853"/>
      <c r="T74" s="460"/>
    </row>
    <row r="75" spans="1:20">
      <c r="A75" s="461"/>
      <c r="B75" s="462"/>
      <c r="C75" s="463"/>
      <c r="D75" s="464"/>
      <c r="E75" s="459"/>
      <c r="F75" s="465"/>
      <c r="G75" s="466"/>
      <c r="H75" s="460"/>
      <c r="I75" s="466"/>
      <c r="J75" s="460"/>
      <c r="K75" s="570"/>
      <c r="L75" s="460"/>
      <c r="M75" s="570"/>
      <c r="N75" s="460"/>
      <c r="O75" s="570"/>
      <c r="P75" s="460"/>
      <c r="Q75" s="570"/>
      <c r="R75" s="460"/>
      <c r="S75" s="853"/>
      <c r="T75" s="460"/>
    </row>
    <row r="76" spans="1:20">
      <c r="A76" s="461"/>
      <c r="B76" s="462"/>
      <c r="C76" s="463"/>
      <c r="D76" s="464"/>
      <c r="E76" s="459"/>
      <c r="F76" s="465"/>
      <c r="G76" s="466"/>
      <c r="H76" s="460"/>
      <c r="I76" s="466"/>
      <c r="J76" s="460"/>
      <c r="K76" s="570"/>
      <c r="L76" s="460"/>
      <c r="M76" s="570"/>
      <c r="N76" s="460"/>
      <c r="O76" s="570"/>
      <c r="P76" s="460"/>
      <c r="Q76" s="570"/>
      <c r="R76" s="460"/>
      <c r="S76" s="853"/>
      <c r="T76" s="460"/>
    </row>
    <row r="77" spans="1:20">
      <c r="A77" s="461"/>
      <c r="B77" s="462"/>
      <c r="C77" s="463"/>
      <c r="D77" s="464"/>
      <c r="E77" s="459"/>
      <c r="F77" s="465"/>
      <c r="G77" s="466"/>
      <c r="H77" s="460"/>
      <c r="I77" s="466"/>
      <c r="J77" s="460"/>
      <c r="K77" s="570"/>
      <c r="L77" s="460"/>
      <c r="M77" s="570"/>
      <c r="N77" s="460"/>
      <c r="O77" s="570"/>
      <c r="P77" s="460"/>
      <c r="Q77" s="570"/>
      <c r="R77" s="460"/>
      <c r="S77" s="853"/>
      <c r="T77" s="460"/>
    </row>
    <row r="78" spans="1:20">
      <c r="A78" s="461"/>
      <c r="B78" s="462"/>
      <c r="C78" s="463"/>
      <c r="D78" s="464"/>
      <c r="E78" s="459"/>
      <c r="F78" s="465"/>
      <c r="G78" s="466"/>
      <c r="H78" s="460"/>
      <c r="I78" s="466"/>
      <c r="J78" s="460"/>
      <c r="K78" s="570"/>
      <c r="L78" s="460"/>
      <c r="M78" s="570"/>
      <c r="N78" s="460"/>
      <c r="O78" s="570"/>
      <c r="P78" s="460"/>
      <c r="Q78" s="570"/>
      <c r="R78" s="460"/>
      <c r="S78" s="853"/>
      <c r="T78" s="460"/>
    </row>
    <row r="79" spans="1:20">
      <c r="A79" s="461"/>
      <c r="B79" s="462"/>
      <c r="C79" s="463"/>
      <c r="D79" s="464"/>
      <c r="E79" s="459"/>
      <c r="F79" s="465"/>
      <c r="G79" s="466"/>
      <c r="H79" s="460"/>
      <c r="I79" s="466"/>
      <c r="J79" s="460"/>
      <c r="K79" s="570"/>
      <c r="L79" s="460"/>
      <c r="M79" s="570"/>
      <c r="N79" s="460"/>
      <c r="O79" s="570"/>
      <c r="P79" s="460"/>
      <c r="Q79" s="570"/>
      <c r="R79" s="460"/>
      <c r="S79" s="853"/>
      <c r="T79" s="460"/>
    </row>
    <row r="80" spans="1:20">
      <c r="A80" s="461"/>
      <c r="B80" s="462"/>
      <c r="C80" s="463"/>
      <c r="D80" s="464"/>
      <c r="E80" s="459"/>
      <c r="F80" s="465"/>
      <c r="G80" s="466"/>
      <c r="H80" s="460"/>
      <c r="I80" s="466"/>
      <c r="J80" s="460"/>
      <c r="K80" s="570"/>
      <c r="L80" s="460"/>
      <c r="M80" s="570"/>
      <c r="N80" s="460"/>
      <c r="O80" s="570"/>
      <c r="P80" s="460"/>
      <c r="Q80" s="570"/>
      <c r="R80" s="460"/>
      <c r="S80" s="853"/>
      <c r="T80" s="460"/>
    </row>
    <row r="81" spans="1:20">
      <c r="A81" s="461"/>
      <c r="B81" s="462"/>
      <c r="C81" s="463"/>
      <c r="D81" s="464"/>
      <c r="E81" s="459"/>
      <c r="F81" s="465"/>
      <c r="G81" s="466"/>
      <c r="H81" s="460"/>
      <c r="I81" s="466"/>
      <c r="J81" s="460"/>
      <c r="K81" s="570"/>
      <c r="L81" s="460"/>
      <c r="M81" s="570"/>
      <c r="N81" s="460"/>
      <c r="O81" s="570"/>
      <c r="P81" s="460"/>
      <c r="Q81" s="570"/>
      <c r="R81" s="460"/>
      <c r="S81" s="853"/>
      <c r="T81" s="460"/>
    </row>
    <row r="82" spans="1:20">
      <c r="A82" s="461"/>
      <c r="B82" s="462"/>
      <c r="C82" s="463"/>
      <c r="D82" s="464"/>
      <c r="E82" s="459"/>
      <c r="F82" s="465"/>
      <c r="G82" s="466"/>
      <c r="H82" s="460"/>
      <c r="I82" s="466"/>
      <c r="J82" s="460"/>
      <c r="K82" s="570"/>
      <c r="L82" s="460"/>
      <c r="M82" s="570"/>
      <c r="N82" s="460"/>
      <c r="O82" s="570"/>
      <c r="P82" s="460"/>
      <c r="Q82" s="570"/>
      <c r="R82" s="460"/>
      <c r="S82" s="853"/>
      <c r="T82" s="460"/>
    </row>
    <row r="83" spans="1:20">
      <c r="A83" s="461"/>
      <c r="B83" s="462"/>
      <c r="C83" s="463"/>
      <c r="D83" s="464"/>
      <c r="E83" s="459"/>
      <c r="F83" s="465"/>
      <c r="G83" s="466"/>
      <c r="H83" s="460"/>
      <c r="I83" s="466"/>
      <c r="J83" s="460"/>
      <c r="K83" s="570"/>
      <c r="L83" s="460"/>
      <c r="M83" s="570"/>
      <c r="N83" s="460"/>
      <c r="O83" s="570"/>
      <c r="P83" s="460"/>
      <c r="Q83" s="570"/>
      <c r="R83" s="460"/>
      <c r="S83" s="853"/>
      <c r="T83" s="460"/>
    </row>
    <row r="84" spans="1:20">
      <c r="A84" s="461"/>
      <c r="B84" s="462"/>
      <c r="C84" s="463"/>
      <c r="D84" s="464"/>
      <c r="E84" s="459"/>
      <c r="F84" s="465"/>
      <c r="G84" s="466"/>
      <c r="H84" s="460"/>
      <c r="I84" s="466"/>
      <c r="J84" s="460"/>
      <c r="K84" s="570"/>
      <c r="L84" s="460"/>
      <c r="M84" s="570"/>
      <c r="N84" s="460"/>
      <c r="O84" s="570"/>
      <c r="P84" s="460"/>
      <c r="Q84" s="570"/>
      <c r="R84" s="460"/>
      <c r="S84" s="853"/>
      <c r="T84" s="460"/>
    </row>
    <row r="85" spans="1:20">
      <c r="A85" s="461"/>
      <c r="B85" s="462"/>
      <c r="C85" s="463"/>
      <c r="D85" s="464"/>
      <c r="E85" s="459"/>
      <c r="F85" s="465"/>
      <c r="G85" s="466"/>
      <c r="H85" s="460"/>
      <c r="I85" s="466"/>
      <c r="J85" s="460"/>
      <c r="K85" s="570"/>
      <c r="L85" s="460"/>
      <c r="M85" s="570"/>
      <c r="N85" s="460"/>
      <c r="O85" s="570"/>
      <c r="P85" s="460"/>
      <c r="Q85" s="570"/>
      <c r="R85" s="460"/>
      <c r="S85" s="853"/>
      <c r="T85" s="460"/>
    </row>
    <row r="86" spans="1:20">
      <c r="A86" s="461"/>
      <c r="B86" s="462"/>
      <c r="C86" s="463"/>
      <c r="D86" s="464"/>
      <c r="E86" s="459"/>
      <c r="F86" s="465"/>
      <c r="G86" s="466"/>
      <c r="H86" s="460"/>
      <c r="I86" s="466"/>
      <c r="J86" s="460"/>
      <c r="K86" s="570"/>
      <c r="L86" s="460"/>
      <c r="M86" s="570"/>
      <c r="N86" s="460"/>
      <c r="O86" s="570"/>
      <c r="P86" s="460"/>
      <c r="Q86" s="570"/>
      <c r="R86" s="460"/>
      <c r="S86" s="853"/>
      <c r="T86" s="460"/>
    </row>
    <row r="87" spans="1:20">
      <c r="A87" s="461"/>
      <c r="B87" s="462"/>
      <c r="C87" s="463"/>
      <c r="D87" s="464"/>
      <c r="E87" s="459"/>
      <c r="F87" s="465"/>
      <c r="G87" s="466"/>
      <c r="H87" s="460"/>
      <c r="I87" s="466"/>
      <c r="J87" s="460"/>
      <c r="K87" s="570"/>
      <c r="L87" s="460"/>
      <c r="M87" s="570"/>
      <c r="N87" s="460"/>
      <c r="O87" s="570"/>
      <c r="P87" s="460"/>
      <c r="Q87" s="570"/>
      <c r="R87" s="460"/>
      <c r="S87" s="853"/>
      <c r="T87" s="460"/>
    </row>
    <row r="88" spans="1:20">
      <c r="A88" s="461"/>
      <c r="B88" s="462"/>
      <c r="C88" s="463"/>
      <c r="D88" s="464"/>
      <c r="E88" s="459"/>
      <c r="F88" s="465"/>
      <c r="G88" s="466"/>
      <c r="H88" s="460"/>
      <c r="I88" s="466"/>
      <c r="J88" s="460"/>
      <c r="K88" s="570"/>
      <c r="L88" s="460"/>
      <c r="M88" s="570"/>
      <c r="N88" s="460"/>
      <c r="O88" s="570"/>
      <c r="P88" s="460"/>
      <c r="Q88" s="570"/>
      <c r="R88" s="460"/>
      <c r="S88" s="853"/>
      <c r="T88" s="460"/>
    </row>
    <row r="89" spans="1:20">
      <c r="A89" s="461"/>
      <c r="B89" s="462"/>
      <c r="C89" s="463"/>
      <c r="D89" s="464"/>
      <c r="E89" s="459"/>
      <c r="F89" s="465"/>
      <c r="G89" s="466"/>
      <c r="H89" s="460"/>
      <c r="I89" s="466"/>
      <c r="J89" s="460"/>
      <c r="K89" s="570"/>
      <c r="L89" s="460"/>
      <c r="M89" s="570"/>
      <c r="N89" s="460"/>
      <c r="O89" s="570"/>
      <c r="P89" s="460"/>
      <c r="Q89" s="570"/>
      <c r="R89" s="460"/>
      <c r="S89" s="853"/>
      <c r="T89" s="460"/>
    </row>
    <row r="90" spans="1:20">
      <c r="A90" s="461"/>
      <c r="B90" s="462"/>
      <c r="C90" s="463"/>
      <c r="D90" s="464"/>
      <c r="E90" s="459"/>
      <c r="F90" s="465"/>
      <c r="G90" s="466"/>
      <c r="H90" s="460"/>
      <c r="I90" s="466"/>
      <c r="J90" s="460"/>
      <c r="K90" s="570"/>
      <c r="L90" s="460"/>
      <c r="M90" s="570"/>
      <c r="N90" s="460"/>
      <c r="O90" s="570"/>
      <c r="P90" s="460"/>
      <c r="Q90" s="570"/>
      <c r="R90" s="460"/>
      <c r="S90" s="853"/>
      <c r="T90" s="460"/>
    </row>
    <row r="91" spans="1:20">
      <c r="A91" s="461"/>
      <c r="B91" s="462"/>
      <c r="C91" s="463"/>
      <c r="D91" s="464"/>
      <c r="E91" s="459"/>
      <c r="F91" s="465"/>
      <c r="G91" s="466"/>
      <c r="H91" s="460"/>
      <c r="I91" s="466"/>
      <c r="J91" s="460"/>
      <c r="K91" s="570"/>
      <c r="L91" s="460"/>
      <c r="M91" s="570"/>
      <c r="N91" s="460"/>
      <c r="O91" s="570"/>
      <c r="P91" s="460"/>
      <c r="Q91" s="570"/>
      <c r="R91" s="460"/>
      <c r="S91" s="853"/>
      <c r="T91" s="460"/>
    </row>
    <row r="92" spans="1:20">
      <c r="A92" s="461"/>
      <c r="B92" s="462"/>
      <c r="C92" s="463"/>
      <c r="D92" s="464"/>
      <c r="E92" s="459"/>
      <c r="F92" s="465"/>
      <c r="G92" s="466"/>
      <c r="H92" s="460"/>
      <c r="I92" s="466"/>
      <c r="J92" s="460"/>
      <c r="K92" s="570"/>
      <c r="L92" s="460"/>
      <c r="M92" s="570"/>
      <c r="N92" s="460"/>
      <c r="O92" s="570"/>
      <c r="P92" s="460"/>
      <c r="Q92" s="570"/>
      <c r="R92" s="460"/>
      <c r="S92" s="853"/>
      <c r="T92" s="460"/>
    </row>
    <row r="93" spans="1:20">
      <c r="A93" s="461"/>
      <c r="B93" s="462"/>
      <c r="C93" s="463"/>
      <c r="D93" s="464"/>
      <c r="E93" s="459"/>
      <c r="F93" s="465"/>
      <c r="G93" s="466"/>
      <c r="H93" s="460"/>
      <c r="I93" s="466"/>
      <c r="J93" s="460"/>
      <c r="K93" s="570"/>
      <c r="L93" s="460"/>
      <c r="M93" s="570"/>
      <c r="N93" s="460"/>
      <c r="O93" s="570"/>
      <c r="P93" s="460"/>
      <c r="Q93" s="570"/>
      <c r="R93" s="460"/>
      <c r="S93" s="853"/>
      <c r="T93" s="460"/>
    </row>
    <row r="94" spans="1:20">
      <c r="A94" s="461"/>
      <c r="B94" s="462"/>
      <c r="C94" s="463"/>
      <c r="D94" s="464"/>
      <c r="E94" s="459"/>
      <c r="F94" s="465"/>
      <c r="G94" s="466"/>
      <c r="H94" s="460"/>
      <c r="I94" s="466"/>
      <c r="J94" s="460"/>
      <c r="K94" s="570"/>
      <c r="L94" s="460"/>
      <c r="M94" s="570"/>
      <c r="N94" s="460"/>
      <c r="O94" s="570"/>
      <c r="P94" s="460"/>
      <c r="Q94" s="570"/>
      <c r="R94" s="460"/>
      <c r="S94" s="853"/>
      <c r="T94" s="460"/>
    </row>
    <row r="95" spans="1:20">
      <c r="A95" s="461"/>
      <c r="B95" s="462"/>
      <c r="C95" s="463"/>
      <c r="D95" s="464"/>
      <c r="E95" s="459"/>
      <c r="F95" s="465"/>
      <c r="G95" s="466"/>
      <c r="H95" s="460"/>
      <c r="I95" s="466"/>
      <c r="J95" s="460"/>
      <c r="K95" s="570"/>
      <c r="L95" s="460"/>
      <c r="M95" s="570"/>
      <c r="N95" s="460"/>
      <c r="O95" s="570"/>
      <c r="P95" s="460"/>
      <c r="Q95" s="570"/>
      <c r="R95" s="460"/>
      <c r="S95" s="853"/>
      <c r="T95" s="460"/>
    </row>
    <row r="96" spans="1:20">
      <c r="A96" s="461"/>
      <c r="B96" s="462"/>
      <c r="C96" s="463"/>
      <c r="D96" s="464"/>
      <c r="E96" s="459"/>
      <c r="F96" s="465"/>
      <c r="G96" s="466"/>
      <c r="H96" s="460"/>
      <c r="I96" s="466"/>
      <c r="J96" s="460"/>
      <c r="K96" s="570"/>
      <c r="L96" s="460"/>
      <c r="M96" s="570"/>
      <c r="N96" s="460"/>
      <c r="O96" s="570"/>
      <c r="P96" s="460"/>
      <c r="Q96" s="570"/>
      <c r="R96" s="460"/>
      <c r="S96" s="853"/>
      <c r="T96" s="460"/>
    </row>
    <row r="97" spans="1:20">
      <c r="A97" s="461"/>
      <c r="B97" s="462"/>
      <c r="C97" s="463"/>
      <c r="D97" s="464"/>
      <c r="E97" s="459"/>
      <c r="F97" s="465"/>
      <c r="G97" s="466"/>
      <c r="H97" s="460"/>
      <c r="I97" s="466"/>
      <c r="J97" s="460"/>
      <c r="K97" s="570"/>
      <c r="L97" s="460"/>
      <c r="M97" s="570"/>
      <c r="N97" s="460"/>
      <c r="O97" s="570"/>
      <c r="P97" s="460"/>
      <c r="Q97" s="570"/>
      <c r="R97" s="460"/>
      <c r="S97" s="853"/>
      <c r="T97" s="460"/>
    </row>
    <row r="98" spans="1:20">
      <c r="A98" s="461"/>
      <c r="B98" s="462"/>
      <c r="C98" s="463"/>
      <c r="D98" s="464"/>
      <c r="E98" s="459"/>
      <c r="F98" s="465"/>
      <c r="G98" s="466"/>
      <c r="H98" s="460"/>
      <c r="I98" s="466"/>
      <c r="J98" s="460"/>
      <c r="K98" s="570"/>
      <c r="L98" s="460"/>
      <c r="M98" s="570"/>
      <c r="N98" s="460"/>
      <c r="O98" s="570"/>
      <c r="P98" s="460"/>
      <c r="Q98" s="570"/>
      <c r="R98" s="460"/>
      <c r="S98" s="853"/>
      <c r="T98" s="460"/>
    </row>
    <row r="99" spans="1:20">
      <c r="A99" s="461"/>
      <c r="B99" s="462"/>
      <c r="C99" s="463"/>
      <c r="D99" s="464"/>
      <c r="E99" s="459"/>
      <c r="F99" s="465"/>
      <c r="G99" s="466"/>
      <c r="H99" s="460"/>
      <c r="I99" s="466"/>
      <c r="J99" s="460"/>
      <c r="K99" s="570"/>
      <c r="L99" s="460"/>
      <c r="M99" s="570"/>
      <c r="N99" s="460"/>
      <c r="O99" s="570"/>
      <c r="P99" s="460"/>
      <c r="Q99" s="570"/>
      <c r="R99" s="460"/>
      <c r="S99" s="853"/>
      <c r="T99" s="460"/>
    </row>
    <row r="100" spans="1:20">
      <c r="A100" s="461"/>
      <c r="B100" s="462"/>
      <c r="C100" s="463"/>
      <c r="D100" s="464"/>
      <c r="E100" s="459"/>
      <c r="F100" s="465"/>
      <c r="G100" s="466"/>
      <c r="H100" s="460"/>
      <c r="I100" s="466"/>
      <c r="J100" s="460"/>
      <c r="K100" s="570"/>
      <c r="L100" s="460"/>
      <c r="M100" s="570"/>
      <c r="N100" s="460"/>
      <c r="O100" s="570"/>
      <c r="P100" s="460"/>
      <c r="Q100" s="570"/>
      <c r="R100" s="460"/>
      <c r="S100" s="853"/>
      <c r="T100" s="460"/>
    </row>
    <row r="101" spans="1:20">
      <c r="A101" s="461"/>
      <c r="B101" s="462"/>
      <c r="C101" s="463"/>
      <c r="D101" s="464"/>
      <c r="E101" s="459"/>
      <c r="F101" s="465"/>
      <c r="G101" s="466"/>
      <c r="H101" s="460"/>
      <c r="I101" s="466"/>
      <c r="J101" s="460"/>
      <c r="K101" s="570"/>
      <c r="L101" s="460"/>
      <c r="M101" s="570"/>
      <c r="N101" s="460"/>
      <c r="O101" s="570"/>
      <c r="P101" s="460"/>
      <c r="Q101" s="570"/>
      <c r="R101" s="460"/>
      <c r="S101" s="853"/>
      <c r="T101" s="460"/>
    </row>
    <row r="102" spans="1:20">
      <c r="A102" s="461"/>
      <c r="B102" s="462"/>
      <c r="C102" s="463"/>
      <c r="D102" s="464"/>
      <c r="E102" s="459"/>
      <c r="F102" s="465"/>
      <c r="G102" s="466"/>
      <c r="H102" s="460"/>
      <c r="I102" s="466"/>
      <c r="J102" s="460"/>
      <c r="K102" s="570"/>
      <c r="L102" s="460"/>
      <c r="M102" s="570"/>
      <c r="N102" s="460"/>
      <c r="O102" s="570"/>
      <c r="P102" s="460"/>
      <c r="Q102" s="570"/>
      <c r="R102" s="460"/>
      <c r="S102" s="853"/>
      <c r="T102" s="460"/>
    </row>
    <row r="103" spans="1:20">
      <c r="A103" s="461"/>
      <c r="B103" s="462"/>
      <c r="C103" s="463"/>
      <c r="D103" s="464"/>
      <c r="E103" s="459"/>
      <c r="F103" s="465"/>
      <c r="G103" s="466"/>
      <c r="H103" s="460"/>
      <c r="I103" s="466"/>
      <c r="J103" s="460"/>
      <c r="K103" s="570"/>
      <c r="L103" s="460"/>
      <c r="M103" s="570"/>
      <c r="N103" s="460"/>
      <c r="O103" s="570"/>
      <c r="P103" s="460"/>
      <c r="Q103" s="570"/>
      <c r="R103" s="460"/>
      <c r="S103" s="853"/>
      <c r="T103" s="460"/>
    </row>
    <row r="104" spans="1:20">
      <c r="A104" s="461"/>
      <c r="B104" s="462"/>
      <c r="C104" s="463"/>
      <c r="D104" s="464"/>
      <c r="E104" s="459"/>
      <c r="F104" s="465"/>
      <c r="G104" s="466"/>
      <c r="H104" s="460"/>
      <c r="I104" s="466"/>
      <c r="J104" s="460"/>
      <c r="K104" s="570"/>
      <c r="L104" s="460"/>
      <c r="M104" s="570"/>
      <c r="N104" s="460"/>
      <c r="O104" s="570"/>
      <c r="P104" s="460"/>
      <c r="Q104" s="570"/>
      <c r="R104" s="460"/>
      <c r="S104" s="853"/>
      <c r="T104" s="460"/>
    </row>
    <row r="105" spans="1:20">
      <c r="A105" s="461"/>
      <c r="B105" s="462"/>
      <c r="C105" s="463"/>
      <c r="D105" s="464"/>
      <c r="E105" s="459"/>
      <c r="F105" s="465"/>
      <c r="G105" s="466"/>
      <c r="H105" s="460"/>
      <c r="I105" s="466"/>
      <c r="J105" s="460"/>
      <c r="K105" s="570"/>
      <c r="L105" s="460"/>
      <c r="M105" s="570"/>
      <c r="N105" s="460"/>
      <c r="O105" s="570"/>
      <c r="P105" s="460"/>
      <c r="Q105" s="570"/>
      <c r="R105" s="460"/>
      <c r="S105" s="853"/>
      <c r="T105" s="460"/>
    </row>
    <row r="106" spans="1:20">
      <c r="A106" s="461"/>
      <c r="B106" s="462"/>
      <c r="C106" s="463"/>
      <c r="D106" s="464"/>
      <c r="E106" s="459"/>
      <c r="F106" s="465"/>
      <c r="G106" s="466"/>
      <c r="H106" s="460"/>
      <c r="I106" s="466"/>
      <c r="J106" s="460"/>
      <c r="K106" s="570"/>
      <c r="L106" s="460"/>
      <c r="M106" s="570"/>
      <c r="N106" s="460"/>
      <c r="O106" s="570"/>
      <c r="P106" s="460"/>
      <c r="Q106" s="570"/>
      <c r="R106" s="460"/>
      <c r="S106" s="853"/>
      <c r="T106" s="460"/>
    </row>
    <row r="107" spans="1:20">
      <c r="A107" s="461"/>
      <c r="B107" s="462"/>
      <c r="C107" s="463"/>
      <c r="D107" s="464"/>
      <c r="E107" s="459"/>
      <c r="F107" s="465"/>
      <c r="G107" s="466"/>
      <c r="H107" s="460"/>
      <c r="I107" s="466"/>
      <c r="J107" s="460"/>
      <c r="K107" s="570"/>
      <c r="L107" s="460"/>
      <c r="M107" s="570"/>
      <c r="N107" s="460"/>
      <c r="O107" s="570"/>
      <c r="P107" s="460"/>
      <c r="Q107" s="570"/>
      <c r="R107" s="460"/>
      <c r="S107" s="853"/>
      <c r="T107" s="460"/>
    </row>
    <row r="108" spans="1:20">
      <c r="A108" s="461"/>
      <c r="B108" s="462"/>
      <c r="C108" s="463"/>
      <c r="D108" s="464"/>
      <c r="E108" s="459"/>
      <c r="F108" s="465"/>
      <c r="G108" s="466"/>
      <c r="H108" s="460"/>
      <c r="I108" s="466"/>
      <c r="J108" s="460"/>
      <c r="K108" s="570"/>
      <c r="L108" s="460"/>
      <c r="M108" s="570"/>
      <c r="N108" s="460"/>
      <c r="O108" s="570"/>
      <c r="P108" s="460"/>
      <c r="Q108" s="570"/>
      <c r="R108" s="460"/>
      <c r="S108" s="853"/>
      <c r="T108" s="460"/>
    </row>
    <row r="109" spans="1:20">
      <c r="A109" s="461"/>
      <c r="B109" s="462"/>
      <c r="C109" s="463"/>
      <c r="D109" s="464"/>
      <c r="E109" s="459"/>
      <c r="F109" s="465"/>
      <c r="G109" s="466"/>
      <c r="H109" s="460"/>
      <c r="I109" s="466"/>
      <c r="J109" s="460"/>
      <c r="K109" s="570"/>
      <c r="L109" s="460"/>
      <c r="M109" s="570"/>
      <c r="N109" s="460"/>
      <c r="O109" s="570"/>
      <c r="P109" s="460"/>
      <c r="Q109" s="570"/>
      <c r="R109" s="460"/>
      <c r="S109" s="853"/>
      <c r="T109" s="460"/>
    </row>
    <row r="110" spans="1:20">
      <c r="A110" s="461"/>
      <c r="B110" s="462"/>
      <c r="C110" s="463"/>
      <c r="D110" s="464"/>
      <c r="E110" s="459"/>
      <c r="F110" s="465"/>
      <c r="G110" s="466"/>
      <c r="H110" s="460"/>
      <c r="I110" s="466"/>
      <c r="J110" s="460"/>
      <c r="K110" s="570"/>
      <c r="L110" s="460"/>
      <c r="M110" s="570"/>
      <c r="N110" s="460"/>
      <c r="O110" s="570"/>
      <c r="P110" s="460"/>
      <c r="Q110" s="570"/>
      <c r="R110" s="460"/>
      <c r="S110" s="853"/>
      <c r="T110" s="460"/>
    </row>
    <row r="111" spans="1:20">
      <c r="A111" s="461"/>
      <c r="B111" s="462"/>
      <c r="C111" s="463"/>
      <c r="D111" s="464"/>
      <c r="E111" s="459"/>
      <c r="F111" s="465"/>
      <c r="G111" s="466"/>
      <c r="H111" s="460"/>
      <c r="I111" s="466"/>
      <c r="J111" s="460"/>
      <c r="K111" s="570"/>
      <c r="L111" s="460"/>
      <c r="M111" s="570"/>
      <c r="N111" s="460"/>
      <c r="O111" s="570"/>
      <c r="P111" s="460"/>
      <c r="Q111" s="570"/>
      <c r="R111" s="460"/>
      <c r="S111" s="853"/>
      <c r="T111" s="460"/>
    </row>
    <row r="112" spans="1:20">
      <c r="A112" s="461"/>
      <c r="B112" s="462"/>
      <c r="C112" s="463"/>
      <c r="D112" s="464"/>
      <c r="E112" s="459"/>
      <c r="F112" s="465"/>
      <c r="G112" s="466"/>
      <c r="H112" s="460"/>
      <c r="I112" s="466"/>
      <c r="J112" s="460"/>
      <c r="K112" s="570"/>
      <c r="L112" s="460"/>
      <c r="M112" s="570"/>
      <c r="N112" s="460"/>
      <c r="O112" s="570"/>
      <c r="P112" s="460"/>
      <c r="Q112" s="570"/>
      <c r="R112" s="460"/>
      <c r="S112" s="853"/>
      <c r="T112" s="460"/>
    </row>
    <row r="113" spans="1:20">
      <c r="A113" s="461"/>
      <c r="B113" s="462"/>
      <c r="C113" s="463"/>
      <c r="D113" s="464"/>
      <c r="E113" s="459"/>
      <c r="F113" s="465"/>
      <c r="G113" s="466"/>
      <c r="H113" s="460"/>
      <c r="I113" s="466"/>
      <c r="J113" s="460"/>
      <c r="K113" s="570"/>
      <c r="L113" s="460"/>
      <c r="M113" s="570"/>
      <c r="N113" s="460"/>
      <c r="O113" s="570"/>
      <c r="P113" s="460"/>
      <c r="Q113" s="570"/>
      <c r="R113" s="460"/>
      <c r="S113" s="853"/>
      <c r="T113" s="460"/>
    </row>
    <row r="114" spans="1:20">
      <c r="A114" s="461"/>
      <c r="B114" s="462"/>
      <c r="C114" s="463"/>
      <c r="D114" s="464"/>
      <c r="E114" s="459"/>
      <c r="F114" s="465"/>
      <c r="G114" s="466"/>
      <c r="H114" s="460"/>
      <c r="I114" s="466"/>
      <c r="J114" s="460"/>
      <c r="K114" s="570"/>
      <c r="L114" s="460"/>
      <c r="M114" s="570"/>
      <c r="N114" s="460"/>
      <c r="O114" s="570"/>
      <c r="P114" s="460"/>
      <c r="Q114" s="570"/>
      <c r="R114" s="460"/>
      <c r="S114" s="853"/>
      <c r="T114" s="460"/>
    </row>
    <row r="115" spans="1:20">
      <c r="A115" s="461"/>
      <c r="B115" s="462"/>
      <c r="C115" s="463"/>
      <c r="D115" s="464"/>
      <c r="E115" s="459"/>
      <c r="F115" s="465"/>
      <c r="G115" s="466"/>
      <c r="H115" s="460"/>
      <c r="I115" s="466"/>
      <c r="J115" s="460"/>
      <c r="K115" s="570"/>
      <c r="L115" s="460"/>
      <c r="M115" s="570"/>
      <c r="N115" s="460"/>
      <c r="O115" s="570"/>
      <c r="P115" s="460"/>
      <c r="Q115" s="570"/>
      <c r="R115" s="460"/>
      <c r="S115" s="853"/>
      <c r="T115" s="460"/>
    </row>
    <row r="116" spans="1:20">
      <c r="A116" s="461"/>
      <c r="B116" s="462"/>
      <c r="C116" s="463"/>
      <c r="D116" s="464"/>
      <c r="E116" s="459"/>
      <c r="F116" s="465"/>
      <c r="G116" s="466"/>
      <c r="H116" s="460"/>
      <c r="I116" s="466"/>
      <c r="J116" s="460"/>
      <c r="K116" s="570"/>
      <c r="L116" s="460"/>
      <c r="M116" s="570"/>
      <c r="N116" s="460"/>
      <c r="O116" s="570"/>
      <c r="P116" s="460"/>
      <c r="Q116" s="570"/>
      <c r="R116" s="460"/>
      <c r="S116" s="853"/>
      <c r="T116" s="460"/>
    </row>
    <row r="117" spans="1:20">
      <c r="A117" s="461"/>
      <c r="B117" s="462"/>
      <c r="C117" s="463"/>
      <c r="D117" s="464"/>
      <c r="E117" s="459"/>
      <c r="F117" s="465"/>
      <c r="G117" s="466"/>
      <c r="H117" s="460"/>
      <c r="I117" s="466"/>
      <c r="J117" s="460"/>
      <c r="K117" s="570"/>
      <c r="L117" s="460"/>
      <c r="M117" s="570"/>
      <c r="N117" s="460"/>
      <c r="O117" s="570"/>
      <c r="P117" s="460"/>
      <c r="Q117" s="570"/>
      <c r="R117" s="460"/>
      <c r="S117" s="853"/>
      <c r="T117" s="460"/>
    </row>
    <row r="118" spans="1:20">
      <c r="A118" s="461"/>
      <c r="B118" s="462"/>
      <c r="C118" s="463"/>
      <c r="D118" s="464"/>
      <c r="E118" s="459"/>
      <c r="F118" s="465"/>
      <c r="G118" s="466"/>
      <c r="H118" s="460"/>
      <c r="I118" s="466"/>
      <c r="J118" s="460"/>
      <c r="K118" s="570"/>
      <c r="L118" s="460"/>
      <c r="M118" s="570"/>
      <c r="N118" s="460"/>
      <c r="O118" s="570"/>
      <c r="P118" s="460"/>
      <c r="Q118" s="570"/>
      <c r="R118" s="460"/>
      <c r="S118" s="853"/>
      <c r="T118" s="460"/>
    </row>
    <row r="119" spans="1:20">
      <c r="A119" s="461"/>
      <c r="B119" s="462"/>
      <c r="C119" s="463"/>
      <c r="D119" s="464"/>
      <c r="E119" s="459"/>
      <c r="F119" s="465"/>
      <c r="G119" s="466"/>
      <c r="H119" s="460"/>
      <c r="I119" s="466"/>
      <c r="J119" s="460"/>
      <c r="K119" s="570"/>
      <c r="L119" s="460"/>
      <c r="M119" s="570"/>
      <c r="N119" s="460"/>
      <c r="O119" s="570"/>
      <c r="P119" s="460"/>
      <c r="Q119" s="570"/>
      <c r="R119" s="460"/>
      <c r="S119" s="853"/>
      <c r="T119" s="460"/>
    </row>
    <row r="120" spans="1:20">
      <c r="A120" s="461"/>
      <c r="B120" s="462"/>
      <c r="C120" s="463"/>
      <c r="D120" s="464"/>
      <c r="E120" s="459"/>
      <c r="F120" s="465"/>
      <c r="G120" s="466"/>
      <c r="H120" s="460"/>
      <c r="I120" s="466"/>
      <c r="J120" s="460"/>
      <c r="K120" s="570"/>
      <c r="L120" s="460"/>
      <c r="M120" s="570"/>
      <c r="N120" s="460"/>
      <c r="O120" s="570"/>
      <c r="P120" s="460"/>
      <c r="Q120" s="570"/>
      <c r="R120" s="460"/>
      <c r="S120" s="853"/>
      <c r="T120" s="460"/>
    </row>
    <row r="121" spans="1:20">
      <c r="A121" s="461"/>
      <c r="B121" s="462"/>
      <c r="C121" s="463"/>
      <c r="D121" s="464"/>
      <c r="E121" s="459"/>
      <c r="F121" s="465"/>
      <c r="G121" s="466"/>
      <c r="H121" s="460"/>
      <c r="I121" s="466"/>
      <c r="J121" s="460"/>
      <c r="K121" s="570"/>
      <c r="L121" s="460"/>
      <c r="M121" s="570"/>
      <c r="N121" s="460"/>
      <c r="O121" s="570"/>
      <c r="P121" s="460"/>
      <c r="Q121" s="570"/>
      <c r="R121" s="460"/>
      <c r="S121" s="853"/>
      <c r="T121" s="460"/>
    </row>
    <row r="122" spans="1:20">
      <c r="A122" s="461"/>
      <c r="B122" s="462"/>
      <c r="C122" s="463"/>
      <c r="D122" s="464"/>
      <c r="E122" s="459"/>
      <c r="F122" s="465"/>
      <c r="G122" s="466"/>
      <c r="H122" s="460"/>
      <c r="I122" s="466"/>
      <c r="J122" s="460"/>
      <c r="K122" s="570"/>
      <c r="L122" s="460"/>
      <c r="M122" s="570"/>
      <c r="N122" s="460"/>
      <c r="O122" s="570"/>
      <c r="P122" s="460"/>
      <c r="Q122" s="570"/>
      <c r="R122" s="460"/>
      <c r="S122" s="853"/>
      <c r="T122" s="460"/>
    </row>
    <row r="123" spans="1:20">
      <c r="A123" s="461"/>
      <c r="B123" s="462"/>
      <c r="C123" s="463"/>
      <c r="D123" s="464"/>
      <c r="E123" s="459"/>
      <c r="F123" s="465"/>
      <c r="G123" s="466"/>
      <c r="H123" s="460"/>
      <c r="I123" s="466"/>
      <c r="J123" s="460"/>
      <c r="K123" s="570"/>
      <c r="L123" s="460"/>
      <c r="M123" s="570"/>
      <c r="N123" s="460"/>
      <c r="O123" s="570"/>
      <c r="P123" s="460"/>
      <c r="Q123" s="570"/>
      <c r="R123" s="460"/>
      <c r="S123" s="853"/>
      <c r="T123" s="460"/>
    </row>
    <row r="124" spans="1:20">
      <c r="A124" s="461"/>
      <c r="B124" s="462"/>
      <c r="C124" s="463"/>
      <c r="D124" s="464"/>
      <c r="E124" s="459"/>
      <c r="F124" s="465"/>
      <c r="G124" s="466"/>
      <c r="H124" s="460"/>
      <c r="I124" s="466"/>
      <c r="J124" s="460"/>
      <c r="K124" s="570"/>
      <c r="L124" s="460"/>
      <c r="M124" s="570"/>
      <c r="N124" s="460"/>
      <c r="O124" s="570"/>
      <c r="P124" s="460"/>
      <c r="Q124" s="570"/>
      <c r="R124" s="460"/>
      <c r="S124" s="853"/>
      <c r="T124" s="460"/>
    </row>
    <row r="125" spans="1:20">
      <c r="A125" s="461"/>
      <c r="B125" s="462"/>
      <c r="C125" s="463"/>
      <c r="D125" s="464"/>
      <c r="E125" s="459"/>
      <c r="F125" s="465"/>
      <c r="G125" s="466"/>
      <c r="H125" s="460"/>
      <c r="I125" s="466"/>
      <c r="J125" s="460"/>
      <c r="K125" s="570"/>
      <c r="L125" s="460"/>
      <c r="M125" s="570"/>
      <c r="N125" s="460"/>
      <c r="O125" s="570"/>
      <c r="P125" s="460"/>
      <c r="Q125" s="570"/>
      <c r="R125" s="460"/>
      <c r="S125" s="853"/>
      <c r="T125" s="460"/>
    </row>
    <row r="126" spans="1:20">
      <c r="A126" s="461"/>
      <c r="B126" s="462"/>
      <c r="C126" s="463"/>
      <c r="D126" s="464"/>
      <c r="E126" s="459"/>
      <c r="F126" s="465"/>
      <c r="G126" s="466"/>
      <c r="H126" s="460"/>
      <c r="I126" s="466"/>
      <c r="J126" s="460"/>
      <c r="K126" s="570"/>
      <c r="L126" s="460"/>
      <c r="M126" s="570"/>
      <c r="N126" s="460"/>
      <c r="O126" s="570"/>
      <c r="P126" s="460"/>
      <c r="Q126" s="570"/>
      <c r="R126" s="460"/>
      <c r="S126" s="853"/>
      <c r="T126" s="460"/>
    </row>
    <row r="127" spans="1:20">
      <c r="A127" s="461"/>
      <c r="B127" s="462"/>
      <c r="C127" s="463"/>
      <c r="D127" s="464"/>
      <c r="E127" s="459"/>
      <c r="F127" s="465"/>
      <c r="G127" s="466"/>
      <c r="H127" s="460"/>
      <c r="I127" s="466"/>
      <c r="J127" s="460"/>
      <c r="K127" s="570"/>
      <c r="L127" s="460"/>
      <c r="M127" s="570"/>
      <c r="N127" s="460"/>
      <c r="O127" s="570"/>
      <c r="P127" s="460"/>
      <c r="Q127" s="570"/>
      <c r="R127" s="460"/>
      <c r="S127" s="853"/>
      <c r="T127" s="460"/>
    </row>
    <row r="128" spans="1:20">
      <c r="A128" s="461"/>
      <c r="B128" s="462"/>
      <c r="C128" s="463"/>
      <c r="D128" s="464"/>
      <c r="E128" s="459"/>
      <c r="F128" s="465"/>
      <c r="G128" s="466"/>
      <c r="H128" s="460"/>
      <c r="I128" s="466"/>
      <c r="J128" s="460"/>
      <c r="K128" s="570"/>
      <c r="L128" s="460"/>
      <c r="M128" s="570"/>
      <c r="N128" s="460"/>
      <c r="O128" s="570"/>
      <c r="P128" s="460"/>
      <c r="Q128" s="570"/>
      <c r="R128" s="460"/>
      <c r="S128" s="853"/>
      <c r="T128" s="460"/>
    </row>
    <row r="129" spans="1:20">
      <c r="A129" s="461"/>
      <c r="B129" s="462"/>
      <c r="C129" s="463"/>
      <c r="D129" s="464"/>
      <c r="E129" s="459"/>
      <c r="F129" s="465"/>
      <c r="G129" s="466"/>
      <c r="H129" s="460"/>
      <c r="I129" s="466"/>
      <c r="J129" s="460"/>
      <c r="K129" s="570"/>
      <c r="L129" s="460"/>
      <c r="M129" s="570"/>
      <c r="N129" s="460"/>
      <c r="O129" s="570"/>
      <c r="P129" s="460"/>
      <c r="Q129" s="570"/>
      <c r="R129" s="460"/>
      <c r="S129" s="853"/>
      <c r="T129" s="460"/>
    </row>
    <row r="130" spans="1:20">
      <c r="A130" s="461"/>
      <c r="B130" s="462"/>
      <c r="C130" s="463"/>
      <c r="D130" s="464"/>
      <c r="E130" s="459"/>
      <c r="F130" s="465"/>
      <c r="G130" s="466"/>
      <c r="H130" s="460"/>
      <c r="I130" s="466"/>
      <c r="J130" s="460"/>
      <c r="K130" s="570"/>
      <c r="L130" s="460"/>
      <c r="M130" s="570"/>
      <c r="N130" s="460"/>
      <c r="O130" s="570"/>
      <c r="P130" s="460"/>
      <c r="Q130" s="570"/>
      <c r="R130" s="460"/>
      <c r="S130" s="853"/>
      <c r="T130" s="460"/>
    </row>
    <row r="131" spans="1:20">
      <c r="A131" s="461"/>
      <c r="B131" s="462"/>
      <c r="C131" s="463"/>
      <c r="D131" s="464"/>
      <c r="E131" s="459"/>
      <c r="F131" s="465"/>
      <c r="G131" s="466"/>
      <c r="H131" s="460"/>
      <c r="I131" s="466"/>
      <c r="J131" s="460"/>
      <c r="K131" s="570"/>
      <c r="L131" s="460"/>
      <c r="M131" s="570"/>
      <c r="N131" s="460"/>
      <c r="O131" s="570"/>
      <c r="P131" s="460"/>
      <c r="Q131" s="570"/>
      <c r="R131" s="460"/>
      <c r="S131" s="853"/>
      <c r="T131" s="460"/>
    </row>
    <row r="132" spans="1:20">
      <c r="A132" s="461"/>
      <c r="B132" s="462"/>
      <c r="C132" s="463"/>
      <c r="D132" s="464"/>
      <c r="E132" s="459"/>
      <c r="F132" s="465"/>
      <c r="G132" s="466"/>
      <c r="H132" s="460"/>
      <c r="I132" s="466"/>
      <c r="J132" s="460"/>
      <c r="K132" s="570"/>
      <c r="L132" s="460"/>
      <c r="M132" s="570"/>
      <c r="N132" s="460"/>
      <c r="O132" s="570"/>
      <c r="P132" s="460"/>
      <c r="Q132" s="570"/>
      <c r="R132" s="460"/>
      <c r="S132" s="853"/>
      <c r="T132" s="460"/>
    </row>
    <row r="133" spans="1:20">
      <c r="A133" s="461"/>
      <c r="B133" s="462"/>
      <c r="C133" s="463"/>
      <c r="D133" s="464"/>
      <c r="E133" s="459"/>
      <c r="F133" s="465"/>
      <c r="G133" s="466"/>
      <c r="H133" s="460"/>
      <c r="I133" s="466"/>
      <c r="J133" s="460"/>
      <c r="K133" s="570"/>
      <c r="L133" s="460"/>
      <c r="M133" s="570"/>
      <c r="N133" s="460"/>
      <c r="O133" s="570"/>
      <c r="P133" s="460"/>
      <c r="Q133" s="570"/>
      <c r="R133" s="460"/>
      <c r="S133" s="853"/>
      <c r="T133" s="460"/>
    </row>
    <row r="134" spans="1:20">
      <c r="A134" s="461"/>
      <c r="B134" s="462"/>
      <c r="C134" s="463"/>
      <c r="D134" s="464"/>
      <c r="E134" s="459"/>
      <c r="F134" s="465"/>
      <c r="G134" s="466"/>
      <c r="H134" s="460"/>
      <c r="I134" s="466"/>
      <c r="J134" s="460"/>
      <c r="K134" s="570"/>
      <c r="L134" s="460"/>
      <c r="M134" s="570"/>
      <c r="N134" s="460"/>
      <c r="O134" s="570"/>
      <c r="P134" s="460"/>
      <c r="Q134" s="570"/>
      <c r="R134" s="460"/>
      <c r="S134" s="853"/>
      <c r="T134" s="460"/>
    </row>
    <row r="135" spans="1:20">
      <c r="A135" s="461"/>
      <c r="B135" s="462"/>
      <c r="C135" s="463"/>
      <c r="D135" s="464"/>
      <c r="E135" s="459"/>
      <c r="F135" s="465"/>
      <c r="G135" s="466"/>
      <c r="H135" s="460"/>
      <c r="I135" s="466"/>
      <c r="J135" s="460"/>
      <c r="K135" s="570"/>
      <c r="L135" s="460"/>
      <c r="M135" s="570"/>
      <c r="N135" s="460"/>
      <c r="O135" s="570"/>
      <c r="P135" s="460"/>
      <c r="Q135" s="570"/>
      <c r="R135" s="460"/>
      <c r="S135" s="853"/>
      <c r="T135" s="460"/>
    </row>
    <row r="136" spans="1:20">
      <c r="A136" s="461"/>
      <c r="B136" s="462"/>
      <c r="C136" s="463"/>
      <c r="D136" s="464"/>
      <c r="E136" s="459"/>
      <c r="F136" s="465"/>
      <c r="G136" s="466"/>
      <c r="H136" s="460"/>
      <c r="I136" s="466"/>
      <c r="J136" s="460"/>
      <c r="K136" s="570"/>
      <c r="L136" s="460"/>
      <c r="M136" s="570"/>
      <c r="N136" s="460"/>
      <c r="O136" s="570"/>
      <c r="P136" s="460"/>
      <c r="Q136" s="570"/>
      <c r="R136" s="460"/>
      <c r="S136" s="853"/>
      <c r="T136" s="460"/>
    </row>
    <row r="137" spans="1:20">
      <c r="A137" s="461"/>
      <c r="B137" s="462"/>
      <c r="C137" s="463"/>
      <c r="D137" s="464"/>
      <c r="E137" s="459"/>
      <c r="F137" s="465"/>
      <c r="G137" s="466"/>
      <c r="H137" s="460"/>
      <c r="I137" s="466"/>
      <c r="J137" s="460"/>
      <c r="K137" s="570"/>
      <c r="L137" s="460"/>
      <c r="M137" s="570"/>
      <c r="N137" s="460"/>
      <c r="O137" s="570"/>
      <c r="P137" s="460"/>
      <c r="Q137" s="570"/>
      <c r="R137" s="460"/>
      <c r="S137" s="853"/>
      <c r="T137" s="460"/>
    </row>
    <row r="138" spans="1:20">
      <c r="A138" s="461"/>
      <c r="B138" s="462"/>
      <c r="C138" s="463"/>
      <c r="D138" s="464"/>
      <c r="E138" s="459"/>
      <c r="F138" s="465"/>
      <c r="G138" s="466"/>
      <c r="H138" s="460"/>
      <c r="I138" s="466"/>
      <c r="J138" s="460"/>
      <c r="K138" s="570"/>
      <c r="L138" s="460"/>
      <c r="M138" s="570"/>
      <c r="N138" s="460"/>
      <c r="O138" s="570"/>
      <c r="P138" s="460"/>
      <c r="Q138" s="570"/>
      <c r="R138" s="460"/>
      <c r="S138" s="853"/>
      <c r="T138" s="460"/>
    </row>
    <row r="139" spans="1:20">
      <c r="A139" s="461"/>
      <c r="B139" s="462"/>
      <c r="C139" s="463"/>
      <c r="D139" s="464"/>
      <c r="E139" s="459"/>
      <c r="F139" s="465"/>
      <c r="G139" s="466"/>
      <c r="H139" s="460"/>
      <c r="I139" s="466"/>
      <c r="J139" s="460"/>
      <c r="K139" s="570"/>
      <c r="L139" s="460"/>
      <c r="M139" s="570"/>
      <c r="N139" s="460"/>
      <c r="O139" s="570"/>
      <c r="P139" s="460"/>
      <c r="Q139" s="570"/>
      <c r="R139" s="460"/>
      <c r="S139" s="853"/>
      <c r="T139" s="460"/>
    </row>
    <row r="140" spans="1:20">
      <c r="A140" s="461"/>
      <c r="B140" s="462"/>
      <c r="C140" s="463"/>
      <c r="D140" s="464"/>
      <c r="E140" s="459"/>
      <c r="F140" s="465"/>
      <c r="G140" s="466"/>
      <c r="H140" s="460"/>
      <c r="I140" s="466"/>
      <c r="J140" s="460"/>
      <c r="K140" s="570"/>
      <c r="L140" s="460"/>
      <c r="M140" s="570"/>
      <c r="N140" s="460"/>
      <c r="O140" s="570"/>
      <c r="P140" s="460"/>
      <c r="Q140" s="570"/>
      <c r="R140" s="460"/>
      <c r="S140" s="853"/>
      <c r="T140" s="460"/>
    </row>
    <row r="141" spans="1:20">
      <c r="A141" s="461"/>
      <c r="B141" s="462"/>
      <c r="C141" s="463"/>
      <c r="D141" s="464"/>
      <c r="E141" s="459"/>
      <c r="F141" s="465"/>
      <c r="G141" s="466"/>
      <c r="H141" s="460"/>
      <c r="I141" s="466"/>
      <c r="J141" s="460"/>
      <c r="K141" s="570"/>
      <c r="L141" s="460"/>
      <c r="M141" s="570"/>
      <c r="N141" s="460"/>
      <c r="O141" s="570"/>
      <c r="P141" s="460"/>
      <c r="Q141" s="570"/>
      <c r="R141" s="460"/>
      <c r="S141" s="853"/>
      <c r="T141" s="460"/>
    </row>
    <row r="142" spans="1:20">
      <c r="A142" s="461"/>
      <c r="B142" s="462"/>
      <c r="C142" s="463"/>
      <c r="D142" s="464"/>
      <c r="E142" s="459"/>
      <c r="F142" s="465"/>
      <c r="G142" s="466"/>
      <c r="H142" s="460"/>
      <c r="I142" s="466"/>
      <c r="J142" s="460"/>
      <c r="K142" s="570"/>
      <c r="L142" s="460"/>
      <c r="M142" s="570"/>
      <c r="N142" s="460"/>
      <c r="O142" s="570"/>
      <c r="P142" s="460"/>
      <c r="Q142" s="570"/>
      <c r="R142" s="460"/>
      <c r="S142" s="853"/>
      <c r="T142" s="460"/>
    </row>
    <row r="143" spans="1:20">
      <c r="A143" s="461"/>
      <c r="B143" s="462"/>
      <c r="C143" s="463"/>
      <c r="D143" s="464"/>
      <c r="E143" s="459"/>
      <c r="F143" s="465"/>
      <c r="G143" s="466"/>
      <c r="H143" s="460"/>
      <c r="I143" s="466"/>
      <c r="J143" s="460"/>
      <c r="K143" s="570"/>
      <c r="L143" s="460"/>
      <c r="M143" s="570"/>
      <c r="N143" s="460"/>
      <c r="O143" s="570"/>
      <c r="P143" s="460"/>
      <c r="Q143" s="570"/>
      <c r="R143" s="460"/>
      <c r="S143" s="853"/>
      <c r="T143" s="460"/>
    </row>
    <row r="144" spans="1:20">
      <c r="A144" s="461"/>
      <c r="B144" s="462"/>
      <c r="C144" s="463"/>
      <c r="D144" s="464"/>
      <c r="E144" s="459"/>
      <c r="F144" s="465"/>
      <c r="G144" s="466"/>
      <c r="H144" s="460"/>
      <c r="I144" s="466"/>
      <c r="J144" s="460"/>
      <c r="K144" s="570"/>
      <c r="L144" s="460"/>
      <c r="M144" s="570"/>
      <c r="N144" s="460"/>
      <c r="O144" s="570"/>
      <c r="P144" s="460"/>
      <c r="Q144" s="570"/>
      <c r="R144" s="460"/>
      <c r="S144" s="853"/>
      <c r="T144" s="460"/>
    </row>
    <row r="145" spans="1:20">
      <c r="A145" s="461"/>
      <c r="B145" s="462"/>
      <c r="C145" s="463"/>
      <c r="D145" s="464"/>
      <c r="E145" s="459"/>
      <c r="F145" s="465"/>
      <c r="G145" s="466"/>
      <c r="H145" s="460"/>
      <c r="I145" s="466"/>
      <c r="J145" s="460"/>
      <c r="K145" s="570"/>
      <c r="L145" s="460"/>
      <c r="M145" s="570"/>
      <c r="N145" s="460"/>
      <c r="O145" s="570"/>
      <c r="P145" s="460"/>
      <c r="Q145" s="570"/>
      <c r="R145" s="460"/>
      <c r="S145" s="853"/>
      <c r="T145" s="460"/>
    </row>
    <row r="146" spans="1:20">
      <c r="A146" s="461"/>
      <c r="B146" s="462"/>
      <c r="C146" s="463"/>
      <c r="D146" s="464"/>
      <c r="E146" s="459"/>
      <c r="F146" s="465"/>
      <c r="G146" s="466"/>
      <c r="H146" s="460"/>
      <c r="I146" s="466"/>
      <c r="J146" s="460"/>
      <c r="K146" s="570"/>
      <c r="L146" s="460"/>
      <c r="M146" s="570"/>
      <c r="N146" s="460"/>
      <c r="O146" s="570"/>
      <c r="P146" s="460"/>
      <c r="Q146" s="570"/>
      <c r="R146" s="460"/>
      <c r="S146" s="853"/>
      <c r="T146" s="460"/>
    </row>
    <row r="147" spans="1:20">
      <c r="A147" s="461"/>
      <c r="B147" s="462"/>
      <c r="C147" s="463"/>
      <c r="D147" s="464"/>
      <c r="E147" s="459"/>
      <c r="F147" s="465"/>
      <c r="G147" s="466"/>
      <c r="H147" s="460"/>
      <c r="I147" s="466"/>
      <c r="J147" s="460"/>
      <c r="K147" s="570"/>
      <c r="L147" s="460"/>
      <c r="M147" s="570"/>
      <c r="N147" s="460"/>
      <c r="O147" s="570"/>
      <c r="P147" s="460"/>
      <c r="Q147" s="570"/>
      <c r="R147" s="460"/>
      <c r="S147" s="853"/>
      <c r="T147" s="460"/>
    </row>
    <row r="148" spans="1:20">
      <c r="A148" s="461"/>
      <c r="B148" s="462"/>
      <c r="C148" s="463"/>
      <c r="D148" s="464"/>
      <c r="E148" s="459"/>
      <c r="F148" s="465"/>
      <c r="G148" s="466"/>
      <c r="H148" s="460"/>
      <c r="I148" s="466"/>
      <c r="J148" s="460"/>
      <c r="K148" s="570"/>
      <c r="L148" s="460"/>
      <c r="M148" s="570"/>
      <c r="N148" s="460"/>
      <c r="O148" s="570"/>
      <c r="P148" s="460"/>
      <c r="Q148" s="570"/>
      <c r="R148" s="460"/>
      <c r="S148" s="853"/>
      <c r="T148" s="460"/>
    </row>
    <row r="149" spans="1:20">
      <c r="A149" s="461"/>
      <c r="B149" s="462"/>
      <c r="C149" s="463"/>
      <c r="D149" s="464"/>
      <c r="E149" s="459"/>
      <c r="F149" s="465"/>
      <c r="G149" s="466"/>
      <c r="H149" s="460"/>
      <c r="I149" s="466"/>
      <c r="J149" s="460"/>
      <c r="K149" s="570"/>
      <c r="L149" s="460"/>
      <c r="M149" s="570"/>
      <c r="N149" s="460"/>
      <c r="O149" s="570"/>
      <c r="P149" s="460"/>
      <c r="Q149" s="570"/>
      <c r="R149" s="460"/>
      <c r="S149" s="853"/>
      <c r="T149" s="460"/>
    </row>
    <row r="150" spans="1:20">
      <c r="A150" s="461"/>
      <c r="B150" s="462"/>
      <c r="C150" s="463"/>
      <c r="D150" s="464"/>
      <c r="E150" s="459"/>
      <c r="F150" s="465"/>
      <c r="G150" s="466"/>
      <c r="H150" s="460"/>
      <c r="I150" s="466"/>
      <c r="J150" s="460"/>
      <c r="K150" s="570"/>
      <c r="L150" s="460"/>
      <c r="M150" s="570"/>
      <c r="N150" s="460"/>
      <c r="O150" s="570"/>
      <c r="P150" s="460"/>
      <c r="Q150" s="570"/>
      <c r="R150" s="460"/>
      <c r="S150" s="853"/>
      <c r="T150" s="460"/>
    </row>
    <row r="151" spans="1:20">
      <c r="A151" s="461"/>
      <c r="B151" s="462"/>
      <c r="C151" s="463"/>
      <c r="D151" s="464"/>
      <c r="E151" s="459"/>
      <c r="F151" s="465"/>
      <c r="G151" s="466"/>
      <c r="H151" s="460"/>
      <c r="I151" s="466"/>
      <c r="J151" s="460"/>
      <c r="K151" s="570"/>
      <c r="L151" s="460"/>
      <c r="M151" s="570"/>
      <c r="N151" s="460"/>
      <c r="O151" s="570"/>
      <c r="P151" s="460"/>
      <c r="Q151" s="570"/>
      <c r="R151" s="460"/>
      <c r="S151" s="853"/>
      <c r="T151" s="460"/>
    </row>
    <row r="152" spans="1:20">
      <c r="A152" s="461"/>
      <c r="B152" s="462"/>
      <c r="C152" s="463"/>
      <c r="D152" s="464"/>
      <c r="E152" s="459"/>
      <c r="F152" s="465"/>
      <c r="G152" s="466"/>
      <c r="H152" s="460"/>
      <c r="I152" s="466"/>
      <c r="J152" s="460"/>
      <c r="K152" s="570"/>
      <c r="L152" s="460"/>
      <c r="M152" s="570"/>
      <c r="N152" s="460"/>
      <c r="O152" s="570"/>
      <c r="P152" s="460"/>
      <c r="Q152" s="570"/>
      <c r="R152" s="460"/>
      <c r="S152" s="853"/>
      <c r="T152" s="460"/>
    </row>
    <row r="153" spans="1:20">
      <c r="A153" s="461"/>
      <c r="B153" s="462"/>
      <c r="C153" s="463"/>
      <c r="D153" s="464"/>
      <c r="E153" s="459"/>
      <c r="F153" s="465"/>
      <c r="G153" s="466"/>
      <c r="H153" s="460"/>
      <c r="I153" s="466"/>
      <c r="J153" s="460"/>
      <c r="K153" s="570"/>
      <c r="L153" s="460"/>
      <c r="M153" s="570"/>
      <c r="N153" s="460"/>
      <c r="O153" s="570"/>
      <c r="P153" s="460"/>
      <c r="Q153" s="570"/>
      <c r="R153" s="460"/>
      <c r="S153" s="853"/>
      <c r="T153" s="460"/>
    </row>
    <row r="154" spans="1:20">
      <c r="A154" s="461"/>
      <c r="B154" s="462"/>
      <c r="C154" s="463"/>
      <c r="D154" s="464"/>
      <c r="E154" s="459"/>
      <c r="F154" s="465"/>
      <c r="G154" s="466"/>
      <c r="H154" s="460"/>
      <c r="I154" s="466"/>
      <c r="J154" s="460"/>
      <c r="K154" s="570"/>
      <c r="L154" s="460"/>
      <c r="M154" s="570"/>
      <c r="N154" s="460"/>
      <c r="O154" s="570"/>
      <c r="P154" s="460"/>
      <c r="Q154" s="570"/>
      <c r="R154" s="460"/>
      <c r="S154" s="853"/>
      <c r="T154" s="460"/>
    </row>
    <row r="155" spans="1:20">
      <c r="A155" s="461"/>
      <c r="B155" s="462"/>
      <c r="C155" s="463"/>
      <c r="D155" s="464"/>
      <c r="E155" s="459"/>
      <c r="F155" s="465"/>
      <c r="G155" s="466"/>
      <c r="H155" s="460"/>
      <c r="I155" s="466"/>
      <c r="J155" s="460"/>
      <c r="K155" s="570"/>
      <c r="L155" s="460"/>
      <c r="M155" s="570"/>
      <c r="N155" s="460"/>
      <c r="O155" s="570"/>
      <c r="P155" s="460"/>
      <c r="Q155" s="570"/>
      <c r="R155" s="460"/>
      <c r="S155" s="853"/>
      <c r="T155" s="460"/>
    </row>
    <row r="156" spans="1:20">
      <c r="A156" s="461"/>
      <c r="B156" s="462"/>
      <c r="C156" s="463"/>
      <c r="D156" s="464"/>
      <c r="E156" s="459"/>
      <c r="F156" s="465"/>
      <c r="G156" s="466"/>
      <c r="H156" s="460"/>
      <c r="I156" s="466"/>
      <c r="J156" s="460"/>
      <c r="K156" s="570"/>
      <c r="L156" s="460"/>
      <c r="M156" s="570"/>
      <c r="N156" s="460"/>
      <c r="O156" s="570"/>
      <c r="P156" s="460"/>
      <c r="Q156" s="570"/>
      <c r="R156" s="460"/>
      <c r="S156" s="853"/>
      <c r="T156" s="460"/>
    </row>
    <row r="157" spans="1:20">
      <c r="A157" s="461"/>
      <c r="B157" s="462"/>
      <c r="C157" s="463"/>
      <c r="D157" s="464"/>
      <c r="E157" s="459"/>
      <c r="F157" s="465"/>
      <c r="G157" s="466"/>
      <c r="H157" s="460"/>
      <c r="I157" s="466"/>
      <c r="J157" s="460"/>
      <c r="K157" s="570"/>
      <c r="L157" s="460"/>
      <c r="M157" s="570"/>
      <c r="N157" s="460"/>
      <c r="O157" s="570"/>
      <c r="P157" s="460"/>
      <c r="Q157" s="570"/>
      <c r="R157" s="460"/>
      <c r="S157" s="853"/>
      <c r="T157" s="460"/>
    </row>
    <row r="158" spans="1:20">
      <c r="A158" s="461"/>
      <c r="B158" s="462"/>
      <c r="C158" s="463"/>
      <c r="D158" s="464"/>
      <c r="E158" s="459"/>
      <c r="F158" s="465"/>
      <c r="G158" s="466"/>
      <c r="H158" s="460"/>
      <c r="I158" s="466"/>
      <c r="J158" s="460"/>
      <c r="K158" s="570"/>
      <c r="L158" s="460"/>
      <c r="M158" s="570"/>
      <c r="N158" s="460"/>
      <c r="O158" s="570"/>
      <c r="P158" s="460"/>
      <c r="Q158" s="570"/>
      <c r="R158" s="460"/>
      <c r="S158" s="853"/>
      <c r="T158" s="460"/>
    </row>
    <row r="159" spans="1:20">
      <c r="A159" s="461"/>
      <c r="B159" s="462"/>
      <c r="C159" s="463"/>
      <c r="D159" s="464"/>
      <c r="E159" s="459"/>
      <c r="F159" s="465"/>
      <c r="G159" s="466"/>
      <c r="H159" s="460"/>
      <c r="I159" s="466"/>
      <c r="J159" s="460"/>
      <c r="K159" s="570"/>
      <c r="L159" s="460"/>
      <c r="M159" s="570"/>
      <c r="N159" s="460"/>
      <c r="O159" s="570"/>
      <c r="P159" s="460"/>
      <c r="Q159" s="570"/>
      <c r="R159" s="460"/>
      <c r="S159" s="853"/>
      <c r="T159" s="460"/>
    </row>
    <row r="160" spans="1:20">
      <c r="A160" s="461"/>
      <c r="B160" s="462"/>
      <c r="C160" s="463"/>
      <c r="D160" s="464"/>
      <c r="E160" s="459"/>
      <c r="F160" s="465"/>
      <c r="G160" s="466"/>
      <c r="H160" s="460"/>
      <c r="I160" s="466"/>
      <c r="J160" s="460"/>
      <c r="K160" s="570"/>
      <c r="L160" s="460"/>
      <c r="M160" s="570"/>
      <c r="N160" s="460"/>
      <c r="O160" s="570"/>
      <c r="P160" s="460"/>
      <c r="Q160" s="570"/>
      <c r="R160" s="460"/>
      <c r="S160" s="853"/>
      <c r="T160" s="460"/>
    </row>
    <row r="161" spans="1:20">
      <c r="A161" s="461"/>
      <c r="B161" s="462"/>
      <c r="C161" s="463"/>
      <c r="D161" s="464"/>
      <c r="E161" s="459"/>
      <c r="F161" s="465"/>
      <c r="G161" s="466"/>
      <c r="H161" s="460"/>
      <c r="I161" s="466"/>
      <c r="J161" s="460"/>
      <c r="K161" s="570"/>
      <c r="L161" s="460"/>
      <c r="M161" s="570"/>
      <c r="N161" s="460"/>
      <c r="O161" s="570"/>
      <c r="P161" s="460"/>
      <c r="Q161" s="570"/>
      <c r="R161" s="460"/>
      <c r="S161" s="853"/>
      <c r="T161" s="460"/>
    </row>
    <row r="162" spans="1:20">
      <c r="A162" s="461"/>
      <c r="B162" s="462"/>
      <c r="C162" s="463"/>
      <c r="D162" s="464"/>
      <c r="E162" s="459"/>
      <c r="F162" s="465"/>
      <c r="G162" s="466"/>
      <c r="H162" s="460"/>
      <c r="I162" s="466"/>
      <c r="J162" s="460"/>
      <c r="K162" s="570"/>
      <c r="L162" s="460"/>
      <c r="M162" s="570"/>
      <c r="N162" s="460"/>
      <c r="O162" s="570"/>
      <c r="P162" s="460"/>
      <c r="Q162" s="570"/>
      <c r="R162" s="460"/>
      <c r="S162" s="853"/>
      <c r="T162" s="460"/>
    </row>
    <row r="163" spans="1:20">
      <c r="A163" s="461"/>
      <c r="B163" s="462"/>
      <c r="C163" s="463"/>
      <c r="D163" s="464"/>
      <c r="E163" s="459"/>
      <c r="F163" s="465"/>
      <c r="G163" s="466"/>
      <c r="H163" s="460"/>
      <c r="I163" s="466"/>
      <c r="J163" s="460"/>
      <c r="K163" s="570"/>
      <c r="L163" s="460"/>
      <c r="M163" s="570"/>
      <c r="N163" s="460"/>
      <c r="O163" s="570"/>
      <c r="P163" s="460"/>
      <c r="Q163" s="570"/>
      <c r="R163" s="460"/>
      <c r="S163" s="853"/>
      <c r="T163" s="460"/>
    </row>
    <row r="164" spans="1:20">
      <c r="A164" s="461"/>
      <c r="B164" s="462"/>
      <c r="C164" s="463"/>
      <c r="D164" s="464"/>
      <c r="E164" s="459"/>
      <c r="F164" s="465"/>
      <c r="G164" s="466"/>
      <c r="H164" s="460"/>
      <c r="I164" s="466"/>
      <c r="J164" s="460"/>
      <c r="K164" s="570"/>
      <c r="L164" s="460"/>
      <c r="M164" s="570"/>
      <c r="N164" s="460"/>
      <c r="O164" s="570"/>
      <c r="P164" s="460"/>
      <c r="Q164" s="570"/>
      <c r="R164" s="460"/>
      <c r="S164" s="853"/>
      <c r="T164" s="460"/>
    </row>
    <row r="165" spans="1:20">
      <c r="A165" s="461"/>
      <c r="B165" s="462"/>
      <c r="C165" s="463"/>
      <c r="D165" s="464"/>
      <c r="E165" s="459"/>
      <c r="F165" s="465"/>
      <c r="G165" s="466"/>
      <c r="H165" s="460"/>
      <c r="I165" s="466"/>
      <c r="J165" s="460"/>
      <c r="K165" s="570"/>
      <c r="L165" s="460"/>
      <c r="M165" s="570"/>
      <c r="N165" s="460"/>
      <c r="O165" s="570"/>
      <c r="P165" s="460"/>
      <c r="Q165" s="570"/>
      <c r="R165" s="460"/>
      <c r="S165" s="853"/>
      <c r="T165" s="460"/>
    </row>
    <row r="166" spans="1:20">
      <c r="A166" s="461"/>
      <c r="B166" s="462"/>
      <c r="C166" s="463"/>
      <c r="D166" s="464"/>
      <c r="E166" s="459"/>
      <c r="F166" s="465"/>
      <c r="G166" s="466"/>
      <c r="H166" s="460"/>
      <c r="I166" s="466"/>
      <c r="J166" s="460"/>
      <c r="K166" s="570"/>
      <c r="L166" s="460"/>
      <c r="M166" s="570"/>
      <c r="N166" s="460"/>
      <c r="O166" s="570"/>
      <c r="P166" s="460"/>
      <c r="Q166" s="570"/>
      <c r="R166" s="460"/>
      <c r="S166" s="853"/>
      <c r="T166" s="460"/>
    </row>
    <row r="167" spans="1:20">
      <c r="A167" s="461"/>
      <c r="B167" s="462"/>
      <c r="C167" s="463"/>
      <c r="D167" s="464"/>
      <c r="E167" s="459"/>
      <c r="F167" s="465"/>
      <c r="G167" s="466"/>
      <c r="H167" s="460"/>
      <c r="I167" s="466"/>
      <c r="J167" s="460"/>
      <c r="K167" s="570"/>
      <c r="L167" s="460"/>
      <c r="M167" s="570"/>
      <c r="N167" s="460"/>
      <c r="O167" s="570"/>
      <c r="P167" s="460"/>
      <c r="Q167" s="570"/>
      <c r="R167" s="460"/>
      <c r="S167" s="853"/>
      <c r="T167" s="460"/>
    </row>
    <row r="168" spans="1:20">
      <c r="A168" s="461"/>
      <c r="B168" s="462"/>
      <c r="C168" s="463"/>
      <c r="D168" s="464"/>
      <c r="E168" s="459"/>
      <c r="F168" s="465"/>
      <c r="G168" s="466"/>
      <c r="H168" s="460"/>
      <c r="I168" s="466"/>
      <c r="J168" s="460"/>
      <c r="K168" s="570"/>
      <c r="L168" s="460"/>
      <c r="M168" s="570"/>
      <c r="N168" s="460"/>
      <c r="O168" s="570"/>
      <c r="P168" s="460"/>
      <c r="Q168" s="570"/>
      <c r="R168" s="460"/>
      <c r="S168" s="853"/>
      <c r="T168" s="460"/>
    </row>
    <row r="169" spans="1:20">
      <c r="A169" s="461"/>
      <c r="B169" s="462"/>
      <c r="C169" s="463"/>
      <c r="D169" s="464"/>
      <c r="E169" s="459"/>
      <c r="F169" s="465"/>
      <c r="G169" s="466"/>
      <c r="H169" s="460"/>
      <c r="I169" s="466"/>
      <c r="J169" s="460"/>
      <c r="K169" s="570"/>
      <c r="L169" s="460"/>
      <c r="M169" s="570"/>
      <c r="N169" s="460"/>
      <c r="O169" s="570"/>
      <c r="P169" s="460"/>
      <c r="Q169" s="570"/>
      <c r="R169" s="460"/>
      <c r="S169" s="853"/>
      <c r="T169" s="460"/>
    </row>
    <row r="170" spans="1:20">
      <c r="A170" s="461"/>
      <c r="B170" s="462"/>
      <c r="C170" s="463"/>
      <c r="D170" s="464"/>
      <c r="E170" s="459"/>
      <c r="F170" s="465"/>
      <c r="G170" s="466"/>
      <c r="H170" s="460"/>
      <c r="I170" s="466"/>
      <c r="J170" s="460"/>
      <c r="K170" s="570"/>
      <c r="L170" s="460"/>
      <c r="M170" s="570"/>
      <c r="N170" s="460"/>
      <c r="O170" s="570"/>
      <c r="P170" s="460"/>
      <c r="Q170" s="570"/>
      <c r="R170" s="460"/>
      <c r="S170" s="853"/>
      <c r="T170" s="460"/>
    </row>
    <row r="171" spans="1:20">
      <c r="A171" s="461"/>
      <c r="B171" s="462"/>
      <c r="C171" s="463"/>
      <c r="D171" s="464"/>
      <c r="E171" s="459"/>
      <c r="F171" s="465"/>
      <c r="G171" s="466"/>
      <c r="H171" s="460"/>
      <c r="I171" s="466"/>
      <c r="J171" s="460"/>
      <c r="K171" s="570"/>
      <c r="L171" s="460"/>
      <c r="M171" s="570"/>
      <c r="N171" s="460"/>
      <c r="O171" s="570"/>
      <c r="P171" s="460"/>
      <c r="Q171" s="570"/>
      <c r="R171" s="460"/>
      <c r="S171" s="853"/>
      <c r="T171" s="460"/>
    </row>
    <row r="172" spans="1:20">
      <c r="A172" s="461"/>
      <c r="B172" s="462"/>
      <c r="C172" s="463"/>
      <c r="D172" s="464"/>
      <c r="E172" s="459"/>
      <c r="F172" s="465"/>
      <c r="G172" s="466"/>
      <c r="H172" s="460"/>
      <c r="I172" s="466"/>
      <c r="J172" s="460"/>
      <c r="K172" s="570"/>
      <c r="L172" s="460"/>
      <c r="M172" s="570"/>
      <c r="N172" s="460"/>
      <c r="O172" s="570"/>
      <c r="P172" s="460"/>
      <c r="Q172" s="570"/>
      <c r="R172" s="460"/>
      <c r="S172" s="853"/>
      <c r="T172" s="460"/>
    </row>
    <row r="173" spans="1:20">
      <c r="A173" s="461"/>
      <c r="B173" s="462"/>
      <c r="C173" s="463"/>
      <c r="D173" s="464"/>
      <c r="E173" s="459"/>
      <c r="F173" s="465"/>
      <c r="G173" s="466"/>
      <c r="H173" s="460"/>
      <c r="I173" s="466"/>
      <c r="J173" s="460"/>
      <c r="K173" s="570"/>
      <c r="L173" s="460"/>
      <c r="M173" s="570"/>
      <c r="N173" s="460"/>
      <c r="O173" s="570"/>
      <c r="P173" s="460"/>
      <c r="Q173" s="570"/>
      <c r="R173" s="460"/>
      <c r="S173" s="853"/>
      <c r="T173" s="460"/>
    </row>
    <row r="174" spans="1:20">
      <c r="A174" s="461"/>
      <c r="B174" s="462"/>
      <c r="C174" s="463"/>
      <c r="D174" s="464"/>
      <c r="E174" s="459"/>
      <c r="F174" s="465"/>
      <c r="G174" s="466"/>
      <c r="H174" s="460"/>
      <c r="I174" s="466"/>
      <c r="J174" s="460"/>
      <c r="K174" s="570"/>
      <c r="L174" s="460"/>
      <c r="M174" s="570"/>
      <c r="N174" s="460"/>
      <c r="O174" s="570"/>
      <c r="P174" s="460"/>
      <c r="Q174" s="570"/>
      <c r="R174" s="460"/>
      <c r="S174" s="853"/>
      <c r="T174" s="460"/>
    </row>
    <row r="175" spans="1:20">
      <c r="A175" s="461"/>
      <c r="B175" s="462"/>
      <c r="C175" s="463"/>
      <c r="D175" s="464"/>
      <c r="E175" s="459"/>
      <c r="F175" s="465"/>
      <c r="G175" s="466"/>
      <c r="H175" s="460"/>
      <c r="I175" s="466"/>
      <c r="J175" s="460"/>
      <c r="K175" s="570"/>
      <c r="L175" s="460"/>
      <c r="M175" s="570"/>
      <c r="N175" s="460"/>
      <c r="O175" s="570"/>
      <c r="P175" s="460"/>
      <c r="Q175" s="570"/>
      <c r="R175" s="460"/>
      <c r="S175" s="853"/>
      <c r="T175" s="460"/>
    </row>
    <row r="176" spans="1:20">
      <c r="A176" s="461"/>
      <c r="B176" s="462"/>
      <c r="C176" s="463"/>
      <c r="D176" s="464"/>
      <c r="E176" s="459"/>
      <c r="F176" s="465"/>
      <c r="G176" s="466"/>
      <c r="H176" s="460"/>
      <c r="I176" s="466"/>
      <c r="J176" s="460"/>
      <c r="K176" s="570"/>
      <c r="L176" s="460"/>
      <c r="M176" s="570"/>
      <c r="N176" s="460"/>
      <c r="O176" s="570"/>
      <c r="P176" s="460"/>
      <c r="Q176" s="570"/>
      <c r="R176" s="460"/>
      <c r="S176" s="853"/>
      <c r="T176" s="460"/>
    </row>
    <row r="177" spans="1:20">
      <c r="A177" s="461"/>
      <c r="B177" s="462"/>
      <c r="C177" s="463"/>
      <c r="D177" s="464"/>
      <c r="E177" s="459"/>
      <c r="F177" s="465"/>
      <c r="G177" s="466"/>
      <c r="H177" s="460"/>
      <c r="I177" s="466"/>
      <c r="J177" s="460"/>
      <c r="K177" s="570"/>
      <c r="L177" s="460"/>
      <c r="M177" s="570"/>
      <c r="N177" s="460"/>
      <c r="O177" s="570"/>
      <c r="P177" s="460"/>
      <c r="Q177" s="570"/>
      <c r="R177" s="460"/>
      <c r="S177" s="853"/>
      <c r="T177" s="460"/>
    </row>
    <row r="178" spans="1:20">
      <c r="A178" s="461"/>
      <c r="B178" s="462"/>
      <c r="C178" s="463"/>
      <c r="D178" s="464"/>
      <c r="E178" s="459"/>
      <c r="F178" s="465"/>
      <c r="G178" s="466"/>
      <c r="H178" s="460"/>
      <c r="I178" s="466"/>
      <c r="J178" s="460"/>
      <c r="K178" s="570"/>
      <c r="L178" s="460"/>
      <c r="M178" s="570"/>
      <c r="N178" s="460"/>
      <c r="O178" s="570"/>
      <c r="P178" s="460"/>
      <c r="Q178" s="570"/>
      <c r="R178" s="460"/>
      <c r="S178" s="853"/>
      <c r="T178" s="460"/>
    </row>
    <row r="179" spans="1:20">
      <c r="A179" s="461"/>
      <c r="B179" s="462"/>
      <c r="C179" s="463"/>
      <c r="D179" s="464"/>
      <c r="E179" s="459"/>
      <c r="F179" s="465"/>
      <c r="G179" s="466"/>
      <c r="H179" s="460"/>
      <c r="I179" s="466"/>
      <c r="J179" s="460"/>
      <c r="K179" s="570"/>
      <c r="L179" s="460"/>
      <c r="M179" s="570"/>
      <c r="N179" s="460"/>
      <c r="O179" s="570"/>
      <c r="P179" s="460"/>
      <c r="Q179" s="570"/>
      <c r="R179" s="460"/>
      <c r="S179" s="853"/>
      <c r="T179" s="460"/>
    </row>
    <row r="180" spans="1:20">
      <c r="A180" s="461"/>
      <c r="B180" s="462"/>
      <c r="C180" s="463"/>
      <c r="D180" s="464"/>
      <c r="E180" s="459"/>
      <c r="F180" s="465"/>
      <c r="G180" s="466"/>
      <c r="H180" s="460"/>
      <c r="I180" s="466"/>
      <c r="J180" s="460"/>
      <c r="K180" s="570"/>
      <c r="L180" s="460"/>
      <c r="M180" s="570"/>
      <c r="N180" s="460"/>
      <c r="O180" s="570"/>
      <c r="P180" s="460"/>
      <c r="Q180" s="570"/>
      <c r="R180" s="460"/>
      <c r="S180" s="853"/>
      <c r="T180" s="460"/>
    </row>
    <row r="181" spans="1:20">
      <c r="A181" s="461"/>
      <c r="B181" s="462"/>
      <c r="C181" s="463"/>
      <c r="D181" s="464"/>
      <c r="E181" s="459"/>
      <c r="F181" s="465"/>
      <c r="G181" s="466"/>
      <c r="H181" s="460"/>
      <c r="I181" s="466"/>
      <c r="J181" s="460"/>
      <c r="K181" s="570"/>
      <c r="L181" s="460"/>
      <c r="M181" s="570"/>
      <c r="N181" s="460"/>
      <c r="O181" s="570"/>
      <c r="P181" s="460"/>
      <c r="Q181" s="570"/>
      <c r="R181" s="460"/>
      <c r="S181" s="853"/>
      <c r="T181" s="460"/>
    </row>
    <row r="182" spans="1:20">
      <c r="A182" s="461"/>
      <c r="B182" s="462"/>
      <c r="C182" s="463"/>
      <c r="D182" s="464"/>
      <c r="E182" s="459"/>
      <c r="F182" s="465"/>
      <c r="G182" s="466"/>
      <c r="H182" s="460"/>
      <c r="I182" s="466"/>
      <c r="J182" s="460"/>
      <c r="K182" s="570"/>
      <c r="L182" s="460"/>
      <c r="M182" s="570"/>
      <c r="N182" s="460"/>
      <c r="O182" s="570"/>
      <c r="P182" s="460"/>
      <c r="Q182" s="570"/>
      <c r="R182" s="460"/>
      <c r="S182" s="853"/>
      <c r="T182" s="460"/>
    </row>
    <row r="183" spans="1:20">
      <c r="A183" s="461"/>
      <c r="B183" s="462"/>
      <c r="C183" s="463"/>
      <c r="D183" s="464"/>
      <c r="E183" s="459"/>
      <c r="F183" s="465"/>
      <c r="G183" s="466"/>
      <c r="H183" s="460"/>
      <c r="I183" s="466"/>
      <c r="J183" s="460"/>
      <c r="K183" s="570"/>
      <c r="L183" s="460"/>
      <c r="M183" s="570"/>
      <c r="N183" s="460"/>
      <c r="O183" s="570"/>
      <c r="P183" s="460"/>
      <c r="Q183" s="570"/>
      <c r="R183" s="460"/>
      <c r="S183" s="853"/>
      <c r="T183" s="460"/>
    </row>
    <row r="184" spans="1:20">
      <c r="A184" s="461"/>
      <c r="B184" s="462"/>
      <c r="C184" s="463"/>
      <c r="D184" s="464"/>
      <c r="E184" s="459"/>
      <c r="F184" s="465"/>
      <c r="G184" s="466"/>
      <c r="H184" s="460"/>
      <c r="I184" s="466"/>
      <c r="J184" s="460"/>
      <c r="K184" s="570"/>
      <c r="L184" s="460"/>
      <c r="M184" s="570"/>
      <c r="N184" s="460"/>
      <c r="O184" s="570"/>
      <c r="P184" s="460"/>
      <c r="Q184" s="570"/>
      <c r="R184" s="460"/>
      <c r="S184" s="853"/>
      <c r="T184" s="460"/>
    </row>
    <row r="185" spans="1:20">
      <c r="A185" s="461"/>
      <c r="B185" s="462"/>
      <c r="C185" s="463"/>
      <c r="D185" s="464"/>
      <c r="E185" s="459"/>
      <c r="F185" s="465"/>
      <c r="G185" s="466"/>
      <c r="H185" s="460"/>
      <c r="I185" s="466"/>
      <c r="J185" s="460"/>
      <c r="K185" s="570"/>
      <c r="L185" s="460"/>
      <c r="M185" s="570"/>
      <c r="N185" s="460"/>
      <c r="O185" s="570"/>
      <c r="P185" s="460"/>
      <c r="Q185" s="570"/>
      <c r="R185" s="460"/>
      <c r="S185" s="853"/>
      <c r="T185" s="460"/>
    </row>
    <row r="186" spans="1:20">
      <c r="A186" s="461"/>
      <c r="B186" s="462"/>
      <c r="C186" s="463"/>
      <c r="D186" s="464"/>
      <c r="E186" s="459"/>
      <c r="F186" s="465"/>
      <c r="G186" s="466"/>
      <c r="H186" s="460"/>
      <c r="I186" s="466"/>
      <c r="J186" s="460"/>
      <c r="K186" s="570"/>
      <c r="L186" s="460"/>
      <c r="M186" s="570"/>
      <c r="N186" s="460"/>
      <c r="O186" s="570"/>
      <c r="P186" s="460"/>
      <c r="Q186" s="570"/>
      <c r="R186" s="460"/>
      <c r="S186" s="853"/>
      <c r="T186" s="460"/>
    </row>
    <row r="187" spans="1:20">
      <c r="A187" s="461"/>
      <c r="B187" s="462"/>
      <c r="C187" s="463"/>
      <c r="D187" s="464"/>
      <c r="E187" s="459"/>
      <c r="F187" s="465"/>
      <c r="G187" s="466"/>
      <c r="H187" s="460"/>
      <c r="I187" s="466"/>
      <c r="J187" s="460"/>
      <c r="K187" s="570"/>
      <c r="L187" s="460"/>
      <c r="M187" s="570"/>
      <c r="N187" s="460"/>
      <c r="O187" s="570"/>
      <c r="P187" s="460"/>
      <c r="Q187" s="570"/>
      <c r="R187" s="460"/>
      <c r="S187" s="853"/>
      <c r="T187" s="460"/>
    </row>
    <row r="188" spans="1:20">
      <c r="A188" s="461"/>
      <c r="B188" s="462"/>
      <c r="C188" s="463"/>
      <c r="D188" s="464"/>
      <c r="E188" s="459"/>
      <c r="F188" s="465"/>
      <c r="G188" s="466"/>
      <c r="H188" s="460"/>
      <c r="I188" s="466"/>
      <c r="J188" s="460"/>
      <c r="K188" s="570"/>
      <c r="L188" s="460"/>
      <c r="M188" s="570"/>
      <c r="N188" s="460"/>
      <c r="O188" s="570"/>
      <c r="P188" s="460"/>
      <c r="Q188" s="570"/>
      <c r="R188" s="460"/>
      <c r="S188" s="853"/>
      <c r="T188" s="460"/>
    </row>
    <row r="189" spans="1:20">
      <c r="A189" s="461"/>
      <c r="B189" s="462"/>
      <c r="C189" s="463"/>
      <c r="D189" s="464"/>
      <c r="E189" s="459"/>
      <c r="F189" s="465"/>
      <c r="G189" s="466"/>
      <c r="H189" s="460"/>
      <c r="I189" s="466"/>
      <c r="J189" s="460"/>
      <c r="K189" s="570"/>
      <c r="L189" s="460"/>
      <c r="M189" s="570"/>
      <c r="N189" s="460"/>
      <c r="O189" s="570"/>
      <c r="P189" s="460"/>
      <c r="Q189" s="570"/>
      <c r="R189" s="460"/>
      <c r="S189" s="853"/>
      <c r="T189" s="460"/>
    </row>
    <row r="190" spans="1:20">
      <c r="A190" s="461"/>
      <c r="B190" s="462"/>
      <c r="C190" s="463"/>
      <c r="D190" s="464"/>
      <c r="E190" s="459"/>
      <c r="F190" s="465"/>
      <c r="G190" s="466"/>
      <c r="H190" s="460"/>
      <c r="I190" s="466"/>
      <c r="J190" s="460"/>
      <c r="K190" s="570"/>
      <c r="L190" s="460"/>
      <c r="M190" s="570"/>
      <c r="N190" s="460"/>
      <c r="O190" s="570"/>
      <c r="P190" s="460"/>
      <c r="Q190" s="570"/>
      <c r="R190" s="460"/>
      <c r="S190" s="853"/>
      <c r="T190" s="460"/>
    </row>
    <row r="191" spans="1:20">
      <c r="A191" s="461"/>
      <c r="B191" s="462"/>
      <c r="C191" s="463"/>
      <c r="D191" s="464"/>
      <c r="E191" s="459"/>
      <c r="F191" s="465"/>
      <c r="G191" s="466"/>
      <c r="H191" s="460"/>
      <c r="I191" s="466"/>
      <c r="J191" s="460"/>
      <c r="K191" s="570"/>
      <c r="L191" s="460"/>
      <c r="M191" s="570"/>
      <c r="N191" s="460"/>
      <c r="O191" s="570"/>
      <c r="P191" s="460"/>
      <c r="Q191" s="570"/>
      <c r="R191" s="460"/>
      <c r="S191" s="853"/>
      <c r="T191" s="460"/>
    </row>
    <row r="192" spans="1:20">
      <c r="A192" s="461"/>
      <c r="B192" s="462"/>
      <c r="C192" s="463"/>
      <c r="D192" s="464"/>
      <c r="E192" s="459"/>
      <c r="F192" s="465"/>
      <c r="G192" s="466"/>
      <c r="H192" s="460"/>
      <c r="I192" s="466"/>
      <c r="J192" s="460"/>
      <c r="K192" s="570"/>
      <c r="L192" s="460"/>
      <c r="M192" s="570"/>
      <c r="N192" s="460"/>
      <c r="O192" s="570"/>
      <c r="P192" s="460"/>
      <c r="Q192" s="570"/>
      <c r="R192" s="460"/>
      <c r="S192" s="853"/>
      <c r="T192" s="460"/>
    </row>
    <row r="193" spans="1:20">
      <c r="A193" s="461"/>
      <c r="B193" s="462"/>
      <c r="C193" s="463"/>
      <c r="D193" s="464"/>
      <c r="E193" s="459"/>
      <c r="F193" s="465"/>
      <c r="G193" s="466"/>
      <c r="H193" s="460"/>
      <c r="I193" s="466"/>
      <c r="J193" s="460"/>
      <c r="K193" s="570"/>
      <c r="L193" s="460"/>
      <c r="M193" s="570"/>
      <c r="N193" s="460"/>
      <c r="O193" s="570"/>
      <c r="P193" s="460"/>
      <c r="Q193" s="570"/>
      <c r="R193" s="460"/>
      <c r="S193" s="853"/>
      <c r="T193" s="460"/>
    </row>
    <row r="194" spans="1:20">
      <c r="A194" s="461"/>
      <c r="B194" s="462"/>
      <c r="C194" s="463"/>
      <c r="D194" s="464"/>
      <c r="E194" s="459"/>
      <c r="F194" s="465"/>
      <c r="G194" s="466"/>
      <c r="H194" s="460"/>
      <c r="I194" s="466"/>
      <c r="J194" s="460"/>
      <c r="K194" s="570"/>
      <c r="L194" s="460"/>
      <c r="M194" s="570"/>
      <c r="N194" s="460"/>
      <c r="O194" s="570"/>
      <c r="P194" s="460"/>
      <c r="Q194" s="570"/>
      <c r="R194" s="460"/>
      <c r="S194" s="853"/>
      <c r="T194" s="460"/>
    </row>
    <row r="195" spans="1:20">
      <c r="A195" s="461"/>
      <c r="B195" s="462"/>
      <c r="C195" s="463"/>
      <c r="D195" s="464"/>
      <c r="E195" s="459"/>
      <c r="F195" s="465"/>
      <c r="G195" s="466"/>
      <c r="H195" s="460"/>
      <c r="I195" s="466"/>
      <c r="J195" s="460"/>
      <c r="K195" s="570"/>
      <c r="L195" s="460"/>
      <c r="M195" s="570"/>
      <c r="N195" s="460"/>
      <c r="O195" s="570"/>
      <c r="P195" s="460"/>
      <c r="Q195" s="570"/>
      <c r="R195" s="460"/>
      <c r="S195" s="853"/>
      <c r="T195" s="460"/>
    </row>
    <row r="196" spans="1:20">
      <c r="A196" s="461"/>
      <c r="B196" s="462"/>
      <c r="C196" s="463"/>
      <c r="D196" s="464"/>
      <c r="E196" s="459"/>
      <c r="F196" s="465"/>
      <c r="G196" s="466"/>
      <c r="H196" s="460"/>
      <c r="I196" s="466"/>
      <c r="J196" s="460"/>
      <c r="K196" s="570"/>
      <c r="L196" s="460"/>
      <c r="M196" s="570"/>
      <c r="N196" s="460"/>
      <c r="O196" s="570"/>
      <c r="P196" s="460"/>
      <c r="Q196" s="570"/>
      <c r="R196" s="460"/>
      <c r="S196" s="853"/>
      <c r="T196" s="460"/>
    </row>
    <row r="197" spans="1:20">
      <c r="A197" s="461"/>
      <c r="B197" s="462"/>
      <c r="C197" s="463"/>
      <c r="D197" s="464"/>
      <c r="E197" s="459"/>
      <c r="F197" s="465"/>
      <c r="G197" s="466"/>
      <c r="H197" s="460"/>
      <c r="I197" s="466"/>
      <c r="J197" s="460"/>
      <c r="K197" s="570"/>
      <c r="L197" s="460"/>
      <c r="M197" s="570"/>
      <c r="N197" s="460"/>
      <c r="O197" s="570"/>
      <c r="P197" s="460"/>
      <c r="Q197" s="570"/>
      <c r="R197" s="460"/>
      <c r="S197" s="853"/>
      <c r="T197" s="460"/>
    </row>
    <row r="198" spans="1:20">
      <c r="A198" s="461"/>
      <c r="B198" s="462"/>
      <c r="C198" s="463"/>
      <c r="D198" s="464"/>
      <c r="E198" s="459"/>
      <c r="F198" s="465"/>
      <c r="G198" s="466"/>
      <c r="H198" s="460"/>
      <c r="I198" s="466"/>
      <c r="J198" s="460"/>
      <c r="K198" s="570"/>
      <c r="L198" s="460"/>
      <c r="M198" s="570"/>
      <c r="N198" s="460"/>
      <c r="O198" s="570"/>
      <c r="P198" s="460"/>
      <c r="Q198" s="570"/>
      <c r="R198" s="460"/>
      <c r="S198" s="853"/>
      <c r="T198" s="460"/>
    </row>
    <row r="199" spans="1:20">
      <c r="A199" s="461"/>
      <c r="B199" s="462"/>
      <c r="C199" s="463"/>
      <c r="D199" s="464"/>
      <c r="E199" s="459"/>
      <c r="F199" s="465"/>
      <c r="G199" s="466"/>
      <c r="H199" s="460"/>
      <c r="I199" s="466"/>
      <c r="J199" s="460"/>
      <c r="K199" s="570"/>
      <c r="L199" s="460"/>
      <c r="M199" s="570"/>
      <c r="N199" s="460"/>
      <c r="O199" s="570"/>
      <c r="P199" s="460"/>
      <c r="Q199" s="570"/>
      <c r="R199" s="460"/>
      <c r="S199" s="853"/>
      <c r="T199" s="460"/>
    </row>
    <row r="200" spans="1:20">
      <c r="A200" s="461"/>
      <c r="B200" s="462"/>
      <c r="C200" s="463"/>
      <c r="D200" s="464"/>
      <c r="E200" s="459"/>
      <c r="F200" s="465"/>
      <c r="G200" s="466"/>
      <c r="H200" s="460"/>
      <c r="I200" s="466"/>
      <c r="J200" s="460"/>
      <c r="K200" s="570"/>
      <c r="L200" s="460"/>
      <c r="M200" s="570"/>
      <c r="N200" s="460"/>
      <c r="O200" s="570"/>
      <c r="P200" s="460"/>
      <c r="Q200" s="570"/>
      <c r="R200" s="460"/>
      <c r="S200" s="853"/>
      <c r="T200" s="460"/>
    </row>
    <row r="201" spans="1:20">
      <c r="A201" s="461"/>
      <c r="B201" s="462"/>
      <c r="C201" s="463"/>
      <c r="D201" s="464"/>
      <c r="E201" s="459"/>
      <c r="F201" s="465"/>
      <c r="G201" s="466"/>
      <c r="H201" s="460"/>
      <c r="I201" s="466"/>
      <c r="J201" s="460"/>
      <c r="K201" s="570"/>
      <c r="L201" s="460"/>
      <c r="M201" s="570"/>
      <c r="N201" s="460"/>
      <c r="O201" s="570"/>
      <c r="P201" s="460"/>
      <c r="Q201" s="570"/>
      <c r="R201" s="460"/>
      <c r="S201" s="853"/>
      <c r="T201" s="460"/>
    </row>
    <row r="202" spans="1:20">
      <c r="A202" s="461"/>
      <c r="B202" s="462"/>
      <c r="C202" s="463"/>
      <c r="D202" s="464"/>
      <c r="E202" s="459"/>
      <c r="F202" s="465"/>
      <c r="G202" s="466"/>
      <c r="H202" s="460"/>
      <c r="I202" s="466"/>
      <c r="J202" s="460"/>
      <c r="K202" s="570"/>
      <c r="L202" s="460"/>
      <c r="M202" s="570"/>
      <c r="N202" s="460"/>
      <c r="O202" s="570"/>
      <c r="P202" s="460"/>
      <c r="Q202" s="570"/>
      <c r="R202" s="460"/>
      <c r="S202" s="853"/>
      <c r="T202" s="460"/>
    </row>
    <row r="203" spans="1:20">
      <c r="A203" s="461"/>
      <c r="B203" s="462"/>
      <c r="C203" s="463"/>
      <c r="D203" s="464"/>
      <c r="E203" s="459"/>
      <c r="F203" s="465"/>
      <c r="G203" s="466"/>
      <c r="H203" s="460"/>
      <c r="I203" s="466"/>
      <c r="J203" s="460"/>
      <c r="K203" s="570"/>
      <c r="L203" s="460"/>
      <c r="M203" s="570"/>
      <c r="N203" s="460"/>
      <c r="O203" s="570"/>
      <c r="P203" s="460"/>
      <c r="Q203" s="570"/>
      <c r="R203" s="460"/>
      <c r="S203" s="853"/>
      <c r="T203" s="460"/>
    </row>
    <row r="204" spans="1:20">
      <c r="A204" s="461"/>
      <c r="B204" s="462"/>
      <c r="C204" s="463"/>
      <c r="D204" s="464"/>
      <c r="E204" s="459"/>
      <c r="F204" s="465"/>
      <c r="G204" s="466"/>
      <c r="H204" s="460"/>
      <c r="I204" s="466"/>
      <c r="J204" s="460"/>
      <c r="K204" s="570"/>
      <c r="L204" s="460"/>
      <c r="M204" s="570"/>
      <c r="N204" s="460"/>
      <c r="O204" s="570"/>
      <c r="P204" s="460"/>
      <c r="Q204" s="570"/>
      <c r="R204" s="460"/>
      <c r="S204" s="853"/>
      <c r="T204" s="460"/>
    </row>
    <row r="205" spans="1:20">
      <c r="A205" s="461"/>
      <c r="B205" s="462"/>
      <c r="C205" s="463"/>
      <c r="D205" s="464"/>
      <c r="E205" s="459"/>
      <c r="F205" s="465"/>
      <c r="G205" s="466"/>
      <c r="H205" s="460"/>
      <c r="I205" s="466"/>
      <c r="J205" s="460"/>
      <c r="K205" s="570"/>
      <c r="L205" s="460"/>
      <c r="M205" s="570"/>
      <c r="N205" s="460"/>
      <c r="O205" s="570"/>
      <c r="P205" s="460"/>
      <c r="Q205" s="570"/>
      <c r="R205" s="460"/>
      <c r="S205" s="853"/>
      <c r="T205" s="460"/>
    </row>
    <row r="206" spans="1:20">
      <c r="A206" s="461"/>
      <c r="B206" s="462"/>
      <c r="C206" s="463"/>
      <c r="D206" s="464"/>
      <c r="E206" s="459"/>
      <c r="F206" s="465"/>
      <c r="G206" s="466"/>
      <c r="H206" s="460"/>
      <c r="I206" s="466"/>
      <c r="J206" s="460"/>
      <c r="K206" s="570"/>
      <c r="L206" s="460"/>
      <c r="M206" s="570"/>
      <c r="N206" s="460"/>
      <c r="O206" s="570"/>
      <c r="P206" s="460"/>
      <c r="Q206" s="570"/>
      <c r="R206" s="460"/>
      <c r="S206" s="853"/>
      <c r="T206" s="460"/>
    </row>
    <row r="207" spans="1:20">
      <c r="A207" s="461"/>
      <c r="B207" s="462"/>
      <c r="C207" s="463"/>
      <c r="D207" s="464"/>
      <c r="E207" s="459"/>
      <c r="F207" s="465"/>
      <c r="G207" s="466"/>
      <c r="H207" s="460"/>
      <c r="I207" s="466"/>
      <c r="J207" s="460"/>
      <c r="K207" s="570"/>
      <c r="L207" s="460"/>
      <c r="M207" s="570"/>
      <c r="N207" s="460"/>
      <c r="O207" s="570"/>
      <c r="P207" s="460"/>
      <c r="Q207" s="570"/>
      <c r="R207" s="460"/>
      <c r="S207" s="853"/>
      <c r="T207" s="460"/>
    </row>
    <row r="208" spans="1:20">
      <c r="A208" s="461"/>
      <c r="B208" s="462"/>
      <c r="C208" s="463"/>
      <c r="D208" s="464"/>
      <c r="E208" s="459"/>
      <c r="F208" s="465"/>
      <c r="G208" s="466"/>
      <c r="H208" s="460"/>
      <c r="I208" s="466"/>
      <c r="J208" s="460"/>
      <c r="K208" s="570"/>
      <c r="L208" s="460"/>
      <c r="M208" s="570"/>
      <c r="N208" s="460"/>
      <c r="O208" s="570"/>
      <c r="P208" s="460"/>
      <c r="Q208" s="570"/>
      <c r="R208" s="460"/>
      <c r="S208" s="853"/>
      <c r="T208" s="460"/>
    </row>
    <row r="209" spans="1:20">
      <c r="A209" s="461"/>
      <c r="B209" s="462"/>
      <c r="C209" s="463"/>
      <c r="D209" s="464"/>
      <c r="E209" s="459"/>
      <c r="F209" s="465"/>
      <c r="G209" s="466"/>
      <c r="H209" s="460"/>
      <c r="I209" s="466"/>
      <c r="J209" s="460"/>
      <c r="K209" s="570"/>
      <c r="L209" s="460"/>
      <c r="M209" s="570"/>
      <c r="N209" s="460"/>
      <c r="O209" s="570"/>
      <c r="P209" s="460"/>
      <c r="Q209" s="570"/>
      <c r="R209" s="460"/>
      <c r="S209" s="853"/>
      <c r="T209" s="460"/>
    </row>
    <row r="210" spans="1:20">
      <c r="A210" s="461"/>
      <c r="B210" s="462"/>
      <c r="C210" s="463"/>
      <c r="D210" s="464"/>
      <c r="E210" s="459"/>
      <c r="F210" s="465"/>
      <c r="G210" s="466"/>
      <c r="H210" s="460"/>
      <c r="I210" s="466"/>
      <c r="J210" s="460"/>
      <c r="K210" s="570"/>
      <c r="L210" s="460"/>
      <c r="M210" s="570"/>
      <c r="N210" s="460"/>
      <c r="O210" s="570"/>
      <c r="P210" s="460"/>
      <c r="Q210" s="570"/>
      <c r="R210" s="460"/>
      <c r="S210" s="853"/>
      <c r="T210" s="460"/>
    </row>
    <row r="211" spans="1:20">
      <c r="A211" s="461"/>
      <c r="B211" s="462"/>
      <c r="C211" s="463"/>
      <c r="D211" s="464"/>
      <c r="E211" s="459"/>
      <c r="F211" s="465"/>
      <c r="G211" s="466"/>
      <c r="H211" s="460"/>
      <c r="I211" s="466"/>
      <c r="J211" s="460"/>
      <c r="K211" s="570"/>
      <c r="L211" s="460"/>
      <c r="M211" s="570"/>
      <c r="N211" s="460"/>
      <c r="O211" s="570"/>
      <c r="P211" s="460"/>
      <c r="Q211" s="570"/>
      <c r="R211" s="460"/>
      <c r="S211" s="853"/>
      <c r="T211" s="460"/>
    </row>
    <row r="212" spans="1:20">
      <c r="A212" s="461"/>
      <c r="B212" s="462"/>
      <c r="C212" s="463"/>
      <c r="D212" s="464"/>
      <c r="E212" s="459"/>
      <c r="F212" s="465"/>
      <c r="G212" s="466"/>
      <c r="H212" s="460"/>
      <c r="I212" s="466"/>
      <c r="J212" s="460"/>
      <c r="K212" s="570"/>
      <c r="L212" s="460"/>
      <c r="M212" s="570"/>
      <c r="N212" s="460"/>
      <c r="O212" s="570"/>
      <c r="P212" s="460"/>
      <c r="Q212" s="570"/>
      <c r="R212" s="460"/>
      <c r="S212" s="853"/>
      <c r="T212" s="460"/>
    </row>
    <row r="213" spans="1:20">
      <c r="A213" s="461"/>
      <c r="B213" s="462"/>
      <c r="C213" s="463"/>
      <c r="D213" s="464"/>
      <c r="E213" s="459"/>
      <c r="F213" s="465"/>
      <c r="G213" s="466"/>
      <c r="H213" s="460"/>
      <c r="I213" s="466"/>
      <c r="J213" s="460"/>
      <c r="K213" s="570"/>
      <c r="L213" s="460"/>
      <c r="M213" s="570"/>
      <c r="N213" s="460"/>
      <c r="O213" s="570"/>
      <c r="P213" s="460"/>
      <c r="Q213" s="570"/>
      <c r="R213" s="460"/>
      <c r="S213" s="853"/>
      <c r="T213" s="460"/>
    </row>
    <row r="214" spans="1:20">
      <c r="A214" s="461"/>
      <c r="B214" s="462"/>
      <c r="C214" s="463"/>
      <c r="D214" s="464"/>
      <c r="E214" s="459"/>
      <c r="F214" s="465"/>
      <c r="G214" s="466"/>
      <c r="H214" s="460"/>
      <c r="I214" s="466"/>
      <c r="J214" s="460"/>
      <c r="K214" s="570"/>
      <c r="L214" s="460"/>
      <c r="M214" s="570"/>
      <c r="N214" s="460"/>
      <c r="O214" s="570"/>
      <c r="P214" s="460"/>
      <c r="Q214" s="570"/>
      <c r="R214" s="460"/>
      <c r="S214" s="853"/>
      <c r="T214" s="460"/>
    </row>
    <row r="215" spans="1:20">
      <c r="A215" s="461"/>
      <c r="B215" s="462"/>
      <c r="C215" s="463"/>
      <c r="D215" s="464"/>
      <c r="E215" s="459"/>
      <c r="F215" s="465"/>
      <c r="G215" s="466"/>
      <c r="H215" s="460"/>
      <c r="I215" s="466"/>
      <c r="J215" s="460"/>
      <c r="K215" s="570"/>
      <c r="L215" s="460"/>
      <c r="M215" s="570"/>
      <c r="N215" s="460"/>
      <c r="O215" s="570"/>
      <c r="P215" s="460"/>
      <c r="Q215" s="570"/>
      <c r="R215" s="460"/>
      <c r="S215" s="853"/>
      <c r="T215" s="460"/>
    </row>
    <row r="216" spans="1:20">
      <c r="A216" s="461"/>
      <c r="B216" s="462"/>
      <c r="C216" s="463"/>
      <c r="D216" s="464"/>
      <c r="E216" s="459"/>
      <c r="F216" s="465"/>
      <c r="G216" s="466"/>
      <c r="H216" s="460"/>
      <c r="I216" s="466"/>
      <c r="J216" s="460"/>
      <c r="K216" s="570"/>
      <c r="L216" s="460"/>
      <c r="M216" s="570"/>
      <c r="N216" s="460"/>
      <c r="O216" s="570"/>
      <c r="P216" s="460"/>
      <c r="Q216" s="570"/>
      <c r="R216" s="460"/>
      <c r="S216" s="853"/>
      <c r="T216" s="460"/>
    </row>
    <row r="217" spans="1:20">
      <c r="A217" s="461"/>
      <c r="B217" s="462"/>
      <c r="C217" s="463"/>
      <c r="D217" s="464"/>
      <c r="E217" s="459"/>
      <c r="F217" s="465"/>
      <c r="G217" s="466"/>
      <c r="H217" s="460"/>
      <c r="I217" s="466"/>
      <c r="J217" s="460"/>
      <c r="K217" s="570"/>
      <c r="L217" s="460"/>
      <c r="M217" s="570"/>
      <c r="N217" s="460"/>
      <c r="O217" s="570"/>
      <c r="P217" s="460"/>
      <c r="Q217" s="570"/>
      <c r="R217" s="460"/>
      <c r="S217" s="853"/>
      <c r="T217" s="460"/>
    </row>
    <row r="218" spans="1:20">
      <c r="A218" s="461"/>
      <c r="B218" s="462"/>
      <c r="C218" s="463"/>
      <c r="D218" s="464"/>
      <c r="E218" s="459"/>
      <c r="F218" s="465"/>
      <c r="G218" s="466"/>
      <c r="H218" s="460"/>
      <c r="I218" s="466"/>
      <c r="J218" s="460"/>
      <c r="K218" s="570"/>
      <c r="L218" s="460"/>
      <c r="M218" s="570"/>
      <c r="N218" s="460"/>
      <c r="O218" s="570"/>
      <c r="P218" s="460"/>
      <c r="Q218" s="570"/>
      <c r="R218" s="460"/>
      <c r="S218" s="853"/>
      <c r="T218" s="460"/>
    </row>
    <row r="219" spans="1:20">
      <c r="A219" s="461"/>
      <c r="B219" s="462"/>
      <c r="C219" s="463"/>
      <c r="D219" s="464"/>
      <c r="E219" s="459"/>
      <c r="F219" s="465"/>
      <c r="G219" s="466"/>
      <c r="H219" s="460"/>
      <c r="I219" s="466"/>
      <c r="J219" s="460"/>
      <c r="K219" s="570"/>
      <c r="L219" s="460"/>
      <c r="M219" s="570"/>
      <c r="N219" s="460"/>
      <c r="O219" s="570"/>
      <c r="P219" s="460"/>
      <c r="Q219" s="570"/>
      <c r="R219" s="460"/>
      <c r="S219" s="853"/>
      <c r="T219" s="460"/>
    </row>
    <row r="220" spans="1:20">
      <c r="A220" s="461"/>
      <c r="B220" s="462"/>
      <c r="C220" s="463"/>
      <c r="D220" s="464"/>
      <c r="E220" s="459"/>
      <c r="F220" s="465"/>
      <c r="G220" s="466"/>
      <c r="H220" s="460"/>
      <c r="I220" s="466"/>
      <c r="J220" s="460"/>
      <c r="K220" s="570"/>
      <c r="L220" s="460"/>
      <c r="M220" s="570"/>
      <c r="N220" s="460"/>
      <c r="O220" s="570"/>
      <c r="P220" s="460"/>
      <c r="Q220" s="570"/>
      <c r="R220" s="460"/>
      <c r="S220" s="853"/>
      <c r="T220" s="460"/>
    </row>
    <row r="221" spans="1:20">
      <c r="A221" s="461"/>
      <c r="B221" s="462"/>
      <c r="C221" s="463"/>
      <c r="D221" s="464"/>
      <c r="E221" s="459"/>
      <c r="F221" s="465"/>
      <c r="G221" s="466"/>
      <c r="H221" s="460"/>
      <c r="I221" s="466"/>
      <c r="J221" s="460"/>
      <c r="K221" s="570"/>
      <c r="L221" s="460"/>
      <c r="M221" s="570"/>
      <c r="N221" s="460"/>
      <c r="O221" s="570"/>
      <c r="P221" s="460"/>
      <c r="Q221" s="570"/>
      <c r="R221" s="460"/>
      <c r="S221" s="853"/>
      <c r="T221" s="460"/>
    </row>
    <row r="222" spans="1:20">
      <c r="A222" s="461"/>
      <c r="B222" s="462"/>
      <c r="C222" s="463"/>
      <c r="D222" s="464"/>
      <c r="E222" s="459"/>
      <c r="F222" s="465"/>
      <c r="G222" s="466"/>
      <c r="H222" s="460"/>
      <c r="I222" s="466"/>
      <c r="J222" s="460"/>
      <c r="K222" s="570"/>
      <c r="L222" s="460"/>
      <c r="M222" s="570"/>
      <c r="N222" s="460"/>
      <c r="O222" s="570"/>
      <c r="P222" s="460"/>
      <c r="Q222" s="570"/>
      <c r="R222" s="460"/>
      <c r="S222" s="853"/>
      <c r="T222" s="460"/>
    </row>
    <row r="223" spans="1:20">
      <c r="A223" s="461"/>
      <c r="B223" s="462"/>
      <c r="C223" s="463"/>
      <c r="D223" s="464"/>
      <c r="E223" s="459"/>
      <c r="F223" s="465"/>
      <c r="G223" s="466"/>
      <c r="H223" s="460"/>
      <c r="I223" s="466"/>
      <c r="J223" s="460"/>
      <c r="K223" s="570"/>
      <c r="L223" s="460"/>
      <c r="M223" s="570"/>
      <c r="N223" s="460"/>
      <c r="O223" s="570"/>
      <c r="P223" s="460"/>
      <c r="Q223" s="570"/>
      <c r="R223" s="460"/>
      <c r="S223" s="853"/>
      <c r="T223" s="460"/>
    </row>
    <row r="224" spans="1:20">
      <c r="A224" s="461"/>
      <c r="B224" s="462"/>
      <c r="C224" s="463"/>
      <c r="D224" s="464"/>
      <c r="E224" s="459"/>
      <c r="F224" s="465"/>
      <c r="G224" s="466"/>
      <c r="H224" s="460"/>
      <c r="I224" s="466"/>
      <c r="J224" s="460"/>
      <c r="K224" s="570"/>
      <c r="L224" s="460"/>
      <c r="M224" s="570"/>
      <c r="N224" s="460"/>
      <c r="O224" s="570"/>
      <c r="P224" s="460"/>
      <c r="Q224" s="570"/>
      <c r="R224" s="460"/>
      <c r="S224" s="853"/>
      <c r="T224" s="460"/>
    </row>
    <row r="225" spans="1:20">
      <c r="A225" s="461"/>
      <c r="B225" s="462"/>
      <c r="C225" s="463"/>
      <c r="D225" s="464"/>
      <c r="E225" s="459"/>
      <c r="F225" s="465"/>
      <c r="G225" s="466"/>
      <c r="H225" s="460"/>
      <c r="I225" s="466"/>
      <c r="J225" s="460"/>
      <c r="K225" s="570"/>
      <c r="L225" s="460"/>
      <c r="M225" s="570"/>
      <c r="N225" s="460"/>
      <c r="O225" s="570"/>
      <c r="P225" s="460"/>
      <c r="Q225" s="570"/>
      <c r="R225" s="460"/>
      <c r="S225" s="853"/>
      <c r="T225" s="460"/>
    </row>
    <row r="226" spans="1:20">
      <c r="A226" s="461"/>
      <c r="B226" s="462"/>
      <c r="C226" s="463"/>
      <c r="D226" s="464"/>
      <c r="E226" s="459"/>
      <c r="F226" s="465"/>
      <c r="G226" s="466"/>
      <c r="H226" s="460"/>
      <c r="I226" s="466"/>
      <c r="J226" s="460"/>
      <c r="K226" s="570"/>
      <c r="L226" s="460"/>
      <c r="M226" s="570"/>
      <c r="N226" s="460"/>
      <c r="O226" s="570"/>
      <c r="P226" s="460"/>
      <c r="Q226" s="570"/>
      <c r="R226" s="460"/>
      <c r="S226" s="853"/>
      <c r="T226" s="460"/>
    </row>
    <row r="227" spans="1:20">
      <c r="A227" s="461"/>
      <c r="B227" s="462"/>
      <c r="C227" s="463"/>
      <c r="D227" s="464"/>
      <c r="E227" s="459"/>
      <c r="F227" s="465"/>
      <c r="G227" s="466"/>
      <c r="H227" s="460"/>
      <c r="I227" s="466"/>
      <c r="J227" s="460"/>
      <c r="K227" s="570"/>
      <c r="L227" s="460"/>
      <c r="M227" s="570"/>
      <c r="N227" s="460"/>
      <c r="O227" s="570"/>
      <c r="P227" s="460"/>
      <c r="Q227" s="570"/>
      <c r="R227" s="460"/>
      <c r="S227" s="853"/>
      <c r="T227" s="460"/>
    </row>
    <row r="228" spans="1:20">
      <c r="A228" s="461"/>
      <c r="B228" s="462"/>
      <c r="C228" s="463"/>
      <c r="D228" s="464"/>
      <c r="E228" s="459"/>
      <c r="F228" s="465"/>
      <c r="G228" s="466"/>
      <c r="H228" s="460"/>
      <c r="I228" s="466"/>
      <c r="J228" s="460"/>
      <c r="K228" s="570"/>
      <c r="L228" s="460"/>
      <c r="M228" s="570"/>
      <c r="N228" s="460"/>
      <c r="O228" s="570"/>
      <c r="P228" s="460"/>
      <c r="Q228" s="570"/>
      <c r="R228" s="460"/>
      <c r="S228" s="853"/>
      <c r="T228" s="460"/>
    </row>
    <row r="229" spans="1:20">
      <c r="A229" s="461"/>
      <c r="B229" s="462"/>
      <c r="C229" s="463"/>
      <c r="D229" s="464"/>
      <c r="E229" s="459"/>
      <c r="F229" s="465"/>
      <c r="G229" s="466"/>
      <c r="H229" s="460"/>
      <c r="I229" s="466"/>
      <c r="J229" s="460"/>
      <c r="K229" s="570"/>
      <c r="L229" s="460"/>
      <c r="M229" s="570"/>
      <c r="N229" s="460"/>
      <c r="O229" s="570"/>
      <c r="P229" s="460"/>
      <c r="Q229" s="570"/>
      <c r="R229" s="460"/>
      <c r="S229" s="853"/>
      <c r="T229" s="460"/>
    </row>
    <row r="230" spans="1:20">
      <c r="A230" s="461"/>
      <c r="B230" s="462"/>
      <c r="C230" s="463"/>
      <c r="D230" s="464"/>
      <c r="E230" s="459"/>
      <c r="F230" s="465"/>
      <c r="G230" s="466"/>
      <c r="H230" s="460"/>
      <c r="I230" s="466"/>
      <c r="J230" s="460"/>
      <c r="K230" s="570"/>
      <c r="L230" s="460"/>
      <c r="M230" s="570"/>
      <c r="N230" s="460"/>
      <c r="O230" s="570"/>
      <c r="P230" s="460"/>
      <c r="Q230" s="570"/>
      <c r="R230" s="460"/>
      <c r="S230" s="853"/>
      <c r="T230" s="460"/>
    </row>
    <row r="231" spans="1:20">
      <c r="A231" s="461"/>
      <c r="B231" s="462"/>
      <c r="C231" s="463"/>
      <c r="D231" s="464"/>
      <c r="E231" s="459"/>
      <c r="F231" s="465"/>
      <c r="G231" s="466"/>
      <c r="H231" s="460"/>
      <c r="I231" s="466"/>
      <c r="J231" s="460"/>
      <c r="K231" s="570"/>
      <c r="L231" s="460"/>
      <c r="M231" s="570"/>
      <c r="N231" s="460"/>
      <c r="O231" s="570"/>
      <c r="P231" s="460"/>
      <c r="Q231" s="570"/>
      <c r="R231" s="460"/>
      <c r="S231" s="853"/>
      <c r="T231" s="460"/>
    </row>
    <row r="232" spans="1:20">
      <c r="A232" s="461"/>
      <c r="B232" s="462"/>
      <c r="C232" s="463"/>
      <c r="D232" s="464"/>
      <c r="E232" s="459"/>
      <c r="F232" s="465"/>
      <c r="G232" s="466"/>
      <c r="H232" s="460"/>
      <c r="I232" s="466"/>
      <c r="J232" s="460"/>
      <c r="K232" s="570"/>
      <c r="L232" s="460"/>
      <c r="M232" s="570"/>
      <c r="N232" s="460"/>
      <c r="O232" s="570"/>
      <c r="P232" s="460"/>
      <c r="Q232" s="570"/>
      <c r="R232" s="460"/>
      <c r="S232" s="853"/>
      <c r="T232" s="460"/>
    </row>
    <row r="233" spans="1:20">
      <c r="A233" s="461"/>
      <c r="B233" s="462"/>
      <c r="C233" s="463"/>
      <c r="D233" s="464"/>
      <c r="E233" s="459"/>
      <c r="F233" s="465"/>
      <c r="G233" s="466"/>
      <c r="H233" s="460"/>
      <c r="I233" s="466"/>
      <c r="J233" s="460"/>
      <c r="K233" s="570"/>
      <c r="L233" s="460"/>
      <c r="M233" s="570"/>
      <c r="N233" s="460"/>
      <c r="O233" s="570"/>
      <c r="P233" s="460"/>
      <c r="Q233" s="570"/>
      <c r="R233" s="460"/>
      <c r="S233" s="853"/>
      <c r="T233" s="460"/>
    </row>
    <row r="234" spans="1:20">
      <c r="A234" s="461"/>
      <c r="B234" s="462"/>
      <c r="C234" s="463"/>
      <c r="D234" s="464"/>
      <c r="E234" s="459"/>
      <c r="F234" s="465"/>
      <c r="G234" s="466"/>
      <c r="H234" s="460"/>
      <c r="I234" s="466"/>
      <c r="J234" s="460"/>
      <c r="K234" s="570"/>
      <c r="L234" s="460"/>
      <c r="M234" s="570"/>
      <c r="N234" s="460"/>
      <c r="O234" s="570"/>
      <c r="P234" s="460"/>
      <c r="Q234" s="570"/>
      <c r="R234" s="460"/>
      <c r="S234" s="853"/>
      <c r="T234" s="460"/>
    </row>
    <row r="235" spans="1:20">
      <c r="A235" s="461"/>
      <c r="B235" s="462"/>
      <c r="C235" s="463"/>
      <c r="D235" s="464"/>
      <c r="E235" s="459"/>
      <c r="F235" s="465"/>
      <c r="G235" s="466"/>
      <c r="H235" s="460"/>
      <c r="I235" s="466"/>
      <c r="J235" s="460"/>
      <c r="K235" s="570"/>
      <c r="L235" s="460"/>
      <c r="M235" s="570"/>
      <c r="N235" s="460"/>
      <c r="O235" s="570"/>
      <c r="P235" s="460"/>
      <c r="Q235" s="570"/>
      <c r="R235" s="460"/>
      <c r="S235" s="853"/>
      <c r="T235" s="460"/>
    </row>
    <row r="236" spans="1:20">
      <c r="A236" s="461"/>
      <c r="B236" s="462"/>
      <c r="C236" s="463"/>
      <c r="D236" s="464"/>
      <c r="E236" s="459"/>
      <c r="F236" s="465"/>
      <c r="G236" s="466"/>
      <c r="H236" s="460"/>
      <c r="I236" s="466"/>
      <c r="J236" s="460"/>
      <c r="K236" s="570"/>
      <c r="L236" s="460"/>
      <c r="M236" s="570"/>
      <c r="N236" s="460"/>
      <c r="O236" s="570"/>
      <c r="P236" s="460"/>
      <c r="Q236" s="570"/>
      <c r="R236" s="460"/>
      <c r="S236" s="853"/>
      <c r="T236" s="460"/>
    </row>
    <row r="237" spans="1:20">
      <c r="A237" s="461"/>
      <c r="B237" s="462"/>
      <c r="C237" s="463"/>
      <c r="D237" s="464"/>
      <c r="E237" s="459"/>
      <c r="F237" s="465"/>
      <c r="G237" s="466"/>
      <c r="H237" s="460"/>
      <c r="I237" s="466"/>
      <c r="J237" s="460"/>
      <c r="K237" s="570"/>
      <c r="L237" s="460"/>
      <c r="M237" s="570"/>
      <c r="N237" s="460"/>
      <c r="O237" s="570"/>
      <c r="P237" s="460"/>
      <c r="Q237" s="570"/>
      <c r="R237" s="460"/>
      <c r="S237" s="853"/>
      <c r="T237" s="460"/>
    </row>
    <row r="238" spans="1:20">
      <c r="A238" s="461"/>
      <c r="B238" s="462"/>
      <c r="C238" s="463"/>
      <c r="D238" s="464"/>
      <c r="E238" s="459"/>
      <c r="F238" s="465"/>
      <c r="G238" s="466"/>
      <c r="H238" s="460"/>
      <c r="I238" s="466"/>
      <c r="J238" s="460"/>
      <c r="K238" s="570"/>
      <c r="L238" s="460"/>
      <c r="M238" s="570"/>
      <c r="N238" s="460"/>
      <c r="O238" s="570"/>
      <c r="P238" s="460"/>
      <c r="Q238" s="570"/>
      <c r="R238" s="460"/>
      <c r="S238" s="853"/>
      <c r="T238" s="460"/>
    </row>
    <row r="239" spans="1:20">
      <c r="A239" s="461"/>
      <c r="B239" s="462"/>
      <c r="C239" s="463"/>
      <c r="D239" s="464"/>
      <c r="E239" s="459"/>
      <c r="F239" s="465"/>
      <c r="G239" s="466"/>
      <c r="H239" s="460"/>
      <c r="I239" s="466"/>
      <c r="J239" s="460"/>
      <c r="K239" s="570"/>
      <c r="L239" s="460"/>
      <c r="M239" s="570"/>
      <c r="N239" s="460"/>
      <c r="O239" s="570"/>
      <c r="P239" s="460"/>
      <c r="Q239" s="570"/>
      <c r="R239" s="460"/>
      <c r="S239" s="853"/>
      <c r="T239" s="460"/>
    </row>
    <row r="240" spans="1:20">
      <c r="A240" s="461"/>
      <c r="B240" s="462"/>
      <c r="C240" s="463"/>
      <c r="D240" s="464"/>
      <c r="E240" s="459"/>
      <c r="F240" s="465"/>
      <c r="G240" s="466"/>
      <c r="H240" s="460"/>
      <c r="I240" s="466"/>
      <c r="J240" s="460"/>
      <c r="K240" s="570"/>
      <c r="L240" s="460"/>
      <c r="M240" s="570"/>
      <c r="N240" s="460"/>
      <c r="O240" s="570"/>
      <c r="P240" s="460"/>
      <c r="Q240" s="570"/>
      <c r="R240" s="460"/>
      <c r="S240" s="853"/>
      <c r="T240" s="460"/>
    </row>
    <row r="241" spans="1:20">
      <c r="A241" s="461"/>
      <c r="B241" s="462"/>
      <c r="C241" s="463"/>
      <c r="D241" s="464"/>
      <c r="E241" s="459"/>
      <c r="F241" s="465"/>
      <c r="G241" s="466"/>
      <c r="H241" s="460"/>
      <c r="I241" s="466"/>
      <c r="J241" s="460"/>
      <c r="K241" s="570"/>
      <c r="L241" s="460"/>
      <c r="M241" s="570"/>
      <c r="N241" s="460"/>
      <c r="O241" s="570"/>
      <c r="P241" s="460"/>
      <c r="Q241" s="570"/>
      <c r="R241" s="460"/>
      <c r="S241" s="853"/>
      <c r="T241" s="460"/>
    </row>
    <row r="242" spans="1:20">
      <c r="A242" s="461"/>
      <c r="B242" s="462"/>
      <c r="C242" s="463"/>
      <c r="D242" s="464"/>
      <c r="E242" s="459"/>
      <c r="F242" s="465"/>
      <c r="G242" s="466"/>
      <c r="H242" s="460"/>
      <c r="I242" s="466"/>
      <c r="J242" s="460"/>
      <c r="K242" s="570"/>
      <c r="L242" s="460"/>
      <c r="M242" s="570"/>
      <c r="N242" s="460"/>
      <c r="O242" s="570"/>
      <c r="P242" s="460"/>
      <c r="Q242" s="570"/>
      <c r="R242" s="460"/>
      <c r="S242" s="853"/>
      <c r="T242" s="460"/>
    </row>
    <row r="243" spans="1:20">
      <c r="A243" s="461"/>
      <c r="B243" s="462"/>
      <c r="C243" s="463"/>
      <c r="D243" s="464"/>
      <c r="E243" s="459"/>
      <c r="F243" s="465"/>
      <c r="G243" s="466"/>
      <c r="H243" s="460"/>
      <c r="I243" s="466"/>
      <c r="J243" s="460"/>
      <c r="K243" s="570"/>
      <c r="L243" s="460"/>
      <c r="M243" s="570"/>
      <c r="N243" s="460"/>
      <c r="O243" s="570"/>
      <c r="P243" s="460"/>
      <c r="Q243" s="570"/>
      <c r="R243" s="460"/>
      <c r="S243" s="853"/>
      <c r="T243" s="460"/>
    </row>
    <row r="244" spans="1:20">
      <c r="A244" s="461"/>
      <c r="B244" s="462"/>
      <c r="C244" s="463"/>
      <c r="D244" s="464"/>
      <c r="E244" s="459"/>
      <c r="F244" s="465"/>
      <c r="G244" s="466"/>
      <c r="H244" s="460"/>
      <c r="I244" s="466"/>
      <c r="J244" s="460"/>
      <c r="K244" s="570"/>
      <c r="L244" s="460"/>
      <c r="M244" s="570"/>
      <c r="N244" s="460"/>
      <c r="O244" s="570"/>
      <c r="P244" s="460"/>
      <c r="Q244" s="570"/>
      <c r="R244" s="460"/>
      <c r="S244" s="853"/>
      <c r="T244" s="460"/>
    </row>
    <row r="245" spans="1:20">
      <c r="A245" s="461"/>
      <c r="B245" s="462"/>
      <c r="C245" s="463"/>
      <c r="D245" s="464"/>
      <c r="E245" s="459"/>
      <c r="F245" s="465"/>
      <c r="G245" s="466"/>
      <c r="H245" s="460"/>
      <c r="I245" s="466"/>
      <c r="J245" s="460"/>
      <c r="K245" s="570"/>
      <c r="L245" s="460"/>
      <c r="M245" s="570"/>
      <c r="N245" s="460"/>
      <c r="O245" s="570"/>
      <c r="P245" s="460"/>
      <c r="Q245" s="570"/>
      <c r="R245" s="460"/>
      <c r="S245" s="853"/>
      <c r="T245" s="460"/>
    </row>
    <row r="246" spans="1:20">
      <c r="A246" s="461"/>
      <c r="B246" s="462"/>
      <c r="C246" s="463"/>
      <c r="D246" s="464"/>
      <c r="E246" s="459"/>
      <c r="F246" s="465"/>
      <c r="G246" s="466"/>
      <c r="H246" s="460"/>
      <c r="I246" s="466"/>
      <c r="J246" s="460"/>
      <c r="K246" s="570"/>
      <c r="L246" s="460"/>
      <c r="M246" s="570"/>
      <c r="N246" s="460"/>
      <c r="O246" s="570"/>
      <c r="P246" s="460"/>
      <c r="Q246" s="570"/>
      <c r="R246" s="460"/>
      <c r="S246" s="853"/>
      <c r="T246" s="460"/>
    </row>
    <row r="247" spans="1:20">
      <c r="A247" s="461"/>
      <c r="B247" s="462"/>
      <c r="C247" s="463"/>
      <c r="D247" s="464"/>
      <c r="E247" s="459"/>
      <c r="F247" s="465"/>
      <c r="G247" s="466"/>
      <c r="H247" s="460"/>
      <c r="I247" s="466"/>
      <c r="J247" s="460"/>
      <c r="K247" s="570"/>
      <c r="L247" s="460"/>
      <c r="M247" s="570"/>
      <c r="N247" s="460"/>
      <c r="O247" s="570"/>
      <c r="P247" s="460"/>
      <c r="Q247" s="570"/>
      <c r="R247" s="460"/>
      <c r="S247" s="853"/>
      <c r="T247" s="460"/>
    </row>
    <row r="248" spans="1:20">
      <c r="A248" s="461"/>
      <c r="B248" s="462"/>
      <c r="C248" s="463"/>
      <c r="D248" s="464"/>
      <c r="E248" s="459"/>
      <c r="F248" s="465"/>
      <c r="G248" s="466"/>
      <c r="H248" s="460"/>
      <c r="I248" s="466"/>
      <c r="J248" s="460"/>
      <c r="K248" s="570"/>
      <c r="L248" s="460"/>
      <c r="M248" s="570"/>
      <c r="N248" s="460"/>
      <c r="O248" s="570"/>
      <c r="P248" s="460"/>
      <c r="Q248" s="570"/>
      <c r="R248" s="460"/>
      <c r="S248" s="853"/>
      <c r="T248" s="460"/>
    </row>
    <row r="249" spans="1:20">
      <c r="A249" s="461"/>
      <c r="B249" s="462"/>
      <c r="C249" s="463"/>
      <c r="D249" s="464"/>
      <c r="E249" s="459"/>
      <c r="F249" s="465"/>
      <c r="G249" s="466"/>
      <c r="H249" s="460"/>
      <c r="I249" s="466"/>
      <c r="J249" s="460"/>
      <c r="K249" s="570"/>
      <c r="L249" s="460"/>
      <c r="M249" s="570"/>
      <c r="N249" s="460"/>
      <c r="O249" s="570"/>
      <c r="P249" s="460"/>
      <c r="Q249" s="570"/>
      <c r="R249" s="460"/>
      <c r="S249" s="853"/>
      <c r="T249" s="460"/>
    </row>
    <row r="250" spans="1:20">
      <c r="A250" s="461"/>
      <c r="B250" s="462"/>
      <c r="C250" s="463"/>
      <c r="D250" s="464"/>
      <c r="E250" s="459"/>
      <c r="F250" s="465"/>
      <c r="G250" s="466"/>
      <c r="H250" s="460"/>
      <c r="I250" s="466"/>
      <c r="J250" s="460"/>
      <c r="K250" s="570"/>
      <c r="L250" s="460"/>
      <c r="M250" s="570"/>
      <c r="N250" s="460"/>
      <c r="O250" s="570"/>
      <c r="P250" s="460"/>
      <c r="Q250" s="570"/>
      <c r="R250" s="460"/>
      <c r="S250" s="853"/>
      <c r="T250" s="460"/>
    </row>
    <row r="251" spans="1:20">
      <c r="A251" s="461"/>
      <c r="B251" s="462"/>
      <c r="C251" s="463"/>
      <c r="D251" s="464"/>
      <c r="E251" s="459"/>
      <c r="F251" s="465"/>
      <c r="G251" s="466"/>
      <c r="H251" s="460"/>
      <c r="I251" s="466"/>
      <c r="J251" s="460"/>
      <c r="K251" s="570"/>
      <c r="L251" s="460"/>
      <c r="M251" s="570"/>
      <c r="N251" s="460"/>
      <c r="O251" s="570"/>
      <c r="P251" s="460"/>
      <c r="Q251" s="570"/>
      <c r="R251" s="460"/>
      <c r="S251" s="853"/>
      <c r="T251" s="460"/>
    </row>
    <row r="252" spans="1:20">
      <c r="A252" s="461"/>
      <c r="B252" s="462"/>
      <c r="C252" s="463"/>
      <c r="D252" s="464"/>
      <c r="E252" s="459"/>
      <c r="F252" s="465"/>
      <c r="G252" s="466"/>
      <c r="H252" s="460"/>
      <c r="I252" s="466"/>
      <c r="J252" s="460"/>
      <c r="K252" s="570"/>
      <c r="L252" s="460"/>
      <c r="M252" s="570"/>
      <c r="N252" s="460"/>
      <c r="O252" s="570"/>
      <c r="P252" s="460"/>
      <c r="Q252" s="570"/>
      <c r="R252" s="460"/>
      <c r="S252" s="853"/>
      <c r="T252" s="460"/>
    </row>
    <row r="253" spans="1:20">
      <c r="A253" s="461"/>
      <c r="B253" s="462"/>
      <c r="C253" s="463"/>
      <c r="D253" s="464"/>
      <c r="E253" s="459"/>
      <c r="F253" s="465"/>
      <c r="G253" s="466"/>
      <c r="H253" s="460"/>
      <c r="I253" s="466"/>
      <c r="J253" s="460"/>
      <c r="K253" s="570"/>
      <c r="L253" s="460"/>
      <c r="M253" s="570"/>
      <c r="N253" s="460"/>
      <c r="O253" s="570"/>
      <c r="P253" s="460"/>
      <c r="Q253" s="570"/>
      <c r="R253" s="460"/>
      <c r="S253" s="853"/>
      <c r="T253" s="460"/>
    </row>
    <row r="254" spans="1:20">
      <c r="A254" s="461"/>
      <c r="B254" s="462"/>
      <c r="C254" s="463"/>
      <c r="D254" s="464"/>
      <c r="E254" s="459"/>
      <c r="F254" s="465"/>
      <c r="G254" s="466"/>
      <c r="H254" s="460"/>
      <c r="I254" s="466"/>
      <c r="J254" s="460"/>
      <c r="K254" s="570"/>
      <c r="L254" s="460"/>
      <c r="M254" s="570"/>
      <c r="N254" s="460"/>
      <c r="O254" s="570"/>
      <c r="P254" s="460"/>
      <c r="Q254" s="570"/>
      <c r="R254" s="460"/>
      <c r="S254" s="853"/>
      <c r="T254" s="460"/>
    </row>
    <row r="255" spans="1:20">
      <c r="A255" s="461"/>
      <c r="B255" s="462"/>
      <c r="C255" s="463"/>
      <c r="D255" s="464"/>
      <c r="E255" s="459"/>
      <c r="F255" s="465"/>
      <c r="G255" s="466"/>
      <c r="H255" s="460"/>
      <c r="I255" s="466"/>
      <c r="J255" s="460"/>
      <c r="K255" s="570"/>
      <c r="L255" s="460"/>
      <c r="M255" s="570"/>
      <c r="N255" s="460"/>
      <c r="O255" s="570"/>
      <c r="P255" s="460"/>
      <c r="Q255" s="570"/>
      <c r="R255" s="460"/>
      <c r="S255" s="853"/>
      <c r="T255" s="460"/>
    </row>
    <row r="256" spans="1:20">
      <c r="A256" s="461"/>
      <c r="B256" s="462"/>
      <c r="C256" s="463"/>
      <c r="D256" s="464"/>
      <c r="E256" s="459"/>
      <c r="F256" s="465"/>
      <c r="G256" s="466"/>
      <c r="H256" s="460"/>
      <c r="I256" s="466"/>
      <c r="J256" s="460"/>
      <c r="K256" s="570"/>
      <c r="L256" s="460"/>
      <c r="M256" s="570"/>
      <c r="N256" s="460"/>
      <c r="O256" s="570"/>
      <c r="P256" s="460"/>
      <c r="Q256" s="570"/>
      <c r="R256" s="460"/>
      <c r="S256" s="853"/>
      <c r="T256" s="460"/>
    </row>
    <row r="257" spans="1:20">
      <c r="A257" s="461"/>
      <c r="B257" s="462"/>
      <c r="C257" s="463"/>
      <c r="D257" s="464"/>
      <c r="E257" s="459"/>
      <c r="F257" s="465"/>
      <c r="G257" s="466"/>
      <c r="H257" s="460"/>
      <c r="I257" s="466"/>
      <c r="J257" s="460"/>
      <c r="K257" s="570"/>
      <c r="L257" s="460"/>
      <c r="M257" s="570"/>
      <c r="N257" s="460"/>
      <c r="O257" s="570"/>
      <c r="P257" s="460"/>
      <c r="Q257" s="570"/>
      <c r="R257" s="460"/>
      <c r="S257" s="853"/>
      <c r="T257" s="460"/>
    </row>
    <row r="258" spans="1:20">
      <c r="A258" s="461"/>
      <c r="B258" s="462"/>
      <c r="C258" s="463"/>
      <c r="D258" s="464"/>
      <c r="E258" s="459"/>
      <c r="F258" s="465"/>
      <c r="G258" s="466"/>
      <c r="H258" s="460"/>
      <c r="I258" s="466"/>
      <c r="J258" s="460"/>
      <c r="K258" s="570"/>
      <c r="L258" s="460"/>
      <c r="M258" s="570"/>
      <c r="N258" s="460"/>
      <c r="O258" s="570"/>
      <c r="P258" s="460"/>
      <c r="Q258" s="570"/>
      <c r="R258" s="460"/>
      <c r="S258" s="853"/>
      <c r="T258" s="460"/>
    </row>
    <row r="259" spans="1:20">
      <c r="A259" s="461"/>
      <c r="B259" s="462"/>
      <c r="C259" s="463"/>
      <c r="D259" s="464"/>
      <c r="E259" s="459"/>
      <c r="F259" s="465"/>
      <c r="G259" s="466"/>
      <c r="H259" s="460"/>
      <c r="I259" s="466"/>
      <c r="J259" s="460"/>
      <c r="K259" s="570"/>
      <c r="L259" s="460"/>
      <c r="M259" s="570"/>
      <c r="N259" s="460"/>
      <c r="O259" s="570"/>
      <c r="P259" s="460"/>
      <c r="Q259" s="570"/>
      <c r="R259" s="460"/>
      <c r="S259" s="853"/>
      <c r="T259" s="460"/>
    </row>
    <row r="260" spans="1:20">
      <c r="A260" s="461"/>
      <c r="B260" s="462"/>
      <c r="C260" s="463"/>
      <c r="D260" s="464"/>
      <c r="E260" s="459"/>
      <c r="F260" s="465"/>
      <c r="G260" s="466"/>
      <c r="H260" s="460"/>
      <c r="I260" s="466"/>
      <c r="J260" s="460"/>
      <c r="K260" s="570"/>
      <c r="L260" s="460"/>
      <c r="M260" s="570"/>
      <c r="N260" s="460"/>
      <c r="O260" s="570"/>
      <c r="P260" s="460"/>
      <c r="Q260" s="570"/>
      <c r="R260" s="460"/>
      <c r="S260" s="853"/>
      <c r="T260" s="460"/>
    </row>
    <row r="261" spans="1:20">
      <c r="A261" s="461"/>
      <c r="B261" s="462"/>
      <c r="C261" s="463"/>
      <c r="D261" s="464"/>
      <c r="E261" s="459"/>
      <c r="F261" s="465"/>
      <c r="G261" s="466"/>
      <c r="H261" s="460"/>
      <c r="I261" s="466"/>
      <c r="J261" s="460"/>
      <c r="K261" s="570"/>
      <c r="L261" s="460"/>
      <c r="M261" s="570"/>
      <c r="N261" s="460"/>
      <c r="O261" s="570"/>
      <c r="P261" s="460"/>
      <c r="Q261" s="570"/>
      <c r="R261" s="460"/>
      <c r="S261" s="853"/>
      <c r="T261" s="460"/>
    </row>
    <row r="262" spans="1:20">
      <c r="A262" s="461"/>
      <c r="B262" s="462"/>
      <c r="C262" s="463"/>
      <c r="D262" s="464"/>
      <c r="E262" s="459"/>
      <c r="F262" s="465"/>
      <c r="G262" s="466"/>
      <c r="H262" s="460"/>
      <c r="I262" s="466"/>
      <c r="J262" s="460"/>
      <c r="K262" s="570"/>
      <c r="L262" s="460"/>
      <c r="M262" s="570"/>
      <c r="N262" s="460"/>
      <c r="O262" s="570"/>
      <c r="P262" s="460"/>
      <c r="Q262" s="570"/>
      <c r="R262" s="460"/>
      <c r="S262" s="853"/>
      <c r="T262" s="460"/>
    </row>
    <row r="263" spans="1:20">
      <c r="A263" s="461"/>
      <c r="B263" s="462"/>
      <c r="C263" s="463"/>
      <c r="D263" s="464"/>
      <c r="E263" s="459"/>
      <c r="F263" s="465"/>
      <c r="G263" s="466"/>
      <c r="H263" s="460"/>
      <c r="I263" s="466"/>
      <c r="J263" s="460"/>
      <c r="K263" s="570"/>
      <c r="L263" s="460"/>
      <c r="M263" s="570"/>
      <c r="N263" s="460"/>
      <c r="O263" s="570"/>
      <c r="P263" s="460"/>
      <c r="Q263" s="570"/>
      <c r="R263" s="460"/>
      <c r="S263" s="853"/>
      <c r="T263" s="460"/>
    </row>
    <row r="264" spans="1:20">
      <c r="A264" s="461"/>
      <c r="B264" s="462"/>
      <c r="C264" s="463"/>
      <c r="D264" s="464"/>
      <c r="E264" s="459"/>
      <c r="F264" s="465"/>
      <c r="G264" s="466"/>
      <c r="H264" s="460"/>
      <c r="I264" s="466"/>
      <c r="J264" s="460"/>
      <c r="K264" s="570"/>
      <c r="L264" s="460"/>
      <c r="M264" s="570"/>
      <c r="N264" s="460"/>
      <c r="O264" s="570"/>
      <c r="P264" s="460"/>
      <c r="Q264" s="570"/>
      <c r="R264" s="460"/>
      <c r="S264" s="853"/>
      <c r="T264" s="460"/>
    </row>
    <row r="265" spans="1:20">
      <c r="A265" s="461"/>
      <c r="B265" s="462"/>
      <c r="C265" s="463"/>
      <c r="D265" s="464"/>
      <c r="E265" s="459"/>
      <c r="F265" s="465"/>
      <c r="G265" s="466"/>
      <c r="H265" s="460"/>
      <c r="I265" s="466"/>
      <c r="J265" s="460"/>
      <c r="K265" s="570"/>
      <c r="L265" s="460"/>
      <c r="M265" s="570"/>
      <c r="N265" s="460"/>
      <c r="O265" s="570"/>
      <c r="P265" s="460"/>
      <c r="Q265" s="570"/>
      <c r="R265" s="460"/>
      <c r="S265" s="853"/>
      <c r="T265" s="460"/>
    </row>
    <row r="266" spans="1:20">
      <c r="A266" s="461"/>
      <c r="B266" s="462"/>
      <c r="C266" s="463"/>
      <c r="D266" s="464"/>
      <c r="E266" s="459"/>
      <c r="F266" s="465"/>
      <c r="G266" s="466"/>
      <c r="H266" s="460"/>
      <c r="I266" s="466"/>
      <c r="J266" s="460"/>
      <c r="K266" s="570"/>
      <c r="L266" s="460"/>
      <c r="M266" s="570"/>
      <c r="N266" s="460"/>
      <c r="O266" s="570"/>
      <c r="P266" s="460"/>
      <c r="Q266" s="570"/>
      <c r="R266" s="460"/>
      <c r="S266" s="853"/>
      <c r="T266" s="460"/>
    </row>
    <row r="267" spans="1:20">
      <c r="A267" s="461"/>
      <c r="B267" s="462"/>
      <c r="C267" s="463"/>
      <c r="D267" s="464"/>
      <c r="E267" s="459"/>
      <c r="F267" s="465"/>
      <c r="G267" s="466"/>
      <c r="H267" s="460"/>
      <c r="I267" s="466"/>
      <c r="J267" s="460"/>
      <c r="K267" s="570"/>
      <c r="L267" s="460"/>
      <c r="M267" s="570"/>
      <c r="N267" s="460"/>
      <c r="O267" s="570"/>
      <c r="P267" s="460"/>
      <c r="Q267" s="570"/>
      <c r="R267" s="460"/>
      <c r="S267" s="853"/>
      <c r="T267" s="460"/>
    </row>
    <row r="268" spans="1:20">
      <c r="A268" s="461"/>
      <c r="B268" s="462"/>
      <c r="C268" s="463"/>
      <c r="D268" s="464"/>
      <c r="E268" s="459"/>
      <c r="F268" s="465"/>
      <c r="G268" s="466"/>
      <c r="H268" s="460"/>
      <c r="I268" s="466"/>
      <c r="J268" s="460"/>
      <c r="K268" s="570"/>
      <c r="L268" s="460"/>
      <c r="M268" s="570"/>
      <c r="N268" s="460"/>
      <c r="O268" s="570"/>
      <c r="P268" s="460"/>
      <c r="Q268" s="570"/>
      <c r="R268" s="460"/>
      <c r="S268" s="853"/>
      <c r="T268" s="460"/>
    </row>
    <row r="269" spans="1:20">
      <c r="A269" s="461"/>
      <c r="B269" s="462"/>
      <c r="C269" s="463"/>
      <c r="D269" s="464"/>
      <c r="E269" s="459"/>
      <c r="F269" s="465"/>
      <c r="G269" s="466"/>
      <c r="H269" s="460"/>
      <c r="I269" s="466"/>
      <c r="J269" s="460"/>
      <c r="K269" s="570"/>
      <c r="L269" s="460"/>
      <c r="M269" s="570"/>
      <c r="N269" s="460"/>
      <c r="O269" s="570"/>
      <c r="P269" s="460"/>
      <c r="Q269" s="570"/>
      <c r="R269" s="460"/>
      <c r="S269" s="853"/>
      <c r="T269" s="460"/>
    </row>
    <row r="270" spans="1:20">
      <c r="A270" s="461"/>
      <c r="B270" s="462"/>
      <c r="C270" s="463"/>
      <c r="D270" s="464"/>
      <c r="E270" s="459"/>
      <c r="F270" s="465"/>
      <c r="G270" s="466"/>
      <c r="H270" s="460"/>
      <c r="I270" s="466"/>
      <c r="J270" s="460"/>
      <c r="K270" s="570"/>
      <c r="L270" s="460"/>
      <c r="M270" s="570"/>
      <c r="N270" s="460"/>
      <c r="O270" s="570"/>
      <c r="P270" s="460"/>
      <c r="Q270" s="570"/>
      <c r="R270" s="460"/>
      <c r="S270" s="853"/>
      <c r="T270" s="460"/>
    </row>
    <row r="271" spans="1:20">
      <c r="A271" s="461"/>
      <c r="B271" s="462"/>
      <c r="C271" s="463"/>
      <c r="D271" s="464"/>
      <c r="E271" s="459"/>
      <c r="F271" s="465"/>
      <c r="G271" s="466"/>
      <c r="H271" s="460"/>
      <c r="I271" s="466"/>
      <c r="J271" s="460"/>
      <c r="K271" s="570"/>
      <c r="L271" s="460"/>
      <c r="M271" s="570"/>
      <c r="N271" s="460"/>
      <c r="O271" s="570"/>
      <c r="P271" s="460"/>
      <c r="Q271" s="570"/>
      <c r="R271" s="460"/>
      <c r="S271" s="853"/>
      <c r="T271" s="460"/>
    </row>
    <row r="272" spans="1:20">
      <c r="A272" s="461"/>
      <c r="B272" s="462"/>
      <c r="C272" s="463"/>
      <c r="D272" s="464"/>
      <c r="E272" s="459"/>
      <c r="F272" s="465"/>
      <c r="G272" s="466"/>
      <c r="H272" s="460"/>
      <c r="I272" s="466"/>
      <c r="J272" s="460"/>
      <c r="K272" s="570"/>
      <c r="L272" s="460"/>
      <c r="M272" s="570"/>
      <c r="N272" s="460"/>
      <c r="O272" s="570"/>
      <c r="P272" s="460"/>
      <c r="Q272" s="570"/>
      <c r="R272" s="460"/>
      <c r="S272" s="853"/>
      <c r="T272" s="460"/>
    </row>
    <row r="273" spans="1:20">
      <c r="A273" s="461"/>
      <c r="B273" s="462"/>
      <c r="C273" s="463"/>
      <c r="D273" s="464"/>
      <c r="E273" s="459"/>
      <c r="F273" s="465"/>
      <c r="G273" s="466"/>
      <c r="H273" s="460"/>
      <c r="I273" s="466"/>
      <c r="J273" s="460"/>
      <c r="K273" s="570"/>
      <c r="L273" s="460"/>
      <c r="M273" s="570"/>
      <c r="N273" s="460"/>
      <c r="O273" s="570"/>
      <c r="P273" s="460"/>
      <c r="Q273" s="570"/>
      <c r="R273" s="460"/>
      <c r="S273" s="853"/>
      <c r="T273" s="460"/>
    </row>
    <row r="274" spans="1:20">
      <c r="A274" s="461"/>
      <c r="B274" s="462"/>
      <c r="C274" s="463"/>
      <c r="D274" s="464"/>
      <c r="E274" s="459"/>
      <c r="F274" s="465"/>
      <c r="G274" s="466"/>
      <c r="H274" s="460"/>
      <c r="I274" s="466"/>
      <c r="J274" s="460"/>
      <c r="K274" s="570"/>
      <c r="L274" s="460"/>
      <c r="M274" s="570"/>
      <c r="N274" s="460"/>
      <c r="O274" s="570"/>
      <c r="P274" s="460"/>
      <c r="Q274" s="570"/>
      <c r="R274" s="460"/>
      <c r="S274" s="853"/>
      <c r="T274" s="460"/>
    </row>
    <row r="275" spans="1:20">
      <c r="A275" s="461"/>
      <c r="B275" s="462"/>
      <c r="C275" s="463"/>
      <c r="D275" s="464"/>
      <c r="E275" s="459"/>
      <c r="F275" s="465"/>
      <c r="G275" s="466"/>
      <c r="H275" s="460"/>
      <c r="I275" s="466"/>
      <c r="J275" s="460"/>
      <c r="K275" s="570"/>
      <c r="L275" s="460"/>
      <c r="M275" s="570"/>
      <c r="N275" s="460"/>
      <c r="O275" s="570"/>
      <c r="P275" s="460"/>
      <c r="Q275" s="570"/>
      <c r="R275" s="460"/>
      <c r="S275" s="853"/>
      <c r="T275" s="460"/>
    </row>
    <row r="276" spans="1:20">
      <c r="A276" s="461"/>
      <c r="B276" s="462"/>
      <c r="C276" s="463"/>
      <c r="D276" s="464"/>
      <c r="E276" s="459"/>
      <c r="F276" s="465"/>
      <c r="G276" s="466"/>
      <c r="H276" s="460"/>
      <c r="I276" s="466"/>
      <c r="J276" s="460"/>
      <c r="K276" s="570"/>
      <c r="L276" s="460"/>
      <c r="M276" s="570"/>
      <c r="N276" s="460"/>
      <c r="O276" s="570"/>
      <c r="P276" s="460"/>
      <c r="Q276" s="570"/>
      <c r="R276" s="460"/>
      <c r="S276" s="853"/>
      <c r="T276" s="460"/>
    </row>
    <row r="277" spans="1:20">
      <c r="A277" s="461"/>
      <c r="B277" s="462"/>
      <c r="C277" s="463"/>
      <c r="D277" s="464"/>
      <c r="E277" s="459"/>
      <c r="F277" s="465"/>
      <c r="G277" s="466"/>
      <c r="H277" s="460"/>
      <c r="I277" s="466"/>
      <c r="J277" s="460"/>
      <c r="K277" s="570"/>
      <c r="L277" s="460"/>
      <c r="M277" s="570"/>
      <c r="N277" s="460"/>
      <c r="O277" s="570"/>
      <c r="P277" s="460"/>
      <c r="Q277" s="570"/>
      <c r="R277" s="460"/>
      <c r="S277" s="853"/>
      <c r="T277" s="460"/>
    </row>
    <row r="278" spans="1:20">
      <c r="A278" s="461"/>
      <c r="B278" s="462"/>
      <c r="C278" s="463"/>
      <c r="D278" s="464"/>
      <c r="E278" s="459"/>
      <c r="F278" s="465"/>
      <c r="G278" s="466"/>
      <c r="H278" s="460"/>
      <c r="I278" s="466"/>
      <c r="J278" s="460"/>
      <c r="K278" s="570"/>
      <c r="L278" s="460"/>
      <c r="M278" s="570"/>
      <c r="N278" s="460"/>
      <c r="O278" s="570"/>
      <c r="P278" s="460"/>
      <c r="Q278" s="570"/>
      <c r="R278" s="460"/>
      <c r="S278" s="853"/>
      <c r="T278" s="460"/>
    </row>
    <row r="279" spans="1:20">
      <c r="A279" s="461"/>
      <c r="B279" s="462"/>
      <c r="C279" s="463"/>
      <c r="D279" s="464"/>
      <c r="E279" s="459"/>
      <c r="F279" s="465"/>
      <c r="G279" s="466"/>
      <c r="H279" s="460"/>
      <c r="I279" s="466"/>
      <c r="J279" s="460"/>
      <c r="K279" s="570"/>
      <c r="L279" s="460"/>
      <c r="M279" s="570"/>
      <c r="N279" s="460"/>
      <c r="O279" s="570"/>
      <c r="P279" s="460"/>
      <c r="Q279" s="570"/>
      <c r="R279" s="460"/>
      <c r="S279" s="853"/>
      <c r="T279" s="460"/>
    </row>
    <row r="280" spans="1:20">
      <c r="A280" s="461"/>
      <c r="B280" s="462"/>
      <c r="C280" s="463"/>
      <c r="D280" s="464"/>
      <c r="E280" s="459"/>
      <c r="F280" s="465"/>
      <c r="G280" s="466"/>
      <c r="H280" s="460"/>
      <c r="I280" s="466"/>
      <c r="J280" s="460"/>
      <c r="K280" s="570"/>
      <c r="L280" s="460"/>
      <c r="M280" s="570"/>
      <c r="N280" s="460"/>
      <c r="O280" s="570"/>
      <c r="P280" s="460"/>
      <c r="Q280" s="570"/>
      <c r="R280" s="460"/>
      <c r="S280" s="853"/>
      <c r="T280" s="460"/>
    </row>
    <row r="281" spans="1:20">
      <c r="A281" s="461"/>
      <c r="B281" s="462"/>
      <c r="C281" s="463"/>
      <c r="D281" s="464"/>
      <c r="E281" s="459"/>
      <c r="F281" s="465"/>
      <c r="G281" s="466"/>
      <c r="H281" s="460"/>
      <c r="I281" s="466"/>
      <c r="J281" s="460"/>
      <c r="K281" s="570"/>
      <c r="L281" s="460"/>
      <c r="M281" s="570"/>
      <c r="N281" s="460"/>
      <c r="O281" s="570"/>
      <c r="P281" s="460"/>
      <c r="Q281" s="570"/>
      <c r="R281" s="460"/>
      <c r="S281" s="853"/>
      <c r="T281" s="460"/>
    </row>
    <row r="282" spans="1:20">
      <c r="A282" s="461"/>
      <c r="B282" s="462"/>
      <c r="C282" s="463"/>
      <c r="D282" s="464"/>
      <c r="E282" s="459"/>
      <c r="F282" s="465"/>
      <c r="G282" s="466"/>
      <c r="H282" s="460"/>
      <c r="I282" s="466"/>
      <c r="J282" s="460"/>
      <c r="K282" s="570"/>
      <c r="L282" s="460"/>
      <c r="M282" s="570"/>
      <c r="N282" s="460"/>
      <c r="O282" s="570"/>
      <c r="P282" s="460"/>
      <c r="Q282" s="570"/>
      <c r="R282" s="460"/>
      <c r="S282" s="853"/>
      <c r="T282" s="460"/>
    </row>
    <row r="283" spans="1:20">
      <c r="A283" s="461"/>
      <c r="B283" s="462"/>
      <c r="C283" s="463"/>
      <c r="D283" s="464"/>
      <c r="E283" s="459"/>
      <c r="F283" s="465"/>
      <c r="G283" s="466"/>
      <c r="H283" s="460"/>
      <c r="I283" s="466"/>
      <c r="J283" s="460"/>
      <c r="K283" s="570"/>
      <c r="L283" s="460"/>
      <c r="M283" s="570"/>
      <c r="N283" s="460"/>
      <c r="O283" s="570"/>
      <c r="P283" s="460"/>
      <c r="Q283" s="570"/>
      <c r="R283" s="460"/>
      <c r="S283" s="853"/>
      <c r="T283" s="460"/>
    </row>
    <row r="284" spans="1:20">
      <c r="A284" s="461"/>
      <c r="B284" s="462"/>
      <c r="C284" s="463"/>
      <c r="D284" s="464"/>
      <c r="E284" s="459"/>
      <c r="F284" s="465"/>
      <c r="G284" s="466"/>
      <c r="H284" s="460"/>
      <c r="I284" s="466"/>
      <c r="J284" s="460"/>
      <c r="K284" s="570"/>
      <c r="L284" s="460"/>
      <c r="M284" s="570"/>
      <c r="N284" s="460"/>
      <c r="O284" s="570"/>
      <c r="P284" s="460"/>
      <c r="Q284" s="570"/>
      <c r="R284" s="460"/>
      <c r="S284" s="853"/>
      <c r="T284" s="460"/>
    </row>
    <row r="285" spans="1:20">
      <c r="A285" s="461"/>
      <c r="B285" s="462"/>
      <c r="C285" s="463"/>
      <c r="D285" s="464"/>
      <c r="E285" s="459"/>
      <c r="F285" s="465"/>
      <c r="G285" s="466"/>
      <c r="H285" s="460"/>
      <c r="I285" s="466"/>
      <c r="J285" s="460"/>
      <c r="K285" s="570"/>
      <c r="L285" s="460"/>
      <c r="M285" s="570"/>
      <c r="N285" s="460"/>
      <c r="O285" s="570"/>
      <c r="P285" s="460"/>
      <c r="Q285" s="570"/>
      <c r="R285" s="460"/>
      <c r="S285" s="853"/>
      <c r="T285" s="460"/>
    </row>
    <row r="286" spans="1:20">
      <c r="A286" s="461"/>
      <c r="B286" s="462"/>
      <c r="C286" s="463"/>
      <c r="D286" s="464"/>
      <c r="E286" s="459"/>
      <c r="F286" s="465"/>
      <c r="G286" s="466"/>
      <c r="H286" s="460"/>
      <c r="I286" s="466"/>
      <c r="J286" s="460"/>
      <c r="K286" s="570"/>
      <c r="L286" s="460"/>
      <c r="M286" s="570"/>
      <c r="N286" s="460"/>
      <c r="O286" s="570"/>
      <c r="P286" s="460"/>
      <c r="Q286" s="570"/>
      <c r="R286" s="460"/>
      <c r="S286" s="853"/>
      <c r="T286" s="460"/>
    </row>
    <row r="287" spans="1:20">
      <c r="A287" s="461"/>
      <c r="B287" s="462"/>
      <c r="C287" s="463"/>
      <c r="D287" s="464"/>
      <c r="E287" s="459"/>
      <c r="F287" s="465"/>
      <c r="G287" s="466"/>
      <c r="H287" s="460"/>
      <c r="I287" s="466"/>
      <c r="J287" s="460"/>
      <c r="K287" s="570"/>
      <c r="L287" s="460"/>
      <c r="M287" s="570"/>
      <c r="N287" s="460"/>
      <c r="O287" s="570"/>
      <c r="P287" s="460"/>
      <c r="Q287" s="570"/>
      <c r="R287" s="460"/>
      <c r="S287" s="853"/>
      <c r="T287" s="460"/>
    </row>
    <row r="288" spans="1:20">
      <c r="A288" s="461"/>
      <c r="B288" s="462"/>
      <c r="C288" s="463"/>
      <c r="D288" s="464"/>
      <c r="E288" s="459"/>
      <c r="F288" s="465"/>
      <c r="G288" s="466"/>
      <c r="H288" s="460"/>
      <c r="I288" s="466"/>
      <c r="J288" s="460"/>
      <c r="K288" s="570"/>
      <c r="L288" s="460"/>
      <c r="M288" s="570"/>
      <c r="N288" s="460"/>
      <c r="O288" s="570"/>
      <c r="P288" s="460"/>
      <c r="Q288" s="570"/>
      <c r="R288" s="460"/>
      <c r="S288" s="853"/>
      <c r="T288" s="460"/>
    </row>
    <row r="289" spans="1:20">
      <c r="A289" s="461"/>
      <c r="B289" s="462"/>
      <c r="C289" s="463"/>
      <c r="D289" s="464"/>
      <c r="E289" s="459"/>
      <c r="F289" s="465"/>
      <c r="G289" s="466"/>
      <c r="H289" s="460"/>
      <c r="I289" s="466"/>
      <c r="J289" s="460"/>
      <c r="K289" s="570"/>
      <c r="L289" s="460"/>
      <c r="M289" s="570"/>
      <c r="N289" s="460"/>
      <c r="O289" s="570"/>
      <c r="P289" s="460"/>
      <c r="Q289" s="570"/>
      <c r="R289" s="460"/>
      <c r="S289" s="853"/>
      <c r="T289" s="460"/>
    </row>
    <row r="290" spans="1:20">
      <c r="A290" s="461"/>
      <c r="B290" s="462"/>
      <c r="C290" s="463"/>
      <c r="D290" s="464"/>
      <c r="E290" s="459"/>
      <c r="F290" s="465"/>
      <c r="G290" s="466"/>
      <c r="H290" s="460"/>
      <c r="I290" s="466"/>
      <c r="J290" s="460"/>
      <c r="K290" s="570"/>
      <c r="L290" s="460"/>
      <c r="M290" s="570"/>
      <c r="N290" s="460"/>
      <c r="O290" s="570"/>
      <c r="P290" s="460"/>
      <c r="Q290" s="570"/>
      <c r="R290" s="460"/>
      <c r="S290" s="853"/>
      <c r="T290" s="460"/>
    </row>
    <row r="291" spans="1:20">
      <c r="A291" s="461"/>
      <c r="B291" s="462"/>
      <c r="C291" s="463"/>
      <c r="D291" s="464"/>
      <c r="E291" s="459"/>
      <c r="F291" s="465"/>
      <c r="G291" s="466"/>
      <c r="H291" s="460"/>
      <c r="I291" s="466"/>
      <c r="J291" s="460"/>
      <c r="K291" s="570"/>
      <c r="L291" s="460"/>
      <c r="M291" s="570"/>
      <c r="N291" s="460"/>
      <c r="O291" s="570"/>
      <c r="P291" s="460"/>
      <c r="Q291" s="570"/>
      <c r="R291" s="460"/>
      <c r="S291" s="853"/>
      <c r="T291" s="460"/>
    </row>
    <row r="292" spans="1:20">
      <c r="A292" s="461"/>
      <c r="B292" s="462"/>
      <c r="C292" s="463"/>
      <c r="D292" s="464"/>
      <c r="E292" s="459"/>
      <c r="F292" s="465"/>
      <c r="G292" s="466"/>
      <c r="H292" s="460"/>
      <c r="I292" s="466"/>
      <c r="J292" s="460"/>
      <c r="K292" s="570"/>
      <c r="L292" s="460"/>
      <c r="M292" s="570"/>
      <c r="N292" s="460"/>
      <c r="O292" s="570"/>
      <c r="P292" s="460"/>
      <c r="Q292" s="570"/>
      <c r="R292" s="460"/>
      <c r="S292" s="853"/>
      <c r="T292" s="460"/>
    </row>
    <row r="293" spans="1:20">
      <c r="A293" s="461"/>
      <c r="B293" s="462"/>
      <c r="C293" s="463"/>
      <c r="D293" s="464"/>
      <c r="E293" s="459"/>
      <c r="F293" s="465"/>
      <c r="G293" s="466"/>
      <c r="H293" s="460"/>
      <c r="I293" s="466"/>
      <c r="J293" s="460"/>
      <c r="K293" s="570"/>
      <c r="L293" s="460"/>
      <c r="M293" s="570"/>
      <c r="N293" s="460"/>
      <c r="O293" s="570"/>
      <c r="P293" s="460"/>
      <c r="Q293" s="570"/>
      <c r="R293" s="460"/>
      <c r="S293" s="853"/>
      <c r="T293" s="460"/>
    </row>
    <row r="294" spans="1:20">
      <c r="A294" s="461"/>
      <c r="B294" s="462"/>
      <c r="C294" s="463"/>
      <c r="D294" s="464"/>
      <c r="E294" s="459"/>
      <c r="F294" s="465"/>
      <c r="G294" s="466"/>
      <c r="H294" s="460"/>
      <c r="I294" s="466"/>
      <c r="J294" s="460"/>
      <c r="K294" s="570"/>
      <c r="L294" s="460"/>
      <c r="M294" s="570"/>
      <c r="N294" s="460"/>
      <c r="O294" s="570"/>
      <c r="P294" s="460"/>
      <c r="Q294" s="570"/>
      <c r="R294" s="460"/>
      <c r="S294" s="853"/>
      <c r="T294" s="460"/>
    </row>
    <row r="295" spans="1:20">
      <c r="A295" s="461"/>
      <c r="B295" s="462"/>
      <c r="C295" s="463"/>
      <c r="D295" s="464"/>
      <c r="E295" s="459"/>
      <c r="F295" s="465"/>
      <c r="G295" s="466"/>
      <c r="H295" s="460"/>
      <c r="I295" s="466"/>
      <c r="J295" s="460"/>
      <c r="K295" s="570"/>
      <c r="L295" s="460"/>
      <c r="M295" s="570"/>
      <c r="N295" s="460"/>
      <c r="O295" s="570"/>
      <c r="P295" s="460"/>
      <c r="Q295" s="570"/>
      <c r="R295" s="460"/>
      <c r="S295" s="853"/>
      <c r="T295" s="460"/>
    </row>
    <row r="296" spans="1:20">
      <c r="A296" s="461"/>
      <c r="B296" s="462"/>
      <c r="C296" s="463"/>
      <c r="D296" s="464"/>
      <c r="E296" s="459"/>
      <c r="F296" s="465"/>
      <c r="G296" s="466"/>
      <c r="H296" s="460"/>
      <c r="I296" s="466"/>
      <c r="J296" s="460"/>
      <c r="K296" s="570"/>
      <c r="L296" s="460"/>
      <c r="M296" s="570"/>
      <c r="N296" s="460"/>
      <c r="O296" s="570"/>
      <c r="P296" s="460"/>
      <c r="Q296" s="570"/>
      <c r="R296" s="460"/>
      <c r="S296" s="853"/>
      <c r="T296" s="460"/>
    </row>
    <row r="297" spans="1:20">
      <c r="A297" s="461"/>
      <c r="B297" s="462"/>
      <c r="C297" s="463"/>
      <c r="D297" s="464"/>
      <c r="E297" s="459"/>
      <c r="F297" s="465"/>
      <c r="G297" s="466"/>
      <c r="H297" s="460"/>
      <c r="I297" s="466"/>
      <c r="J297" s="460"/>
      <c r="K297" s="570"/>
      <c r="L297" s="460"/>
      <c r="M297" s="570"/>
      <c r="N297" s="460"/>
      <c r="O297" s="570"/>
      <c r="P297" s="460"/>
      <c r="Q297" s="570"/>
      <c r="R297" s="460"/>
      <c r="S297" s="853"/>
      <c r="T297" s="460"/>
    </row>
    <row r="298" spans="1:20">
      <c r="A298" s="461"/>
      <c r="B298" s="462"/>
      <c r="C298" s="463"/>
      <c r="D298" s="464"/>
      <c r="E298" s="459"/>
      <c r="F298" s="465"/>
      <c r="G298" s="466"/>
      <c r="H298" s="460"/>
      <c r="I298" s="466"/>
      <c r="J298" s="460"/>
      <c r="K298" s="570"/>
      <c r="L298" s="460"/>
      <c r="M298" s="570"/>
      <c r="N298" s="460"/>
      <c r="O298" s="570"/>
      <c r="P298" s="460"/>
      <c r="Q298" s="570"/>
      <c r="R298" s="460"/>
      <c r="S298" s="853"/>
      <c r="T298" s="460"/>
    </row>
    <row r="299" spans="1:20">
      <c r="A299" s="461"/>
      <c r="B299" s="462"/>
      <c r="C299" s="463"/>
      <c r="D299" s="464"/>
      <c r="E299" s="459"/>
      <c r="F299" s="465"/>
      <c r="G299" s="466"/>
      <c r="H299" s="460"/>
      <c r="I299" s="466"/>
      <c r="J299" s="460"/>
      <c r="K299" s="570"/>
      <c r="L299" s="460"/>
      <c r="M299" s="570"/>
      <c r="N299" s="460"/>
      <c r="O299" s="570"/>
      <c r="P299" s="460"/>
      <c r="Q299" s="570"/>
      <c r="R299" s="460"/>
      <c r="S299" s="853"/>
      <c r="T299" s="460"/>
    </row>
    <row r="300" spans="1:20">
      <c r="A300" s="461"/>
      <c r="B300" s="462"/>
      <c r="C300" s="463"/>
      <c r="D300" s="464"/>
      <c r="E300" s="459"/>
      <c r="F300" s="465"/>
      <c r="G300" s="466"/>
      <c r="H300" s="460"/>
      <c r="I300" s="466"/>
      <c r="J300" s="460"/>
      <c r="K300" s="570"/>
      <c r="L300" s="460"/>
      <c r="M300" s="570"/>
      <c r="N300" s="460"/>
      <c r="O300" s="570"/>
      <c r="P300" s="460"/>
      <c r="Q300" s="570"/>
      <c r="R300" s="460"/>
      <c r="S300" s="853"/>
      <c r="T300" s="460"/>
    </row>
    <row r="301" spans="1:20">
      <c r="A301" s="461"/>
      <c r="B301" s="462"/>
      <c r="C301" s="463"/>
      <c r="D301" s="464"/>
      <c r="E301" s="459"/>
      <c r="F301" s="465"/>
      <c r="G301" s="466"/>
      <c r="H301" s="460"/>
      <c r="I301" s="466"/>
      <c r="J301" s="460"/>
      <c r="K301" s="570"/>
      <c r="L301" s="460"/>
      <c r="M301" s="570"/>
      <c r="N301" s="460"/>
      <c r="O301" s="570"/>
      <c r="P301" s="460"/>
      <c r="Q301" s="570"/>
      <c r="R301" s="460"/>
      <c r="S301" s="853"/>
      <c r="T301" s="460"/>
    </row>
    <row r="302" spans="1:20">
      <c r="A302" s="461"/>
      <c r="B302" s="462"/>
      <c r="C302" s="463"/>
      <c r="D302" s="464"/>
      <c r="E302" s="459"/>
      <c r="F302" s="465"/>
      <c r="G302" s="466"/>
      <c r="H302" s="460"/>
      <c r="I302" s="466"/>
      <c r="J302" s="460"/>
      <c r="K302" s="570"/>
      <c r="L302" s="460"/>
      <c r="M302" s="570"/>
      <c r="N302" s="460"/>
      <c r="O302" s="570"/>
      <c r="P302" s="460"/>
      <c r="Q302" s="570"/>
      <c r="R302" s="460"/>
      <c r="S302" s="853"/>
      <c r="T302" s="460"/>
    </row>
    <row r="303" spans="1:20">
      <c r="A303" s="461"/>
      <c r="B303" s="462"/>
      <c r="C303" s="463"/>
      <c r="D303" s="464"/>
      <c r="E303" s="459"/>
      <c r="F303" s="465"/>
      <c r="G303" s="466"/>
      <c r="H303" s="460"/>
      <c r="I303" s="466"/>
      <c r="J303" s="460"/>
      <c r="K303" s="570"/>
      <c r="L303" s="460"/>
      <c r="M303" s="570"/>
      <c r="N303" s="460"/>
      <c r="O303" s="570"/>
      <c r="P303" s="460"/>
      <c r="Q303" s="570"/>
      <c r="R303" s="460"/>
      <c r="S303" s="853"/>
      <c r="T303" s="460"/>
    </row>
    <row r="304" spans="1:20">
      <c r="A304" s="461"/>
      <c r="B304" s="462"/>
      <c r="C304" s="463"/>
      <c r="D304" s="464"/>
      <c r="E304" s="459"/>
      <c r="F304" s="465"/>
      <c r="G304" s="466"/>
      <c r="H304" s="460"/>
      <c r="I304" s="466"/>
      <c r="J304" s="460"/>
      <c r="K304" s="570"/>
      <c r="L304" s="460"/>
      <c r="M304" s="570"/>
      <c r="N304" s="460"/>
      <c r="O304" s="570"/>
      <c r="P304" s="460"/>
      <c r="Q304" s="570"/>
      <c r="R304" s="460"/>
      <c r="S304" s="853"/>
      <c r="T304" s="460"/>
    </row>
    <row r="305" spans="1:20">
      <c r="A305" s="461"/>
      <c r="B305" s="462"/>
      <c r="C305" s="463"/>
      <c r="D305" s="464"/>
      <c r="E305" s="459"/>
      <c r="F305" s="465"/>
      <c r="G305" s="466"/>
      <c r="H305" s="460"/>
      <c r="I305" s="466"/>
      <c r="J305" s="460"/>
      <c r="K305" s="570"/>
      <c r="L305" s="460"/>
      <c r="M305" s="570"/>
      <c r="N305" s="460"/>
      <c r="O305" s="570"/>
      <c r="P305" s="460"/>
      <c r="Q305" s="570"/>
      <c r="R305" s="460"/>
      <c r="S305" s="853"/>
      <c r="T305" s="460"/>
    </row>
    <row r="306" spans="1:20">
      <c r="A306" s="461"/>
      <c r="B306" s="462"/>
      <c r="C306" s="463"/>
      <c r="D306" s="464"/>
      <c r="E306" s="459"/>
      <c r="F306" s="465"/>
      <c r="G306" s="466"/>
      <c r="H306" s="460"/>
      <c r="I306" s="466"/>
      <c r="J306" s="460"/>
      <c r="K306" s="570"/>
      <c r="L306" s="460"/>
      <c r="M306" s="570"/>
      <c r="N306" s="460"/>
      <c r="O306" s="570"/>
      <c r="P306" s="460"/>
      <c r="Q306" s="570"/>
      <c r="R306" s="460"/>
      <c r="S306" s="853"/>
      <c r="T306" s="460"/>
    </row>
    <row r="307" spans="1:20">
      <c r="A307" s="461"/>
      <c r="B307" s="462"/>
      <c r="C307" s="463"/>
      <c r="D307" s="464"/>
      <c r="E307" s="459"/>
      <c r="F307" s="465"/>
      <c r="G307" s="466"/>
      <c r="H307" s="460"/>
      <c r="I307" s="466"/>
      <c r="J307" s="460"/>
      <c r="K307" s="570"/>
      <c r="L307" s="460"/>
      <c r="M307" s="570"/>
      <c r="N307" s="460"/>
      <c r="O307" s="570"/>
      <c r="P307" s="460"/>
      <c r="Q307" s="570"/>
      <c r="R307" s="460"/>
      <c r="S307" s="853"/>
      <c r="T307" s="460"/>
    </row>
    <row r="308" spans="1:20">
      <c r="A308" s="461"/>
      <c r="B308" s="462"/>
      <c r="C308" s="463"/>
      <c r="D308" s="464"/>
      <c r="E308" s="459"/>
      <c r="F308" s="465"/>
      <c r="G308" s="466"/>
      <c r="H308" s="460"/>
      <c r="I308" s="466"/>
      <c r="J308" s="460"/>
      <c r="K308" s="570"/>
      <c r="L308" s="460"/>
      <c r="M308" s="570"/>
      <c r="N308" s="460"/>
      <c r="O308" s="570"/>
      <c r="P308" s="460"/>
      <c r="Q308" s="570"/>
      <c r="R308" s="460"/>
      <c r="S308" s="853"/>
      <c r="T308" s="460"/>
    </row>
    <row r="309" spans="1:20">
      <c r="A309" s="461"/>
      <c r="B309" s="462"/>
      <c r="C309" s="463"/>
      <c r="D309" s="464"/>
      <c r="E309" s="459"/>
      <c r="F309" s="465"/>
      <c r="G309" s="466"/>
      <c r="H309" s="460"/>
      <c r="I309" s="466"/>
      <c r="J309" s="460"/>
      <c r="K309" s="570"/>
      <c r="L309" s="460"/>
      <c r="M309" s="570"/>
      <c r="N309" s="460"/>
      <c r="O309" s="570"/>
      <c r="P309" s="460"/>
      <c r="Q309" s="570"/>
      <c r="R309" s="460"/>
      <c r="S309" s="853"/>
      <c r="T309" s="460"/>
    </row>
    <row r="310" spans="1:20">
      <c r="A310" s="461"/>
      <c r="B310" s="462"/>
      <c r="C310" s="463"/>
      <c r="D310" s="464"/>
      <c r="E310" s="459"/>
      <c r="F310" s="465"/>
      <c r="G310" s="466"/>
      <c r="H310" s="460"/>
      <c r="I310" s="466"/>
      <c r="J310" s="460"/>
      <c r="K310" s="570"/>
      <c r="L310" s="460"/>
      <c r="M310" s="570"/>
      <c r="N310" s="460"/>
      <c r="O310" s="570"/>
      <c r="P310" s="460"/>
      <c r="Q310" s="570"/>
      <c r="R310" s="460"/>
      <c r="S310" s="853"/>
      <c r="T310" s="460"/>
    </row>
    <row r="311" spans="1:20">
      <c r="A311" s="461"/>
      <c r="B311" s="462"/>
      <c r="C311" s="463"/>
      <c r="D311" s="464"/>
      <c r="E311" s="459"/>
      <c r="F311" s="465"/>
      <c r="G311" s="466"/>
      <c r="H311" s="460"/>
      <c r="I311" s="466"/>
      <c r="J311" s="460"/>
      <c r="K311" s="570"/>
      <c r="L311" s="460"/>
      <c r="M311" s="570"/>
      <c r="N311" s="460"/>
      <c r="O311" s="570"/>
      <c r="P311" s="460"/>
      <c r="Q311" s="570"/>
      <c r="R311" s="460"/>
      <c r="S311" s="853"/>
      <c r="T311" s="460"/>
    </row>
    <row r="312" spans="1:20">
      <c r="A312" s="461"/>
      <c r="B312" s="462"/>
      <c r="C312" s="463"/>
      <c r="D312" s="464"/>
      <c r="E312" s="459"/>
      <c r="F312" s="465"/>
      <c r="G312" s="466"/>
      <c r="H312" s="460"/>
      <c r="I312" s="466"/>
      <c r="J312" s="460"/>
      <c r="K312" s="570"/>
      <c r="L312" s="460"/>
      <c r="M312" s="570"/>
      <c r="N312" s="460"/>
      <c r="O312" s="570"/>
      <c r="P312" s="460"/>
      <c r="Q312" s="570"/>
      <c r="R312" s="460"/>
      <c r="S312" s="853"/>
      <c r="T312" s="460"/>
    </row>
    <row r="313" spans="1:20">
      <c r="A313" s="461"/>
      <c r="B313" s="462"/>
      <c r="C313" s="463"/>
      <c r="D313" s="464"/>
      <c r="E313" s="459"/>
      <c r="F313" s="465"/>
      <c r="G313" s="466"/>
      <c r="H313" s="460"/>
      <c r="I313" s="466"/>
      <c r="J313" s="460"/>
      <c r="K313" s="570"/>
      <c r="L313" s="460"/>
      <c r="M313" s="570"/>
      <c r="N313" s="460"/>
      <c r="O313" s="570"/>
      <c r="P313" s="460"/>
      <c r="Q313" s="570"/>
      <c r="R313" s="460"/>
      <c r="S313" s="853"/>
      <c r="T313" s="460"/>
    </row>
    <row r="314" spans="1:20">
      <c r="A314" s="461"/>
      <c r="B314" s="462"/>
      <c r="C314" s="463"/>
      <c r="D314" s="464"/>
      <c r="E314" s="459"/>
      <c r="F314" s="465"/>
      <c r="G314" s="466"/>
      <c r="H314" s="460"/>
      <c r="I314" s="466"/>
      <c r="J314" s="460"/>
      <c r="K314" s="570"/>
      <c r="L314" s="460"/>
      <c r="M314" s="570"/>
      <c r="N314" s="460"/>
      <c r="O314" s="570"/>
      <c r="P314" s="460"/>
      <c r="Q314" s="570"/>
      <c r="R314" s="460"/>
      <c r="S314" s="853"/>
      <c r="T314" s="460"/>
    </row>
    <row r="315" spans="1:20">
      <c r="A315" s="461"/>
      <c r="B315" s="462"/>
      <c r="C315" s="463"/>
      <c r="D315" s="464"/>
      <c r="E315" s="459"/>
      <c r="F315" s="465"/>
      <c r="G315" s="466"/>
      <c r="H315" s="460"/>
      <c r="I315" s="466"/>
      <c r="J315" s="460"/>
      <c r="K315" s="570"/>
      <c r="L315" s="460"/>
      <c r="M315" s="570"/>
      <c r="N315" s="460"/>
      <c r="O315" s="570"/>
      <c r="P315" s="460"/>
      <c r="Q315" s="570"/>
      <c r="R315" s="460"/>
      <c r="S315" s="853"/>
      <c r="T315" s="460"/>
    </row>
    <row r="316" spans="1:20">
      <c r="A316" s="461"/>
      <c r="B316" s="462"/>
      <c r="C316" s="463"/>
      <c r="D316" s="464"/>
      <c r="E316" s="459"/>
      <c r="F316" s="465"/>
      <c r="G316" s="466"/>
      <c r="H316" s="460"/>
      <c r="I316" s="466"/>
      <c r="J316" s="460"/>
      <c r="K316" s="570"/>
      <c r="L316" s="460"/>
      <c r="M316" s="570"/>
      <c r="N316" s="460"/>
      <c r="O316" s="570"/>
      <c r="P316" s="460"/>
      <c r="Q316" s="570"/>
      <c r="R316" s="460"/>
      <c r="S316" s="853"/>
      <c r="T316" s="460"/>
    </row>
    <row r="317" spans="1:20">
      <c r="A317" s="461"/>
      <c r="B317" s="462"/>
      <c r="C317" s="463"/>
      <c r="D317" s="464"/>
      <c r="E317" s="459"/>
      <c r="F317" s="465"/>
      <c r="G317" s="466"/>
      <c r="H317" s="460"/>
      <c r="I317" s="466"/>
      <c r="J317" s="460"/>
      <c r="K317" s="570"/>
      <c r="L317" s="460"/>
      <c r="M317" s="570"/>
      <c r="N317" s="460"/>
      <c r="O317" s="570"/>
      <c r="P317" s="460"/>
      <c r="Q317" s="570"/>
      <c r="R317" s="460"/>
      <c r="S317" s="853"/>
      <c r="T317" s="460"/>
    </row>
    <row r="318" spans="1:20">
      <c r="A318" s="461"/>
      <c r="B318" s="462"/>
      <c r="C318" s="463"/>
      <c r="D318" s="464"/>
      <c r="E318" s="459"/>
      <c r="F318" s="465"/>
      <c r="G318" s="466"/>
      <c r="H318" s="460"/>
      <c r="I318" s="466"/>
      <c r="J318" s="460"/>
      <c r="K318" s="570"/>
      <c r="L318" s="460"/>
      <c r="M318" s="570"/>
      <c r="N318" s="460"/>
      <c r="O318" s="570"/>
      <c r="P318" s="460"/>
      <c r="Q318" s="570"/>
      <c r="R318" s="460"/>
      <c r="S318" s="853"/>
      <c r="T318" s="460"/>
    </row>
    <row r="319" spans="1:20">
      <c r="A319" s="461"/>
      <c r="B319" s="462"/>
      <c r="C319" s="463"/>
      <c r="D319" s="464"/>
      <c r="E319" s="459"/>
      <c r="F319" s="465"/>
      <c r="G319" s="466"/>
      <c r="H319" s="460"/>
      <c r="I319" s="466"/>
      <c r="J319" s="460"/>
      <c r="K319" s="570"/>
      <c r="L319" s="460"/>
      <c r="M319" s="570"/>
      <c r="N319" s="460"/>
      <c r="O319" s="570"/>
      <c r="P319" s="460"/>
      <c r="Q319" s="570"/>
      <c r="R319" s="460"/>
      <c r="S319" s="853"/>
      <c r="T319" s="460"/>
    </row>
    <row r="320" spans="1:20">
      <c r="A320" s="461"/>
      <c r="B320" s="462"/>
      <c r="C320" s="463"/>
      <c r="D320" s="464"/>
      <c r="E320" s="459"/>
      <c r="F320" s="465"/>
      <c r="G320" s="466"/>
      <c r="H320" s="460"/>
      <c r="I320" s="466"/>
      <c r="J320" s="460"/>
      <c r="K320" s="570"/>
      <c r="L320" s="460"/>
      <c r="M320" s="570"/>
      <c r="N320" s="460"/>
      <c r="O320" s="570"/>
      <c r="P320" s="460"/>
      <c r="Q320" s="570"/>
      <c r="R320" s="460"/>
      <c r="S320" s="853"/>
      <c r="T320" s="460"/>
    </row>
    <row r="321" spans="1:20">
      <c r="A321" s="461"/>
      <c r="B321" s="462"/>
      <c r="C321" s="463"/>
      <c r="D321" s="464"/>
      <c r="E321" s="459"/>
      <c r="F321" s="465"/>
      <c r="G321" s="466"/>
      <c r="H321" s="460"/>
      <c r="I321" s="466"/>
      <c r="J321" s="460"/>
      <c r="K321" s="570"/>
      <c r="L321" s="460"/>
      <c r="M321" s="570"/>
      <c r="N321" s="460"/>
      <c r="O321" s="570"/>
      <c r="P321" s="460"/>
      <c r="Q321" s="570"/>
      <c r="R321" s="460"/>
      <c r="S321" s="853"/>
      <c r="T321" s="460"/>
    </row>
    <row r="322" spans="1:20">
      <c r="A322" s="461"/>
      <c r="B322" s="462"/>
      <c r="C322" s="463"/>
      <c r="D322" s="464"/>
      <c r="E322" s="459"/>
      <c r="F322" s="465"/>
      <c r="G322" s="466"/>
      <c r="H322" s="460"/>
      <c r="I322" s="466"/>
      <c r="J322" s="460"/>
      <c r="K322" s="570"/>
      <c r="L322" s="460"/>
      <c r="M322" s="570"/>
      <c r="N322" s="460"/>
      <c r="O322" s="570"/>
      <c r="P322" s="460"/>
      <c r="Q322" s="570"/>
      <c r="R322" s="460"/>
      <c r="S322" s="853"/>
      <c r="T322" s="460"/>
    </row>
    <row r="323" spans="1:20">
      <c r="A323" s="461"/>
      <c r="B323" s="462"/>
      <c r="C323" s="463"/>
      <c r="D323" s="464"/>
      <c r="E323" s="459"/>
      <c r="F323" s="465"/>
      <c r="G323" s="466"/>
      <c r="H323" s="460"/>
      <c r="I323" s="466"/>
      <c r="J323" s="460"/>
      <c r="K323" s="570"/>
      <c r="L323" s="460"/>
      <c r="M323" s="570"/>
      <c r="N323" s="460"/>
      <c r="O323" s="570"/>
      <c r="P323" s="460"/>
      <c r="Q323" s="570"/>
      <c r="R323" s="460"/>
      <c r="S323" s="853"/>
      <c r="T323" s="460"/>
    </row>
    <row r="324" spans="1:20">
      <c r="A324" s="461"/>
      <c r="B324" s="462"/>
      <c r="C324" s="463"/>
      <c r="D324" s="464"/>
      <c r="E324" s="459"/>
      <c r="F324" s="465"/>
      <c r="G324" s="466"/>
      <c r="H324" s="460"/>
      <c r="I324" s="466"/>
      <c r="J324" s="460"/>
      <c r="K324" s="570"/>
      <c r="L324" s="460"/>
      <c r="M324" s="570"/>
      <c r="N324" s="460"/>
      <c r="O324" s="570"/>
      <c r="P324" s="460"/>
      <c r="Q324" s="570"/>
      <c r="R324" s="460"/>
      <c r="S324" s="853"/>
      <c r="T324" s="460"/>
    </row>
    <row r="325" spans="1:20">
      <c r="A325" s="461"/>
      <c r="B325" s="462"/>
      <c r="C325" s="463"/>
      <c r="D325" s="464"/>
      <c r="E325" s="459"/>
      <c r="F325" s="465"/>
      <c r="G325" s="466"/>
      <c r="H325" s="460"/>
      <c r="I325" s="466"/>
      <c r="J325" s="460"/>
      <c r="K325" s="570"/>
      <c r="L325" s="460"/>
      <c r="M325" s="570"/>
      <c r="N325" s="460"/>
      <c r="O325" s="570"/>
      <c r="P325" s="460"/>
      <c r="Q325" s="570"/>
      <c r="R325" s="460"/>
      <c r="S325" s="853"/>
      <c r="T325" s="460"/>
    </row>
    <row r="326" spans="1:20">
      <c r="A326" s="461"/>
      <c r="B326" s="462"/>
      <c r="C326" s="463"/>
      <c r="D326" s="464"/>
      <c r="E326" s="459"/>
      <c r="F326" s="465"/>
      <c r="G326" s="466"/>
      <c r="H326" s="460"/>
      <c r="I326" s="466"/>
      <c r="J326" s="460"/>
      <c r="K326" s="570"/>
      <c r="L326" s="460"/>
      <c r="M326" s="570"/>
      <c r="N326" s="460"/>
      <c r="O326" s="570"/>
      <c r="P326" s="460"/>
      <c r="Q326" s="570"/>
      <c r="R326" s="460"/>
      <c r="S326" s="853"/>
      <c r="T326" s="460"/>
    </row>
    <row r="327" spans="1:20">
      <c r="A327" s="461"/>
      <c r="B327" s="462"/>
      <c r="C327" s="463"/>
      <c r="D327" s="464"/>
      <c r="E327" s="459"/>
      <c r="F327" s="465"/>
      <c r="G327" s="466"/>
      <c r="H327" s="460"/>
      <c r="I327" s="466"/>
      <c r="J327" s="460"/>
      <c r="K327" s="570"/>
      <c r="L327" s="460"/>
      <c r="M327" s="570"/>
      <c r="N327" s="460"/>
      <c r="O327" s="570"/>
      <c r="P327" s="460"/>
      <c r="Q327" s="570"/>
      <c r="R327" s="460"/>
      <c r="S327" s="853"/>
      <c r="T327" s="460"/>
    </row>
    <row r="328" spans="1:20">
      <c r="A328" s="461"/>
      <c r="B328" s="462"/>
      <c r="C328" s="463"/>
      <c r="D328" s="464"/>
      <c r="E328" s="459"/>
      <c r="F328" s="465"/>
      <c r="G328" s="466"/>
      <c r="H328" s="460"/>
      <c r="I328" s="466"/>
      <c r="J328" s="460"/>
      <c r="K328" s="570"/>
      <c r="L328" s="460"/>
      <c r="M328" s="570"/>
      <c r="N328" s="460"/>
      <c r="O328" s="570"/>
      <c r="P328" s="460"/>
      <c r="Q328" s="570"/>
      <c r="R328" s="460"/>
      <c r="S328" s="853"/>
      <c r="T328" s="460"/>
    </row>
    <row r="329" spans="1:20">
      <c r="A329" s="461"/>
      <c r="B329" s="462"/>
      <c r="C329" s="463"/>
      <c r="D329" s="464"/>
      <c r="E329" s="459"/>
      <c r="F329" s="465"/>
      <c r="G329" s="466"/>
      <c r="H329" s="460"/>
      <c r="I329" s="466"/>
      <c r="J329" s="460"/>
      <c r="K329" s="570"/>
      <c r="L329" s="460"/>
      <c r="M329" s="570"/>
      <c r="N329" s="460"/>
      <c r="O329" s="570"/>
      <c r="P329" s="460"/>
      <c r="Q329" s="570"/>
      <c r="R329" s="460"/>
      <c r="S329" s="853"/>
      <c r="T329" s="460"/>
    </row>
    <row r="330" spans="1:20">
      <c r="A330" s="461"/>
      <c r="B330" s="462"/>
      <c r="C330" s="463"/>
      <c r="D330" s="464"/>
      <c r="E330" s="459"/>
      <c r="F330" s="465"/>
      <c r="G330" s="466"/>
      <c r="H330" s="460"/>
      <c r="I330" s="466"/>
      <c r="J330" s="460"/>
      <c r="K330" s="570"/>
      <c r="L330" s="460"/>
      <c r="M330" s="570"/>
      <c r="N330" s="460"/>
      <c r="O330" s="570"/>
      <c r="P330" s="460"/>
      <c r="Q330" s="570"/>
      <c r="R330" s="460"/>
      <c r="S330" s="853"/>
      <c r="T330" s="460"/>
    </row>
    <row r="331" spans="1:20">
      <c r="A331" s="461"/>
      <c r="B331" s="462"/>
      <c r="C331" s="463"/>
      <c r="D331" s="464"/>
      <c r="E331" s="459"/>
      <c r="F331" s="465"/>
      <c r="G331" s="466"/>
      <c r="H331" s="460"/>
      <c r="I331" s="466"/>
      <c r="J331" s="460"/>
      <c r="K331" s="570"/>
      <c r="L331" s="460"/>
      <c r="M331" s="570"/>
      <c r="N331" s="460"/>
      <c r="O331" s="570"/>
      <c r="P331" s="460"/>
      <c r="Q331" s="570"/>
      <c r="R331" s="460"/>
      <c r="S331" s="853"/>
      <c r="T331" s="460"/>
    </row>
    <row r="332" spans="1:20">
      <c r="A332" s="461"/>
      <c r="B332" s="462"/>
      <c r="C332" s="463"/>
      <c r="D332" s="464"/>
      <c r="E332" s="459"/>
      <c r="F332" s="465"/>
      <c r="G332" s="466"/>
      <c r="H332" s="460"/>
      <c r="I332" s="466"/>
      <c r="J332" s="460"/>
      <c r="K332" s="570"/>
      <c r="L332" s="460"/>
      <c r="M332" s="570"/>
      <c r="N332" s="460"/>
      <c r="O332" s="570"/>
      <c r="P332" s="460"/>
      <c r="Q332" s="570"/>
      <c r="R332" s="460"/>
      <c r="S332" s="853"/>
      <c r="T332" s="460"/>
    </row>
    <row r="333" spans="1:20">
      <c r="A333" s="461"/>
      <c r="B333" s="462"/>
      <c r="C333" s="463"/>
      <c r="D333" s="464"/>
      <c r="E333" s="459"/>
      <c r="F333" s="465"/>
      <c r="G333" s="466"/>
      <c r="H333" s="460"/>
      <c r="I333" s="466"/>
      <c r="J333" s="460"/>
      <c r="K333" s="570"/>
      <c r="L333" s="460"/>
      <c r="M333" s="570"/>
      <c r="N333" s="460"/>
      <c r="O333" s="570"/>
      <c r="P333" s="460"/>
      <c r="Q333" s="570"/>
      <c r="R333" s="460"/>
      <c r="S333" s="853"/>
      <c r="T333" s="460"/>
    </row>
    <row r="334" spans="1:20">
      <c r="A334" s="461"/>
      <c r="B334" s="462"/>
      <c r="C334" s="463"/>
      <c r="D334" s="464"/>
      <c r="E334" s="459"/>
      <c r="F334" s="465"/>
      <c r="G334" s="466"/>
      <c r="H334" s="460"/>
      <c r="I334" s="466"/>
      <c r="J334" s="460"/>
      <c r="K334" s="570"/>
      <c r="L334" s="460"/>
      <c r="M334" s="570"/>
      <c r="N334" s="460"/>
      <c r="O334" s="570"/>
      <c r="P334" s="460"/>
      <c r="Q334" s="570"/>
      <c r="R334" s="460"/>
      <c r="S334" s="853"/>
      <c r="T334" s="460"/>
    </row>
    <row r="335" spans="1:20">
      <c r="A335" s="461"/>
      <c r="B335" s="462"/>
      <c r="C335" s="463"/>
      <c r="D335" s="464"/>
      <c r="E335" s="459"/>
      <c r="F335" s="465"/>
      <c r="G335" s="466"/>
      <c r="H335" s="460"/>
      <c r="I335" s="466"/>
      <c r="J335" s="460"/>
      <c r="K335" s="570"/>
      <c r="L335" s="460"/>
      <c r="M335" s="570"/>
      <c r="N335" s="460"/>
      <c r="O335" s="570"/>
      <c r="P335" s="460"/>
      <c r="Q335" s="570"/>
      <c r="R335" s="460"/>
      <c r="S335" s="853"/>
      <c r="T335" s="460"/>
    </row>
    <row r="336" spans="1:20">
      <c r="A336" s="461"/>
      <c r="B336" s="462"/>
      <c r="C336" s="463"/>
      <c r="D336" s="464"/>
      <c r="E336" s="459"/>
      <c r="F336" s="465"/>
      <c r="G336" s="466"/>
      <c r="H336" s="460"/>
      <c r="I336" s="466"/>
      <c r="J336" s="460"/>
      <c r="K336" s="570"/>
      <c r="L336" s="460"/>
      <c r="M336" s="570"/>
      <c r="N336" s="460"/>
      <c r="O336" s="570"/>
      <c r="P336" s="460"/>
      <c r="Q336" s="570"/>
      <c r="R336" s="460"/>
      <c r="S336" s="853"/>
      <c r="T336" s="460"/>
    </row>
    <row r="337" spans="1:20">
      <c r="A337" s="461"/>
      <c r="B337" s="462"/>
      <c r="C337" s="463"/>
      <c r="D337" s="464"/>
      <c r="E337" s="459"/>
      <c r="F337" s="465"/>
      <c r="G337" s="466"/>
      <c r="H337" s="460"/>
      <c r="I337" s="466"/>
      <c r="J337" s="460"/>
      <c r="K337" s="570"/>
      <c r="L337" s="460"/>
      <c r="M337" s="570"/>
      <c r="N337" s="460"/>
      <c r="O337" s="570"/>
      <c r="P337" s="460"/>
      <c r="Q337" s="570"/>
      <c r="R337" s="460"/>
      <c r="S337" s="853"/>
      <c r="T337" s="460"/>
    </row>
    <row r="338" spans="1:20">
      <c r="A338" s="461"/>
      <c r="B338" s="462"/>
      <c r="C338" s="463"/>
      <c r="D338" s="464"/>
      <c r="E338" s="459"/>
      <c r="F338" s="465"/>
      <c r="G338" s="466"/>
      <c r="H338" s="460"/>
      <c r="I338" s="466"/>
      <c r="J338" s="460"/>
      <c r="K338" s="570"/>
      <c r="L338" s="460"/>
      <c r="M338" s="570"/>
      <c r="N338" s="460"/>
      <c r="O338" s="570"/>
      <c r="P338" s="460"/>
      <c r="Q338" s="570"/>
      <c r="R338" s="460"/>
      <c r="S338" s="853"/>
      <c r="T338" s="460"/>
    </row>
    <row r="339" spans="1:20">
      <c r="A339" s="461"/>
      <c r="B339" s="462"/>
      <c r="C339" s="463"/>
      <c r="D339" s="464"/>
      <c r="E339" s="459"/>
      <c r="F339" s="465"/>
      <c r="G339" s="466"/>
      <c r="H339" s="460"/>
      <c r="I339" s="466"/>
      <c r="J339" s="460"/>
      <c r="K339" s="570"/>
      <c r="L339" s="460"/>
      <c r="M339" s="570"/>
      <c r="N339" s="460"/>
      <c r="O339" s="570"/>
      <c r="P339" s="460"/>
      <c r="Q339" s="570"/>
      <c r="R339" s="460"/>
      <c r="S339" s="853"/>
      <c r="T339" s="460"/>
    </row>
    <row r="340" spans="1:20">
      <c r="A340" s="461"/>
      <c r="B340" s="462"/>
      <c r="C340" s="463"/>
      <c r="D340" s="464"/>
      <c r="E340" s="459"/>
      <c r="F340" s="465"/>
      <c r="G340" s="466"/>
      <c r="H340" s="460"/>
      <c r="I340" s="466"/>
      <c r="J340" s="460"/>
      <c r="K340" s="570"/>
      <c r="L340" s="460"/>
      <c r="M340" s="570"/>
      <c r="N340" s="460"/>
      <c r="O340" s="570"/>
      <c r="P340" s="460"/>
      <c r="Q340" s="570"/>
      <c r="R340" s="460"/>
      <c r="S340" s="853"/>
      <c r="T340" s="460"/>
    </row>
    <row r="341" spans="1:20">
      <c r="A341" s="461"/>
      <c r="B341" s="462"/>
      <c r="C341" s="463"/>
      <c r="D341" s="464"/>
      <c r="E341" s="459"/>
      <c r="F341" s="465"/>
      <c r="G341" s="466"/>
      <c r="H341" s="460"/>
      <c r="I341" s="466"/>
      <c r="J341" s="460"/>
      <c r="K341" s="570"/>
      <c r="L341" s="460"/>
      <c r="M341" s="570"/>
      <c r="N341" s="460"/>
      <c r="O341" s="570"/>
      <c r="P341" s="460"/>
      <c r="Q341" s="570"/>
      <c r="R341" s="460"/>
      <c r="S341" s="853"/>
      <c r="T341" s="460"/>
    </row>
    <row r="342" spans="1:20">
      <c r="A342" s="461"/>
      <c r="B342" s="462"/>
      <c r="C342" s="463"/>
      <c r="D342" s="464"/>
      <c r="E342" s="459"/>
      <c r="F342" s="465"/>
      <c r="G342" s="466"/>
      <c r="H342" s="460"/>
      <c r="I342" s="466"/>
      <c r="J342" s="460"/>
      <c r="K342" s="570"/>
      <c r="L342" s="460"/>
      <c r="M342" s="570"/>
      <c r="N342" s="460"/>
      <c r="O342" s="570"/>
      <c r="P342" s="460"/>
      <c r="Q342" s="570"/>
      <c r="R342" s="460"/>
      <c r="S342" s="853"/>
      <c r="T342" s="460"/>
    </row>
    <row r="343" spans="1:20">
      <c r="A343" s="461"/>
      <c r="B343" s="462"/>
      <c r="C343" s="463"/>
      <c r="D343" s="464"/>
      <c r="E343" s="459"/>
      <c r="F343" s="465"/>
      <c r="G343" s="466"/>
      <c r="H343" s="460"/>
      <c r="I343" s="466"/>
      <c r="J343" s="460"/>
      <c r="K343" s="570"/>
      <c r="L343" s="460"/>
      <c r="M343" s="570"/>
      <c r="N343" s="460"/>
      <c r="O343" s="570"/>
      <c r="P343" s="460"/>
      <c r="Q343" s="570"/>
      <c r="R343" s="460"/>
      <c r="S343" s="853"/>
      <c r="T343" s="460"/>
    </row>
    <row r="344" spans="1:20">
      <c r="A344" s="461"/>
      <c r="B344" s="462"/>
      <c r="C344" s="463"/>
      <c r="D344" s="464"/>
      <c r="E344" s="459"/>
      <c r="F344" s="465"/>
      <c r="G344" s="466"/>
      <c r="H344" s="460"/>
      <c r="I344" s="466"/>
      <c r="J344" s="460"/>
      <c r="K344" s="570"/>
      <c r="L344" s="460"/>
      <c r="M344" s="570"/>
      <c r="N344" s="460"/>
      <c r="O344" s="570"/>
      <c r="P344" s="460"/>
      <c r="Q344" s="570"/>
      <c r="R344" s="460"/>
      <c r="S344" s="853"/>
      <c r="T344" s="460"/>
    </row>
    <row r="345" spans="1:20">
      <c r="A345" s="461"/>
      <c r="B345" s="462"/>
      <c r="C345" s="463"/>
      <c r="D345" s="464"/>
      <c r="E345" s="459"/>
      <c r="F345" s="465"/>
      <c r="G345" s="466"/>
      <c r="H345" s="460"/>
      <c r="I345" s="466"/>
      <c r="J345" s="460"/>
      <c r="K345" s="570"/>
      <c r="L345" s="460"/>
      <c r="M345" s="570"/>
      <c r="N345" s="460"/>
      <c r="O345" s="570"/>
      <c r="P345" s="460"/>
      <c r="Q345" s="570"/>
      <c r="R345" s="460"/>
      <c r="S345" s="853"/>
      <c r="T345" s="460"/>
    </row>
    <row r="346" spans="1:20">
      <c r="A346" s="461"/>
      <c r="B346" s="462"/>
      <c r="C346" s="463"/>
      <c r="D346" s="464"/>
      <c r="E346" s="459"/>
      <c r="F346" s="465"/>
      <c r="G346" s="466"/>
      <c r="H346" s="460"/>
      <c r="I346" s="466"/>
      <c r="J346" s="460"/>
      <c r="K346" s="570"/>
      <c r="L346" s="460"/>
      <c r="M346" s="570"/>
      <c r="N346" s="460"/>
      <c r="O346" s="570"/>
      <c r="P346" s="460"/>
      <c r="Q346" s="570"/>
      <c r="R346" s="460"/>
      <c r="S346" s="853"/>
      <c r="T346" s="460"/>
    </row>
    <row r="347" spans="1:20">
      <c r="A347" s="461"/>
      <c r="B347" s="462"/>
      <c r="C347" s="463"/>
      <c r="D347" s="464"/>
      <c r="E347" s="459"/>
      <c r="F347" s="465"/>
      <c r="G347" s="466"/>
      <c r="H347" s="460"/>
      <c r="I347" s="466"/>
      <c r="J347" s="460"/>
      <c r="K347" s="570"/>
      <c r="L347" s="460"/>
      <c r="M347" s="570"/>
      <c r="N347" s="460"/>
      <c r="O347" s="570"/>
      <c r="P347" s="460"/>
      <c r="Q347" s="570"/>
      <c r="R347" s="460"/>
      <c r="S347" s="853"/>
      <c r="T347" s="460"/>
    </row>
    <row r="348" spans="1:20">
      <c r="A348" s="461"/>
      <c r="B348" s="462"/>
      <c r="C348" s="463"/>
      <c r="D348" s="464"/>
      <c r="E348" s="459"/>
      <c r="F348" s="465"/>
      <c r="G348" s="466"/>
      <c r="H348" s="460"/>
      <c r="I348" s="466"/>
      <c r="J348" s="460"/>
      <c r="K348" s="570"/>
      <c r="L348" s="460"/>
      <c r="M348" s="570"/>
      <c r="N348" s="460"/>
      <c r="O348" s="570"/>
      <c r="P348" s="460"/>
      <c r="Q348" s="570"/>
      <c r="R348" s="460"/>
      <c r="S348" s="853"/>
      <c r="T348" s="460"/>
    </row>
    <row r="349" spans="1:20">
      <c r="A349" s="461"/>
      <c r="B349" s="462"/>
      <c r="C349" s="463"/>
      <c r="D349" s="464"/>
      <c r="E349" s="459"/>
      <c r="F349" s="465"/>
      <c r="G349" s="466"/>
      <c r="H349" s="460"/>
      <c r="I349" s="466"/>
      <c r="J349" s="460"/>
      <c r="K349" s="570"/>
      <c r="L349" s="460"/>
      <c r="M349" s="570"/>
      <c r="N349" s="460"/>
      <c r="O349" s="570"/>
      <c r="P349" s="460"/>
      <c r="Q349" s="570"/>
      <c r="R349" s="460"/>
      <c r="S349" s="853"/>
      <c r="T349" s="460"/>
    </row>
    <row r="350" spans="1:20">
      <c r="A350" s="461"/>
      <c r="B350" s="462"/>
      <c r="C350" s="463"/>
      <c r="D350" s="464"/>
      <c r="E350" s="459"/>
      <c r="F350" s="465"/>
      <c r="G350" s="466"/>
      <c r="H350" s="460"/>
      <c r="I350" s="466"/>
      <c r="J350" s="460"/>
      <c r="K350" s="570"/>
      <c r="L350" s="460"/>
      <c r="M350" s="570"/>
      <c r="N350" s="460"/>
      <c r="O350" s="570"/>
      <c r="P350" s="460"/>
      <c r="Q350" s="570"/>
      <c r="R350" s="460"/>
      <c r="S350" s="853"/>
      <c r="T350" s="460"/>
    </row>
    <row r="351" spans="1:20">
      <c r="A351" s="461"/>
      <c r="B351" s="462"/>
      <c r="C351" s="463"/>
      <c r="D351" s="464"/>
      <c r="E351" s="459"/>
      <c r="F351" s="465"/>
      <c r="G351" s="466"/>
      <c r="H351" s="460"/>
      <c r="I351" s="466"/>
      <c r="J351" s="460"/>
      <c r="K351" s="570"/>
      <c r="L351" s="460"/>
      <c r="M351" s="570"/>
      <c r="N351" s="460"/>
      <c r="O351" s="570"/>
      <c r="P351" s="460"/>
      <c r="Q351" s="570"/>
      <c r="R351" s="460"/>
      <c r="S351" s="853"/>
      <c r="T351" s="460"/>
    </row>
    <row r="352" spans="1:20">
      <c r="A352" s="461"/>
      <c r="B352" s="462"/>
      <c r="C352" s="463"/>
      <c r="D352" s="464"/>
      <c r="E352" s="459"/>
      <c r="F352" s="465"/>
      <c r="G352" s="466"/>
      <c r="H352" s="460"/>
      <c r="I352" s="466"/>
      <c r="J352" s="460"/>
      <c r="K352" s="570"/>
      <c r="L352" s="460"/>
      <c r="M352" s="570"/>
      <c r="N352" s="460"/>
      <c r="O352" s="570"/>
      <c r="P352" s="460"/>
      <c r="Q352" s="570"/>
      <c r="R352" s="460"/>
      <c r="S352" s="853"/>
      <c r="T352" s="460"/>
    </row>
    <row r="353" spans="1:20">
      <c r="A353" s="461"/>
      <c r="B353" s="462"/>
      <c r="C353" s="463"/>
      <c r="D353" s="464"/>
      <c r="E353" s="459"/>
      <c r="F353" s="465"/>
      <c r="G353" s="466"/>
      <c r="H353" s="460"/>
      <c r="I353" s="466"/>
      <c r="J353" s="460"/>
      <c r="K353" s="570"/>
      <c r="L353" s="460"/>
      <c r="M353" s="570"/>
      <c r="N353" s="460"/>
      <c r="O353" s="570"/>
      <c r="P353" s="460"/>
      <c r="Q353" s="570"/>
      <c r="R353" s="460"/>
      <c r="S353" s="853"/>
      <c r="T353" s="460"/>
    </row>
    <row r="354" spans="1:20">
      <c r="A354" s="461"/>
      <c r="B354" s="462"/>
      <c r="C354" s="463"/>
      <c r="D354" s="464"/>
      <c r="E354" s="459"/>
      <c r="F354" s="465"/>
      <c r="G354" s="466"/>
      <c r="H354" s="460"/>
      <c r="I354" s="466"/>
      <c r="J354" s="460"/>
      <c r="K354" s="570"/>
      <c r="L354" s="460"/>
      <c r="M354" s="570"/>
      <c r="N354" s="460"/>
      <c r="O354" s="570"/>
      <c r="P354" s="460"/>
      <c r="Q354" s="570"/>
      <c r="R354" s="460"/>
      <c r="S354" s="853"/>
      <c r="T354" s="460"/>
    </row>
    <row r="355" spans="1:20">
      <c r="A355" s="461"/>
      <c r="B355" s="462"/>
      <c r="C355" s="463"/>
      <c r="D355" s="464"/>
      <c r="E355" s="459"/>
      <c r="F355" s="465"/>
      <c r="G355" s="466"/>
      <c r="H355" s="460"/>
      <c r="I355" s="466"/>
      <c r="J355" s="460"/>
      <c r="K355" s="570"/>
      <c r="L355" s="460"/>
      <c r="M355" s="570"/>
      <c r="N355" s="460"/>
      <c r="O355" s="570"/>
      <c r="P355" s="460"/>
      <c r="Q355" s="570"/>
      <c r="R355" s="460"/>
      <c r="S355" s="853"/>
      <c r="T355" s="460"/>
    </row>
    <row r="356" spans="1:20">
      <c r="A356" s="461"/>
      <c r="B356" s="462"/>
      <c r="C356" s="463"/>
      <c r="D356" s="464"/>
      <c r="E356" s="459"/>
      <c r="F356" s="465"/>
      <c r="G356" s="466"/>
      <c r="H356" s="460"/>
      <c r="I356" s="466"/>
      <c r="J356" s="460"/>
      <c r="K356" s="570"/>
      <c r="L356" s="460"/>
      <c r="M356" s="570"/>
      <c r="N356" s="460"/>
      <c r="O356" s="570"/>
      <c r="P356" s="460"/>
      <c r="Q356" s="570"/>
      <c r="R356" s="460"/>
      <c r="S356" s="853"/>
      <c r="T356" s="460"/>
    </row>
    <row r="357" spans="1:20">
      <c r="A357" s="461"/>
      <c r="B357" s="462"/>
      <c r="C357" s="463"/>
      <c r="D357" s="464"/>
      <c r="E357" s="459"/>
      <c r="F357" s="465"/>
      <c r="G357" s="466"/>
      <c r="H357" s="460"/>
      <c r="I357" s="466"/>
      <c r="J357" s="460"/>
      <c r="K357" s="570"/>
      <c r="L357" s="460"/>
      <c r="M357" s="570"/>
      <c r="N357" s="460"/>
      <c r="O357" s="570"/>
      <c r="P357" s="460"/>
      <c r="Q357" s="570"/>
      <c r="R357" s="460"/>
      <c r="S357" s="853"/>
      <c r="T357" s="460"/>
    </row>
    <row r="358" spans="1:20">
      <c r="A358" s="461"/>
      <c r="B358" s="462"/>
      <c r="C358" s="463"/>
      <c r="D358" s="464"/>
      <c r="E358" s="459"/>
      <c r="F358" s="465"/>
      <c r="G358" s="466"/>
      <c r="H358" s="460"/>
      <c r="I358" s="466"/>
      <c r="J358" s="460"/>
      <c r="K358" s="570"/>
      <c r="L358" s="460"/>
      <c r="M358" s="570"/>
      <c r="N358" s="460"/>
      <c r="O358" s="570"/>
      <c r="P358" s="460"/>
      <c r="Q358" s="570"/>
      <c r="R358" s="460"/>
      <c r="S358" s="853"/>
      <c r="T358" s="460"/>
    </row>
    <row r="359" spans="1:20">
      <c r="A359" s="461"/>
      <c r="B359" s="462"/>
      <c r="C359" s="463"/>
      <c r="D359" s="464"/>
      <c r="E359" s="459"/>
      <c r="F359" s="465"/>
      <c r="G359" s="466"/>
      <c r="H359" s="460"/>
      <c r="I359" s="466"/>
      <c r="J359" s="460"/>
      <c r="K359" s="570"/>
      <c r="L359" s="460"/>
      <c r="M359" s="570"/>
      <c r="N359" s="460"/>
      <c r="O359" s="570"/>
      <c r="P359" s="460"/>
      <c r="Q359" s="570"/>
      <c r="R359" s="460"/>
      <c r="S359" s="853"/>
      <c r="T359" s="460"/>
    </row>
    <row r="360" spans="1:20">
      <c r="A360" s="461"/>
      <c r="B360" s="462"/>
      <c r="C360" s="463"/>
      <c r="D360" s="464"/>
      <c r="E360" s="459"/>
      <c r="F360" s="465"/>
      <c r="G360" s="466"/>
      <c r="H360" s="460"/>
      <c r="I360" s="466"/>
      <c r="J360" s="460"/>
      <c r="K360" s="570"/>
      <c r="L360" s="460"/>
      <c r="M360" s="570"/>
      <c r="N360" s="460"/>
      <c r="O360" s="570"/>
      <c r="P360" s="460"/>
      <c r="Q360" s="570"/>
      <c r="R360" s="460"/>
      <c r="S360" s="853"/>
      <c r="T360" s="460"/>
    </row>
    <row r="361" spans="1:20">
      <c r="A361" s="461"/>
      <c r="B361" s="462"/>
      <c r="C361" s="463"/>
      <c r="D361" s="464"/>
      <c r="E361" s="459"/>
      <c r="F361" s="465"/>
      <c r="G361" s="466"/>
      <c r="H361" s="460"/>
      <c r="I361" s="466"/>
      <c r="J361" s="460"/>
      <c r="K361" s="570"/>
      <c r="L361" s="460"/>
      <c r="M361" s="570"/>
      <c r="N361" s="460"/>
      <c r="O361" s="570"/>
      <c r="P361" s="460"/>
      <c r="Q361" s="570"/>
      <c r="R361" s="460"/>
      <c r="S361" s="853"/>
      <c r="T361" s="460"/>
    </row>
    <row r="362" spans="1:20">
      <c r="A362" s="461"/>
      <c r="B362" s="462"/>
      <c r="C362" s="463"/>
      <c r="D362" s="464"/>
      <c r="E362" s="459"/>
      <c r="F362" s="465"/>
      <c r="G362" s="466"/>
      <c r="H362" s="460"/>
      <c r="I362" s="466"/>
      <c r="J362" s="460"/>
      <c r="K362" s="570"/>
      <c r="L362" s="460"/>
      <c r="M362" s="570"/>
      <c r="N362" s="460"/>
      <c r="O362" s="570"/>
      <c r="P362" s="460"/>
      <c r="Q362" s="570"/>
      <c r="R362" s="460"/>
      <c r="S362" s="853"/>
      <c r="T362" s="460"/>
    </row>
    <row r="363" spans="1:20">
      <c r="A363" s="461"/>
      <c r="B363" s="462"/>
      <c r="C363" s="463"/>
      <c r="D363" s="464"/>
      <c r="E363" s="459"/>
      <c r="F363" s="465"/>
      <c r="G363" s="466"/>
      <c r="H363" s="460"/>
      <c r="I363" s="466"/>
      <c r="J363" s="460"/>
      <c r="K363" s="570"/>
      <c r="L363" s="460"/>
      <c r="M363" s="570"/>
      <c r="N363" s="460"/>
      <c r="O363" s="570"/>
      <c r="P363" s="460"/>
      <c r="Q363" s="570"/>
      <c r="R363" s="460"/>
      <c r="S363" s="853"/>
      <c r="T363" s="460"/>
    </row>
    <row r="364" spans="1:20">
      <c r="A364" s="461"/>
      <c r="B364" s="462"/>
      <c r="C364" s="463"/>
      <c r="D364" s="464"/>
      <c r="E364" s="459"/>
      <c r="F364" s="465"/>
      <c r="G364" s="466"/>
      <c r="H364" s="460"/>
      <c r="I364" s="466"/>
      <c r="J364" s="460"/>
      <c r="K364" s="570"/>
      <c r="L364" s="460"/>
      <c r="M364" s="570"/>
      <c r="N364" s="460"/>
      <c r="O364" s="570"/>
      <c r="P364" s="460"/>
      <c r="Q364" s="570"/>
      <c r="R364" s="460"/>
      <c r="S364" s="853"/>
      <c r="T364" s="460"/>
    </row>
    <row r="365" spans="1:20">
      <c r="A365" s="461"/>
      <c r="B365" s="462"/>
      <c r="C365" s="463"/>
      <c r="D365" s="464"/>
      <c r="E365" s="459"/>
      <c r="F365" s="465"/>
      <c r="G365" s="466"/>
      <c r="H365" s="460"/>
      <c r="I365" s="466"/>
      <c r="J365" s="460"/>
      <c r="K365" s="570"/>
      <c r="L365" s="460"/>
      <c r="M365" s="570"/>
      <c r="N365" s="460"/>
      <c r="O365" s="570"/>
      <c r="P365" s="460"/>
      <c r="Q365" s="570"/>
      <c r="R365" s="460"/>
      <c r="S365" s="853"/>
      <c r="T365" s="460"/>
    </row>
    <row r="366" spans="1:20">
      <c r="A366" s="461"/>
      <c r="B366" s="462"/>
      <c r="C366" s="463"/>
      <c r="D366" s="464"/>
      <c r="E366" s="459"/>
      <c r="F366" s="465"/>
      <c r="G366" s="466"/>
      <c r="H366" s="460"/>
      <c r="I366" s="466"/>
      <c r="J366" s="460"/>
      <c r="K366" s="570"/>
      <c r="L366" s="460"/>
      <c r="M366" s="570"/>
      <c r="N366" s="460"/>
      <c r="O366" s="570"/>
      <c r="P366" s="460"/>
      <c r="Q366" s="570"/>
      <c r="R366" s="460"/>
      <c r="S366" s="853"/>
      <c r="T366" s="460"/>
    </row>
    <row r="367" spans="1:20">
      <c r="A367" s="461"/>
      <c r="B367" s="462"/>
      <c r="C367" s="463"/>
      <c r="D367" s="464"/>
      <c r="E367" s="459"/>
      <c r="F367" s="465"/>
      <c r="G367" s="466"/>
      <c r="H367" s="460"/>
      <c r="I367" s="466"/>
      <c r="J367" s="460"/>
      <c r="K367" s="570"/>
      <c r="L367" s="460"/>
      <c r="M367" s="570"/>
      <c r="N367" s="460"/>
      <c r="O367" s="570"/>
      <c r="P367" s="460"/>
      <c r="Q367" s="570"/>
      <c r="R367" s="460"/>
      <c r="S367" s="853"/>
      <c r="T367" s="460"/>
    </row>
    <row r="368" spans="1:20">
      <c r="A368" s="461"/>
      <c r="B368" s="462"/>
      <c r="C368" s="463"/>
      <c r="D368" s="464"/>
      <c r="E368" s="459"/>
      <c r="F368" s="465"/>
      <c r="G368" s="466"/>
      <c r="H368" s="460"/>
      <c r="I368" s="466"/>
      <c r="J368" s="460"/>
      <c r="K368" s="570"/>
      <c r="L368" s="460"/>
      <c r="M368" s="570"/>
      <c r="N368" s="460"/>
      <c r="O368" s="570"/>
      <c r="P368" s="460"/>
      <c r="Q368" s="570"/>
      <c r="R368" s="460"/>
      <c r="S368" s="853"/>
      <c r="T368" s="460"/>
    </row>
    <row r="369" spans="1:20">
      <c r="A369" s="461"/>
      <c r="B369" s="462"/>
      <c r="C369" s="463"/>
      <c r="D369" s="464"/>
      <c r="E369" s="459"/>
      <c r="F369" s="465"/>
      <c r="G369" s="466"/>
      <c r="H369" s="460"/>
      <c r="I369" s="466"/>
      <c r="J369" s="460"/>
      <c r="K369" s="570"/>
      <c r="L369" s="460"/>
      <c r="M369" s="570"/>
      <c r="N369" s="460"/>
      <c r="O369" s="570"/>
      <c r="P369" s="460"/>
      <c r="Q369" s="570"/>
      <c r="R369" s="460"/>
      <c r="S369" s="853"/>
      <c r="T369" s="460"/>
    </row>
    <row r="370" spans="1:20">
      <c r="A370" s="461"/>
      <c r="B370" s="462"/>
      <c r="C370" s="463"/>
      <c r="D370" s="464"/>
      <c r="E370" s="459"/>
      <c r="F370" s="465"/>
      <c r="G370" s="466"/>
      <c r="H370" s="460"/>
      <c r="I370" s="466"/>
      <c r="J370" s="460"/>
      <c r="K370" s="570"/>
      <c r="L370" s="460"/>
      <c r="M370" s="570"/>
      <c r="N370" s="460"/>
      <c r="O370" s="570"/>
      <c r="P370" s="460"/>
      <c r="Q370" s="570"/>
      <c r="R370" s="460"/>
      <c r="S370" s="853"/>
      <c r="T370" s="460"/>
    </row>
    <row r="371" spans="1:20">
      <c r="A371" s="461"/>
      <c r="B371" s="462"/>
      <c r="C371" s="463"/>
      <c r="D371" s="464"/>
      <c r="E371" s="459"/>
      <c r="F371" s="465"/>
      <c r="G371" s="466"/>
      <c r="H371" s="460"/>
      <c r="I371" s="466"/>
      <c r="J371" s="460"/>
      <c r="K371" s="570"/>
      <c r="L371" s="460"/>
      <c r="M371" s="570"/>
      <c r="N371" s="460"/>
      <c r="O371" s="570"/>
      <c r="P371" s="460"/>
      <c r="Q371" s="570"/>
      <c r="R371" s="460"/>
      <c r="S371" s="853"/>
      <c r="T371" s="460"/>
    </row>
    <row r="372" spans="1:20">
      <c r="A372" s="461"/>
      <c r="B372" s="462"/>
      <c r="C372" s="463"/>
      <c r="D372" s="464"/>
      <c r="E372" s="459"/>
      <c r="F372" s="465"/>
      <c r="G372" s="466"/>
      <c r="H372" s="460"/>
      <c r="I372" s="466"/>
      <c r="J372" s="460"/>
      <c r="K372" s="570"/>
      <c r="L372" s="460"/>
      <c r="M372" s="570"/>
      <c r="N372" s="460"/>
      <c r="O372" s="570"/>
      <c r="P372" s="460"/>
      <c r="Q372" s="570"/>
      <c r="R372" s="460"/>
      <c r="S372" s="853"/>
      <c r="T372" s="460"/>
    </row>
    <row r="373" spans="1:20">
      <c r="A373" s="461"/>
      <c r="B373" s="462"/>
      <c r="C373" s="463"/>
      <c r="D373" s="464"/>
      <c r="E373" s="459"/>
      <c r="F373" s="465"/>
      <c r="G373" s="466"/>
      <c r="H373" s="460"/>
      <c r="I373" s="466"/>
      <c r="J373" s="460"/>
      <c r="K373" s="570"/>
      <c r="L373" s="460"/>
      <c r="M373" s="570"/>
      <c r="N373" s="460"/>
      <c r="O373" s="570"/>
      <c r="P373" s="460"/>
      <c r="Q373" s="570"/>
      <c r="R373" s="460"/>
      <c r="S373" s="853"/>
      <c r="T373" s="460"/>
    </row>
    <row r="374" spans="1:20">
      <c r="A374" s="461"/>
      <c r="B374" s="462"/>
      <c r="C374" s="463"/>
      <c r="D374" s="464"/>
      <c r="E374" s="459"/>
      <c r="F374" s="465"/>
      <c r="G374" s="466"/>
      <c r="H374" s="460"/>
      <c r="I374" s="466"/>
      <c r="J374" s="460"/>
      <c r="K374" s="570"/>
      <c r="L374" s="460"/>
      <c r="M374" s="570"/>
      <c r="N374" s="460"/>
      <c r="O374" s="570"/>
      <c r="P374" s="460"/>
      <c r="Q374" s="570"/>
      <c r="R374" s="460"/>
      <c r="S374" s="853"/>
      <c r="T374" s="460"/>
    </row>
    <row r="375" spans="1:20">
      <c r="A375" s="461"/>
      <c r="B375" s="462"/>
      <c r="C375" s="463"/>
      <c r="D375" s="464"/>
      <c r="E375" s="459"/>
      <c r="F375" s="465"/>
      <c r="G375" s="466"/>
      <c r="H375" s="460"/>
      <c r="I375" s="466"/>
      <c r="J375" s="460"/>
      <c r="K375" s="570"/>
      <c r="L375" s="460"/>
      <c r="M375" s="570"/>
      <c r="N375" s="460"/>
      <c r="O375" s="570"/>
      <c r="P375" s="460"/>
      <c r="Q375" s="570"/>
      <c r="R375" s="460"/>
      <c r="S375" s="853"/>
      <c r="T375" s="460"/>
    </row>
    <row r="376" spans="1:20">
      <c r="A376" s="461"/>
      <c r="B376" s="462"/>
      <c r="C376" s="463"/>
      <c r="D376" s="464"/>
      <c r="E376" s="459"/>
      <c r="F376" s="465"/>
      <c r="G376" s="466"/>
      <c r="H376" s="460"/>
      <c r="I376" s="466"/>
      <c r="J376" s="460"/>
      <c r="K376" s="570"/>
      <c r="L376" s="460"/>
      <c r="M376" s="570"/>
      <c r="N376" s="460"/>
      <c r="O376" s="570"/>
      <c r="P376" s="460"/>
      <c r="Q376" s="570"/>
      <c r="R376" s="460"/>
      <c r="S376" s="853"/>
      <c r="T376" s="460"/>
    </row>
    <row r="377" spans="1:20">
      <c r="A377" s="461"/>
      <c r="B377" s="462"/>
      <c r="C377" s="463"/>
      <c r="D377" s="464"/>
      <c r="E377" s="459"/>
      <c r="F377" s="465"/>
      <c r="G377" s="466"/>
      <c r="H377" s="460"/>
      <c r="I377" s="466"/>
      <c r="J377" s="460"/>
      <c r="K377" s="570"/>
      <c r="L377" s="460"/>
      <c r="M377" s="570"/>
      <c r="N377" s="460"/>
      <c r="O377" s="570"/>
      <c r="P377" s="460"/>
      <c r="Q377" s="570"/>
      <c r="R377" s="460"/>
      <c r="S377" s="853"/>
      <c r="T377" s="460"/>
    </row>
    <row r="378" spans="1:20">
      <c r="A378" s="461"/>
      <c r="B378" s="462"/>
      <c r="C378" s="463"/>
      <c r="D378" s="464"/>
      <c r="E378" s="459"/>
      <c r="F378" s="465"/>
      <c r="G378" s="466"/>
      <c r="H378" s="460"/>
      <c r="I378" s="466"/>
      <c r="J378" s="460"/>
      <c r="K378" s="570"/>
      <c r="L378" s="460"/>
      <c r="M378" s="570"/>
      <c r="N378" s="460"/>
      <c r="O378" s="570"/>
      <c r="P378" s="460"/>
      <c r="Q378" s="570"/>
      <c r="R378" s="460"/>
      <c r="S378" s="853"/>
      <c r="T378" s="460"/>
    </row>
    <row r="379" spans="1:20">
      <c r="A379" s="461"/>
      <c r="B379" s="462"/>
      <c r="C379" s="463"/>
      <c r="D379" s="464"/>
      <c r="E379" s="459"/>
      <c r="F379" s="465"/>
      <c r="G379" s="466"/>
      <c r="H379" s="460"/>
      <c r="I379" s="466"/>
      <c r="J379" s="460"/>
      <c r="K379" s="570"/>
      <c r="L379" s="460"/>
      <c r="M379" s="570"/>
      <c r="N379" s="460"/>
      <c r="O379" s="570"/>
      <c r="P379" s="460"/>
      <c r="Q379" s="570"/>
      <c r="R379" s="460"/>
      <c r="S379" s="853"/>
      <c r="T379" s="460"/>
    </row>
    <row r="380" spans="1:20">
      <c r="A380" s="461"/>
      <c r="B380" s="462"/>
      <c r="C380" s="463"/>
      <c r="D380" s="464"/>
      <c r="E380" s="459"/>
      <c r="F380" s="465"/>
      <c r="G380" s="466"/>
      <c r="H380" s="460"/>
      <c r="I380" s="466"/>
      <c r="J380" s="460"/>
      <c r="K380" s="570"/>
      <c r="L380" s="460"/>
      <c r="M380" s="570"/>
      <c r="N380" s="460"/>
      <c r="O380" s="570"/>
      <c r="P380" s="460"/>
      <c r="Q380" s="570"/>
      <c r="R380" s="460"/>
      <c r="S380" s="853"/>
      <c r="T380" s="460"/>
    </row>
    <row r="381" spans="1:20">
      <c r="A381" s="461"/>
      <c r="B381" s="462"/>
      <c r="C381" s="463"/>
      <c r="D381" s="464"/>
      <c r="E381" s="459"/>
      <c r="F381" s="465"/>
      <c r="G381" s="466"/>
      <c r="H381" s="460"/>
      <c r="I381" s="466"/>
      <c r="J381" s="460"/>
      <c r="K381" s="570"/>
      <c r="L381" s="460"/>
      <c r="M381" s="570"/>
      <c r="N381" s="460"/>
      <c r="O381" s="570"/>
      <c r="P381" s="460"/>
      <c r="Q381" s="570"/>
      <c r="R381" s="460"/>
      <c r="S381" s="853"/>
      <c r="T381" s="460"/>
    </row>
    <row r="382" spans="1:20">
      <c r="A382" s="461"/>
      <c r="B382" s="462"/>
      <c r="C382" s="463"/>
      <c r="D382" s="464"/>
      <c r="E382" s="459"/>
      <c r="F382" s="465"/>
      <c r="G382" s="466"/>
      <c r="H382" s="460"/>
      <c r="I382" s="466"/>
      <c r="J382" s="460"/>
      <c r="K382" s="570"/>
      <c r="L382" s="460"/>
      <c r="M382" s="570"/>
      <c r="N382" s="460"/>
      <c r="O382" s="570"/>
      <c r="P382" s="460"/>
      <c r="Q382" s="570"/>
      <c r="R382" s="460"/>
      <c r="S382" s="853"/>
      <c r="T382" s="460"/>
    </row>
    <row r="383" spans="1:20">
      <c r="A383" s="461"/>
      <c r="B383" s="462"/>
      <c r="C383" s="463"/>
      <c r="D383" s="464"/>
      <c r="E383" s="459"/>
      <c r="F383" s="465"/>
      <c r="G383" s="466"/>
      <c r="H383" s="460"/>
      <c r="I383" s="466"/>
      <c r="J383" s="460"/>
      <c r="K383" s="570"/>
      <c r="L383" s="460"/>
      <c r="M383" s="570"/>
      <c r="N383" s="460"/>
      <c r="O383" s="570"/>
      <c r="P383" s="460"/>
      <c r="Q383" s="570"/>
      <c r="R383" s="460"/>
      <c r="S383" s="853"/>
      <c r="T383" s="460"/>
    </row>
    <row r="384" spans="1:20">
      <c r="A384" s="461"/>
      <c r="B384" s="462"/>
      <c r="C384" s="463"/>
      <c r="D384" s="464"/>
      <c r="E384" s="459"/>
      <c r="F384" s="465"/>
      <c r="G384" s="466"/>
      <c r="H384" s="460"/>
      <c r="I384" s="466"/>
      <c r="J384" s="460"/>
      <c r="K384" s="570"/>
      <c r="L384" s="460"/>
      <c r="M384" s="570"/>
      <c r="N384" s="460"/>
      <c r="O384" s="570"/>
      <c r="P384" s="460"/>
      <c r="Q384" s="570"/>
      <c r="R384" s="460"/>
      <c r="S384" s="853"/>
      <c r="T384" s="460"/>
    </row>
    <row r="385" spans="1:20">
      <c r="A385" s="461"/>
      <c r="B385" s="462"/>
      <c r="C385" s="463"/>
      <c r="D385" s="464"/>
      <c r="E385" s="459"/>
      <c r="F385" s="465"/>
      <c r="G385" s="466"/>
      <c r="H385" s="460"/>
      <c r="I385" s="466"/>
      <c r="J385" s="460"/>
      <c r="K385" s="570"/>
      <c r="L385" s="460"/>
      <c r="M385" s="570"/>
      <c r="N385" s="460"/>
      <c r="O385" s="570"/>
      <c r="P385" s="460"/>
      <c r="Q385" s="570"/>
      <c r="R385" s="460"/>
      <c r="S385" s="853"/>
      <c r="T385" s="460"/>
    </row>
    <row r="386" spans="1:20">
      <c r="A386" s="461"/>
      <c r="B386" s="462"/>
      <c r="C386" s="463"/>
      <c r="D386" s="464"/>
      <c r="E386" s="459"/>
      <c r="F386" s="465"/>
      <c r="G386" s="466"/>
      <c r="H386" s="460"/>
      <c r="I386" s="466"/>
      <c r="J386" s="460"/>
      <c r="K386" s="570"/>
      <c r="L386" s="460"/>
      <c r="M386" s="570"/>
      <c r="N386" s="460"/>
      <c r="O386" s="570"/>
      <c r="P386" s="460"/>
      <c r="Q386" s="570"/>
      <c r="R386" s="460"/>
      <c r="S386" s="853"/>
      <c r="T386" s="460"/>
    </row>
    <row r="387" spans="1:20">
      <c r="A387" s="461"/>
      <c r="B387" s="462"/>
      <c r="C387" s="463"/>
      <c r="D387" s="464"/>
      <c r="E387" s="459"/>
      <c r="F387" s="465"/>
      <c r="G387" s="466"/>
      <c r="H387" s="460"/>
      <c r="I387" s="466"/>
      <c r="J387" s="460"/>
      <c r="K387" s="570"/>
      <c r="L387" s="460"/>
      <c r="M387" s="570"/>
      <c r="N387" s="460"/>
      <c r="O387" s="570"/>
      <c r="P387" s="460"/>
      <c r="Q387" s="570"/>
      <c r="R387" s="460"/>
      <c r="S387" s="853"/>
      <c r="T387" s="460"/>
    </row>
    <row r="388" spans="1:20">
      <c r="A388" s="461"/>
      <c r="B388" s="462"/>
      <c r="C388" s="463"/>
      <c r="D388" s="464"/>
      <c r="E388" s="459"/>
      <c r="F388" s="465"/>
      <c r="G388" s="466"/>
      <c r="H388" s="460"/>
      <c r="I388" s="466"/>
      <c r="J388" s="460"/>
      <c r="K388" s="570"/>
      <c r="L388" s="460"/>
      <c r="M388" s="570"/>
      <c r="N388" s="460"/>
      <c r="O388" s="570"/>
      <c r="P388" s="460"/>
      <c r="Q388" s="570"/>
      <c r="R388" s="460"/>
      <c r="S388" s="853"/>
      <c r="T388" s="460"/>
    </row>
    <row r="389" spans="1:20">
      <c r="A389" s="461"/>
      <c r="B389" s="462"/>
      <c r="C389" s="463"/>
      <c r="D389" s="464"/>
      <c r="E389" s="459"/>
      <c r="F389" s="465"/>
      <c r="G389" s="466"/>
      <c r="H389" s="460"/>
      <c r="I389" s="466"/>
      <c r="J389" s="460"/>
      <c r="K389" s="570"/>
      <c r="L389" s="460"/>
      <c r="M389" s="570"/>
      <c r="N389" s="460"/>
      <c r="O389" s="570"/>
      <c r="P389" s="460"/>
      <c r="Q389" s="570"/>
      <c r="R389" s="460"/>
      <c r="S389" s="853"/>
      <c r="T389" s="460"/>
    </row>
    <row r="390" spans="1:20">
      <c r="A390" s="461"/>
      <c r="B390" s="462"/>
      <c r="C390" s="463"/>
      <c r="D390" s="464"/>
      <c r="E390" s="459"/>
      <c r="F390" s="465"/>
      <c r="G390" s="466"/>
      <c r="H390" s="460"/>
      <c r="I390" s="466"/>
      <c r="J390" s="460"/>
      <c r="K390" s="570"/>
      <c r="L390" s="460"/>
      <c r="M390" s="570"/>
      <c r="N390" s="460"/>
      <c r="O390" s="570"/>
      <c r="P390" s="460"/>
      <c r="Q390" s="570"/>
      <c r="R390" s="460"/>
      <c r="S390" s="853"/>
      <c r="T390" s="460"/>
    </row>
    <row r="391" spans="1:20">
      <c r="A391" s="461"/>
      <c r="B391" s="462"/>
      <c r="C391" s="463"/>
      <c r="D391" s="464"/>
      <c r="E391" s="459"/>
      <c r="F391" s="465"/>
      <c r="G391" s="466"/>
      <c r="H391" s="460"/>
      <c r="I391" s="466"/>
      <c r="J391" s="460"/>
      <c r="K391" s="570"/>
      <c r="L391" s="460"/>
      <c r="M391" s="570"/>
      <c r="N391" s="460"/>
      <c r="O391" s="570"/>
      <c r="P391" s="460"/>
      <c r="Q391" s="570"/>
      <c r="R391" s="460"/>
      <c r="S391" s="853"/>
      <c r="T391" s="460"/>
    </row>
    <row r="392" spans="1:20">
      <c r="A392" s="461"/>
      <c r="B392" s="462"/>
      <c r="C392" s="463"/>
      <c r="D392" s="464"/>
      <c r="E392" s="459"/>
      <c r="F392" s="465"/>
      <c r="G392" s="466"/>
      <c r="H392" s="460"/>
      <c r="I392" s="466"/>
      <c r="J392" s="460"/>
      <c r="K392" s="570"/>
      <c r="L392" s="460"/>
      <c r="M392" s="570"/>
      <c r="N392" s="460"/>
      <c r="O392" s="570"/>
      <c r="P392" s="460"/>
      <c r="Q392" s="570"/>
      <c r="R392" s="460"/>
      <c r="S392" s="853"/>
      <c r="T392" s="460"/>
    </row>
    <row r="393" spans="1:20">
      <c r="A393" s="461"/>
      <c r="B393" s="462"/>
      <c r="C393" s="463"/>
      <c r="D393" s="464"/>
      <c r="E393" s="459"/>
      <c r="F393" s="465"/>
      <c r="G393" s="466"/>
      <c r="H393" s="460"/>
      <c r="I393" s="466"/>
      <c r="J393" s="460"/>
      <c r="K393" s="570"/>
      <c r="L393" s="460"/>
      <c r="M393" s="570"/>
      <c r="N393" s="460"/>
      <c r="O393" s="570"/>
      <c r="P393" s="460"/>
      <c r="Q393" s="570"/>
      <c r="R393" s="460"/>
      <c r="S393" s="853"/>
      <c r="T393" s="460"/>
    </row>
    <row r="394" spans="1:20">
      <c r="A394" s="461"/>
      <c r="B394" s="462"/>
      <c r="C394" s="463"/>
      <c r="D394" s="464"/>
      <c r="E394" s="459"/>
      <c r="F394" s="465"/>
      <c r="G394" s="466"/>
      <c r="H394" s="460"/>
      <c r="I394" s="466"/>
      <c r="J394" s="460"/>
      <c r="K394" s="570"/>
      <c r="L394" s="460"/>
      <c r="M394" s="570"/>
      <c r="N394" s="460"/>
      <c r="O394" s="570"/>
      <c r="P394" s="460"/>
      <c r="Q394" s="570"/>
      <c r="R394" s="460"/>
      <c r="S394" s="853"/>
      <c r="T394" s="460"/>
    </row>
    <row r="395" spans="1:20">
      <c r="A395" s="461"/>
      <c r="B395" s="462"/>
      <c r="C395" s="463"/>
      <c r="D395" s="464"/>
      <c r="E395" s="459"/>
      <c r="F395" s="465"/>
      <c r="G395" s="466"/>
      <c r="H395" s="460"/>
      <c r="I395" s="466"/>
      <c r="J395" s="460"/>
      <c r="K395" s="570"/>
      <c r="L395" s="460"/>
      <c r="M395" s="570"/>
      <c r="N395" s="460"/>
      <c r="O395" s="570"/>
      <c r="P395" s="460"/>
      <c r="Q395" s="570"/>
      <c r="R395" s="460"/>
      <c r="S395" s="853"/>
      <c r="T395" s="460"/>
    </row>
    <row r="396" spans="1:20">
      <c r="A396" s="461"/>
      <c r="B396" s="462"/>
      <c r="C396" s="463"/>
      <c r="D396" s="464"/>
      <c r="E396" s="459"/>
      <c r="F396" s="465"/>
      <c r="G396" s="466"/>
      <c r="H396" s="460"/>
      <c r="I396" s="466"/>
      <c r="J396" s="460"/>
      <c r="K396" s="570"/>
      <c r="L396" s="460"/>
      <c r="M396" s="570"/>
      <c r="N396" s="460"/>
      <c r="O396" s="570"/>
      <c r="P396" s="460"/>
      <c r="Q396" s="570"/>
      <c r="R396" s="460"/>
      <c r="S396" s="853"/>
      <c r="T396" s="460"/>
    </row>
    <row r="397" spans="1:20">
      <c r="A397" s="461"/>
      <c r="B397" s="462"/>
      <c r="C397" s="463"/>
      <c r="D397" s="464"/>
      <c r="E397" s="459"/>
      <c r="F397" s="465"/>
      <c r="G397" s="466"/>
      <c r="H397" s="460"/>
      <c r="I397" s="466"/>
      <c r="J397" s="460"/>
      <c r="K397" s="570"/>
      <c r="L397" s="460"/>
      <c r="M397" s="570"/>
      <c r="N397" s="460"/>
      <c r="O397" s="570"/>
      <c r="P397" s="460"/>
      <c r="Q397" s="570"/>
      <c r="R397" s="460"/>
      <c r="S397" s="853"/>
      <c r="T397" s="460"/>
    </row>
    <row r="398" spans="1:20">
      <c r="A398" s="461"/>
      <c r="B398" s="462"/>
      <c r="C398" s="463"/>
      <c r="D398" s="464"/>
      <c r="E398" s="459"/>
      <c r="F398" s="465"/>
      <c r="G398" s="466"/>
      <c r="H398" s="460"/>
      <c r="I398" s="466"/>
      <c r="J398" s="460"/>
      <c r="K398" s="570"/>
      <c r="L398" s="460"/>
      <c r="M398" s="570"/>
      <c r="N398" s="460"/>
      <c r="O398" s="570"/>
      <c r="P398" s="460"/>
      <c r="Q398" s="570"/>
      <c r="R398" s="460"/>
      <c r="S398" s="853"/>
      <c r="T398" s="460"/>
    </row>
    <row r="399" spans="1:20">
      <c r="A399" s="461"/>
      <c r="B399" s="462"/>
      <c r="C399" s="463"/>
      <c r="D399" s="464"/>
      <c r="E399" s="459"/>
      <c r="F399" s="465"/>
      <c r="G399" s="466"/>
      <c r="H399" s="460"/>
      <c r="I399" s="466"/>
      <c r="J399" s="460"/>
      <c r="K399" s="570"/>
      <c r="L399" s="460"/>
      <c r="M399" s="570"/>
      <c r="N399" s="460"/>
      <c r="O399" s="570"/>
      <c r="P399" s="460"/>
      <c r="Q399" s="570"/>
      <c r="R399" s="460"/>
      <c r="S399" s="853"/>
      <c r="T399" s="460"/>
    </row>
    <row r="400" spans="1:20">
      <c r="A400" s="461"/>
      <c r="B400" s="462"/>
      <c r="C400" s="463"/>
      <c r="D400" s="464"/>
      <c r="E400" s="459"/>
      <c r="F400" s="465"/>
      <c r="G400" s="466"/>
      <c r="H400" s="460"/>
      <c r="I400" s="466"/>
      <c r="J400" s="460"/>
      <c r="K400" s="570"/>
      <c r="L400" s="460"/>
      <c r="M400" s="570"/>
      <c r="N400" s="460"/>
      <c r="O400" s="570"/>
      <c r="P400" s="460"/>
      <c r="Q400" s="570"/>
      <c r="R400" s="460"/>
      <c r="S400" s="853"/>
      <c r="T400" s="460"/>
    </row>
    <row r="401" spans="1:20">
      <c r="A401" s="461"/>
      <c r="B401" s="462"/>
      <c r="C401" s="463"/>
      <c r="D401" s="464"/>
      <c r="E401" s="459"/>
      <c r="F401" s="465"/>
      <c r="G401" s="466"/>
      <c r="H401" s="460"/>
      <c r="I401" s="466"/>
      <c r="J401" s="460"/>
      <c r="K401" s="570"/>
      <c r="L401" s="460"/>
      <c r="M401" s="570"/>
      <c r="N401" s="460"/>
      <c r="O401" s="570"/>
      <c r="P401" s="460"/>
      <c r="Q401" s="570"/>
      <c r="R401" s="460"/>
      <c r="S401" s="853"/>
      <c r="T401" s="460"/>
    </row>
    <row r="402" spans="1:20">
      <c r="A402" s="461"/>
      <c r="B402" s="462"/>
      <c r="C402" s="463"/>
      <c r="D402" s="464"/>
      <c r="E402" s="459"/>
      <c r="F402" s="465"/>
      <c r="G402" s="466"/>
      <c r="H402" s="460"/>
      <c r="I402" s="466"/>
      <c r="J402" s="460"/>
      <c r="K402" s="570"/>
      <c r="L402" s="460"/>
      <c r="M402" s="570"/>
      <c r="N402" s="460"/>
      <c r="O402" s="570"/>
      <c r="P402" s="460"/>
      <c r="Q402" s="570"/>
      <c r="R402" s="460"/>
      <c r="S402" s="853"/>
      <c r="T402" s="460"/>
    </row>
    <row r="403" spans="1:20">
      <c r="A403" s="461"/>
      <c r="B403" s="462"/>
      <c r="C403" s="463"/>
      <c r="D403" s="464"/>
      <c r="E403" s="459"/>
      <c r="F403" s="465"/>
      <c r="G403" s="466"/>
      <c r="H403" s="460"/>
      <c r="I403" s="466"/>
      <c r="J403" s="460"/>
      <c r="K403" s="570"/>
      <c r="L403" s="460"/>
      <c r="M403" s="570"/>
      <c r="N403" s="460"/>
      <c r="O403" s="570"/>
      <c r="P403" s="460"/>
      <c r="Q403" s="570"/>
      <c r="R403" s="460"/>
      <c r="S403" s="853"/>
      <c r="T403" s="460"/>
    </row>
    <row r="404" spans="1:20">
      <c r="A404" s="461"/>
      <c r="B404" s="462"/>
      <c r="C404" s="463"/>
      <c r="D404" s="464"/>
      <c r="E404" s="459"/>
      <c r="F404" s="465"/>
      <c r="G404" s="466"/>
      <c r="H404" s="460"/>
      <c r="I404" s="466"/>
      <c r="J404" s="460"/>
      <c r="K404" s="570"/>
      <c r="L404" s="460"/>
      <c r="M404" s="570"/>
      <c r="N404" s="460"/>
      <c r="O404" s="570"/>
      <c r="P404" s="460"/>
      <c r="Q404" s="570"/>
      <c r="R404" s="460"/>
      <c r="S404" s="853"/>
      <c r="T404" s="460"/>
    </row>
    <row r="405" spans="1:20">
      <c r="A405" s="461"/>
      <c r="B405" s="462"/>
      <c r="C405" s="463"/>
      <c r="D405" s="464"/>
      <c r="E405" s="459"/>
      <c r="F405" s="465"/>
      <c r="G405" s="466"/>
      <c r="H405" s="460"/>
      <c r="I405" s="466"/>
      <c r="J405" s="460"/>
      <c r="K405" s="570"/>
      <c r="L405" s="460"/>
      <c r="M405" s="570"/>
      <c r="N405" s="460"/>
      <c r="O405" s="570"/>
      <c r="P405" s="460"/>
      <c r="Q405" s="570"/>
      <c r="R405" s="460"/>
      <c r="S405" s="853"/>
      <c r="T405" s="460"/>
    </row>
    <row r="406" spans="1:20">
      <c r="A406" s="461"/>
      <c r="B406" s="462"/>
      <c r="C406" s="463"/>
      <c r="D406" s="464"/>
      <c r="E406" s="459"/>
      <c r="F406" s="465"/>
      <c r="G406" s="466"/>
      <c r="H406" s="460"/>
      <c r="I406" s="466"/>
      <c r="J406" s="460"/>
      <c r="K406" s="570"/>
      <c r="L406" s="460"/>
      <c r="M406" s="570"/>
      <c r="N406" s="460"/>
      <c r="O406" s="570"/>
      <c r="P406" s="460"/>
      <c r="Q406" s="570"/>
      <c r="R406" s="460"/>
      <c r="S406" s="853"/>
      <c r="T406" s="460"/>
    </row>
    <row r="407" spans="1:20">
      <c r="A407" s="461"/>
      <c r="B407" s="462"/>
      <c r="C407" s="463"/>
      <c r="D407" s="464"/>
      <c r="E407" s="459"/>
      <c r="F407" s="465"/>
      <c r="G407" s="466"/>
      <c r="H407" s="460"/>
      <c r="I407" s="466"/>
      <c r="J407" s="460"/>
      <c r="K407" s="570"/>
      <c r="L407" s="460"/>
      <c r="M407" s="570"/>
      <c r="N407" s="460"/>
      <c r="O407" s="570"/>
      <c r="P407" s="460"/>
      <c r="Q407" s="570"/>
      <c r="R407" s="460"/>
      <c r="S407" s="853"/>
      <c r="T407" s="460"/>
    </row>
    <row r="408" spans="1:20">
      <c r="A408" s="461"/>
      <c r="B408" s="462"/>
      <c r="C408" s="463"/>
      <c r="D408" s="464"/>
      <c r="E408" s="459"/>
      <c r="F408" s="465"/>
      <c r="G408" s="466"/>
      <c r="H408" s="460"/>
      <c r="I408" s="466"/>
      <c r="J408" s="460"/>
      <c r="K408" s="570"/>
      <c r="L408" s="460"/>
      <c r="M408" s="570"/>
      <c r="N408" s="460"/>
      <c r="O408" s="570"/>
      <c r="P408" s="460"/>
      <c r="Q408" s="570"/>
      <c r="R408" s="460"/>
      <c r="S408" s="853"/>
      <c r="T408" s="460"/>
    </row>
    <row r="409" spans="1:20">
      <c r="A409" s="461"/>
      <c r="B409" s="462"/>
      <c r="C409" s="463"/>
      <c r="D409" s="464"/>
      <c r="E409" s="459"/>
      <c r="F409" s="465"/>
      <c r="G409" s="466"/>
      <c r="H409" s="460"/>
      <c r="I409" s="466"/>
      <c r="J409" s="460"/>
      <c r="K409" s="570"/>
      <c r="L409" s="460"/>
      <c r="M409" s="570"/>
      <c r="N409" s="460"/>
      <c r="O409" s="570"/>
      <c r="P409" s="460"/>
      <c r="Q409" s="570"/>
      <c r="R409" s="460"/>
      <c r="S409" s="853"/>
      <c r="T409" s="460"/>
    </row>
    <row r="410" spans="1:20">
      <c r="A410" s="461"/>
      <c r="B410" s="462"/>
      <c r="C410" s="463"/>
      <c r="D410" s="464"/>
      <c r="E410" s="459"/>
      <c r="F410" s="465"/>
      <c r="G410" s="466"/>
      <c r="H410" s="460"/>
      <c r="I410" s="466"/>
      <c r="J410" s="460"/>
      <c r="K410" s="570"/>
      <c r="L410" s="460"/>
      <c r="M410" s="570"/>
      <c r="N410" s="460"/>
      <c r="O410" s="570"/>
      <c r="P410" s="460"/>
      <c r="Q410" s="570"/>
      <c r="R410" s="460"/>
      <c r="S410" s="853"/>
      <c r="T410" s="460"/>
    </row>
    <row r="411" spans="1:20">
      <c r="A411" s="461"/>
      <c r="B411" s="462"/>
      <c r="C411" s="463"/>
      <c r="D411" s="464"/>
      <c r="E411" s="459"/>
      <c r="F411" s="465"/>
      <c r="G411" s="466"/>
      <c r="H411" s="460"/>
      <c r="I411" s="466"/>
      <c r="J411" s="460"/>
      <c r="K411" s="570"/>
      <c r="L411" s="460"/>
      <c r="M411" s="570"/>
      <c r="N411" s="460"/>
      <c r="O411" s="570"/>
      <c r="P411" s="460"/>
      <c r="Q411" s="570"/>
      <c r="R411" s="460"/>
      <c r="S411" s="853"/>
      <c r="T411" s="460"/>
    </row>
    <row r="412" spans="1:20">
      <c r="A412" s="461"/>
      <c r="B412" s="462"/>
      <c r="C412" s="463"/>
      <c r="D412" s="464"/>
      <c r="E412" s="459"/>
      <c r="F412" s="465"/>
      <c r="G412" s="466"/>
      <c r="H412" s="460"/>
      <c r="I412" s="466"/>
      <c r="J412" s="460"/>
      <c r="K412" s="570"/>
      <c r="L412" s="460"/>
      <c r="M412" s="570"/>
      <c r="N412" s="460"/>
      <c r="O412" s="570"/>
      <c r="P412" s="460"/>
      <c r="Q412" s="570"/>
      <c r="R412" s="460"/>
      <c r="S412" s="853"/>
      <c r="T412" s="460"/>
    </row>
    <row r="413" spans="1:20">
      <c r="A413" s="461"/>
      <c r="B413" s="462"/>
      <c r="C413" s="463"/>
      <c r="D413" s="464"/>
      <c r="E413" s="459"/>
      <c r="F413" s="465"/>
      <c r="G413" s="466"/>
      <c r="H413" s="460"/>
      <c r="I413" s="466"/>
      <c r="J413" s="460"/>
      <c r="K413" s="570"/>
      <c r="L413" s="460"/>
      <c r="M413" s="570"/>
      <c r="N413" s="460"/>
      <c r="O413" s="570"/>
      <c r="P413" s="460"/>
      <c r="Q413" s="570"/>
      <c r="R413" s="460"/>
      <c r="S413" s="853"/>
      <c r="T413" s="460"/>
    </row>
    <row r="414" spans="1:20">
      <c r="A414" s="461"/>
      <c r="B414" s="462"/>
      <c r="C414" s="463"/>
      <c r="D414" s="464"/>
      <c r="E414" s="459"/>
      <c r="F414" s="465"/>
      <c r="G414" s="466"/>
      <c r="H414" s="460"/>
      <c r="I414" s="466"/>
      <c r="J414" s="460"/>
      <c r="K414" s="570"/>
      <c r="L414" s="460"/>
      <c r="M414" s="570"/>
      <c r="N414" s="460"/>
      <c r="O414" s="570"/>
      <c r="P414" s="460"/>
      <c r="Q414" s="570"/>
      <c r="R414" s="460"/>
      <c r="S414" s="853"/>
      <c r="T414" s="460"/>
    </row>
    <row r="415" spans="1:20">
      <c r="A415" s="461"/>
      <c r="B415" s="462"/>
      <c r="C415" s="463"/>
      <c r="D415" s="464"/>
      <c r="E415" s="459"/>
      <c r="F415" s="465"/>
      <c r="G415" s="466"/>
      <c r="H415" s="460"/>
      <c r="I415" s="466"/>
      <c r="J415" s="460"/>
      <c r="K415" s="570"/>
      <c r="L415" s="460"/>
      <c r="M415" s="570"/>
      <c r="N415" s="460"/>
      <c r="O415" s="570"/>
      <c r="P415" s="460"/>
      <c r="Q415" s="570"/>
      <c r="R415" s="460"/>
      <c r="S415" s="853"/>
      <c r="T415" s="460"/>
    </row>
    <row r="416" spans="1:20">
      <c r="A416" s="461"/>
      <c r="B416" s="462"/>
      <c r="C416" s="463"/>
      <c r="D416" s="464"/>
      <c r="E416" s="459"/>
      <c r="F416" s="465"/>
      <c r="G416" s="466"/>
      <c r="H416" s="460"/>
      <c r="I416" s="466"/>
      <c r="J416" s="460"/>
      <c r="K416" s="570"/>
      <c r="L416" s="460"/>
      <c r="M416" s="570"/>
      <c r="N416" s="460"/>
      <c r="O416" s="570"/>
      <c r="P416" s="460"/>
      <c r="Q416" s="570"/>
      <c r="R416" s="460"/>
      <c r="S416" s="853"/>
      <c r="T416" s="460"/>
    </row>
    <row r="417" spans="1:20">
      <c r="A417" s="461"/>
      <c r="B417" s="462"/>
      <c r="C417" s="463"/>
      <c r="D417" s="464"/>
      <c r="E417" s="459"/>
      <c r="F417" s="465"/>
      <c r="G417" s="466"/>
      <c r="H417" s="460"/>
      <c r="I417" s="466"/>
      <c r="J417" s="460"/>
      <c r="K417" s="570"/>
      <c r="L417" s="460"/>
      <c r="M417" s="570"/>
      <c r="N417" s="460"/>
      <c r="O417" s="570"/>
      <c r="P417" s="460"/>
      <c r="Q417" s="570"/>
      <c r="R417" s="460"/>
      <c r="S417" s="853"/>
      <c r="T417" s="460"/>
    </row>
    <row r="418" spans="1:20">
      <c r="A418" s="461"/>
      <c r="B418" s="462"/>
      <c r="C418" s="463"/>
      <c r="D418" s="464"/>
      <c r="E418" s="459"/>
      <c r="F418" s="465"/>
      <c r="G418" s="466"/>
      <c r="H418" s="460"/>
      <c r="I418" s="466"/>
      <c r="J418" s="460"/>
      <c r="K418" s="570"/>
      <c r="L418" s="460"/>
      <c r="M418" s="570"/>
      <c r="N418" s="460"/>
      <c r="O418" s="570"/>
      <c r="P418" s="460"/>
      <c r="Q418" s="570"/>
      <c r="R418" s="460"/>
      <c r="S418" s="853"/>
      <c r="T418" s="460"/>
    </row>
    <row r="419" spans="1:20">
      <c r="A419" s="461"/>
      <c r="B419" s="462"/>
      <c r="C419" s="463"/>
      <c r="D419" s="464"/>
      <c r="E419" s="459"/>
      <c r="F419" s="465"/>
      <c r="G419" s="466"/>
      <c r="H419" s="460"/>
      <c r="I419" s="466"/>
      <c r="J419" s="460"/>
      <c r="K419" s="570"/>
      <c r="L419" s="460"/>
      <c r="M419" s="570"/>
      <c r="N419" s="460"/>
      <c r="O419" s="570"/>
      <c r="P419" s="460"/>
      <c r="Q419" s="570"/>
      <c r="R419" s="460"/>
      <c r="S419" s="853"/>
      <c r="T419" s="460"/>
    </row>
    <row r="420" spans="1:20">
      <c r="A420" s="461"/>
      <c r="B420" s="462"/>
      <c r="C420" s="463"/>
      <c r="D420" s="464"/>
      <c r="E420" s="459"/>
      <c r="F420" s="465"/>
      <c r="G420" s="466"/>
      <c r="H420" s="460"/>
      <c r="I420" s="466"/>
      <c r="J420" s="460"/>
      <c r="K420" s="570"/>
      <c r="L420" s="460"/>
      <c r="M420" s="570"/>
      <c r="N420" s="460"/>
      <c r="O420" s="570"/>
      <c r="P420" s="460"/>
      <c r="Q420" s="570"/>
      <c r="R420" s="460"/>
      <c r="S420" s="853"/>
      <c r="T420" s="460"/>
    </row>
    <row r="421" spans="1:20">
      <c r="A421" s="461"/>
      <c r="B421" s="462"/>
      <c r="C421" s="463"/>
      <c r="D421" s="464"/>
      <c r="E421" s="459"/>
      <c r="F421" s="465"/>
      <c r="G421" s="466"/>
      <c r="H421" s="460"/>
      <c r="I421" s="466"/>
      <c r="J421" s="460"/>
      <c r="K421" s="570"/>
      <c r="L421" s="460"/>
      <c r="M421" s="570"/>
      <c r="N421" s="460"/>
      <c r="O421" s="570"/>
      <c r="P421" s="460"/>
      <c r="Q421" s="570"/>
      <c r="R421" s="460"/>
      <c r="S421" s="853"/>
      <c r="T421" s="460"/>
    </row>
    <row r="422" spans="1:20">
      <c r="A422" s="461"/>
      <c r="B422" s="462"/>
      <c r="C422" s="463"/>
      <c r="D422" s="464"/>
      <c r="E422" s="459"/>
      <c r="F422" s="465"/>
      <c r="G422" s="466"/>
      <c r="H422" s="460"/>
      <c r="I422" s="466"/>
      <c r="J422" s="460"/>
      <c r="K422" s="570"/>
      <c r="L422" s="460"/>
      <c r="M422" s="570"/>
      <c r="N422" s="460"/>
      <c r="O422" s="570"/>
      <c r="P422" s="460"/>
      <c r="Q422" s="570"/>
      <c r="R422" s="460"/>
      <c r="S422" s="853"/>
      <c r="T422" s="460"/>
    </row>
    <row r="423" spans="1:20">
      <c r="A423" s="461"/>
      <c r="B423" s="462"/>
      <c r="C423" s="463"/>
      <c r="D423" s="464"/>
      <c r="E423" s="459"/>
      <c r="F423" s="465"/>
      <c r="G423" s="466"/>
      <c r="H423" s="460"/>
      <c r="I423" s="466"/>
      <c r="J423" s="460"/>
      <c r="K423" s="570"/>
      <c r="L423" s="460"/>
      <c r="M423" s="570"/>
      <c r="N423" s="460"/>
      <c r="O423" s="570"/>
      <c r="P423" s="460"/>
      <c r="Q423" s="570"/>
      <c r="R423" s="460"/>
      <c r="S423" s="853"/>
      <c r="T423" s="460"/>
    </row>
    <row r="424" spans="1:20">
      <c r="A424" s="461"/>
      <c r="B424" s="462"/>
      <c r="C424" s="463"/>
      <c r="D424" s="464"/>
      <c r="E424" s="459"/>
      <c r="F424" s="465"/>
      <c r="G424" s="466"/>
      <c r="H424" s="460"/>
      <c r="I424" s="466"/>
      <c r="J424" s="460"/>
      <c r="K424" s="570"/>
      <c r="L424" s="460"/>
      <c r="M424" s="570"/>
      <c r="N424" s="460"/>
      <c r="O424" s="570"/>
      <c r="P424" s="460"/>
      <c r="Q424" s="570"/>
      <c r="R424" s="460"/>
      <c r="S424" s="853"/>
      <c r="T424" s="460"/>
    </row>
    <row r="425" spans="1:20">
      <c r="A425" s="461"/>
      <c r="B425" s="462"/>
      <c r="C425" s="463"/>
      <c r="D425" s="464"/>
      <c r="E425" s="459"/>
      <c r="F425" s="465"/>
      <c r="G425" s="466"/>
      <c r="H425" s="460"/>
      <c r="I425" s="466"/>
      <c r="J425" s="460"/>
      <c r="K425" s="570"/>
      <c r="L425" s="460"/>
      <c r="M425" s="570"/>
      <c r="N425" s="460"/>
      <c r="O425" s="570"/>
      <c r="P425" s="460"/>
      <c r="Q425" s="570"/>
      <c r="R425" s="460"/>
      <c r="S425" s="853"/>
      <c r="T425" s="460"/>
    </row>
    <row r="426" spans="1:20">
      <c r="A426" s="461"/>
      <c r="B426" s="462"/>
      <c r="C426" s="463"/>
      <c r="D426" s="464"/>
      <c r="E426" s="459"/>
      <c r="F426" s="465"/>
      <c r="G426" s="466"/>
      <c r="H426" s="460"/>
      <c r="I426" s="466"/>
      <c r="J426" s="460"/>
      <c r="K426" s="570"/>
      <c r="L426" s="460"/>
      <c r="M426" s="570"/>
      <c r="N426" s="460"/>
      <c r="O426" s="570"/>
      <c r="P426" s="460"/>
      <c r="Q426" s="570"/>
      <c r="R426" s="460"/>
      <c r="S426" s="853"/>
      <c r="T426" s="460"/>
    </row>
    <row r="427" spans="1:20">
      <c r="A427" s="461"/>
      <c r="B427" s="462"/>
      <c r="C427" s="463"/>
      <c r="D427" s="464"/>
      <c r="E427" s="459"/>
      <c r="F427" s="465"/>
      <c r="G427" s="466"/>
      <c r="H427" s="460"/>
      <c r="I427" s="466"/>
      <c r="J427" s="460"/>
      <c r="K427" s="570"/>
      <c r="L427" s="460"/>
      <c r="M427" s="570"/>
      <c r="N427" s="460"/>
      <c r="O427" s="570"/>
      <c r="P427" s="460"/>
      <c r="Q427" s="570"/>
      <c r="R427" s="460"/>
      <c r="S427" s="853"/>
      <c r="T427" s="460"/>
    </row>
    <row r="428" spans="1:20">
      <c r="A428" s="461"/>
      <c r="B428" s="462"/>
      <c r="C428" s="463"/>
      <c r="D428" s="464"/>
      <c r="E428" s="459"/>
      <c r="F428" s="465"/>
      <c r="G428" s="466"/>
      <c r="H428" s="460"/>
      <c r="I428" s="466"/>
      <c r="J428" s="460"/>
      <c r="K428" s="570"/>
      <c r="L428" s="460"/>
      <c r="M428" s="570"/>
      <c r="N428" s="460"/>
      <c r="O428" s="570"/>
      <c r="P428" s="460"/>
      <c r="Q428" s="570"/>
      <c r="R428" s="460"/>
      <c r="S428" s="853"/>
      <c r="T428" s="460"/>
    </row>
    <row r="429" spans="1:20">
      <c r="A429" s="461"/>
      <c r="B429" s="462"/>
      <c r="C429" s="463"/>
      <c r="D429" s="464"/>
      <c r="E429" s="459"/>
      <c r="F429" s="465"/>
      <c r="G429" s="466"/>
      <c r="H429" s="460"/>
      <c r="I429" s="466"/>
      <c r="J429" s="460"/>
      <c r="K429" s="570"/>
      <c r="L429" s="460"/>
      <c r="M429" s="570"/>
      <c r="N429" s="460"/>
      <c r="O429" s="570"/>
      <c r="P429" s="460"/>
      <c r="Q429" s="570"/>
      <c r="R429" s="460"/>
      <c r="S429" s="853"/>
      <c r="T429" s="460"/>
    </row>
    <row r="430" spans="1:20">
      <c r="A430" s="461"/>
      <c r="B430" s="462"/>
      <c r="C430" s="463"/>
      <c r="D430" s="464"/>
      <c r="E430" s="459"/>
      <c r="F430" s="465"/>
      <c r="G430" s="466"/>
      <c r="H430" s="460"/>
      <c r="I430" s="466"/>
      <c r="J430" s="460"/>
      <c r="K430" s="570"/>
      <c r="L430" s="460"/>
      <c r="M430" s="570"/>
      <c r="N430" s="460"/>
      <c r="O430" s="570"/>
      <c r="P430" s="460"/>
      <c r="Q430" s="570"/>
      <c r="R430" s="460"/>
      <c r="S430" s="853"/>
      <c r="T430" s="460"/>
    </row>
    <row r="431" spans="1:20">
      <c r="A431" s="461"/>
      <c r="B431" s="462"/>
      <c r="C431" s="463"/>
      <c r="D431" s="464"/>
      <c r="E431" s="459"/>
      <c r="F431" s="465"/>
      <c r="G431" s="466"/>
      <c r="H431" s="460"/>
      <c r="I431" s="466"/>
      <c r="J431" s="460"/>
      <c r="K431" s="570"/>
      <c r="L431" s="460"/>
      <c r="M431" s="570"/>
      <c r="N431" s="460"/>
      <c r="O431" s="570"/>
      <c r="P431" s="460"/>
      <c r="Q431" s="570"/>
      <c r="R431" s="460"/>
      <c r="S431" s="853"/>
      <c r="T431" s="460"/>
    </row>
    <row r="432" spans="1:20">
      <c r="A432" s="461"/>
      <c r="B432" s="462"/>
      <c r="C432" s="463"/>
      <c r="D432" s="464"/>
      <c r="E432" s="459"/>
      <c r="F432" s="465"/>
      <c r="G432" s="466"/>
      <c r="H432" s="460"/>
      <c r="I432" s="466"/>
      <c r="J432" s="460"/>
      <c r="K432" s="570"/>
      <c r="L432" s="460"/>
      <c r="M432" s="570"/>
      <c r="N432" s="460"/>
      <c r="O432" s="570"/>
      <c r="P432" s="460"/>
      <c r="Q432" s="570"/>
      <c r="R432" s="460"/>
      <c r="S432" s="853"/>
      <c r="T432" s="460"/>
    </row>
    <row r="433" spans="1:20">
      <c r="A433" s="461"/>
      <c r="B433" s="462"/>
      <c r="C433" s="463"/>
      <c r="D433" s="464"/>
      <c r="E433" s="459"/>
      <c r="F433" s="465"/>
      <c r="G433" s="466"/>
      <c r="H433" s="460"/>
      <c r="I433" s="466"/>
      <c r="J433" s="460"/>
      <c r="K433" s="570"/>
      <c r="L433" s="460"/>
      <c r="M433" s="570"/>
      <c r="N433" s="460"/>
      <c r="O433" s="570"/>
      <c r="P433" s="460"/>
      <c r="Q433" s="570"/>
      <c r="R433" s="460"/>
      <c r="S433" s="853"/>
      <c r="T433" s="460"/>
    </row>
    <row r="434" spans="1:20">
      <c r="A434" s="461"/>
      <c r="B434" s="462"/>
      <c r="C434" s="463"/>
      <c r="D434" s="464"/>
      <c r="E434" s="459"/>
      <c r="F434" s="465"/>
      <c r="G434" s="466"/>
      <c r="H434" s="460"/>
      <c r="I434" s="466"/>
      <c r="J434" s="460"/>
      <c r="K434" s="570"/>
      <c r="L434" s="460"/>
      <c r="M434" s="570"/>
      <c r="N434" s="460"/>
      <c r="O434" s="570"/>
      <c r="P434" s="460"/>
      <c r="Q434" s="570"/>
      <c r="R434" s="460"/>
      <c r="S434" s="853"/>
      <c r="T434" s="460"/>
    </row>
    <row r="435" spans="1:20">
      <c r="A435" s="461"/>
      <c r="B435" s="462"/>
      <c r="C435" s="463"/>
      <c r="D435" s="464"/>
      <c r="E435" s="459"/>
      <c r="F435" s="465"/>
      <c r="G435" s="466"/>
      <c r="H435" s="460"/>
      <c r="I435" s="466"/>
      <c r="J435" s="460"/>
      <c r="K435" s="570"/>
      <c r="L435" s="460"/>
      <c r="M435" s="570"/>
      <c r="N435" s="460"/>
      <c r="O435" s="570"/>
      <c r="P435" s="460"/>
      <c r="Q435" s="570"/>
      <c r="R435" s="460"/>
      <c r="S435" s="853"/>
      <c r="T435" s="460"/>
    </row>
    <row r="436" spans="1:20">
      <c r="A436" s="461"/>
      <c r="B436" s="462"/>
      <c r="C436" s="463"/>
      <c r="D436" s="464"/>
      <c r="E436" s="459"/>
      <c r="F436" s="465"/>
      <c r="G436" s="466"/>
      <c r="H436" s="460"/>
      <c r="I436" s="466"/>
      <c r="J436" s="460"/>
      <c r="K436" s="570"/>
      <c r="L436" s="460"/>
      <c r="M436" s="570"/>
      <c r="N436" s="460"/>
      <c r="O436" s="570"/>
      <c r="P436" s="460"/>
      <c r="Q436" s="570"/>
      <c r="R436" s="460"/>
      <c r="S436" s="853"/>
      <c r="T436" s="460"/>
    </row>
    <row r="437" spans="1:20">
      <c r="A437" s="461"/>
      <c r="B437" s="462"/>
      <c r="C437" s="463"/>
      <c r="D437" s="464"/>
      <c r="E437" s="459"/>
      <c r="F437" s="465"/>
      <c r="G437" s="466"/>
      <c r="H437" s="460"/>
      <c r="I437" s="466"/>
      <c r="J437" s="460"/>
      <c r="K437" s="570"/>
      <c r="L437" s="460"/>
      <c r="M437" s="570"/>
      <c r="N437" s="460"/>
      <c r="O437" s="570"/>
      <c r="P437" s="460"/>
      <c r="Q437" s="570"/>
      <c r="R437" s="460"/>
      <c r="S437" s="853"/>
      <c r="T437" s="460"/>
    </row>
    <row r="438" spans="1:20">
      <c r="A438" s="461"/>
      <c r="B438" s="462"/>
      <c r="C438" s="463"/>
      <c r="D438" s="464"/>
      <c r="E438" s="459"/>
      <c r="F438" s="465"/>
      <c r="G438" s="466"/>
      <c r="H438" s="460"/>
      <c r="I438" s="466"/>
      <c r="J438" s="460"/>
      <c r="K438" s="570"/>
      <c r="L438" s="460"/>
      <c r="M438" s="570"/>
      <c r="N438" s="460"/>
      <c r="O438" s="570"/>
      <c r="P438" s="460"/>
      <c r="Q438" s="570"/>
      <c r="R438" s="460"/>
      <c r="S438" s="853"/>
      <c r="T438" s="460"/>
    </row>
    <row r="439" spans="1:20">
      <c r="A439" s="461"/>
      <c r="B439" s="462"/>
      <c r="C439" s="463"/>
      <c r="D439" s="464"/>
      <c r="E439" s="459"/>
      <c r="F439" s="465"/>
      <c r="G439" s="466"/>
      <c r="H439" s="460"/>
      <c r="I439" s="466"/>
      <c r="J439" s="460"/>
      <c r="K439" s="570"/>
      <c r="L439" s="460"/>
      <c r="M439" s="570"/>
      <c r="N439" s="460"/>
      <c r="O439" s="570"/>
      <c r="P439" s="460"/>
      <c r="Q439" s="570"/>
      <c r="R439" s="460"/>
      <c r="S439" s="853"/>
      <c r="T439" s="460"/>
    </row>
    <row r="440" spans="1:20">
      <c r="A440" s="461"/>
      <c r="B440" s="462"/>
      <c r="C440" s="463"/>
      <c r="D440" s="464"/>
      <c r="E440" s="459"/>
      <c r="F440" s="465"/>
      <c r="G440" s="466"/>
      <c r="H440" s="460"/>
      <c r="I440" s="466"/>
      <c r="J440" s="460"/>
      <c r="K440" s="570"/>
      <c r="L440" s="460"/>
      <c r="M440" s="570"/>
      <c r="N440" s="460"/>
      <c r="O440" s="570"/>
      <c r="P440" s="460"/>
      <c r="Q440" s="570"/>
      <c r="R440" s="460"/>
      <c r="S440" s="853"/>
      <c r="T440" s="460"/>
    </row>
    <row r="441" spans="1:20">
      <c r="A441" s="461"/>
      <c r="B441" s="462"/>
      <c r="C441" s="463"/>
      <c r="D441" s="464"/>
      <c r="E441" s="459"/>
      <c r="F441" s="465"/>
      <c r="G441" s="466"/>
      <c r="H441" s="460"/>
      <c r="I441" s="466"/>
      <c r="J441" s="460"/>
      <c r="K441" s="570"/>
      <c r="L441" s="460"/>
      <c r="M441" s="570"/>
      <c r="N441" s="460"/>
      <c r="O441" s="570"/>
      <c r="P441" s="460"/>
      <c r="Q441" s="570"/>
      <c r="R441" s="460"/>
      <c r="S441" s="853"/>
      <c r="T441" s="460"/>
    </row>
    <row r="442" spans="1:20">
      <c r="A442" s="461"/>
      <c r="B442" s="462"/>
      <c r="C442" s="463"/>
      <c r="D442" s="464"/>
      <c r="E442" s="459"/>
      <c r="F442" s="465"/>
      <c r="G442" s="466"/>
      <c r="H442" s="460"/>
      <c r="I442" s="466"/>
      <c r="J442" s="460"/>
      <c r="K442" s="570"/>
      <c r="L442" s="460"/>
      <c r="M442" s="570"/>
      <c r="N442" s="460"/>
      <c r="O442" s="570"/>
      <c r="P442" s="460"/>
      <c r="Q442" s="570"/>
      <c r="R442" s="460"/>
      <c r="S442" s="853"/>
      <c r="T442" s="460"/>
    </row>
    <row r="443" spans="1:20">
      <c r="A443" s="461"/>
      <c r="B443" s="462"/>
      <c r="C443" s="463"/>
      <c r="D443" s="464"/>
      <c r="E443" s="459"/>
      <c r="F443" s="465"/>
      <c r="G443" s="466"/>
      <c r="H443" s="460"/>
      <c r="I443" s="466"/>
      <c r="J443" s="460"/>
      <c r="K443" s="570"/>
      <c r="L443" s="460"/>
      <c r="M443" s="570"/>
      <c r="N443" s="460"/>
      <c r="O443" s="570"/>
      <c r="P443" s="460"/>
      <c r="Q443" s="570"/>
      <c r="R443" s="460"/>
      <c r="S443" s="853"/>
      <c r="T443" s="460"/>
    </row>
    <row r="444" spans="1:20">
      <c r="A444" s="461"/>
      <c r="B444" s="462"/>
      <c r="C444" s="463"/>
      <c r="D444" s="464"/>
      <c r="E444" s="459"/>
      <c r="F444" s="465"/>
      <c r="G444" s="466"/>
      <c r="H444" s="460"/>
      <c r="I444" s="466"/>
      <c r="J444" s="460"/>
      <c r="K444" s="570"/>
      <c r="L444" s="460"/>
      <c r="M444" s="570"/>
      <c r="N444" s="460"/>
      <c r="O444" s="570"/>
      <c r="P444" s="460"/>
      <c r="Q444" s="570"/>
      <c r="R444" s="460"/>
      <c r="S444" s="853"/>
      <c r="T444" s="460"/>
    </row>
    <row r="445" spans="1:20">
      <c r="A445" s="461"/>
      <c r="B445" s="462"/>
      <c r="C445" s="463"/>
      <c r="D445" s="464"/>
      <c r="E445" s="459"/>
      <c r="F445" s="465"/>
      <c r="G445" s="466"/>
      <c r="H445" s="460"/>
      <c r="I445" s="466"/>
      <c r="J445" s="460"/>
      <c r="K445" s="570"/>
      <c r="L445" s="460"/>
      <c r="M445" s="570"/>
      <c r="N445" s="460"/>
      <c r="O445" s="570"/>
      <c r="P445" s="460"/>
      <c r="Q445" s="570"/>
      <c r="R445" s="460"/>
      <c r="S445" s="853"/>
      <c r="T445" s="460"/>
    </row>
    <row r="446" spans="1:20">
      <c r="A446" s="461"/>
      <c r="B446" s="462"/>
      <c r="C446" s="463"/>
      <c r="D446" s="464"/>
      <c r="E446" s="459"/>
      <c r="F446" s="465"/>
      <c r="G446" s="466"/>
      <c r="H446" s="460"/>
      <c r="I446" s="466"/>
      <c r="J446" s="460"/>
      <c r="K446" s="570"/>
      <c r="L446" s="460"/>
      <c r="M446" s="570"/>
      <c r="N446" s="460"/>
      <c r="O446" s="570"/>
      <c r="P446" s="460"/>
      <c r="Q446" s="570"/>
      <c r="R446" s="460"/>
      <c r="S446" s="853"/>
      <c r="T446" s="460"/>
    </row>
    <row r="447" spans="1:20">
      <c r="A447" s="461"/>
      <c r="B447" s="462"/>
      <c r="C447" s="463"/>
      <c r="D447" s="464"/>
      <c r="E447" s="459"/>
      <c r="F447" s="465"/>
      <c r="G447" s="466"/>
      <c r="H447" s="460"/>
      <c r="I447" s="466"/>
      <c r="J447" s="460"/>
      <c r="K447" s="570"/>
      <c r="L447" s="460"/>
      <c r="M447" s="570"/>
      <c r="N447" s="460"/>
      <c r="O447" s="570"/>
      <c r="P447" s="460"/>
      <c r="Q447" s="570"/>
      <c r="R447" s="460"/>
      <c r="S447" s="853"/>
      <c r="T447" s="460"/>
    </row>
    <row r="448" spans="1:20">
      <c r="A448" s="461"/>
      <c r="B448" s="462"/>
      <c r="C448" s="463"/>
      <c r="D448" s="464"/>
      <c r="E448" s="459"/>
      <c r="F448" s="465"/>
      <c r="G448" s="466"/>
      <c r="H448" s="460"/>
      <c r="I448" s="466"/>
      <c r="J448" s="460"/>
      <c r="K448" s="570"/>
      <c r="L448" s="460"/>
      <c r="M448" s="570"/>
      <c r="N448" s="460"/>
      <c r="O448" s="570"/>
      <c r="P448" s="460"/>
      <c r="Q448" s="570"/>
      <c r="R448" s="460"/>
      <c r="S448" s="853"/>
      <c r="T448" s="460"/>
    </row>
    <row r="449" spans="1:20">
      <c r="A449" s="461"/>
      <c r="B449" s="462"/>
      <c r="C449" s="463"/>
      <c r="D449" s="464"/>
      <c r="E449" s="459"/>
      <c r="F449" s="465"/>
      <c r="G449" s="466"/>
      <c r="H449" s="460"/>
      <c r="I449" s="466"/>
      <c r="J449" s="460"/>
      <c r="K449" s="570"/>
      <c r="L449" s="460"/>
      <c r="M449" s="570"/>
      <c r="N449" s="460"/>
      <c r="O449" s="570"/>
      <c r="P449" s="460"/>
      <c r="Q449" s="570"/>
      <c r="R449" s="460"/>
      <c r="S449" s="853"/>
      <c r="T449" s="460"/>
    </row>
    <row r="450" spans="1:20">
      <c r="A450" s="461"/>
      <c r="B450" s="462"/>
      <c r="C450" s="463"/>
      <c r="D450" s="464"/>
      <c r="E450" s="459"/>
      <c r="F450" s="465"/>
      <c r="G450" s="466"/>
      <c r="H450" s="460"/>
      <c r="I450" s="466"/>
      <c r="J450" s="460"/>
      <c r="K450" s="570"/>
      <c r="L450" s="460"/>
      <c r="M450" s="570"/>
      <c r="N450" s="460"/>
      <c r="O450" s="570"/>
      <c r="P450" s="460"/>
      <c r="Q450" s="570"/>
      <c r="R450" s="460"/>
      <c r="S450" s="853"/>
      <c r="T450" s="460"/>
    </row>
    <row r="451" spans="1:20">
      <c r="A451" s="461"/>
      <c r="B451" s="462"/>
      <c r="C451" s="463"/>
      <c r="D451" s="464"/>
      <c r="E451" s="459"/>
      <c r="F451" s="465"/>
      <c r="G451" s="466"/>
      <c r="H451" s="460"/>
      <c r="I451" s="466"/>
      <c r="J451" s="460"/>
      <c r="K451" s="570"/>
      <c r="L451" s="460"/>
      <c r="M451" s="570"/>
      <c r="N451" s="460"/>
      <c r="O451" s="570"/>
      <c r="P451" s="460"/>
      <c r="Q451" s="570"/>
      <c r="R451" s="460"/>
      <c r="S451" s="853"/>
      <c r="T451" s="460"/>
    </row>
    <row r="452" spans="1:20">
      <c r="A452" s="461"/>
      <c r="B452" s="462"/>
      <c r="C452" s="463"/>
      <c r="D452" s="464"/>
      <c r="E452" s="459"/>
      <c r="F452" s="465"/>
      <c r="G452" s="466"/>
      <c r="H452" s="460"/>
      <c r="I452" s="466"/>
      <c r="J452" s="460"/>
      <c r="K452" s="570"/>
      <c r="L452" s="460"/>
      <c r="M452" s="570"/>
      <c r="N452" s="460"/>
      <c r="O452" s="570"/>
      <c r="P452" s="460"/>
      <c r="Q452" s="570"/>
      <c r="R452" s="460"/>
      <c r="S452" s="853"/>
      <c r="T452" s="460"/>
    </row>
    <row r="453" spans="1:20">
      <c r="A453" s="461"/>
      <c r="B453" s="462"/>
      <c r="C453" s="463"/>
      <c r="D453" s="464"/>
      <c r="E453" s="459"/>
      <c r="F453" s="465"/>
      <c r="G453" s="466"/>
      <c r="H453" s="460"/>
      <c r="I453" s="466"/>
      <c r="J453" s="460"/>
      <c r="K453" s="570"/>
      <c r="L453" s="460"/>
      <c r="M453" s="570"/>
      <c r="N453" s="460"/>
      <c r="O453" s="570"/>
      <c r="P453" s="460"/>
      <c r="Q453" s="570"/>
      <c r="R453" s="460"/>
      <c r="S453" s="853"/>
      <c r="T453" s="460"/>
    </row>
    <row r="454" spans="1:20">
      <c r="A454" s="461"/>
      <c r="B454" s="462"/>
      <c r="C454" s="463"/>
      <c r="D454" s="464"/>
      <c r="E454" s="459"/>
      <c r="F454" s="465"/>
      <c r="G454" s="466"/>
      <c r="H454" s="460"/>
      <c r="I454" s="466"/>
      <c r="J454" s="460"/>
      <c r="K454" s="570"/>
      <c r="L454" s="460"/>
      <c r="M454" s="570"/>
      <c r="N454" s="460"/>
      <c r="O454" s="570"/>
      <c r="P454" s="460"/>
      <c r="Q454" s="570"/>
      <c r="R454" s="460"/>
      <c r="S454" s="853"/>
      <c r="T454" s="460"/>
    </row>
    <row r="455" spans="1:20">
      <c r="A455" s="461"/>
      <c r="B455" s="462"/>
      <c r="C455" s="463"/>
      <c r="D455" s="464"/>
      <c r="E455" s="459"/>
      <c r="F455" s="465"/>
      <c r="G455" s="466"/>
      <c r="H455" s="460"/>
      <c r="I455" s="466"/>
      <c r="J455" s="460"/>
      <c r="K455" s="570"/>
      <c r="L455" s="460"/>
      <c r="M455" s="570"/>
      <c r="N455" s="460"/>
      <c r="O455" s="570"/>
      <c r="P455" s="460"/>
      <c r="Q455" s="570"/>
      <c r="R455" s="460"/>
      <c r="S455" s="853"/>
      <c r="T455" s="460"/>
    </row>
    <row r="456" spans="1:20">
      <c r="A456" s="461"/>
      <c r="B456" s="462"/>
      <c r="C456" s="463"/>
      <c r="D456" s="464"/>
      <c r="E456" s="459"/>
      <c r="F456" s="465"/>
      <c r="G456" s="466"/>
      <c r="H456" s="460"/>
      <c r="I456" s="466"/>
      <c r="J456" s="460"/>
      <c r="K456" s="570"/>
      <c r="L456" s="460"/>
      <c r="M456" s="570"/>
      <c r="N456" s="460"/>
      <c r="O456" s="570"/>
      <c r="P456" s="460"/>
      <c r="Q456" s="570"/>
      <c r="R456" s="460"/>
      <c r="S456" s="853"/>
      <c r="T456" s="460"/>
    </row>
    <row r="457" spans="1:20">
      <c r="A457" s="461"/>
      <c r="B457" s="462"/>
      <c r="C457" s="463"/>
      <c r="D457" s="464"/>
      <c r="E457" s="459"/>
      <c r="F457" s="465"/>
      <c r="G457" s="466"/>
      <c r="H457" s="460"/>
      <c r="I457" s="466"/>
      <c r="J457" s="460"/>
      <c r="K457" s="570"/>
      <c r="L457" s="460"/>
      <c r="M457" s="570"/>
      <c r="N457" s="460"/>
      <c r="O457" s="570"/>
      <c r="P457" s="460"/>
      <c r="Q457" s="570"/>
      <c r="R457" s="460"/>
      <c r="S457" s="853"/>
      <c r="T457" s="460"/>
    </row>
    <row r="458" spans="1:20">
      <c r="A458" s="461"/>
      <c r="B458" s="462"/>
      <c r="C458" s="463"/>
      <c r="D458" s="464"/>
      <c r="E458" s="459"/>
      <c r="F458" s="465"/>
      <c r="G458" s="466"/>
      <c r="H458" s="460"/>
      <c r="I458" s="466"/>
      <c r="J458" s="460"/>
      <c r="K458" s="570"/>
      <c r="L458" s="460"/>
      <c r="M458" s="570"/>
      <c r="N458" s="460"/>
      <c r="O458" s="570"/>
      <c r="P458" s="460"/>
      <c r="Q458" s="570"/>
      <c r="R458" s="460"/>
      <c r="S458" s="853"/>
      <c r="T458" s="460"/>
    </row>
    <row r="459" spans="1:20">
      <c r="A459" s="461"/>
      <c r="B459" s="462"/>
      <c r="C459" s="463"/>
      <c r="D459" s="464"/>
      <c r="E459" s="459"/>
      <c r="F459" s="465"/>
      <c r="G459" s="466"/>
      <c r="H459" s="460"/>
      <c r="I459" s="466"/>
      <c r="J459" s="460"/>
      <c r="K459" s="570"/>
      <c r="L459" s="460"/>
      <c r="M459" s="570"/>
      <c r="N459" s="460"/>
      <c r="O459" s="570"/>
      <c r="P459" s="460"/>
      <c r="Q459" s="570"/>
      <c r="R459" s="460"/>
      <c r="S459" s="853"/>
      <c r="T459" s="460"/>
    </row>
    <row r="460" spans="1:20">
      <c r="A460" s="461"/>
      <c r="B460" s="462"/>
      <c r="C460" s="463"/>
      <c r="D460" s="464"/>
      <c r="E460" s="459"/>
      <c r="F460" s="465"/>
      <c r="G460" s="466"/>
      <c r="H460" s="460"/>
      <c r="I460" s="466"/>
      <c r="J460" s="460"/>
      <c r="K460" s="570"/>
      <c r="L460" s="460"/>
      <c r="M460" s="570"/>
      <c r="N460" s="460"/>
      <c r="O460" s="570"/>
      <c r="P460" s="460"/>
      <c r="Q460" s="570"/>
      <c r="R460" s="460"/>
      <c r="S460" s="853"/>
      <c r="T460" s="460"/>
    </row>
    <row r="461" spans="1:20">
      <c r="A461" s="461"/>
      <c r="B461" s="462"/>
      <c r="C461" s="463"/>
      <c r="D461" s="464"/>
      <c r="E461" s="459"/>
      <c r="F461" s="465"/>
      <c r="G461" s="466"/>
      <c r="H461" s="460"/>
      <c r="I461" s="466"/>
      <c r="J461" s="460"/>
      <c r="K461" s="570"/>
      <c r="L461" s="460"/>
      <c r="M461" s="570"/>
      <c r="N461" s="460"/>
      <c r="O461" s="570"/>
      <c r="P461" s="460"/>
      <c r="Q461" s="570"/>
      <c r="R461" s="460"/>
      <c r="S461" s="853"/>
      <c r="T461" s="460"/>
    </row>
    <row r="462" spans="1:20">
      <c r="A462" s="461"/>
      <c r="B462" s="462"/>
      <c r="C462" s="463"/>
      <c r="D462" s="464"/>
      <c r="E462" s="459"/>
      <c r="F462" s="465"/>
      <c r="G462" s="466"/>
      <c r="H462" s="460"/>
      <c r="I462" s="466"/>
      <c r="J462" s="460"/>
      <c r="K462" s="570"/>
      <c r="L462" s="460"/>
      <c r="M462" s="570"/>
      <c r="N462" s="460"/>
      <c r="O462" s="570"/>
      <c r="P462" s="460"/>
      <c r="Q462" s="570"/>
      <c r="R462" s="460"/>
      <c r="S462" s="853"/>
      <c r="T462" s="460"/>
    </row>
    <row r="463" spans="1:20">
      <c r="A463" s="461"/>
      <c r="B463" s="462"/>
      <c r="C463" s="463"/>
      <c r="D463" s="464"/>
      <c r="E463" s="459"/>
      <c r="F463" s="465"/>
      <c r="G463" s="466"/>
      <c r="H463" s="460"/>
      <c r="I463" s="466"/>
      <c r="J463" s="460"/>
      <c r="K463" s="570"/>
      <c r="L463" s="460"/>
      <c r="M463" s="570"/>
      <c r="N463" s="460"/>
      <c r="O463" s="570"/>
      <c r="P463" s="460"/>
      <c r="Q463" s="570"/>
      <c r="R463" s="460"/>
      <c r="S463" s="853"/>
      <c r="T463" s="460"/>
    </row>
    <row r="464" spans="1:20">
      <c r="A464" s="461"/>
      <c r="B464" s="462"/>
      <c r="C464" s="463"/>
      <c r="D464" s="464"/>
      <c r="E464" s="459"/>
      <c r="F464" s="465"/>
      <c r="G464" s="466"/>
      <c r="H464" s="460"/>
      <c r="I464" s="466"/>
      <c r="J464" s="460"/>
      <c r="K464" s="570"/>
      <c r="L464" s="460"/>
      <c r="M464" s="570"/>
      <c r="N464" s="460"/>
      <c r="O464" s="570"/>
      <c r="P464" s="460"/>
      <c r="Q464" s="570"/>
      <c r="R464" s="460"/>
      <c r="S464" s="853"/>
      <c r="T464" s="460"/>
    </row>
    <row r="465" spans="1:20">
      <c r="A465" s="461"/>
      <c r="B465" s="462"/>
      <c r="C465" s="463"/>
      <c r="D465" s="464"/>
      <c r="E465" s="459"/>
      <c r="F465" s="465"/>
      <c r="G465" s="466"/>
      <c r="H465" s="460"/>
      <c r="I465" s="466"/>
      <c r="J465" s="460"/>
      <c r="K465" s="570"/>
      <c r="L465" s="460"/>
      <c r="M465" s="570"/>
      <c r="N465" s="460"/>
      <c r="O465" s="570"/>
      <c r="P465" s="460"/>
      <c r="Q465" s="570"/>
      <c r="R465" s="460"/>
      <c r="S465" s="853"/>
      <c r="T465" s="460"/>
    </row>
    <row r="466" spans="1:20">
      <c r="A466" s="461"/>
      <c r="B466" s="462"/>
      <c r="C466" s="463"/>
      <c r="D466" s="464"/>
      <c r="E466" s="459"/>
      <c r="F466" s="465"/>
      <c r="G466" s="466"/>
      <c r="H466" s="460"/>
      <c r="I466" s="466"/>
      <c r="J466" s="460"/>
      <c r="K466" s="570"/>
      <c r="L466" s="460"/>
      <c r="M466" s="570"/>
      <c r="N466" s="460"/>
      <c r="O466" s="570"/>
      <c r="P466" s="460"/>
      <c r="Q466" s="570"/>
      <c r="R466" s="460"/>
      <c r="S466" s="853"/>
      <c r="T466" s="460"/>
    </row>
    <row r="467" spans="1:20">
      <c r="A467" s="461"/>
      <c r="B467" s="462"/>
      <c r="C467" s="463"/>
      <c r="D467" s="464"/>
      <c r="E467" s="459"/>
      <c r="F467" s="465"/>
      <c r="G467" s="466"/>
      <c r="H467" s="460"/>
      <c r="I467" s="466"/>
      <c r="J467" s="460"/>
      <c r="K467" s="570"/>
      <c r="L467" s="460"/>
      <c r="M467" s="570"/>
      <c r="N467" s="460"/>
      <c r="O467" s="570"/>
      <c r="P467" s="460"/>
      <c r="Q467" s="570"/>
      <c r="R467" s="460"/>
      <c r="S467" s="853"/>
      <c r="T467" s="460"/>
    </row>
    <row r="468" spans="1:20">
      <c r="A468" s="461"/>
      <c r="B468" s="462"/>
      <c r="C468" s="463"/>
      <c r="D468" s="464"/>
      <c r="E468" s="459"/>
      <c r="F468" s="465"/>
      <c r="G468" s="466"/>
      <c r="H468" s="460"/>
      <c r="I468" s="466"/>
      <c r="J468" s="460"/>
      <c r="K468" s="570"/>
      <c r="L468" s="460"/>
      <c r="M468" s="570"/>
      <c r="N468" s="460"/>
      <c r="O468" s="570"/>
      <c r="P468" s="460"/>
      <c r="Q468" s="570"/>
      <c r="R468" s="460"/>
      <c r="S468" s="853"/>
      <c r="T468" s="460"/>
    </row>
    <row r="469" spans="1:20">
      <c r="A469" s="461"/>
      <c r="B469" s="462"/>
      <c r="C469" s="463"/>
      <c r="D469" s="464"/>
      <c r="E469" s="459"/>
      <c r="F469" s="465"/>
      <c r="G469" s="466"/>
      <c r="H469" s="460"/>
      <c r="I469" s="466"/>
      <c r="J469" s="460"/>
      <c r="K469" s="570"/>
      <c r="L469" s="460"/>
      <c r="M469" s="570"/>
      <c r="N469" s="460"/>
      <c r="O469" s="570"/>
      <c r="P469" s="460"/>
      <c r="Q469" s="570"/>
      <c r="R469" s="460"/>
      <c r="S469" s="853"/>
      <c r="T469" s="460"/>
    </row>
    <row r="470" spans="1:20">
      <c r="A470" s="461"/>
      <c r="B470" s="462"/>
      <c r="C470" s="463"/>
      <c r="D470" s="464"/>
      <c r="E470" s="459"/>
      <c r="F470" s="465"/>
      <c r="G470" s="466"/>
      <c r="H470" s="460"/>
      <c r="I470" s="466"/>
      <c r="J470" s="460"/>
      <c r="K470" s="570"/>
      <c r="L470" s="460"/>
      <c r="M470" s="570"/>
      <c r="N470" s="460"/>
      <c r="O470" s="570"/>
      <c r="P470" s="460"/>
      <c r="Q470" s="570"/>
      <c r="R470" s="460"/>
      <c r="S470" s="853"/>
      <c r="T470" s="460"/>
    </row>
    <row r="471" spans="1:20">
      <c r="A471" s="461"/>
      <c r="B471" s="462"/>
      <c r="C471" s="463"/>
      <c r="D471" s="464"/>
      <c r="E471" s="459"/>
      <c r="F471" s="465"/>
      <c r="G471" s="466"/>
      <c r="H471" s="460"/>
      <c r="I471" s="466"/>
      <c r="J471" s="460"/>
      <c r="K471" s="570"/>
      <c r="L471" s="460"/>
      <c r="M471" s="570"/>
      <c r="N471" s="460"/>
      <c r="O471" s="570"/>
      <c r="P471" s="460"/>
      <c r="Q471" s="570"/>
      <c r="R471" s="460"/>
      <c r="S471" s="853"/>
      <c r="T471" s="460"/>
    </row>
    <row r="472" spans="1:20">
      <c r="A472" s="461"/>
      <c r="B472" s="462"/>
      <c r="C472" s="463"/>
      <c r="D472" s="464"/>
      <c r="E472" s="459"/>
      <c r="F472" s="465"/>
      <c r="G472" s="466"/>
      <c r="H472" s="460"/>
      <c r="I472" s="466"/>
      <c r="J472" s="460"/>
      <c r="K472" s="570"/>
      <c r="L472" s="460"/>
      <c r="M472" s="570"/>
      <c r="N472" s="460"/>
      <c r="O472" s="570"/>
      <c r="P472" s="460"/>
      <c r="Q472" s="570"/>
      <c r="R472" s="460"/>
      <c r="S472" s="853"/>
      <c r="T472" s="460"/>
    </row>
    <row r="473" spans="1:20">
      <c r="A473" s="461"/>
      <c r="B473" s="462"/>
      <c r="C473" s="463"/>
      <c r="D473" s="464"/>
      <c r="E473" s="459"/>
      <c r="F473" s="465"/>
      <c r="G473" s="466"/>
      <c r="H473" s="460"/>
      <c r="I473" s="466"/>
      <c r="J473" s="460"/>
      <c r="K473" s="570"/>
      <c r="L473" s="460"/>
      <c r="M473" s="570"/>
      <c r="N473" s="460"/>
      <c r="O473" s="570"/>
      <c r="P473" s="460"/>
      <c r="Q473" s="570"/>
      <c r="R473" s="460"/>
      <c r="S473" s="853"/>
      <c r="T473" s="460"/>
    </row>
    <row r="474" spans="1:20">
      <c r="A474" s="461"/>
      <c r="B474" s="462"/>
      <c r="C474" s="463"/>
      <c r="D474" s="464"/>
      <c r="E474" s="459"/>
      <c r="F474" s="465"/>
      <c r="G474" s="466"/>
      <c r="H474" s="460"/>
      <c r="I474" s="466"/>
      <c r="J474" s="460"/>
      <c r="K474" s="570"/>
      <c r="L474" s="460"/>
      <c r="M474" s="570"/>
      <c r="N474" s="460"/>
      <c r="O474" s="570"/>
      <c r="P474" s="460"/>
      <c r="Q474" s="570"/>
      <c r="R474" s="460"/>
      <c r="S474" s="853"/>
      <c r="T474" s="460"/>
    </row>
    <row r="475" spans="1:20">
      <c r="A475" s="461"/>
      <c r="B475" s="462"/>
      <c r="C475" s="463"/>
      <c r="D475" s="464"/>
      <c r="E475" s="459"/>
      <c r="F475" s="465"/>
      <c r="G475" s="466"/>
      <c r="H475" s="460"/>
      <c r="I475" s="466"/>
      <c r="J475" s="460"/>
      <c r="K475" s="570"/>
      <c r="L475" s="460"/>
      <c r="M475" s="570"/>
      <c r="N475" s="460"/>
      <c r="O475" s="570"/>
      <c r="P475" s="460"/>
      <c r="Q475" s="570"/>
      <c r="R475" s="460"/>
      <c r="S475" s="853"/>
      <c r="T475" s="460"/>
    </row>
    <row r="476" spans="1:20">
      <c r="A476" s="461"/>
      <c r="B476" s="462"/>
      <c r="C476" s="463"/>
      <c r="D476" s="464"/>
      <c r="E476" s="459"/>
      <c r="F476" s="465"/>
      <c r="G476" s="466"/>
      <c r="H476" s="460"/>
      <c r="I476" s="466"/>
      <c r="J476" s="460"/>
      <c r="K476" s="570"/>
      <c r="L476" s="460"/>
      <c r="M476" s="570"/>
      <c r="N476" s="460"/>
      <c r="O476" s="570"/>
      <c r="P476" s="460"/>
      <c r="Q476" s="570"/>
      <c r="R476" s="460"/>
      <c r="S476" s="853"/>
      <c r="T476" s="460"/>
    </row>
    <row r="477" spans="1:20">
      <c r="A477" s="461"/>
      <c r="B477" s="462"/>
      <c r="C477" s="463"/>
      <c r="D477" s="464"/>
      <c r="E477" s="459"/>
      <c r="F477" s="465"/>
      <c r="G477" s="466"/>
      <c r="H477" s="460"/>
      <c r="I477" s="466"/>
      <c r="J477" s="460"/>
      <c r="K477" s="570"/>
      <c r="L477" s="460"/>
      <c r="M477" s="570"/>
      <c r="N477" s="460"/>
      <c r="O477" s="570"/>
      <c r="P477" s="460"/>
      <c r="Q477" s="570"/>
      <c r="R477" s="460"/>
      <c r="S477" s="853"/>
      <c r="T477" s="460"/>
    </row>
    <row r="478" spans="1:20">
      <c r="A478" s="461"/>
      <c r="B478" s="462"/>
      <c r="C478" s="463"/>
      <c r="D478" s="464"/>
      <c r="E478" s="459"/>
      <c r="F478" s="465"/>
      <c r="G478" s="466"/>
      <c r="H478" s="460"/>
      <c r="I478" s="466"/>
      <c r="J478" s="460"/>
      <c r="K478" s="570"/>
      <c r="L478" s="460"/>
      <c r="M478" s="570"/>
      <c r="N478" s="460"/>
      <c r="O478" s="570"/>
      <c r="P478" s="460"/>
      <c r="Q478" s="570"/>
      <c r="R478" s="460"/>
      <c r="S478" s="853"/>
      <c r="T478" s="460"/>
    </row>
    <row r="479" spans="1:20">
      <c r="A479" s="461"/>
      <c r="B479" s="462"/>
      <c r="C479" s="463"/>
      <c r="D479" s="464"/>
      <c r="E479" s="459"/>
      <c r="F479" s="465"/>
      <c r="G479" s="466"/>
      <c r="H479" s="460"/>
      <c r="I479" s="466"/>
      <c r="J479" s="460"/>
      <c r="K479" s="570"/>
      <c r="L479" s="460"/>
      <c r="M479" s="570"/>
      <c r="N479" s="460"/>
      <c r="O479" s="570"/>
      <c r="P479" s="460"/>
      <c r="Q479" s="570"/>
      <c r="R479" s="460"/>
      <c r="S479" s="853"/>
      <c r="T479" s="460"/>
    </row>
    <row r="480" spans="1:20">
      <c r="A480" s="461"/>
      <c r="B480" s="462"/>
      <c r="C480" s="463"/>
      <c r="D480" s="464"/>
      <c r="E480" s="459"/>
      <c r="F480" s="465"/>
      <c r="G480" s="466"/>
      <c r="H480" s="460"/>
      <c r="I480" s="466"/>
      <c r="J480" s="460"/>
      <c r="K480" s="570"/>
      <c r="L480" s="460"/>
      <c r="M480" s="570"/>
      <c r="N480" s="460"/>
      <c r="O480" s="570"/>
      <c r="P480" s="460"/>
      <c r="Q480" s="570"/>
      <c r="R480" s="460"/>
      <c r="S480" s="853"/>
      <c r="T480" s="460"/>
    </row>
    <row r="481" spans="1:20">
      <c r="A481" s="461"/>
      <c r="B481" s="462"/>
      <c r="C481" s="463"/>
      <c r="D481" s="464"/>
      <c r="E481" s="459"/>
      <c r="F481" s="465"/>
      <c r="G481" s="466"/>
      <c r="H481" s="460"/>
      <c r="I481" s="466"/>
      <c r="J481" s="460"/>
      <c r="K481" s="570"/>
      <c r="L481" s="460"/>
      <c r="M481" s="570"/>
      <c r="N481" s="460"/>
      <c r="O481" s="570"/>
      <c r="P481" s="460"/>
      <c r="Q481" s="570"/>
      <c r="R481" s="460"/>
      <c r="S481" s="853"/>
      <c r="T481" s="460"/>
    </row>
    <row r="482" spans="1:20">
      <c r="A482" s="461"/>
      <c r="B482" s="462"/>
      <c r="C482" s="463"/>
      <c r="D482" s="464"/>
      <c r="E482" s="459"/>
      <c r="F482" s="465"/>
      <c r="G482" s="466"/>
      <c r="H482" s="460"/>
      <c r="I482" s="466"/>
      <c r="J482" s="460"/>
      <c r="K482" s="570"/>
      <c r="L482" s="460"/>
      <c r="M482" s="570"/>
      <c r="N482" s="460"/>
      <c r="O482" s="570"/>
      <c r="P482" s="460"/>
      <c r="Q482" s="570"/>
      <c r="R482" s="460"/>
      <c r="S482" s="853"/>
      <c r="T482" s="460"/>
    </row>
    <row r="483" spans="1:20">
      <c r="A483" s="461"/>
      <c r="B483" s="462"/>
      <c r="C483" s="463"/>
      <c r="D483" s="464"/>
      <c r="E483" s="459"/>
      <c r="F483" s="465"/>
      <c r="G483" s="466"/>
      <c r="H483" s="460"/>
      <c r="I483" s="466"/>
      <c r="J483" s="460"/>
      <c r="K483" s="570"/>
      <c r="L483" s="460"/>
      <c r="M483" s="570"/>
      <c r="N483" s="460"/>
      <c r="O483" s="570"/>
      <c r="P483" s="460"/>
      <c r="Q483" s="570"/>
      <c r="R483" s="460"/>
      <c r="S483" s="853"/>
      <c r="T483" s="460"/>
    </row>
    <row r="484" spans="1:20">
      <c r="A484" s="461"/>
      <c r="B484" s="462"/>
      <c r="C484" s="463"/>
      <c r="D484" s="464"/>
      <c r="E484" s="459"/>
      <c r="F484" s="465"/>
      <c r="G484" s="466"/>
      <c r="H484" s="460"/>
      <c r="I484" s="466"/>
      <c r="J484" s="460"/>
      <c r="K484" s="570"/>
      <c r="L484" s="460"/>
      <c r="M484" s="570"/>
      <c r="N484" s="460"/>
      <c r="O484" s="570"/>
      <c r="P484" s="460"/>
      <c r="Q484" s="570"/>
      <c r="R484" s="460"/>
      <c r="S484" s="853"/>
      <c r="T484" s="460"/>
    </row>
    <row r="485" spans="1:20">
      <c r="A485" s="461"/>
      <c r="B485" s="462"/>
      <c r="C485" s="463"/>
      <c r="D485" s="464"/>
      <c r="E485" s="459"/>
      <c r="F485" s="465"/>
      <c r="G485" s="466"/>
      <c r="H485" s="460"/>
      <c r="I485" s="466"/>
      <c r="J485" s="460"/>
      <c r="K485" s="570"/>
      <c r="L485" s="460"/>
      <c r="M485" s="570"/>
      <c r="N485" s="460"/>
      <c r="O485" s="570"/>
      <c r="P485" s="460"/>
      <c r="Q485" s="570"/>
      <c r="R485" s="460"/>
      <c r="S485" s="853"/>
      <c r="T485" s="460"/>
    </row>
    <row r="486" spans="1:20">
      <c r="A486" s="461"/>
      <c r="B486" s="462"/>
      <c r="C486" s="463"/>
      <c r="D486" s="464"/>
      <c r="E486" s="459"/>
      <c r="F486" s="465"/>
      <c r="G486" s="466"/>
      <c r="H486" s="460"/>
      <c r="I486" s="466"/>
      <c r="J486" s="460"/>
      <c r="K486" s="570"/>
      <c r="L486" s="460"/>
      <c r="M486" s="570"/>
      <c r="N486" s="460"/>
      <c r="O486" s="570"/>
      <c r="P486" s="460"/>
      <c r="Q486" s="570"/>
      <c r="R486" s="460"/>
      <c r="S486" s="853"/>
      <c r="T486" s="460"/>
    </row>
    <row r="487" spans="1:20">
      <c r="A487" s="461"/>
      <c r="B487" s="462"/>
      <c r="C487" s="463"/>
      <c r="D487" s="464"/>
      <c r="E487" s="459"/>
      <c r="F487" s="465"/>
      <c r="G487" s="466"/>
      <c r="H487" s="460"/>
      <c r="I487" s="466"/>
      <c r="J487" s="460"/>
      <c r="K487" s="570"/>
      <c r="L487" s="460"/>
      <c r="M487" s="570"/>
      <c r="N487" s="460"/>
      <c r="O487" s="570"/>
      <c r="P487" s="460"/>
      <c r="Q487" s="570"/>
      <c r="R487" s="460"/>
      <c r="S487" s="853"/>
      <c r="T487" s="460"/>
    </row>
    <row r="488" spans="1:20">
      <c r="A488" s="461"/>
      <c r="B488" s="462"/>
      <c r="C488" s="463"/>
      <c r="D488" s="464"/>
      <c r="E488" s="459"/>
      <c r="F488" s="465"/>
      <c r="G488" s="466"/>
      <c r="H488" s="460"/>
      <c r="I488" s="466"/>
      <c r="J488" s="460"/>
      <c r="K488" s="570"/>
      <c r="L488" s="460"/>
      <c r="M488" s="570"/>
      <c r="N488" s="460"/>
      <c r="O488" s="570"/>
      <c r="P488" s="460"/>
      <c r="Q488" s="570"/>
      <c r="R488" s="460"/>
      <c r="S488" s="853"/>
      <c r="T488" s="460"/>
    </row>
    <row r="489" spans="1:20">
      <c r="A489" s="461"/>
      <c r="B489" s="462"/>
      <c r="C489" s="463"/>
      <c r="D489" s="464"/>
      <c r="E489" s="459"/>
      <c r="F489" s="465"/>
      <c r="G489" s="466"/>
      <c r="H489" s="460"/>
      <c r="I489" s="466"/>
      <c r="J489" s="460"/>
      <c r="K489" s="570"/>
      <c r="L489" s="460"/>
      <c r="M489" s="570"/>
      <c r="N489" s="460"/>
      <c r="O489" s="570"/>
      <c r="P489" s="460"/>
      <c r="Q489" s="570"/>
      <c r="R489" s="460"/>
      <c r="S489" s="853"/>
      <c r="T489" s="460"/>
    </row>
    <row r="490" spans="1:20">
      <c r="A490" s="461"/>
      <c r="B490" s="462"/>
      <c r="C490" s="463"/>
      <c r="D490" s="464"/>
      <c r="E490" s="459"/>
      <c r="F490" s="465"/>
      <c r="G490" s="466"/>
      <c r="H490" s="460"/>
      <c r="I490" s="466"/>
      <c r="J490" s="460"/>
      <c r="K490" s="570"/>
      <c r="L490" s="460"/>
      <c r="M490" s="570"/>
      <c r="N490" s="460"/>
      <c r="O490" s="570"/>
      <c r="P490" s="460"/>
      <c r="Q490" s="570"/>
      <c r="R490" s="460"/>
      <c r="S490" s="853"/>
      <c r="T490" s="460"/>
    </row>
    <row r="491" spans="1:20">
      <c r="A491" s="461"/>
      <c r="B491" s="462"/>
      <c r="C491" s="463"/>
      <c r="D491" s="464"/>
      <c r="E491" s="459"/>
      <c r="F491" s="465"/>
      <c r="G491" s="466"/>
      <c r="H491" s="460"/>
      <c r="I491" s="466"/>
      <c r="J491" s="460"/>
      <c r="K491" s="570"/>
      <c r="L491" s="460"/>
      <c r="M491" s="570"/>
      <c r="N491" s="460"/>
      <c r="O491" s="570"/>
      <c r="P491" s="460"/>
      <c r="Q491" s="570"/>
      <c r="R491" s="460"/>
      <c r="S491" s="853"/>
      <c r="T491" s="460"/>
    </row>
    <row r="492" spans="1:20">
      <c r="A492" s="461"/>
      <c r="B492" s="462"/>
      <c r="C492" s="463"/>
      <c r="D492" s="464"/>
      <c r="E492" s="459"/>
      <c r="F492" s="465"/>
      <c r="G492" s="466"/>
      <c r="H492" s="460"/>
      <c r="I492" s="466"/>
      <c r="J492" s="460"/>
      <c r="K492" s="570"/>
      <c r="L492" s="460"/>
      <c r="M492" s="570"/>
      <c r="N492" s="460"/>
      <c r="O492" s="570"/>
      <c r="P492" s="460"/>
      <c r="Q492" s="570"/>
      <c r="R492" s="460"/>
      <c r="S492" s="853"/>
      <c r="T492" s="460"/>
    </row>
    <row r="493" spans="1:20">
      <c r="A493" s="461"/>
      <c r="B493" s="462"/>
      <c r="C493" s="463"/>
      <c r="D493" s="464"/>
      <c r="E493" s="459"/>
      <c r="F493" s="465"/>
      <c r="G493" s="466"/>
      <c r="H493" s="460"/>
      <c r="I493" s="466"/>
      <c r="J493" s="460"/>
      <c r="K493" s="570"/>
      <c r="L493" s="460"/>
      <c r="M493" s="570"/>
      <c r="N493" s="460"/>
      <c r="O493" s="570"/>
      <c r="P493" s="460"/>
      <c r="Q493" s="570"/>
      <c r="R493" s="460"/>
      <c r="S493" s="853"/>
      <c r="T493" s="460"/>
    </row>
    <row r="494" spans="1:20">
      <c r="A494" s="461"/>
      <c r="B494" s="462"/>
      <c r="C494" s="463"/>
      <c r="D494" s="464"/>
      <c r="E494" s="459"/>
      <c r="F494" s="465"/>
      <c r="G494" s="466"/>
      <c r="H494" s="460"/>
      <c r="I494" s="466"/>
      <c r="J494" s="460"/>
      <c r="K494" s="570"/>
      <c r="L494" s="460"/>
      <c r="M494" s="570"/>
      <c r="N494" s="460"/>
      <c r="O494" s="570"/>
      <c r="P494" s="460"/>
      <c r="Q494" s="570"/>
      <c r="R494" s="460"/>
      <c r="S494" s="853"/>
      <c r="T494" s="460"/>
    </row>
    <row r="495" spans="1:20">
      <c r="A495" s="461"/>
      <c r="B495" s="462"/>
      <c r="C495" s="463"/>
      <c r="D495" s="464"/>
      <c r="E495" s="459"/>
      <c r="F495" s="465"/>
      <c r="G495" s="466"/>
      <c r="H495" s="460"/>
      <c r="I495" s="466"/>
      <c r="J495" s="460"/>
      <c r="K495" s="570"/>
      <c r="L495" s="460"/>
      <c r="M495" s="570"/>
      <c r="N495" s="460"/>
      <c r="O495" s="570"/>
      <c r="P495" s="460"/>
      <c r="Q495" s="570"/>
      <c r="R495" s="460"/>
      <c r="S495" s="853"/>
      <c r="T495" s="460"/>
    </row>
    <row r="496" spans="1:20">
      <c r="A496" s="461"/>
      <c r="B496" s="462"/>
      <c r="C496" s="463"/>
      <c r="D496" s="20"/>
      <c r="E496" s="459"/>
      <c r="F496" s="465"/>
      <c r="G496" s="466"/>
      <c r="H496" s="460"/>
      <c r="I496" s="466"/>
      <c r="J496" s="460"/>
      <c r="K496" s="570"/>
      <c r="L496" s="460"/>
      <c r="M496" s="570"/>
      <c r="N496" s="460"/>
      <c r="O496" s="570"/>
      <c r="P496" s="460"/>
      <c r="Q496" s="570"/>
      <c r="R496" s="460"/>
      <c r="S496" s="853"/>
      <c r="T496" s="460"/>
    </row>
    <row r="497" spans="1:20">
      <c r="A497" s="461"/>
      <c r="B497" s="462"/>
      <c r="C497" s="463"/>
      <c r="D497" s="20"/>
      <c r="E497" s="459"/>
      <c r="F497" s="465"/>
      <c r="G497" s="466"/>
      <c r="H497" s="460"/>
      <c r="I497" s="466"/>
      <c r="J497" s="460"/>
      <c r="K497" s="570"/>
      <c r="L497" s="460"/>
      <c r="M497" s="570"/>
      <c r="N497" s="460"/>
      <c r="O497" s="570"/>
      <c r="P497" s="460"/>
      <c r="Q497" s="570"/>
      <c r="R497" s="460"/>
      <c r="S497" s="853"/>
      <c r="T497" s="460"/>
    </row>
    <row r="498" spans="1:20" ht="13.5" thickBot="1">
      <c r="A498" s="21"/>
      <c r="B498" s="22"/>
      <c r="C498" s="23"/>
      <c r="D498" s="24"/>
      <c r="E498" s="37"/>
      <c r="F498" s="25"/>
      <c r="G498" s="187"/>
      <c r="H498" s="188"/>
      <c r="I498" s="187"/>
      <c r="J498" s="188"/>
      <c r="K498" s="571"/>
      <c r="L498" s="572"/>
      <c r="M498" s="571"/>
      <c r="N498" s="572"/>
      <c r="O498" s="571"/>
      <c r="P498" s="572"/>
      <c r="Q498" s="571"/>
      <c r="R498" s="572"/>
      <c r="S498" s="854"/>
      <c r="T498" s="855"/>
    </row>
  </sheetData>
  <sheetProtection sheet="1" objects="1" scenarios="1" formatCells="0" formatColumns="0" formatRows="0" insertColumns="0" insertRows="0" insertHyperlinks="0" deleteColumns="0" deleteRows="0" sort="0" autoFilter="0" pivotTables="0"/>
  <dataConsolidate/>
  <mergeCells count="8">
    <mergeCell ref="S1:T1"/>
    <mergeCell ref="O1:P1"/>
    <mergeCell ref="Q1:R1"/>
    <mergeCell ref="G1:H1"/>
    <mergeCell ref="E3:F3"/>
    <mergeCell ref="I1:J1"/>
    <mergeCell ref="K1:L1"/>
    <mergeCell ref="M1:N1"/>
  </mergeCells>
  <phoneticPr fontId="14" type="noConversion"/>
  <conditionalFormatting sqref="A1">
    <cfRule type="cellIs" dxfId="10238" priority="12" stopIfTrue="1" operator="equal">
      <formula>"NOK"</formula>
    </cfRule>
  </conditionalFormatting>
  <conditionalFormatting sqref="I5:I10 K5:K10 M5:M10 O5:O10 Q5:Q10 G5:G498">
    <cfRule type="cellIs" dxfId="10237" priority="11" stopIfTrue="1" operator="notEqual">
      <formula>H5</formula>
    </cfRule>
  </conditionalFormatting>
  <conditionalFormatting sqref="I11:I498">
    <cfRule type="cellIs" dxfId="10236" priority="10" stopIfTrue="1" operator="notEqual">
      <formula>J11</formula>
    </cfRule>
  </conditionalFormatting>
  <conditionalFormatting sqref="G5:G7">
    <cfRule type="cellIs" dxfId="10235" priority="9" stopIfTrue="1" operator="notEqual">
      <formula>H5</formula>
    </cfRule>
  </conditionalFormatting>
  <conditionalFormatting sqref="I5:I7">
    <cfRule type="cellIs" dxfId="10234" priority="8" stopIfTrue="1" operator="notEqual">
      <formula>J5</formula>
    </cfRule>
  </conditionalFormatting>
  <conditionalFormatting sqref="K11:K498">
    <cfRule type="cellIs" dxfId="10233" priority="7" stopIfTrue="1" operator="notEqual">
      <formula>L11</formula>
    </cfRule>
  </conditionalFormatting>
  <conditionalFormatting sqref="M11:M498">
    <cfRule type="cellIs" dxfId="10232" priority="6" stopIfTrue="1" operator="notEqual">
      <formula>N11</formula>
    </cfRule>
  </conditionalFormatting>
  <conditionalFormatting sqref="O11:O498">
    <cfRule type="cellIs" dxfId="10231" priority="5" stopIfTrue="1" operator="notEqual">
      <formula>P11</formula>
    </cfRule>
  </conditionalFormatting>
  <conditionalFormatting sqref="Q11:Q498">
    <cfRule type="cellIs" dxfId="10230" priority="4" stopIfTrue="1" operator="notEqual">
      <formula>R11</formula>
    </cfRule>
  </conditionalFormatting>
  <conditionalFormatting sqref="S5:S10">
    <cfRule type="cellIs" dxfId="10229" priority="3" stopIfTrue="1" operator="notEqual">
      <formula>T5</formula>
    </cfRule>
  </conditionalFormatting>
  <conditionalFormatting sqref="S11:S498">
    <cfRule type="cellIs" dxfId="10228" priority="2" stopIfTrue="1" operator="notEqual">
      <formula>T11</formula>
    </cfRule>
  </conditionalFormatting>
  <conditionalFormatting sqref="G5">
    <cfRule type="cellIs" dxfId="10227" priority="1" stopIfTrue="1" operator="notEqual">
      <formula>H5</formula>
    </cfRule>
  </conditionalFormatting>
  <dataValidations count="1">
    <dataValidation type="list" allowBlank="1" showInputMessage="1" showErrorMessage="1" sqref="G1 I1 K1 M1 O1 Q1">
      <formula1>ColumnBottomVariablesList</formula1>
    </dataValidation>
  </dataValidations>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sheetPr codeName="Sheet56">
    <tabColor rgb="FF92D050"/>
  </sheetPr>
  <dimension ref="A1:BA499"/>
  <sheetViews>
    <sheetView showGridLines="0" zoomScale="85" zoomScaleNormal="85" workbookViewId="0">
      <pane xSplit="6" ySplit="4" topLeftCell="AU5" activePane="bottomRight" state="frozenSplit"/>
      <selection pane="topRight" activeCell="F1" sqref="F1"/>
      <selection pane="bottomLeft" activeCell="A5" sqref="A5"/>
      <selection pane="bottomRight" activeCell="AX7" sqref="AX7"/>
    </sheetView>
  </sheetViews>
  <sheetFormatPr defaultRowHeight="12.75"/>
  <cols>
    <col min="1" max="1" width="24.625" style="28" customWidth="1"/>
    <col min="2" max="2" width="7.125" style="28" customWidth="1"/>
    <col min="3" max="3" width="8.875" style="29"/>
    <col min="4" max="4" width="16" style="28" customWidth="1"/>
    <col min="5" max="5" width="16.625" style="28" customWidth="1"/>
    <col min="6" max="6" width="16.625" style="30" customWidth="1"/>
    <col min="7" max="7" width="9.75" style="31" customWidth="1"/>
    <col min="8" max="8" width="9.75" style="32" customWidth="1"/>
    <col min="9" max="9" width="9.75" style="31" customWidth="1"/>
    <col min="10" max="10" width="9.75" style="32" customWidth="1"/>
    <col min="11" max="11" width="9.75" style="31" customWidth="1"/>
    <col min="12" max="12" width="9.75" style="32" customWidth="1"/>
    <col min="13" max="13" width="9.75" style="31" customWidth="1"/>
    <col min="14" max="14" width="9.75" style="32" customWidth="1"/>
    <col min="15" max="15" width="9.75" style="31" customWidth="1"/>
    <col min="16" max="16" width="9.75" style="32" customWidth="1"/>
    <col min="17" max="17" width="9.75" style="31" customWidth="1"/>
    <col min="18" max="18" width="9.75" style="32" customWidth="1"/>
    <col min="19" max="19" width="9.75" style="31" customWidth="1"/>
    <col min="20" max="20" width="9.75" style="32" customWidth="1"/>
    <col min="21" max="21" width="9.75" style="31" customWidth="1"/>
    <col min="22" max="22" width="9.75" style="32" customWidth="1"/>
    <col min="23" max="23" width="9.75" style="31" customWidth="1"/>
    <col min="24" max="24" width="9.75" style="32" customWidth="1"/>
    <col min="25" max="25" width="9.75" style="31" customWidth="1"/>
    <col min="26" max="26" width="9.75" style="32" customWidth="1"/>
    <col min="27" max="27" width="9.75" style="31" customWidth="1"/>
    <col min="28" max="28" width="9.75" style="32" customWidth="1"/>
    <col min="29" max="29" width="9.75" style="31" customWidth="1"/>
    <col min="30" max="30" width="9.75" style="32" customWidth="1"/>
    <col min="31" max="31" width="9.75" style="31" customWidth="1"/>
    <col min="32" max="32" width="9.75" style="32" customWidth="1"/>
    <col min="33" max="33" width="9.75" style="31" customWidth="1"/>
    <col min="34" max="34" width="9.75" style="32" customWidth="1"/>
    <col min="35" max="35" width="9.75" style="31" customWidth="1"/>
    <col min="36" max="36" width="9.75" style="32" customWidth="1"/>
    <col min="37" max="37" width="9.75" style="31" customWidth="1"/>
    <col min="38" max="38" width="9.75" style="32" customWidth="1"/>
    <col min="39" max="39" width="9.75" style="31" customWidth="1"/>
    <col min="40" max="40" width="9.75" style="32" customWidth="1"/>
    <col min="41" max="41" width="9.75" style="31" customWidth="1"/>
    <col min="42" max="42" width="9.75" style="32" customWidth="1"/>
    <col min="43" max="43" width="9.75" style="31" customWidth="1"/>
    <col min="44" max="44" width="9.75" style="32" customWidth="1"/>
    <col min="45" max="45" width="9.75" style="573" customWidth="1"/>
    <col min="46" max="46" width="9.75" style="574" customWidth="1"/>
    <col min="47" max="47" width="9.75" style="573" customWidth="1"/>
    <col min="48" max="48" width="9.75" style="574" customWidth="1"/>
    <col min="49" max="49" width="1.25" style="6" customWidth="1"/>
    <col min="50" max="53" width="12.625" style="6" customWidth="1"/>
    <col min="54" max="296" width="8.875" style="6"/>
    <col min="297" max="297" width="12" style="6" customWidth="1"/>
    <col min="298" max="298" width="7.125" style="6" customWidth="1"/>
    <col min="299" max="299" width="8.875" style="6"/>
    <col min="300" max="300" width="16" style="6" customWidth="1"/>
    <col min="301" max="301" width="13.75" style="6" customWidth="1"/>
    <col min="302" max="303" width="9.75" style="6" customWidth="1"/>
    <col min="304" max="552" width="8.875" style="6"/>
    <col min="553" max="553" width="12" style="6" customWidth="1"/>
    <col min="554" max="554" width="7.125" style="6" customWidth="1"/>
    <col min="555" max="555" width="8.875" style="6"/>
    <col min="556" max="556" width="16" style="6" customWidth="1"/>
    <col min="557" max="557" width="13.75" style="6" customWidth="1"/>
    <col min="558" max="559" width="9.75" style="6" customWidth="1"/>
    <col min="560" max="808" width="8.875" style="6"/>
    <col min="809" max="809" width="12" style="6" customWidth="1"/>
    <col min="810" max="810" width="7.125" style="6" customWidth="1"/>
    <col min="811" max="811" width="8.875" style="6"/>
    <col min="812" max="812" width="16" style="6" customWidth="1"/>
    <col min="813" max="813" width="13.75" style="6" customWidth="1"/>
    <col min="814" max="815" width="9.75" style="6" customWidth="1"/>
    <col min="816" max="1064" width="8.875" style="6"/>
    <col min="1065" max="1065" width="12" style="6" customWidth="1"/>
    <col min="1066" max="1066" width="7.125" style="6" customWidth="1"/>
    <col min="1067" max="1067" width="8.875" style="6"/>
    <col min="1068" max="1068" width="16" style="6" customWidth="1"/>
    <col min="1069" max="1069" width="13.75" style="6" customWidth="1"/>
    <col min="1070" max="1071" width="9.75" style="6" customWidth="1"/>
    <col min="1072" max="1320" width="8.875" style="6"/>
    <col min="1321" max="1321" width="12" style="6" customWidth="1"/>
    <col min="1322" max="1322" width="7.125" style="6" customWidth="1"/>
    <col min="1323" max="1323" width="8.875" style="6"/>
    <col min="1324" max="1324" width="16" style="6" customWidth="1"/>
    <col min="1325" max="1325" width="13.75" style="6" customWidth="1"/>
    <col min="1326" max="1327" width="9.75" style="6" customWidth="1"/>
    <col min="1328" max="1576" width="8.875" style="6"/>
    <col min="1577" max="1577" width="12" style="6" customWidth="1"/>
    <col min="1578" max="1578" width="7.125" style="6" customWidth="1"/>
    <col min="1579" max="1579" width="8.875" style="6"/>
    <col min="1580" max="1580" width="16" style="6" customWidth="1"/>
    <col min="1581" max="1581" width="13.75" style="6" customWidth="1"/>
    <col min="1582" max="1583" width="9.75" style="6" customWidth="1"/>
    <col min="1584" max="1832" width="8.875" style="6"/>
    <col min="1833" max="1833" width="12" style="6" customWidth="1"/>
    <col min="1834" max="1834" width="7.125" style="6" customWidth="1"/>
    <col min="1835" max="1835" width="8.875" style="6"/>
    <col min="1836" max="1836" width="16" style="6" customWidth="1"/>
    <col min="1837" max="1837" width="13.75" style="6" customWidth="1"/>
    <col min="1838" max="1839" width="9.75" style="6" customWidth="1"/>
    <col min="1840" max="2088" width="8.875" style="6"/>
    <col min="2089" max="2089" width="12" style="6" customWidth="1"/>
    <col min="2090" max="2090" width="7.125" style="6" customWidth="1"/>
    <col min="2091" max="2091" width="8.875" style="6"/>
    <col min="2092" max="2092" width="16" style="6" customWidth="1"/>
    <col min="2093" max="2093" width="13.75" style="6" customWidth="1"/>
    <col min="2094" max="2095" width="9.75" style="6" customWidth="1"/>
    <col min="2096" max="2344" width="8.875" style="6"/>
    <col min="2345" max="2345" width="12" style="6" customWidth="1"/>
    <col min="2346" max="2346" width="7.125" style="6" customWidth="1"/>
    <col min="2347" max="2347" width="8.875" style="6"/>
    <col min="2348" max="2348" width="16" style="6" customWidth="1"/>
    <col min="2349" max="2349" width="13.75" style="6" customWidth="1"/>
    <col min="2350" max="2351" width="9.75" style="6" customWidth="1"/>
    <col min="2352" max="2600" width="8.875" style="6"/>
    <col min="2601" max="2601" width="12" style="6" customWidth="1"/>
    <col min="2602" max="2602" width="7.125" style="6" customWidth="1"/>
    <col min="2603" max="2603" width="8.875" style="6"/>
    <col min="2604" max="2604" width="16" style="6" customWidth="1"/>
    <col min="2605" max="2605" width="13.75" style="6" customWidth="1"/>
    <col min="2606" max="2607" width="9.75" style="6" customWidth="1"/>
    <col min="2608" max="2856" width="8.875" style="6"/>
    <col min="2857" max="2857" width="12" style="6" customWidth="1"/>
    <col min="2858" max="2858" width="7.125" style="6" customWidth="1"/>
    <col min="2859" max="2859" width="8.875" style="6"/>
    <col min="2860" max="2860" width="16" style="6" customWidth="1"/>
    <col min="2861" max="2861" width="13.75" style="6" customWidth="1"/>
    <col min="2862" max="2863" width="9.75" style="6" customWidth="1"/>
    <col min="2864" max="3112" width="8.875" style="6"/>
    <col min="3113" max="3113" width="12" style="6" customWidth="1"/>
    <col min="3114" max="3114" width="7.125" style="6" customWidth="1"/>
    <col min="3115" max="3115" width="8.875" style="6"/>
    <col min="3116" max="3116" width="16" style="6" customWidth="1"/>
    <col min="3117" max="3117" width="13.75" style="6" customWidth="1"/>
    <col min="3118" max="3119" width="9.75" style="6" customWidth="1"/>
    <col min="3120" max="3368" width="8.875" style="6"/>
    <col min="3369" max="3369" width="12" style="6" customWidth="1"/>
    <col min="3370" max="3370" width="7.125" style="6" customWidth="1"/>
    <col min="3371" max="3371" width="8.875" style="6"/>
    <col min="3372" max="3372" width="16" style="6" customWidth="1"/>
    <col min="3373" max="3373" width="13.75" style="6" customWidth="1"/>
    <col min="3374" max="3375" width="9.75" style="6" customWidth="1"/>
    <col min="3376" max="3624" width="8.875" style="6"/>
    <col min="3625" max="3625" width="12" style="6" customWidth="1"/>
    <col min="3626" max="3626" width="7.125" style="6" customWidth="1"/>
    <col min="3627" max="3627" width="8.875" style="6"/>
    <col min="3628" max="3628" width="16" style="6" customWidth="1"/>
    <col min="3629" max="3629" width="13.75" style="6" customWidth="1"/>
    <col min="3630" max="3631" width="9.75" style="6" customWidth="1"/>
    <col min="3632" max="3880" width="8.875" style="6"/>
    <col min="3881" max="3881" width="12" style="6" customWidth="1"/>
    <col min="3882" max="3882" width="7.125" style="6" customWidth="1"/>
    <col min="3883" max="3883" width="8.875" style="6"/>
    <col min="3884" max="3884" width="16" style="6" customWidth="1"/>
    <col min="3885" max="3885" width="13.75" style="6" customWidth="1"/>
    <col min="3886" max="3887" width="9.75" style="6" customWidth="1"/>
    <col min="3888" max="4136" width="8.875" style="6"/>
    <col min="4137" max="4137" width="12" style="6" customWidth="1"/>
    <col min="4138" max="4138" width="7.125" style="6" customWidth="1"/>
    <col min="4139" max="4139" width="8.875" style="6"/>
    <col min="4140" max="4140" width="16" style="6" customWidth="1"/>
    <col min="4141" max="4141" width="13.75" style="6" customWidth="1"/>
    <col min="4142" max="4143" width="9.75" style="6" customWidth="1"/>
    <col min="4144" max="4392" width="8.875" style="6"/>
    <col min="4393" max="4393" width="12" style="6" customWidth="1"/>
    <col min="4394" max="4394" width="7.125" style="6" customWidth="1"/>
    <col min="4395" max="4395" width="8.875" style="6"/>
    <col min="4396" max="4396" width="16" style="6" customWidth="1"/>
    <col min="4397" max="4397" width="13.75" style="6" customWidth="1"/>
    <col min="4398" max="4399" width="9.75" style="6" customWidth="1"/>
    <col min="4400" max="4648" width="8.875" style="6"/>
    <col min="4649" max="4649" width="12" style="6" customWidth="1"/>
    <col min="4650" max="4650" width="7.125" style="6" customWidth="1"/>
    <col min="4651" max="4651" width="8.875" style="6"/>
    <col min="4652" max="4652" width="16" style="6" customWidth="1"/>
    <col min="4653" max="4653" width="13.75" style="6" customWidth="1"/>
    <col min="4654" max="4655" width="9.75" style="6" customWidth="1"/>
    <col min="4656" max="4904" width="8.875" style="6"/>
    <col min="4905" max="4905" width="12" style="6" customWidth="1"/>
    <col min="4906" max="4906" width="7.125" style="6" customWidth="1"/>
    <col min="4907" max="4907" width="8.875" style="6"/>
    <col min="4908" max="4908" width="16" style="6" customWidth="1"/>
    <col min="4909" max="4909" width="13.75" style="6" customWidth="1"/>
    <col min="4910" max="4911" width="9.75" style="6" customWidth="1"/>
    <col min="4912" max="5160" width="8.875" style="6"/>
    <col min="5161" max="5161" width="12" style="6" customWidth="1"/>
    <col min="5162" max="5162" width="7.125" style="6" customWidth="1"/>
    <col min="5163" max="5163" width="8.875" style="6"/>
    <col min="5164" max="5164" width="16" style="6" customWidth="1"/>
    <col min="5165" max="5165" width="13.75" style="6" customWidth="1"/>
    <col min="5166" max="5167" width="9.75" style="6" customWidth="1"/>
    <col min="5168" max="5416" width="8.875" style="6"/>
    <col min="5417" max="5417" width="12" style="6" customWidth="1"/>
    <col min="5418" max="5418" width="7.125" style="6" customWidth="1"/>
    <col min="5419" max="5419" width="8.875" style="6"/>
    <col min="5420" max="5420" width="16" style="6" customWidth="1"/>
    <col min="5421" max="5421" width="13.75" style="6" customWidth="1"/>
    <col min="5422" max="5423" width="9.75" style="6" customWidth="1"/>
    <col min="5424" max="5672" width="8.875" style="6"/>
    <col min="5673" max="5673" width="12" style="6" customWidth="1"/>
    <col min="5674" max="5674" width="7.125" style="6" customWidth="1"/>
    <col min="5675" max="5675" width="8.875" style="6"/>
    <col min="5676" max="5676" width="16" style="6" customWidth="1"/>
    <col min="5677" max="5677" width="13.75" style="6" customWidth="1"/>
    <col min="5678" max="5679" width="9.75" style="6" customWidth="1"/>
    <col min="5680" max="5928" width="8.875" style="6"/>
    <col min="5929" max="5929" width="12" style="6" customWidth="1"/>
    <col min="5930" max="5930" width="7.125" style="6" customWidth="1"/>
    <col min="5931" max="5931" width="8.875" style="6"/>
    <col min="5932" max="5932" width="16" style="6" customWidth="1"/>
    <col min="5933" max="5933" width="13.75" style="6" customWidth="1"/>
    <col min="5934" max="5935" width="9.75" style="6" customWidth="1"/>
    <col min="5936" max="6184" width="8.875" style="6"/>
    <col min="6185" max="6185" width="12" style="6" customWidth="1"/>
    <col min="6186" max="6186" width="7.125" style="6" customWidth="1"/>
    <col min="6187" max="6187" width="8.875" style="6"/>
    <col min="6188" max="6188" width="16" style="6" customWidth="1"/>
    <col min="6189" max="6189" width="13.75" style="6" customWidth="1"/>
    <col min="6190" max="6191" width="9.75" style="6" customWidth="1"/>
    <col min="6192" max="6440" width="8.875" style="6"/>
    <col min="6441" max="6441" width="12" style="6" customWidth="1"/>
    <col min="6442" max="6442" width="7.125" style="6" customWidth="1"/>
    <col min="6443" max="6443" width="8.875" style="6"/>
    <col min="6444" max="6444" width="16" style="6" customWidth="1"/>
    <col min="6445" max="6445" width="13.75" style="6" customWidth="1"/>
    <col min="6446" max="6447" width="9.75" style="6" customWidth="1"/>
    <col min="6448" max="6696" width="8.875" style="6"/>
    <col min="6697" max="6697" width="12" style="6" customWidth="1"/>
    <col min="6698" max="6698" width="7.125" style="6" customWidth="1"/>
    <col min="6699" max="6699" width="8.875" style="6"/>
    <col min="6700" max="6700" width="16" style="6" customWidth="1"/>
    <col min="6701" max="6701" width="13.75" style="6" customWidth="1"/>
    <col min="6702" max="6703" width="9.75" style="6" customWidth="1"/>
    <col min="6704" max="6952" width="8.875" style="6"/>
    <col min="6953" max="6953" width="12" style="6" customWidth="1"/>
    <col min="6954" max="6954" width="7.125" style="6" customWidth="1"/>
    <col min="6955" max="6955" width="8.875" style="6"/>
    <col min="6956" max="6956" width="16" style="6" customWidth="1"/>
    <col min="6957" max="6957" width="13.75" style="6" customWidth="1"/>
    <col min="6958" max="6959" width="9.75" style="6" customWidth="1"/>
    <col min="6960" max="7208" width="8.875" style="6"/>
    <col min="7209" max="7209" width="12" style="6" customWidth="1"/>
    <col min="7210" max="7210" width="7.125" style="6" customWidth="1"/>
    <col min="7211" max="7211" width="8.875" style="6"/>
    <col min="7212" max="7212" width="16" style="6" customWidth="1"/>
    <col min="7213" max="7213" width="13.75" style="6" customWidth="1"/>
    <col min="7214" max="7215" width="9.75" style="6" customWidth="1"/>
    <col min="7216" max="7464" width="8.875" style="6"/>
    <col min="7465" max="7465" width="12" style="6" customWidth="1"/>
    <col min="7466" max="7466" width="7.125" style="6" customWidth="1"/>
    <col min="7467" max="7467" width="8.875" style="6"/>
    <col min="7468" max="7468" width="16" style="6" customWidth="1"/>
    <col min="7469" max="7469" width="13.75" style="6" customWidth="1"/>
    <col min="7470" max="7471" width="9.75" style="6" customWidth="1"/>
    <col min="7472" max="7720" width="8.875" style="6"/>
    <col min="7721" max="7721" width="12" style="6" customWidth="1"/>
    <col min="7722" max="7722" width="7.125" style="6" customWidth="1"/>
    <col min="7723" max="7723" width="8.875" style="6"/>
    <col min="7724" max="7724" width="16" style="6" customWidth="1"/>
    <col min="7725" max="7725" width="13.75" style="6" customWidth="1"/>
    <col min="7726" max="7727" width="9.75" style="6" customWidth="1"/>
    <col min="7728" max="7976" width="8.875" style="6"/>
    <col min="7977" max="7977" width="12" style="6" customWidth="1"/>
    <col min="7978" max="7978" width="7.125" style="6" customWidth="1"/>
    <col min="7979" max="7979" width="8.875" style="6"/>
    <col min="7980" max="7980" width="16" style="6" customWidth="1"/>
    <col min="7981" max="7981" width="13.75" style="6" customWidth="1"/>
    <col min="7982" max="7983" width="9.75" style="6" customWidth="1"/>
    <col min="7984" max="8232" width="8.875" style="6"/>
    <col min="8233" max="8233" width="12" style="6" customWidth="1"/>
    <col min="8234" max="8234" width="7.125" style="6" customWidth="1"/>
    <col min="8235" max="8235" width="8.875" style="6"/>
    <col min="8236" max="8236" width="16" style="6" customWidth="1"/>
    <col min="8237" max="8237" width="13.75" style="6" customWidth="1"/>
    <col min="8238" max="8239" width="9.75" style="6" customWidth="1"/>
    <col min="8240" max="8488" width="8.875" style="6"/>
    <col min="8489" max="8489" width="12" style="6" customWidth="1"/>
    <col min="8490" max="8490" width="7.125" style="6" customWidth="1"/>
    <col min="8491" max="8491" width="8.875" style="6"/>
    <col min="8492" max="8492" width="16" style="6" customWidth="1"/>
    <col min="8493" max="8493" width="13.75" style="6" customWidth="1"/>
    <col min="8494" max="8495" width="9.75" style="6" customWidth="1"/>
    <col min="8496" max="8744" width="8.875" style="6"/>
    <col min="8745" max="8745" width="12" style="6" customWidth="1"/>
    <col min="8746" max="8746" width="7.125" style="6" customWidth="1"/>
    <col min="8747" max="8747" width="8.875" style="6"/>
    <col min="8748" max="8748" width="16" style="6" customWidth="1"/>
    <col min="8749" max="8749" width="13.75" style="6" customWidth="1"/>
    <col min="8750" max="8751" width="9.75" style="6" customWidth="1"/>
    <col min="8752" max="9000" width="8.875" style="6"/>
    <col min="9001" max="9001" width="12" style="6" customWidth="1"/>
    <col min="9002" max="9002" width="7.125" style="6" customWidth="1"/>
    <col min="9003" max="9003" width="8.875" style="6"/>
    <col min="9004" max="9004" width="16" style="6" customWidth="1"/>
    <col min="9005" max="9005" width="13.75" style="6" customWidth="1"/>
    <col min="9006" max="9007" width="9.75" style="6" customWidth="1"/>
    <col min="9008" max="9256" width="8.875" style="6"/>
    <col min="9257" max="9257" width="12" style="6" customWidth="1"/>
    <col min="9258" max="9258" width="7.125" style="6" customWidth="1"/>
    <col min="9259" max="9259" width="8.875" style="6"/>
    <col min="9260" max="9260" width="16" style="6" customWidth="1"/>
    <col min="9261" max="9261" width="13.75" style="6" customWidth="1"/>
    <col min="9262" max="9263" width="9.75" style="6" customWidth="1"/>
    <col min="9264" max="9512" width="8.875" style="6"/>
    <col min="9513" max="9513" width="12" style="6" customWidth="1"/>
    <col min="9514" max="9514" width="7.125" style="6" customWidth="1"/>
    <col min="9515" max="9515" width="8.875" style="6"/>
    <col min="9516" max="9516" width="16" style="6" customWidth="1"/>
    <col min="9517" max="9517" width="13.75" style="6" customWidth="1"/>
    <col min="9518" max="9519" width="9.75" style="6" customWidth="1"/>
    <col min="9520" max="9768" width="8.875" style="6"/>
    <col min="9769" max="9769" width="12" style="6" customWidth="1"/>
    <col min="9770" max="9770" width="7.125" style="6" customWidth="1"/>
    <col min="9771" max="9771" width="8.875" style="6"/>
    <col min="9772" max="9772" width="16" style="6" customWidth="1"/>
    <col min="9773" max="9773" width="13.75" style="6" customWidth="1"/>
    <col min="9774" max="9775" width="9.75" style="6" customWidth="1"/>
    <col min="9776" max="10024" width="8.875" style="6"/>
    <col min="10025" max="10025" width="12" style="6" customWidth="1"/>
    <col min="10026" max="10026" width="7.125" style="6" customWidth="1"/>
    <col min="10027" max="10027" width="8.875" style="6"/>
    <col min="10028" max="10028" width="16" style="6" customWidth="1"/>
    <col min="10029" max="10029" width="13.75" style="6" customWidth="1"/>
    <col min="10030" max="10031" width="9.75" style="6" customWidth="1"/>
    <col min="10032" max="10280" width="8.875" style="6"/>
    <col min="10281" max="10281" width="12" style="6" customWidth="1"/>
    <col min="10282" max="10282" width="7.125" style="6" customWidth="1"/>
    <col min="10283" max="10283" width="8.875" style="6"/>
    <col min="10284" max="10284" width="16" style="6" customWidth="1"/>
    <col min="10285" max="10285" width="13.75" style="6" customWidth="1"/>
    <col min="10286" max="10287" width="9.75" style="6" customWidth="1"/>
    <col min="10288" max="10536" width="8.875" style="6"/>
    <col min="10537" max="10537" width="12" style="6" customWidth="1"/>
    <col min="10538" max="10538" width="7.125" style="6" customWidth="1"/>
    <col min="10539" max="10539" width="8.875" style="6"/>
    <col min="10540" max="10540" width="16" style="6" customWidth="1"/>
    <col min="10541" max="10541" width="13.75" style="6" customWidth="1"/>
    <col min="10542" max="10543" width="9.75" style="6" customWidth="1"/>
    <col min="10544" max="10792" width="8.875" style="6"/>
    <col min="10793" max="10793" width="12" style="6" customWidth="1"/>
    <col min="10794" max="10794" width="7.125" style="6" customWidth="1"/>
    <col min="10795" max="10795" width="8.875" style="6"/>
    <col min="10796" max="10796" width="16" style="6" customWidth="1"/>
    <col min="10797" max="10797" width="13.75" style="6" customWidth="1"/>
    <col min="10798" max="10799" width="9.75" style="6" customWidth="1"/>
    <col min="10800" max="11048" width="8.875" style="6"/>
    <col min="11049" max="11049" width="12" style="6" customWidth="1"/>
    <col min="11050" max="11050" width="7.125" style="6" customWidth="1"/>
    <col min="11051" max="11051" width="8.875" style="6"/>
    <col min="11052" max="11052" width="16" style="6" customWidth="1"/>
    <col min="11053" max="11053" width="13.75" style="6" customWidth="1"/>
    <col min="11054" max="11055" width="9.75" style="6" customWidth="1"/>
    <col min="11056" max="11304" width="8.875" style="6"/>
    <col min="11305" max="11305" width="12" style="6" customWidth="1"/>
    <col min="11306" max="11306" width="7.125" style="6" customWidth="1"/>
    <col min="11307" max="11307" width="8.875" style="6"/>
    <col min="11308" max="11308" width="16" style="6" customWidth="1"/>
    <col min="11309" max="11309" width="13.75" style="6" customWidth="1"/>
    <col min="11310" max="11311" width="9.75" style="6" customWidth="1"/>
    <col min="11312" max="11560" width="8.875" style="6"/>
    <col min="11561" max="11561" width="12" style="6" customWidth="1"/>
    <col min="11562" max="11562" width="7.125" style="6" customWidth="1"/>
    <col min="11563" max="11563" width="8.875" style="6"/>
    <col min="11564" max="11564" width="16" style="6" customWidth="1"/>
    <col min="11565" max="11565" width="13.75" style="6" customWidth="1"/>
    <col min="11566" max="11567" width="9.75" style="6" customWidth="1"/>
    <col min="11568" max="11816" width="8.875" style="6"/>
    <col min="11817" max="11817" width="12" style="6" customWidth="1"/>
    <col min="11818" max="11818" width="7.125" style="6" customWidth="1"/>
    <col min="11819" max="11819" width="8.875" style="6"/>
    <col min="11820" max="11820" width="16" style="6" customWidth="1"/>
    <col min="11821" max="11821" width="13.75" style="6" customWidth="1"/>
    <col min="11822" max="11823" width="9.75" style="6" customWidth="1"/>
    <col min="11824" max="12072" width="8.875" style="6"/>
    <col min="12073" max="12073" width="12" style="6" customWidth="1"/>
    <col min="12074" max="12074" width="7.125" style="6" customWidth="1"/>
    <col min="12075" max="12075" width="8.875" style="6"/>
    <col min="12076" max="12076" width="16" style="6" customWidth="1"/>
    <col min="12077" max="12077" width="13.75" style="6" customWidth="1"/>
    <col min="12078" max="12079" width="9.75" style="6" customWidth="1"/>
    <col min="12080" max="12328" width="8.875" style="6"/>
    <col min="12329" max="12329" width="12" style="6" customWidth="1"/>
    <col min="12330" max="12330" width="7.125" style="6" customWidth="1"/>
    <col min="12331" max="12331" width="8.875" style="6"/>
    <col min="12332" max="12332" width="16" style="6" customWidth="1"/>
    <col min="12333" max="12333" width="13.75" style="6" customWidth="1"/>
    <col min="12334" max="12335" width="9.75" style="6" customWidth="1"/>
    <col min="12336" max="12584" width="8.875" style="6"/>
    <col min="12585" max="12585" width="12" style="6" customWidth="1"/>
    <col min="12586" max="12586" width="7.125" style="6" customWidth="1"/>
    <col min="12587" max="12587" width="8.875" style="6"/>
    <col min="12588" max="12588" width="16" style="6" customWidth="1"/>
    <col min="12589" max="12589" width="13.75" style="6" customWidth="1"/>
    <col min="12590" max="12591" width="9.75" style="6" customWidth="1"/>
    <col min="12592" max="12840" width="8.875" style="6"/>
    <col min="12841" max="12841" width="12" style="6" customWidth="1"/>
    <col min="12842" max="12842" width="7.125" style="6" customWidth="1"/>
    <col min="12843" max="12843" width="8.875" style="6"/>
    <col min="12844" max="12844" width="16" style="6" customWidth="1"/>
    <col min="12845" max="12845" width="13.75" style="6" customWidth="1"/>
    <col min="12846" max="12847" width="9.75" style="6" customWidth="1"/>
    <col min="12848" max="13096" width="8.875" style="6"/>
    <col min="13097" max="13097" width="12" style="6" customWidth="1"/>
    <col min="13098" max="13098" width="7.125" style="6" customWidth="1"/>
    <col min="13099" max="13099" width="8.875" style="6"/>
    <col min="13100" max="13100" width="16" style="6" customWidth="1"/>
    <col min="13101" max="13101" width="13.75" style="6" customWidth="1"/>
    <col min="13102" max="13103" width="9.75" style="6" customWidth="1"/>
    <col min="13104" max="13352" width="8.875" style="6"/>
    <col min="13353" max="13353" width="12" style="6" customWidth="1"/>
    <col min="13354" max="13354" width="7.125" style="6" customWidth="1"/>
    <col min="13355" max="13355" width="8.875" style="6"/>
    <col min="13356" max="13356" width="16" style="6" customWidth="1"/>
    <col min="13357" max="13357" width="13.75" style="6" customWidth="1"/>
    <col min="13358" max="13359" width="9.75" style="6" customWidth="1"/>
    <col min="13360" max="13608" width="8.875" style="6"/>
    <col min="13609" max="13609" width="12" style="6" customWidth="1"/>
    <col min="13610" max="13610" width="7.125" style="6" customWidth="1"/>
    <col min="13611" max="13611" width="8.875" style="6"/>
    <col min="13612" max="13612" width="16" style="6" customWidth="1"/>
    <col min="13613" max="13613" width="13.75" style="6" customWidth="1"/>
    <col min="13614" max="13615" width="9.75" style="6" customWidth="1"/>
    <col min="13616" max="13864" width="8.875" style="6"/>
    <col min="13865" max="13865" width="12" style="6" customWidth="1"/>
    <col min="13866" max="13866" width="7.125" style="6" customWidth="1"/>
    <col min="13867" max="13867" width="8.875" style="6"/>
    <col min="13868" max="13868" width="16" style="6" customWidth="1"/>
    <col min="13869" max="13869" width="13.75" style="6" customWidth="1"/>
    <col min="13870" max="13871" width="9.75" style="6" customWidth="1"/>
    <col min="13872" max="14120" width="8.875" style="6"/>
    <col min="14121" max="14121" width="12" style="6" customWidth="1"/>
    <col min="14122" max="14122" width="7.125" style="6" customWidth="1"/>
    <col min="14123" max="14123" width="8.875" style="6"/>
    <col min="14124" max="14124" width="16" style="6" customWidth="1"/>
    <col min="14125" max="14125" width="13.75" style="6" customWidth="1"/>
    <col min="14126" max="14127" width="9.75" style="6" customWidth="1"/>
    <col min="14128" max="14376" width="8.875" style="6"/>
    <col min="14377" max="14377" width="12" style="6" customWidth="1"/>
    <col min="14378" max="14378" width="7.125" style="6" customWidth="1"/>
    <col min="14379" max="14379" width="8.875" style="6"/>
    <col min="14380" max="14380" width="16" style="6" customWidth="1"/>
    <col min="14381" max="14381" width="13.75" style="6" customWidth="1"/>
    <col min="14382" max="14383" width="9.75" style="6" customWidth="1"/>
    <col min="14384" max="14632" width="8.875" style="6"/>
    <col min="14633" max="14633" width="12" style="6" customWidth="1"/>
    <col min="14634" max="14634" width="7.125" style="6" customWidth="1"/>
    <col min="14635" max="14635" width="8.875" style="6"/>
    <col min="14636" max="14636" width="16" style="6" customWidth="1"/>
    <col min="14637" max="14637" width="13.75" style="6" customWidth="1"/>
    <col min="14638" max="14639" width="9.75" style="6" customWidth="1"/>
    <col min="14640" max="14888" width="8.875" style="6"/>
    <col min="14889" max="14889" width="12" style="6" customWidth="1"/>
    <col min="14890" max="14890" width="7.125" style="6" customWidth="1"/>
    <col min="14891" max="14891" width="8.875" style="6"/>
    <col min="14892" max="14892" width="16" style="6" customWidth="1"/>
    <col min="14893" max="14893" width="13.75" style="6" customWidth="1"/>
    <col min="14894" max="14895" width="9.75" style="6" customWidth="1"/>
    <col min="14896" max="15144" width="8.875" style="6"/>
    <col min="15145" max="15145" width="12" style="6" customWidth="1"/>
    <col min="15146" max="15146" width="7.125" style="6" customWidth="1"/>
    <col min="15147" max="15147" width="8.875" style="6"/>
    <col min="15148" max="15148" width="16" style="6" customWidth="1"/>
    <col min="15149" max="15149" width="13.75" style="6" customWidth="1"/>
    <col min="15150" max="15151" width="9.75" style="6" customWidth="1"/>
    <col min="15152" max="15400" width="8.875" style="6"/>
    <col min="15401" max="15401" width="12" style="6" customWidth="1"/>
    <col min="15402" max="15402" width="7.125" style="6" customWidth="1"/>
    <col min="15403" max="15403" width="8.875" style="6"/>
    <col min="15404" max="15404" width="16" style="6" customWidth="1"/>
    <col min="15405" max="15405" width="13.75" style="6" customWidth="1"/>
    <col min="15406" max="15407" width="9.75" style="6" customWidth="1"/>
    <col min="15408" max="15656" width="8.875" style="6"/>
    <col min="15657" max="15657" width="12" style="6" customWidth="1"/>
    <col min="15658" max="15658" width="7.125" style="6" customWidth="1"/>
    <col min="15659" max="15659" width="8.875" style="6"/>
    <col min="15660" max="15660" width="16" style="6" customWidth="1"/>
    <col min="15661" max="15661" width="13.75" style="6" customWidth="1"/>
    <col min="15662" max="15663" width="9.75" style="6" customWidth="1"/>
    <col min="15664" max="15912" width="8.875" style="6"/>
    <col min="15913" max="15913" width="12" style="6" customWidth="1"/>
    <col min="15914" max="15914" width="7.125" style="6" customWidth="1"/>
    <col min="15915" max="15915" width="8.875" style="6"/>
    <col min="15916" max="15916" width="16" style="6" customWidth="1"/>
    <col min="15917" max="15917" width="13.75" style="6" customWidth="1"/>
    <col min="15918" max="15919" width="9.75" style="6" customWidth="1"/>
    <col min="15920" max="16168" width="8.875" style="6"/>
    <col min="16169" max="16169" width="12" style="6" customWidth="1"/>
    <col min="16170" max="16170" width="7.125" style="6" customWidth="1"/>
    <col min="16171" max="16171" width="8.875" style="6"/>
    <col min="16172" max="16172" width="16" style="6" customWidth="1"/>
    <col min="16173" max="16173" width="13.75" style="6" customWidth="1"/>
    <col min="16174" max="16175" width="9.75" style="6" customWidth="1"/>
    <col min="16176" max="16384" width="8.875" style="6"/>
  </cols>
  <sheetData>
    <row r="1" spans="1:53" s="2" customFormat="1" ht="23.25" customHeight="1" thickBot="1">
      <c r="A1" s="1" t="e">
        <f>IF(SUM(2:2)=0,"OK","NOK")</f>
        <v>#DIV/0!</v>
      </c>
      <c r="F1" s="43" t="s">
        <v>5400</v>
      </c>
      <c r="G1" s="1085" t="s">
        <v>355</v>
      </c>
      <c r="H1" s="1086"/>
      <c r="I1" s="1085" t="s">
        <v>356</v>
      </c>
      <c r="J1" s="1086"/>
      <c r="K1" s="1085" t="s">
        <v>5403</v>
      </c>
      <c r="L1" s="1086"/>
      <c r="M1" s="1085" t="s">
        <v>5404</v>
      </c>
      <c r="N1" s="1086"/>
      <c r="O1" s="1085" t="s">
        <v>5405</v>
      </c>
      <c r="P1" s="1086"/>
      <c r="Q1" s="1085" t="s">
        <v>5406</v>
      </c>
      <c r="R1" s="1086"/>
      <c r="S1" s="1085" t="s">
        <v>5407</v>
      </c>
      <c r="T1" s="1086"/>
      <c r="U1" s="1085" t="s">
        <v>5408</v>
      </c>
      <c r="V1" s="1086"/>
      <c r="W1" s="1085" t="s">
        <v>5409</v>
      </c>
      <c r="X1" s="1086"/>
      <c r="Y1" s="1085" t="s">
        <v>5410</v>
      </c>
      <c r="Z1" s="1086"/>
      <c r="AA1" s="1085" t="s">
        <v>5411</v>
      </c>
      <c r="AB1" s="1086"/>
      <c r="AC1" s="1085" t="s">
        <v>5412</v>
      </c>
      <c r="AD1" s="1086"/>
      <c r="AE1" s="1085" t="s">
        <v>5413</v>
      </c>
      <c r="AF1" s="1086"/>
      <c r="AG1" s="1085" t="s">
        <v>5415</v>
      </c>
      <c r="AH1" s="1086"/>
      <c r="AI1" s="1085" t="s">
        <v>5416</v>
      </c>
      <c r="AJ1" s="1086"/>
      <c r="AK1" s="1085" t="s">
        <v>5417</v>
      </c>
      <c r="AL1" s="1086"/>
      <c r="AM1" s="1085" t="s">
        <v>5418</v>
      </c>
      <c r="AN1" s="1086"/>
      <c r="AO1" s="1085" t="s">
        <v>5430</v>
      </c>
      <c r="AP1" s="1086"/>
      <c r="AQ1" s="1085" t="s">
        <v>8841</v>
      </c>
      <c r="AR1" s="1086"/>
      <c r="AS1" s="1085" t="s">
        <v>8843</v>
      </c>
      <c r="AT1" s="1086"/>
      <c r="AU1" s="1085" t="s">
        <v>8289</v>
      </c>
      <c r="AV1" s="1086"/>
      <c r="AW1" s="44"/>
      <c r="AX1" s="48" t="s">
        <v>10</v>
      </c>
    </row>
    <row r="2" spans="1:53" ht="13.5" thickBot="1">
      <c r="A2" s="3"/>
      <c r="B2" s="3"/>
      <c r="C2" s="3"/>
      <c r="D2" s="3"/>
      <c r="E2" s="3"/>
      <c r="F2" s="2"/>
      <c r="G2" s="4" t="s">
        <v>0</v>
      </c>
      <c r="H2" s="5">
        <f>SUMX2MY2(G5:G5000,H5:H5000)</f>
        <v>0</v>
      </c>
      <c r="I2" s="4" t="s">
        <v>0</v>
      </c>
      <c r="J2" s="5">
        <f>SUMX2MY2(I5:I5000,J5:J5000)</f>
        <v>1.4331186445019739E-2</v>
      </c>
      <c r="K2" s="4" t="s">
        <v>0</v>
      </c>
      <c r="L2" s="5" t="e">
        <f>SUMX2MY2(K5:K5000,L5:L5000)</f>
        <v>#DIV/0!</v>
      </c>
      <c r="M2" s="4" t="s">
        <v>0</v>
      </c>
      <c r="N2" s="5" t="e">
        <f>SUMX2MY2(M5:M5000,N5:N5000)</f>
        <v>#DIV/0!</v>
      </c>
      <c r="O2" s="4" t="s">
        <v>0</v>
      </c>
      <c r="P2" s="5" t="e">
        <f>SUMX2MY2(O5:O5000,P5:P5000)</f>
        <v>#DIV/0!</v>
      </c>
      <c r="Q2" s="4" t="s">
        <v>0</v>
      </c>
      <c r="R2" s="5" t="e">
        <f>SUMX2MY2(Q5:Q5000,R5:R5000)</f>
        <v>#DIV/0!</v>
      </c>
      <c r="S2" s="4" t="s">
        <v>0</v>
      </c>
      <c r="T2" s="5" t="e">
        <f>SUMX2MY2(S5:S5000,T5:T5000)</f>
        <v>#DIV/0!</v>
      </c>
      <c r="U2" s="4" t="s">
        <v>0</v>
      </c>
      <c r="V2" s="5" t="e">
        <f>SUMX2MY2(U5:U5000,V5:V5000)</f>
        <v>#DIV/0!</v>
      </c>
      <c r="W2" s="4" t="s">
        <v>0</v>
      </c>
      <c r="X2" s="5" t="e">
        <f>SUMX2MY2(W5:W5000,X5:X5000)</f>
        <v>#DIV/0!</v>
      </c>
      <c r="Y2" s="4" t="s">
        <v>0</v>
      </c>
      <c r="Z2" s="5" t="e">
        <f>SUMX2MY2(Y5:Y5000,Z5:Z5000)</f>
        <v>#DIV/0!</v>
      </c>
      <c r="AA2" s="4" t="s">
        <v>0</v>
      </c>
      <c r="AB2" s="5">
        <f>SUMX2MY2(AA5:AA5000,AB5:AB5000)</f>
        <v>0</v>
      </c>
      <c r="AC2" s="4" t="s">
        <v>0</v>
      </c>
      <c r="AD2" s="5">
        <f>SUMX2MY2(AC5:AC5000,AD5:AD5000)</f>
        <v>0</v>
      </c>
      <c r="AE2" s="4" t="s">
        <v>0</v>
      </c>
      <c r="AF2" s="5">
        <f>SUMX2MY2(AE5:AE5000,AF5:AF5000)</f>
        <v>0</v>
      </c>
      <c r="AG2" s="4" t="s">
        <v>0</v>
      </c>
      <c r="AH2" s="5">
        <f>SUMX2MY2(AG5:AG5000,AH5:AH5000)</f>
        <v>0</v>
      </c>
      <c r="AI2" s="4" t="s">
        <v>0</v>
      </c>
      <c r="AJ2" s="5">
        <f>SUMX2MY2(AI5:AI5000,AJ5:AJ5000)</f>
        <v>0</v>
      </c>
      <c r="AK2" s="4" t="s">
        <v>0</v>
      </c>
      <c r="AL2" s="5">
        <f>SUMX2MY2(AK5:AK5000,AL5:AL5000)</f>
        <v>0</v>
      </c>
      <c r="AM2" s="4" t="s">
        <v>0</v>
      </c>
      <c r="AN2" s="5">
        <f>SUMX2MY2(AM5:AM5000,AN5:AN5000)</f>
        <v>0</v>
      </c>
      <c r="AO2" s="4" t="s">
        <v>0</v>
      </c>
      <c r="AP2" s="5">
        <f>SUMX2MY2(AO5:AO5000,AP5:AP5000)</f>
        <v>0</v>
      </c>
      <c r="AQ2" s="4" t="s">
        <v>0</v>
      </c>
      <c r="AR2" s="5" t="e">
        <f>SUMX2MY2(AQ5:AQ5000,AR5:AR5000)</f>
        <v>#DIV/0!</v>
      </c>
      <c r="AS2" s="567" t="s">
        <v>0</v>
      </c>
      <c r="AT2" s="183" t="e">
        <f>SUMX2MY2(AS5:AS5000,AT5:AT5000)</f>
        <v>#DIV/0!</v>
      </c>
      <c r="AU2" s="567" t="s">
        <v>0</v>
      </c>
      <c r="AV2" s="183">
        <f>SUMX2MY2(AU5:AU5000,AV5:AV5000)</f>
        <v>3.9048056818428449</v>
      </c>
    </row>
    <row r="3" spans="1:53" ht="27.75" customHeight="1">
      <c r="A3" s="35" t="s">
        <v>1</v>
      </c>
      <c r="B3" s="36" t="s">
        <v>2</v>
      </c>
      <c r="C3" s="36" t="s">
        <v>3</v>
      </c>
      <c r="D3" s="36" t="s">
        <v>4</v>
      </c>
      <c r="E3" s="1087" t="s">
        <v>7</v>
      </c>
      <c r="F3" s="1088"/>
      <c r="G3" s="7" t="s">
        <v>5</v>
      </c>
      <c r="H3" s="8" t="s">
        <v>6</v>
      </c>
      <c r="I3" s="7" t="s">
        <v>5</v>
      </c>
      <c r="J3" s="8" t="s">
        <v>6</v>
      </c>
      <c r="K3" s="7" t="s">
        <v>5</v>
      </c>
      <c r="L3" s="8" t="s">
        <v>6</v>
      </c>
      <c r="M3" s="7" t="s">
        <v>5</v>
      </c>
      <c r="N3" s="8" t="s">
        <v>6</v>
      </c>
      <c r="O3" s="7" t="s">
        <v>5</v>
      </c>
      <c r="P3" s="8" t="s">
        <v>6</v>
      </c>
      <c r="Q3" s="7" t="s">
        <v>5</v>
      </c>
      <c r="R3" s="8" t="s">
        <v>6</v>
      </c>
      <c r="S3" s="7" t="s">
        <v>5</v>
      </c>
      <c r="T3" s="8" t="s">
        <v>6</v>
      </c>
      <c r="U3" s="7" t="s">
        <v>5</v>
      </c>
      <c r="V3" s="8" t="s">
        <v>6</v>
      </c>
      <c r="W3" s="7" t="s">
        <v>5</v>
      </c>
      <c r="X3" s="8" t="s">
        <v>6</v>
      </c>
      <c r="Y3" s="7" t="s">
        <v>5</v>
      </c>
      <c r="Z3" s="8" t="s">
        <v>6</v>
      </c>
      <c r="AA3" s="7" t="s">
        <v>5</v>
      </c>
      <c r="AB3" s="8" t="s">
        <v>6</v>
      </c>
      <c r="AC3" s="7" t="s">
        <v>5</v>
      </c>
      <c r="AD3" s="8" t="s">
        <v>6</v>
      </c>
      <c r="AE3" s="7" t="s">
        <v>5</v>
      </c>
      <c r="AF3" s="8" t="s">
        <v>6</v>
      </c>
      <c r="AG3" s="7" t="s">
        <v>5</v>
      </c>
      <c r="AH3" s="8" t="s">
        <v>6</v>
      </c>
      <c r="AI3" s="7" t="s">
        <v>5</v>
      </c>
      <c r="AJ3" s="8" t="s">
        <v>6</v>
      </c>
      <c r="AK3" s="7" t="s">
        <v>5</v>
      </c>
      <c r="AL3" s="8" t="s">
        <v>6</v>
      </c>
      <c r="AM3" s="7" t="s">
        <v>5</v>
      </c>
      <c r="AN3" s="8" t="s">
        <v>6</v>
      </c>
      <c r="AO3" s="7" t="s">
        <v>5</v>
      </c>
      <c r="AP3" s="8" t="s">
        <v>6</v>
      </c>
      <c r="AQ3" s="7" t="s">
        <v>5</v>
      </c>
      <c r="AR3" s="8" t="s">
        <v>6</v>
      </c>
      <c r="AS3" s="568" t="s">
        <v>5</v>
      </c>
      <c r="AT3" s="569" t="s">
        <v>6</v>
      </c>
      <c r="AU3" s="568" t="s">
        <v>5</v>
      </c>
      <c r="AV3" s="569" t="s">
        <v>6</v>
      </c>
    </row>
    <row r="4" spans="1:53" ht="15.75" customHeight="1" thickBot="1">
      <c r="A4" s="34"/>
      <c r="B4" s="33"/>
      <c r="C4" s="33"/>
      <c r="D4" s="33"/>
      <c r="E4" s="41" t="s">
        <v>9</v>
      </c>
      <c r="F4" s="42" t="s">
        <v>8</v>
      </c>
      <c r="G4" s="38">
        <v>0</v>
      </c>
      <c r="H4" s="39">
        <v>0</v>
      </c>
      <c r="I4" s="38">
        <v>0</v>
      </c>
      <c r="J4" s="39">
        <v>0</v>
      </c>
      <c r="K4" s="38">
        <v>0</v>
      </c>
      <c r="L4" s="39">
        <v>0</v>
      </c>
      <c r="M4" s="38">
        <v>0</v>
      </c>
      <c r="N4" s="39">
        <v>0</v>
      </c>
      <c r="O4" s="38">
        <v>0</v>
      </c>
      <c r="P4" s="39">
        <v>0</v>
      </c>
      <c r="Q4" s="38">
        <v>0</v>
      </c>
      <c r="R4" s="39">
        <v>0</v>
      </c>
      <c r="S4" s="38">
        <v>0</v>
      </c>
      <c r="T4" s="39">
        <v>0</v>
      </c>
      <c r="U4" s="38">
        <v>0</v>
      </c>
      <c r="V4" s="39">
        <v>0</v>
      </c>
      <c r="W4" s="38">
        <v>0</v>
      </c>
      <c r="X4" s="39">
        <v>0</v>
      </c>
      <c r="Y4" s="38">
        <v>0</v>
      </c>
      <c r="Z4" s="39">
        <v>0</v>
      </c>
      <c r="AA4" s="38">
        <v>0</v>
      </c>
      <c r="AB4" s="39">
        <v>0</v>
      </c>
      <c r="AC4" s="38">
        <v>0</v>
      </c>
      <c r="AD4" s="39">
        <v>0</v>
      </c>
      <c r="AE4" s="38">
        <v>0</v>
      </c>
      <c r="AF4" s="39">
        <v>0</v>
      </c>
      <c r="AG4" s="38">
        <v>0</v>
      </c>
      <c r="AH4" s="39">
        <v>0</v>
      </c>
      <c r="AI4" s="38">
        <v>0</v>
      </c>
      <c r="AJ4" s="39">
        <v>0</v>
      </c>
      <c r="AK4" s="38">
        <v>0</v>
      </c>
      <c r="AL4" s="39">
        <v>0</v>
      </c>
      <c r="AM4" s="38">
        <v>0</v>
      </c>
      <c r="AN4" s="39">
        <v>0</v>
      </c>
      <c r="AO4" s="38">
        <v>0</v>
      </c>
      <c r="AP4" s="39">
        <v>0</v>
      </c>
      <c r="AQ4" s="38">
        <v>0</v>
      </c>
      <c r="AR4" s="39">
        <v>0</v>
      </c>
      <c r="AS4" s="575">
        <v>0</v>
      </c>
      <c r="AT4" s="576">
        <v>0</v>
      </c>
      <c r="AU4" s="575">
        <v>0</v>
      </c>
      <c r="AV4" s="576">
        <v>0</v>
      </c>
      <c r="AX4" s="828" t="s">
        <v>10518</v>
      </c>
      <c r="AY4" s="829" t="s">
        <v>10519</v>
      </c>
      <c r="AZ4" s="829" t="s">
        <v>10520</v>
      </c>
      <c r="BA4" s="836" t="s">
        <v>10521</v>
      </c>
    </row>
    <row r="5" spans="1:53">
      <c r="A5" s="201" t="s">
        <v>9069</v>
      </c>
      <c r="B5" s="15"/>
      <c r="C5" s="16"/>
      <c r="D5" s="17"/>
      <c r="E5" s="12"/>
      <c r="F5" s="18" t="s">
        <v>5469</v>
      </c>
      <c r="G5" s="19">
        <v>4.2670000000000003</v>
      </c>
      <c r="H5" s="13">
        <v>4.2670000000000003</v>
      </c>
      <c r="I5" s="19">
        <v>24.056000000000001</v>
      </c>
      <c r="J5" s="13">
        <f>BA5</f>
        <v>24.055992267102255</v>
      </c>
      <c r="K5" s="19">
        <v>2.2000000000000002</v>
      </c>
      <c r="L5" s="13"/>
      <c r="M5" s="19">
        <v>3.5</v>
      </c>
      <c r="N5" s="13"/>
      <c r="O5" s="19">
        <v>0.26</v>
      </c>
      <c r="P5" s="13"/>
      <c r="Q5" s="19">
        <v>201325</v>
      </c>
      <c r="R5" s="13"/>
      <c r="S5" s="19">
        <v>51325</v>
      </c>
      <c r="T5" s="13"/>
      <c r="U5" s="19">
        <v>10000</v>
      </c>
      <c r="V5" s="13"/>
      <c r="W5" s="19">
        <v>12000</v>
      </c>
      <c r="X5" s="13"/>
      <c r="Y5" s="19">
        <v>360</v>
      </c>
      <c r="Z5" s="13"/>
      <c r="AA5" s="19">
        <v>9.9999999999999995E-8</v>
      </c>
      <c r="AB5" s="13">
        <v>9.9999999999999995E-8</v>
      </c>
      <c r="AC5" s="19">
        <v>403.15</v>
      </c>
      <c r="AD5" s="13">
        <v>403.15</v>
      </c>
      <c r="AE5" s="19">
        <v>333.15</v>
      </c>
      <c r="AF5" s="13">
        <v>333.15</v>
      </c>
      <c r="AG5" s="19">
        <v>25000</v>
      </c>
      <c r="AH5" s="13">
        <v>25000</v>
      </c>
      <c r="AI5" s="19">
        <v>11</v>
      </c>
      <c r="AJ5" s="13">
        <v>11</v>
      </c>
      <c r="AK5" s="19">
        <v>10</v>
      </c>
      <c r="AL5" s="13">
        <v>10</v>
      </c>
      <c r="AM5" s="19">
        <v>1500</v>
      </c>
      <c r="AN5" s="13">
        <v>1500</v>
      </c>
      <c r="AO5" s="19">
        <v>0.2</v>
      </c>
      <c r="AP5" s="13">
        <v>0.2</v>
      </c>
      <c r="AQ5" s="19">
        <v>399.64137764205799</v>
      </c>
      <c r="AR5" s="13"/>
      <c r="AS5" s="614">
        <v>979977.93494531699</v>
      </c>
      <c r="AT5" s="460"/>
      <c r="AU5" s="783">
        <v>344.00011058023898</v>
      </c>
      <c r="AV5" s="460">
        <v>344</v>
      </c>
      <c r="AX5" s="828">
        <v>344</v>
      </c>
      <c r="AY5" s="831">
        <v>4.2670000000000003</v>
      </c>
      <c r="AZ5" s="831">
        <v>26.387</v>
      </c>
      <c r="BA5" s="836">
        <f>AX5*4/PI()/AY5/AY5</f>
        <v>24.055992267102255</v>
      </c>
    </row>
    <row r="6" spans="1:53">
      <c r="A6" s="201" t="s">
        <v>9069</v>
      </c>
      <c r="B6" s="10"/>
      <c r="C6" s="11"/>
      <c r="D6" s="12"/>
      <c r="E6" s="12"/>
      <c r="F6" s="18" t="s">
        <v>5468</v>
      </c>
      <c r="G6" s="19">
        <v>4.2670000000000003</v>
      </c>
      <c r="H6" s="13">
        <v>4.2670000000000003</v>
      </c>
      <c r="I6" s="19">
        <v>24.056000000000001</v>
      </c>
      <c r="J6" s="460">
        <f t="shared" ref="J6:J7" si="0">BA6</f>
        <v>24.055992267102255</v>
      </c>
      <c r="K6" s="19">
        <v>2.2000000000000002</v>
      </c>
      <c r="L6" s="13"/>
      <c r="M6" s="19">
        <v>3.5</v>
      </c>
      <c r="N6" s="13"/>
      <c r="O6" s="19">
        <v>0.26</v>
      </c>
      <c r="P6" s="13"/>
      <c r="Q6" s="19">
        <v>201325</v>
      </c>
      <c r="R6" s="13"/>
      <c r="S6" s="19">
        <v>51325</v>
      </c>
      <c r="T6" s="13"/>
      <c r="U6" s="19">
        <v>10000</v>
      </c>
      <c r="V6" s="13"/>
      <c r="W6" s="19">
        <v>12000</v>
      </c>
      <c r="X6" s="13"/>
      <c r="Y6" s="19">
        <v>360</v>
      </c>
      <c r="Z6" s="13"/>
      <c r="AA6" s="19">
        <v>9.9999999999999995E-8</v>
      </c>
      <c r="AB6" s="13">
        <v>9.9999999999999995E-8</v>
      </c>
      <c r="AC6" s="19">
        <v>403.15</v>
      </c>
      <c r="AD6" s="13">
        <v>403.15</v>
      </c>
      <c r="AE6" s="19">
        <v>333.15</v>
      </c>
      <c r="AF6" s="13">
        <v>333.15</v>
      </c>
      <c r="AG6" s="19">
        <v>25000</v>
      </c>
      <c r="AH6" s="13">
        <v>25000</v>
      </c>
      <c r="AI6" s="19">
        <v>11</v>
      </c>
      <c r="AJ6" s="13">
        <v>11</v>
      </c>
      <c r="AK6" s="19">
        <v>10</v>
      </c>
      <c r="AL6" s="13">
        <v>10</v>
      </c>
      <c r="AM6" s="19">
        <v>1500</v>
      </c>
      <c r="AN6" s="13">
        <v>1500</v>
      </c>
      <c r="AO6" s="19">
        <v>0.2</v>
      </c>
      <c r="AP6" s="13">
        <v>0.2</v>
      </c>
      <c r="AQ6" s="19">
        <v>399.54467819182099</v>
      </c>
      <c r="AR6" s="13"/>
      <c r="AS6" s="614">
        <v>979973.177191864</v>
      </c>
      <c r="AT6" s="460"/>
      <c r="AU6" s="783">
        <v>344.00011058023898</v>
      </c>
      <c r="AV6" s="460">
        <v>344</v>
      </c>
      <c r="AX6" s="828">
        <v>344</v>
      </c>
      <c r="AY6" s="831">
        <v>4.2670000000000003</v>
      </c>
      <c r="AZ6" s="831">
        <v>26.387</v>
      </c>
      <c r="BA6" s="836">
        <f t="shared" ref="BA6:BA7" si="1">AX6*4/PI()/AY6/AY6</f>
        <v>24.055992267102255</v>
      </c>
    </row>
    <row r="7" spans="1:53">
      <c r="A7" s="201" t="s">
        <v>9070</v>
      </c>
      <c r="B7" s="10"/>
      <c r="C7" s="11"/>
      <c r="D7" s="12"/>
      <c r="E7" s="12"/>
      <c r="F7" s="18" t="s">
        <v>5467</v>
      </c>
      <c r="G7" s="19">
        <v>4.5999999999999996</v>
      </c>
      <c r="H7" s="13">
        <v>4.5999999999999996</v>
      </c>
      <c r="I7" s="19">
        <v>22.986000000000001</v>
      </c>
      <c r="J7" s="460">
        <f t="shared" si="0"/>
        <v>22.985704446542165</v>
      </c>
      <c r="K7" s="19">
        <v>2</v>
      </c>
      <c r="L7" s="13"/>
      <c r="M7" s="19">
        <v>3.2</v>
      </c>
      <c r="N7" s="13"/>
      <c r="O7" s="19">
        <v>0.26</v>
      </c>
      <c r="P7" s="13"/>
      <c r="Q7" s="19">
        <v>101325</v>
      </c>
      <c r="R7" s="13"/>
      <c r="S7" s="19">
        <v>51325</v>
      </c>
      <c r="T7" s="13"/>
      <c r="U7" s="19">
        <v>10000</v>
      </c>
      <c r="V7" s="13"/>
      <c r="W7" s="19">
        <v>12000</v>
      </c>
      <c r="X7" s="13"/>
      <c r="Y7" s="19">
        <v>360</v>
      </c>
      <c r="Z7" s="13"/>
      <c r="AA7" s="19">
        <v>9.9999999999999995E-8</v>
      </c>
      <c r="AB7" s="13">
        <v>9.9999999999999995E-8</v>
      </c>
      <c r="AC7" s="19">
        <v>403.15</v>
      </c>
      <c r="AD7" s="13">
        <v>403.15</v>
      </c>
      <c r="AE7" s="19">
        <v>333.15</v>
      </c>
      <c r="AF7" s="13">
        <v>333.15</v>
      </c>
      <c r="AG7" s="19">
        <v>25000</v>
      </c>
      <c r="AH7" s="13">
        <v>25000</v>
      </c>
      <c r="AI7" s="19">
        <v>10</v>
      </c>
      <c r="AJ7" s="13">
        <v>10</v>
      </c>
      <c r="AK7" s="19">
        <v>10</v>
      </c>
      <c r="AL7" s="13">
        <v>10</v>
      </c>
      <c r="AM7" s="19">
        <v>1500</v>
      </c>
      <c r="AN7" s="13">
        <v>1500</v>
      </c>
      <c r="AO7" s="19">
        <v>0.2</v>
      </c>
      <c r="AP7" s="13">
        <v>0.2</v>
      </c>
      <c r="AQ7" s="19">
        <v>394.40727578683402</v>
      </c>
      <c r="AR7" s="13"/>
      <c r="AS7" s="614">
        <v>890218.86155355803</v>
      </c>
      <c r="AT7" s="460"/>
      <c r="AU7" s="783">
        <v>382.00491181037</v>
      </c>
      <c r="AV7" s="460">
        <v>382</v>
      </c>
      <c r="AX7" s="828">
        <v>382</v>
      </c>
      <c r="AY7" s="831">
        <v>4.5999999999999996</v>
      </c>
      <c r="AZ7" s="831">
        <v>24.5</v>
      </c>
      <c r="BA7" s="836">
        <f t="shared" si="1"/>
        <v>22.985704446542165</v>
      </c>
    </row>
    <row r="8" spans="1:53">
      <c r="A8" s="14"/>
      <c r="B8" s="15"/>
      <c r="C8" s="16"/>
      <c r="D8" s="17"/>
      <c r="E8" s="12"/>
      <c r="F8" s="18"/>
      <c r="G8" s="19"/>
      <c r="H8" s="13"/>
      <c r="I8" s="19"/>
      <c r="J8" s="13"/>
      <c r="K8" s="19"/>
      <c r="L8" s="13"/>
      <c r="M8" s="19"/>
      <c r="N8" s="13"/>
      <c r="O8" s="19"/>
      <c r="P8" s="13"/>
      <c r="Q8" s="19"/>
      <c r="R8" s="13"/>
      <c r="S8" s="19"/>
      <c r="T8" s="13"/>
      <c r="U8" s="19"/>
      <c r="V8" s="13"/>
      <c r="W8" s="19"/>
      <c r="X8" s="13"/>
      <c r="Y8" s="19"/>
      <c r="Z8" s="13"/>
      <c r="AA8" s="19"/>
      <c r="AB8" s="13"/>
      <c r="AC8" s="19"/>
      <c r="AD8" s="13"/>
      <c r="AE8" s="19"/>
      <c r="AF8" s="13"/>
      <c r="AG8" s="19"/>
      <c r="AH8" s="13"/>
      <c r="AI8" s="19"/>
      <c r="AJ8" s="13"/>
      <c r="AK8" s="19"/>
      <c r="AL8" s="13"/>
      <c r="AM8" s="19"/>
      <c r="AN8" s="13"/>
      <c r="AO8" s="19"/>
      <c r="AP8" s="13"/>
      <c r="AQ8" s="19"/>
      <c r="AR8" s="13"/>
      <c r="AS8" s="614"/>
      <c r="AT8" s="460"/>
      <c r="AU8" s="783"/>
      <c r="AV8" s="460"/>
    </row>
    <row r="9" spans="1:53">
      <c r="A9" s="14"/>
      <c r="B9" s="15"/>
      <c r="C9" s="16"/>
      <c r="D9" s="17"/>
      <c r="E9" s="12"/>
      <c r="F9" s="18"/>
      <c r="G9" s="19"/>
      <c r="H9" s="13"/>
      <c r="I9" s="19"/>
      <c r="J9" s="13"/>
      <c r="K9" s="19"/>
      <c r="L9" s="13"/>
      <c r="M9" s="19"/>
      <c r="N9" s="13"/>
      <c r="O9" s="19"/>
      <c r="P9" s="13"/>
      <c r="Q9" s="19"/>
      <c r="R9" s="13"/>
      <c r="S9" s="19"/>
      <c r="T9" s="13"/>
      <c r="U9" s="19"/>
      <c r="V9" s="13"/>
      <c r="W9" s="19"/>
      <c r="X9" s="13"/>
      <c r="Y9" s="19"/>
      <c r="Z9" s="13"/>
      <c r="AA9" s="19"/>
      <c r="AB9" s="13"/>
      <c r="AC9" s="19"/>
      <c r="AD9" s="13"/>
      <c r="AE9" s="19"/>
      <c r="AF9" s="13"/>
      <c r="AG9" s="19"/>
      <c r="AH9" s="13"/>
      <c r="AI9" s="19"/>
      <c r="AJ9" s="13"/>
      <c r="AK9" s="19"/>
      <c r="AL9" s="13"/>
      <c r="AM9" s="19"/>
      <c r="AN9" s="13"/>
      <c r="AO9" s="19"/>
      <c r="AP9" s="13"/>
      <c r="AQ9" s="19"/>
      <c r="AR9" s="13"/>
      <c r="AS9" s="614"/>
      <c r="AT9" s="460"/>
      <c r="AU9" s="783"/>
      <c r="AV9" s="460"/>
    </row>
    <row r="10" spans="1:53">
      <c r="A10" s="14"/>
      <c r="B10" s="15"/>
      <c r="C10" s="16"/>
      <c r="D10" s="17"/>
      <c r="E10" s="12"/>
      <c r="F10" s="18"/>
      <c r="G10" s="19"/>
      <c r="H10" s="13"/>
      <c r="I10" s="19"/>
      <c r="J10" s="13"/>
      <c r="K10" s="19"/>
      <c r="L10" s="13"/>
      <c r="M10" s="19"/>
      <c r="N10" s="13"/>
      <c r="O10" s="19"/>
      <c r="P10" s="13"/>
      <c r="Q10" s="19"/>
      <c r="R10" s="13"/>
      <c r="S10" s="19"/>
      <c r="T10" s="13"/>
      <c r="U10" s="19"/>
      <c r="V10" s="13"/>
      <c r="W10" s="19"/>
      <c r="X10" s="13"/>
      <c r="Y10" s="19"/>
      <c r="Z10" s="13"/>
      <c r="AA10" s="19"/>
      <c r="AB10" s="13"/>
      <c r="AC10" s="19"/>
      <c r="AD10" s="13"/>
      <c r="AE10" s="19"/>
      <c r="AF10" s="13"/>
      <c r="AG10" s="19"/>
      <c r="AH10" s="13"/>
      <c r="AI10" s="19"/>
      <c r="AJ10" s="13"/>
      <c r="AK10" s="19"/>
      <c r="AL10" s="13"/>
      <c r="AM10" s="19"/>
      <c r="AN10" s="13"/>
      <c r="AO10" s="19"/>
      <c r="AP10" s="13"/>
      <c r="AQ10" s="19"/>
      <c r="AR10" s="13"/>
      <c r="AS10" s="614"/>
      <c r="AT10" s="460"/>
      <c r="AU10" s="783"/>
      <c r="AV10" s="460"/>
    </row>
    <row r="11" spans="1:53">
      <c r="A11" s="14"/>
      <c r="B11" s="15"/>
      <c r="C11" s="16"/>
      <c r="D11" s="17"/>
      <c r="E11" s="12"/>
      <c r="F11" s="18"/>
      <c r="G11" s="19"/>
      <c r="H11" s="13"/>
      <c r="I11" s="19"/>
      <c r="J11" s="13"/>
      <c r="K11" s="19"/>
      <c r="L11" s="13"/>
      <c r="M11" s="19"/>
      <c r="N11" s="13"/>
      <c r="O11" s="19"/>
      <c r="P11" s="13"/>
      <c r="Q11" s="19"/>
      <c r="R11" s="13"/>
      <c r="S11" s="19"/>
      <c r="T11" s="13"/>
      <c r="U11" s="19"/>
      <c r="V11" s="13"/>
      <c r="W11" s="19"/>
      <c r="X11" s="13"/>
      <c r="Y11" s="19"/>
      <c r="Z11" s="13"/>
      <c r="AA11" s="19"/>
      <c r="AB11" s="13"/>
      <c r="AC11" s="19"/>
      <c r="AD11" s="13"/>
      <c r="AE11" s="19"/>
      <c r="AF11" s="13"/>
      <c r="AG11" s="19"/>
      <c r="AH11" s="13"/>
      <c r="AI11" s="19"/>
      <c r="AJ11" s="13"/>
      <c r="AK11" s="19"/>
      <c r="AL11" s="13"/>
      <c r="AM11" s="19"/>
      <c r="AN11" s="13"/>
      <c r="AO11" s="19"/>
      <c r="AP11" s="13"/>
      <c r="AQ11" s="19"/>
      <c r="AR11" s="13"/>
      <c r="AS11" s="614"/>
      <c r="AT11" s="460"/>
      <c r="AU11" s="783"/>
      <c r="AV11" s="460"/>
    </row>
    <row r="12" spans="1:53">
      <c r="A12" s="14"/>
      <c r="B12" s="15"/>
      <c r="C12" s="16"/>
      <c r="D12" s="17"/>
      <c r="E12" s="12"/>
      <c r="F12" s="18"/>
      <c r="G12" s="19"/>
      <c r="H12" s="13"/>
      <c r="I12" s="19"/>
      <c r="J12" s="13"/>
      <c r="K12" s="19"/>
      <c r="L12" s="13"/>
      <c r="M12" s="19"/>
      <c r="N12" s="13"/>
      <c r="O12" s="19"/>
      <c r="P12" s="13"/>
      <c r="Q12" s="19"/>
      <c r="R12" s="13"/>
      <c r="S12" s="19"/>
      <c r="T12" s="13"/>
      <c r="U12" s="19"/>
      <c r="V12" s="13"/>
      <c r="W12" s="19"/>
      <c r="X12" s="13"/>
      <c r="Y12" s="19"/>
      <c r="Z12" s="13"/>
      <c r="AA12" s="19"/>
      <c r="AB12" s="13"/>
      <c r="AC12" s="19"/>
      <c r="AD12" s="13"/>
      <c r="AE12" s="19"/>
      <c r="AF12" s="13"/>
      <c r="AG12" s="19"/>
      <c r="AH12" s="13"/>
      <c r="AI12" s="19"/>
      <c r="AJ12" s="13"/>
      <c r="AK12" s="19"/>
      <c r="AL12" s="13"/>
      <c r="AM12" s="19"/>
      <c r="AN12" s="13"/>
      <c r="AO12" s="19"/>
      <c r="AP12" s="13"/>
      <c r="AQ12" s="19"/>
      <c r="AR12" s="13"/>
      <c r="AS12" s="614"/>
      <c r="AT12" s="460"/>
      <c r="AU12" s="783"/>
      <c r="AV12" s="460"/>
    </row>
    <row r="13" spans="1:53">
      <c r="A13" s="14"/>
      <c r="B13" s="15"/>
      <c r="C13" s="16"/>
      <c r="D13" s="17"/>
      <c r="E13" s="12"/>
      <c r="F13" s="18"/>
      <c r="G13" s="19"/>
      <c r="H13" s="13"/>
      <c r="I13" s="19"/>
      <c r="J13" s="13"/>
      <c r="K13" s="19"/>
      <c r="L13" s="13"/>
      <c r="M13" s="19"/>
      <c r="N13" s="13"/>
      <c r="O13" s="19"/>
      <c r="P13" s="13"/>
      <c r="Q13" s="19"/>
      <c r="R13" s="13"/>
      <c r="S13" s="19"/>
      <c r="T13" s="13"/>
      <c r="U13" s="19"/>
      <c r="V13" s="13"/>
      <c r="W13" s="19"/>
      <c r="X13" s="13"/>
      <c r="Y13" s="19"/>
      <c r="Z13" s="13"/>
      <c r="AA13" s="19"/>
      <c r="AB13" s="13"/>
      <c r="AC13" s="19"/>
      <c r="AD13" s="13"/>
      <c r="AE13" s="19"/>
      <c r="AF13" s="13"/>
      <c r="AG13" s="19"/>
      <c r="AH13" s="13"/>
      <c r="AI13" s="19"/>
      <c r="AJ13" s="13"/>
      <c r="AK13" s="19"/>
      <c r="AL13" s="13"/>
      <c r="AM13" s="19"/>
      <c r="AN13" s="13"/>
      <c r="AO13" s="19"/>
      <c r="AP13" s="13"/>
      <c r="AQ13" s="19"/>
      <c r="AR13" s="13"/>
      <c r="AS13" s="614"/>
      <c r="AT13" s="460"/>
      <c r="AU13" s="783"/>
      <c r="AV13" s="460"/>
    </row>
    <row r="14" spans="1:53">
      <c r="A14" s="14"/>
      <c r="B14" s="15"/>
      <c r="C14" s="16"/>
      <c r="D14" s="17"/>
      <c r="E14" s="12"/>
      <c r="F14" s="18"/>
      <c r="G14" s="19"/>
      <c r="H14" s="13"/>
      <c r="I14" s="19"/>
      <c r="J14" s="13"/>
      <c r="K14" s="19"/>
      <c r="L14" s="13"/>
      <c r="M14" s="19"/>
      <c r="N14" s="13"/>
      <c r="O14" s="19"/>
      <c r="P14" s="13"/>
      <c r="Q14" s="19"/>
      <c r="R14" s="13"/>
      <c r="S14" s="19"/>
      <c r="T14" s="13"/>
      <c r="U14" s="19"/>
      <c r="V14" s="13"/>
      <c r="W14" s="19"/>
      <c r="X14" s="13"/>
      <c r="Y14" s="19"/>
      <c r="Z14" s="13"/>
      <c r="AA14" s="19"/>
      <c r="AB14" s="13"/>
      <c r="AC14" s="19"/>
      <c r="AD14" s="13"/>
      <c r="AE14" s="19"/>
      <c r="AF14" s="13"/>
      <c r="AG14" s="19"/>
      <c r="AH14" s="13"/>
      <c r="AI14" s="19"/>
      <c r="AJ14" s="13"/>
      <c r="AK14" s="19"/>
      <c r="AL14" s="13"/>
      <c r="AM14" s="19"/>
      <c r="AN14" s="13"/>
      <c r="AO14" s="19"/>
      <c r="AP14" s="13"/>
      <c r="AQ14" s="19"/>
      <c r="AR14" s="13"/>
      <c r="AS14" s="614"/>
      <c r="AT14" s="460"/>
      <c r="AU14" s="783"/>
      <c r="AV14" s="460"/>
    </row>
    <row r="15" spans="1:53">
      <c r="A15" s="14"/>
      <c r="B15" s="15"/>
      <c r="C15" s="16"/>
      <c r="D15" s="17"/>
      <c r="E15" s="12"/>
      <c r="F15" s="18"/>
      <c r="G15" s="19"/>
      <c r="H15" s="13"/>
      <c r="I15" s="19"/>
      <c r="J15" s="13"/>
      <c r="K15" s="19"/>
      <c r="L15" s="13"/>
      <c r="M15" s="19"/>
      <c r="N15" s="13"/>
      <c r="O15" s="19"/>
      <c r="P15" s="13"/>
      <c r="Q15" s="19"/>
      <c r="R15" s="13"/>
      <c r="S15" s="19"/>
      <c r="T15" s="13"/>
      <c r="U15" s="19"/>
      <c r="V15" s="13"/>
      <c r="W15" s="19"/>
      <c r="X15" s="13"/>
      <c r="Y15" s="19"/>
      <c r="Z15" s="13"/>
      <c r="AA15" s="19"/>
      <c r="AB15" s="13"/>
      <c r="AC15" s="19"/>
      <c r="AD15" s="13"/>
      <c r="AE15" s="19"/>
      <c r="AF15" s="13"/>
      <c r="AG15" s="19"/>
      <c r="AH15" s="13"/>
      <c r="AI15" s="19"/>
      <c r="AJ15" s="13"/>
      <c r="AK15" s="19"/>
      <c r="AL15" s="13"/>
      <c r="AM15" s="19"/>
      <c r="AN15" s="13"/>
      <c r="AO15" s="19"/>
      <c r="AP15" s="13"/>
      <c r="AQ15" s="19"/>
      <c r="AR15" s="13"/>
      <c r="AS15" s="614"/>
      <c r="AT15" s="460"/>
      <c r="AU15" s="783"/>
      <c r="AV15" s="460"/>
    </row>
    <row r="16" spans="1:53">
      <c r="A16" s="14"/>
      <c r="B16" s="15"/>
      <c r="C16" s="16"/>
      <c r="D16" s="17"/>
      <c r="E16" s="12"/>
      <c r="F16" s="18"/>
      <c r="G16" s="19"/>
      <c r="H16" s="13"/>
      <c r="I16" s="19"/>
      <c r="J16" s="13"/>
      <c r="K16" s="19"/>
      <c r="L16" s="13"/>
      <c r="M16" s="19"/>
      <c r="N16" s="13"/>
      <c r="O16" s="19"/>
      <c r="P16" s="13"/>
      <c r="Q16" s="19"/>
      <c r="R16" s="13"/>
      <c r="S16" s="19"/>
      <c r="T16" s="13"/>
      <c r="U16" s="19"/>
      <c r="V16" s="13"/>
      <c r="W16" s="19"/>
      <c r="X16" s="13"/>
      <c r="Y16" s="19"/>
      <c r="Z16" s="13"/>
      <c r="AA16" s="19"/>
      <c r="AB16" s="13"/>
      <c r="AC16" s="19"/>
      <c r="AD16" s="13"/>
      <c r="AE16" s="19"/>
      <c r="AF16" s="13"/>
      <c r="AG16" s="19"/>
      <c r="AH16" s="13"/>
      <c r="AI16" s="19"/>
      <c r="AJ16" s="13"/>
      <c r="AK16" s="19"/>
      <c r="AL16" s="13"/>
      <c r="AM16" s="19"/>
      <c r="AN16" s="13"/>
      <c r="AO16" s="19"/>
      <c r="AP16" s="13"/>
      <c r="AQ16" s="19"/>
      <c r="AR16" s="13"/>
      <c r="AS16" s="614"/>
      <c r="AT16" s="460"/>
      <c r="AU16" s="783"/>
      <c r="AV16" s="460"/>
    </row>
    <row r="17" spans="1:48">
      <c r="A17" s="14"/>
      <c r="B17" s="15"/>
      <c r="C17" s="16"/>
      <c r="D17" s="17"/>
      <c r="E17" s="12"/>
      <c r="F17" s="18"/>
      <c r="G17" s="19"/>
      <c r="H17" s="13"/>
      <c r="I17" s="19"/>
      <c r="J17" s="13"/>
      <c r="K17" s="19"/>
      <c r="L17" s="13"/>
      <c r="M17" s="19"/>
      <c r="N17" s="13"/>
      <c r="O17" s="19"/>
      <c r="P17" s="13"/>
      <c r="Q17" s="19"/>
      <c r="R17" s="13"/>
      <c r="S17" s="19"/>
      <c r="T17" s="13"/>
      <c r="U17" s="19"/>
      <c r="V17" s="13"/>
      <c r="W17" s="19"/>
      <c r="X17" s="13"/>
      <c r="Y17" s="19"/>
      <c r="Z17" s="13"/>
      <c r="AA17" s="19"/>
      <c r="AB17" s="13"/>
      <c r="AC17" s="19"/>
      <c r="AD17" s="13"/>
      <c r="AE17" s="19"/>
      <c r="AF17" s="13"/>
      <c r="AG17" s="19"/>
      <c r="AH17" s="13"/>
      <c r="AI17" s="19"/>
      <c r="AJ17" s="13"/>
      <c r="AK17" s="19"/>
      <c r="AL17" s="13"/>
      <c r="AM17" s="19"/>
      <c r="AN17" s="13"/>
      <c r="AO17" s="19"/>
      <c r="AP17" s="13"/>
      <c r="AQ17" s="19"/>
      <c r="AR17" s="13"/>
      <c r="AS17" s="614"/>
      <c r="AT17" s="460"/>
      <c r="AU17" s="783"/>
      <c r="AV17" s="460"/>
    </row>
    <row r="18" spans="1:48">
      <c r="A18" s="14"/>
      <c r="B18" s="15"/>
      <c r="C18" s="16"/>
      <c r="D18" s="17"/>
      <c r="E18" s="12"/>
      <c r="F18" s="18"/>
      <c r="G18" s="19"/>
      <c r="H18" s="13"/>
      <c r="I18" s="19"/>
      <c r="J18" s="13"/>
      <c r="K18" s="19"/>
      <c r="L18" s="13"/>
      <c r="M18" s="19"/>
      <c r="N18" s="13"/>
      <c r="O18" s="19"/>
      <c r="P18" s="13"/>
      <c r="Q18" s="19"/>
      <c r="R18" s="13"/>
      <c r="S18" s="19"/>
      <c r="T18" s="13"/>
      <c r="U18" s="19"/>
      <c r="V18" s="13"/>
      <c r="W18" s="19"/>
      <c r="X18" s="13"/>
      <c r="Y18" s="19"/>
      <c r="Z18" s="13"/>
      <c r="AA18" s="19"/>
      <c r="AB18" s="13"/>
      <c r="AC18" s="19"/>
      <c r="AD18" s="13"/>
      <c r="AE18" s="19"/>
      <c r="AF18" s="13"/>
      <c r="AG18" s="19"/>
      <c r="AH18" s="13"/>
      <c r="AI18" s="19"/>
      <c r="AJ18" s="13"/>
      <c r="AK18" s="19"/>
      <c r="AL18" s="13"/>
      <c r="AM18" s="19"/>
      <c r="AN18" s="13"/>
      <c r="AO18" s="19"/>
      <c r="AP18" s="13"/>
      <c r="AQ18" s="19"/>
      <c r="AR18" s="13"/>
      <c r="AS18" s="614"/>
      <c r="AT18" s="460"/>
      <c r="AU18" s="783"/>
      <c r="AV18" s="460"/>
    </row>
    <row r="19" spans="1:48">
      <c r="A19" s="14"/>
      <c r="B19" s="15"/>
      <c r="C19" s="16"/>
      <c r="D19" s="17"/>
      <c r="E19" s="12"/>
      <c r="F19" s="18"/>
      <c r="G19" s="19"/>
      <c r="H19" s="13"/>
      <c r="I19" s="19"/>
      <c r="J19" s="13"/>
      <c r="K19" s="19"/>
      <c r="L19" s="13"/>
      <c r="M19" s="19"/>
      <c r="N19" s="13"/>
      <c r="O19" s="19"/>
      <c r="P19" s="13"/>
      <c r="Q19" s="19"/>
      <c r="R19" s="13"/>
      <c r="S19" s="19"/>
      <c r="T19" s="13"/>
      <c r="U19" s="19"/>
      <c r="V19" s="13"/>
      <c r="W19" s="19"/>
      <c r="X19" s="13"/>
      <c r="Y19" s="19"/>
      <c r="Z19" s="13"/>
      <c r="AA19" s="19"/>
      <c r="AB19" s="13"/>
      <c r="AC19" s="19"/>
      <c r="AD19" s="13"/>
      <c r="AE19" s="19"/>
      <c r="AF19" s="13"/>
      <c r="AG19" s="19"/>
      <c r="AH19" s="13"/>
      <c r="AI19" s="19"/>
      <c r="AJ19" s="13"/>
      <c r="AK19" s="19"/>
      <c r="AL19" s="13"/>
      <c r="AM19" s="19"/>
      <c r="AN19" s="13"/>
      <c r="AO19" s="19"/>
      <c r="AP19" s="13"/>
      <c r="AQ19" s="19"/>
      <c r="AR19" s="13"/>
      <c r="AS19" s="614"/>
      <c r="AT19" s="460"/>
      <c r="AU19" s="783"/>
      <c r="AV19" s="460"/>
    </row>
    <row r="20" spans="1:48">
      <c r="A20" s="14"/>
      <c r="B20" s="15"/>
      <c r="C20" s="16"/>
      <c r="D20" s="17"/>
      <c r="E20" s="12"/>
      <c r="F20" s="18"/>
      <c r="G20" s="19"/>
      <c r="H20" s="13"/>
      <c r="I20" s="19"/>
      <c r="J20" s="13"/>
      <c r="K20" s="19"/>
      <c r="L20" s="13"/>
      <c r="M20" s="19"/>
      <c r="N20" s="13"/>
      <c r="O20" s="19"/>
      <c r="P20" s="13"/>
      <c r="Q20" s="19"/>
      <c r="R20" s="13"/>
      <c r="S20" s="19"/>
      <c r="T20" s="13"/>
      <c r="U20" s="19"/>
      <c r="V20" s="13"/>
      <c r="W20" s="19"/>
      <c r="X20" s="13"/>
      <c r="Y20" s="19"/>
      <c r="Z20" s="13"/>
      <c r="AA20" s="19"/>
      <c r="AB20" s="13"/>
      <c r="AC20" s="19"/>
      <c r="AD20" s="13"/>
      <c r="AE20" s="19"/>
      <c r="AF20" s="13"/>
      <c r="AG20" s="19"/>
      <c r="AH20" s="13"/>
      <c r="AI20" s="19"/>
      <c r="AJ20" s="13"/>
      <c r="AK20" s="19"/>
      <c r="AL20" s="13"/>
      <c r="AM20" s="19"/>
      <c r="AN20" s="13"/>
      <c r="AO20" s="19"/>
      <c r="AP20" s="13"/>
      <c r="AQ20" s="19"/>
      <c r="AR20" s="13"/>
      <c r="AS20" s="614"/>
      <c r="AT20" s="460"/>
      <c r="AU20" s="783"/>
      <c r="AV20" s="460"/>
    </row>
    <row r="21" spans="1:48">
      <c r="A21" s="14"/>
      <c r="B21" s="15"/>
      <c r="C21" s="16"/>
      <c r="D21" s="17"/>
      <c r="E21" s="12"/>
      <c r="F21" s="18"/>
      <c r="G21" s="19"/>
      <c r="H21" s="13"/>
      <c r="I21" s="19"/>
      <c r="J21" s="13"/>
      <c r="K21" s="19"/>
      <c r="L21" s="13"/>
      <c r="M21" s="19"/>
      <c r="N21" s="13"/>
      <c r="O21" s="19"/>
      <c r="P21" s="13"/>
      <c r="Q21" s="19"/>
      <c r="R21" s="13"/>
      <c r="S21" s="19"/>
      <c r="T21" s="13"/>
      <c r="U21" s="19"/>
      <c r="V21" s="13"/>
      <c r="W21" s="19"/>
      <c r="X21" s="13"/>
      <c r="Y21" s="19"/>
      <c r="Z21" s="13"/>
      <c r="AA21" s="19"/>
      <c r="AB21" s="13"/>
      <c r="AC21" s="19"/>
      <c r="AD21" s="13"/>
      <c r="AE21" s="19"/>
      <c r="AF21" s="13"/>
      <c r="AG21" s="19"/>
      <c r="AH21" s="13"/>
      <c r="AI21" s="19"/>
      <c r="AJ21" s="13"/>
      <c r="AK21" s="19"/>
      <c r="AL21" s="13"/>
      <c r="AM21" s="19"/>
      <c r="AN21" s="13"/>
      <c r="AO21" s="19"/>
      <c r="AP21" s="13"/>
      <c r="AQ21" s="19"/>
      <c r="AR21" s="13"/>
      <c r="AS21" s="614"/>
      <c r="AT21" s="460"/>
      <c r="AU21" s="783"/>
      <c r="AV21" s="460"/>
    </row>
    <row r="22" spans="1:48">
      <c r="A22" s="14"/>
      <c r="B22" s="15"/>
      <c r="C22" s="16"/>
      <c r="D22" s="17"/>
      <c r="E22" s="12"/>
      <c r="F22" s="18"/>
      <c r="G22" s="19"/>
      <c r="H22" s="13"/>
      <c r="I22" s="19"/>
      <c r="J22" s="13"/>
      <c r="K22" s="19"/>
      <c r="L22" s="13"/>
      <c r="M22" s="19"/>
      <c r="N22" s="13"/>
      <c r="O22" s="19"/>
      <c r="P22" s="13"/>
      <c r="Q22" s="19"/>
      <c r="R22" s="13"/>
      <c r="S22" s="19"/>
      <c r="T22" s="13"/>
      <c r="U22" s="19"/>
      <c r="V22" s="13"/>
      <c r="W22" s="19"/>
      <c r="X22" s="13"/>
      <c r="Y22" s="19"/>
      <c r="Z22" s="13"/>
      <c r="AA22" s="19"/>
      <c r="AB22" s="13"/>
      <c r="AC22" s="19"/>
      <c r="AD22" s="13"/>
      <c r="AE22" s="19"/>
      <c r="AF22" s="13"/>
      <c r="AG22" s="19"/>
      <c r="AH22" s="13"/>
      <c r="AI22" s="19"/>
      <c r="AJ22" s="13"/>
      <c r="AK22" s="19"/>
      <c r="AL22" s="13"/>
      <c r="AM22" s="19"/>
      <c r="AN22" s="13"/>
      <c r="AO22" s="19"/>
      <c r="AP22" s="13"/>
      <c r="AQ22" s="19"/>
      <c r="AR22" s="13"/>
      <c r="AS22" s="614"/>
      <c r="AT22" s="460"/>
      <c r="AU22" s="783"/>
      <c r="AV22" s="460"/>
    </row>
    <row r="23" spans="1:48">
      <c r="A23" s="14"/>
      <c r="B23" s="15"/>
      <c r="C23" s="16"/>
      <c r="D23" s="17"/>
      <c r="E23" s="12"/>
      <c r="F23" s="18"/>
      <c r="G23" s="19"/>
      <c r="H23" s="13"/>
      <c r="I23" s="19"/>
      <c r="J23" s="13"/>
      <c r="K23" s="19"/>
      <c r="L23" s="13"/>
      <c r="M23" s="19"/>
      <c r="N23" s="13"/>
      <c r="O23" s="19"/>
      <c r="P23" s="13"/>
      <c r="Q23" s="19"/>
      <c r="R23" s="13"/>
      <c r="S23" s="19"/>
      <c r="T23" s="13"/>
      <c r="U23" s="19"/>
      <c r="V23" s="13"/>
      <c r="W23" s="19"/>
      <c r="X23" s="13"/>
      <c r="Y23" s="19"/>
      <c r="Z23" s="13"/>
      <c r="AA23" s="19"/>
      <c r="AB23" s="13"/>
      <c r="AC23" s="19"/>
      <c r="AD23" s="13"/>
      <c r="AE23" s="19"/>
      <c r="AF23" s="13"/>
      <c r="AG23" s="19"/>
      <c r="AH23" s="13"/>
      <c r="AI23" s="19"/>
      <c r="AJ23" s="13"/>
      <c r="AK23" s="19"/>
      <c r="AL23" s="13"/>
      <c r="AM23" s="19"/>
      <c r="AN23" s="13"/>
      <c r="AO23" s="19"/>
      <c r="AP23" s="13"/>
      <c r="AQ23" s="19"/>
      <c r="AR23" s="13"/>
      <c r="AS23" s="614"/>
      <c r="AT23" s="460"/>
      <c r="AU23" s="783"/>
      <c r="AV23" s="460"/>
    </row>
    <row r="24" spans="1:48">
      <c r="A24" s="14"/>
      <c r="B24" s="15"/>
      <c r="C24" s="16"/>
      <c r="D24" s="17"/>
      <c r="E24" s="12"/>
      <c r="F24" s="18"/>
      <c r="G24" s="19"/>
      <c r="H24" s="13"/>
      <c r="I24" s="19"/>
      <c r="J24" s="13"/>
      <c r="K24" s="19"/>
      <c r="L24" s="13"/>
      <c r="M24" s="19"/>
      <c r="N24" s="13"/>
      <c r="O24" s="19"/>
      <c r="P24" s="13"/>
      <c r="Q24" s="19"/>
      <c r="R24" s="13"/>
      <c r="S24" s="19"/>
      <c r="T24" s="13"/>
      <c r="U24" s="19"/>
      <c r="V24" s="13"/>
      <c r="W24" s="19"/>
      <c r="X24" s="13"/>
      <c r="Y24" s="19"/>
      <c r="Z24" s="13"/>
      <c r="AA24" s="19"/>
      <c r="AB24" s="13"/>
      <c r="AC24" s="19"/>
      <c r="AD24" s="13"/>
      <c r="AE24" s="19"/>
      <c r="AF24" s="13"/>
      <c r="AG24" s="19"/>
      <c r="AH24" s="13"/>
      <c r="AI24" s="19"/>
      <c r="AJ24" s="13"/>
      <c r="AK24" s="19"/>
      <c r="AL24" s="13"/>
      <c r="AM24" s="19"/>
      <c r="AN24" s="13"/>
      <c r="AO24" s="19"/>
      <c r="AP24" s="13"/>
      <c r="AQ24" s="19"/>
      <c r="AR24" s="13"/>
      <c r="AS24" s="614"/>
      <c r="AT24" s="460"/>
      <c r="AU24" s="783"/>
      <c r="AV24" s="460"/>
    </row>
    <row r="25" spans="1:48">
      <c r="A25" s="14"/>
      <c r="B25" s="15"/>
      <c r="C25" s="16"/>
      <c r="D25" s="17"/>
      <c r="E25" s="12"/>
      <c r="F25" s="18"/>
      <c r="G25" s="19"/>
      <c r="H25" s="13"/>
      <c r="I25" s="19"/>
      <c r="J25" s="13"/>
      <c r="K25" s="19"/>
      <c r="L25" s="13"/>
      <c r="M25" s="19"/>
      <c r="N25" s="13"/>
      <c r="O25" s="19"/>
      <c r="P25" s="13"/>
      <c r="Q25" s="19"/>
      <c r="R25" s="13"/>
      <c r="S25" s="19"/>
      <c r="T25" s="13"/>
      <c r="U25" s="19"/>
      <c r="V25" s="13"/>
      <c r="W25" s="19"/>
      <c r="X25" s="13"/>
      <c r="Y25" s="19"/>
      <c r="Z25" s="13"/>
      <c r="AA25" s="19"/>
      <c r="AB25" s="13"/>
      <c r="AC25" s="19"/>
      <c r="AD25" s="13"/>
      <c r="AE25" s="19"/>
      <c r="AF25" s="13"/>
      <c r="AG25" s="19"/>
      <c r="AH25" s="13"/>
      <c r="AI25" s="19"/>
      <c r="AJ25" s="13"/>
      <c r="AK25" s="19"/>
      <c r="AL25" s="13"/>
      <c r="AM25" s="19"/>
      <c r="AN25" s="13"/>
      <c r="AO25" s="19"/>
      <c r="AP25" s="13"/>
      <c r="AQ25" s="19"/>
      <c r="AR25" s="13"/>
      <c r="AS25" s="614"/>
      <c r="AT25" s="460"/>
      <c r="AU25" s="783"/>
      <c r="AV25" s="460"/>
    </row>
    <row r="26" spans="1:48">
      <c r="A26" s="14"/>
      <c r="B26" s="15"/>
      <c r="C26" s="16"/>
      <c r="D26" s="17"/>
      <c r="E26" s="12"/>
      <c r="F26" s="18"/>
      <c r="G26" s="19"/>
      <c r="H26" s="13"/>
      <c r="I26" s="19"/>
      <c r="J26" s="13"/>
      <c r="K26" s="19"/>
      <c r="L26" s="13"/>
      <c r="M26" s="19"/>
      <c r="N26" s="13"/>
      <c r="O26" s="19"/>
      <c r="P26" s="13"/>
      <c r="Q26" s="19"/>
      <c r="R26" s="13"/>
      <c r="S26" s="19"/>
      <c r="T26" s="13"/>
      <c r="U26" s="19"/>
      <c r="V26" s="13"/>
      <c r="W26" s="19"/>
      <c r="X26" s="13"/>
      <c r="Y26" s="19"/>
      <c r="Z26" s="13"/>
      <c r="AA26" s="19"/>
      <c r="AB26" s="13"/>
      <c r="AC26" s="19"/>
      <c r="AD26" s="13"/>
      <c r="AE26" s="19"/>
      <c r="AF26" s="13"/>
      <c r="AG26" s="19"/>
      <c r="AH26" s="13"/>
      <c r="AI26" s="19"/>
      <c r="AJ26" s="13"/>
      <c r="AK26" s="19"/>
      <c r="AL26" s="13"/>
      <c r="AM26" s="19"/>
      <c r="AN26" s="13"/>
      <c r="AO26" s="19"/>
      <c r="AP26" s="13"/>
      <c r="AQ26" s="19"/>
      <c r="AR26" s="13"/>
      <c r="AS26" s="614"/>
      <c r="AT26" s="460"/>
      <c r="AU26" s="783"/>
      <c r="AV26" s="460"/>
    </row>
    <row r="27" spans="1:48">
      <c r="A27" s="14"/>
      <c r="B27" s="15"/>
      <c r="C27" s="16"/>
      <c r="D27" s="17"/>
      <c r="E27" s="12"/>
      <c r="F27" s="18"/>
      <c r="G27" s="19"/>
      <c r="H27" s="13"/>
      <c r="I27" s="19"/>
      <c r="J27" s="13"/>
      <c r="K27" s="19"/>
      <c r="L27" s="13"/>
      <c r="M27" s="19"/>
      <c r="N27" s="13"/>
      <c r="O27" s="19"/>
      <c r="P27" s="13"/>
      <c r="Q27" s="19"/>
      <c r="R27" s="13"/>
      <c r="S27" s="19"/>
      <c r="T27" s="13"/>
      <c r="U27" s="19"/>
      <c r="V27" s="13"/>
      <c r="W27" s="19"/>
      <c r="X27" s="13"/>
      <c r="Y27" s="19"/>
      <c r="Z27" s="13"/>
      <c r="AA27" s="19"/>
      <c r="AB27" s="13"/>
      <c r="AC27" s="19"/>
      <c r="AD27" s="13"/>
      <c r="AE27" s="19"/>
      <c r="AF27" s="13"/>
      <c r="AG27" s="19"/>
      <c r="AH27" s="13"/>
      <c r="AI27" s="19"/>
      <c r="AJ27" s="13"/>
      <c r="AK27" s="19"/>
      <c r="AL27" s="13"/>
      <c r="AM27" s="19"/>
      <c r="AN27" s="13"/>
      <c r="AO27" s="19"/>
      <c r="AP27" s="13"/>
      <c r="AQ27" s="19"/>
      <c r="AR27" s="13"/>
      <c r="AS27" s="614"/>
      <c r="AT27" s="460"/>
      <c r="AU27" s="783"/>
      <c r="AV27" s="460"/>
    </row>
    <row r="28" spans="1:48">
      <c r="A28" s="14"/>
      <c r="B28" s="15"/>
      <c r="C28" s="16"/>
      <c r="D28" s="17"/>
      <c r="E28" s="12"/>
      <c r="F28" s="18"/>
      <c r="G28" s="19"/>
      <c r="H28" s="13"/>
      <c r="I28" s="19"/>
      <c r="J28" s="13"/>
      <c r="K28" s="19"/>
      <c r="L28" s="13"/>
      <c r="M28" s="19"/>
      <c r="N28" s="13"/>
      <c r="O28" s="19"/>
      <c r="P28" s="13"/>
      <c r="Q28" s="19"/>
      <c r="R28" s="13"/>
      <c r="S28" s="19"/>
      <c r="T28" s="13"/>
      <c r="U28" s="19"/>
      <c r="V28" s="13"/>
      <c r="W28" s="19"/>
      <c r="X28" s="13"/>
      <c r="Y28" s="19"/>
      <c r="Z28" s="13"/>
      <c r="AA28" s="19"/>
      <c r="AB28" s="13"/>
      <c r="AC28" s="19"/>
      <c r="AD28" s="13"/>
      <c r="AE28" s="19"/>
      <c r="AF28" s="13"/>
      <c r="AG28" s="19"/>
      <c r="AH28" s="13"/>
      <c r="AI28" s="19"/>
      <c r="AJ28" s="13"/>
      <c r="AK28" s="19"/>
      <c r="AL28" s="13"/>
      <c r="AM28" s="19"/>
      <c r="AN28" s="13"/>
      <c r="AO28" s="19"/>
      <c r="AP28" s="13"/>
      <c r="AQ28" s="19"/>
      <c r="AR28" s="13"/>
      <c r="AS28" s="614"/>
      <c r="AT28" s="460"/>
      <c r="AU28" s="783"/>
      <c r="AV28" s="460"/>
    </row>
    <row r="29" spans="1:48">
      <c r="A29" s="14"/>
      <c r="B29" s="15"/>
      <c r="C29" s="16"/>
      <c r="D29" s="17"/>
      <c r="E29" s="12"/>
      <c r="F29" s="18"/>
      <c r="G29" s="19"/>
      <c r="H29" s="13"/>
      <c r="I29" s="19"/>
      <c r="J29" s="13"/>
      <c r="K29" s="19"/>
      <c r="L29" s="13"/>
      <c r="M29" s="19"/>
      <c r="N29" s="13"/>
      <c r="O29" s="19"/>
      <c r="P29" s="13"/>
      <c r="Q29" s="19"/>
      <c r="R29" s="13"/>
      <c r="S29" s="19"/>
      <c r="T29" s="13"/>
      <c r="U29" s="19"/>
      <c r="V29" s="13"/>
      <c r="W29" s="19"/>
      <c r="X29" s="13"/>
      <c r="Y29" s="19"/>
      <c r="Z29" s="13"/>
      <c r="AA29" s="19"/>
      <c r="AB29" s="13"/>
      <c r="AC29" s="19"/>
      <c r="AD29" s="13"/>
      <c r="AE29" s="19"/>
      <c r="AF29" s="13"/>
      <c r="AG29" s="19"/>
      <c r="AH29" s="13"/>
      <c r="AI29" s="19"/>
      <c r="AJ29" s="13"/>
      <c r="AK29" s="19"/>
      <c r="AL29" s="13"/>
      <c r="AM29" s="19"/>
      <c r="AN29" s="13"/>
      <c r="AO29" s="19"/>
      <c r="AP29" s="13"/>
      <c r="AQ29" s="19"/>
      <c r="AR29" s="13"/>
      <c r="AS29" s="614"/>
      <c r="AT29" s="460"/>
      <c r="AU29" s="783"/>
      <c r="AV29" s="460"/>
    </row>
    <row r="30" spans="1:48">
      <c r="A30" s="14"/>
      <c r="B30" s="15"/>
      <c r="C30" s="16"/>
      <c r="D30" s="17"/>
      <c r="E30" s="12"/>
      <c r="F30" s="18"/>
      <c r="G30" s="19"/>
      <c r="H30" s="13"/>
      <c r="I30" s="19"/>
      <c r="J30" s="13"/>
      <c r="K30" s="19"/>
      <c r="L30" s="13"/>
      <c r="M30" s="19"/>
      <c r="N30" s="13"/>
      <c r="O30" s="19"/>
      <c r="P30" s="13"/>
      <c r="Q30" s="19"/>
      <c r="R30" s="13"/>
      <c r="S30" s="19"/>
      <c r="T30" s="13"/>
      <c r="U30" s="19"/>
      <c r="V30" s="13"/>
      <c r="W30" s="19"/>
      <c r="X30" s="13"/>
      <c r="Y30" s="19"/>
      <c r="Z30" s="13"/>
      <c r="AA30" s="19"/>
      <c r="AB30" s="13"/>
      <c r="AC30" s="19"/>
      <c r="AD30" s="13"/>
      <c r="AE30" s="19"/>
      <c r="AF30" s="13"/>
      <c r="AG30" s="19"/>
      <c r="AH30" s="13"/>
      <c r="AI30" s="19"/>
      <c r="AJ30" s="13"/>
      <c r="AK30" s="19"/>
      <c r="AL30" s="13"/>
      <c r="AM30" s="19"/>
      <c r="AN30" s="13"/>
      <c r="AO30" s="19"/>
      <c r="AP30" s="13"/>
      <c r="AQ30" s="19"/>
      <c r="AR30" s="13"/>
      <c r="AS30" s="614"/>
      <c r="AT30" s="460"/>
      <c r="AU30" s="783"/>
      <c r="AV30" s="460"/>
    </row>
    <row r="31" spans="1:48">
      <c r="A31" s="14"/>
      <c r="B31" s="15"/>
      <c r="C31" s="16"/>
      <c r="D31" s="17"/>
      <c r="E31" s="12"/>
      <c r="F31" s="18"/>
      <c r="G31" s="19"/>
      <c r="H31" s="13"/>
      <c r="I31" s="19"/>
      <c r="J31" s="13"/>
      <c r="K31" s="19"/>
      <c r="L31" s="13"/>
      <c r="M31" s="19"/>
      <c r="N31" s="13"/>
      <c r="O31" s="19"/>
      <c r="P31" s="13"/>
      <c r="Q31" s="19"/>
      <c r="R31" s="13"/>
      <c r="S31" s="19"/>
      <c r="T31" s="13"/>
      <c r="U31" s="19"/>
      <c r="V31" s="13"/>
      <c r="W31" s="19"/>
      <c r="X31" s="13"/>
      <c r="Y31" s="19"/>
      <c r="Z31" s="13"/>
      <c r="AA31" s="19"/>
      <c r="AB31" s="13"/>
      <c r="AC31" s="19"/>
      <c r="AD31" s="13"/>
      <c r="AE31" s="19"/>
      <c r="AF31" s="13"/>
      <c r="AG31" s="19"/>
      <c r="AH31" s="13"/>
      <c r="AI31" s="19"/>
      <c r="AJ31" s="13"/>
      <c r="AK31" s="19"/>
      <c r="AL31" s="13"/>
      <c r="AM31" s="19"/>
      <c r="AN31" s="13"/>
      <c r="AO31" s="19"/>
      <c r="AP31" s="13"/>
      <c r="AQ31" s="19"/>
      <c r="AR31" s="13"/>
      <c r="AS31" s="614"/>
      <c r="AT31" s="460"/>
      <c r="AU31" s="783"/>
      <c r="AV31" s="460"/>
    </row>
    <row r="32" spans="1:48">
      <c r="A32" s="14"/>
      <c r="B32" s="15"/>
      <c r="C32" s="16"/>
      <c r="D32" s="17"/>
      <c r="E32" s="12"/>
      <c r="F32" s="18"/>
      <c r="G32" s="19"/>
      <c r="H32" s="13"/>
      <c r="I32" s="19"/>
      <c r="J32" s="13"/>
      <c r="K32" s="19"/>
      <c r="L32" s="13"/>
      <c r="M32" s="19"/>
      <c r="N32" s="13"/>
      <c r="O32" s="19"/>
      <c r="P32" s="13"/>
      <c r="Q32" s="19"/>
      <c r="R32" s="13"/>
      <c r="S32" s="19"/>
      <c r="T32" s="13"/>
      <c r="U32" s="19"/>
      <c r="V32" s="13"/>
      <c r="W32" s="19"/>
      <c r="X32" s="13"/>
      <c r="Y32" s="19"/>
      <c r="Z32" s="13"/>
      <c r="AA32" s="19"/>
      <c r="AB32" s="13"/>
      <c r="AC32" s="19"/>
      <c r="AD32" s="13"/>
      <c r="AE32" s="19"/>
      <c r="AF32" s="13"/>
      <c r="AG32" s="19"/>
      <c r="AH32" s="13"/>
      <c r="AI32" s="19"/>
      <c r="AJ32" s="13"/>
      <c r="AK32" s="19"/>
      <c r="AL32" s="13"/>
      <c r="AM32" s="19"/>
      <c r="AN32" s="13"/>
      <c r="AO32" s="19"/>
      <c r="AP32" s="13"/>
      <c r="AQ32" s="19"/>
      <c r="AR32" s="13"/>
      <c r="AS32" s="614"/>
      <c r="AT32" s="460"/>
      <c r="AU32" s="783"/>
      <c r="AV32" s="460"/>
    </row>
    <row r="33" spans="1:48">
      <c r="A33" s="14"/>
      <c r="B33" s="15"/>
      <c r="C33" s="16"/>
      <c r="D33" s="17"/>
      <c r="E33" s="12"/>
      <c r="F33" s="18"/>
      <c r="G33" s="19"/>
      <c r="H33" s="13"/>
      <c r="I33" s="19"/>
      <c r="J33" s="13"/>
      <c r="K33" s="19"/>
      <c r="L33" s="13"/>
      <c r="M33" s="19"/>
      <c r="N33" s="13"/>
      <c r="O33" s="19"/>
      <c r="P33" s="13"/>
      <c r="Q33" s="19"/>
      <c r="R33" s="13"/>
      <c r="S33" s="19"/>
      <c r="T33" s="13"/>
      <c r="U33" s="19"/>
      <c r="V33" s="13"/>
      <c r="W33" s="19"/>
      <c r="X33" s="13"/>
      <c r="Y33" s="19"/>
      <c r="Z33" s="13"/>
      <c r="AA33" s="19"/>
      <c r="AB33" s="13"/>
      <c r="AC33" s="19"/>
      <c r="AD33" s="13"/>
      <c r="AE33" s="19"/>
      <c r="AF33" s="13"/>
      <c r="AG33" s="19"/>
      <c r="AH33" s="13"/>
      <c r="AI33" s="19"/>
      <c r="AJ33" s="13"/>
      <c r="AK33" s="19"/>
      <c r="AL33" s="13"/>
      <c r="AM33" s="19"/>
      <c r="AN33" s="13"/>
      <c r="AO33" s="19"/>
      <c r="AP33" s="13"/>
      <c r="AQ33" s="19"/>
      <c r="AR33" s="13"/>
      <c r="AS33" s="614"/>
      <c r="AT33" s="460"/>
      <c r="AU33" s="783"/>
      <c r="AV33" s="460"/>
    </row>
    <row r="34" spans="1:48">
      <c r="A34" s="14"/>
      <c r="B34" s="15"/>
      <c r="C34" s="16"/>
      <c r="D34" s="17"/>
      <c r="E34" s="12"/>
      <c r="F34" s="18"/>
      <c r="G34" s="19"/>
      <c r="H34" s="13"/>
      <c r="I34" s="19"/>
      <c r="J34" s="13"/>
      <c r="K34" s="19"/>
      <c r="L34" s="13"/>
      <c r="M34" s="19"/>
      <c r="N34" s="13"/>
      <c r="O34" s="19"/>
      <c r="P34" s="13"/>
      <c r="Q34" s="19"/>
      <c r="R34" s="13"/>
      <c r="S34" s="19"/>
      <c r="T34" s="13"/>
      <c r="U34" s="19"/>
      <c r="V34" s="13"/>
      <c r="W34" s="19"/>
      <c r="X34" s="13"/>
      <c r="Y34" s="19"/>
      <c r="Z34" s="13"/>
      <c r="AA34" s="19"/>
      <c r="AB34" s="13"/>
      <c r="AC34" s="19"/>
      <c r="AD34" s="13"/>
      <c r="AE34" s="19"/>
      <c r="AF34" s="13"/>
      <c r="AG34" s="19"/>
      <c r="AH34" s="13"/>
      <c r="AI34" s="19"/>
      <c r="AJ34" s="13"/>
      <c r="AK34" s="19"/>
      <c r="AL34" s="13"/>
      <c r="AM34" s="19"/>
      <c r="AN34" s="13"/>
      <c r="AO34" s="19"/>
      <c r="AP34" s="13"/>
      <c r="AQ34" s="19"/>
      <c r="AR34" s="13"/>
      <c r="AS34" s="614"/>
      <c r="AT34" s="460"/>
      <c r="AU34" s="783"/>
      <c r="AV34" s="460"/>
    </row>
    <row r="35" spans="1:48">
      <c r="A35" s="14"/>
      <c r="B35" s="15"/>
      <c r="C35" s="16"/>
      <c r="D35" s="17"/>
      <c r="E35" s="12"/>
      <c r="F35" s="18"/>
      <c r="G35" s="19"/>
      <c r="H35" s="13"/>
      <c r="I35" s="19"/>
      <c r="J35" s="13"/>
      <c r="K35" s="19"/>
      <c r="L35" s="13"/>
      <c r="M35" s="19"/>
      <c r="N35" s="13"/>
      <c r="O35" s="19"/>
      <c r="P35" s="13"/>
      <c r="Q35" s="19"/>
      <c r="R35" s="13"/>
      <c r="S35" s="19"/>
      <c r="T35" s="13"/>
      <c r="U35" s="19"/>
      <c r="V35" s="13"/>
      <c r="W35" s="19"/>
      <c r="X35" s="13"/>
      <c r="Y35" s="19"/>
      <c r="Z35" s="13"/>
      <c r="AA35" s="19"/>
      <c r="AB35" s="13"/>
      <c r="AC35" s="19"/>
      <c r="AD35" s="13"/>
      <c r="AE35" s="19"/>
      <c r="AF35" s="13"/>
      <c r="AG35" s="19"/>
      <c r="AH35" s="13"/>
      <c r="AI35" s="19"/>
      <c r="AJ35" s="13"/>
      <c r="AK35" s="19"/>
      <c r="AL35" s="13"/>
      <c r="AM35" s="19"/>
      <c r="AN35" s="13"/>
      <c r="AO35" s="19"/>
      <c r="AP35" s="13"/>
      <c r="AQ35" s="19"/>
      <c r="AR35" s="13"/>
      <c r="AS35" s="614"/>
      <c r="AT35" s="460"/>
      <c r="AU35" s="783"/>
      <c r="AV35" s="460"/>
    </row>
    <row r="36" spans="1:48">
      <c r="A36" s="14"/>
      <c r="B36" s="15"/>
      <c r="C36" s="16"/>
      <c r="D36" s="17"/>
      <c r="E36" s="12"/>
      <c r="F36" s="18"/>
      <c r="G36" s="19"/>
      <c r="H36" s="13"/>
      <c r="I36" s="19"/>
      <c r="J36" s="13"/>
      <c r="K36" s="19"/>
      <c r="L36" s="13"/>
      <c r="M36" s="19"/>
      <c r="N36" s="13"/>
      <c r="O36" s="19"/>
      <c r="P36" s="13"/>
      <c r="Q36" s="19"/>
      <c r="R36" s="13"/>
      <c r="S36" s="19"/>
      <c r="T36" s="13"/>
      <c r="U36" s="19"/>
      <c r="V36" s="13"/>
      <c r="W36" s="19"/>
      <c r="X36" s="13"/>
      <c r="Y36" s="19"/>
      <c r="Z36" s="13"/>
      <c r="AA36" s="19"/>
      <c r="AB36" s="13"/>
      <c r="AC36" s="19"/>
      <c r="AD36" s="13"/>
      <c r="AE36" s="19"/>
      <c r="AF36" s="13"/>
      <c r="AG36" s="19"/>
      <c r="AH36" s="13"/>
      <c r="AI36" s="19"/>
      <c r="AJ36" s="13"/>
      <c r="AK36" s="19"/>
      <c r="AL36" s="13"/>
      <c r="AM36" s="19"/>
      <c r="AN36" s="13"/>
      <c r="AO36" s="19"/>
      <c r="AP36" s="13"/>
      <c r="AQ36" s="19"/>
      <c r="AR36" s="13"/>
      <c r="AS36" s="614"/>
      <c r="AT36" s="460"/>
      <c r="AU36" s="783"/>
      <c r="AV36" s="460"/>
    </row>
    <row r="37" spans="1:48">
      <c r="A37" s="14"/>
      <c r="B37" s="15"/>
      <c r="C37" s="16"/>
      <c r="D37" s="17"/>
      <c r="E37" s="12"/>
      <c r="F37" s="18"/>
      <c r="G37" s="19"/>
      <c r="H37" s="13"/>
      <c r="I37" s="19"/>
      <c r="J37" s="13"/>
      <c r="K37" s="19"/>
      <c r="L37" s="13"/>
      <c r="M37" s="19"/>
      <c r="N37" s="13"/>
      <c r="O37" s="19"/>
      <c r="P37" s="13"/>
      <c r="Q37" s="19"/>
      <c r="R37" s="13"/>
      <c r="S37" s="19"/>
      <c r="T37" s="13"/>
      <c r="U37" s="19"/>
      <c r="V37" s="13"/>
      <c r="W37" s="19"/>
      <c r="X37" s="13"/>
      <c r="Y37" s="19"/>
      <c r="Z37" s="13"/>
      <c r="AA37" s="19"/>
      <c r="AB37" s="13"/>
      <c r="AC37" s="19"/>
      <c r="AD37" s="13"/>
      <c r="AE37" s="19"/>
      <c r="AF37" s="13"/>
      <c r="AG37" s="19"/>
      <c r="AH37" s="13"/>
      <c r="AI37" s="19"/>
      <c r="AJ37" s="13"/>
      <c r="AK37" s="19"/>
      <c r="AL37" s="13"/>
      <c r="AM37" s="19"/>
      <c r="AN37" s="13"/>
      <c r="AO37" s="19"/>
      <c r="AP37" s="13"/>
      <c r="AQ37" s="19"/>
      <c r="AR37" s="13"/>
      <c r="AS37" s="614"/>
      <c r="AT37" s="460"/>
      <c r="AU37" s="783"/>
      <c r="AV37" s="460"/>
    </row>
    <row r="38" spans="1:48">
      <c r="A38" s="14"/>
      <c r="B38" s="15"/>
      <c r="C38" s="16"/>
      <c r="D38" s="17"/>
      <c r="E38" s="12"/>
      <c r="F38" s="18"/>
      <c r="G38" s="19"/>
      <c r="H38" s="13"/>
      <c r="I38" s="19"/>
      <c r="J38" s="13"/>
      <c r="K38" s="19"/>
      <c r="L38" s="13"/>
      <c r="M38" s="19"/>
      <c r="N38" s="13"/>
      <c r="O38" s="19"/>
      <c r="P38" s="13"/>
      <c r="Q38" s="19"/>
      <c r="R38" s="13"/>
      <c r="S38" s="19"/>
      <c r="T38" s="13"/>
      <c r="U38" s="19"/>
      <c r="V38" s="13"/>
      <c r="W38" s="19"/>
      <c r="X38" s="13"/>
      <c r="Y38" s="19"/>
      <c r="Z38" s="13"/>
      <c r="AA38" s="19"/>
      <c r="AB38" s="13"/>
      <c r="AC38" s="19"/>
      <c r="AD38" s="13"/>
      <c r="AE38" s="19"/>
      <c r="AF38" s="13"/>
      <c r="AG38" s="19"/>
      <c r="AH38" s="13"/>
      <c r="AI38" s="19"/>
      <c r="AJ38" s="13"/>
      <c r="AK38" s="19"/>
      <c r="AL38" s="13"/>
      <c r="AM38" s="19"/>
      <c r="AN38" s="13"/>
      <c r="AO38" s="19"/>
      <c r="AP38" s="13"/>
      <c r="AQ38" s="19"/>
      <c r="AR38" s="13"/>
      <c r="AS38" s="614"/>
      <c r="AT38" s="460"/>
      <c r="AU38" s="783"/>
      <c r="AV38" s="460"/>
    </row>
    <row r="39" spans="1:48">
      <c r="A39" s="14"/>
      <c r="B39" s="15"/>
      <c r="C39" s="16"/>
      <c r="D39" s="17"/>
      <c r="E39" s="12"/>
      <c r="F39" s="18"/>
      <c r="G39" s="19"/>
      <c r="H39" s="13"/>
      <c r="I39" s="19"/>
      <c r="J39" s="13"/>
      <c r="K39" s="19"/>
      <c r="L39" s="13"/>
      <c r="M39" s="19"/>
      <c r="N39" s="13"/>
      <c r="O39" s="19"/>
      <c r="P39" s="13"/>
      <c r="Q39" s="19"/>
      <c r="R39" s="13"/>
      <c r="S39" s="19"/>
      <c r="T39" s="13"/>
      <c r="U39" s="19"/>
      <c r="V39" s="13"/>
      <c r="W39" s="19"/>
      <c r="X39" s="13"/>
      <c r="Y39" s="19"/>
      <c r="Z39" s="13"/>
      <c r="AA39" s="19"/>
      <c r="AB39" s="13"/>
      <c r="AC39" s="19"/>
      <c r="AD39" s="13"/>
      <c r="AE39" s="19"/>
      <c r="AF39" s="13"/>
      <c r="AG39" s="19"/>
      <c r="AH39" s="13"/>
      <c r="AI39" s="19"/>
      <c r="AJ39" s="13"/>
      <c r="AK39" s="19"/>
      <c r="AL39" s="13"/>
      <c r="AM39" s="19"/>
      <c r="AN39" s="13"/>
      <c r="AO39" s="19"/>
      <c r="AP39" s="13"/>
      <c r="AQ39" s="19"/>
      <c r="AR39" s="13"/>
      <c r="AS39" s="614"/>
      <c r="AT39" s="460"/>
      <c r="AU39" s="783"/>
      <c r="AV39" s="460"/>
    </row>
    <row r="40" spans="1:48">
      <c r="A40" s="14"/>
      <c r="B40" s="15"/>
      <c r="C40" s="16"/>
      <c r="D40" s="17"/>
      <c r="E40" s="12"/>
      <c r="F40" s="18"/>
      <c r="G40" s="19"/>
      <c r="H40" s="13"/>
      <c r="I40" s="19"/>
      <c r="J40" s="13"/>
      <c r="K40" s="19"/>
      <c r="L40" s="13"/>
      <c r="M40" s="19"/>
      <c r="N40" s="13"/>
      <c r="O40" s="19"/>
      <c r="P40" s="13"/>
      <c r="Q40" s="19"/>
      <c r="R40" s="13"/>
      <c r="S40" s="19"/>
      <c r="T40" s="13"/>
      <c r="U40" s="19"/>
      <c r="V40" s="13"/>
      <c r="W40" s="19"/>
      <c r="X40" s="13"/>
      <c r="Y40" s="19"/>
      <c r="Z40" s="13"/>
      <c r="AA40" s="19"/>
      <c r="AB40" s="13"/>
      <c r="AC40" s="19"/>
      <c r="AD40" s="13"/>
      <c r="AE40" s="19"/>
      <c r="AF40" s="13"/>
      <c r="AG40" s="19"/>
      <c r="AH40" s="13"/>
      <c r="AI40" s="19"/>
      <c r="AJ40" s="13"/>
      <c r="AK40" s="19"/>
      <c r="AL40" s="13"/>
      <c r="AM40" s="19"/>
      <c r="AN40" s="13"/>
      <c r="AO40" s="19"/>
      <c r="AP40" s="13"/>
      <c r="AQ40" s="19"/>
      <c r="AR40" s="13"/>
      <c r="AS40" s="614"/>
      <c r="AT40" s="460"/>
      <c r="AU40" s="783"/>
      <c r="AV40" s="460"/>
    </row>
    <row r="41" spans="1:48">
      <c r="A41" s="14"/>
      <c r="B41" s="15"/>
      <c r="C41" s="16"/>
      <c r="D41" s="17"/>
      <c r="E41" s="12"/>
      <c r="F41" s="18"/>
      <c r="G41" s="19"/>
      <c r="H41" s="13"/>
      <c r="I41" s="19"/>
      <c r="J41" s="13"/>
      <c r="K41" s="19"/>
      <c r="L41" s="13"/>
      <c r="M41" s="19"/>
      <c r="N41" s="13"/>
      <c r="O41" s="19"/>
      <c r="P41" s="13"/>
      <c r="Q41" s="19"/>
      <c r="R41" s="13"/>
      <c r="S41" s="19"/>
      <c r="T41" s="13"/>
      <c r="U41" s="19"/>
      <c r="V41" s="13"/>
      <c r="W41" s="19"/>
      <c r="X41" s="13"/>
      <c r="Y41" s="19"/>
      <c r="Z41" s="13"/>
      <c r="AA41" s="19"/>
      <c r="AB41" s="13"/>
      <c r="AC41" s="19"/>
      <c r="AD41" s="13"/>
      <c r="AE41" s="19"/>
      <c r="AF41" s="13"/>
      <c r="AG41" s="19"/>
      <c r="AH41" s="13"/>
      <c r="AI41" s="19"/>
      <c r="AJ41" s="13"/>
      <c r="AK41" s="19"/>
      <c r="AL41" s="13"/>
      <c r="AM41" s="19"/>
      <c r="AN41" s="13"/>
      <c r="AO41" s="19"/>
      <c r="AP41" s="13"/>
      <c r="AQ41" s="19"/>
      <c r="AR41" s="13"/>
      <c r="AS41" s="614"/>
      <c r="AT41" s="460"/>
      <c r="AU41" s="783"/>
      <c r="AV41" s="460"/>
    </row>
    <row r="42" spans="1:48">
      <c r="A42" s="14"/>
      <c r="B42" s="15"/>
      <c r="C42" s="16"/>
      <c r="D42" s="17"/>
      <c r="E42" s="12"/>
      <c r="F42" s="18"/>
      <c r="G42" s="19"/>
      <c r="H42" s="13"/>
      <c r="I42" s="19"/>
      <c r="J42" s="13"/>
      <c r="K42" s="19"/>
      <c r="L42" s="13"/>
      <c r="M42" s="19"/>
      <c r="N42" s="13"/>
      <c r="O42" s="19"/>
      <c r="P42" s="13"/>
      <c r="Q42" s="19"/>
      <c r="R42" s="13"/>
      <c r="S42" s="19"/>
      <c r="T42" s="13"/>
      <c r="U42" s="19"/>
      <c r="V42" s="13"/>
      <c r="W42" s="19"/>
      <c r="X42" s="13"/>
      <c r="Y42" s="19"/>
      <c r="Z42" s="13"/>
      <c r="AA42" s="19"/>
      <c r="AB42" s="13"/>
      <c r="AC42" s="19"/>
      <c r="AD42" s="13"/>
      <c r="AE42" s="19"/>
      <c r="AF42" s="13"/>
      <c r="AG42" s="19"/>
      <c r="AH42" s="13"/>
      <c r="AI42" s="19"/>
      <c r="AJ42" s="13"/>
      <c r="AK42" s="19"/>
      <c r="AL42" s="13"/>
      <c r="AM42" s="19"/>
      <c r="AN42" s="13"/>
      <c r="AO42" s="19"/>
      <c r="AP42" s="13"/>
      <c r="AQ42" s="19"/>
      <c r="AR42" s="13"/>
      <c r="AS42" s="614"/>
      <c r="AT42" s="460"/>
      <c r="AU42" s="783"/>
      <c r="AV42" s="460"/>
    </row>
    <row r="43" spans="1:48">
      <c r="A43" s="14"/>
      <c r="B43" s="15"/>
      <c r="C43" s="16"/>
      <c r="D43" s="17"/>
      <c r="E43" s="12"/>
      <c r="F43" s="18"/>
      <c r="G43" s="19"/>
      <c r="H43" s="13"/>
      <c r="I43" s="19"/>
      <c r="J43" s="13"/>
      <c r="K43" s="19"/>
      <c r="L43" s="13"/>
      <c r="M43" s="19"/>
      <c r="N43" s="13"/>
      <c r="O43" s="19"/>
      <c r="P43" s="13"/>
      <c r="Q43" s="19"/>
      <c r="R43" s="13"/>
      <c r="S43" s="19"/>
      <c r="T43" s="13"/>
      <c r="U43" s="19"/>
      <c r="V43" s="13"/>
      <c r="W43" s="19"/>
      <c r="X43" s="13"/>
      <c r="Y43" s="19"/>
      <c r="Z43" s="13"/>
      <c r="AA43" s="19"/>
      <c r="AB43" s="13"/>
      <c r="AC43" s="19"/>
      <c r="AD43" s="13"/>
      <c r="AE43" s="19"/>
      <c r="AF43" s="13"/>
      <c r="AG43" s="19"/>
      <c r="AH43" s="13"/>
      <c r="AI43" s="19"/>
      <c r="AJ43" s="13"/>
      <c r="AK43" s="19"/>
      <c r="AL43" s="13"/>
      <c r="AM43" s="19"/>
      <c r="AN43" s="13"/>
      <c r="AO43" s="19"/>
      <c r="AP43" s="13"/>
      <c r="AQ43" s="19"/>
      <c r="AR43" s="13"/>
      <c r="AS43" s="614"/>
      <c r="AT43" s="460"/>
      <c r="AU43" s="783"/>
      <c r="AV43" s="460"/>
    </row>
    <row r="44" spans="1:48">
      <c r="A44" s="14"/>
      <c r="B44" s="15"/>
      <c r="C44" s="16"/>
      <c r="D44" s="17"/>
      <c r="E44" s="12"/>
      <c r="F44" s="18"/>
      <c r="G44" s="19"/>
      <c r="H44" s="13"/>
      <c r="I44" s="19"/>
      <c r="J44" s="13"/>
      <c r="K44" s="19"/>
      <c r="L44" s="13"/>
      <c r="M44" s="19"/>
      <c r="N44" s="13"/>
      <c r="O44" s="19"/>
      <c r="P44" s="13"/>
      <c r="Q44" s="19"/>
      <c r="R44" s="13"/>
      <c r="S44" s="19"/>
      <c r="T44" s="13"/>
      <c r="U44" s="19"/>
      <c r="V44" s="13"/>
      <c r="W44" s="19"/>
      <c r="X44" s="13"/>
      <c r="Y44" s="19"/>
      <c r="Z44" s="13"/>
      <c r="AA44" s="19"/>
      <c r="AB44" s="13"/>
      <c r="AC44" s="19"/>
      <c r="AD44" s="13"/>
      <c r="AE44" s="19"/>
      <c r="AF44" s="13"/>
      <c r="AG44" s="19"/>
      <c r="AH44" s="13"/>
      <c r="AI44" s="19"/>
      <c r="AJ44" s="13"/>
      <c r="AK44" s="19"/>
      <c r="AL44" s="13"/>
      <c r="AM44" s="19"/>
      <c r="AN44" s="13"/>
      <c r="AO44" s="19"/>
      <c r="AP44" s="13"/>
      <c r="AQ44" s="19"/>
      <c r="AR44" s="13"/>
      <c r="AS44" s="614"/>
      <c r="AT44" s="460"/>
      <c r="AU44" s="783"/>
      <c r="AV44" s="460"/>
    </row>
    <row r="45" spans="1:48">
      <c r="A45" s="14"/>
      <c r="B45" s="15"/>
      <c r="C45" s="16"/>
      <c r="D45" s="17"/>
      <c r="E45" s="12"/>
      <c r="F45" s="18"/>
      <c r="G45" s="19"/>
      <c r="H45" s="13"/>
      <c r="I45" s="19"/>
      <c r="J45" s="13"/>
      <c r="K45" s="19"/>
      <c r="L45" s="13"/>
      <c r="M45" s="19"/>
      <c r="N45" s="13"/>
      <c r="O45" s="19"/>
      <c r="P45" s="13"/>
      <c r="Q45" s="19"/>
      <c r="R45" s="13"/>
      <c r="S45" s="19"/>
      <c r="T45" s="13"/>
      <c r="U45" s="19"/>
      <c r="V45" s="13"/>
      <c r="W45" s="19"/>
      <c r="X45" s="13"/>
      <c r="Y45" s="19"/>
      <c r="Z45" s="13"/>
      <c r="AA45" s="19"/>
      <c r="AB45" s="13"/>
      <c r="AC45" s="19"/>
      <c r="AD45" s="13"/>
      <c r="AE45" s="19"/>
      <c r="AF45" s="13"/>
      <c r="AG45" s="19"/>
      <c r="AH45" s="13"/>
      <c r="AI45" s="19"/>
      <c r="AJ45" s="13"/>
      <c r="AK45" s="19"/>
      <c r="AL45" s="13"/>
      <c r="AM45" s="19"/>
      <c r="AN45" s="13"/>
      <c r="AO45" s="19"/>
      <c r="AP45" s="13"/>
      <c r="AQ45" s="19"/>
      <c r="AR45" s="13"/>
      <c r="AS45" s="614"/>
      <c r="AT45" s="460"/>
      <c r="AU45" s="783"/>
      <c r="AV45" s="460"/>
    </row>
    <row r="46" spans="1:48">
      <c r="A46" s="14"/>
      <c r="B46" s="15"/>
      <c r="C46" s="16"/>
      <c r="D46" s="17"/>
      <c r="E46" s="12"/>
      <c r="F46" s="18"/>
      <c r="G46" s="19"/>
      <c r="H46" s="13"/>
      <c r="I46" s="19"/>
      <c r="J46" s="13"/>
      <c r="K46" s="19"/>
      <c r="L46" s="13"/>
      <c r="M46" s="19"/>
      <c r="N46" s="13"/>
      <c r="O46" s="19"/>
      <c r="P46" s="13"/>
      <c r="Q46" s="19"/>
      <c r="R46" s="13"/>
      <c r="S46" s="19"/>
      <c r="T46" s="13"/>
      <c r="U46" s="19"/>
      <c r="V46" s="13"/>
      <c r="W46" s="19"/>
      <c r="X46" s="13"/>
      <c r="Y46" s="19"/>
      <c r="Z46" s="13"/>
      <c r="AA46" s="19"/>
      <c r="AB46" s="13"/>
      <c r="AC46" s="19"/>
      <c r="AD46" s="13"/>
      <c r="AE46" s="19"/>
      <c r="AF46" s="13"/>
      <c r="AG46" s="19"/>
      <c r="AH46" s="13"/>
      <c r="AI46" s="19"/>
      <c r="AJ46" s="13"/>
      <c r="AK46" s="19"/>
      <c r="AL46" s="13"/>
      <c r="AM46" s="19"/>
      <c r="AN46" s="13"/>
      <c r="AO46" s="19"/>
      <c r="AP46" s="13"/>
      <c r="AQ46" s="19"/>
      <c r="AR46" s="13"/>
      <c r="AS46" s="614"/>
      <c r="AT46" s="460"/>
      <c r="AU46" s="783"/>
      <c r="AV46" s="460"/>
    </row>
    <row r="47" spans="1:48">
      <c r="A47" s="14"/>
      <c r="B47" s="15"/>
      <c r="C47" s="16"/>
      <c r="D47" s="17"/>
      <c r="E47" s="12"/>
      <c r="F47" s="18"/>
      <c r="G47" s="19"/>
      <c r="H47" s="13"/>
      <c r="I47" s="19"/>
      <c r="J47" s="13"/>
      <c r="K47" s="19"/>
      <c r="L47" s="13"/>
      <c r="M47" s="19"/>
      <c r="N47" s="13"/>
      <c r="O47" s="19"/>
      <c r="P47" s="13"/>
      <c r="Q47" s="19"/>
      <c r="R47" s="13"/>
      <c r="S47" s="19"/>
      <c r="T47" s="13"/>
      <c r="U47" s="19"/>
      <c r="V47" s="13"/>
      <c r="W47" s="19"/>
      <c r="X47" s="13"/>
      <c r="Y47" s="19"/>
      <c r="Z47" s="13"/>
      <c r="AA47" s="19"/>
      <c r="AB47" s="13"/>
      <c r="AC47" s="19"/>
      <c r="AD47" s="13"/>
      <c r="AE47" s="19"/>
      <c r="AF47" s="13"/>
      <c r="AG47" s="19"/>
      <c r="AH47" s="13"/>
      <c r="AI47" s="19"/>
      <c r="AJ47" s="13"/>
      <c r="AK47" s="19"/>
      <c r="AL47" s="13"/>
      <c r="AM47" s="19"/>
      <c r="AN47" s="13"/>
      <c r="AO47" s="19"/>
      <c r="AP47" s="13"/>
      <c r="AQ47" s="19"/>
      <c r="AR47" s="13"/>
      <c r="AS47" s="614"/>
      <c r="AT47" s="460"/>
      <c r="AU47" s="783"/>
      <c r="AV47" s="460"/>
    </row>
    <row r="48" spans="1:48">
      <c r="A48" s="14"/>
      <c r="B48" s="15"/>
      <c r="C48" s="16"/>
      <c r="D48" s="17"/>
      <c r="E48" s="12"/>
      <c r="F48" s="18"/>
      <c r="G48" s="19"/>
      <c r="H48" s="13"/>
      <c r="I48" s="19"/>
      <c r="J48" s="13"/>
      <c r="K48" s="19"/>
      <c r="L48" s="13"/>
      <c r="M48" s="19"/>
      <c r="N48" s="13"/>
      <c r="O48" s="19"/>
      <c r="P48" s="13"/>
      <c r="Q48" s="19"/>
      <c r="R48" s="13"/>
      <c r="S48" s="19"/>
      <c r="T48" s="13"/>
      <c r="U48" s="19"/>
      <c r="V48" s="13"/>
      <c r="W48" s="19"/>
      <c r="X48" s="13"/>
      <c r="Y48" s="19"/>
      <c r="Z48" s="13"/>
      <c r="AA48" s="19"/>
      <c r="AB48" s="13"/>
      <c r="AC48" s="19"/>
      <c r="AD48" s="13"/>
      <c r="AE48" s="19"/>
      <c r="AF48" s="13"/>
      <c r="AG48" s="19"/>
      <c r="AH48" s="13"/>
      <c r="AI48" s="19"/>
      <c r="AJ48" s="13"/>
      <c r="AK48" s="19"/>
      <c r="AL48" s="13"/>
      <c r="AM48" s="19"/>
      <c r="AN48" s="13"/>
      <c r="AO48" s="19"/>
      <c r="AP48" s="13"/>
      <c r="AQ48" s="19"/>
      <c r="AR48" s="13"/>
      <c r="AS48" s="614"/>
      <c r="AT48" s="460"/>
      <c r="AU48" s="783"/>
      <c r="AV48" s="460"/>
    </row>
    <row r="49" spans="1:48">
      <c r="A49" s="14"/>
      <c r="B49" s="15"/>
      <c r="C49" s="16"/>
      <c r="D49" s="17"/>
      <c r="E49" s="12"/>
      <c r="F49" s="18"/>
      <c r="G49" s="19"/>
      <c r="H49" s="13"/>
      <c r="I49" s="19"/>
      <c r="J49" s="13"/>
      <c r="K49" s="19"/>
      <c r="L49" s="13"/>
      <c r="M49" s="19"/>
      <c r="N49" s="13"/>
      <c r="O49" s="19"/>
      <c r="P49" s="13"/>
      <c r="Q49" s="19"/>
      <c r="R49" s="13"/>
      <c r="S49" s="19"/>
      <c r="T49" s="13"/>
      <c r="U49" s="19"/>
      <c r="V49" s="13"/>
      <c r="W49" s="19"/>
      <c r="X49" s="13"/>
      <c r="Y49" s="19"/>
      <c r="Z49" s="13"/>
      <c r="AA49" s="19"/>
      <c r="AB49" s="13"/>
      <c r="AC49" s="19"/>
      <c r="AD49" s="13"/>
      <c r="AE49" s="19"/>
      <c r="AF49" s="13"/>
      <c r="AG49" s="19"/>
      <c r="AH49" s="13"/>
      <c r="AI49" s="19"/>
      <c r="AJ49" s="13"/>
      <c r="AK49" s="19"/>
      <c r="AL49" s="13"/>
      <c r="AM49" s="19"/>
      <c r="AN49" s="13"/>
      <c r="AO49" s="19"/>
      <c r="AP49" s="13"/>
      <c r="AQ49" s="19"/>
      <c r="AR49" s="13"/>
      <c r="AS49" s="614"/>
      <c r="AT49" s="460"/>
      <c r="AU49" s="783"/>
      <c r="AV49" s="460"/>
    </row>
    <row r="50" spans="1:48">
      <c r="A50" s="14"/>
      <c r="B50" s="15"/>
      <c r="C50" s="16"/>
      <c r="D50" s="17"/>
      <c r="E50" s="12"/>
      <c r="F50" s="18"/>
      <c r="G50" s="19"/>
      <c r="H50" s="13"/>
      <c r="I50" s="19"/>
      <c r="J50" s="13"/>
      <c r="K50" s="19"/>
      <c r="L50" s="13"/>
      <c r="M50" s="19"/>
      <c r="N50" s="13"/>
      <c r="O50" s="19"/>
      <c r="P50" s="13"/>
      <c r="Q50" s="19"/>
      <c r="R50" s="13"/>
      <c r="S50" s="19"/>
      <c r="T50" s="13"/>
      <c r="U50" s="19"/>
      <c r="V50" s="13"/>
      <c r="W50" s="19"/>
      <c r="X50" s="13"/>
      <c r="Y50" s="19"/>
      <c r="Z50" s="13"/>
      <c r="AA50" s="19"/>
      <c r="AB50" s="13"/>
      <c r="AC50" s="19"/>
      <c r="AD50" s="13"/>
      <c r="AE50" s="19"/>
      <c r="AF50" s="13"/>
      <c r="AG50" s="19"/>
      <c r="AH50" s="13"/>
      <c r="AI50" s="19"/>
      <c r="AJ50" s="13"/>
      <c r="AK50" s="19"/>
      <c r="AL50" s="13"/>
      <c r="AM50" s="19"/>
      <c r="AN50" s="13"/>
      <c r="AO50" s="19"/>
      <c r="AP50" s="13"/>
      <c r="AQ50" s="19"/>
      <c r="AR50" s="13"/>
      <c r="AS50" s="614"/>
      <c r="AT50" s="460"/>
      <c r="AU50" s="783"/>
      <c r="AV50" s="460"/>
    </row>
    <row r="51" spans="1:48">
      <c r="A51" s="14"/>
      <c r="B51" s="15"/>
      <c r="C51" s="16"/>
      <c r="D51" s="17"/>
      <c r="E51" s="12"/>
      <c r="F51" s="18"/>
      <c r="G51" s="19"/>
      <c r="H51" s="13"/>
      <c r="I51" s="19"/>
      <c r="J51" s="13"/>
      <c r="K51" s="19"/>
      <c r="L51" s="13"/>
      <c r="M51" s="19"/>
      <c r="N51" s="13"/>
      <c r="O51" s="19"/>
      <c r="P51" s="13"/>
      <c r="Q51" s="19"/>
      <c r="R51" s="13"/>
      <c r="S51" s="19"/>
      <c r="T51" s="13"/>
      <c r="U51" s="19"/>
      <c r="V51" s="13"/>
      <c r="W51" s="19"/>
      <c r="X51" s="13"/>
      <c r="Y51" s="19"/>
      <c r="Z51" s="13"/>
      <c r="AA51" s="19"/>
      <c r="AB51" s="13"/>
      <c r="AC51" s="19"/>
      <c r="AD51" s="13"/>
      <c r="AE51" s="19"/>
      <c r="AF51" s="13"/>
      <c r="AG51" s="19"/>
      <c r="AH51" s="13"/>
      <c r="AI51" s="19"/>
      <c r="AJ51" s="13"/>
      <c r="AK51" s="19"/>
      <c r="AL51" s="13"/>
      <c r="AM51" s="19"/>
      <c r="AN51" s="13"/>
      <c r="AO51" s="19"/>
      <c r="AP51" s="13"/>
      <c r="AQ51" s="19"/>
      <c r="AR51" s="13"/>
      <c r="AS51" s="614"/>
      <c r="AT51" s="460"/>
      <c r="AU51" s="783"/>
      <c r="AV51" s="460"/>
    </row>
    <row r="52" spans="1:48">
      <c r="A52" s="14"/>
      <c r="B52" s="15"/>
      <c r="C52" s="16"/>
      <c r="D52" s="17"/>
      <c r="E52" s="12"/>
      <c r="F52" s="18"/>
      <c r="G52" s="19"/>
      <c r="H52" s="13"/>
      <c r="I52" s="19"/>
      <c r="J52" s="13"/>
      <c r="K52" s="19"/>
      <c r="L52" s="13"/>
      <c r="M52" s="19"/>
      <c r="N52" s="13"/>
      <c r="O52" s="19"/>
      <c r="P52" s="13"/>
      <c r="Q52" s="19"/>
      <c r="R52" s="13"/>
      <c r="S52" s="19"/>
      <c r="T52" s="13"/>
      <c r="U52" s="19"/>
      <c r="V52" s="13"/>
      <c r="W52" s="19"/>
      <c r="X52" s="13"/>
      <c r="Y52" s="19"/>
      <c r="Z52" s="13"/>
      <c r="AA52" s="19"/>
      <c r="AB52" s="13"/>
      <c r="AC52" s="19"/>
      <c r="AD52" s="13"/>
      <c r="AE52" s="19"/>
      <c r="AF52" s="13"/>
      <c r="AG52" s="19"/>
      <c r="AH52" s="13"/>
      <c r="AI52" s="19"/>
      <c r="AJ52" s="13"/>
      <c r="AK52" s="19"/>
      <c r="AL52" s="13"/>
      <c r="AM52" s="19"/>
      <c r="AN52" s="13"/>
      <c r="AO52" s="19"/>
      <c r="AP52" s="13"/>
      <c r="AQ52" s="19"/>
      <c r="AR52" s="13"/>
      <c r="AS52" s="614"/>
      <c r="AT52" s="460"/>
      <c r="AU52" s="783"/>
      <c r="AV52" s="460"/>
    </row>
    <row r="53" spans="1:48">
      <c r="A53" s="14"/>
      <c r="B53" s="15"/>
      <c r="C53" s="16"/>
      <c r="D53" s="17"/>
      <c r="E53" s="12"/>
      <c r="F53" s="18"/>
      <c r="G53" s="19"/>
      <c r="H53" s="13"/>
      <c r="I53" s="19"/>
      <c r="J53" s="13"/>
      <c r="K53" s="19"/>
      <c r="L53" s="13"/>
      <c r="M53" s="19"/>
      <c r="N53" s="13"/>
      <c r="O53" s="19"/>
      <c r="P53" s="13"/>
      <c r="Q53" s="19"/>
      <c r="R53" s="13"/>
      <c r="S53" s="19"/>
      <c r="T53" s="13"/>
      <c r="U53" s="19"/>
      <c r="V53" s="13"/>
      <c r="W53" s="19"/>
      <c r="X53" s="13"/>
      <c r="Y53" s="19"/>
      <c r="Z53" s="13"/>
      <c r="AA53" s="19"/>
      <c r="AB53" s="13"/>
      <c r="AC53" s="19"/>
      <c r="AD53" s="13"/>
      <c r="AE53" s="19"/>
      <c r="AF53" s="13"/>
      <c r="AG53" s="19"/>
      <c r="AH53" s="13"/>
      <c r="AI53" s="19"/>
      <c r="AJ53" s="13"/>
      <c r="AK53" s="19"/>
      <c r="AL53" s="13"/>
      <c r="AM53" s="19"/>
      <c r="AN53" s="13"/>
      <c r="AO53" s="19"/>
      <c r="AP53" s="13"/>
      <c r="AQ53" s="19"/>
      <c r="AR53" s="13"/>
      <c r="AS53" s="614"/>
      <c r="AT53" s="460"/>
      <c r="AU53" s="783"/>
      <c r="AV53" s="460"/>
    </row>
    <row r="54" spans="1:48">
      <c r="A54" s="14"/>
      <c r="B54" s="15"/>
      <c r="C54" s="16"/>
      <c r="D54" s="17"/>
      <c r="E54" s="12"/>
      <c r="F54" s="18"/>
      <c r="G54" s="19"/>
      <c r="H54" s="13"/>
      <c r="I54" s="19"/>
      <c r="J54" s="13"/>
      <c r="K54" s="19"/>
      <c r="L54" s="13"/>
      <c r="M54" s="19"/>
      <c r="N54" s="13"/>
      <c r="O54" s="19"/>
      <c r="P54" s="13"/>
      <c r="Q54" s="19"/>
      <c r="R54" s="13"/>
      <c r="S54" s="19"/>
      <c r="T54" s="13"/>
      <c r="U54" s="19"/>
      <c r="V54" s="13"/>
      <c r="W54" s="19"/>
      <c r="X54" s="13"/>
      <c r="Y54" s="19"/>
      <c r="Z54" s="13"/>
      <c r="AA54" s="19"/>
      <c r="AB54" s="13"/>
      <c r="AC54" s="19"/>
      <c r="AD54" s="13"/>
      <c r="AE54" s="19"/>
      <c r="AF54" s="13"/>
      <c r="AG54" s="19"/>
      <c r="AH54" s="13"/>
      <c r="AI54" s="19"/>
      <c r="AJ54" s="13"/>
      <c r="AK54" s="19"/>
      <c r="AL54" s="13"/>
      <c r="AM54" s="19"/>
      <c r="AN54" s="13"/>
      <c r="AO54" s="19"/>
      <c r="AP54" s="13"/>
      <c r="AQ54" s="19"/>
      <c r="AR54" s="13"/>
      <c r="AS54" s="614"/>
      <c r="AT54" s="460"/>
      <c r="AU54" s="783"/>
      <c r="AV54" s="460"/>
    </row>
    <row r="55" spans="1:48">
      <c r="A55" s="14"/>
      <c r="B55" s="15"/>
      <c r="C55" s="16"/>
      <c r="D55" s="17"/>
      <c r="E55" s="12"/>
      <c r="F55" s="18"/>
      <c r="G55" s="19"/>
      <c r="H55" s="13"/>
      <c r="I55" s="19"/>
      <c r="J55" s="13"/>
      <c r="K55" s="19"/>
      <c r="L55" s="13"/>
      <c r="M55" s="19"/>
      <c r="N55" s="13"/>
      <c r="O55" s="19"/>
      <c r="P55" s="13"/>
      <c r="Q55" s="19"/>
      <c r="R55" s="13"/>
      <c r="S55" s="19"/>
      <c r="T55" s="13"/>
      <c r="U55" s="19"/>
      <c r="V55" s="13"/>
      <c r="W55" s="19"/>
      <c r="X55" s="13"/>
      <c r="Y55" s="19"/>
      <c r="Z55" s="13"/>
      <c r="AA55" s="19"/>
      <c r="AB55" s="13"/>
      <c r="AC55" s="19"/>
      <c r="AD55" s="13"/>
      <c r="AE55" s="19"/>
      <c r="AF55" s="13"/>
      <c r="AG55" s="19"/>
      <c r="AH55" s="13"/>
      <c r="AI55" s="19"/>
      <c r="AJ55" s="13"/>
      <c r="AK55" s="19"/>
      <c r="AL55" s="13"/>
      <c r="AM55" s="19"/>
      <c r="AN55" s="13"/>
      <c r="AO55" s="19"/>
      <c r="AP55" s="13"/>
      <c r="AQ55" s="19"/>
      <c r="AR55" s="13"/>
      <c r="AS55" s="614"/>
      <c r="AT55" s="460"/>
      <c r="AU55" s="783"/>
      <c r="AV55" s="460"/>
    </row>
    <row r="56" spans="1:48">
      <c r="A56" s="14"/>
      <c r="B56" s="15"/>
      <c r="C56" s="16"/>
      <c r="D56" s="17"/>
      <c r="E56" s="12"/>
      <c r="F56" s="18"/>
      <c r="G56" s="19"/>
      <c r="H56" s="13"/>
      <c r="I56" s="19"/>
      <c r="J56" s="13"/>
      <c r="K56" s="19"/>
      <c r="L56" s="13"/>
      <c r="M56" s="19"/>
      <c r="N56" s="13"/>
      <c r="O56" s="19"/>
      <c r="P56" s="13"/>
      <c r="Q56" s="19"/>
      <c r="R56" s="13"/>
      <c r="S56" s="19"/>
      <c r="T56" s="13"/>
      <c r="U56" s="19"/>
      <c r="V56" s="13"/>
      <c r="W56" s="19"/>
      <c r="X56" s="13"/>
      <c r="Y56" s="19"/>
      <c r="Z56" s="13"/>
      <c r="AA56" s="19"/>
      <c r="AB56" s="13"/>
      <c r="AC56" s="19"/>
      <c r="AD56" s="13"/>
      <c r="AE56" s="19"/>
      <c r="AF56" s="13"/>
      <c r="AG56" s="19"/>
      <c r="AH56" s="13"/>
      <c r="AI56" s="19"/>
      <c r="AJ56" s="13"/>
      <c r="AK56" s="19"/>
      <c r="AL56" s="13"/>
      <c r="AM56" s="19"/>
      <c r="AN56" s="13"/>
      <c r="AO56" s="19"/>
      <c r="AP56" s="13"/>
      <c r="AQ56" s="19"/>
      <c r="AR56" s="13"/>
      <c r="AS56" s="614"/>
      <c r="AT56" s="460"/>
      <c r="AU56" s="783"/>
      <c r="AV56" s="460"/>
    </row>
    <row r="57" spans="1:48">
      <c r="A57" s="14"/>
      <c r="B57" s="15"/>
      <c r="C57" s="16"/>
      <c r="D57" s="17"/>
      <c r="E57" s="12"/>
      <c r="F57" s="18"/>
      <c r="G57" s="19"/>
      <c r="H57" s="13"/>
      <c r="I57" s="19"/>
      <c r="J57" s="13"/>
      <c r="K57" s="19"/>
      <c r="L57" s="13"/>
      <c r="M57" s="19"/>
      <c r="N57" s="13"/>
      <c r="O57" s="19"/>
      <c r="P57" s="13"/>
      <c r="Q57" s="19"/>
      <c r="R57" s="13"/>
      <c r="S57" s="19"/>
      <c r="T57" s="13"/>
      <c r="U57" s="19"/>
      <c r="V57" s="13"/>
      <c r="W57" s="19"/>
      <c r="X57" s="13"/>
      <c r="Y57" s="19"/>
      <c r="Z57" s="13"/>
      <c r="AA57" s="19"/>
      <c r="AB57" s="13"/>
      <c r="AC57" s="19"/>
      <c r="AD57" s="13"/>
      <c r="AE57" s="19"/>
      <c r="AF57" s="13"/>
      <c r="AG57" s="19"/>
      <c r="AH57" s="13"/>
      <c r="AI57" s="19"/>
      <c r="AJ57" s="13"/>
      <c r="AK57" s="19"/>
      <c r="AL57" s="13"/>
      <c r="AM57" s="19"/>
      <c r="AN57" s="13"/>
      <c r="AO57" s="19"/>
      <c r="AP57" s="13"/>
      <c r="AQ57" s="19"/>
      <c r="AR57" s="13"/>
      <c r="AS57" s="614"/>
      <c r="AT57" s="460"/>
      <c r="AU57" s="783"/>
      <c r="AV57" s="460"/>
    </row>
    <row r="58" spans="1:48">
      <c r="A58" s="14"/>
      <c r="B58" s="15"/>
      <c r="C58" s="16"/>
      <c r="D58" s="17"/>
      <c r="E58" s="12"/>
      <c r="F58" s="18"/>
      <c r="G58" s="19"/>
      <c r="H58" s="13"/>
      <c r="I58" s="19"/>
      <c r="J58" s="13"/>
      <c r="K58" s="19"/>
      <c r="L58" s="13"/>
      <c r="M58" s="19"/>
      <c r="N58" s="13"/>
      <c r="O58" s="19"/>
      <c r="P58" s="13"/>
      <c r="Q58" s="19"/>
      <c r="R58" s="13"/>
      <c r="S58" s="19"/>
      <c r="T58" s="13"/>
      <c r="U58" s="19"/>
      <c r="V58" s="13"/>
      <c r="W58" s="19"/>
      <c r="X58" s="13"/>
      <c r="Y58" s="19"/>
      <c r="Z58" s="13"/>
      <c r="AA58" s="19"/>
      <c r="AB58" s="13"/>
      <c r="AC58" s="19"/>
      <c r="AD58" s="13"/>
      <c r="AE58" s="19"/>
      <c r="AF58" s="13"/>
      <c r="AG58" s="19"/>
      <c r="AH58" s="13"/>
      <c r="AI58" s="19"/>
      <c r="AJ58" s="13"/>
      <c r="AK58" s="19"/>
      <c r="AL58" s="13"/>
      <c r="AM58" s="19"/>
      <c r="AN58" s="13"/>
      <c r="AO58" s="19"/>
      <c r="AP58" s="13"/>
      <c r="AQ58" s="19"/>
      <c r="AR58" s="13"/>
      <c r="AS58" s="614"/>
      <c r="AT58" s="460"/>
      <c r="AU58" s="783"/>
      <c r="AV58" s="460"/>
    </row>
    <row r="59" spans="1:48">
      <c r="A59" s="14"/>
      <c r="B59" s="15"/>
      <c r="C59" s="16"/>
      <c r="D59" s="17"/>
      <c r="E59" s="12"/>
      <c r="F59" s="18"/>
      <c r="G59" s="19"/>
      <c r="H59" s="13"/>
      <c r="I59" s="19"/>
      <c r="J59" s="13"/>
      <c r="K59" s="19"/>
      <c r="L59" s="13"/>
      <c r="M59" s="19"/>
      <c r="N59" s="13"/>
      <c r="O59" s="19"/>
      <c r="P59" s="13"/>
      <c r="Q59" s="19"/>
      <c r="R59" s="13"/>
      <c r="S59" s="19"/>
      <c r="T59" s="13"/>
      <c r="U59" s="19"/>
      <c r="V59" s="13"/>
      <c r="W59" s="19"/>
      <c r="X59" s="13"/>
      <c r="Y59" s="19"/>
      <c r="Z59" s="13"/>
      <c r="AA59" s="19"/>
      <c r="AB59" s="13"/>
      <c r="AC59" s="19"/>
      <c r="AD59" s="13"/>
      <c r="AE59" s="19"/>
      <c r="AF59" s="13"/>
      <c r="AG59" s="19"/>
      <c r="AH59" s="13"/>
      <c r="AI59" s="19"/>
      <c r="AJ59" s="13"/>
      <c r="AK59" s="19"/>
      <c r="AL59" s="13"/>
      <c r="AM59" s="19"/>
      <c r="AN59" s="13"/>
      <c r="AO59" s="19"/>
      <c r="AP59" s="13"/>
      <c r="AQ59" s="19"/>
      <c r="AR59" s="13"/>
      <c r="AS59" s="614"/>
      <c r="AT59" s="460"/>
      <c r="AU59" s="783"/>
      <c r="AV59" s="460"/>
    </row>
    <row r="60" spans="1:48">
      <c r="A60" s="14"/>
      <c r="B60" s="15"/>
      <c r="C60" s="16"/>
      <c r="D60" s="17"/>
      <c r="E60" s="12"/>
      <c r="F60" s="18"/>
      <c r="G60" s="19"/>
      <c r="H60" s="13"/>
      <c r="I60" s="19"/>
      <c r="J60" s="13"/>
      <c r="K60" s="19"/>
      <c r="L60" s="13"/>
      <c r="M60" s="19"/>
      <c r="N60" s="13"/>
      <c r="O60" s="19"/>
      <c r="P60" s="13"/>
      <c r="Q60" s="19"/>
      <c r="R60" s="13"/>
      <c r="S60" s="19"/>
      <c r="T60" s="13"/>
      <c r="U60" s="19"/>
      <c r="V60" s="13"/>
      <c r="W60" s="19"/>
      <c r="X60" s="13"/>
      <c r="Y60" s="19"/>
      <c r="Z60" s="13"/>
      <c r="AA60" s="19"/>
      <c r="AB60" s="13"/>
      <c r="AC60" s="19"/>
      <c r="AD60" s="13"/>
      <c r="AE60" s="19"/>
      <c r="AF60" s="13"/>
      <c r="AG60" s="19"/>
      <c r="AH60" s="13"/>
      <c r="AI60" s="19"/>
      <c r="AJ60" s="13"/>
      <c r="AK60" s="19"/>
      <c r="AL60" s="13"/>
      <c r="AM60" s="19"/>
      <c r="AN60" s="13"/>
      <c r="AO60" s="19"/>
      <c r="AP60" s="13"/>
      <c r="AQ60" s="19"/>
      <c r="AR60" s="13"/>
      <c r="AS60" s="614"/>
      <c r="AT60" s="460"/>
      <c r="AU60" s="783"/>
      <c r="AV60" s="460"/>
    </row>
    <row r="61" spans="1:48">
      <c r="A61" s="14"/>
      <c r="B61" s="15"/>
      <c r="C61" s="16"/>
      <c r="D61" s="17"/>
      <c r="E61" s="12"/>
      <c r="F61" s="18"/>
      <c r="G61" s="19"/>
      <c r="H61" s="13"/>
      <c r="I61" s="19"/>
      <c r="J61" s="13"/>
      <c r="K61" s="19"/>
      <c r="L61" s="13"/>
      <c r="M61" s="19"/>
      <c r="N61" s="13"/>
      <c r="O61" s="19"/>
      <c r="P61" s="13"/>
      <c r="Q61" s="19"/>
      <c r="R61" s="13"/>
      <c r="S61" s="19"/>
      <c r="T61" s="13"/>
      <c r="U61" s="19"/>
      <c r="V61" s="13"/>
      <c r="W61" s="19"/>
      <c r="X61" s="13"/>
      <c r="Y61" s="19"/>
      <c r="Z61" s="13"/>
      <c r="AA61" s="19"/>
      <c r="AB61" s="13"/>
      <c r="AC61" s="19"/>
      <c r="AD61" s="13"/>
      <c r="AE61" s="19"/>
      <c r="AF61" s="13"/>
      <c r="AG61" s="19"/>
      <c r="AH61" s="13"/>
      <c r="AI61" s="19"/>
      <c r="AJ61" s="13"/>
      <c r="AK61" s="19"/>
      <c r="AL61" s="13"/>
      <c r="AM61" s="19"/>
      <c r="AN61" s="13"/>
      <c r="AO61" s="19"/>
      <c r="AP61" s="13"/>
      <c r="AQ61" s="19"/>
      <c r="AR61" s="13"/>
      <c r="AS61" s="614"/>
      <c r="AT61" s="460"/>
      <c r="AU61" s="783"/>
      <c r="AV61" s="460"/>
    </row>
    <row r="62" spans="1:48">
      <c r="A62" s="14"/>
      <c r="B62" s="15"/>
      <c r="C62" s="16"/>
      <c r="D62" s="17"/>
      <c r="E62" s="12"/>
      <c r="F62" s="18"/>
      <c r="G62" s="19"/>
      <c r="H62" s="13"/>
      <c r="I62" s="19"/>
      <c r="J62" s="13"/>
      <c r="K62" s="19"/>
      <c r="L62" s="13"/>
      <c r="M62" s="19"/>
      <c r="N62" s="13"/>
      <c r="O62" s="19"/>
      <c r="P62" s="13"/>
      <c r="Q62" s="19"/>
      <c r="R62" s="13"/>
      <c r="S62" s="19"/>
      <c r="T62" s="13"/>
      <c r="U62" s="19"/>
      <c r="V62" s="13"/>
      <c r="W62" s="19"/>
      <c r="X62" s="13"/>
      <c r="Y62" s="19"/>
      <c r="Z62" s="13"/>
      <c r="AA62" s="19"/>
      <c r="AB62" s="13"/>
      <c r="AC62" s="19"/>
      <c r="AD62" s="13"/>
      <c r="AE62" s="19"/>
      <c r="AF62" s="13"/>
      <c r="AG62" s="19"/>
      <c r="AH62" s="13"/>
      <c r="AI62" s="19"/>
      <c r="AJ62" s="13"/>
      <c r="AK62" s="19"/>
      <c r="AL62" s="13"/>
      <c r="AM62" s="19"/>
      <c r="AN62" s="13"/>
      <c r="AO62" s="19"/>
      <c r="AP62" s="13"/>
      <c r="AQ62" s="19"/>
      <c r="AR62" s="13"/>
      <c r="AS62" s="614"/>
      <c r="AT62" s="460"/>
      <c r="AU62" s="783"/>
      <c r="AV62" s="460"/>
    </row>
    <row r="63" spans="1:48">
      <c r="A63" s="14"/>
      <c r="B63" s="15"/>
      <c r="C63" s="16"/>
      <c r="D63" s="17"/>
      <c r="E63" s="12"/>
      <c r="F63" s="18"/>
      <c r="G63" s="19"/>
      <c r="H63" s="13"/>
      <c r="I63" s="19"/>
      <c r="J63" s="13"/>
      <c r="K63" s="19"/>
      <c r="L63" s="13"/>
      <c r="M63" s="19"/>
      <c r="N63" s="13"/>
      <c r="O63" s="19"/>
      <c r="P63" s="13"/>
      <c r="Q63" s="19"/>
      <c r="R63" s="13"/>
      <c r="S63" s="19"/>
      <c r="T63" s="13"/>
      <c r="U63" s="19"/>
      <c r="V63" s="13"/>
      <c r="W63" s="19"/>
      <c r="X63" s="13"/>
      <c r="Y63" s="19"/>
      <c r="Z63" s="13"/>
      <c r="AA63" s="19"/>
      <c r="AB63" s="13"/>
      <c r="AC63" s="19"/>
      <c r="AD63" s="13"/>
      <c r="AE63" s="19"/>
      <c r="AF63" s="13"/>
      <c r="AG63" s="19"/>
      <c r="AH63" s="13"/>
      <c r="AI63" s="19"/>
      <c r="AJ63" s="13"/>
      <c r="AK63" s="19"/>
      <c r="AL63" s="13"/>
      <c r="AM63" s="19"/>
      <c r="AN63" s="13"/>
      <c r="AO63" s="19"/>
      <c r="AP63" s="13"/>
      <c r="AQ63" s="19"/>
      <c r="AR63" s="13"/>
      <c r="AS63" s="614"/>
      <c r="AT63" s="460"/>
      <c r="AU63" s="783"/>
      <c r="AV63" s="460"/>
    </row>
    <row r="64" spans="1:48">
      <c r="A64" s="14"/>
      <c r="B64" s="15"/>
      <c r="C64" s="16"/>
      <c r="D64" s="17"/>
      <c r="E64" s="12"/>
      <c r="F64" s="18"/>
      <c r="G64" s="19"/>
      <c r="H64" s="13"/>
      <c r="I64" s="19"/>
      <c r="J64" s="13"/>
      <c r="K64" s="19"/>
      <c r="L64" s="13"/>
      <c r="M64" s="19"/>
      <c r="N64" s="13"/>
      <c r="O64" s="19"/>
      <c r="P64" s="13"/>
      <c r="Q64" s="19"/>
      <c r="R64" s="13"/>
      <c r="S64" s="19"/>
      <c r="T64" s="13"/>
      <c r="U64" s="19"/>
      <c r="V64" s="13"/>
      <c r="W64" s="19"/>
      <c r="X64" s="13"/>
      <c r="Y64" s="19"/>
      <c r="Z64" s="13"/>
      <c r="AA64" s="19"/>
      <c r="AB64" s="13"/>
      <c r="AC64" s="19"/>
      <c r="AD64" s="13"/>
      <c r="AE64" s="19"/>
      <c r="AF64" s="13"/>
      <c r="AG64" s="19"/>
      <c r="AH64" s="13"/>
      <c r="AI64" s="19"/>
      <c r="AJ64" s="13"/>
      <c r="AK64" s="19"/>
      <c r="AL64" s="13"/>
      <c r="AM64" s="19"/>
      <c r="AN64" s="13"/>
      <c r="AO64" s="19"/>
      <c r="AP64" s="13"/>
      <c r="AQ64" s="19"/>
      <c r="AR64" s="13"/>
      <c r="AS64" s="614"/>
      <c r="AT64" s="460"/>
      <c r="AU64" s="783"/>
      <c r="AV64" s="460"/>
    </row>
    <row r="65" spans="1:48">
      <c r="A65" s="14"/>
      <c r="B65" s="15"/>
      <c r="C65" s="16"/>
      <c r="D65" s="17"/>
      <c r="E65" s="12"/>
      <c r="F65" s="18"/>
      <c r="G65" s="19"/>
      <c r="H65" s="13"/>
      <c r="I65" s="19"/>
      <c r="J65" s="13"/>
      <c r="K65" s="19"/>
      <c r="L65" s="13"/>
      <c r="M65" s="19"/>
      <c r="N65" s="13"/>
      <c r="O65" s="19"/>
      <c r="P65" s="13"/>
      <c r="Q65" s="19"/>
      <c r="R65" s="13"/>
      <c r="S65" s="19"/>
      <c r="T65" s="13"/>
      <c r="U65" s="19"/>
      <c r="V65" s="13"/>
      <c r="W65" s="19"/>
      <c r="X65" s="13"/>
      <c r="Y65" s="19"/>
      <c r="Z65" s="13"/>
      <c r="AA65" s="19"/>
      <c r="AB65" s="13"/>
      <c r="AC65" s="19"/>
      <c r="AD65" s="13"/>
      <c r="AE65" s="19"/>
      <c r="AF65" s="13"/>
      <c r="AG65" s="19"/>
      <c r="AH65" s="13"/>
      <c r="AI65" s="19"/>
      <c r="AJ65" s="13"/>
      <c r="AK65" s="19"/>
      <c r="AL65" s="13"/>
      <c r="AM65" s="19"/>
      <c r="AN65" s="13"/>
      <c r="AO65" s="19"/>
      <c r="AP65" s="13"/>
      <c r="AQ65" s="19"/>
      <c r="AR65" s="13"/>
      <c r="AS65" s="614"/>
      <c r="AT65" s="460"/>
      <c r="AU65" s="783"/>
      <c r="AV65" s="460"/>
    </row>
    <row r="66" spans="1:48">
      <c r="A66" s="14"/>
      <c r="B66" s="15"/>
      <c r="C66" s="16"/>
      <c r="D66" s="17"/>
      <c r="E66" s="12"/>
      <c r="F66" s="18"/>
      <c r="G66" s="19"/>
      <c r="H66" s="13"/>
      <c r="I66" s="19"/>
      <c r="J66" s="13"/>
      <c r="K66" s="19"/>
      <c r="L66" s="13"/>
      <c r="M66" s="19"/>
      <c r="N66" s="13"/>
      <c r="O66" s="19"/>
      <c r="P66" s="13"/>
      <c r="Q66" s="19"/>
      <c r="R66" s="13"/>
      <c r="S66" s="19"/>
      <c r="T66" s="13"/>
      <c r="U66" s="19"/>
      <c r="V66" s="13"/>
      <c r="W66" s="19"/>
      <c r="X66" s="13"/>
      <c r="Y66" s="19"/>
      <c r="Z66" s="13"/>
      <c r="AA66" s="19"/>
      <c r="AB66" s="13"/>
      <c r="AC66" s="19"/>
      <c r="AD66" s="13"/>
      <c r="AE66" s="19"/>
      <c r="AF66" s="13"/>
      <c r="AG66" s="19"/>
      <c r="AH66" s="13"/>
      <c r="AI66" s="19"/>
      <c r="AJ66" s="13"/>
      <c r="AK66" s="19"/>
      <c r="AL66" s="13"/>
      <c r="AM66" s="19"/>
      <c r="AN66" s="13"/>
      <c r="AO66" s="19"/>
      <c r="AP66" s="13"/>
      <c r="AQ66" s="19"/>
      <c r="AR66" s="13"/>
      <c r="AS66" s="614"/>
      <c r="AT66" s="460"/>
      <c r="AU66" s="783"/>
      <c r="AV66" s="460"/>
    </row>
    <row r="67" spans="1:48">
      <c r="A67" s="14"/>
      <c r="B67" s="15"/>
      <c r="C67" s="16"/>
      <c r="D67" s="17"/>
      <c r="E67" s="12"/>
      <c r="F67" s="18"/>
      <c r="G67" s="19"/>
      <c r="H67" s="13"/>
      <c r="I67" s="19"/>
      <c r="J67" s="13"/>
      <c r="K67" s="19"/>
      <c r="L67" s="13"/>
      <c r="M67" s="19"/>
      <c r="N67" s="13"/>
      <c r="O67" s="19"/>
      <c r="P67" s="13"/>
      <c r="Q67" s="19"/>
      <c r="R67" s="13"/>
      <c r="S67" s="19"/>
      <c r="T67" s="13"/>
      <c r="U67" s="19"/>
      <c r="V67" s="13"/>
      <c r="W67" s="19"/>
      <c r="X67" s="13"/>
      <c r="Y67" s="19"/>
      <c r="Z67" s="13"/>
      <c r="AA67" s="19"/>
      <c r="AB67" s="13"/>
      <c r="AC67" s="19"/>
      <c r="AD67" s="13"/>
      <c r="AE67" s="19"/>
      <c r="AF67" s="13"/>
      <c r="AG67" s="19"/>
      <c r="AH67" s="13"/>
      <c r="AI67" s="19"/>
      <c r="AJ67" s="13"/>
      <c r="AK67" s="19"/>
      <c r="AL67" s="13"/>
      <c r="AM67" s="19"/>
      <c r="AN67" s="13"/>
      <c r="AO67" s="19"/>
      <c r="AP67" s="13"/>
      <c r="AQ67" s="19"/>
      <c r="AR67" s="13"/>
      <c r="AS67" s="614"/>
      <c r="AT67" s="460"/>
      <c r="AU67" s="783"/>
      <c r="AV67" s="460"/>
    </row>
    <row r="68" spans="1:48">
      <c r="A68" s="14"/>
      <c r="B68" s="15"/>
      <c r="C68" s="16"/>
      <c r="D68" s="17"/>
      <c r="E68" s="12"/>
      <c r="F68" s="18"/>
      <c r="G68" s="19"/>
      <c r="H68" s="13"/>
      <c r="I68" s="19"/>
      <c r="J68" s="13"/>
      <c r="K68" s="19"/>
      <c r="L68" s="13"/>
      <c r="M68" s="19"/>
      <c r="N68" s="13"/>
      <c r="O68" s="19"/>
      <c r="P68" s="13"/>
      <c r="Q68" s="19"/>
      <c r="R68" s="13"/>
      <c r="S68" s="19"/>
      <c r="T68" s="13"/>
      <c r="U68" s="19"/>
      <c r="V68" s="13"/>
      <c r="W68" s="19"/>
      <c r="X68" s="13"/>
      <c r="Y68" s="19"/>
      <c r="Z68" s="13"/>
      <c r="AA68" s="19"/>
      <c r="AB68" s="13"/>
      <c r="AC68" s="19"/>
      <c r="AD68" s="13"/>
      <c r="AE68" s="19"/>
      <c r="AF68" s="13"/>
      <c r="AG68" s="19"/>
      <c r="AH68" s="13"/>
      <c r="AI68" s="19"/>
      <c r="AJ68" s="13"/>
      <c r="AK68" s="19"/>
      <c r="AL68" s="13"/>
      <c r="AM68" s="19"/>
      <c r="AN68" s="13"/>
      <c r="AO68" s="19"/>
      <c r="AP68" s="13"/>
      <c r="AQ68" s="19"/>
      <c r="AR68" s="13"/>
      <c r="AS68" s="614"/>
      <c r="AT68" s="460"/>
      <c r="AU68" s="783"/>
      <c r="AV68" s="460"/>
    </row>
    <row r="69" spans="1:48">
      <c r="A69" s="14"/>
      <c r="B69" s="15"/>
      <c r="C69" s="16"/>
      <c r="D69" s="17"/>
      <c r="E69" s="12"/>
      <c r="F69" s="18"/>
      <c r="G69" s="19"/>
      <c r="H69" s="13"/>
      <c r="I69" s="19"/>
      <c r="J69" s="13"/>
      <c r="K69" s="19"/>
      <c r="L69" s="13"/>
      <c r="M69" s="19"/>
      <c r="N69" s="13"/>
      <c r="O69" s="19"/>
      <c r="P69" s="13"/>
      <c r="Q69" s="19"/>
      <c r="R69" s="13"/>
      <c r="S69" s="19"/>
      <c r="T69" s="13"/>
      <c r="U69" s="19"/>
      <c r="V69" s="13"/>
      <c r="W69" s="19"/>
      <c r="X69" s="13"/>
      <c r="Y69" s="19"/>
      <c r="Z69" s="13"/>
      <c r="AA69" s="19"/>
      <c r="AB69" s="13"/>
      <c r="AC69" s="19"/>
      <c r="AD69" s="13"/>
      <c r="AE69" s="19"/>
      <c r="AF69" s="13"/>
      <c r="AG69" s="19"/>
      <c r="AH69" s="13"/>
      <c r="AI69" s="19"/>
      <c r="AJ69" s="13"/>
      <c r="AK69" s="19"/>
      <c r="AL69" s="13"/>
      <c r="AM69" s="19"/>
      <c r="AN69" s="13"/>
      <c r="AO69" s="19"/>
      <c r="AP69" s="13"/>
      <c r="AQ69" s="19"/>
      <c r="AR69" s="13"/>
      <c r="AS69" s="614"/>
      <c r="AT69" s="460"/>
      <c r="AU69" s="783"/>
      <c r="AV69" s="460"/>
    </row>
    <row r="70" spans="1:48">
      <c r="A70" s="14"/>
      <c r="B70" s="15"/>
      <c r="C70" s="16"/>
      <c r="D70" s="17"/>
      <c r="E70" s="12"/>
      <c r="F70" s="18"/>
      <c r="G70" s="19"/>
      <c r="H70" s="13"/>
      <c r="I70" s="19"/>
      <c r="J70" s="13"/>
      <c r="K70" s="19"/>
      <c r="L70" s="13"/>
      <c r="M70" s="19"/>
      <c r="N70" s="13"/>
      <c r="O70" s="19"/>
      <c r="P70" s="13"/>
      <c r="Q70" s="19"/>
      <c r="R70" s="13"/>
      <c r="S70" s="19"/>
      <c r="T70" s="13"/>
      <c r="U70" s="19"/>
      <c r="V70" s="13"/>
      <c r="W70" s="19"/>
      <c r="X70" s="13"/>
      <c r="Y70" s="19"/>
      <c r="Z70" s="13"/>
      <c r="AA70" s="19"/>
      <c r="AB70" s="13"/>
      <c r="AC70" s="19"/>
      <c r="AD70" s="13"/>
      <c r="AE70" s="19"/>
      <c r="AF70" s="13"/>
      <c r="AG70" s="19"/>
      <c r="AH70" s="13"/>
      <c r="AI70" s="19"/>
      <c r="AJ70" s="13"/>
      <c r="AK70" s="19"/>
      <c r="AL70" s="13"/>
      <c r="AM70" s="19"/>
      <c r="AN70" s="13"/>
      <c r="AO70" s="19"/>
      <c r="AP70" s="13"/>
      <c r="AQ70" s="19"/>
      <c r="AR70" s="13"/>
      <c r="AS70" s="614"/>
      <c r="AT70" s="460"/>
      <c r="AU70" s="783"/>
      <c r="AV70" s="460"/>
    </row>
    <row r="71" spans="1:48">
      <c r="A71" s="14"/>
      <c r="B71" s="15"/>
      <c r="C71" s="16"/>
      <c r="D71" s="17"/>
      <c r="E71" s="12"/>
      <c r="F71" s="18"/>
      <c r="G71" s="19"/>
      <c r="H71" s="13"/>
      <c r="I71" s="19"/>
      <c r="J71" s="13"/>
      <c r="K71" s="19"/>
      <c r="L71" s="13"/>
      <c r="M71" s="19"/>
      <c r="N71" s="13"/>
      <c r="O71" s="19"/>
      <c r="P71" s="13"/>
      <c r="Q71" s="19"/>
      <c r="R71" s="13"/>
      <c r="S71" s="19"/>
      <c r="T71" s="13"/>
      <c r="U71" s="19"/>
      <c r="V71" s="13"/>
      <c r="W71" s="19"/>
      <c r="X71" s="13"/>
      <c r="Y71" s="19"/>
      <c r="Z71" s="13"/>
      <c r="AA71" s="19"/>
      <c r="AB71" s="13"/>
      <c r="AC71" s="19"/>
      <c r="AD71" s="13"/>
      <c r="AE71" s="19"/>
      <c r="AF71" s="13"/>
      <c r="AG71" s="19"/>
      <c r="AH71" s="13"/>
      <c r="AI71" s="19"/>
      <c r="AJ71" s="13"/>
      <c r="AK71" s="19"/>
      <c r="AL71" s="13"/>
      <c r="AM71" s="19"/>
      <c r="AN71" s="13"/>
      <c r="AO71" s="19"/>
      <c r="AP71" s="13"/>
      <c r="AQ71" s="19"/>
      <c r="AR71" s="13"/>
      <c r="AS71" s="614"/>
      <c r="AT71" s="460"/>
      <c r="AU71" s="783"/>
      <c r="AV71" s="460"/>
    </row>
    <row r="72" spans="1:48">
      <c r="A72" s="14"/>
      <c r="B72" s="15"/>
      <c r="C72" s="16"/>
      <c r="D72" s="17"/>
      <c r="E72" s="12"/>
      <c r="F72" s="18"/>
      <c r="G72" s="19"/>
      <c r="H72" s="13"/>
      <c r="I72" s="19"/>
      <c r="J72" s="13"/>
      <c r="K72" s="19"/>
      <c r="L72" s="13"/>
      <c r="M72" s="19"/>
      <c r="N72" s="13"/>
      <c r="O72" s="19"/>
      <c r="P72" s="13"/>
      <c r="Q72" s="19"/>
      <c r="R72" s="13"/>
      <c r="S72" s="19"/>
      <c r="T72" s="13"/>
      <c r="U72" s="19"/>
      <c r="V72" s="13"/>
      <c r="W72" s="19"/>
      <c r="X72" s="13"/>
      <c r="Y72" s="19"/>
      <c r="Z72" s="13"/>
      <c r="AA72" s="19"/>
      <c r="AB72" s="13"/>
      <c r="AC72" s="19"/>
      <c r="AD72" s="13"/>
      <c r="AE72" s="19"/>
      <c r="AF72" s="13"/>
      <c r="AG72" s="19"/>
      <c r="AH72" s="13"/>
      <c r="AI72" s="19"/>
      <c r="AJ72" s="13"/>
      <c r="AK72" s="19"/>
      <c r="AL72" s="13"/>
      <c r="AM72" s="19"/>
      <c r="AN72" s="13"/>
      <c r="AO72" s="19"/>
      <c r="AP72" s="13"/>
      <c r="AQ72" s="19"/>
      <c r="AR72" s="13"/>
      <c r="AS72" s="614"/>
      <c r="AT72" s="460"/>
      <c r="AU72" s="783"/>
      <c r="AV72" s="460"/>
    </row>
    <row r="73" spans="1:48">
      <c r="A73" s="14"/>
      <c r="B73" s="15"/>
      <c r="C73" s="16"/>
      <c r="D73" s="17"/>
      <c r="E73" s="12"/>
      <c r="F73" s="18"/>
      <c r="G73" s="19"/>
      <c r="H73" s="13"/>
      <c r="I73" s="19"/>
      <c r="J73" s="13"/>
      <c r="K73" s="19"/>
      <c r="L73" s="13"/>
      <c r="M73" s="19"/>
      <c r="N73" s="13"/>
      <c r="O73" s="19"/>
      <c r="P73" s="13"/>
      <c r="Q73" s="19"/>
      <c r="R73" s="13"/>
      <c r="S73" s="19"/>
      <c r="T73" s="13"/>
      <c r="U73" s="19"/>
      <c r="V73" s="13"/>
      <c r="W73" s="19"/>
      <c r="X73" s="13"/>
      <c r="Y73" s="19"/>
      <c r="Z73" s="13"/>
      <c r="AA73" s="19"/>
      <c r="AB73" s="13"/>
      <c r="AC73" s="19"/>
      <c r="AD73" s="13"/>
      <c r="AE73" s="19"/>
      <c r="AF73" s="13"/>
      <c r="AG73" s="19"/>
      <c r="AH73" s="13"/>
      <c r="AI73" s="19"/>
      <c r="AJ73" s="13"/>
      <c r="AK73" s="19"/>
      <c r="AL73" s="13"/>
      <c r="AM73" s="19"/>
      <c r="AN73" s="13"/>
      <c r="AO73" s="19"/>
      <c r="AP73" s="13"/>
      <c r="AQ73" s="19"/>
      <c r="AR73" s="13"/>
      <c r="AS73" s="614"/>
      <c r="AT73" s="460"/>
      <c r="AU73" s="783"/>
      <c r="AV73" s="460"/>
    </row>
    <row r="74" spans="1:48">
      <c r="A74" s="14"/>
      <c r="B74" s="15"/>
      <c r="C74" s="16"/>
      <c r="D74" s="17"/>
      <c r="E74" s="12"/>
      <c r="F74" s="18"/>
      <c r="G74" s="19"/>
      <c r="H74" s="13"/>
      <c r="I74" s="19"/>
      <c r="J74" s="13"/>
      <c r="K74" s="19"/>
      <c r="L74" s="13"/>
      <c r="M74" s="19"/>
      <c r="N74" s="13"/>
      <c r="O74" s="19"/>
      <c r="P74" s="13"/>
      <c r="Q74" s="19"/>
      <c r="R74" s="13"/>
      <c r="S74" s="19"/>
      <c r="T74" s="13"/>
      <c r="U74" s="19"/>
      <c r="V74" s="13"/>
      <c r="W74" s="19"/>
      <c r="X74" s="13"/>
      <c r="Y74" s="19"/>
      <c r="Z74" s="13"/>
      <c r="AA74" s="19"/>
      <c r="AB74" s="13"/>
      <c r="AC74" s="19"/>
      <c r="AD74" s="13"/>
      <c r="AE74" s="19"/>
      <c r="AF74" s="13"/>
      <c r="AG74" s="19"/>
      <c r="AH74" s="13"/>
      <c r="AI74" s="19"/>
      <c r="AJ74" s="13"/>
      <c r="AK74" s="19"/>
      <c r="AL74" s="13"/>
      <c r="AM74" s="19"/>
      <c r="AN74" s="13"/>
      <c r="AO74" s="19"/>
      <c r="AP74" s="13"/>
      <c r="AQ74" s="19"/>
      <c r="AR74" s="13"/>
      <c r="AS74" s="614"/>
      <c r="AT74" s="460"/>
      <c r="AU74" s="783"/>
      <c r="AV74" s="460"/>
    </row>
    <row r="75" spans="1:48">
      <c r="A75" s="14"/>
      <c r="B75" s="15"/>
      <c r="C75" s="16"/>
      <c r="D75" s="17"/>
      <c r="E75" s="12"/>
      <c r="F75" s="18"/>
      <c r="G75" s="19"/>
      <c r="H75" s="13"/>
      <c r="I75" s="19"/>
      <c r="J75" s="13"/>
      <c r="K75" s="19"/>
      <c r="L75" s="13"/>
      <c r="M75" s="19"/>
      <c r="N75" s="13"/>
      <c r="O75" s="19"/>
      <c r="P75" s="13"/>
      <c r="Q75" s="19"/>
      <c r="R75" s="13"/>
      <c r="S75" s="19"/>
      <c r="T75" s="13"/>
      <c r="U75" s="19"/>
      <c r="V75" s="13"/>
      <c r="W75" s="19"/>
      <c r="X75" s="13"/>
      <c r="Y75" s="19"/>
      <c r="Z75" s="13"/>
      <c r="AA75" s="19"/>
      <c r="AB75" s="13"/>
      <c r="AC75" s="19"/>
      <c r="AD75" s="13"/>
      <c r="AE75" s="19"/>
      <c r="AF75" s="13"/>
      <c r="AG75" s="19"/>
      <c r="AH75" s="13"/>
      <c r="AI75" s="19"/>
      <c r="AJ75" s="13"/>
      <c r="AK75" s="19"/>
      <c r="AL75" s="13"/>
      <c r="AM75" s="19"/>
      <c r="AN75" s="13"/>
      <c r="AO75" s="19"/>
      <c r="AP75" s="13"/>
      <c r="AQ75" s="19"/>
      <c r="AR75" s="13"/>
      <c r="AS75" s="614"/>
      <c r="AT75" s="460"/>
      <c r="AU75" s="783"/>
      <c r="AV75" s="460"/>
    </row>
    <row r="76" spans="1:48">
      <c r="A76" s="14"/>
      <c r="B76" s="15"/>
      <c r="C76" s="16"/>
      <c r="D76" s="17"/>
      <c r="E76" s="12"/>
      <c r="F76" s="18"/>
      <c r="G76" s="19"/>
      <c r="H76" s="13"/>
      <c r="I76" s="19"/>
      <c r="J76" s="13"/>
      <c r="K76" s="19"/>
      <c r="L76" s="13"/>
      <c r="M76" s="19"/>
      <c r="N76" s="13"/>
      <c r="O76" s="19"/>
      <c r="P76" s="13"/>
      <c r="Q76" s="19"/>
      <c r="R76" s="13"/>
      <c r="S76" s="19"/>
      <c r="T76" s="13"/>
      <c r="U76" s="19"/>
      <c r="V76" s="13"/>
      <c r="W76" s="19"/>
      <c r="X76" s="13"/>
      <c r="Y76" s="19"/>
      <c r="Z76" s="13"/>
      <c r="AA76" s="19"/>
      <c r="AB76" s="13"/>
      <c r="AC76" s="19"/>
      <c r="AD76" s="13"/>
      <c r="AE76" s="19"/>
      <c r="AF76" s="13"/>
      <c r="AG76" s="19"/>
      <c r="AH76" s="13"/>
      <c r="AI76" s="19"/>
      <c r="AJ76" s="13"/>
      <c r="AK76" s="19"/>
      <c r="AL76" s="13"/>
      <c r="AM76" s="19"/>
      <c r="AN76" s="13"/>
      <c r="AO76" s="19"/>
      <c r="AP76" s="13"/>
      <c r="AQ76" s="19"/>
      <c r="AR76" s="13"/>
      <c r="AS76" s="614"/>
      <c r="AT76" s="460"/>
      <c r="AU76" s="783"/>
      <c r="AV76" s="460"/>
    </row>
    <row r="77" spans="1:48">
      <c r="A77" s="14"/>
      <c r="B77" s="15"/>
      <c r="C77" s="16"/>
      <c r="D77" s="17"/>
      <c r="E77" s="12"/>
      <c r="F77" s="18"/>
      <c r="G77" s="19"/>
      <c r="H77" s="13"/>
      <c r="I77" s="19"/>
      <c r="J77" s="13"/>
      <c r="K77" s="19"/>
      <c r="L77" s="13"/>
      <c r="M77" s="19"/>
      <c r="N77" s="13"/>
      <c r="O77" s="19"/>
      <c r="P77" s="13"/>
      <c r="Q77" s="19"/>
      <c r="R77" s="13"/>
      <c r="S77" s="19"/>
      <c r="T77" s="13"/>
      <c r="U77" s="19"/>
      <c r="V77" s="13"/>
      <c r="W77" s="19"/>
      <c r="X77" s="13"/>
      <c r="Y77" s="19"/>
      <c r="Z77" s="13"/>
      <c r="AA77" s="19"/>
      <c r="AB77" s="13"/>
      <c r="AC77" s="19"/>
      <c r="AD77" s="13"/>
      <c r="AE77" s="19"/>
      <c r="AF77" s="13"/>
      <c r="AG77" s="19"/>
      <c r="AH77" s="13"/>
      <c r="AI77" s="19"/>
      <c r="AJ77" s="13"/>
      <c r="AK77" s="19"/>
      <c r="AL77" s="13"/>
      <c r="AM77" s="19"/>
      <c r="AN77" s="13"/>
      <c r="AO77" s="19"/>
      <c r="AP77" s="13"/>
      <c r="AQ77" s="19"/>
      <c r="AR77" s="13"/>
      <c r="AS77" s="614"/>
      <c r="AT77" s="460"/>
      <c r="AU77" s="783"/>
      <c r="AV77" s="460"/>
    </row>
    <row r="78" spans="1:48">
      <c r="A78" s="14"/>
      <c r="B78" s="15"/>
      <c r="C78" s="16"/>
      <c r="D78" s="17"/>
      <c r="E78" s="12"/>
      <c r="F78" s="18"/>
      <c r="G78" s="19"/>
      <c r="H78" s="13"/>
      <c r="I78" s="19"/>
      <c r="J78" s="13"/>
      <c r="K78" s="19"/>
      <c r="L78" s="13"/>
      <c r="M78" s="19"/>
      <c r="N78" s="13"/>
      <c r="O78" s="19"/>
      <c r="P78" s="13"/>
      <c r="Q78" s="19"/>
      <c r="R78" s="13"/>
      <c r="S78" s="19"/>
      <c r="T78" s="13"/>
      <c r="U78" s="19"/>
      <c r="V78" s="13"/>
      <c r="W78" s="19"/>
      <c r="X78" s="13"/>
      <c r="Y78" s="19"/>
      <c r="Z78" s="13"/>
      <c r="AA78" s="19"/>
      <c r="AB78" s="13"/>
      <c r="AC78" s="19"/>
      <c r="AD78" s="13"/>
      <c r="AE78" s="19"/>
      <c r="AF78" s="13"/>
      <c r="AG78" s="19"/>
      <c r="AH78" s="13"/>
      <c r="AI78" s="19"/>
      <c r="AJ78" s="13"/>
      <c r="AK78" s="19"/>
      <c r="AL78" s="13"/>
      <c r="AM78" s="19"/>
      <c r="AN78" s="13"/>
      <c r="AO78" s="19"/>
      <c r="AP78" s="13"/>
      <c r="AQ78" s="19"/>
      <c r="AR78" s="13"/>
      <c r="AS78" s="614"/>
      <c r="AT78" s="460"/>
      <c r="AU78" s="783"/>
      <c r="AV78" s="460"/>
    </row>
    <row r="79" spans="1:48">
      <c r="A79" s="14"/>
      <c r="B79" s="15"/>
      <c r="C79" s="16"/>
      <c r="D79" s="17"/>
      <c r="E79" s="12"/>
      <c r="F79" s="18"/>
      <c r="G79" s="19"/>
      <c r="H79" s="13"/>
      <c r="I79" s="19"/>
      <c r="J79" s="13"/>
      <c r="K79" s="19"/>
      <c r="L79" s="13"/>
      <c r="M79" s="19"/>
      <c r="N79" s="13"/>
      <c r="O79" s="19"/>
      <c r="P79" s="13"/>
      <c r="Q79" s="19"/>
      <c r="R79" s="13"/>
      <c r="S79" s="19"/>
      <c r="T79" s="13"/>
      <c r="U79" s="19"/>
      <c r="V79" s="13"/>
      <c r="W79" s="19"/>
      <c r="X79" s="13"/>
      <c r="Y79" s="19"/>
      <c r="Z79" s="13"/>
      <c r="AA79" s="19"/>
      <c r="AB79" s="13"/>
      <c r="AC79" s="19"/>
      <c r="AD79" s="13"/>
      <c r="AE79" s="19"/>
      <c r="AF79" s="13"/>
      <c r="AG79" s="19"/>
      <c r="AH79" s="13"/>
      <c r="AI79" s="19"/>
      <c r="AJ79" s="13"/>
      <c r="AK79" s="19"/>
      <c r="AL79" s="13"/>
      <c r="AM79" s="19"/>
      <c r="AN79" s="13"/>
      <c r="AO79" s="19"/>
      <c r="AP79" s="13"/>
      <c r="AQ79" s="19"/>
      <c r="AR79" s="13"/>
      <c r="AS79" s="614"/>
      <c r="AT79" s="460"/>
      <c r="AU79" s="783"/>
      <c r="AV79" s="460"/>
    </row>
    <row r="80" spans="1:48">
      <c r="A80" s="14"/>
      <c r="B80" s="15"/>
      <c r="C80" s="16"/>
      <c r="D80" s="17"/>
      <c r="E80" s="12"/>
      <c r="F80" s="18"/>
      <c r="G80" s="19"/>
      <c r="H80" s="13"/>
      <c r="I80" s="19"/>
      <c r="J80" s="13"/>
      <c r="K80" s="19"/>
      <c r="L80" s="13"/>
      <c r="M80" s="19"/>
      <c r="N80" s="13"/>
      <c r="O80" s="19"/>
      <c r="P80" s="13"/>
      <c r="Q80" s="19"/>
      <c r="R80" s="13"/>
      <c r="S80" s="19"/>
      <c r="T80" s="13"/>
      <c r="U80" s="19"/>
      <c r="V80" s="13"/>
      <c r="W80" s="19"/>
      <c r="X80" s="13"/>
      <c r="Y80" s="19"/>
      <c r="Z80" s="13"/>
      <c r="AA80" s="19"/>
      <c r="AB80" s="13"/>
      <c r="AC80" s="19"/>
      <c r="AD80" s="13"/>
      <c r="AE80" s="19"/>
      <c r="AF80" s="13"/>
      <c r="AG80" s="19"/>
      <c r="AH80" s="13"/>
      <c r="AI80" s="19"/>
      <c r="AJ80" s="13"/>
      <c r="AK80" s="19"/>
      <c r="AL80" s="13"/>
      <c r="AM80" s="19"/>
      <c r="AN80" s="13"/>
      <c r="AO80" s="19"/>
      <c r="AP80" s="13"/>
      <c r="AQ80" s="19"/>
      <c r="AR80" s="13"/>
      <c r="AS80" s="614"/>
      <c r="AT80" s="460"/>
      <c r="AU80" s="783"/>
      <c r="AV80" s="460"/>
    </row>
    <row r="81" spans="1:48">
      <c r="A81" s="14"/>
      <c r="B81" s="15"/>
      <c r="C81" s="16"/>
      <c r="D81" s="17"/>
      <c r="E81" s="12"/>
      <c r="F81" s="18"/>
      <c r="G81" s="19"/>
      <c r="H81" s="13"/>
      <c r="I81" s="19"/>
      <c r="J81" s="13"/>
      <c r="K81" s="19"/>
      <c r="L81" s="13"/>
      <c r="M81" s="19"/>
      <c r="N81" s="13"/>
      <c r="O81" s="19"/>
      <c r="P81" s="13"/>
      <c r="Q81" s="19"/>
      <c r="R81" s="13"/>
      <c r="S81" s="19"/>
      <c r="T81" s="13"/>
      <c r="U81" s="19"/>
      <c r="V81" s="13"/>
      <c r="W81" s="19"/>
      <c r="X81" s="13"/>
      <c r="Y81" s="19"/>
      <c r="Z81" s="13"/>
      <c r="AA81" s="19"/>
      <c r="AB81" s="13"/>
      <c r="AC81" s="19"/>
      <c r="AD81" s="13"/>
      <c r="AE81" s="19"/>
      <c r="AF81" s="13"/>
      <c r="AG81" s="19"/>
      <c r="AH81" s="13"/>
      <c r="AI81" s="19"/>
      <c r="AJ81" s="13"/>
      <c r="AK81" s="19"/>
      <c r="AL81" s="13"/>
      <c r="AM81" s="19"/>
      <c r="AN81" s="13"/>
      <c r="AO81" s="19"/>
      <c r="AP81" s="13"/>
      <c r="AQ81" s="19"/>
      <c r="AR81" s="13"/>
      <c r="AS81" s="614"/>
      <c r="AT81" s="460"/>
      <c r="AU81" s="783"/>
      <c r="AV81" s="460"/>
    </row>
    <row r="82" spans="1:48">
      <c r="A82" s="14"/>
      <c r="B82" s="15"/>
      <c r="C82" s="16"/>
      <c r="D82" s="17"/>
      <c r="E82" s="12"/>
      <c r="F82" s="18"/>
      <c r="G82" s="19"/>
      <c r="H82" s="13"/>
      <c r="I82" s="19"/>
      <c r="J82" s="13"/>
      <c r="K82" s="19"/>
      <c r="L82" s="13"/>
      <c r="M82" s="19"/>
      <c r="N82" s="13"/>
      <c r="O82" s="19"/>
      <c r="P82" s="13"/>
      <c r="Q82" s="19"/>
      <c r="R82" s="13"/>
      <c r="S82" s="19"/>
      <c r="T82" s="13"/>
      <c r="U82" s="19"/>
      <c r="V82" s="13"/>
      <c r="W82" s="19"/>
      <c r="X82" s="13"/>
      <c r="Y82" s="19"/>
      <c r="Z82" s="13"/>
      <c r="AA82" s="19"/>
      <c r="AB82" s="13"/>
      <c r="AC82" s="19"/>
      <c r="AD82" s="13"/>
      <c r="AE82" s="19"/>
      <c r="AF82" s="13"/>
      <c r="AG82" s="19"/>
      <c r="AH82" s="13"/>
      <c r="AI82" s="19"/>
      <c r="AJ82" s="13"/>
      <c r="AK82" s="19"/>
      <c r="AL82" s="13"/>
      <c r="AM82" s="19"/>
      <c r="AN82" s="13"/>
      <c r="AO82" s="19"/>
      <c r="AP82" s="13"/>
      <c r="AQ82" s="19"/>
      <c r="AR82" s="13"/>
      <c r="AS82" s="614"/>
      <c r="AT82" s="460"/>
      <c r="AU82" s="783"/>
      <c r="AV82" s="460"/>
    </row>
    <row r="83" spans="1:48">
      <c r="A83" s="14"/>
      <c r="B83" s="15"/>
      <c r="C83" s="16"/>
      <c r="D83" s="17"/>
      <c r="E83" s="12"/>
      <c r="F83" s="18"/>
      <c r="G83" s="19"/>
      <c r="H83" s="13"/>
      <c r="I83" s="19"/>
      <c r="J83" s="13"/>
      <c r="K83" s="19"/>
      <c r="L83" s="13"/>
      <c r="M83" s="19"/>
      <c r="N83" s="13"/>
      <c r="O83" s="19"/>
      <c r="P83" s="13"/>
      <c r="Q83" s="19"/>
      <c r="R83" s="13"/>
      <c r="S83" s="19"/>
      <c r="T83" s="13"/>
      <c r="U83" s="19"/>
      <c r="V83" s="13"/>
      <c r="W83" s="19"/>
      <c r="X83" s="13"/>
      <c r="Y83" s="19"/>
      <c r="Z83" s="13"/>
      <c r="AA83" s="19"/>
      <c r="AB83" s="13"/>
      <c r="AC83" s="19"/>
      <c r="AD83" s="13"/>
      <c r="AE83" s="19"/>
      <c r="AF83" s="13"/>
      <c r="AG83" s="19"/>
      <c r="AH83" s="13"/>
      <c r="AI83" s="19"/>
      <c r="AJ83" s="13"/>
      <c r="AK83" s="19"/>
      <c r="AL83" s="13"/>
      <c r="AM83" s="19"/>
      <c r="AN83" s="13"/>
      <c r="AO83" s="19"/>
      <c r="AP83" s="13"/>
      <c r="AQ83" s="19"/>
      <c r="AR83" s="13"/>
      <c r="AS83" s="614"/>
      <c r="AT83" s="460"/>
      <c r="AU83" s="783"/>
      <c r="AV83" s="460"/>
    </row>
    <row r="84" spans="1:48">
      <c r="A84" s="14"/>
      <c r="B84" s="15"/>
      <c r="C84" s="16"/>
      <c r="D84" s="17"/>
      <c r="E84" s="12"/>
      <c r="F84" s="18"/>
      <c r="G84" s="19"/>
      <c r="H84" s="13"/>
      <c r="I84" s="19"/>
      <c r="J84" s="13"/>
      <c r="K84" s="19"/>
      <c r="L84" s="13"/>
      <c r="M84" s="19"/>
      <c r="N84" s="13"/>
      <c r="O84" s="19"/>
      <c r="P84" s="13"/>
      <c r="Q84" s="19"/>
      <c r="R84" s="13"/>
      <c r="S84" s="19"/>
      <c r="T84" s="13"/>
      <c r="U84" s="19"/>
      <c r="V84" s="13"/>
      <c r="W84" s="19"/>
      <c r="X84" s="13"/>
      <c r="Y84" s="19"/>
      <c r="Z84" s="13"/>
      <c r="AA84" s="19"/>
      <c r="AB84" s="13"/>
      <c r="AC84" s="19"/>
      <c r="AD84" s="13"/>
      <c r="AE84" s="19"/>
      <c r="AF84" s="13"/>
      <c r="AG84" s="19"/>
      <c r="AH84" s="13"/>
      <c r="AI84" s="19"/>
      <c r="AJ84" s="13"/>
      <c r="AK84" s="19"/>
      <c r="AL84" s="13"/>
      <c r="AM84" s="19"/>
      <c r="AN84" s="13"/>
      <c r="AO84" s="19"/>
      <c r="AP84" s="13"/>
      <c r="AQ84" s="19"/>
      <c r="AR84" s="13"/>
      <c r="AS84" s="614"/>
      <c r="AT84" s="460"/>
      <c r="AU84" s="783"/>
      <c r="AV84" s="460"/>
    </row>
    <row r="85" spans="1:48">
      <c r="A85" s="14"/>
      <c r="B85" s="15"/>
      <c r="C85" s="16"/>
      <c r="D85" s="17"/>
      <c r="E85" s="12"/>
      <c r="F85" s="18"/>
      <c r="G85" s="19"/>
      <c r="H85" s="13"/>
      <c r="I85" s="19"/>
      <c r="J85" s="13"/>
      <c r="K85" s="19"/>
      <c r="L85" s="13"/>
      <c r="M85" s="19"/>
      <c r="N85" s="13"/>
      <c r="O85" s="19"/>
      <c r="P85" s="13"/>
      <c r="Q85" s="19"/>
      <c r="R85" s="13"/>
      <c r="S85" s="19"/>
      <c r="T85" s="13"/>
      <c r="U85" s="19"/>
      <c r="V85" s="13"/>
      <c r="W85" s="19"/>
      <c r="X85" s="13"/>
      <c r="Y85" s="19"/>
      <c r="Z85" s="13"/>
      <c r="AA85" s="19"/>
      <c r="AB85" s="13"/>
      <c r="AC85" s="19"/>
      <c r="AD85" s="13"/>
      <c r="AE85" s="19"/>
      <c r="AF85" s="13"/>
      <c r="AG85" s="19"/>
      <c r="AH85" s="13"/>
      <c r="AI85" s="19"/>
      <c r="AJ85" s="13"/>
      <c r="AK85" s="19"/>
      <c r="AL85" s="13"/>
      <c r="AM85" s="19"/>
      <c r="AN85" s="13"/>
      <c r="AO85" s="19"/>
      <c r="AP85" s="13"/>
      <c r="AQ85" s="19"/>
      <c r="AR85" s="13"/>
      <c r="AS85" s="614"/>
      <c r="AT85" s="460"/>
      <c r="AU85" s="783"/>
      <c r="AV85" s="460"/>
    </row>
    <row r="86" spans="1:48">
      <c r="A86" s="14"/>
      <c r="B86" s="15"/>
      <c r="C86" s="16"/>
      <c r="D86" s="17"/>
      <c r="E86" s="12"/>
      <c r="F86" s="18"/>
      <c r="G86" s="19"/>
      <c r="H86" s="13"/>
      <c r="I86" s="19"/>
      <c r="J86" s="13"/>
      <c r="K86" s="19"/>
      <c r="L86" s="13"/>
      <c r="M86" s="19"/>
      <c r="N86" s="13"/>
      <c r="O86" s="19"/>
      <c r="P86" s="13"/>
      <c r="Q86" s="19"/>
      <c r="R86" s="13"/>
      <c r="S86" s="19"/>
      <c r="T86" s="13"/>
      <c r="U86" s="19"/>
      <c r="V86" s="13"/>
      <c r="W86" s="19"/>
      <c r="X86" s="13"/>
      <c r="Y86" s="19"/>
      <c r="Z86" s="13"/>
      <c r="AA86" s="19"/>
      <c r="AB86" s="13"/>
      <c r="AC86" s="19"/>
      <c r="AD86" s="13"/>
      <c r="AE86" s="19"/>
      <c r="AF86" s="13"/>
      <c r="AG86" s="19"/>
      <c r="AH86" s="13"/>
      <c r="AI86" s="19"/>
      <c r="AJ86" s="13"/>
      <c r="AK86" s="19"/>
      <c r="AL86" s="13"/>
      <c r="AM86" s="19"/>
      <c r="AN86" s="13"/>
      <c r="AO86" s="19"/>
      <c r="AP86" s="13"/>
      <c r="AQ86" s="19"/>
      <c r="AR86" s="13"/>
      <c r="AS86" s="614"/>
      <c r="AT86" s="460"/>
      <c r="AU86" s="783"/>
      <c r="AV86" s="460"/>
    </row>
    <row r="87" spans="1:48">
      <c r="A87" s="14"/>
      <c r="B87" s="15"/>
      <c r="C87" s="16"/>
      <c r="D87" s="17"/>
      <c r="E87" s="12"/>
      <c r="F87" s="18"/>
      <c r="G87" s="19"/>
      <c r="H87" s="13"/>
      <c r="I87" s="19"/>
      <c r="J87" s="13"/>
      <c r="K87" s="19"/>
      <c r="L87" s="13"/>
      <c r="M87" s="19"/>
      <c r="N87" s="13"/>
      <c r="O87" s="19"/>
      <c r="P87" s="13"/>
      <c r="Q87" s="19"/>
      <c r="R87" s="13"/>
      <c r="S87" s="19"/>
      <c r="T87" s="13"/>
      <c r="U87" s="19"/>
      <c r="V87" s="13"/>
      <c r="W87" s="19"/>
      <c r="X87" s="13"/>
      <c r="Y87" s="19"/>
      <c r="Z87" s="13"/>
      <c r="AA87" s="19"/>
      <c r="AB87" s="13"/>
      <c r="AC87" s="19"/>
      <c r="AD87" s="13"/>
      <c r="AE87" s="19"/>
      <c r="AF87" s="13"/>
      <c r="AG87" s="19"/>
      <c r="AH87" s="13"/>
      <c r="AI87" s="19"/>
      <c r="AJ87" s="13"/>
      <c r="AK87" s="19"/>
      <c r="AL87" s="13"/>
      <c r="AM87" s="19"/>
      <c r="AN87" s="13"/>
      <c r="AO87" s="19"/>
      <c r="AP87" s="13"/>
      <c r="AQ87" s="19"/>
      <c r="AR87" s="13"/>
      <c r="AS87" s="614"/>
      <c r="AT87" s="460"/>
      <c r="AU87" s="783"/>
      <c r="AV87" s="460"/>
    </row>
    <row r="88" spans="1:48">
      <c r="A88" s="14"/>
      <c r="B88" s="15"/>
      <c r="C88" s="16"/>
      <c r="D88" s="17"/>
      <c r="E88" s="12"/>
      <c r="F88" s="18"/>
      <c r="G88" s="19"/>
      <c r="H88" s="13"/>
      <c r="I88" s="19"/>
      <c r="J88" s="13"/>
      <c r="K88" s="19"/>
      <c r="L88" s="13"/>
      <c r="M88" s="19"/>
      <c r="N88" s="13"/>
      <c r="O88" s="19"/>
      <c r="P88" s="13"/>
      <c r="Q88" s="19"/>
      <c r="R88" s="13"/>
      <c r="S88" s="19"/>
      <c r="T88" s="13"/>
      <c r="U88" s="19"/>
      <c r="V88" s="13"/>
      <c r="W88" s="19"/>
      <c r="X88" s="13"/>
      <c r="Y88" s="19"/>
      <c r="Z88" s="13"/>
      <c r="AA88" s="19"/>
      <c r="AB88" s="13"/>
      <c r="AC88" s="19"/>
      <c r="AD88" s="13"/>
      <c r="AE88" s="19"/>
      <c r="AF88" s="13"/>
      <c r="AG88" s="19"/>
      <c r="AH88" s="13"/>
      <c r="AI88" s="19"/>
      <c r="AJ88" s="13"/>
      <c r="AK88" s="19"/>
      <c r="AL88" s="13"/>
      <c r="AM88" s="19"/>
      <c r="AN88" s="13"/>
      <c r="AO88" s="19"/>
      <c r="AP88" s="13"/>
      <c r="AQ88" s="19"/>
      <c r="AR88" s="13"/>
      <c r="AS88" s="614"/>
      <c r="AT88" s="460"/>
      <c r="AU88" s="783"/>
      <c r="AV88" s="460"/>
    </row>
    <row r="89" spans="1:48">
      <c r="A89" s="14"/>
      <c r="B89" s="15"/>
      <c r="C89" s="16"/>
      <c r="D89" s="17"/>
      <c r="E89" s="12"/>
      <c r="F89" s="18"/>
      <c r="G89" s="19"/>
      <c r="H89" s="13"/>
      <c r="I89" s="19"/>
      <c r="J89" s="13"/>
      <c r="K89" s="19"/>
      <c r="L89" s="13"/>
      <c r="M89" s="19"/>
      <c r="N89" s="13"/>
      <c r="O89" s="19"/>
      <c r="P89" s="13"/>
      <c r="Q89" s="19"/>
      <c r="R89" s="13"/>
      <c r="S89" s="19"/>
      <c r="T89" s="13"/>
      <c r="U89" s="19"/>
      <c r="V89" s="13"/>
      <c r="W89" s="19"/>
      <c r="X89" s="13"/>
      <c r="Y89" s="19"/>
      <c r="Z89" s="13"/>
      <c r="AA89" s="19"/>
      <c r="AB89" s="13"/>
      <c r="AC89" s="19"/>
      <c r="AD89" s="13"/>
      <c r="AE89" s="19"/>
      <c r="AF89" s="13"/>
      <c r="AG89" s="19"/>
      <c r="AH89" s="13"/>
      <c r="AI89" s="19"/>
      <c r="AJ89" s="13"/>
      <c r="AK89" s="19"/>
      <c r="AL89" s="13"/>
      <c r="AM89" s="19"/>
      <c r="AN89" s="13"/>
      <c r="AO89" s="19"/>
      <c r="AP89" s="13"/>
      <c r="AQ89" s="19"/>
      <c r="AR89" s="13"/>
      <c r="AS89" s="614"/>
      <c r="AT89" s="460"/>
      <c r="AU89" s="783"/>
      <c r="AV89" s="460"/>
    </row>
    <row r="90" spans="1:48">
      <c r="A90" s="14"/>
      <c r="B90" s="15"/>
      <c r="C90" s="16"/>
      <c r="D90" s="17"/>
      <c r="E90" s="12"/>
      <c r="F90" s="18"/>
      <c r="G90" s="19"/>
      <c r="H90" s="13"/>
      <c r="I90" s="19"/>
      <c r="J90" s="13"/>
      <c r="K90" s="19"/>
      <c r="L90" s="13"/>
      <c r="M90" s="19"/>
      <c r="N90" s="13"/>
      <c r="O90" s="19"/>
      <c r="P90" s="13"/>
      <c r="Q90" s="19"/>
      <c r="R90" s="13"/>
      <c r="S90" s="19"/>
      <c r="T90" s="13"/>
      <c r="U90" s="19"/>
      <c r="V90" s="13"/>
      <c r="W90" s="19"/>
      <c r="X90" s="13"/>
      <c r="Y90" s="19"/>
      <c r="Z90" s="13"/>
      <c r="AA90" s="19"/>
      <c r="AB90" s="13"/>
      <c r="AC90" s="19"/>
      <c r="AD90" s="13"/>
      <c r="AE90" s="19"/>
      <c r="AF90" s="13"/>
      <c r="AG90" s="19"/>
      <c r="AH90" s="13"/>
      <c r="AI90" s="19"/>
      <c r="AJ90" s="13"/>
      <c r="AK90" s="19"/>
      <c r="AL90" s="13"/>
      <c r="AM90" s="19"/>
      <c r="AN90" s="13"/>
      <c r="AO90" s="19"/>
      <c r="AP90" s="13"/>
      <c r="AQ90" s="19"/>
      <c r="AR90" s="13"/>
      <c r="AS90" s="614"/>
      <c r="AT90" s="460"/>
      <c r="AU90" s="783"/>
      <c r="AV90" s="460"/>
    </row>
    <row r="91" spans="1:48">
      <c r="A91" s="14"/>
      <c r="B91" s="15"/>
      <c r="C91" s="16"/>
      <c r="D91" s="17"/>
      <c r="E91" s="12"/>
      <c r="F91" s="18"/>
      <c r="G91" s="19"/>
      <c r="H91" s="13"/>
      <c r="I91" s="19"/>
      <c r="J91" s="13"/>
      <c r="K91" s="19"/>
      <c r="L91" s="13"/>
      <c r="M91" s="19"/>
      <c r="N91" s="13"/>
      <c r="O91" s="19"/>
      <c r="P91" s="13"/>
      <c r="Q91" s="19"/>
      <c r="R91" s="13"/>
      <c r="S91" s="19"/>
      <c r="T91" s="13"/>
      <c r="U91" s="19"/>
      <c r="V91" s="13"/>
      <c r="W91" s="19"/>
      <c r="X91" s="13"/>
      <c r="Y91" s="19"/>
      <c r="Z91" s="13"/>
      <c r="AA91" s="19"/>
      <c r="AB91" s="13"/>
      <c r="AC91" s="19"/>
      <c r="AD91" s="13"/>
      <c r="AE91" s="19"/>
      <c r="AF91" s="13"/>
      <c r="AG91" s="19"/>
      <c r="AH91" s="13"/>
      <c r="AI91" s="19"/>
      <c r="AJ91" s="13"/>
      <c r="AK91" s="19"/>
      <c r="AL91" s="13"/>
      <c r="AM91" s="19"/>
      <c r="AN91" s="13"/>
      <c r="AO91" s="19"/>
      <c r="AP91" s="13"/>
      <c r="AQ91" s="19"/>
      <c r="AR91" s="13"/>
      <c r="AS91" s="614"/>
      <c r="AT91" s="460"/>
      <c r="AU91" s="783"/>
      <c r="AV91" s="460"/>
    </row>
    <row r="92" spans="1:48">
      <c r="A92" s="14"/>
      <c r="B92" s="15"/>
      <c r="C92" s="16"/>
      <c r="D92" s="17"/>
      <c r="E92" s="12"/>
      <c r="F92" s="18"/>
      <c r="G92" s="19"/>
      <c r="H92" s="13"/>
      <c r="I92" s="19"/>
      <c r="J92" s="13"/>
      <c r="K92" s="19"/>
      <c r="L92" s="13"/>
      <c r="M92" s="19"/>
      <c r="N92" s="13"/>
      <c r="O92" s="19"/>
      <c r="P92" s="13"/>
      <c r="Q92" s="19"/>
      <c r="R92" s="13"/>
      <c r="S92" s="19"/>
      <c r="T92" s="13"/>
      <c r="U92" s="19"/>
      <c r="V92" s="13"/>
      <c r="W92" s="19"/>
      <c r="X92" s="13"/>
      <c r="Y92" s="19"/>
      <c r="Z92" s="13"/>
      <c r="AA92" s="19"/>
      <c r="AB92" s="13"/>
      <c r="AC92" s="19"/>
      <c r="AD92" s="13"/>
      <c r="AE92" s="19"/>
      <c r="AF92" s="13"/>
      <c r="AG92" s="19"/>
      <c r="AH92" s="13"/>
      <c r="AI92" s="19"/>
      <c r="AJ92" s="13"/>
      <c r="AK92" s="19"/>
      <c r="AL92" s="13"/>
      <c r="AM92" s="19"/>
      <c r="AN92" s="13"/>
      <c r="AO92" s="19"/>
      <c r="AP92" s="13"/>
      <c r="AQ92" s="19"/>
      <c r="AR92" s="13"/>
      <c r="AS92" s="614"/>
      <c r="AT92" s="460"/>
      <c r="AU92" s="783"/>
      <c r="AV92" s="460"/>
    </row>
    <row r="93" spans="1:48">
      <c r="A93" s="14"/>
      <c r="B93" s="15"/>
      <c r="C93" s="16"/>
      <c r="D93" s="17"/>
      <c r="E93" s="12"/>
      <c r="F93" s="18"/>
      <c r="G93" s="19"/>
      <c r="H93" s="13"/>
      <c r="I93" s="19"/>
      <c r="J93" s="13"/>
      <c r="K93" s="19"/>
      <c r="L93" s="13"/>
      <c r="M93" s="19"/>
      <c r="N93" s="13"/>
      <c r="O93" s="19"/>
      <c r="P93" s="13"/>
      <c r="Q93" s="19"/>
      <c r="R93" s="13"/>
      <c r="S93" s="19"/>
      <c r="T93" s="13"/>
      <c r="U93" s="19"/>
      <c r="V93" s="13"/>
      <c r="W93" s="19"/>
      <c r="X93" s="13"/>
      <c r="Y93" s="19"/>
      <c r="Z93" s="13"/>
      <c r="AA93" s="19"/>
      <c r="AB93" s="13"/>
      <c r="AC93" s="19"/>
      <c r="AD93" s="13"/>
      <c r="AE93" s="19"/>
      <c r="AF93" s="13"/>
      <c r="AG93" s="19"/>
      <c r="AH93" s="13"/>
      <c r="AI93" s="19"/>
      <c r="AJ93" s="13"/>
      <c r="AK93" s="19"/>
      <c r="AL93" s="13"/>
      <c r="AM93" s="19"/>
      <c r="AN93" s="13"/>
      <c r="AO93" s="19"/>
      <c r="AP93" s="13"/>
      <c r="AQ93" s="19"/>
      <c r="AR93" s="13"/>
      <c r="AS93" s="614"/>
      <c r="AT93" s="460"/>
      <c r="AU93" s="783"/>
      <c r="AV93" s="460"/>
    </row>
    <row r="94" spans="1:48">
      <c r="A94" s="14"/>
      <c r="B94" s="15"/>
      <c r="C94" s="16"/>
      <c r="D94" s="17"/>
      <c r="E94" s="12"/>
      <c r="F94" s="18"/>
      <c r="G94" s="19"/>
      <c r="H94" s="13"/>
      <c r="I94" s="19"/>
      <c r="J94" s="13"/>
      <c r="K94" s="19"/>
      <c r="L94" s="13"/>
      <c r="M94" s="19"/>
      <c r="N94" s="13"/>
      <c r="O94" s="19"/>
      <c r="P94" s="13"/>
      <c r="Q94" s="19"/>
      <c r="R94" s="13"/>
      <c r="S94" s="19"/>
      <c r="T94" s="13"/>
      <c r="U94" s="19"/>
      <c r="V94" s="13"/>
      <c r="W94" s="19"/>
      <c r="X94" s="13"/>
      <c r="Y94" s="19"/>
      <c r="Z94" s="13"/>
      <c r="AA94" s="19"/>
      <c r="AB94" s="13"/>
      <c r="AC94" s="19"/>
      <c r="AD94" s="13"/>
      <c r="AE94" s="19"/>
      <c r="AF94" s="13"/>
      <c r="AG94" s="19"/>
      <c r="AH94" s="13"/>
      <c r="AI94" s="19"/>
      <c r="AJ94" s="13"/>
      <c r="AK94" s="19"/>
      <c r="AL94" s="13"/>
      <c r="AM94" s="19"/>
      <c r="AN94" s="13"/>
      <c r="AO94" s="19"/>
      <c r="AP94" s="13"/>
      <c r="AQ94" s="19"/>
      <c r="AR94" s="13"/>
      <c r="AS94" s="614"/>
      <c r="AT94" s="460"/>
      <c r="AU94" s="783"/>
      <c r="AV94" s="460"/>
    </row>
    <row r="95" spans="1:48">
      <c r="A95" s="14"/>
      <c r="B95" s="15"/>
      <c r="C95" s="16"/>
      <c r="D95" s="17"/>
      <c r="E95" s="12"/>
      <c r="F95" s="18"/>
      <c r="G95" s="19"/>
      <c r="H95" s="13"/>
      <c r="I95" s="19"/>
      <c r="J95" s="13"/>
      <c r="K95" s="19"/>
      <c r="L95" s="13"/>
      <c r="M95" s="19"/>
      <c r="N95" s="13"/>
      <c r="O95" s="19"/>
      <c r="P95" s="13"/>
      <c r="Q95" s="19"/>
      <c r="R95" s="13"/>
      <c r="S95" s="19"/>
      <c r="T95" s="13"/>
      <c r="U95" s="19"/>
      <c r="V95" s="13"/>
      <c r="W95" s="19"/>
      <c r="X95" s="13"/>
      <c r="Y95" s="19"/>
      <c r="Z95" s="13"/>
      <c r="AA95" s="19"/>
      <c r="AB95" s="13"/>
      <c r="AC95" s="19"/>
      <c r="AD95" s="13"/>
      <c r="AE95" s="19"/>
      <c r="AF95" s="13"/>
      <c r="AG95" s="19"/>
      <c r="AH95" s="13"/>
      <c r="AI95" s="19"/>
      <c r="AJ95" s="13"/>
      <c r="AK95" s="19"/>
      <c r="AL95" s="13"/>
      <c r="AM95" s="19"/>
      <c r="AN95" s="13"/>
      <c r="AO95" s="19"/>
      <c r="AP95" s="13"/>
      <c r="AQ95" s="19"/>
      <c r="AR95" s="13"/>
      <c r="AS95" s="614"/>
      <c r="AT95" s="460"/>
      <c r="AU95" s="783"/>
      <c r="AV95" s="460"/>
    </row>
    <row r="96" spans="1:48">
      <c r="A96" s="14"/>
      <c r="B96" s="15"/>
      <c r="C96" s="16"/>
      <c r="D96" s="17"/>
      <c r="E96" s="12"/>
      <c r="F96" s="18"/>
      <c r="G96" s="19"/>
      <c r="H96" s="13"/>
      <c r="I96" s="19"/>
      <c r="J96" s="13"/>
      <c r="K96" s="19"/>
      <c r="L96" s="13"/>
      <c r="M96" s="19"/>
      <c r="N96" s="13"/>
      <c r="O96" s="19"/>
      <c r="P96" s="13"/>
      <c r="Q96" s="19"/>
      <c r="R96" s="13"/>
      <c r="S96" s="19"/>
      <c r="T96" s="13"/>
      <c r="U96" s="19"/>
      <c r="V96" s="13"/>
      <c r="W96" s="19"/>
      <c r="X96" s="13"/>
      <c r="Y96" s="19"/>
      <c r="Z96" s="13"/>
      <c r="AA96" s="19"/>
      <c r="AB96" s="13"/>
      <c r="AC96" s="19"/>
      <c r="AD96" s="13"/>
      <c r="AE96" s="19"/>
      <c r="AF96" s="13"/>
      <c r="AG96" s="19"/>
      <c r="AH96" s="13"/>
      <c r="AI96" s="19"/>
      <c r="AJ96" s="13"/>
      <c r="AK96" s="19"/>
      <c r="AL96" s="13"/>
      <c r="AM96" s="19"/>
      <c r="AN96" s="13"/>
      <c r="AO96" s="19"/>
      <c r="AP96" s="13"/>
      <c r="AQ96" s="19"/>
      <c r="AR96" s="13"/>
      <c r="AS96" s="614"/>
      <c r="AT96" s="460"/>
      <c r="AU96" s="783"/>
      <c r="AV96" s="460"/>
    </row>
    <row r="97" spans="1:48">
      <c r="A97" s="14"/>
      <c r="B97" s="15"/>
      <c r="C97" s="16"/>
      <c r="D97" s="17"/>
      <c r="E97" s="12"/>
      <c r="F97" s="18"/>
      <c r="G97" s="19"/>
      <c r="H97" s="13"/>
      <c r="I97" s="19"/>
      <c r="J97" s="13"/>
      <c r="K97" s="19"/>
      <c r="L97" s="13"/>
      <c r="M97" s="19"/>
      <c r="N97" s="13"/>
      <c r="O97" s="19"/>
      <c r="P97" s="13"/>
      <c r="Q97" s="19"/>
      <c r="R97" s="13"/>
      <c r="S97" s="19"/>
      <c r="T97" s="13"/>
      <c r="U97" s="19"/>
      <c r="V97" s="13"/>
      <c r="W97" s="19"/>
      <c r="X97" s="13"/>
      <c r="Y97" s="19"/>
      <c r="Z97" s="13"/>
      <c r="AA97" s="19"/>
      <c r="AB97" s="13"/>
      <c r="AC97" s="19"/>
      <c r="AD97" s="13"/>
      <c r="AE97" s="19"/>
      <c r="AF97" s="13"/>
      <c r="AG97" s="19"/>
      <c r="AH97" s="13"/>
      <c r="AI97" s="19"/>
      <c r="AJ97" s="13"/>
      <c r="AK97" s="19"/>
      <c r="AL97" s="13"/>
      <c r="AM97" s="19"/>
      <c r="AN97" s="13"/>
      <c r="AO97" s="19"/>
      <c r="AP97" s="13"/>
      <c r="AQ97" s="19"/>
      <c r="AR97" s="13"/>
      <c r="AS97" s="614"/>
      <c r="AT97" s="460"/>
      <c r="AU97" s="783"/>
      <c r="AV97" s="460"/>
    </row>
    <row r="98" spans="1:48">
      <c r="A98" s="14"/>
      <c r="B98" s="15"/>
      <c r="C98" s="16"/>
      <c r="D98" s="17"/>
      <c r="E98" s="12"/>
      <c r="F98" s="18"/>
      <c r="G98" s="19"/>
      <c r="H98" s="13"/>
      <c r="I98" s="19"/>
      <c r="J98" s="13"/>
      <c r="K98" s="19"/>
      <c r="L98" s="13"/>
      <c r="M98" s="19"/>
      <c r="N98" s="13"/>
      <c r="O98" s="19"/>
      <c r="P98" s="13"/>
      <c r="Q98" s="19"/>
      <c r="R98" s="13"/>
      <c r="S98" s="19"/>
      <c r="T98" s="13"/>
      <c r="U98" s="19"/>
      <c r="V98" s="13"/>
      <c r="W98" s="19"/>
      <c r="X98" s="13"/>
      <c r="Y98" s="19"/>
      <c r="Z98" s="13"/>
      <c r="AA98" s="19"/>
      <c r="AB98" s="13"/>
      <c r="AC98" s="19"/>
      <c r="AD98" s="13"/>
      <c r="AE98" s="19"/>
      <c r="AF98" s="13"/>
      <c r="AG98" s="19"/>
      <c r="AH98" s="13"/>
      <c r="AI98" s="19"/>
      <c r="AJ98" s="13"/>
      <c r="AK98" s="19"/>
      <c r="AL98" s="13"/>
      <c r="AM98" s="19"/>
      <c r="AN98" s="13"/>
      <c r="AO98" s="19"/>
      <c r="AP98" s="13"/>
      <c r="AQ98" s="19"/>
      <c r="AR98" s="13"/>
      <c r="AS98" s="614"/>
      <c r="AT98" s="460"/>
      <c r="AU98" s="783"/>
      <c r="AV98" s="460"/>
    </row>
    <row r="99" spans="1:48">
      <c r="A99" s="14"/>
      <c r="B99" s="15"/>
      <c r="C99" s="16"/>
      <c r="D99" s="17"/>
      <c r="E99" s="12"/>
      <c r="F99" s="18"/>
      <c r="G99" s="19"/>
      <c r="H99" s="13"/>
      <c r="I99" s="19"/>
      <c r="J99" s="13"/>
      <c r="K99" s="19"/>
      <c r="L99" s="13"/>
      <c r="M99" s="19"/>
      <c r="N99" s="13"/>
      <c r="O99" s="19"/>
      <c r="P99" s="13"/>
      <c r="Q99" s="19"/>
      <c r="R99" s="13"/>
      <c r="S99" s="19"/>
      <c r="T99" s="13"/>
      <c r="U99" s="19"/>
      <c r="V99" s="13"/>
      <c r="W99" s="19"/>
      <c r="X99" s="13"/>
      <c r="Y99" s="19"/>
      <c r="Z99" s="13"/>
      <c r="AA99" s="19"/>
      <c r="AB99" s="13"/>
      <c r="AC99" s="19"/>
      <c r="AD99" s="13"/>
      <c r="AE99" s="19"/>
      <c r="AF99" s="13"/>
      <c r="AG99" s="19"/>
      <c r="AH99" s="13"/>
      <c r="AI99" s="19"/>
      <c r="AJ99" s="13"/>
      <c r="AK99" s="19"/>
      <c r="AL99" s="13"/>
      <c r="AM99" s="19"/>
      <c r="AN99" s="13"/>
      <c r="AO99" s="19"/>
      <c r="AP99" s="13"/>
      <c r="AQ99" s="19"/>
      <c r="AR99" s="13"/>
      <c r="AS99" s="614"/>
      <c r="AT99" s="460"/>
      <c r="AU99" s="783"/>
      <c r="AV99" s="460"/>
    </row>
    <row r="100" spans="1:48">
      <c r="A100" s="14"/>
      <c r="B100" s="15"/>
      <c r="C100" s="16"/>
      <c r="D100" s="17"/>
      <c r="E100" s="12"/>
      <c r="F100" s="18"/>
      <c r="G100" s="19"/>
      <c r="H100" s="13"/>
      <c r="I100" s="19"/>
      <c r="J100" s="13"/>
      <c r="K100" s="19"/>
      <c r="L100" s="13"/>
      <c r="M100" s="19"/>
      <c r="N100" s="13"/>
      <c r="O100" s="19"/>
      <c r="P100" s="13"/>
      <c r="Q100" s="19"/>
      <c r="R100" s="13"/>
      <c r="S100" s="19"/>
      <c r="T100" s="13"/>
      <c r="U100" s="19"/>
      <c r="V100" s="13"/>
      <c r="W100" s="19"/>
      <c r="X100" s="13"/>
      <c r="Y100" s="19"/>
      <c r="Z100" s="13"/>
      <c r="AA100" s="19"/>
      <c r="AB100" s="13"/>
      <c r="AC100" s="19"/>
      <c r="AD100" s="13"/>
      <c r="AE100" s="19"/>
      <c r="AF100" s="13"/>
      <c r="AG100" s="19"/>
      <c r="AH100" s="13"/>
      <c r="AI100" s="19"/>
      <c r="AJ100" s="13"/>
      <c r="AK100" s="19"/>
      <c r="AL100" s="13"/>
      <c r="AM100" s="19"/>
      <c r="AN100" s="13"/>
      <c r="AO100" s="19"/>
      <c r="AP100" s="13"/>
      <c r="AQ100" s="19"/>
      <c r="AR100" s="13"/>
      <c r="AS100" s="614"/>
      <c r="AT100" s="460"/>
      <c r="AU100" s="783"/>
      <c r="AV100" s="460"/>
    </row>
    <row r="101" spans="1:48">
      <c r="A101" s="14"/>
      <c r="B101" s="15"/>
      <c r="C101" s="16"/>
      <c r="D101" s="17"/>
      <c r="E101" s="12"/>
      <c r="F101" s="18"/>
      <c r="G101" s="19"/>
      <c r="H101" s="13"/>
      <c r="I101" s="19"/>
      <c r="J101" s="13"/>
      <c r="K101" s="19"/>
      <c r="L101" s="13"/>
      <c r="M101" s="19"/>
      <c r="N101" s="13"/>
      <c r="O101" s="19"/>
      <c r="P101" s="13"/>
      <c r="Q101" s="19"/>
      <c r="R101" s="13"/>
      <c r="S101" s="19"/>
      <c r="T101" s="13"/>
      <c r="U101" s="19"/>
      <c r="V101" s="13"/>
      <c r="W101" s="19"/>
      <c r="X101" s="13"/>
      <c r="Y101" s="19"/>
      <c r="Z101" s="13"/>
      <c r="AA101" s="19"/>
      <c r="AB101" s="13"/>
      <c r="AC101" s="19"/>
      <c r="AD101" s="13"/>
      <c r="AE101" s="19"/>
      <c r="AF101" s="13"/>
      <c r="AG101" s="19"/>
      <c r="AH101" s="13"/>
      <c r="AI101" s="19"/>
      <c r="AJ101" s="13"/>
      <c r="AK101" s="19"/>
      <c r="AL101" s="13"/>
      <c r="AM101" s="19"/>
      <c r="AN101" s="13"/>
      <c r="AO101" s="19"/>
      <c r="AP101" s="13"/>
      <c r="AQ101" s="19"/>
      <c r="AR101" s="13"/>
      <c r="AS101" s="614"/>
      <c r="AT101" s="460"/>
      <c r="AU101" s="783"/>
      <c r="AV101" s="460"/>
    </row>
    <row r="102" spans="1:48">
      <c r="A102" s="14"/>
      <c r="B102" s="15"/>
      <c r="C102" s="16"/>
      <c r="D102" s="17"/>
      <c r="E102" s="12"/>
      <c r="F102" s="18"/>
      <c r="G102" s="19"/>
      <c r="H102" s="13"/>
      <c r="I102" s="19"/>
      <c r="J102" s="13"/>
      <c r="K102" s="19"/>
      <c r="L102" s="13"/>
      <c r="M102" s="19"/>
      <c r="N102" s="13"/>
      <c r="O102" s="19"/>
      <c r="P102" s="13"/>
      <c r="Q102" s="19"/>
      <c r="R102" s="13"/>
      <c r="S102" s="19"/>
      <c r="T102" s="13"/>
      <c r="U102" s="19"/>
      <c r="V102" s="13"/>
      <c r="W102" s="19"/>
      <c r="X102" s="13"/>
      <c r="Y102" s="19"/>
      <c r="Z102" s="13"/>
      <c r="AA102" s="19"/>
      <c r="AB102" s="13"/>
      <c r="AC102" s="19"/>
      <c r="AD102" s="13"/>
      <c r="AE102" s="19"/>
      <c r="AF102" s="13"/>
      <c r="AG102" s="19"/>
      <c r="AH102" s="13"/>
      <c r="AI102" s="19"/>
      <c r="AJ102" s="13"/>
      <c r="AK102" s="19"/>
      <c r="AL102" s="13"/>
      <c r="AM102" s="19"/>
      <c r="AN102" s="13"/>
      <c r="AO102" s="19"/>
      <c r="AP102" s="13"/>
      <c r="AQ102" s="19"/>
      <c r="AR102" s="13"/>
      <c r="AS102" s="614"/>
      <c r="AT102" s="460"/>
      <c r="AU102" s="783"/>
      <c r="AV102" s="460"/>
    </row>
    <row r="103" spans="1:48">
      <c r="A103" s="14"/>
      <c r="B103" s="15"/>
      <c r="C103" s="16"/>
      <c r="D103" s="17"/>
      <c r="E103" s="12"/>
      <c r="F103" s="18"/>
      <c r="G103" s="19"/>
      <c r="H103" s="13"/>
      <c r="I103" s="19"/>
      <c r="J103" s="13"/>
      <c r="K103" s="19"/>
      <c r="L103" s="13"/>
      <c r="M103" s="19"/>
      <c r="N103" s="13"/>
      <c r="O103" s="19"/>
      <c r="P103" s="13"/>
      <c r="Q103" s="19"/>
      <c r="R103" s="13"/>
      <c r="S103" s="19"/>
      <c r="T103" s="13"/>
      <c r="U103" s="19"/>
      <c r="V103" s="13"/>
      <c r="W103" s="19"/>
      <c r="X103" s="13"/>
      <c r="Y103" s="19"/>
      <c r="Z103" s="13"/>
      <c r="AA103" s="19"/>
      <c r="AB103" s="13"/>
      <c r="AC103" s="19"/>
      <c r="AD103" s="13"/>
      <c r="AE103" s="19"/>
      <c r="AF103" s="13"/>
      <c r="AG103" s="19"/>
      <c r="AH103" s="13"/>
      <c r="AI103" s="19"/>
      <c r="AJ103" s="13"/>
      <c r="AK103" s="19"/>
      <c r="AL103" s="13"/>
      <c r="AM103" s="19"/>
      <c r="AN103" s="13"/>
      <c r="AO103" s="19"/>
      <c r="AP103" s="13"/>
      <c r="AQ103" s="19"/>
      <c r="AR103" s="13"/>
      <c r="AS103" s="614"/>
      <c r="AT103" s="460"/>
      <c r="AU103" s="783"/>
      <c r="AV103" s="460"/>
    </row>
    <row r="104" spans="1:48">
      <c r="A104" s="14"/>
      <c r="B104" s="15"/>
      <c r="C104" s="16"/>
      <c r="D104" s="17"/>
      <c r="E104" s="12"/>
      <c r="F104" s="18"/>
      <c r="G104" s="19"/>
      <c r="H104" s="13"/>
      <c r="I104" s="19"/>
      <c r="J104" s="13"/>
      <c r="K104" s="19"/>
      <c r="L104" s="13"/>
      <c r="M104" s="19"/>
      <c r="N104" s="13"/>
      <c r="O104" s="19"/>
      <c r="P104" s="13"/>
      <c r="Q104" s="19"/>
      <c r="R104" s="13"/>
      <c r="S104" s="19"/>
      <c r="T104" s="13"/>
      <c r="U104" s="19"/>
      <c r="V104" s="13"/>
      <c r="W104" s="19"/>
      <c r="X104" s="13"/>
      <c r="Y104" s="19"/>
      <c r="Z104" s="13"/>
      <c r="AA104" s="19"/>
      <c r="AB104" s="13"/>
      <c r="AC104" s="19"/>
      <c r="AD104" s="13"/>
      <c r="AE104" s="19"/>
      <c r="AF104" s="13"/>
      <c r="AG104" s="19"/>
      <c r="AH104" s="13"/>
      <c r="AI104" s="19"/>
      <c r="AJ104" s="13"/>
      <c r="AK104" s="19"/>
      <c r="AL104" s="13"/>
      <c r="AM104" s="19"/>
      <c r="AN104" s="13"/>
      <c r="AO104" s="19"/>
      <c r="AP104" s="13"/>
      <c r="AQ104" s="19"/>
      <c r="AR104" s="13"/>
      <c r="AS104" s="614"/>
      <c r="AT104" s="460"/>
      <c r="AU104" s="783"/>
      <c r="AV104" s="460"/>
    </row>
    <row r="105" spans="1:48">
      <c r="A105" s="14"/>
      <c r="B105" s="15"/>
      <c r="C105" s="16"/>
      <c r="D105" s="17"/>
      <c r="E105" s="12"/>
      <c r="F105" s="18"/>
      <c r="G105" s="19"/>
      <c r="H105" s="13"/>
      <c r="I105" s="19"/>
      <c r="J105" s="13"/>
      <c r="K105" s="19"/>
      <c r="L105" s="13"/>
      <c r="M105" s="19"/>
      <c r="N105" s="13"/>
      <c r="O105" s="19"/>
      <c r="P105" s="13"/>
      <c r="Q105" s="19"/>
      <c r="R105" s="13"/>
      <c r="S105" s="19"/>
      <c r="T105" s="13"/>
      <c r="U105" s="19"/>
      <c r="V105" s="13"/>
      <c r="W105" s="19"/>
      <c r="X105" s="13"/>
      <c r="Y105" s="19"/>
      <c r="Z105" s="13"/>
      <c r="AA105" s="19"/>
      <c r="AB105" s="13"/>
      <c r="AC105" s="19"/>
      <c r="AD105" s="13"/>
      <c r="AE105" s="19"/>
      <c r="AF105" s="13"/>
      <c r="AG105" s="19"/>
      <c r="AH105" s="13"/>
      <c r="AI105" s="19"/>
      <c r="AJ105" s="13"/>
      <c r="AK105" s="19"/>
      <c r="AL105" s="13"/>
      <c r="AM105" s="19"/>
      <c r="AN105" s="13"/>
      <c r="AO105" s="19"/>
      <c r="AP105" s="13"/>
      <c r="AQ105" s="19"/>
      <c r="AR105" s="13"/>
      <c r="AS105" s="614"/>
      <c r="AT105" s="460"/>
      <c r="AU105" s="783"/>
      <c r="AV105" s="460"/>
    </row>
    <row r="106" spans="1:48">
      <c r="A106" s="14"/>
      <c r="B106" s="15"/>
      <c r="C106" s="16"/>
      <c r="D106" s="17"/>
      <c r="E106" s="12"/>
      <c r="F106" s="18"/>
      <c r="G106" s="19"/>
      <c r="H106" s="13"/>
      <c r="I106" s="19"/>
      <c r="J106" s="13"/>
      <c r="K106" s="19"/>
      <c r="L106" s="13"/>
      <c r="M106" s="19"/>
      <c r="N106" s="13"/>
      <c r="O106" s="19"/>
      <c r="P106" s="13"/>
      <c r="Q106" s="19"/>
      <c r="R106" s="13"/>
      <c r="S106" s="19"/>
      <c r="T106" s="13"/>
      <c r="U106" s="19"/>
      <c r="V106" s="13"/>
      <c r="W106" s="19"/>
      <c r="X106" s="13"/>
      <c r="Y106" s="19"/>
      <c r="Z106" s="13"/>
      <c r="AA106" s="19"/>
      <c r="AB106" s="13"/>
      <c r="AC106" s="19"/>
      <c r="AD106" s="13"/>
      <c r="AE106" s="19"/>
      <c r="AF106" s="13"/>
      <c r="AG106" s="19"/>
      <c r="AH106" s="13"/>
      <c r="AI106" s="19"/>
      <c r="AJ106" s="13"/>
      <c r="AK106" s="19"/>
      <c r="AL106" s="13"/>
      <c r="AM106" s="19"/>
      <c r="AN106" s="13"/>
      <c r="AO106" s="19"/>
      <c r="AP106" s="13"/>
      <c r="AQ106" s="19"/>
      <c r="AR106" s="13"/>
      <c r="AS106" s="614"/>
      <c r="AT106" s="460"/>
      <c r="AU106" s="783"/>
      <c r="AV106" s="460"/>
    </row>
    <row r="107" spans="1:48">
      <c r="A107" s="14"/>
      <c r="B107" s="15"/>
      <c r="C107" s="16"/>
      <c r="D107" s="17"/>
      <c r="E107" s="12"/>
      <c r="F107" s="18"/>
      <c r="G107" s="19"/>
      <c r="H107" s="13"/>
      <c r="I107" s="19"/>
      <c r="J107" s="13"/>
      <c r="K107" s="19"/>
      <c r="L107" s="13"/>
      <c r="M107" s="19"/>
      <c r="N107" s="13"/>
      <c r="O107" s="19"/>
      <c r="P107" s="13"/>
      <c r="Q107" s="19"/>
      <c r="R107" s="13"/>
      <c r="S107" s="19"/>
      <c r="T107" s="13"/>
      <c r="U107" s="19"/>
      <c r="V107" s="13"/>
      <c r="W107" s="19"/>
      <c r="X107" s="13"/>
      <c r="Y107" s="19"/>
      <c r="Z107" s="13"/>
      <c r="AA107" s="19"/>
      <c r="AB107" s="13"/>
      <c r="AC107" s="19"/>
      <c r="AD107" s="13"/>
      <c r="AE107" s="19"/>
      <c r="AF107" s="13"/>
      <c r="AG107" s="19"/>
      <c r="AH107" s="13"/>
      <c r="AI107" s="19"/>
      <c r="AJ107" s="13"/>
      <c r="AK107" s="19"/>
      <c r="AL107" s="13"/>
      <c r="AM107" s="19"/>
      <c r="AN107" s="13"/>
      <c r="AO107" s="19"/>
      <c r="AP107" s="13"/>
      <c r="AQ107" s="19"/>
      <c r="AR107" s="13"/>
      <c r="AS107" s="614"/>
      <c r="AT107" s="460"/>
      <c r="AU107" s="783"/>
      <c r="AV107" s="460"/>
    </row>
    <row r="108" spans="1:48">
      <c r="A108" s="14"/>
      <c r="B108" s="15"/>
      <c r="C108" s="16"/>
      <c r="D108" s="17"/>
      <c r="E108" s="12"/>
      <c r="F108" s="18"/>
      <c r="G108" s="19"/>
      <c r="H108" s="13"/>
      <c r="I108" s="19"/>
      <c r="J108" s="13"/>
      <c r="K108" s="19"/>
      <c r="L108" s="13"/>
      <c r="M108" s="19"/>
      <c r="N108" s="13"/>
      <c r="O108" s="19"/>
      <c r="P108" s="13"/>
      <c r="Q108" s="19"/>
      <c r="R108" s="13"/>
      <c r="S108" s="19"/>
      <c r="T108" s="13"/>
      <c r="U108" s="19"/>
      <c r="V108" s="13"/>
      <c r="W108" s="19"/>
      <c r="X108" s="13"/>
      <c r="Y108" s="19"/>
      <c r="Z108" s="13"/>
      <c r="AA108" s="19"/>
      <c r="AB108" s="13"/>
      <c r="AC108" s="19"/>
      <c r="AD108" s="13"/>
      <c r="AE108" s="19"/>
      <c r="AF108" s="13"/>
      <c r="AG108" s="19"/>
      <c r="AH108" s="13"/>
      <c r="AI108" s="19"/>
      <c r="AJ108" s="13"/>
      <c r="AK108" s="19"/>
      <c r="AL108" s="13"/>
      <c r="AM108" s="19"/>
      <c r="AN108" s="13"/>
      <c r="AO108" s="19"/>
      <c r="AP108" s="13"/>
      <c r="AQ108" s="19"/>
      <c r="AR108" s="13"/>
      <c r="AS108" s="614"/>
      <c r="AT108" s="460"/>
      <c r="AU108" s="783"/>
      <c r="AV108" s="460"/>
    </row>
    <row r="109" spans="1:48">
      <c r="A109" s="14"/>
      <c r="B109" s="15"/>
      <c r="C109" s="16"/>
      <c r="D109" s="17"/>
      <c r="E109" s="12"/>
      <c r="F109" s="18"/>
      <c r="G109" s="19"/>
      <c r="H109" s="13"/>
      <c r="I109" s="19"/>
      <c r="J109" s="13"/>
      <c r="K109" s="19"/>
      <c r="L109" s="13"/>
      <c r="M109" s="19"/>
      <c r="N109" s="13"/>
      <c r="O109" s="19"/>
      <c r="P109" s="13"/>
      <c r="Q109" s="19"/>
      <c r="R109" s="13"/>
      <c r="S109" s="19"/>
      <c r="T109" s="13"/>
      <c r="U109" s="19"/>
      <c r="V109" s="13"/>
      <c r="W109" s="19"/>
      <c r="X109" s="13"/>
      <c r="Y109" s="19"/>
      <c r="Z109" s="13"/>
      <c r="AA109" s="19"/>
      <c r="AB109" s="13"/>
      <c r="AC109" s="19"/>
      <c r="AD109" s="13"/>
      <c r="AE109" s="19"/>
      <c r="AF109" s="13"/>
      <c r="AG109" s="19"/>
      <c r="AH109" s="13"/>
      <c r="AI109" s="19"/>
      <c r="AJ109" s="13"/>
      <c r="AK109" s="19"/>
      <c r="AL109" s="13"/>
      <c r="AM109" s="19"/>
      <c r="AN109" s="13"/>
      <c r="AO109" s="19"/>
      <c r="AP109" s="13"/>
      <c r="AQ109" s="19"/>
      <c r="AR109" s="13"/>
      <c r="AS109" s="614"/>
      <c r="AT109" s="460"/>
      <c r="AU109" s="783"/>
      <c r="AV109" s="460"/>
    </row>
    <row r="110" spans="1:48">
      <c r="A110" s="14"/>
      <c r="B110" s="15"/>
      <c r="C110" s="16"/>
      <c r="D110" s="17"/>
      <c r="E110" s="12"/>
      <c r="F110" s="18"/>
      <c r="G110" s="19"/>
      <c r="H110" s="13"/>
      <c r="I110" s="19"/>
      <c r="J110" s="13"/>
      <c r="K110" s="19"/>
      <c r="L110" s="13"/>
      <c r="M110" s="19"/>
      <c r="N110" s="13"/>
      <c r="O110" s="19"/>
      <c r="P110" s="13"/>
      <c r="Q110" s="19"/>
      <c r="R110" s="13"/>
      <c r="S110" s="19"/>
      <c r="T110" s="13"/>
      <c r="U110" s="19"/>
      <c r="V110" s="13"/>
      <c r="W110" s="19"/>
      <c r="X110" s="13"/>
      <c r="Y110" s="19"/>
      <c r="Z110" s="13"/>
      <c r="AA110" s="19"/>
      <c r="AB110" s="13"/>
      <c r="AC110" s="19"/>
      <c r="AD110" s="13"/>
      <c r="AE110" s="19"/>
      <c r="AF110" s="13"/>
      <c r="AG110" s="19"/>
      <c r="AH110" s="13"/>
      <c r="AI110" s="19"/>
      <c r="AJ110" s="13"/>
      <c r="AK110" s="19"/>
      <c r="AL110" s="13"/>
      <c r="AM110" s="19"/>
      <c r="AN110" s="13"/>
      <c r="AO110" s="19"/>
      <c r="AP110" s="13"/>
      <c r="AQ110" s="19"/>
      <c r="AR110" s="13"/>
      <c r="AS110" s="614"/>
      <c r="AT110" s="460"/>
      <c r="AU110" s="783"/>
      <c r="AV110" s="460"/>
    </row>
    <row r="111" spans="1:48">
      <c r="A111" s="14"/>
      <c r="B111" s="15"/>
      <c r="C111" s="16"/>
      <c r="D111" s="17"/>
      <c r="E111" s="12"/>
      <c r="F111" s="18"/>
      <c r="G111" s="19"/>
      <c r="H111" s="13"/>
      <c r="I111" s="19"/>
      <c r="J111" s="13"/>
      <c r="K111" s="19"/>
      <c r="L111" s="13"/>
      <c r="M111" s="19"/>
      <c r="N111" s="13"/>
      <c r="O111" s="19"/>
      <c r="P111" s="13"/>
      <c r="Q111" s="19"/>
      <c r="R111" s="13"/>
      <c r="S111" s="19"/>
      <c r="T111" s="13"/>
      <c r="U111" s="19"/>
      <c r="V111" s="13"/>
      <c r="W111" s="19"/>
      <c r="X111" s="13"/>
      <c r="Y111" s="19"/>
      <c r="Z111" s="13"/>
      <c r="AA111" s="19"/>
      <c r="AB111" s="13"/>
      <c r="AC111" s="19"/>
      <c r="AD111" s="13"/>
      <c r="AE111" s="19"/>
      <c r="AF111" s="13"/>
      <c r="AG111" s="19"/>
      <c r="AH111" s="13"/>
      <c r="AI111" s="19"/>
      <c r="AJ111" s="13"/>
      <c r="AK111" s="19"/>
      <c r="AL111" s="13"/>
      <c r="AM111" s="19"/>
      <c r="AN111" s="13"/>
      <c r="AO111" s="19"/>
      <c r="AP111" s="13"/>
      <c r="AQ111" s="19"/>
      <c r="AR111" s="13"/>
      <c r="AS111" s="614"/>
      <c r="AT111" s="460"/>
      <c r="AU111" s="783"/>
      <c r="AV111" s="460"/>
    </row>
    <row r="112" spans="1:48">
      <c r="A112" s="14"/>
      <c r="B112" s="15"/>
      <c r="C112" s="16"/>
      <c r="D112" s="17"/>
      <c r="E112" s="12"/>
      <c r="F112" s="18"/>
      <c r="G112" s="19"/>
      <c r="H112" s="13"/>
      <c r="I112" s="19"/>
      <c r="J112" s="13"/>
      <c r="K112" s="19"/>
      <c r="L112" s="13"/>
      <c r="M112" s="19"/>
      <c r="N112" s="13"/>
      <c r="O112" s="19"/>
      <c r="P112" s="13"/>
      <c r="Q112" s="19"/>
      <c r="R112" s="13"/>
      <c r="S112" s="19"/>
      <c r="T112" s="13"/>
      <c r="U112" s="19"/>
      <c r="V112" s="13"/>
      <c r="W112" s="19"/>
      <c r="X112" s="13"/>
      <c r="Y112" s="19"/>
      <c r="Z112" s="13"/>
      <c r="AA112" s="19"/>
      <c r="AB112" s="13"/>
      <c r="AC112" s="19"/>
      <c r="AD112" s="13"/>
      <c r="AE112" s="19"/>
      <c r="AF112" s="13"/>
      <c r="AG112" s="19"/>
      <c r="AH112" s="13"/>
      <c r="AI112" s="19"/>
      <c r="AJ112" s="13"/>
      <c r="AK112" s="19"/>
      <c r="AL112" s="13"/>
      <c r="AM112" s="19"/>
      <c r="AN112" s="13"/>
      <c r="AO112" s="19"/>
      <c r="AP112" s="13"/>
      <c r="AQ112" s="19"/>
      <c r="AR112" s="13"/>
      <c r="AS112" s="614"/>
      <c r="AT112" s="460"/>
      <c r="AU112" s="783"/>
      <c r="AV112" s="460"/>
    </row>
    <row r="113" spans="1:48">
      <c r="A113" s="14"/>
      <c r="B113" s="15"/>
      <c r="C113" s="16"/>
      <c r="D113" s="17"/>
      <c r="E113" s="12"/>
      <c r="F113" s="18"/>
      <c r="G113" s="19"/>
      <c r="H113" s="13"/>
      <c r="I113" s="19"/>
      <c r="J113" s="13"/>
      <c r="K113" s="19"/>
      <c r="L113" s="13"/>
      <c r="M113" s="19"/>
      <c r="N113" s="13"/>
      <c r="O113" s="19"/>
      <c r="P113" s="13"/>
      <c r="Q113" s="19"/>
      <c r="R113" s="13"/>
      <c r="S113" s="19"/>
      <c r="T113" s="13"/>
      <c r="U113" s="19"/>
      <c r="V113" s="13"/>
      <c r="W113" s="19"/>
      <c r="X113" s="13"/>
      <c r="Y113" s="19"/>
      <c r="Z113" s="13"/>
      <c r="AA113" s="19"/>
      <c r="AB113" s="13"/>
      <c r="AC113" s="19"/>
      <c r="AD113" s="13"/>
      <c r="AE113" s="19"/>
      <c r="AF113" s="13"/>
      <c r="AG113" s="19"/>
      <c r="AH113" s="13"/>
      <c r="AI113" s="19"/>
      <c r="AJ113" s="13"/>
      <c r="AK113" s="19"/>
      <c r="AL113" s="13"/>
      <c r="AM113" s="19"/>
      <c r="AN113" s="13"/>
      <c r="AO113" s="19"/>
      <c r="AP113" s="13"/>
      <c r="AQ113" s="19"/>
      <c r="AR113" s="13"/>
      <c r="AS113" s="614"/>
      <c r="AT113" s="460"/>
      <c r="AU113" s="783"/>
      <c r="AV113" s="460"/>
    </row>
    <row r="114" spans="1:48">
      <c r="A114" s="14"/>
      <c r="B114" s="15"/>
      <c r="C114" s="16"/>
      <c r="D114" s="17"/>
      <c r="E114" s="12"/>
      <c r="F114" s="18"/>
      <c r="G114" s="19"/>
      <c r="H114" s="13"/>
      <c r="I114" s="19"/>
      <c r="J114" s="13"/>
      <c r="K114" s="19"/>
      <c r="L114" s="13"/>
      <c r="M114" s="19"/>
      <c r="N114" s="13"/>
      <c r="O114" s="19"/>
      <c r="P114" s="13"/>
      <c r="Q114" s="19"/>
      <c r="R114" s="13"/>
      <c r="S114" s="19"/>
      <c r="T114" s="13"/>
      <c r="U114" s="19"/>
      <c r="V114" s="13"/>
      <c r="W114" s="19"/>
      <c r="X114" s="13"/>
      <c r="Y114" s="19"/>
      <c r="Z114" s="13"/>
      <c r="AA114" s="19"/>
      <c r="AB114" s="13"/>
      <c r="AC114" s="19"/>
      <c r="AD114" s="13"/>
      <c r="AE114" s="19"/>
      <c r="AF114" s="13"/>
      <c r="AG114" s="19"/>
      <c r="AH114" s="13"/>
      <c r="AI114" s="19"/>
      <c r="AJ114" s="13"/>
      <c r="AK114" s="19"/>
      <c r="AL114" s="13"/>
      <c r="AM114" s="19"/>
      <c r="AN114" s="13"/>
      <c r="AO114" s="19"/>
      <c r="AP114" s="13"/>
      <c r="AQ114" s="19"/>
      <c r="AR114" s="13"/>
      <c r="AS114" s="614"/>
      <c r="AT114" s="460"/>
      <c r="AU114" s="783"/>
      <c r="AV114" s="460"/>
    </row>
    <row r="115" spans="1:48">
      <c r="A115" s="14"/>
      <c r="B115" s="15"/>
      <c r="C115" s="16"/>
      <c r="D115" s="17"/>
      <c r="E115" s="12"/>
      <c r="F115" s="18"/>
      <c r="G115" s="19"/>
      <c r="H115" s="13"/>
      <c r="I115" s="19"/>
      <c r="J115" s="13"/>
      <c r="K115" s="19"/>
      <c r="L115" s="13"/>
      <c r="M115" s="19"/>
      <c r="N115" s="13"/>
      <c r="O115" s="19"/>
      <c r="P115" s="13"/>
      <c r="Q115" s="19"/>
      <c r="R115" s="13"/>
      <c r="S115" s="19"/>
      <c r="T115" s="13"/>
      <c r="U115" s="19"/>
      <c r="V115" s="13"/>
      <c r="W115" s="19"/>
      <c r="X115" s="13"/>
      <c r="Y115" s="19"/>
      <c r="Z115" s="13"/>
      <c r="AA115" s="19"/>
      <c r="AB115" s="13"/>
      <c r="AC115" s="19"/>
      <c r="AD115" s="13"/>
      <c r="AE115" s="19"/>
      <c r="AF115" s="13"/>
      <c r="AG115" s="19"/>
      <c r="AH115" s="13"/>
      <c r="AI115" s="19"/>
      <c r="AJ115" s="13"/>
      <c r="AK115" s="19"/>
      <c r="AL115" s="13"/>
      <c r="AM115" s="19"/>
      <c r="AN115" s="13"/>
      <c r="AO115" s="19"/>
      <c r="AP115" s="13"/>
      <c r="AQ115" s="19"/>
      <c r="AR115" s="13"/>
      <c r="AS115" s="614"/>
      <c r="AT115" s="460"/>
      <c r="AU115" s="783"/>
      <c r="AV115" s="460"/>
    </row>
    <row r="116" spans="1:48">
      <c r="A116" s="14"/>
      <c r="B116" s="15"/>
      <c r="C116" s="16"/>
      <c r="D116" s="17"/>
      <c r="E116" s="12"/>
      <c r="F116" s="18"/>
      <c r="G116" s="19"/>
      <c r="H116" s="13"/>
      <c r="I116" s="19"/>
      <c r="J116" s="13"/>
      <c r="K116" s="19"/>
      <c r="L116" s="13"/>
      <c r="M116" s="19"/>
      <c r="N116" s="13"/>
      <c r="O116" s="19"/>
      <c r="P116" s="13"/>
      <c r="Q116" s="19"/>
      <c r="R116" s="13"/>
      <c r="S116" s="19"/>
      <c r="T116" s="13"/>
      <c r="U116" s="19"/>
      <c r="V116" s="13"/>
      <c r="W116" s="19"/>
      <c r="X116" s="13"/>
      <c r="Y116" s="19"/>
      <c r="Z116" s="13"/>
      <c r="AA116" s="19"/>
      <c r="AB116" s="13"/>
      <c r="AC116" s="19"/>
      <c r="AD116" s="13"/>
      <c r="AE116" s="19"/>
      <c r="AF116" s="13"/>
      <c r="AG116" s="19"/>
      <c r="AH116" s="13"/>
      <c r="AI116" s="19"/>
      <c r="AJ116" s="13"/>
      <c r="AK116" s="19"/>
      <c r="AL116" s="13"/>
      <c r="AM116" s="19"/>
      <c r="AN116" s="13"/>
      <c r="AO116" s="19"/>
      <c r="AP116" s="13"/>
      <c r="AQ116" s="19"/>
      <c r="AR116" s="13"/>
      <c r="AS116" s="614"/>
      <c r="AT116" s="460"/>
      <c r="AU116" s="783"/>
      <c r="AV116" s="460"/>
    </row>
    <row r="117" spans="1:48">
      <c r="A117" s="14"/>
      <c r="B117" s="15"/>
      <c r="C117" s="16"/>
      <c r="D117" s="17"/>
      <c r="E117" s="12"/>
      <c r="F117" s="18"/>
      <c r="G117" s="19"/>
      <c r="H117" s="13"/>
      <c r="I117" s="19"/>
      <c r="J117" s="13"/>
      <c r="K117" s="19"/>
      <c r="L117" s="13"/>
      <c r="M117" s="19"/>
      <c r="N117" s="13"/>
      <c r="O117" s="19"/>
      <c r="P117" s="13"/>
      <c r="Q117" s="19"/>
      <c r="R117" s="13"/>
      <c r="S117" s="19"/>
      <c r="T117" s="13"/>
      <c r="U117" s="19"/>
      <c r="V117" s="13"/>
      <c r="W117" s="19"/>
      <c r="X117" s="13"/>
      <c r="Y117" s="19"/>
      <c r="Z117" s="13"/>
      <c r="AA117" s="19"/>
      <c r="AB117" s="13"/>
      <c r="AC117" s="19"/>
      <c r="AD117" s="13"/>
      <c r="AE117" s="19"/>
      <c r="AF117" s="13"/>
      <c r="AG117" s="19"/>
      <c r="AH117" s="13"/>
      <c r="AI117" s="19"/>
      <c r="AJ117" s="13"/>
      <c r="AK117" s="19"/>
      <c r="AL117" s="13"/>
      <c r="AM117" s="19"/>
      <c r="AN117" s="13"/>
      <c r="AO117" s="19"/>
      <c r="AP117" s="13"/>
      <c r="AQ117" s="19"/>
      <c r="AR117" s="13"/>
      <c r="AS117" s="614"/>
      <c r="AT117" s="460"/>
      <c r="AU117" s="783"/>
      <c r="AV117" s="460"/>
    </row>
    <row r="118" spans="1:48">
      <c r="A118" s="14"/>
      <c r="B118" s="15"/>
      <c r="C118" s="16"/>
      <c r="D118" s="17"/>
      <c r="E118" s="12"/>
      <c r="F118" s="18"/>
      <c r="G118" s="19"/>
      <c r="H118" s="13"/>
      <c r="I118" s="19"/>
      <c r="J118" s="13"/>
      <c r="K118" s="19"/>
      <c r="L118" s="13"/>
      <c r="M118" s="19"/>
      <c r="N118" s="13"/>
      <c r="O118" s="19"/>
      <c r="P118" s="13"/>
      <c r="Q118" s="19"/>
      <c r="R118" s="13"/>
      <c r="S118" s="19"/>
      <c r="T118" s="13"/>
      <c r="U118" s="19"/>
      <c r="V118" s="13"/>
      <c r="W118" s="19"/>
      <c r="X118" s="13"/>
      <c r="Y118" s="19"/>
      <c r="Z118" s="13"/>
      <c r="AA118" s="19"/>
      <c r="AB118" s="13"/>
      <c r="AC118" s="19"/>
      <c r="AD118" s="13"/>
      <c r="AE118" s="19"/>
      <c r="AF118" s="13"/>
      <c r="AG118" s="19"/>
      <c r="AH118" s="13"/>
      <c r="AI118" s="19"/>
      <c r="AJ118" s="13"/>
      <c r="AK118" s="19"/>
      <c r="AL118" s="13"/>
      <c r="AM118" s="19"/>
      <c r="AN118" s="13"/>
      <c r="AO118" s="19"/>
      <c r="AP118" s="13"/>
      <c r="AQ118" s="19"/>
      <c r="AR118" s="13"/>
      <c r="AS118" s="614"/>
      <c r="AT118" s="460"/>
      <c r="AU118" s="783"/>
      <c r="AV118" s="460"/>
    </row>
    <row r="119" spans="1:48">
      <c r="A119" s="14"/>
      <c r="B119" s="15"/>
      <c r="C119" s="16"/>
      <c r="D119" s="17"/>
      <c r="E119" s="12"/>
      <c r="F119" s="18"/>
      <c r="G119" s="19"/>
      <c r="H119" s="13"/>
      <c r="I119" s="19"/>
      <c r="J119" s="13"/>
      <c r="K119" s="19"/>
      <c r="L119" s="13"/>
      <c r="M119" s="19"/>
      <c r="N119" s="13"/>
      <c r="O119" s="19"/>
      <c r="P119" s="13"/>
      <c r="Q119" s="19"/>
      <c r="R119" s="13"/>
      <c r="S119" s="19"/>
      <c r="T119" s="13"/>
      <c r="U119" s="19"/>
      <c r="V119" s="13"/>
      <c r="W119" s="19"/>
      <c r="X119" s="13"/>
      <c r="Y119" s="19"/>
      <c r="Z119" s="13"/>
      <c r="AA119" s="19"/>
      <c r="AB119" s="13"/>
      <c r="AC119" s="19"/>
      <c r="AD119" s="13"/>
      <c r="AE119" s="19"/>
      <c r="AF119" s="13"/>
      <c r="AG119" s="19"/>
      <c r="AH119" s="13"/>
      <c r="AI119" s="19"/>
      <c r="AJ119" s="13"/>
      <c r="AK119" s="19"/>
      <c r="AL119" s="13"/>
      <c r="AM119" s="19"/>
      <c r="AN119" s="13"/>
      <c r="AO119" s="19"/>
      <c r="AP119" s="13"/>
      <c r="AQ119" s="19"/>
      <c r="AR119" s="13"/>
      <c r="AS119" s="614"/>
      <c r="AT119" s="460"/>
      <c r="AU119" s="783"/>
      <c r="AV119" s="460"/>
    </row>
    <row r="120" spans="1:48">
      <c r="A120" s="14"/>
      <c r="B120" s="15"/>
      <c r="C120" s="16"/>
      <c r="D120" s="17"/>
      <c r="E120" s="12"/>
      <c r="F120" s="18"/>
      <c r="G120" s="19"/>
      <c r="H120" s="13"/>
      <c r="I120" s="19"/>
      <c r="J120" s="13"/>
      <c r="K120" s="19"/>
      <c r="L120" s="13"/>
      <c r="M120" s="19"/>
      <c r="N120" s="13"/>
      <c r="O120" s="19"/>
      <c r="P120" s="13"/>
      <c r="Q120" s="19"/>
      <c r="R120" s="13"/>
      <c r="S120" s="19"/>
      <c r="T120" s="13"/>
      <c r="U120" s="19"/>
      <c r="V120" s="13"/>
      <c r="W120" s="19"/>
      <c r="X120" s="13"/>
      <c r="Y120" s="19"/>
      <c r="Z120" s="13"/>
      <c r="AA120" s="19"/>
      <c r="AB120" s="13"/>
      <c r="AC120" s="19"/>
      <c r="AD120" s="13"/>
      <c r="AE120" s="19"/>
      <c r="AF120" s="13"/>
      <c r="AG120" s="19"/>
      <c r="AH120" s="13"/>
      <c r="AI120" s="19"/>
      <c r="AJ120" s="13"/>
      <c r="AK120" s="19"/>
      <c r="AL120" s="13"/>
      <c r="AM120" s="19"/>
      <c r="AN120" s="13"/>
      <c r="AO120" s="19"/>
      <c r="AP120" s="13"/>
      <c r="AQ120" s="19"/>
      <c r="AR120" s="13"/>
      <c r="AS120" s="614"/>
      <c r="AT120" s="460"/>
      <c r="AU120" s="783"/>
      <c r="AV120" s="460"/>
    </row>
    <row r="121" spans="1:48">
      <c r="A121" s="14"/>
      <c r="B121" s="15"/>
      <c r="C121" s="16"/>
      <c r="D121" s="17"/>
      <c r="E121" s="12"/>
      <c r="F121" s="18"/>
      <c r="G121" s="19"/>
      <c r="H121" s="13"/>
      <c r="I121" s="19"/>
      <c r="J121" s="13"/>
      <c r="K121" s="19"/>
      <c r="L121" s="13"/>
      <c r="M121" s="19"/>
      <c r="N121" s="13"/>
      <c r="O121" s="19"/>
      <c r="P121" s="13"/>
      <c r="Q121" s="19"/>
      <c r="R121" s="13"/>
      <c r="S121" s="19"/>
      <c r="T121" s="13"/>
      <c r="U121" s="19"/>
      <c r="V121" s="13"/>
      <c r="W121" s="19"/>
      <c r="X121" s="13"/>
      <c r="Y121" s="19"/>
      <c r="Z121" s="13"/>
      <c r="AA121" s="19"/>
      <c r="AB121" s="13"/>
      <c r="AC121" s="19"/>
      <c r="AD121" s="13"/>
      <c r="AE121" s="19"/>
      <c r="AF121" s="13"/>
      <c r="AG121" s="19"/>
      <c r="AH121" s="13"/>
      <c r="AI121" s="19"/>
      <c r="AJ121" s="13"/>
      <c r="AK121" s="19"/>
      <c r="AL121" s="13"/>
      <c r="AM121" s="19"/>
      <c r="AN121" s="13"/>
      <c r="AO121" s="19"/>
      <c r="AP121" s="13"/>
      <c r="AQ121" s="19"/>
      <c r="AR121" s="13"/>
      <c r="AS121" s="614"/>
      <c r="AT121" s="460"/>
      <c r="AU121" s="783"/>
      <c r="AV121" s="460"/>
    </row>
    <row r="122" spans="1:48">
      <c r="A122" s="14"/>
      <c r="B122" s="15"/>
      <c r="C122" s="16"/>
      <c r="D122" s="17"/>
      <c r="E122" s="12"/>
      <c r="F122" s="18"/>
      <c r="G122" s="19"/>
      <c r="H122" s="13"/>
      <c r="I122" s="19"/>
      <c r="J122" s="13"/>
      <c r="K122" s="19"/>
      <c r="L122" s="13"/>
      <c r="M122" s="19"/>
      <c r="N122" s="13"/>
      <c r="O122" s="19"/>
      <c r="P122" s="13"/>
      <c r="Q122" s="19"/>
      <c r="R122" s="13"/>
      <c r="S122" s="19"/>
      <c r="T122" s="13"/>
      <c r="U122" s="19"/>
      <c r="V122" s="13"/>
      <c r="W122" s="19"/>
      <c r="X122" s="13"/>
      <c r="Y122" s="19"/>
      <c r="Z122" s="13"/>
      <c r="AA122" s="19"/>
      <c r="AB122" s="13"/>
      <c r="AC122" s="19"/>
      <c r="AD122" s="13"/>
      <c r="AE122" s="19"/>
      <c r="AF122" s="13"/>
      <c r="AG122" s="19"/>
      <c r="AH122" s="13"/>
      <c r="AI122" s="19"/>
      <c r="AJ122" s="13"/>
      <c r="AK122" s="19"/>
      <c r="AL122" s="13"/>
      <c r="AM122" s="19"/>
      <c r="AN122" s="13"/>
      <c r="AO122" s="19"/>
      <c r="AP122" s="13"/>
      <c r="AQ122" s="19"/>
      <c r="AR122" s="13"/>
      <c r="AS122" s="614"/>
      <c r="AT122" s="460"/>
      <c r="AU122" s="783"/>
      <c r="AV122" s="460"/>
    </row>
    <row r="123" spans="1:48">
      <c r="A123" s="14"/>
      <c r="B123" s="15"/>
      <c r="C123" s="16"/>
      <c r="D123" s="17"/>
      <c r="E123" s="12"/>
      <c r="F123" s="18"/>
      <c r="G123" s="19"/>
      <c r="H123" s="13"/>
      <c r="I123" s="19"/>
      <c r="J123" s="13"/>
      <c r="K123" s="19"/>
      <c r="L123" s="13"/>
      <c r="M123" s="19"/>
      <c r="N123" s="13"/>
      <c r="O123" s="19"/>
      <c r="P123" s="13"/>
      <c r="Q123" s="19"/>
      <c r="R123" s="13"/>
      <c r="S123" s="19"/>
      <c r="T123" s="13"/>
      <c r="U123" s="19"/>
      <c r="V123" s="13"/>
      <c r="W123" s="19"/>
      <c r="X123" s="13"/>
      <c r="Y123" s="19"/>
      <c r="Z123" s="13"/>
      <c r="AA123" s="19"/>
      <c r="AB123" s="13"/>
      <c r="AC123" s="19"/>
      <c r="AD123" s="13"/>
      <c r="AE123" s="19"/>
      <c r="AF123" s="13"/>
      <c r="AG123" s="19"/>
      <c r="AH123" s="13"/>
      <c r="AI123" s="19"/>
      <c r="AJ123" s="13"/>
      <c r="AK123" s="19"/>
      <c r="AL123" s="13"/>
      <c r="AM123" s="19"/>
      <c r="AN123" s="13"/>
      <c r="AO123" s="19"/>
      <c r="AP123" s="13"/>
      <c r="AQ123" s="19"/>
      <c r="AR123" s="13"/>
      <c r="AS123" s="614"/>
      <c r="AT123" s="460"/>
      <c r="AU123" s="783"/>
      <c r="AV123" s="460"/>
    </row>
    <row r="124" spans="1:48">
      <c r="A124" s="14"/>
      <c r="B124" s="15"/>
      <c r="C124" s="16"/>
      <c r="D124" s="17"/>
      <c r="E124" s="12"/>
      <c r="F124" s="18"/>
      <c r="G124" s="19"/>
      <c r="H124" s="13"/>
      <c r="I124" s="19"/>
      <c r="J124" s="13"/>
      <c r="K124" s="19"/>
      <c r="L124" s="13"/>
      <c r="M124" s="19"/>
      <c r="N124" s="13"/>
      <c r="O124" s="19"/>
      <c r="P124" s="13"/>
      <c r="Q124" s="19"/>
      <c r="R124" s="13"/>
      <c r="S124" s="19"/>
      <c r="T124" s="13"/>
      <c r="U124" s="19"/>
      <c r="V124" s="13"/>
      <c r="W124" s="19"/>
      <c r="X124" s="13"/>
      <c r="Y124" s="19"/>
      <c r="Z124" s="13"/>
      <c r="AA124" s="19"/>
      <c r="AB124" s="13"/>
      <c r="AC124" s="19"/>
      <c r="AD124" s="13"/>
      <c r="AE124" s="19"/>
      <c r="AF124" s="13"/>
      <c r="AG124" s="19"/>
      <c r="AH124" s="13"/>
      <c r="AI124" s="19"/>
      <c r="AJ124" s="13"/>
      <c r="AK124" s="19"/>
      <c r="AL124" s="13"/>
      <c r="AM124" s="19"/>
      <c r="AN124" s="13"/>
      <c r="AO124" s="19"/>
      <c r="AP124" s="13"/>
      <c r="AQ124" s="19"/>
      <c r="AR124" s="13"/>
      <c r="AS124" s="614"/>
      <c r="AT124" s="460"/>
      <c r="AU124" s="783"/>
      <c r="AV124" s="460"/>
    </row>
    <row r="125" spans="1:48">
      <c r="A125" s="14"/>
      <c r="B125" s="15"/>
      <c r="C125" s="16"/>
      <c r="D125" s="17"/>
      <c r="E125" s="12"/>
      <c r="F125" s="18"/>
      <c r="G125" s="19"/>
      <c r="H125" s="13"/>
      <c r="I125" s="19"/>
      <c r="J125" s="13"/>
      <c r="K125" s="19"/>
      <c r="L125" s="13"/>
      <c r="M125" s="19"/>
      <c r="N125" s="13"/>
      <c r="O125" s="19"/>
      <c r="P125" s="13"/>
      <c r="Q125" s="19"/>
      <c r="R125" s="13"/>
      <c r="S125" s="19"/>
      <c r="T125" s="13"/>
      <c r="U125" s="19"/>
      <c r="V125" s="13"/>
      <c r="W125" s="19"/>
      <c r="X125" s="13"/>
      <c r="Y125" s="19"/>
      <c r="Z125" s="13"/>
      <c r="AA125" s="19"/>
      <c r="AB125" s="13"/>
      <c r="AC125" s="19"/>
      <c r="AD125" s="13"/>
      <c r="AE125" s="19"/>
      <c r="AF125" s="13"/>
      <c r="AG125" s="19"/>
      <c r="AH125" s="13"/>
      <c r="AI125" s="19"/>
      <c r="AJ125" s="13"/>
      <c r="AK125" s="19"/>
      <c r="AL125" s="13"/>
      <c r="AM125" s="19"/>
      <c r="AN125" s="13"/>
      <c r="AO125" s="19"/>
      <c r="AP125" s="13"/>
      <c r="AQ125" s="19"/>
      <c r="AR125" s="13"/>
      <c r="AS125" s="614"/>
      <c r="AT125" s="460"/>
      <c r="AU125" s="783"/>
      <c r="AV125" s="460"/>
    </row>
    <row r="126" spans="1:48">
      <c r="A126" s="14"/>
      <c r="B126" s="15"/>
      <c r="C126" s="16"/>
      <c r="D126" s="17"/>
      <c r="E126" s="12"/>
      <c r="F126" s="18"/>
      <c r="G126" s="19"/>
      <c r="H126" s="13"/>
      <c r="I126" s="19"/>
      <c r="J126" s="13"/>
      <c r="K126" s="19"/>
      <c r="L126" s="13"/>
      <c r="M126" s="19"/>
      <c r="N126" s="13"/>
      <c r="O126" s="19"/>
      <c r="P126" s="13"/>
      <c r="Q126" s="19"/>
      <c r="R126" s="13"/>
      <c r="S126" s="19"/>
      <c r="T126" s="13"/>
      <c r="U126" s="19"/>
      <c r="V126" s="13"/>
      <c r="W126" s="19"/>
      <c r="X126" s="13"/>
      <c r="Y126" s="19"/>
      <c r="Z126" s="13"/>
      <c r="AA126" s="19"/>
      <c r="AB126" s="13"/>
      <c r="AC126" s="19"/>
      <c r="AD126" s="13"/>
      <c r="AE126" s="19"/>
      <c r="AF126" s="13"/>
      <c r="AG126" s="19"/>
      <c r="AH126" s="13"/>
      <c r="AI126" s="19"/>
      <c r="AJ126" s="13"/>
      <c r="AK126" s="19"/>
      <c r="AL126" s="13"/>
      <c r="AM126" s="19"/>
      <c r="AN126" s="13"/>
      <c r="AO126" s="19"/>
      <c r="AP126" s="13"/>
      <c r="AQ126" s="19"/>
      <c r="AR126" s="13"/>
      <c r="AS126" s="614"/>
      <c r="AT126" s="460"/>
      <c r="AU126" s="783"/>
      <c r="AV126" s="460"/>
    </row>
    <row r="127" spans="1:48">
      <c r="A127" s="14"/>
      <c r="B127" s="15"/>
      <c r="C127" s="16"/>
      <c r="D127" s="17"/>
      <c r="E127" s="12"/>
      <c r="F127" s="18"/>
      <c r="G127" s="19"/>
      <c r="H127" s="13"/>
      <c r="I127" s="19"/>
      <c r="J127" s="13"/>
      <c r="K127" s="19"/>
      <c r="L127" s="13"/>
      <c r="M127" s="19"/>
      <c r="N127" s="13"/>
      <c r="O127" s="19"/>
      <c r="P127" s="13"/>
      <c r="Q127" s="19"/>
      <c r="R127" s="13"/>
      <c r="S127" s="19"/>
      <c r="T127" s="13"/>
      <c r="U127" s="19"/>
      <c r="V127" s="13"/>
      <c r="W127" s="19"/>
      <c r="X127" s="13"/>
      <c r="Y127" s="19"/>
      <c r="Z127" s="13"/>
      <c r="AA127" s="19"/>
      <c r="AB127" s="13"/>
      <c r="AC127" s="19"/>
      <c r="AD127" s="13"/>
      <c r="AE127" s="19"/>
      <c r="AF127" s="13"/>
      <c r="AG127" s="19"/>
      <c r="AH127" s="13"/>
      <c r="AI127" s="19"/>
      <c r="AJ127" s="13"/>
      <c r="AK127" s="19"/>
      <c r="AL127" s="13"/>
      <c r="AM127" s="19"/>
      <c r="AN127" s="13"/>
      <c r="AO127" s="19"/>
      <c r="AP127" s="13"/>
      <c r="AQ127" s="19"/>
      <c r="AR127" s="13"/>
      <c r="AS127" s="614"/>
      <c r="AT127" s="460"/>
      <c r="AU127" s="783"/>
      <c r="AV127" s="460"/>
    </row>
    <row r="128" spans="1:48">
      <c r="A128" s="14"/>
      <c r="B128" s="15"/>
      <c r="C128" s="16"/>
      <c r="D128" s="17"/>
      <c r="E128" s="12"/>
      <c r="F128" s="18"/>
      <c r="G128" s="19"/>
      <c r="H128" s="13"/>
      <c r="I128" s="19"/>
      <c r="J128" s="13"/>
      <c r="K128" s="19"/>
      <c r="L128" s="13"/>
      <c r="M128" s="19"/>
      <c r="N128" s="13"/>
      <c r="O128" s="19"/>
      <c r="P128" s="13"/>
      <c r="Q128" s="19"/>
      <c r="R128" s="13"/>
      <c r="S128" s="19"/>
      <c r="T128" s="13"/>
      <c r="U128" s="19"/>
      <c r="V128" s="13"/>
      <c r="W128" s="19"/>
      <c r="X128" s="13"/>
      <c r="Y128" s="19"/>
      <c r="Z128" s="13"/>
      <c r="AA128" s="19"/>
      <c r="AB128" s="13"/>
      <c r="AC128" s="19"/>
      <c r="AD128" s="13"/>
      <c r="AE128" s="19"/>
      <c r="AF128" s="13"/>
      <c r="AG128" s="19"/>
      <c r="AH128" s="13"/>
      <c r="AI128" s="19"/>
      <c r="AJ128" s="13"/>
      <c r="AK128" s="19"/>
      <c r="AL128" s="13"/>
      <c r="AM128" s="19"/>
      <c r="AN128" s="13"/>
      <c r="AO128" s="19"/>
      <c r="AP128" s="13"/>
      <c r="AQ128" s="19"/>
      <c r="AR128" s="13"/>
      <c r="AS128" s="614"/>
      <c r="AT128" s="460"/>
      <c r="AU128" s="783"/>
      <c r="AV128" s="460"/>
    </row>
    <row r="129" spans="1:48">
      <c r="A129" s="14"/>
      <c r="B129" s="15"/>
      <c r="C129" s="16"/>
      <c r="D129" s="17"/>
      <c r="E129" s="12"/>
      <c r="F129" s="18"/>
      <c r="G129" s="19"/>
      <c r="H129" s="13"/>
      <c r="I129" s="19"/>
      <c r="J129" s="13"/>
      <c r="K129" s="19"/>
      <c r="L129" s="13"/>
      <c r="M129" s="19"/>
      <c r="N129" s="13"/>
      <c r="O129" s="19"/>
      <c r="P129" s="13"/>
      <c r="Q129" s="19"/>
      <c r="R129" s="13"/>
      <c r="S129" s="19"/>
      <c r="T129" s="13"/>
      <c r="U129" s="19"/>
      <c r="V129" s="13"/>
      <c r="W129" s="19"/>
      <c r="X129" s="13"/>
      <c r="Y129" s="19"/>
      <c r="Z129" s="13"/>
      <c r="AA129" s="19"/>
      <c r="AB129" s="13"/>
      <c r="AC129" s="19"/>
      <c r="AD129" s="13"/>
      <c r="AE129" s="19"/>
      <c r="AF129" s="13"/>
      <c r="AG129" s="19"/>
      <c r="AH129" s="13"/>
      <c r="AI129" s="19"/>
      <c r="AJ129" s="13"/>
      <c r="AK129" s="19"/>
      <c r="AL129" s="13"/>
      <c r="AM129" s="19"/>
      <c r="AN129" s="13"/>
      <c r="AO129" s="19"/>
      <c r="AP129" s="13"/>
      <c r="AQ129" s="19"/>
      <c r="AR129" s="13"/>
      <c r="AS129" s="614"/>
      <c r="AT129" s="460"/>
      <c r="AU129" s="783"/>
      <c r="AV129" s="460"/>
    </row>
    <row r="130" spans="1:48">
      <c r="A130" s="14"/>
      <c r="B130" s="15"/>
      <c r="C130" s="16"/>
      <c r="D130" s="17"/>
      <c r="E130" s="12"/>
      <c r="F130" s="18"/>
      <c r="G130" s="19"/>
      <c r="H130" s="13"/>
      <c r="I130" s="19"/>
      <c r="J130" s="13"/>
      <c r="K130" s="19"/>
      <c r="L130" s="13"/>
      <c r="M130" s="19"/>
      <c r="N130" s="13"/>
      <c r="O130" s="19"/>
      <c r="P130" s="13"/>
      <c r="Q130" s="19"/>
      <c r="R130" s="13"/>
      <c r="S130" s="19"/>
      <c r="T130" s="13"/>
      <c r="U130" s="19"/>
      <c r="V130" s="13"/>
      <c r="W130" s="19"/>
      <c r="X130" s="13"/>
      <c r="Y130" s="19"/>
      <c r="Z130" s="13"/>
      <c r="AA130" s="19"/>
      <c r="AB130" s="13"/>
      <c r="AC130" s="19"/>
      <c r="AD130" s="13"/>
      <c r="AE130" s="19"/>
      <c r="AF130" s="13"/>
      <c r="AG130" s="19"/>
      <c r="AH130" s="13"/>
      <c r="AI130" s="19"/>
      <c r="AJ130" s="13"/>
      <c r="AK130" s="19"/>
      <c r="AL130" s="13"/>
      <c r="AM130" s="19"/>
      <c r="AN130" s="13"/>
      <c r="AO130" s="19"/>
      <c r="AP130" s="13"/>
      <c r="AQ130" s="19"/>
      <c r="AR130" s="13"/>
      <c r="AS130" s="614"/>
      <c r="AT130" s="460"/>
      <c r="AU130" s="783"/>
      <c r="AV130" s="460"/>
    </row>
    <row r="131" spans="1:48">
      <c r="A131" s="14"/>
      <c r="B131" s="15"/>
      <c r="C131" s="16"/>
      <c r="D131" s="17"/>
      <c r="E131" s="12"/>
      <c r="F131" s="18"/>
      <c r="G131" s="19"/>
      <c r="H131" s="13"/>
      <c r="I131" s="19"/>
      <c r="J131" s="13"/>
      <c r="K131" s="19"/>
      <c r="L131" s="13"/>
      <c r="M131" s="19"/>
      <c r="N131" s="13"/>
      <c r="O131" s="19"/>
      <c r="P131" s="13"/>
      <c r="Q131" s="19"/>
      <c r="R131" s="13"/>
      <c r="S131" s="19"/>
      <c r="T131" s="13"/>
      <c r="U131" s="19"/>
      <c r="V131" s="13"/>
      <c r="W131" s="19"/>
      <c r="X131" s="13"/>
      <c r="Y131" s="19"/>
      <c r="Z131" s="13"/>
      <c r="AA131" s="19"/>
      <c r="AB131" s="13"/>
      <c r="AC131" s="19"/>
      <c r="AD131" s="13"/>
      <c r="AE131" s="19"/>
      <c r="AF131" s="13"/>
      <c r="AG131" s="19"/>
      <c r="AH131" s="13"/>
      <c r="AI131" s="19"/>
      <c r="AJ131" s="13"/>
      <c r="AK131" s="19"/>
      <c r="AL131" s="13"/>
      <c r="AM131" s="19"/>
      <c r="AN131" s="13"/>
      <c r="AO131" s="19"/>
      <c r="AP131" s="13"/>
      <c r="AQ131" s="19"/>
      <c r="AR131" s="13"/>
      <c r="AS131" s="614"/>
      <c r="AT131" s="460"/>
      <c r="AU131" s="783"/>
      <c r="AV131" s="460"/>
    </row>
    <row r="132" spans="1:48">
      <c r="A132" s="14"/>
      <c r="B132" s="15"/>
      <c r="C132" s="16"/>
      <c r="D132" s="17"/>
      <c r="E132" s="12"/>
      <c r="F132" s="18"/>
      <c r="G132" s="19"/>
      <c r="H132" s="13"/>
      <c r="I132" s="19"/>
      <c r="J132" s="13"/>
      <c r="K132" s="19"/>
      <c r="L132" s="13"/>
      <c r="M132" s="19"/>
      <c r="N132" s="13"/>
      <c r="O132" s="19"/>
      <c r="P132" s="13"/>
      <c r="Q132" s="19"/>
      <c r="R132" s="13"/>
      <c r="S132" s="19"/>
      <c r="T132" s="13"/>
      <c r="U132" s="19"/>
      <c r="V132" s="13"/>
      <c r="W132" s="19"/>
      <c r="X132" s="13"/>
      <c r="Y132" s="19"/>
      <c r="Z132" s="13"/>
      <c r="AA132" s="19"/>
      <c r="AB132" s="13"/>
      <c r="AC132" s="19"/>
      <c r="AD132" s="13"/>
      <c r="AE132" s="19"/>
      <c r="AF132" s="13"/>
      <c r="AG132" s="19"/>
      <c r="AH132" s="13"/>
      <c r="AI132" s="19"/>
      <c r="AJ132" s="13"/>
      <c r="AK132" s="19"/>
      <c r="AL132" s="13"/>
      <c r="AM132" s="19"/>
      <c r="AN132" s="13"/>
      <c r="AO132" s="19"/>
      <c r="AP132" s="13"/>
      <c r="AQ132" s="19"/>
      <c r="AR132" s="13"/>
      <c r="AS132" s="614"/>
      <c r="AT132" s="460"/>
      <c r="AU132" s="783"/>
      <c r="AV132" s="460"/>
    </row>
    <row r="133" spans="1:48">
      <c r="A133" s="14"/>
      <c r="B133" s="15"/>
      <c r="C133" s="16"/>
      <c r="D133" s="17"/>
      <c r="E133" s="12"/>
      <c r="F133" s="18"/>
      <c r="G133" s="19"/>
      <c r="H133" s="13"/>
      <c r="I133" s="19"/>
      <c r="J133" s="13"/>
      <c r="K133" s="19"/>
      <c r="L133" s="13"/>
      <c r="M133" s="19"/>
      <c r="N133" s="13"/>
      <c r="O133" s="19"/>
      <c r="P133" s="13"/>
      <c r="Q133" s="19"/>
      <c r="R133" s="13"/>
      <c r="S133" s="19"/>
      <c r="T133" s="13"/>
      <c r="U133" s="19"/>
      <c r="V133" s="13"/>
      <c r="W133" s="19"/>
      <c r="X133" s="13"/>
      <c r="Y133" s="19"/>
      <c r="Z133" s="13"/>
      <c r="AA133" s="19"/>
      <c r="AB133" s="13"/>
      <c r="AC133" s="19"/>
      <c r="AD133" s="13"/>
      <c r="AE133" s="19"/>
      <c r="AF133" s="13"/>
      <c r="AG133" s="19"/>
      <c r="AH133" s="13"/>
      <c r="AI133" s="19"/>
      <c r="AJ133" s="13"/>
      <c r="AK133" s="19"/>
      <c r="AL133" s="13"/>
      <c r="AM133" s="19"/>
      <c r="AN133" s="13"/>
      <c r="AO133" s="19"/>
      <c r="AP133" s="13"/>
      <c r="AQ133" s="19"/>
      <c r="AR133" s="13"/>
      <c r="AS133" s="614"/>
      <c r="AT133" s="460"/>
      <c r="AU133" s="783"/>
      <c r="AV133" s="460"/>
    </row>
    <row r="134" spans="1:48">
      <c r="A134" s="14"/>
      <c r="B134" s="15"/>
      <c r="C134" s="16"/>
      <c r="D134" s="17"/>
      <c r="E134" s="12"/>
      <c r="F134" s="18"/>
      <c r="G134" s="19"/>
      <c r="H134" s="13"/>
      <c r="I134" s="19"/>
      <c r="J134" s="13"/>
      <c r="K134" s="19"/>
      <c r="L134" s="13"/>
      <c r="M134" s="19"/>
      <c r="N134" s="13"/>
      <c r="O134" s="19"/>
      <c r="P134" s="13"/>
      <c r="Q134" s="19"/>
      <c r="R134" s="13"/>
      <c r="S134" s="19"/>
      <c r="T134" s="13"/>
      <c r="U134" s="19"/>
      <c r="V134" s="13"/>
      <c r="W134" s="19"/>
      <c r="X134" s="13"/>
      <c r="Y134" s="19"/>
      <c r="Z134" s="13"/>
      <c r="AA134" s="19"/>
      <c r="AB134" s="13"/>
      <c r="AC134" s="19"/>
      <c r="AD134" s="13"/>
      <c r="AE134" s="19"/>
      <c r="AF134" s="13"/>
      <c r="AG134" s="19"/>
      <c r="AH134" s="13"/>
      <c r="AI134" s="19"/>
      <c r="AJ134" s="13"/>
      <c r="AK134" s="19"/>
      <c r="AL134" s="13"/>
      <c r="AM134" s="19"/>
      <c r="AN134" s="13"/>
      <c r="AO134" s="19"/>
      <c r="AP134" s="13"/>
      <c r="AQ134" s="19"/>
      <c r="AR134" s="13"/>
      <c r="AS134" s="614"/>
      <c r="AT134" s="460"/>
      <c r="AU134" s="783"/>
      <c r="AV134" s="460"/>
    </row>
    <row r="135" spans="1:48">
      <c r="A135" s="14"/>
      <c r="B135" s="15"/>
      <c r="C135" s="16"/>
      <c r="D135" s="17"/>
      <c r="E135" s="12"/>
      <c r="F135" s="18"/>
      <c r="G135" s="19"/>
      <c r="H135" s="13"/>
      <c r="I135" s="19"/>
      <c r="J135" s="13"/>
      <c r="K135" s="19"/>
      <c r="L135" s="13"/>
      <c r="M135" s="19"/>
      <c r="N135" s="13"/>
      <c r="O135" s="19"/>
      <c r="P135" s="13"/>
      <c r="Q135" s="19"/>
      <c r="R135" s="13"/>
      <c r="S135" s="19"/>
      <c r="T135" s="13"/>
      <c r="U135" s="19"/>
      <c r="V135" s="13"/>
      <c r="W135" s="19"/>
      <c r="X135" s="13"/>
      <c r="Y135" s="19"/>
      <c r="Z135" s="13"/>
      <c r="AA135" s="19"/>
      <c r="AB135" s="13"/>
      <c r="AC135" s="19"/>
      <c r="AD135" s="13"/>
      <c r="AE135" s="19"/>
      <c r="AF135" s="13"/>
      <c r="AG135" s="19"/>
      <c r="AH135" s="13"/>
      <c r="AI135" s="19"/>
      <c r="AJ135" s="13"/>
      <c r="AK135" s="19"/>
      <c r="AL135" s="13"/>
      <c r="AM135" s="19"/>
      <c r="AN135" s="13"/>
      <c r="AO135" s="19"/>
      <c r="AP135" s="13"/>
      <c r="AQ135" s="19"/>
      <c r="AR135" s="13"/>
      <c r="AS135" s="614"/>
      <c r="AT135" s="460"/>
      <c r="AU135" s="783"/>
      <c r="AV135" s="460"/>
    </row>
    <row r="136" spans="1:48">
      <c r="A136" s="14"/>
      <c r="B136" s="15"/>
      <c r="C136" s="16"/>
      <c r="D136" s="17"/>
      <c r="E136" s="12"/>
      <c r="F136" s="18"/>
      <c r="G136" s="19"/>
      <c r="H136" s="13"/>
      <c r="I136" s="19"/>
      <c r="J136" s="13"/>
      <c r="K136" s="19"/>
      <c r="L136" s="13"/>
      <c r="M136" s="19"/>
      <c r="N136" s="13"/>
      <c r="O136" s="19"/>
      <c r="P136" s="13"/>
      <c r="Q136" s="19"/>
      <c r="R136" s="13"/>
      <c r="S136" s="19"/>
      <c r="T136" s="13"/>
      <c r="U136" s="19"/>
      <c r="V136" s="13"/>
      <c r="W136" s="19"/>
      <c r="X136" s="13"/>
      <c r="Y136" s="19"/>
      <c r="Z136" s="13"/>
      <c r="AA136" s="19"/>
      <c r="AB136" s="13"/>
      <c r="AC136" s="19"/>
      <c r="AD136" s="13"/>
      <c r="AE136" s="19"/>
      <c r="AF136" s="13"/>
      <c r="AG136" s="19"/>
      <c r="AH136" s="13"/>
      <c r="AI136" s="19"/>
      <c r="AJ136" s="13"/>
      <c r="AK136" s="19"/>
      <c r="AL136" s="13"/>
      <c r="AM136" s="19"/>
      <c r="AN136" s="13"/>
      <c r="AO136" s="19"/>
      <c r="AP136" s="13"/>
      <c r="AQ136" s="19"/>
      <c r="AR136" s="13"/>
      <c r="AS136" s="614"/>
      <c r="AT136" s="460"/>
      <c r="AU136" s="783"/>
      <c r="AV136" s="460"/>
    </row>
    <row r="137" spans="1:48">
      <c r="A137" s="14"/>
      <c r="B137" s="15"/>
      <c r="C137" s="16"/>
      <c r="D137" s="17"/>
      <c r="E137" s="12"/>
      <c r="F137" s="18"/>
      <c r="G137" s="19"/>
      <c r="H137" s="13"/>
      <c r="I137" s="19"/>
      <c r="J137" s="13"/>
      <c r="K137" s="19"/>
      <c r="L137" s="13"/>
      <c r="M137" s="19"/>
      <c r="N137" s="13"/>
      <c r="O137" s="19"/>
      <c r="P137" s="13"/>
      <c r="Q137" s="19"/>
      <c r="R137" s="13"/>
      <c r="S137" s="19"/>
      <c r="T137" s="13"/>
      <c r="U137" s="19"/>
      <c r="V137" s="13"/>
      <c r="W137" s="19"/>
      <c r="X137" s="13"/>
      <c r="Y137" s="19"/>
      <c r="Z137" s="13"/>
      <c r="AA137" s="19"/>
      <c r="AB137" s="13"/>
      <c r="AC137" s="19"/>
      <c r="AD137" s="13"/>
      <c r="AE137" s="19"/>
      <c r="AF137" s="13"/>
      <c r="AG137" s="19"/>
      <c r="AH137" s="13"/>
      <c r="AI137" s="19"/>
      <c r="AJ137" s="13"/>
      <c r="AK137" s="19"/>
      <c r="AL137" s="13"/>
      <c r="AM137" s="19"/>
      <c r="AN137" s="13"/>
      <c r="AO137" s="19"/>
      <c r="AP137" s="13"/>
      <c r="AQ137" s="19"/>
      <c r="AR137" s="13"/>
      <c r="AS137" s="614"/>
      <c r="AT137" s="460"/>
      <c r="AU137" s="783"/>
      <c r="AV137" s="460"/>
    </row>
    <row r="138" spans="1:48">
      <c r="A138" s="14"/>
      <c r="B138" s="15"/>
      <c r="C138" s="16"/>
      <c r="D138" s="17"/>
      <c r="E138" s="12"/>
      <c r="F138" s="18"/>
      <c r="G138" s="19"/>
      <c r="H138" s="13"/>
      <c r="I138" s="19"/>
      <c r="J138" s="13"/>
      <c r="K138" s="19"/>
      <c r="L138" s="13"/>
      <c r="M138" s="19"/>
      <c r="N138" s="13"/>
      <c r="O138" s="19"/>
      <c r="P138" s="13"/>
      <c r="Q138" s="19"/>
      <c r="R138" s="13"/>
      <c r="S138" s="19"/>
      <c r="T138" s="13"/>
      <c r="U138" s="19"/>
      <c r="V138" s="13"/>
      <c r="W138" s="19"/>
      <c r="X138" s="13"/>
      <c r="Y138" s="19"/>
      <c r="Z138" s="13"/>
      <c r="AA138" s="19"/>
      <c r="AB138" s="13"/>
      <c r="AC138" s="19"/>
      <c r="AD138" s="13"/>
      <c r="AE138" s="19"/>
      <c r="AF138" s="13"/>
      <c r="AG138" s="19"/>
      <c r="AH138" s="13"/>
      <c r="AI138" s="19"/>
      <c r="AJ138" s="13"/>
      <c r="AK138" s="19"/>
      <c r="AL138" s="13"/>
      <c r="AM138" s="19"/>
      <c r="AN138" s="13"/>
      <c r="AO138" s="19"/>
      <c r="AP138" s="13"/>
      <c r="AQ138" s="19"/>
      <c r="AR138" s="13"/>
      <c r="AS138" s="614"/>
      <c r="AT138" s="460"/>
      <c r="AU138" s="783"/>
      <c r="AV138" s="460"/>
    </row>
    <row r="139" spans="1:48">
      <c r="A139" s="14"/>
      <c r="B139" s="15"/>
      <c r="C139" s="16"/>
      <c r="D139" s="17"/>
      <c r="E139" s="12"/>
      <c r="F139" s="18"/>
      <c r="G139" s="19"/>
      <c r="H139" s="13"/>
      <c r="I139" s="19"/>
      <c r="J139" s="13"/>
      <c r="K139" s="19"/>
      <c r="L139" s="13"/>
      <c r="M139" s="19"/>
      <c r="N139" s="13"/>
      <c r="O139" s="19"/>
      <c r="P139" s="13"/>
      <c r="Q139" s="19"/>
      <c r="R139" s="13"/>
      <c r="S139" s="19"/>
      <c r="T139" s="13"/>
      <c r="U139" s="19"/>
      <c r="V139" s="13"/>
      <c r="W139" s="19"/>
      <c r="X139" s="13"/>
      <c r="Y139" s="19"/>
      <c r="Z139" s="13"/>
      <c r="AA139" s="19"/>
      <c r="AB139" s="13"/>
      <c r="AC139" s="19"/>
      <c r="AD139" s="13"/>
      <c r="AE139" s="19"/>
      <c r="AF139" s="13"/>
      <c r="AG139" s="19"/>
      <c r="AH139" s="13"/>
      <c r="AI139" s="19"/>
      <c r="AJ139" s="13"/>
      <c r="AK139" s="19"/>
      <c r="AL139" s="13"/>
      <c r="AM139" s="19"/>
      <c r="AN139" s="13"/>
      <c r="AO139" s="19"/>
      <c r="AP139" s="13"/>
      <c r="AQ139" s="19"/>
      <c r="AR139" s="13"/>
      <c r="AS139" s="614"/>
      <c r="AT139" s="460"/>
      <c r="AU139" s="783"/>
      <c r="AV139" s="460"/>
    </row>
    <row r="140" spans="1:48">
      <c r="A140" s="14"/>
      <c r="B140" s="15"/>
      <c r="C140" s="16"/>
      <c r="D140" s="17"/>
      <c r="E140" s="12"/>
      <c r="F140" s="18"/>
      <c r="G140" s="19"/>
      <c r="H140" s="13"/>
      <c r="I140" s="19"/>
      <c r="J140" s="13"/>
      <c r="K140" s="19"/>
      <c r="L140" s="13"/>
      <c r="M140" s="19"/>
      <c r="N140" s="13"/>
      <c r="O140" s="19"/>
      <c r="P140" s="13"/>
      <c r="Q140" s="19"/>
      <c r="R140" s="13"/>
      <c r="S140" s="19"/>
      <c r="T140" s="13"/>
      <c r="U140" s="19"/>
      <c r="V140" s="13"/>
      <c r="W140" s="19"/>
      <c r="X140" s="13"/>
      <c r="Y140" s="19"/>
      <c r="Z140" s="13"/>
      <c r="AA140" s="19"/>
      <c r="AB140" s="13"/>
      <c r="AC140" s="19"/>
      <c r="AD140" s="13"/>
      <c r="AE140" s="19"/>
      <c r="AF140" s="13"/>
      <c r="AG140" s="19"/>
      <c r="AH140" s="13"/>
      <c r="AI140" s="19"/>
      <c r="AJ140" s="13"/>
      <c r="AK140" s="19"/>
      <c r="AL140" s="13"/>
      <c r="AM140" s="19"/>
      <c r="AN140" s="13"/>
      <c r="AO140" s="19"/>
      <c r="AP140" s="13"/>
      <c r="AQ140" s="19"/>
      <c r="AR140" s="13"/>
      <c r="AS140" s="614"/>
      <c r="AT140" s="460"/>
      <c r="AU140" s="783"/>
      <c r="AV140" s="460"/>
    </row>
    <row r="141" spans="1:48">
      <c r="A141" s="14"/>
      <c r="B141" s="15"/>
      <c r="C141" s="16"/>
      <c r="D141" s="17"/>
      <c r="E141" s="12"/>
      <c r="F141" s="18"/>
      <c r="G141" s="19"/>
      <c r="H141" s="13"/>
      <c r="I141" s="19"/>
      <c r="J141" s="13"/>
      <c r="K141" s="19"/>
      <c r="L141" s="13"/>
      <c r="M141" s="19"/>
      <c r="N141" s="13"/>
      <c r="O141" s="19"/>
      <c r="P141" s="13"/>
      <c r="Q141" s="19"/>
      <c r="R141" s="13"/>
      <c r="S141" s="19"/>
      <c r="T141" s="13"/>
      <c r="U141" s="19"/>
      <c r="V141" s="13"/>
      <c r="W141" s="19"/>
      <c r="X141" s="13"/>
      <c r="Y141" s="19"/>
      <c r="Z141" s="13"/>
      <c r="AA141" s="19"/>
      <c r="AB141" s="13"/>
      <c r="AC141" s="19"/>
      <c r="AD141" s="13"/>
      <c r="AE141" s="19"/>
      <c r="AF141" s="13"/>
      <c r="AG141" s="19"/>
      <c r="AH141" s="13"/>
      <c r="AI141" s="19"/>
      <c r="AJ141" s="13"/>
      <c r="AK141" s="19"/>
      <c r="AL141" s="13"/>
      <c r="AM141" s="19"/>
      <c r="AN141" s="13"/>
      <c r="AO141" s="19"/>
      <c r="AP141" s="13"/>
      <c r="AQ141" s="19"/>
      <c r="AR141" s="13"/>
      <c r="AS141" s="614"/>
      <c r="AT141" s="460"/>
      <c r="AU141" s="783"/>
      <c r="AV141" s="460"/>
    </row>
    <row r="142" spans="1:48">
      <c r="A142" s="14"/>
      <c r="B142" s="15"/>
      <c r="C142" s="16"/>
      <c r="D142" s="17"/>
      <c r="E142" s="12"/>
      <c r="F142" s="18"/>
      <c r="G142" s="19"/>
      <c r="H142" s="13"/>
      <c r="I142" s="19"/>
      <c r="J142" s="13"/>
      <c r="K142" s="19"/>
      <c r="L142" s="13"/>
      <c r="M142" s="19"/>
      <c r="N142" s="13"/>
      <c r="O142" s="19"/>
      <c r="P142" s="13"/>
      <c r="Q142" s="19"/>
      <c r="R142" s="13"/>
      <c r="S142" s="19"/>
      <c r="T142" s="13"/>
      <c r="U142" s="19"/>
      <c r="V142" s="13"/>
      <c r="W142" s="19"/>
      <c r="X142" s="13"/>
      <c r="Y142" s="19"/>
      <c r="Z142" s="13"/>
      <c r="AA142" s="19"/>
      <c r="AB142" s="13"/>
      <c r="AC142" s="19"/>
      <c r="AD142" s="13"/>
      <c r="AE142" s="19"/>
      <c r="AF142" s="13"/>
      <c r="AG142" s="19"/>
      <c r="AH142" s="13"/>
      <c r="AI142" s="19"/>
      <c r="AJ142" s="13"/>
      <c r="AK142" s="19"/>
      <c r="AL142" s="13"/>
      <c r="AM142" s="19"/>
      <c r="AN142" s="13"/>
      <c r="AO142" s="19"/>
      <c r="AP142" s="13"/>
      <c r="AQ142" s="19"/>
      <c r="AR142" s="13"/>
      <c r="AS142" s="614"/>
      <c r="AT142" s="460"/>
      <c r="AU142" s="783"/>
      <c r="AV142" s="460"/>
    </row>
    <row r="143" spans="1:48">
      <c r="A143" s="14"/>
      <c r="B143" s="15"/>
      <c r="C143" s="16"/>
      <c r="D143" s="17"/>
      <c r="E143" s="12"/>
      <c r="F143" s="18"/>
      <c r="G143" s="19"/>
      <c r="H143" s="13"/>
      <c r="I143" s="19"/>
      <c r="J143" s="13"/>
      <c r="K143" s="19"/>
      <c r="L143" s="13"/>
      <c r="M143" s="19"/>
      <c r="N143" s="13"/>
      <c r="O143" s="19"/>
      <c r="P143" s="13"/>
      <c r="Q143" s="19"/>
      <c r="R143" s="13"/>
      <c r="S143" s="19"/>
      <c r="T143" s="13"/>
      <c r="U143" s="19"/>
      <c r="V143" s="13"/>
      <c r="W143" s="19"/>
      <c r="X143" s="13"/>
      <c r="Y143" s="19"/>
      <c r="Z143" s="13"/>
      <c r="AA143" s="19"/>
      <c r="AB143" s="13"/>
      <c r="AC143" s="19"/>
      <c r="AD143" s="13"/>
      <c r="AE143" s="19"/>
      <c r="AF143" s="13"/>
      <c r="AG143" s="19"/>
      <c r="AH143" s="13"/>
      <c r="AI143" s="19"/>
      <c r="AJ143" s="13"/>
      <c r="AK143" s="19"/>
      <c r="AL143" s="13"/>
      <c r="AM143" s="19"/>
      <c r="AN143" s="13"/>
      <c r="AO143" s="19"/>
      <c r="AP143" s="13"/>
      <c r="AQ143" s="19"/>
      <c r="AR143" s="13"/>
      <c r="AS143" s="614"/>
      <c r="AT143" s="460"/>
      <c r="AU143" s="783"/>
      <c r="AV143" s="460"/>
    </row>
    <row r="144" spans="1:48">
      <c r="A144" s="14"/>
      <c r="B144" s="15"/>
      <c r="C144" s="16"/>
      <c r="D144" s="17"/>
      <c r="E144" s="12"/>
      <c r="F144" s="18"/>
      <c r="G144" s="19"/>
      <c r="H144" s="13"/>
      <c r="I144" s="19"/>
      <c r="J144" s="13"/>
      <c r="K144" s="19"/>
      <c r="L144" s="13"/>
      <c r="M144" s="19"/>
      <c r="N144" s="13"/>
      <c r="O144" s="19"/>
      <c r="P144" s="13"/>
      <c r="Q144" s="19"/>
      <c r="R144" s="13"/>
      <c r="S144" s="19"/>
      <c r="T144" s="13"/>
      <c r="U144" s="19"/>
      <c r="V144" s="13"/>
      <c r="W144" s="19"/>
      <c r="X144" s="13"/>
      <c r="Y144" s="19"/>
      <c r="Z144" s="13"/>
      <c r="AA144" s="19"/>
      <c r="AB144" s="13"/>
      <c r="AC144" s="19"/>
      <c r="AD144" s="13"/>
      <c r="AE144" s="19"/>
      <c r="AF144" s="13"/>
      <c r="AG144" s="19"/>
      <c r="AH144" s="13"/>
      <c r="AI144" s="19"/>
      <c r="AJ144" s="13"/>
      <c r="AK144" s="19"/>
      <c r="AL144" s="13"/>
      <c r="AM144" s="19"/>
      <c r="AN144" s="13"/>
      <c r="AO144" s="19"/>
      <c r="AP144" s="13"/>
      <c r="AQ144" s="19"/>
      <c r="AR144" s="13"/>
      <c r="AS144" s="614"/>
      <c r="AT144" s="460"/>
      <c r="AU144" s="783"/>
      <c r="AV144" s="460"/>
    </row>
    <row r="145" spans="1:48">
      <c r="A145" s="14"/>
      <c r="B145" s="15"/>
      <c r="C145" s="16"/>
      <c r="D145" s="17"/>
      <c r="E145" s="12"/>
      <c r="F145" s="18"/>
      <c r="G145" s="19"/>
      <c r="H145" s="13"/>
      <c r="I145" s="19"/>
      <c r="J145" s="13"/>
      <c r="K145" s="19"/>
      <c r="L145" s="13"/>
      <c r="M145" s="19"/>
      <c r="N145" s="13"/>
      <c r="O145" s="19"/>
      <c r="P145" s="13"/>
      <c r="Q145" s="19"/>
      <c r="R145" s="13"/>
      <c r="S145" s="19"/>
      <c r="T145" s="13"/>
      <c r="U145" s="19"/>
      <c r="V145" s="13"/>
      <c r="W145" s="19"/>
      <c r="X145" s="13"/>
      <c r="Y145" s="19"/>
      <c r="Z145" s="13"/>
      <c r="AA145" s="19"/>
      <c r="AB145" s="13"/>
      <c r="AC145" s="19"/>
      <c r="AD145" s="13"/>
      <c r="AE145" s="19"/>
      <c r="AF145" s="13"/>
      <c r="AG145" s="19"/>
      <c r="AH145" s="13"/>
      <c r="AI145" s="19"/>
      <c r="AJ145" s="13"/>
      <c r="AK145" s="19"/>
      <c r="AL145" s="13"/>
      <c r="AM145" s="19"/>
      <c r="AN145" s="13"/>
      <c r="AO145" s="19"/>
      <c r="AP145" s="13"/>
      <c r="AQ145" s="19"/>
      <c r="AR145" s="13"/>
      <c r="AS145" s="614"/>
      <c r="AT145" s="460"/>
      <c r="AU145" s="783"/>
      <c r="AV145" s="460"/>
    </row>
    <row r="146" spans="1:48">
      <c r="A146" s="14"/>
      <c r="B146" s="15"/>
      <c r="C146" s="16"/>
      <c r="D146" s="17"/>
      <c r="E146" s="12"/>
      <c r="F146" s="18"/>
      <c r="G146" s="19"/>
      <c r="H146" s="13"/>
      <c r="I146" s="19"/>
      <c r="J146" s="13"/>
      <c r="K146" s="19"/>
      <c r="L146" s="13"/>
      <c r="M146" s="19"/>
      <c r="N146" s="13"/>
      <c r="O146" s="19"/>
      <c r="P146" s="13"/>
      <c r="Q146" s="19"/>
      <c r="R146" s="13"/>
      <c r="S146" s="19"/>
      <c r="T146" s="13"/>
      <c r="U146" s="19"/>
      <c r="V146" s="13"/>
      <c r="W146" s="19"/>
      <c r="X146" s="13"/>
      <c r="Y146" s="19"/>
      <c r="Z146" s="13"/>
      <c r="AA146" s="19"/>
      <c r="AB146" s="13"/>
      <c r="AC146" s="19"/>
      <c r="AD146" s="13"/>
      <c r="AE146" s="19"/>
      <c r="AF146" s="13"/>
      <c r="AG146" s="19"/>
      <c r="AH146" s="13"/>
      <c r="AI146" s="19"/>
      <c r="AJ146" s="13"/>
      <c r="AK146" s="19"/>
      <c r="AL146" s="13"/>
      <c r="AM146" s="19"/>
      <c r="AN146" s="13"/>
      <c r="AO146" s="19"/>
      <c r="AP146" s="13"/>
      <c r="AQ146" s="19"/>
      <c r="AR146" s="13"/>
      <c r="AS146" s="614"/>
      <c r="AT146" s="460"/>
      <c r="AU146" s="783"/>
      <c r="AV146" s="460"/>
    </row>
    <row r="147" spans="1:48">
      <c r="A147" s="14"/>
      <c r="B147" s="15"/>
      <c r="C147" s="16"/>
      <c r="D147" s="17"/>
      <c r="E147" s="12"/>
      <c r="F147" s="18"/>
      <c r="G147" s="19"/>
      <c r="H147" s="13"/>
      <c r="I147" s="19"/>
      <c r="J147" s="13"/>
      <c r="K147" s="19"/>
      <c r="L147" s="13"/>
      <c r="M147" s="19"/>
      <c r="N147" s="13"/>
      <c r="O147" s="19"/>
      <c r="P147" s="13"/>
      <c r="Q147" s="19"/>
      <c r="R147" s="13"/>
      <c r="S147" s="19"/>
      <c r="T147" s="13"/>
      <c r="U147" s="19"/>
      <c r="V147" s="13"/>
      <c r="W147" s="19"/>
      <c r="X147" s="13"/>
      <c r="Y147" s="19"/>
      <c r="Z147" s="13"/>
      <c r="AA147" s="19"/>
      <c r="AB147" s="13"/>
      <c r="AC147" s="19"/>
      <c r="AD147" s="13"/>
      <c r="AE147" s="19"/>
      <c r="AF147" s="13"/>
      <c r="AG147" s="19"/>
      <c r="AH147" s="13"/>
      <c r="AI147" s="19"/>
      <c r="AJ147" s="13"/>
      <c r="AK147" s="19"/>
      <c r="AL147" s="13"/>
      <c r="AM147" s="19"/>
      <c r="AN147" s="13"/>
      <c r="AO147" s="19"/>
      <c r="AP147" s="13"/>
      <c r="AQ147" s="19"/>
      <c r="AR147" s="13"/>
      <c r="AS147" s="614"/>
      <c r="AT147" s="460"/>
      <c r="AU147" s="783"/>
      <c r="AV147" s="460"/>
    </row>
    <row r="148" spans="1:48">
      <c r="A148" s="14"/>
      <c r="B148" s="15"/>
      <c r="C148" s="16"/>
      <c r="D148" s="17"/>
      <c r="E148" s="12"/>
      <c r="F148" s="18"/>
      <c r="G148" s="19"/>
      <c r="H148" s="13"/>
      <c r="I148" s="19"/>
      <c r="J148" s="13"/>
      <c r="K148" s="19"/>
      <c r="L148" s="13"/>
      <c r="M148" s="19"/>
      <c r="N148" s="13"/>
      <c r="O148" s="19"/>
      <c r="P148" s="13"/>
      <c r="Q148" s="19"/>
      <c r="R148" s="13"/>
      <c r="S148" s="19"/>
      <c r="T148" s="13"/>
      <c r="U148" s="19"/>
      <c r="V148" s="13"/>
      <c r="W148" s="19"/>
      <c r="X148" s="13"/>
      <c r="Y148" s="19"/>
      <c r="Z148" s="13"/>
      <c r="AA148" s="19"/>
      <c r="AB148" s="13"/>
      <c r="AC148" s="19"/>
      <c r="AD148" s="13"/>
      <c r="AE148" s="19"/>
      <c r="AF148" s="13"/>
      <c r="AG148" s="19"/>
      <c r="AH148" s="13"/>
      <c r="AI148" s="19"/>
      <c r="AJ148" s="13"/>
      <c r="AK148" s="19"/>
      <c r="AL148" s="13"/>
      <c r="AM148" s="19"/>
      <c r="AN148" s="13"/>
      <c r="AO148" s="19"/>
      <c r="AP148" s="13"/>
      <c r="AQ148" s="19"/>
      <c r="AR148" s="13"/>
      <c r="AS148" s="614"/>
      <c r="AT148" s="460"/>
      <c r="AU148" s="783"/>
      <c r="AV148" s="460"/>
    </row>
    <row r="149" spans="1:48">
      <c r="A149" s="14"/>
      <c r="B149" s="15"/>
      <c r="C149" s="16"/>
      <c r="D149" s="17"/>
      <c r="E149" s="12"/>
      <c r="F149" s="18"/>
      <c r="G149" s="19"/>
      <c r="H149" s="13"/>
      <c r="I149" s="19"/>
      <c r="J149" s="13"/>
      <c r="K149" s="19"/>
      <c r="L149" s="13"/>
      <c r="M149" s="19"/>
      <c r="N149" s="13"/>
      <c r="O149" s="19"/>
      <c r="P149" s="13"/>
      <c r="Q149" s="19"/>
      <c r="R149" s="13"/>
      <c r="S149" s="19"/>
      <c r="T149" s="13"/>
      <c r="U149" s="19"/>
      <c r="V149" s="13"/>
      <c r="W149" s="19"/>
      <c r="X149" s="13"/>
      <c r="Y149" s="19"/>
      <c r="Z149" s="13"/>
      <c r="AA149" s="19"/>
      <c r="AB149" s="13"/>
      <c r="AC149" s="19"/>
      <c r="AD149" s="13"/>
      <c r="AE149" s="19"/>
      <c r="AF149" s="13"/>
      <c r="AG149" s="19"/>
      <c r="AH149" s="13"/>
      <c r="AI149" s="19"/>
      <c r="AJ149" s="13"/>
      <c r="AK149" s="19"/>
      <c r="AL149" s="13"/>
      <c r="AM149" s="19"/>
      <c r="AN149" s="13"/>
      <c r="AO149" s="19"/>
      <c r="AP149" s="13"/>
      <c r="AQ149" s="19"/>
      <c r="AR149" s="13"/>
      <c r="AS149" s="614"/>
      <c r="AT149" s="460"/>
      <c r="AU149" s="783"/>
      <c r="AV149" s="460"/>
    </row>
    <row r="150" spans="1:48">
      <c r="A150" s="14"/>
      <c r="B150" s="15"/>
      <c r="C150" s="16"/>
      <c r="D150" s="17"/>
      <c r="E150" s="12"/>
      <c r="F150" s="18"/>
      <c r="G150" s="19"/>
      <c r="H150" s="13"/>
      <c r="I150" s="19"/>
      <c r="J150" s="13"/>
      <c r="K150" s="19"/>
      <c r="L150" s="13"/>
      <c r="M150" s="19"/>
      <c r="N150" s="13"/>
      <c r="O150" s="19"/>
      <c r="P150" s="13"/>
      <c r="Q150" s="19"/>
      <c r="R150" s="13"/>
      <c r="S150" s="19"/>
      <c r="T150" s="13"/>
      <c r="U150" s="19"/>
      <c r="V150" s="13"/>
      <c r="W150" s="19"/>
      <c r="X150" s="13"/>
      <c r="Y150" s="19"/>
      <c r="Z150" s="13"/>
      <c r="AA150" s="19"/>
      <c r="AB150" s="13"/>
      <c r="AC150" s="19"/>
      <c r="AD150" s="13"/>
      <c r="AE150" s="19"/>
      <c r="AF150" s="13"/>
      <c r="AG150" s="19"/>
      <c r="AH150" s="13"/>
      <c r="AI150" s="19"/>
      <c r="AJ150" s="13"/>
      <c r="AK150" s="19"/>
      <c r="AL150" s="13"/>
      <c r="AM150" s="19"/>
      <c r="AN150" s="13"/>
      <c r="AO150" s="19"/>
      <c r="AP150" s="13"/>
      <c r="AQ150" s="19"/>
      <c r="AR150" s="13"/>
      <c r="AS150" s="614"/>
      <c r="AT150" s="460"/>
      <c r="AU150" s="783"/>
      <c r="AV150" s="460"/>
    </row>
    <row r="151" spans="1:48">
      <c r="A151" s="14"/>
      <c r="B151" s="15"/>
      <c r="C151" s="16"/>
      <c r="D151" s="17"/>
      <c r="E151" s="12"/>
      <c r="F151" s="18"/>
      <c r="G151" s="19"/>
      <c r="H151" s="13"/>
      <c r="I151" s="19"/>
      <c r="J151" s="13"/>
      <c r="K151" s="19"/>
      <c r="L151" s="13"/>
      <c r="M151" s="19"/>
      <c r="N151" s="13"/>
      <c r="O151" s="19"/>
      <c r="P151" s="13"/>
      <c r="Q151" s="19"/>
      <c r="R151" s="13"/>
      <c r="S151" s="19"/>
      <c r="T151" s="13"/>
      <c r="U151" s="19"/>
      <c r="V151" s="13"/>
      <c r="W151" s="19"/>
      <c r="X151" s="13"/>
      <c r="Y151" s="19"/>
      <c r="Z151" s="13"/>
      <c r="AA151" s="19"/>
      <c r="AB151" s="13"/>
      <c r="AC151" s="19"/>
      <c r="AD151" s="13"/>
      <c r="AE151" s="19"/>
      <c r="AF151" s="13"/>
      <c r="AG151" s="19"/>
      <c r="AH151" s="13"/>
      <c r="AI151" s="19"/>
      <c r="AJ151" s="13"/>
      <c r="AK151" s="19"/>
      <c r="AL151" s="13"/>
      <c r="AM151" s="19"/>
      <c r="AN151" s="13"/>
      <c r="AO151" s="19"/>
      <c r="AP151" s="13"/>
      <c r="AQ151" s="19"/>
      <c r="AR151" s="13"/>
      <c r="AS151" s="614"/>
      <c r="AT151" s="460"/>
      <c r="AU151" s="783"/>
      <c r="AV151" s="460"/>
    </row>
    <row r="152" spans="1:48">
      <c r="A152" s="14"/>
      <c r="B152" s="15"/>
      <c r="C152" s="16"/>
      <c r="D152" s="17"/>
      <c r="E152" s="12"/>
      <c r="F152" s="18"/>
      <c r="G152" s="19"/>
      <c r="H152" s="13"/>
      <c r="I152" s="19"/>
      <c r="J152" s="13"/>
      <c r="K152" s="19"/>
      <c r="L152" s="13"/>
      <c r="M152" s="19"/>
      <c r="N152" s="13"/>
      <c r="O152" s="19"/>
      <c r="P152" s="13"/>
      <c r="Q152" s="19"/>
      <c r="R152" s="13"/>
      <c r="S152" s="19"/>
      <c r="T152" s="13"/>
      <c r="U152" s="19"/>
      <c r="V152" s="13"/>
      <c r="W152" s="19"/>
      <c r="X152" s="13"/>
      <c r="Y152" s="19"/>
      <c r="Z152" s="13"/>
      <c r="AA152" s="19"/>
      <c r="AB152" s="13"/>
      <c r="AC152" s="19"/>
      <c r="AD152" s="13"/>
      <c r="AE152" s="19"/>
      <c r="AF152" s="13"/>
      <c r="AG152" s="19"/>
      <c r="AH152" s="13"/>
      <c r="AI152" s="19"/>
      <c r="AJ152" s="13"/>
      <c r="AK152" s="19"/>
      <c r="AL152" s="13"/>
      <c r="AM152" s="19"/>
      <c r="AN152" s="13"/>
      <c r="AO152" s="19"/>
      <c r="AP152" s="13"/>
      <c r="AQ152" s="19"/>
      <c r="AR152" s="13"/>
      <c r="AS152" s="614"/>
      <c r="AT152" s="460"/>
      <c r="AU152" s="783"/>
      <c r="AV152" s="460"/>
    </row>
    <row r="153" spans="1:48">
      <c r="A153" s="14"/>
      <c r="B153" s="15"/>
      <c r="C153" s="16"/>
      <c r="D153" s="17"/>
      <c r="E153" s="12"/>
      <c r="F153" s="18"/>
      <c r="G153" s="19"/>
      <c r="H153" s="13"/>
      <c r="I153" s="19"/>
      <c r="J153" s="13"/>
      <c r="K153" s="19"/>
      <c r="L153" s="13"/>
      <c r="M153" s="19"/>
      <c r="N153" s="13"/>
      <c r="O153" s="19"/>
      <c r="P153" s="13"/>
      <c r="Q153" s="19"/>
      <c r="R153" s="13"/>
      <c r="S153" s="19"/>
      <c r="T153" s="13"/>
      <c r="U153" s="19"/>
      <c r="V153" s="13"/>
      <c r="W153" s="19"/>
      <c r="X153" s="13"/>
      <c r="Y153" s="19"/>
      <c r="Z153" s="13"/>
      <c r="AA153" s="19"/>
      <c r="AB153" s="13"/>
      <c r="AC153" s="19"/>
      <c r="AD153" s="13"/>
      <c r="AE153" s="19"/>
      <c r="AF153" s="13"/>
      <c r="AG153" s="19"/>
      <c r="AH153" s="13"/>
      <c r="AI153" s="19"/>
      <c r="AJ153" s="13"/>
      <c r="AK153" s="19"/>
      <c r="AL153" s="13"/>
      <c r="AM153" s="19"/>
      <c r="AN153" s="13"/>
      <c r="AO153" s="19"/>
      <c r="AP153" s="13"/>
      <c r="AQ153" s="19"/>
      <c r="AR153" s="13"/>
      <c r="AS153" s="614"/>
      <c r="AT153" s="460"/>
      <c r="AU153" s="783"/>
      <c r="AV153" s="460"/>
    </row>
    <row r="154" spans="1:48">
      <c r="A154" s="14"/>
      <c r="B154" s="15"/>
      <c r="C154" s="16"/>
      <c r="D154" s="17"/>
      <c r="E154" s="12"/>
      <c r="F154" s="18"/>
      <c r="G154" s="19"/>
      <c r="H154" s="13"/>
      <c r="I154" s="19"/>
      <c r="J154" s="13"/>
      <c r="K154" s="19"/>
      <c r="L154" s="13"/>
      <c r="M154" s="19"/>
      <c r="N154" s="13"/>
      <c r="O154" s="19"/>
      <c r="P154" s="13"/>
      <c r="Q154" s="19"/>
      <c r="R154" s="13"/>
      <c r="S154" s="19"/>
      <c r="T154" s="13"/>
      <c r="U154" s="19"/>
      <c r="V154" s="13"/>
      <c r="W154" s="19"/>
      <c r="X154" s="13"/>
      <c r="Y154" s="19"/>
      <c r="Z154" s="13"/>
      <c r="AA154" s="19"/>
      <c r="AB154" s="13"/>
      <c r="AC154" s="19"/>
      <c r="AD154" s="13"/>
      <c r="AE154" s="19"/>
      <c r="AF154" s="13"/>
      <c r="AG154" s="19"/>
      <c r="AH154" s="13"/>
      <c r="AI154" s="19"/>
      <c r="AJ154" s="13"/>
      <c r="AK154" s="19"/>
      <c r="AL154" s="13"/>
      <c r="AM154" s="19"/>
      <c r="AN154" s="13"/>
      <c r="AO154" s="19"/>
      <c r="AP154" s="13"/>
      <c r="AQ154" s="19"/>
      <c r="AR154" s="13"/>
      <c r="AS154" s="614"/>
      <c r="AT154" s="460"/>
      <c r="AU154" s="783"/>
      <c r="AV154" s="460"/>
    </row>
    <row r="155" spans="1:48">
      <c r="A155" s="14"/>
      <c r="B155" s="15"/>
      <c r="C155" s="16"/>
      <c r="D155" s="17"/>
      <c r="E155" s="12"/>
      <c r="F155" s="18"/>
      <c r="G155" s="19"/>
      <c r="H155" s="13"/>
      <c r="I155" s="19"/>
      <c r="J155" s="13"/>
      <c r="K155" s="19"/>
      <c r="L155" s="13"/>
      <c r="M155" s="19"/>
      <c r="N155" s="13"/>
      <c r="O155" s="19"/>
      <c r="P155" s="13"/>
      <c r="Q155" s="19"/>
      <c r="R155" s="13"/>
      <c r="S155" s="19"/>
      <c r="T155" s="13"/>
      <c r="U155" s="19"/>
      <c r="V155" s="13"/>
      <c r="W155" s="19"/>
      <c r="X155" s="13"/>
      <c r="Y155" s="19"/>
      <c r="Z155" s="13"/>
      <c r="AA155" s="19"/>
      <c r="AB155" s="13"/>
      <c r="AC155" s="19"/>
      <c r="AD155" s="13"/>
      <c r="AE155" s="19"/>
      <c r="AF155" s="13"/>
      <c r="AG155" s="19"/>
      <c r="AH155" s="13"/>
      <c r="AI155" s="19"/>
      <c r="AJ155" s="13"/>
      <c r="AK155" s="19"/>
      <c r="AL155" s="13"/>
      <c r="AM155" s="19"/>
      <c r="AN155" s="13"/>
      <c r="AO155" s="19"/>
      <c r="AP155" s="13"/>
      <c r="AQ155" s="19"/>
      <c r="AR155" s="13"/>
      <c r="AS155" s="614"/>
      <c r="AT155" s="460"/>
      <c r="AU155" s="783"/>
      <c r="AV155" s="460"/>
    </row>
    <row r="156" spans="1:48">
      <c r="A156" s="14"/>
      <c r="B156" s="15"/>
      <c r="C156" s="16"/>
      <c r="D156" s="17"/>
      <c r="E156" s="12"/>
      <c r="F156" s="18"/>
      <c r="G156" s="19"/>
      <c r="H156" s="13"/>
      <c r="I156" s="19"/>
      <c r="J156" s="13"/>
      <c r="K156" s="19"/>
      <c r="L156" s="13"/>
      <c r="M156" s="19"/>
      <c r="N156" s="13"/>
      <c r="O156" s="19"/>
      <c r="P156" s="13"/>
      <c r="Q156" s="19"/>
      <c r="R156" s="13"/>
      <c r="S156" s="19"/>
      <c r="T156" s="13"/>
      <c r="U156" s="19"/>
      <c r="V156" s="13"/>
      <c r="W156" s="19"/>
      <c r="X156" s="13"/>
      <c r="Y156" s="19"/>
      <c r="Z156" s="13"/>
      <c r="AA156" s="19"/>
      <c r="AB156" s="13"/>
      <c r="AC156" s="19"/>
      <c r="AD156" s="13"/>
      <c r="AE156" s="19"/>
      <c r="AF156" s="13"/>
      <c r="AG156" s="19"/>
      <c r="AH156" s="13"/>
      <c r="AI156" s="19"/>
      <c r="AJ156" s="13"/>
      <c r="AK156" s="19"/>
      <c r="AL156" s="13"/>
      <c r="AM156" s="19"/>
      <c r="AN156" s="13"/>
      <c r="AO156" s="19"/>
      <c r="AP156" s="13"/>
      <c r="AQ156" s="19"/>
      <c r="AR156" s="13"/>
      <c r="AS156" s="614"/>
      <c r="AT156" s="460"/>
      <c r="AU156" s="783"/>
      <c r="AV156" s="460"/>
    </row>
    <row r="157" spans="1:48">
      <c r="A157" s="14"/>
      <c r="B157" s="15"/>
      <c r="C157" s="16"/>
      <c r="D157" s="17"/>
      <c r="E157" s="12"/>
      <c r="F157" s="18"/>
      <c r="G157" s="19"/>
      <c r="H157" s="13"/>
      <c r="I157" s="19"/>
      <c r="J157" s="13"/>
      <c r="K157" s="19"/>
      <c r="L157" s="13"/>
      <c r="M157" s="19"/>
      <c r="N157" s="13"/>
      <c r="O157" s="19"/>
      <c r="P157" s="13"/>
      <c r="Q157" s="19"/>
      <c r="R157" s="13"/>
      <c r="S157" s="19"/>
      <c r="T157" s="13"/>
      <c r="U157" s="19"/>
      <c r="V157" s="13"/>
      <c r="W157" s="19"/>
      <c r="X157" s="13"/>
      <c r="Y157" s="19"/>
      <c r="Z157" s="13"/>
      <c r="AA157" s="19"/>
      <c r="AB157" s="13"/>
      <c r="AC157" s="19"/>
      <c r="AD157" s="13"/>
      <c r="AE157" s="19"/>
      <c r="AF157" s="13"/>
      <c r="AG157" s="19"/>
      <c r="AH157" s="13"/>
      <c r="AI157" s="19"/>
      <c r="AJ157" s="13"/>
      <c r="AK157" s="19"/>
      <c r="AL157" s="13"/>
      <c r="AM157" s="19"/>
      <c r="AN157" s="13"/>
      <c r="AO157" s="19"/>
      <c r="AP157" s="13"/>
      <c r="AQ157" s="19"/>
      <c r="AR157" s="13"/>
      <c r="AS157" s="614"/>
      <c r="AT157" s="460"/>
      <c r="AU157" s="783"/>
      <c r="AV157" s="460"/>
    </row>
    <row r="158" spans="1:48">
      <c r="A158" s="14"/>
      <c r="B158" s="15"/>
      <c r="C158" s="16"/>
      <c r="D158" s="17"/>
      <c r="E158" s="12"/>
      <c r="F158" s="18"/>
      <c r="G158" s="19"/>
      <c r="H158" s="13"/>
      <c r="I158" s="19"/>
      <c r="J158" s="13"/>
      <c r="K158" s="19"/>
      <c r="L158" s="13"/>
      <c r="M158" s="19"/>
      <c r="N158" s="13"/>
      <c r="O158" s="19"/>
      <c r="P158" s="13"/>
      <c r="Q158" s="19"/>
      <c r="R158" s="13"/>
      <c r="S158" s="19"/>
      <c r="T158" s="13"/>
      <c r="U158" s="19"/>
      <c r="V158" s="13"/>
      <c r="W158" s="19"/>
      <c r="X158" s="13"/>
      <c r="Y158" s="19"/>
      <c r="Z158" s="13"/>
      <c r="AA158" s="19"/>
      <c r="AB158" s="13"/>
      <c r="AC158" s="19"/>
      <c r="AD158" s="13"/>
      <c r="AE158" s="19"/>
      <c r="AF158" s="13"/>
      <c r="AG158" s="19"/>
      <c r="AH158" s="13"/>
      <c r="AI158" s="19"/>
      <c r="AJ158" s="13"/>
      <c r="AK158" s="19"/>
      <c r="AL158" s="13"/>
      <c r="AM158" s="19"/>
      <c r="AN158" s="13"/>
      <c r="AO158" s="19"/>
      <c r="AP158" s="13"/>
      <c r="AQ158" s="19"/>
      <c r="AR158" s="13"/>
      <c r="AS158" s="614"/>
      <c r="AT158" s="460"/>
      <c r="AU158" s="783"/>
      <c r="AV158" s="460"/>
    </row>
    <row r="159" spans="1:48">
      <c r="A159" s="14"/>
      <c r="B159" s="15"/>
      <c r="C159" s="16"/>
      <c r="D159" s="17"/>
      <c r="E159" s="12"/>
      <c r="F159" s="18"/>
      <c r="G159" s="19"/>
      <c r="H159" s="13"/>
      <c r="I159" s="19"/>
      <c r="J159" s="13"/>
      <c r="K159" s="19"/>
      <c r="L159" s="13"/>
      <c r="M159" s="19"/>
      <c r="N159" s="13"/>
      <c r="O159" s="19"/>
      <c r="P159" s="13"/>
      <c r="Q159" s="19"/>
      <c r="R159" s="13"/>
      <c r="S159" s="19"/>
      <c r="T159" s="13"/>
      <c r="U159" s="19"/>
      <c r="V159" s="13"/>
      <c r="W159" s="19"/>
      <c r="X159" s="13"/>
      <c r="Y159" s="19"/>
      <c r="Z159" s="13"/>
      <c r="AA159" s="19"/>
      <c r="AB159" s="13"/>
      <c r="AC159" s="19"/>
      <c r="AD159" s="13"/>
      <c r="AE159" s="19"/>
      <c r="AF159" s="13"/>
      <c r="AG159" s="19"/>
      <c r="AH159" s="13"/>
      <c r="AI159" s="19"/>
      <c r="AJ159" s="13"/>
      <c r="AK159" s="19"/>
      <c r="AL159" s="13"/>
      <c r="AM159" s="19"/>
      <c r="AN159" s="13"/>
      <c r="AO159" s="19"/>
      <c r="AP159" s="13"/>
      <c r="AQ159" s="19"/>
      <c r="AR159" s="13"/>
      <c r="AS159" s="614"/>
      <c r="AT159" s="460"/>
      <c r="AU159" s="783"/>
      <c r="AV159" s="460"/>
    </row>
    <row r="160" spans="1:48">
      <c r="A160" s="14"/>
      <c r="B160" s="15"/>
      <c r="C160" s="16"/>
      <c r="D160" s="17"/>
      <c r="E160" s="12"/>
      <c r="F160" s="18"/>
      <c r="G160" s="19"/>
      <c r="H160" s="13"/>
      <c r="I160" s="19"/>
      <c r="J160" s="13"/>
      <c r="K160" s="19"/>
      <c r="L160" s="13"/>
      <c r="M160" s="19"/>
      <c r="N160" s="13"/>
      <c r="O160" s="19"/>
      <c r="P160" s="13"/>
      <c r="Q160" s="19"/>
      <c r="R160" s="13"/>
      <c r="S160" s="19"/>
      <c r="T160" s="13"/>
      <c r="U160" s="19"/>
      <c r="V160" s="13"/>
      <c r="W160" s="19"/>
      <c r="X160" s="13"/>
      <c r="Y160" s="19"/>
      <c r="Z160" s="13"/>
      <c r="AA160" s="19"/>
      <c r="AB160" s="13"/>
      <c r="AC160" s="19"/>
      <c r="AD160" s="13"/>
      <c r="AE160" s="19"/>
      <c r="AF160" s="13"/>
      <c r="AG160" s="19"/>
      <c r="AH160" s="13"/>
      <c r="AI160" s="19"/>
      <c r="AJ160" s="13"/>
      <c r="AK160" s="19"/>
      <c r="AL160" s="13"/>
      <c r="AM160" s="19"/>
      <c r="AN160" s="13"/>
      <c r="AO160" s="19"/>
      <c r="AP160" s="13"/>
      <c r="AQ160" s="19"/>
      <c r="AR160" s="13"/>
      <c r="AS160" s="614"/>
      <c r="AT160" s="460"/>
      <c r="AU160" s="783"/>
      <c r="AV160" s="460"/>
    </row>
    <row r="161" spans="1:48">
      <c r="A161" s="14"/>
      <c r="B161" s="15"/>
      <c r="C161" s="16"/>
      <c r="D161" s="17"/>
      <c r="E161" s="12"/>
      <c r="F161" s="18"/>
      <c r="G161" s="19"/>
      <c r="H161" s="13"/>
      <c r="I161" s="19"/>
      <c r="J161" s="13"/>
      <c r="K161" s="19"/>
      <c r="L161" s="13"/>
      <c r="M161" s="19"/>
      <c r="N161" s="13"/>
      <c r="O161" s="19"/>
      <c r="P161" s="13"/>
      <c r="Q161" s="19"/>
      <c r="R161" s="13"/>
      <c r="S161" s="19"/>
      <c r="T161" s="13"/>
      <c r="U161" s="19"/>
      <c r="V161" s="13"/>
      <c r="W161" s="19"/>
      <c r="X161" s="13"/>
      <c r="Y161" s="19"/>
      <c r="Z161" s="13"/>
      <c r="AA161" s="19"/>
      <c r="AB161" s="13"/>
      <c r="AC161" s="19"/>
      <c r="AD161" s="13"/>
      <c r="AE161" s="19"/>
      <c r="AF161" s="13"/>
      <c r="AG161" s="19"/>
      <c r="AH161" s="13"/>
      <c r="AI161" s="19"/>
      <c r="AJ161" s="13"/>
      <c r="AK161" s="19"/>
      <c r="AL161" s="13"/>
      <c r="AM161" s="19"/>
      <c r="AN161" s="13"/>
      <c r="AO161" s="19"/>
      <c r="AP161" s="13"/>
      <c r="AQ161" s="19"/>
      <c r="AR161" s="13"/>
      <c r="AS161" s="614"/>
      <c r="AT161" s="460"/>
      <c r="AU161" s="783"/>
      <c r="AV161" s="460"/>
    </row>
    <row r="162" spans="1:48">
      <c r="A162" s="14"/>
      <c r="B162" s="15"/>
      <c r="C162" s="16"/>
      <c r="D162" s="17"/>
      <c r="E162" s="12"/>
      <c r="F162" s="18"/>
      <c r="G162" s="19"/>
      <c r="H162" s="13"/>
      <c r="I162" s="19"/>
      <c r="J162" s="13"/>
      <c r="K162" s="19"/>
      <c r="L162" s="13"/>
      <c r="M162" s="19"/>
      <c r="N162" s="13"/>
      <c r="O162" s="19"/>
      <c r="P162" s="13"/>
      <c r="Q162" s="19"/>
      <c r="R162" s="13"/>
      <c r="S162" s="19"/>
      <c r="T162" s="13"/>
      <c r="U162" s="19"/>
      <c r="V162" s="13"/>
      <c r="W162" s="19"/>
      <c r="X162" s="13"/>
      <c r="Y162" s="19"/>
      <c r="Z162" s="13"/>
      <c r="AA162" s="19"/>
      <c r="AB162" s="13"/>
      <c r="AC162" s="19"/>
      <c r="AD162" s="13"/>
      <c r="AE162" s="19"/>
      <c r="AF162" s="13"/>
      <c r="AG162" s="19"/>
      <c r="AH162" s="13"/>
      <c r="AI162" s="19"/>
      <c r="AJ162" s="13"/>
      <c r="AK162" s="19"/>
      <c r="AL162" s="13"/>
      <c r="AM162" s="19"/>
      <c r="AN162" s="13"/>
      <c r="AO162" s="19"/>
      <c r="AP162" s="13"/>
      <c r="AQ162" s="19"/>
      <c r="AR162" s="13"/>
      <c r="AS162" s="614"/>
      <c r="AT162" s="460"/>
      <c r="AU162" s="783"/>
      <c r="AV162" s="460"/>
    </row>
    <row r="163" spans="1:48">
      <c r="A163" s="14"/>
      <c r="B163" s="15"/>
      <c r="C163" s="16"/>
      <c r="D163" s="17"/>
      <c r="E163" s="12"/>
      <c r="F163" s="18"/>
      <c r="G163" s="19"/>
      <c r="H163" s="13"/>
      <c r="I163" s="19"/>
      <c r="J163" s="13"/>
      <c r="K163" s="19"/>
      <c r="L163" s="13"/>
      <c r="M163" s="19"/>
      <c r="N163" s="13"/>
      <c r="O163" s="19"/>
      <c r="P163" s="13"/>
      <c r="Q163" s="19"/>
      <c r="R163" s="13"/>
      <c r="S163" s="19"/>
      <c r="T163" s="13"/>
      <c r="U163" s="19"/>
      <c r="V163" s="13"/>
      <c r="W163" s="19"/>
      <c r="X163" s="13"/>
      <c r="Y163" s="19"/>
      <c r="Z163" s="13"/>
      <c r="AA163" s="19"/>
      <c r="AB163" s="13"/>
      <c r="AC163" s="19"/>
      <c r="AD163" s="13"/>
      <c r="AE163" s="19"/>
      <c r="AF163" s="13"/>
      <c r="AG163" s="19"/>
      <c r="AH163" s="13"/>
      <c r="AI163" s="19"/>
      <c r="AJ163" s="13"/>
      <c r="AK163" s="19"/>
      <c r="AL163" s="13"/>
      <c r="AM163" s="19"/>
      <c r="AN163" s="13"/>
      <c r="AO163" s="19"/>
      <c r="AP163" s="13"/>
      <c r="AQ163" s="19"/>
      <c r="AR163" s="13"/>
      <c r="AS163" s="614"/>
      <c r="AT163" s="460"/>
      <c r="AU163" s="783"/>
      <c r="AV163" s="460"/>
    </row>
    <row r="164" spans="1:48">
      <c r="A164" s="14"/>
      <c r="B164" s="15"/>
      <c r="C164" s="16"/>
      <c r="D164" s="17"/>
      <c r="E164" s="12"/>
      <c r="F164" s="18"/>
      <c r="G164" s="19"/>
      <c r="H164" s="13"/>
      <c r="I164" s="19"/>
      <c r="J164" s="13"/>
      <c r="K164" s="19"/>
      <c r="L164" s="13"/>
      <c r="M164" s="19"/>
      <c r="N164" s="13"/>
      <c r="O164" s="19"/>
      <c r="P164" s="13"/>
      <c r="Q164" s="19"/>
      <c r="R164" s="13"/>
      <c r="S164" s="19"/>
      <c r="T164" s="13"/>
      <c r="U164" s="19"/>
      <c r="V164" s="13"/>
      <c r="W164" s="19"/>
      <c r="X164" s="13"/>
      <c r="Y164" s="19"/>
      <c r="Z164" s="13"/>
      <c r="AA164" s="19"/>
      <c r="AB164" s="13"/>
      <c r="AC164" s="19"/>
      <c r="AD164" s="13"/>
      <c r="AE164" s="19"/>
      <c r="AF164" s="13"/>
      <c r="AG164" s="19"/>
      <c r="AH164" s="13"/>
      <c r="AI164" s="19"/>
      <c r="AJ164" s="13"/>
      <c r="AK164" s="19"/>
      <c r="AL164" s="13"/>
      <c r="AM164" s="19"/>
      <c r="AN164" s="13"/>
      <c r="AO164" s="19"/>
      <c r="AP164" s="13"/>
      <c r="AQ164" s="19"/>
      <c r="AR164" s="13"/>
      <c r="AS164" s="614"/>
      <c r="AT164" s="460"/>
      <c r="AU164" s="783"/>
      <c r="AV164" s="460"/>
    </row>
    <row r="165" spans="1:48">
      <c r="A165" s="14"/>
      <c r="B165" s="15"/>
      <c r="C165" s="16"/>
      <c r="D165" s="17"/>
      <c r="E165" s="12"/>
      <c r="F165" s="18"/>
      <c r="G165" s="19"/>
      <c r="H165" s="13"/>
      <c r="I165" s="19"/>
      <c r="J165" s="13"/>
      <c r="K165" s="19"/>
      <c r="L165" s="13"/>
      <c r="M165" s="19"/>
      <c r="N165" s="13"/>
      <c r="O165" s="19"/>
      <c r="P165" s="13"/>
      <c r="Q165" s="19"/>
      <c r="R165" s="13"/>
      <c r="S165" s="19"/>
      <c r="T165" s="13"/>
      <c r="U165" s="19"/>
      <c r="V165" s="13"/>
      <c r="W165" s="19"/>
      <c r="X165" s="13"/>
      <c r="Y165" s="19"/>
      <c r="Z165" s="13"/>
      <c r="AA165" s="19"/>
      <c r="AB165" s="13"/>
      <c r="AC165" s="19"/>
      <c r="AD165" s="13"/>
      <c r="AE165" s="19"/>
      <c r="AF165" s="13"/>
      <c r="AG165" s="19"/>
      <c r="AH165" s="13"/>
      <c r="AI165" s="19"/>
      <c r="AJ165" s="13"/>
      <c r="AK165" s="19"/>
      <c r="AL165" s="13"/>
      <c r="AM165" s="19"/>
      <c r="AN165" s="13"/>
      <c r="AO165" s="19"/>
      <c r="AP165" s="13"/>
      <c r="AQ165" s="19"/>
      <c r="AR165" s="13"/>
      <c r="AS165" s="614"/>
      <c r="AT165" s="460"/>
      <c r="AU165" s="783"/>
      <c r="AV165" s="460"/>
    </row>
    <row r="166" spans="1:48">
      <c r="A166" s="14"/>
      <c r="B166" s="15"/>
      <c r="C166" s="16"/>
      <c r="D166" s="17"/>
      <c r="E166" s="12"/>
      <c r="F166" s="18"/>
      <c r="G166" s="19"/>
      <c r="H166" s="13"/>
      <c r="I166" s="19"/>
      <c r="J166" s="13"/>
      <c r="K166" s="19"/>
      <c r="L166" s="13"/>
      <c r="M166" s="19"/>
      <c r="N166" s="13"/>
      <c r="O166" s="19"/>
      <c r="P166" s="13"/>
      <c r="Q166" s="19"/>
      <c r="R166" s="13"/>
      <c r="S166" s="19"/>
      <c r="T166" s="13"/>
      <c r="U166" s="19"/>
      <c r="V166" s="13"/>
      <c r="W166" s="19"/>
      <c r="X166" s="13"/>
      <c r="Y166" s="19"/>
      <c r="Z166" s="13"/>
      <c r="AA166" s="19"/>
      <c r="AB166" s="13"/>
      <c r="AC166" s="19"/>
      <c r="AD166" s="13"/>
      <c r="AE166" s="19"/>
      <c r="AF166" s="13"/>
      <c r="AG166" s="19"/>
      <c r="AH166" s="13"/>
      <c r="AI166" s="19"/>
      <c r="AJ166" s="13"/>
      <c r="AK166" s="19"/>
      <c r="AL166" s="13"/>
      <c r="AM166" s="19"/>
      <c r="AN166" s="13"/>
      <c r="AO166" s="19"/>
      <c r="AP166" s="13"/>
      <c r="AQ166" s="19"/>
      <c r="AR166" s="13"/>
      <c r="AS166" s="614"/>
      <c r="AT166" s="460"/>
      <c r="AU166" s="783"/>
      <c r="AV166" s="460"/>
    </row>
    <row r="167" spans="1:48">
      <c r="A167" s="14"/>
      <c r="B167" s="15"/>
      <c r="C167" s="16"/>
      <c r="D167" s="17"/>
      <c r="E167" s="12"/>
      <c r="F167" s="18"/>
      <c r="G167" s="19"/>
      <c r="H167" s="13"/>
      <c r="I167" s="19"/>
      <c r="J167" s="13"/>
      <c r="K167" s="19"/>
      <c r="L167" s="13"/>
      <c r="M167" s="19"/>
      <c r="N167" s="13"/>
      <c r="O167" s="19"/>
      <c r="P167" s="13"/>
      <c r="Q167" s="19"/>
      <c r="R167" s="13"/>
      <c r="S167" s="19"/>
      <c r="T167" s="13"/>
      <c r="U167" s="19"/>
      <c r="V167" s="13"/>
      <c r="W167" s="19"/>
      <c r="X167" s="13"/>
      <c r="Y167" s="19"/>
      <c r="Z167" s="13"/>
      <c r="AA167" s="19"/>
      <c r="AB167" s="13"/>
      <c r="AC167" s="19"/>
      <c r="AD167" s="13"/>
      <c r="AE167" s="19"/>
      <c r="AF167" s="13"/>
      <c r="AG167" s="19"/>
      <c r="AH167" s="13"/>
      <c r="AI167" s="19"/>
      <c r="AJ167" s="13"/>
      <c r="AK167" s="19"/>
      <c r="AL167" s="13"/>
      <c r="AM167" s="19"/>
      <c r="AN167" s="13"/>
      <c r="AO167" s="19"/>
      <c r="AP167" s="13"/>
      <c r="AQ167" s="19"/>
      <c r="AR167" s="13"/>
      <c r="AS167" s="614"/>
      <c r="AT167" s="460"/>
      <c r="AU167" s="783"/>
      <c r="AV167" s="460"/>
    </row>
    <row r="168" spans="1:48">
      <c r="A168" s="14"/>
      <c r="B168" s="15"/>
      <c r="C168" s="16"/>
      <c r="D168" s="17"/>
      <c r="E168" s="12"/>
      <c r="F168" s="18"/>
      <c r="G168" s="19"/>
      <c r="H168" s="13"/>
      <c r="I168" s="19"/>
      <c r="J168" s="13"/>
      <c r="K168" s="19"/>
      <c r="L168" s="13"/>
      <c r="M168" s="19"/>
      <c r="N168" s="13"/>
      <c r="O168" s="19"/>
      <c r="P168" s="13"/>
      <c r="Q168" s="19"/>
      <c r="R168" s="13"/>
      <c r="S168" s="19"/>
      <c r="T168" s="13"/>
      <c r="U168" s="19"/>
      <c r="V168" s="13"/>
      <c r="W168" s="19"/>
      <c r="X168" s="13"/>
      <c r="Y168" s="19"/>
      <c r="Z168" s="13"/>
      <c r="AA168" s="19"/>
      <c r="AB168" s="13"/>
      <c r="AC168" s="19"/>
      <c r="AD168" s="13"/>
      <c r="AE168" s="19"/>
      <c r="AF168" s="13"/>
      <c r="AG168" s="19"/>
      <c r="AH168" s="13"/>
      <c r="AI168" s="19"/>
      <c r="AJ168" s="13"/>
      <c r="AK168" s="19"/>
      <c r="AL168" s="13"/>
      <c r="AM168" s="19"/>
      <c r="AN168" s="13"/>
      <c r="AO168" s="19"/>
      <c r="AP168" s="13"/>
      <c r="AQ168" s="19"/>
      <c r="AR168" s="13"/>
      <c r="AS168" s="614"/>
      <c r="AT168" s="460"/>
      <c r="AU168" s="783"/>
      <c r="AV168" s="460"/>
    </row>
    <row r="169" spans="1:48">
      <c r="A169" s="14"/>
      <c r="B169" s="15"/>
      <c r="C169" s="16"/>
      <c r="D169" s="17"/>
      <c r="E169" s="12"/>
      <c r="F169" s="18"/>
      <c r="G169" s="19"/>
      <c r="H169" s="13"/>
      <c r="I169" s="19"/>
      <c r="J169" s="13"/>
      <c r="K169" s="19"/>
      <c r="L169" s="13"/>
      <c r="M169" s="19"/>
      <c r="N169" s="13"/>
      <c r="O169" s="19"/>
      <c r="P169" s="13"/>
      <c r="Q169" s="19"/>
      <c r="R169" s="13"/>
      <c r="S169" s="19"/>
      <c r="T169" s="13"/>
      <c r="U169" s="19"/>
      <c r="V169" s="13"/>
      <c r="W169" s="19"/>
      <c r="X169" s="13"/>
      <c r="Y169" s="19"/>
      <c r="Z169" s="13"/>
      <c r="AA169" s="19"/>
      <c r="AB169" s="13"/>
      <c r="AC169" s="19"/>
      <c r="AD169" s="13"/>
      <c r="AE169" s="19"/>
      <c r="AF169" s="13"/>
      <c r="AG169" s="19"/>
      <c r="AH169" s="13"/>
      <c r="AI169" s="19"/>
      <c r="AJ169" s="13"/>
      <c r="AK169" s="19"/>
      <c r="AL169" s="13"/>
      <c r="AM169" s="19"/>
      <c r="AN169" s="13"/>
      <c r="AO169" s="19"/>
      <c r="AP169" s="13"/>
      <c r="AQ169" s="19"/>
      <c r="AR169" s="13"/>
      <c r="AS169" s="614"/>
      <c r="AT169" s="460"/>
      <c r="AU169" s="783"/>
      <c r="AV169" s="460"/>
    </row>
    <row r="170" spans="1:48">
      <c r="A170" s="14"/>
      <c r="B170" s="15"/>
      <c r="C170" s="16"/>
      <c r="D170" s="17"/>
      <c r="E170" s="12"/>
      <c r="F170" s="18"/>
      <c r="G170" s="19"/>
      <c r="H170" s="13"/>
      <c r="I170" s="19"/>
      <c r="J170" s="13"/>
      <c r="K170" s="19"/>
      <c r="L170" s="13"/>
      <c r="M170" s="19"/>
      <c r="N170" s="13"/>
      <c r="O170" s="19"/>
      <c r="P170" s="13"/>
      <c r="Q170" s="19"/>
      <c r="R170" s="13"/>
      <c r="S170" s="19"/>
      <c r="T170" s="13"/>
      <c r="U170" s="19"/>
      <c r="V170" s="13"/>
      <c r="W170" s="19"/>
      <c r="X170" s="13"/>
      <c r="Y170" s="19"/>
      <c r="Z170" s="13"/>
      <c r="AA170" s="19"/>
      <c r="AB170" s="13"/>
      <c r="AC170" s="19"/>
      <c r="AD170" s="13"/>
      <c r="AE170" s="19"/>
      <c r="AF170" s="13"/>
      <c r="AG170" s="19"/>
      <c r="AH170" s="13"/>
      <c r="AI170" s="19"/>
      <c r="AJ170" s="13"/>
      <c r="AK170" s="19"/>
      <c r="AL170" s="13"/>
      <c r="AM170" s="19"/>
      <c r="AN170" s="13"/>
      <c r="AO170" s="19"/>
      <c r="AP170" s="13"/>
      <c r="AQ170" s="19"/>
      <c r="AR170" s="13"/>
      <c r="AS170" s="614"/>
      <c r="AT170" s="460"/>
      <c r="AU170" s="783"/>
      <c r="AV170" s="460"/>
    </row>
    <row r="171" spans="1:48">
      <c r="A171" s="14"/>
      <c r="B171" s="15"/>
      <c r="C171" s="16"/>
      <c r="D171" s="17"/>
      <c r="E171" s="12"/>
      <c r="F171" s="18"/>
      <c r="G171" s="19"/>
      <c r="H171" s="13"/>
      <c r="I171" s="19"/>
      <c r="J171" s="13"/>
      <c r="K171" s="19"/>
      <c r="L171" s="13"/>
      <c r="M171" s="19"/>
      <c r="N171" s="13"/>
      <c r="O171" s="19"/>
      <c r="P171" s="13"/>
      <c r="Q171" s="19"/>
      <c r="R171" s="13"/>
      <c r="S171" s="19"/>
      <c r="T171" s="13"/>
      <c r="U171" s="19"/>
      <c r="V171" s="13"/>
      <c r="W171" s="19"/>
      <c r="X171" s="13"/>
      <c r="Y171" s="19"/>
      <c r="Z171" s="13"/>
      <c r="AA171" s="19"/>
      <c r="AB171" s="13"/>
      <c r="AC171" s="19"/>
      <c r="AD171" s="13"/>
      <c r="AE171" s="19"/>
      <c r="AF171" s="13"/>
      <c r="AG171" s="19"/>
      <c r="AH171" s="13"/>
      <c r="AI171" s="19"/>
      <c r="AJ171" s="13"/>
      <c r="AK171" s="19"/>
      <c r="AL171" s="13"/>
      <c r="AM171" s="19"/>
      <c r="AN171" s="13"/>
      <c r="AO171" s="19"/>
      <c r="AP171" s="13"/>
      <c r="AQ171" s="19"/>
      <c r="AR171" s="13"/>
      <c r="AS171" s="614"/>
      <c r="AT171" s="460"/>
      <c r="AU171" s="783"/>
      <c r="AV171" s="460"/>
    </row>
    <row r="172" spans="1:48">
      <c r="A172" s="14"/>
      <c r="B172" s="15"/>
      <c r="C172" s="16"/>
      <c r="D172" s="17"/>
      <c r="E172" s="12"/>
      <c r="F172" s="18"/>
      <c r="G172" s="19"/>
      <c r="H172" s="13"/>
      <c r="I172" s="19"/>
      <c r="J172" s="13"/>
      <c r="K172" s="19"/>
      <c r="L172" s="13"/>
      <c r="M172" s="19"/>
      <c r="N172" s="13"/>
      <c r="O172" s="19"/>
      <c r="P172" s="13"/>
      <c r="Q172" s="19"/>
      <c r="R172" s="13"/>
      <c r="S172" s="19"/>
      <c r="T172" s="13"/>
      <c r="U172" s="19"/>
      <c r="V172" s="13"/>
      <c r="W172" s="19"/>
      <c r="X172" s="13"/>
      <c r="Y172" s="19"/>
      <c r="Z172" s="13"/>
      <c r="AA172" s="19"/>
      <c r="AB172" s="13"/>
      <c r="AC172" s="19"/>
      <c r="AD172" s="13"/>
      <c r="AE172" s="19"/>
      <c r="AF172" s="13"/>
      <c r="AG172" s="19"/>
      <c r="AH172" s="13"/>
      <c r="AI172" s="19"/>
      <c r="AJ172" s="13"/>
      <c r="AK172" s="19"/>
      <c r="AL172" s="13"/>
      <c r="AM172" s="19"/>
      <c r="AN172" s="13"/>
      <c r="AO172" s="19"/>
      <c r="AP172" s="13"/>
      <c r="AQ172" s="19"/>
      <c r="AR172" s="13"/>
      <c r="AS172" s="614"/>
      <c r="AT172" s="460"/>
      <c r="AU172" s="783"/>
      <c r="AV172" s="460"/>
    </row>
    <row r="173" spans="1:48">
      <c r="A173" s="14"/>
      <c r="B173" s="15"/>
      <c r="C173" s="16"/>
      <c r="D173" s="17"/>
      <c r="E173" s="12"/>
      <c r="F173" s="18"/>
      <c r="G173" s="19"/>
      <c r="H173" s="13"/>
      <c r="I173" s="19"/>
      <c r="J173" s="13"/>
      <c r="K173" s="19"/>
      <c r="L173" s="13"/>
      <c r="M173" s="19"/>
      <c r="N173" s="13"/>
      <c r="O173" s="19"/>
      <c r="P173" s="13"/>
      <c r="Q173" s="19"/>
      <c r="R173" s="13"/>
      <c r="S173" s="19"/>
      <c r="T173" s="13"/>
      <c r="U173" s="19"/>
      <c r="V173" s="13"/>
      <c r="W173" s="19"/>
      <c r="X173" s="13"/>
      <c r="Y173" s="19"/>
      <c r="Z173" s="13"/>
      <c r="AA173" s="19"/>
      <c r="AB173" s="13"/>
      <c r="AC173" s="19"/>
      <c r="AD173" s="13"/>
      <c r="AE173" s="19"/>
      <c r="AF173" s="13"/>
      <c r="AG173" s="19"/>
      <c r="AH173" s="13"/>
      <c r="AI173" s="19"/>
      <c r="AJ173" s="13"/>
      <c r="AK173" s="19"/>
      <c r="AL173" s="13"/>
      <c r="AM173" s="19"/>
      <c r="AN173" s="13"/>
      <c r="AO173" s="19"/>
      <c r="AP173" s="13"/>
      <c r="AQ173" s="19"/>
      <c r="AR173" s="13"/>
      <c r="AS173" s="614"/>
      <c r="AT173" s="460"/>
      <c r="AU173" s="783"/>
      <c r="AV173" s="460"/>
    </row>
    <row r="174" spans="1:48">
      <c r="A174" s="14"/>
      <c r="B174" s="15"/>
      <c r="C174" s="16"/>
      <c r="D174" s="17"/>
      <c r="E174" s="12"/>
      <c r="F174" s="18"/>
      <c r="G174" s="19"/>
      <c r="H174" s="13"/>
      <c r="I174" s="19"/>
      <c r="J174" s="13"/>
      <c r="K174" s="19"/>
      <c r="L174" s="13"/>
      <c r="M174" s="19"/>
      <c r="N174" s="13"/>
      <c r="O174" s="19"/>
      <c r="P174" s="13"/>
      <c r="Q174" s="19"/>
      <c r="R174" s="13"/>
      <c r="S174" s="19"/>
      <c r="T174" s="13"/>
      <c r="U174" s="19"/>
      <c r="V174" s="13"/>
      <c r="W174" s="19"/>
      <c r="X174" s="13"/>
      <c r="Y174" s="19"/>
      <c r="Z174" s="13"/>
      <c r="AA174" s="19"/>
      <c r="AB174" s="13"/>
      <c r="AC174" s="19"/>
      <c r="AD174" s="13"/>
      <c r="AE174" s="19"/>
      <c r="AF174" s="13"/>
      <c r="AG174" s="19"/>
      <c r="AH174" s="13"/>
      <c r="AI174" s="19"/>
      <c r="AJ174" s="13"/>
      <c r="AK174" s="19"/>
      <c r="AL174" s="13"/>
      <c r="AM174" s="19"/>
      <c r="AN174" s="13"/>
      <c r="AO174" s="19"/>
      <c r="AP174" s="13"/>
      <c r="AQ174" s="19"/>
      <c r="AR174" s="13"/>
      <c r="AS174" s="614"/>
      <c r="AT174" s="460"/>
      <c r="AU174" s="783"/>
      <c r="AV174" s="460"/>
    </row>
    <row r="175" spans="1:48">
      <c r="A175" s="14"/>
      <c r="B175" s="15"/>
      <c r="C175" s="16"/>
      <c r="D175" s="17"/>
      <c r="E175" s="12"/>
      <c r="F175" s="18"/>
      <c r="G175" s="19"/>
      <c r="H175" s="13"/>
      <c r="I175" s="19"/>
      <c r="J175" s="13"/>
      <c r="K175" s="19"/>
      <c r="L175" s="13"/>
      <c r="M175" s="19"/>
      <c r="N175" s="13"/>
      <c r="O175" s="19"/>
      <c r="P175" s="13"/>
      <c r="Q175" s="19"/>
      <c r="R175" s="13"/>
      <c r="S175" s="19"/>
      <c r="T175" s="13"/>
      <c r="U175" s="19"/>
      <c r="V175" s="13"/>
      <c r="W175" s="19"/>
      <c r="X175" s="13"/>
      <c r="Y175" s="19"/>
      <c r="Z175" s="13"/>
      <c r="AA175" s="19"/>
      <c r="AB175" s="13"/>
      <c r="AC175" s="19"/>
      <c r="AD175" s="13"/>
      <c r="AE175" s="19"/>
      <c r="AF175" s="13"/>
      <c r="AG175" s="19"/>
      <c r="AH175" s="13"/>
      <c r="AI175" s="19"/>
      <c r="AJ175" s="13"/>
      <c r="AK175" s="19"/>
      <c r="AL175" s="13"/>
      <c r="AM175" s="19"/>
      <c r="AN175" s="13"/>
      <c r="AO175" s="19"/>
      <c r="AP175" s="13"/>
      <c r="AQ175" s="19"/>
      <c r="AR175" s="13"/>
      <c r="AS175" s="614"/>
      <c r="AT175" s="460"/>
      <c r="AU175" s="783"/>
      <c r="AV175" s="460"/>
    </row>
    <row r="176" spans="1:48">
      <c r="A176" s="14"/>
      <c r="B176" s="15"/>
      <c r="C176" s="16"/>
      <c r="D176" s="17"/>
      <c r="E176" s="12"/>
      <c r="F176" s="18"/>
      <c r="G176" s="19"/>
      <c r="H176" s="13"/>
      <c r="I176" s="19"/>
      <c r="J176" s="13"/>
      <c r="K176" s="19"/>
      <c r="L176" s="13"/>
      <c r="M176" s="19"/>
      <c r="N176" s="13"/>
      <c r="O176" s="19"/>
      <c r="P176" s="13"/>
      <c r="Q176" s="19"/>
      <c r="R176" s="13"/>
      <c r="S176" s="19"/>
      <c r="T176" s="13"/>
      <c r="U176" s="19"/>
      <c r="V176" s="13"/>
      <c r="W176" s="19"/>
      <c r="X176" s="13"/>
      <c r="Y176" s="19"/>
      <c r="Z176" s="13"/>
      <c r="AA176" s="19"/>
      <c r="AB176" s="13"/>
      <c r="AC176" s="19"/>
      <c r="AD176" s="13"/>
      <c r="AE176" s="19"/>
      <c r="AF176" s="13"/>
      <c r="AG176" s="19"/>
      <c r="AH176" s="13"/>
      <c r="AI176" s="19"/>
      <c r="AJ176" s="13"/>
      <c r="AK176" s="19"/>
      <c r="AL176" s="13"/>
      <c r="AM176" s="19"/>
      <c r="AN176" s="13"/>
      <c r="AO176" s="19"/>
      <c r="AP176" s="13"/>
      <c r="AQ176" s="19"/>
      <c r="AR176" s="13"/>
      <c r="AS176" s="614"/>
      <c r="AT176" s="460"/>
      <c r="AU176" s="783"/>
      <c r="AV176" s="460"/>
    </row>
    <row r="177" spans="1:48">
      <c r="A177" s="14"/>
      <c r="B177" s="15"/>
      <c r="C177" s="16"/>
      <c r="D177" s="17"/>
      <c r="E177" s="12"/>
      <c r="F177" s="18"/>
      <c r="G177" s="19"/>
      <c r="H177" s="13"/>
      <c r="I177" s="19"/>
      <c r="J177" s="13"/>
      <c r="K177" s="19"/>
      <c r="L177" s="13"/>
      <c r="M177" s="19"/>
      <c r="N177" s="13"/>
      <c r="O177" s="19"/>
      <c r="P177" s="13"/>
      <c r="Q177" s="19"/>
      <c r="R177" s="13"/>
      <c r="S177" s="19"/>
      <c r="T177" s="13"/>
      <c r="U177" s="19"/>
      <c r="V177" s="13"/>
      <c r="W177" s="19"/>
      <c r="X177" s="13"/>
      <c r="Y177" s="19"/>
      <c r="Z177" s="13"/>
      <c r="AA177" s="19"/>
      <c r="AB177" s="13"/>
      <c r="AC177" s="19"/>
      <c r="AD177" s="13"/>
      <c r="AE177" s="19"/>
      <c r="AF177" s="13"/>
      <c r="AG177" s="19"/>
      <c r="AH177" s="13"/>
      <c r="AI177" s="19"/>
      <c r="AJ177" s="13"/>
      <c r="AK177" s="19"/>
      <c r="AL177" s="13"/>
      <c r="AM177" s="19"/>
      <c r="AN177" s="13"/>
      <c r="AO177" s="19"/>
      <c r="AP177" s="13"/>
      <c r="AQ177" s="19"/>
      <c r="AR177" s="13"/>
      <c r="AS177" s="614"/>
      <c r="AT177" s="460"/>
      <c r="AU177" s="783"/>
      <c r="AV177" s="460"/>
    </row>
    <row r="178" spans="1:48">
      <c r="A178" s="14"/>
      <c r="B178" s="15"/>
      <c r="C178" s="16"/>
      <c r="D178" s="17"/>
      <c r="E178" s="12"/>
      <c r="F178" s="18"/>
      <c r="G178" s="19"/>
      <c r="H178" s="13"/>
      <c r="I178" s="19"/>
      <c r="J178" s="13"/>
      <c r="K178" s="19"/>
      <c r="L178" s="13"/>
      <c r="M178" s="19"/>
      <c r="N178" s="13"/>
      <c r="O178" s="19"/>
      <c r="P178" s="13"/>
      <c r="Q178" s="19"/>
      <c r="R178" s="13"/>
      <c r="S178" s="19"/>
      <c r="T178" s="13"/>
      <c r="U178" s="19"/>
      <c r="V178" s="13"/>
      <c r="W178" s="19"/>
      <c r="X178" s="13"/>
      <c r="Y178" s="19"/>
      <c r="Z178" s="13"/>
      <c r="AA178" s="19"/>
      <c r="AB178" s="13"/>
      <c r="AC178" s="19"/>
      <c r="AD178" s="13"/>
      <c r="AE178" s="19"/>
      <c r="AF178" s="13"/>
      <c r="AG178" s="19"/>
      <c r="AH178" s="13"/>
      <c r="AI178" s="19"/>
      <c r="AJ178" s="13"/>
      <c r="AK178" s="19"/>
      <c r="AL178" s="13"/>
      <c r="AM178" s="19"/>
      <c r="AN178" s="13"/>
      <c r="AO178" s="19"/>
      <c r="AP178" s="13"/>
      <c r="AQ178" s="19"/>
      <c r="AR178" s="13"/>
      <c r="AS178" s="614"/>
      <c r="AT178" s="460"/>
      <c r="AU178" s="783"/>
      <c r="AV178" s="460"/>
    </row>
    <row r="179" spans="1:48">
      <c r="A179" s="14"/>
      <c r="B179" s="15"/>
      <c r="C179" s="16"/>
      <c r="D179" s="17"/>
      <c r="E179" s="12"/>
      <c r="F179" s="18"/>
      <c r="G179" s="19"/>
      <c r="H179" s="13"/>
      <c r="I179" s="19"/>
      <c r="J179" s="13"/>
      <c r="K179" s="19"/>
      <c r="L179" s="13"/>
      <c r="M179" s="19"/>
      <c r="N179" s="13"/>
      <c r="O179" s="19"/>
      <c r="P179" s="13"/>
      <c r="Q179" s="19"/>
      <c r="R179" s="13"/>
      <c r="S179" s="19"/>
      <c r="T179" s="13"/>
      <c r="U179" s="19"/>
      <c r="V179" s="13"/>
      <c r="W179" s="19"/>
      <c r="X179" s="13"/>
      <c r="Y179" s="19"/>
      <c r="Z179" s="13"/>
      <c r="AA179" s="19"/>
      <c r="AB179" s="13"/>
      <c r="AC179" s="19"/>
      <c r="AD179" s="13"/>
      <c r="AE179" s="19"/>
      <c r="AF179" s="13"/>
      <c r="AG179" s="19"/>
      <c r="AH179" s="13"/>
      <c r="AI179" s="19"/>
      <c r="AJ179" s="13"/>
      <c r="AK179" s="19"/>
      <c r="AL179" s="13"/>
      <c r="AM179" s="19"/>
      <c r="AN179" s="13"/>
      <c r="AO179" s="19"/>
      <c r="AP179" s="13"/>
      <c r="AQ179" s="19"/>
      <c r="AR179" s="13"/>
      <c r="AS179" s="614"/>
      <c r="AT179" s="460"/>
      <c r="AU179" s="783"/>
      <c r="AV179" s="460"/>
    </row>
    <row r="180" spans="1:48">
      <c r="A180" s="14"/>
      <c r="B180" s="15"/>
      <c r="C180" s="16"/>
      <c r="D180" s="17"/>
      <c r="E180" s="12"/>
      <c r="F180" s="18"/>
      <c r="G180" s="19"/>
      <c r="H180" s="13"/>
      <c r="I180" s="19"/>
      <c r="J180" s="13"/>
      <c r="K180" s="19"/>
      <c r="L180" s="13"/>
      <c r="M180" s="19"/>
      <c r="N180" s="13"/>
      <c r="O180" s="19"/>
      <c r="P180" s="13"/>
      <c r="Q180" s="19"/>
      <c r="R180" s="13"/>
      <c r="S180" s="19"/>
      <c r="T180" s="13"/>
      <c r="U180" s="19"/>
      <c r="V180" s="13"/>
      <c r="W180" s="19"/>
      <c r="X180" s="13"/>
      <c r="Y180" s="19"/>
      <c r="Z180" s="13"/>
      <c r="AA180" s="19"/>
      <c r="AB180" s="13"/>
      <c r="AC180" s="19"/>
      <c r="AD180" s="13"/>
      <c r="AE180" s="19"/>
      <c r="AF180" s="13"/>
      <c r="AG180" s="19"/>
      <c r="AH180" s="13"/>
      <c r="AI180" s="19"/>
      <c r="AJ180" s="13"/>
      <c r="AK180" s="19"/>
      <c r="AL180" s="13"/>
      <c r="AM180" s="19"/>
      <c r="AN180" s="13"/>
      <c r="AO180" s="19"/>
      <c r="AP180" s="13"/>
      <c r="AQ180" s="19"/>
      <c r="AR180" s="13"/>
      <c r="AS180" s="614"/>
      <c r="AT180" s="460"/>
      <c r="AU180" s="783"/>
      <c r="AV180" s="460"/>
    </row>
    <row r="181" spans="1:48">
      <c r="A181" s="14"/>
      <c r="B181" s="15"/>
      <c r="C181" s="16"/>
      <c r="D181" s="17"/>
      <c r="E181" s="12"/>
      <c r="F181" s="18"/>
      <c r="G181" s="19"/>
      <c r="H181" s="13"/>
      <c r="I181" s="19"/>
      <c r="J181" s="13"/>
      <c r="K181" s="19"/>
      <c r="L181" s="13"/>
      <c r="M181" s="19"/>
      <c r="N181" s="13"/>
      <c r="O181" s="19"/>
      <c r="P181" s="13"/>
      <c r="Q181" s="19"/>
      <c r="R181" s="13"/>
      <c r="S181" s="19"/>
      <c r="T181" s="13"/>
      <c r="U181" s="19"/>
      <c r="V181" s="13"/>
      <c r="W181" s="19"/>
      <c r="X181" s="13"/>
      <c r="Y181" s="19"/>
      <c r="Z181" s="13"/>
      <c r="AA181" s="19"/>
      <c r="AB181" s="13"/>
      <c r="AC181" s="19"/>
      <c r="AD181" s="13"/>
      <c r="AE181" s="19"/>
      <c r="AF181" s="13"/>
      <c r="AG181" s="19"/>
      <c r="AH181" s="13"/>
      <c r="AI181" s="19"/>
      <c r="AJ181" s="13"/>
      <c r="AK181" s="19"/>
      <c r="AL181" s="13"/>
      <c r="AM181" s="19"/>
      <c r="AN181" s="13"/>
      <c r="AO181" s="19"/>
      <c r="AP181" s="13"/>
      <c r="AQ181" s="19"/>
      <c r="AR181" s="13"/>
      <c r="AS181" s="614"/>
      <c r="AT181" s="460"/>
      <c r="AU181" s="783"/>
      <c r="AV181" s="460"/>
    </row>
    <row r="182" spans="1:48">
      <c r="A182" s="14"/>
      <c r="B182" s="15"/>
      <c r="C182" s="16"/>
      <c r="D182" s="17"/>
      <c r="E182" s="12"/>
      <c r="F182" s="18"/>
      <c r="G182" s="19"/>
      <c r="H182" s="13"/>
      <c r="I182" s="19"/>
      <c r="J182" s="13"/>
      <c r="K182" s="19"/>
      <c r="L182" s="13"/>
      <c r="M182" s="19"/>
      <c r="N182" s="13"/>
      <c r="O182" s="19"/>
      <c r="P182" s="13"/>
      <c r="Q182" s="19"/>
      <c r="R182" s="13"/>
      <c r="S182" s="19"/>
      <c r="T182" s="13"/>
      <c r="U182" s="19"/>
      <c r="V182" s="13"/>
      <c r="W182" s="19"/>
      <c r="X182" s="13"/>
      <c r="Y182" s="19"/>
      <c r="Z182" s="13"/>
      <c r="AA182" s="19"/>
      <c r="AB182" s="13"/>
      <c r="AC182" s="19"/>
      <c r="AD182" s="13"/>
      <c r="AE182" s="19"/>
      <c r="AF182" s="13"/>
      <c r="AG182" s="19"/>
      <c r="AH182" s="13"/>
      <c r="AI182" s="19"/>
      <c r="AJ182" s="13"/>
      <c r="AK182" s="19"/>
      <c r="AL182" s="13"/>
      <c r="AM182" s="19"/>
      <c r="AN182" s="13"/>
      <c r="AO182" s="19"/>
      <c r="AP182" s="13"/>
      <c r="AQ182" s="19"/>
      <c r="AR182" s="13"/>
      <c r="AS182" s="614"/>
      <c r="AT182" s="460"/>
      <c r="AU182" s="783"/>
      <c r="AV182" s="460"/>
    </row>
    <row r="183" spans="1:48">
      <c r="A183" s="14"/>
      <c r="B183" s="15"/>
      <c r="C183" s="16"/>
      <c r="D183" s="17"/>
      <c r="E183" s="12"/>
      <c r="F183" s="18"/>
      <c r="G183" s="19"/>
      <c r="H183" s="13"/>
      <c r="I183" s="19"/>
      <c r="J183" s="13"/>
      <c r="K183" s="19"/>
      <c r="L183" s="13"/>
      <c r="M183" s="19"/>
      <c r="N183" s="13"/>
      <c r="O183" s="19"/>
      <c r="P183" s="13"/>
      <c r="Q183" s="19"/>
      <c r="R183" s="13"/>
      <c r="S183" s="19"/>
      <c r="T183" s="13"/>
      <c r="U183" s="19"/>
      <c r="V183" s="13"/>
      <c r="W183" s="19"/>
      <c r="X183" s="13"/>
      <c r="Y183" s="19"/>
      <c r="Z183" s="13"/>
      <c r="AA183" s="19"/>
      <c r="AB183" s="13"/>
      <c r="AC183" s="19"/>
      <c r="AD183" s="13"/>
      <c r="AE183" s="19"/>
      <c r="AF183" s="13"/>
      <c r="AG183" s="19"/>
      <c r="AH183" s="13"/>
      <c r="AI183" s="19"/>
      <c r="AJ183" s="13"/>
      <c r="AK183" s="19"/>
      <c r="AL183" s="13"/>
      <c r="AM183" s="19"/>
      <c r="AN183" s="13"/>
      <c r="AO183" s="19"/>
      <c r="AP183" s="13"/>
      <c r="AQ183" s="19"/>
      <c r="AR183" s="13"/>
      <c r="AS183" s="614"/>
      <c r="AT183" s="460"/>
      <c r="AU183" s="783"/>
      <c r="AV183" s="460"/>
    </row>
    <row r="184" spans="1:48">
      <c r="A184" s="14"/>
      <c r="B184" s="15"/>
      <c r="C184" s="16"/>
      <c r="D184" s="17"/>
      <c r="E184" s="12"/>
      <c r="F184" s="18"/>
      <c r="G184" s="19"/>
      <c r="H184" s="13"/>
      <c r="I184" s="19"/>
      <c r="J184" s="13"/>
      <c r="K184" s="19"/>
      <c r="L184" s="13"/>
      <c r="M184" s="19"/>
      <c r="N184" s="13"/>
      <c r="O184" s="19"/>
      <c r="P184" s="13"/>
      <c r="Q184" s="19"/>
      <c r="R184" s="13"/>
      <c r="S184" s="19"/>
      <c r="T184" s="13"/>
      <c r="U184" s="19"/>
      <c r="V184" s="13"/>
      <c r="W184" s="19"/>
      <c r="X184" s="13"/>
      <c r="Y184" s="19"/>
      <c r="Z184" s="13"/>
      <c r="AA184" s="19"/>
      <c r="AB184" s="13"/>
      <c r="AC184" s="19"/>
      <c r="AD184" s="13"/>
      <c r="AE184" s="19"/>
      <c r="AF184" s="13"/>
      <c r="AG184" s="19"/>
      <c r="AH184" s="13"/>
      <c r="AI184" s="19"/>
      <c r="AJ184" s="13"/>
      <c r="AK184" s="19"/>
      <c r="AL184" s="13"/>
      <c r="AM184" s="19"/>
      <c r="AN184" s="13"/>
      <c r="AO184" s="19"/>
      <c r="AP184" s="13"/>
      <c r="AQ184" s="19"/>
      <c r="AR184" s="13"/>
      <c r="AS184" s="614"/>
      <c r="AT184" s="460"/>
      <c r="AU184" s="783"/>
      <c r="AV184" s="460"/>
    </row>
    <row r="185" spans="1:48">
      <c r="A185" s="14"/>
      <c r="B185" s="15"/>
      <c r="C185" s="16"/>
      <c r="D185" s="17"/>
      <c r="E185" s="12"/>
      <c r="F185" s="18"/>
      <c r="G185" s="19"/>
      <c r="H185" s="13"/>
      <c r="I185" s="19"/>
      <c r="J185" s="13"/>
      <c r="K185" s="19"/>
      <c r="L185" s="13"/>
      <c r="M185" s="19"/>
      <c r="N185" s="13"/>
      <c r="O185" s="19"/>
      <c r="P185" s="13"/>
      <c r="Q185" s="19"/>
      <c r="R185" s="13"/>
      <c r="S185" s="19"/>
      <c r="T185" s="13"/>
      <c r="U185" s="19"/>
      <c r="V185" s="13"/>
      <c r="W185" s="19"/>
      <c r="X185" s="13"/>
      <c r="Y185" s="19"/>
      <c r="Z185" s="13"/>
      <c r="AA185" s="19"/>
      <c r="AB185" s="13"/>
      <c r="AC185" s="19"/>
      <c r="AD185" s="13"/>
      <c r="AE185" s="19"/>
      <c r="AF185" s="13"/>
      <c r="AG185" s="19"/>
      <c r="AH185" s="13"/>
      <c r="AI185" s="19"/>
      <c r="AJ185" s="13"/>
      <c r="AK185" s="19"/>
      <c r="AL185" s="13"/>
      <c r="AM185" s="19"/>
      <c r="AN185" s="13"/>
      <c r="AO185" s="19"/>
      <c r="AP185" s="13"/>
      <c r="AQ185" s="19"/>
      <c r="AR185" s="13"/>
      <c r="AS185" s="614"/>
      <c r="AT185" s="460"/>
      <c r="AU185" s="783"/>
      <c r="AV185" s="460"/>
    </row>
    <row r="186" spans="1:48">
      <c r="A186" s="14"/>
      <c r="B186" s="15"/>
      <c r="C186" s="16"/>
      <c r="D186" s="17"/>
      <c r="E186" s="12"/>
      <c r="F186" s="18"/>
      <c r="G186" s="19"/>
      <c r="H186" s="13"/>
      <c r="I186" s="19"/>
      <c r="J186" s="13"/>
      <c r="K186" s="19"/>
      <c r="L186" s="13"/>
      <c r="M186" s="19"/>
      <c r="N186" s="13"/>
      <c r="O186" s="19"/>
      <c r="P186" s="13"/>
      <c r="Q186" s="19"/>
      <c r="R186" s="13"/>
      <c r="S186" s="19"/>
      <c r="T186" s="13"/>
      <c r="U186" s="19"/>
      <c r="V186" s="13"/>
      <c r="W186" s="19"/>
      <c r="X186" s="13"/>
      <c r="Y186" s="19"/>
      <c r="Z186" s="13"/>
      <c r="AA186" s="19"/>
      <c r="AB186" s="13"/>
      <c r="AC186" s="19"/>
      <c r="AD186" s="13"/>
      <c r="AE186" s="19"/>
      <c r="AF186" s="13"/>
      <c r="AG186" s="19"/>
      <c r="AH186" s="13"/>
      <c r="AI186" s="19"/>
      <c r="AJ186" s="13"/>
      <c r="AK186" s="19"/>
      <c r="AL186" s="13"/>
      <c r="AM186" s="19"/>
      <c r="AN186" s="13"/>
      <c r="AO186" s="19"/>
      <c r="AP186" s="13"/>
      <c r="AQ186" s="19"/>
      <c r="AR186" s="13"/>
      <c r="AS186" s="614"/>
      <c r="AT186" s="460"/>
      <c r="AU186" s="783"/>
      <c r="AV186" s="460"/>
    </row>
    <row r="187" spans="1:48">
      <c r="A187" s="14"/>
      <c r="B187" s="15"/>
      <c r="C187" s="16"/>
      <c r="D187" s="17"/>
      <c r="E187" s="12"/>
      <c r="F187" s="18"/>
      <c r="G187" s="19"/>
      <c r="H187" s="13"/>
      <c r="I187" s="19"/>
      <c r="J187" s="13"/>
      <c r="K187" s="19"/>
      <c r="L187" s="13"/>
      <c r="M187" s="19"/>
      <c r="N187" s="13"/>
      <c r="O187" s="19"/>
      <c r="P187" s="13"/>
      <c r="Q187" s="19"/>
      <c r="R187" s="13"/>
      <c r="S187" s="19"/>
      <c r="T187" s="13"/>
      <c r="U187" s="19"/>
      <c r="V187" s="13"/>
      <c r="W187" s="19"/>
      <c r="X187" s="13"/>
      <c r="Y187" s="19"/>
      <c r="Z187" s="13"/>
      <c r="AA187" s="19"/>
      <c r="AB187" s="13"/>
      <c r="AC187" s="19"/>
      <c r="AD187" s="13"/>
      <c r="AE187" s="19"/>
      <c r="AF187" s="13"/>
      <c r="AG187" s="19"/>
      <c r="AH187" s="13"/>
      <c r="AI187" s="19"/>
      <c r="AJ187" s="13"/>
      <c r="AK187" s="19"/>
      <c r="AL187" s="13"/>
      <c r="AM187" s="19"/>
      <c r="AN187" s="13"/>
      <c r="AO187" s="19"/>
      <c r="AP187" s="13"/>
      <c r="AQ187" s="19"/>
      <c r="AR187" s="13"/>
      <c r="AS187" s="614"/>
      <c r="AT187" s="460"/>
      <c r="AU187" s="783"/>
      <c r="AV187" s="460"/>
    </row>
    <row r="188" spans="1:48">
      <c r="A188" s="14"/>
      <c r="B188" s="15"/>
      <c r="C188" s="16"/>
      <c r="D188" s="17"/>
      <c r="E188" s="12"/>
      <c r="F188" s="18"/>
      <c r="G188" s="19"/>
      <c r="H188" s="13"/>
      <c r="I188" s="19"/>
      <c r="J188" s="13"/>
      <c r="K188" s="19"/>
      <c r="L188" s="13"/>
      <c r="M188" s="19"/>
      <c r="N188" s="13"/>
      <c r="O188" s="19"/>
      <c r="P188" s="13"/>
      <c r="Q188" s="19"/>
      <c r="R188" s="13"/>
      <c r="S188" s="19"/>
      <c r="T188" s="13"/>
      <c r="U188" s="19"/>
      <c r="V188" s="13"/>
      <c r="W188" s="19"/>
      <c r="X188" s="13"/>
      <c r="Y188" s="19"/>
      <c r="Z188" s="13"/>
      <c r="AA188" s="19"/>
      <c r="AB188" s="13"/>
      <c r="AC188" s="19"/>
      <c r="AD188" s="13"/>
      <c r="AE188" s="19"/>
      <c r="AF188" s="13"/>
      <c r="AG188" s="19"/>
      <c r="AH188" s="13"/>
      <c r="AI188" s="19"/>
      <c r="AJ188" s="13"/>
      <c r="AK188" s="19"/>
      <c r="AL188" s="13"/>
      <c r="AM188" s="19"/>
      <c r="AN188" s="13"/>
      <c r="AO188" s="19"/>
      <c r="AP188" s="13"/>
      <c r="AQ188" s="19"/>
      <c r="AR188" s="13"/>
      <c r="AS188" s="614"/>
      <c r="AT188" s="460"/>
      <c r="AU188" s="783"/>
      <c r="AV188" s="460"/>
    </row>
    <row r="189" spans="1:48">
      <c r="A189" s="14"/>
      <c r="B189" s="15"/>
      <c r="C189" s="16"/>
      <c r="D189" s="17"/>
      <c r="E189" s="12"/>
      <c r="F189" s="18"/>
      <c r="G189" s="19"/>
      <c r="H189" s="13"/>
      <c r="I189" s="19"/>
      <c r="J189" s="13"/>
      <c r="K189" s="19"/>
      <c r="L189" s="13"/>
      <c r="M189" s="19"/>
      <c r="N189" s="13"/>
      <c r="O189" s="19"/>
      <c r="P189" s="13"/>
      <c r="Q189" s="19"/>
      <c r="R189" s="13"/>
      <c r="S189" s="19"/>
      <c r="T189" s="13"/>
      <c r="U189" s="19"/>
      <c r="V189" s="13"/>
      <c r="W189" s="19"/>
      <c r="X189" s="13"/>
      <c r="Y189" s="19"/>
      <c r="Z189" s="13"/>
      <c r="AA189" s="19"/>
      <c r="AB189" s="13"/>
      <c r="AC189" s="19"/>
      <c r="AD189" s="13"/>
      <c r="AE189" s="19"/>
      <c r="AF189" s="13"/>
      <c r="AG189" s="19"/>
      <c r="AH189" s="13"/>
      <c r="AI189" s="19"/>
      <c r="AJ189" s="13"/>
      <c r="AK189" s="19"/>
      <c r="AL189" s="13"/>
      <c r="AM189" s="19"/>
      <c r="AN189" s="13"/>
      <c r="AO189" s="19"/>
      <c r="AP189" s="13"/>
      <c r="AQ189" s="19"/>
      <c r="AR189" s="13"/>
      <c r="AS189" s="614"/>
      <c r="AT189" s="460"/>
      <c r="AU189" s="783"/>
      <c r="AV189" s="460"/>
    </row>
    <row r="190" spans="1:48">
      <c r="A190" s="14"/>
      <c r="B190" s="15"/>
      <c r="C190" s="16"/>
      <c r="D190" s="17"/>
      <c r="E190" s="12"/>
      <c r="F190" s="18"/>
      <c r="G190" s="19"/>
      <c r="H190" s="13"/>
      <c r="I190" s="19"/>
      <c r="J190" s="13"/>
      <c r="K190" s="19"/>
      <c r="L190" s="13"/>
      <c r="M190" s="19"/>
      <c r="N190" s="13"/>
      <c r="O190" s="19"/>
      <c r="P190" s="13"/>
      <c r="Q190" s="19"/>
      <c r="R190" s="13"/>
      <c r="S190" s="19"/>
      <c r="T190" s="13"/>
      <c r="U190" s="19"/>
      <c r="V190" s="13"/>
      <c r="W190" s="19"/>
      <c r="X190" s="13"/>
      <c r="Y190" s="19"/>
      <c r="Z190" s="13"/>
      <c r="AA190" s="19"/>
      <c r="AB190" s="13"/>
      <c r="AC190" s="19"/>
      <c r="AD190" s="13"/>
      <c r="AE190" s="19"/>
      <c r="AF190" s="13"/>
      <c r="AG190" s="19"/>
      <c r="AH190" s="13"/>
      <c r="AI190" s="19"/>
      <c r="AJ190" s="13"/>
      <c r="AK190" s="19"/>
      <c r="AL190" s="13"/>
      <c r="AM190" s="19"/>
      <c r="AN190" s="13"/>
      <c r="AO190" s="19"/>
      <c r="AP190" s="13"/>
      <c r="AQ190" s="19"/>
      <c r="AR190" s="13"/>
      <c r="AS190" s="614"/>
      <c r="AT190" s="460"/>
      <c r="AU190" s="783"/>
      <c r="AV190" s="460"/>
    </row>
    <row r="191" spans="1:48">
      <c r="A191" s="14"/>
      <c r="B191" s="15"/>
      <c r="C191" s="16"/>
      <c r="D191" s="17"/>
      <c r="E191" s="12"/>
      <c r="F191" s="18"/>
      <c r="G191" s="19"/>
      <c r="H191" s="13"/>
      <c r="I191" s="19"/>
      <c r="J191" s="13"/>
      <c r="K191" s="19"/>
      <c r="L191" s="13"/>
      <c r="M191" s="19"/>
      <c r="N191" s="13"/>
      <c r="O191" s="19"/>
      <c r="P191" s="13"/>
      <c r="Q191" s="19"/>
      <c r="R191" s="13"/>
      <c r="S191" s="19"/>
      <c r="T191" s="13"/>
      <c r="U191" s="19"/>
      <c r="V191" s="13"/>
      <c r="W191" s="19"/>
      <c r="X191" s="13"/>
      <c r="Y191" s="19"/>
      <c r="Z191" s="13"/>
      <c r="AA191" s="19"/>
      <c r="AB191" s="13"/>
      <c r="AC191" s="19"/>
      <c r="AD191" s="13"/>
      <c r="AE191" s="19"/>
      <c r="AF191" s="13"/>
      <c r="AG191" s="19"/>
      <c r="AH191" s="13"/>
      <c r="AI191" s="19"/>
      <c r="AJ191" s="13"/>
      <c r="AK191" s="19"/>
      <c r="AL191" s="13"/>
      <c r="AM191" s="19"/>
      <c r="AN191" s="13"/>
      <c r="AO191" s="19"/>
      <c r="AP191" s="13"/>
      <c r="AQ191" s="19"/>
      <c r="AR191" s="13"/>
      <c r="AS191" s="614"/>
      <c r="AT191" s="460"/>
      <c r="AU191" s="783"/>
      <c r="AV191" s="460"/>
    </row>
    <row r="192" spans="1:48">
      <c r="A192" s="14"/>
      <c r="B192" s="15"/>
      <c r="C192" s="16"/>
      <c r="D192" s="17"/>
      <c r="E192" s="12"/>
      <c r="F192" s="18"/>
      <c r="G192" s="19"/>
      <c r="H192" s="13"/>
      <c r="I192" s="19"/>
      <c r="J192" s="13"/>
      <c r="K192" s="19"/>
      <c r="L192" s="13"/>
      <c r="M192" s="19"/>
      <c r="N192" s="13"/>
      <c r="O192" s="19"/>
      <c r="P192" s="13"/>
      <c r="Q192" s="19"/>
      <c r="R192" s="13"/>
      <c r="S192" s="19"/>
      <c r="T192" s="13"/>
      <c r="U192" s="19"/>
      <c r="V192" s="13"/>
      <c r="W192" s="19"/>
      <c r="X192" s="13"/>
      <c r="Y192" s="19"/>
      <c r="Z192" s="13"/>
      <c r="AA192" s="19"/>
      <c r="AB192" s="13"/>
      <c r="AC192" s="19"/>
      <c r="AD192" s="13"/>
      <c r="AE192" s="19"/>
      <c r="AF192" s="13"/>
      <c r="AG192" s="19"/>
      <c r="AH192" s="13"/>
      <c r="AI192" s="19"/>
      <c r="AJ192" s="13"/>
      <c r="AK192" s="19"/>
      <c r="AL192" s="13"/>
      <c r="AM192" s="19"/>
      <c r="AN192" s="13"/>
      <c r="AO192" s="19"/>
      <c r="AP192" s="13"/>
      <c r="AQ192" s="19"/>
      <c r="AR192" s="13"/>
      <c r="AS192" s="614"/>
      <c r="AT192" s="460"/>
      <c r="AU192" s="783"/>
      <c r="AV192" s="460"/>
    </row>
    <row r="193" spans="1:48">
      <c r="A193" s="14"/>
      <c r="B193" s="15"/>
      <c r="C193" s="16"/>
      <c r="D193" s="17"/>
      <c r="E193" s="12"/>
      <c r="F193" s="18"/>
      <c r="G193" s="19"/>
      <c r="H193" s="13"/>
      <c r="I193" s="19"/>
      <c r="J193" s="13"/>
      <c r="K193" s="19"/>
      <c r="L193" s="13"/>
      <c r="M193" s="19"/>
      <c r="N193" s="13"/>
      <c r="O193" s="19"/>
      <c r="P193" s="13"/>
      <c r="Q193" s="19"/>
      <c r="R193" s="13"/>
      <c r="S193" s="19"/>
      <c r="T193" s="13"/>
      <c r="U193" s="19"/>
      <c r="V193" s="13"/>
      <c r="W193" s="19"/>
      <c r="X193" s="13"/>
      <c r="Y193" s="19"/>
      <c r="Z193" s="13"/>
      <c r="AA193" s="19"/>
      <c r="AB193" s="13"/>
      <c r="AC193" s="19"/>
      <c r="AD193" s="13"/>
      <c r="AE193" s="19"/>
      <c r="AF193" s="13"/>
      <c r="AG193" s="19"/>
      <c r="AH193" s="13"/>
      <c r="AI193" s="19"/>
      <c r="AJ193" s="13"/>
      <c r="AK193" s="19"/>
      <c r="AL193" s="13"/>
      <c r="AM193" s="19"/>
      <c r="AN193" s="13"/>
      <c r="AO193" s="19"/>
      <c r="AP193" s="13"/>
      <c r="AQ193" s="19"/>
      <c r="AR193" s="13"/>
      <c r="AS193" s="614"/>
      <c r="AT193" s="460"/>
      <c r="AU193" s="783"/>
      <c r="AV193" s="460"/>
    </row>
    <row r="194" spans="1:48">
      <c r="A194" s="14"/>
      <c r="B194" s="15"/>
      <c r="C194" s="16"/>
      <c r="D194" s="17"/>
      <c r="E194" s="12"/>
      <c r="F194" s="18"/>
      <c r="G194" s="19"/>
      <c r="H194" s="13"/>
      <c r="I194" s="19"/>
      <c r="J194" s="13"/>
      <c r="K194" s="19"/>
      <c r="L194" s="13"/>
      <c r="M194" s="19"/>
      <c r="N194" s="13"/>
      <c r="O194" s="19"/>
      <c r="P194" s="13"/>
      <c r="Q194" s="19"/>
      <c r="R194" s="13"/>
      <c r="S194" s="19"/>
      <c r="T194" s="13"/>
      <c r="U194" s="19"/>
      <c r="V194" s="13"/>
      <c r="W194" s="19"/>
      <c r="X194" s="13"/>
      <c r="Y194" s="19"/>
      <c r="Z194" s="13"/>
      <c r="AA194" s="19"/>
      <c r="AB194" s="13"/>
      <c r="AC194" s="19"/>
      <c r="AD194" s="13"/>
      <c r="AE194" s="19"/>
      <c r="AF194" s="13"/>
      <c r="AG194" s="19"/>
      <c r="AH194" s="13"/>
      <c r="AI194" s="19"/>
      <c r="AJ194" s="13"/>
      <c r="AK194" s="19"/>
      <c r="AL194" s="13"/>
      <c r="AM194" s="19"/>
      <c r="AN194" s="13"/>
      <c r="AO194" s="19"/>
      <c r="AP194" s="13"/>
      <c r="AQ194" s="19"/>
      <c r="AR194" s="13"/>
      <c r="AS194" s="614"/>
      <c r="AT194" s="460"/>
      <c r="AU194" s="783"/>
      <c r="AV194" s="460"/>
    </row>
    <row r="195" spans="1:48">
      <c r="A195" s="14"/>
      <c r="B195" s="15"/>
      <c r="C195" s="16"/>
      <c r="D195" s="17"/>
      <c r="E195" s="12"/>
      <c r="F195" s="18"/>
      <c r="G195" s="19"/>
      <c r="H195" s="13"/>
      <c r="I195" s="19"/>
      <c r="J195" s="13"/>
      <c r="K195" s="19"/>
      <c r="L195" s="13"/>
      <c r="M195" s="19"/>
      <c r="N195" s="13"/>
      <c r="O195" s="19"/>
      <c r="P195" s="13"/>
      <c r="Q195" s="19"/>
      <c r="R195" s="13"/>
      <c r="S195" s="19"/>
      <c r="T195" s="13"/>
      <c r="U195" s="19"/>
      <c r="V195" s="13"/>
      <c r="W195" s="19"/>
      <c r="X195" s="13"/>
      <c r="Y195" s="19"/>
      <c r="Z195" s="13"/>
      <c r="AA195" s="19"/>
      <c r="AB195" s="13"/>
      <c r="AC195" s="19"/>
      <c r="AD195" s="13"/>
      <c r="AE195" s="19"/>
      <c r="AF195" s="13"/>
      <c r="AG195" s="19"/>
      <c r="AH195" s="13"/>
      <c r="AI195" s="19"/>
      <c r="AJ195" s="13"/>
      <c r="AK195" s="19"/>
      <c r="AL195" s="13"/>
      <c r="AM195" s="19"/>
      <c r="AN195" s="13"/>
      <c r="AO195" s="19"/>
      <c r="AP195" s="13"/>
      <c r="AQ195" s="19"/>
      <c r="AR195" s="13"/>
      <c r="AS195" s="614"/>
      <c r="AT195" s="460"/>
      <c r="AU195" s="783"/>
      <c r="AV195" s="460"/>
    </row>
    <row r="196" spans="1:48">
      <c r="A196" s="14"/>
      <c r="B196" s="15"/>
      <c r="C196" s="16"/>
      <c r="D196" s="17"/>
      <c r="E196" s="12"/>
      <c r="F196" s="18"/>
      <c r="G196" s="19"/>
      <c r="H196" s="13"/>
      <c r="I196" s="19"/>
      <c r="J196" s="13"/>
      <c r="K196" s="19"/>
      <c r="L196" s="13"/>
      <c r="M196" s="19"/>
      <c r="N196" s="13"/>
      <c r="O196" s="19"/>
      <c r="P196" s="13"/>
      <c r="Q196" s="19"/>
      <c r="R196" s="13"/>
      <c r="S196" s="19"/>
      <c r="T196" s="13"/>
      <c r="U196" s="19"/>
      <c r="V196" s="13"/>
      <c r="W196" s="19"/>
      <c r="X196" s="13"/>
      <c r="Y196" s="19"/>
      <c r="Z196" s="13"/>
      <c r="AA196" s="19"/>
      <c r="AB196" s="13"/>
      <c r="AC196" s="19"/>
      <c r="AD196" s="13"/>
      <c r="AE196" s="19"/>
      <c r="AF196" s="13"/>
      <c r="AG196" s="19"/>
      <c r="AH196" s="13"/>
      <c r="AI196" s="19"/>
      <c r="AJ196" s="13"/>
      <c r="AK196" s="19"/>
      <c r="AL196" s="13"/>
      <c r="AM196" s="19"/>
      <c r="AN196" s="13"/>
      <c r="AO196" s="19"/>
      <c r="AP196" s="13"/>
      <c r="AQ196" s="19"/>
      <c r="AR196" s="13"/>
      <c r="AS196" s="614"/>
      <c r="AT196" s="460"/>
      <c r="AU196" s="783"/>
      <c r="AV196" s="460"/>
    </row>
    <row r="197" spans="1:48">
      <c r="A197" s="14"/>
      <c r="B197" s="15"/>
      <c r="C197" s="16"/>
      <c r="D197" s="17"/>
      <c r="E197" s="12"/>
      <c r="F197" s="18"/>
      <c r="G197" s="19"/>
      <c r="H197" s="13"/>
      <c r="I197" s="19"/>
      <c r="J197" s="13"/>
      <c r="K197" s="19"/>
      <c r="L197" s="13"/>
      <c r="M197" s="19"/>
      <c r="N197" s="13"/>
      <c r="O197" s="19"/>
      <c r="P197" s="13"/>
      <c r="Q197" s="19"/>
      <c r="R197" s="13"/>
      <c r="S197" s="19"/>
      <c r="T197" s="13"/>
      <c r="U197" s="19"/>
      <c r="V197" s="13"/>
      <c r="W197" s="19"/>
      <c r="X197" s="13"/>
      <c r="Y197" s="19"/>
      <c r="Z197" s="13"/>
      <c r="AA197" s="19"/>
      <c r="AB197" s="13"/>
      <c r="AC197" s="19"/>
      <c r="AD197" s="13"/>
      <c r="AE197" s="19"/>
      <c r="AF197" s="13"/>
      <c r="AG197" s="19"/>
      <c r="AH197" s="13"/>
      <c r="AI197" s="19"/>
      <c r="AJ197" s="13"/>
      <c r="AK197" s="19"/>
      <c r="AL197" s="13"/>
      <c r="AM197" s="19"/>
      <c r="AN197" s="13"/>
      <c r="AO197" s="19"/>
      <c r="AP197" s="13"/>
      <c r="AQ197" s="19"/>
      <c r="AR197" s="13"/>
      <c r="AS197" s="614"/>
      <c r="AT197" s="460"/>
      <c r="AU197" s="783"/>
      <c r="AV197" s="460"/>
    </row>
    <row r="198" spans="1:48">
      <c r="A198" s="14"/>
      <c r="B198" s="15"/>
      <c r="C198" s="16"/>
      <c r="D198" s="17"/>
      <c r="E198" s="12"/>
      <c r="F198" s="18"/>
      <c r="G198" s="19"/>
      <c r="H198" s="13"/>
      <c r="I198" s="19"/>
      <c r="J198" s="13"/>
      <c r="K198" s="19"/>
      <c r="L198" s="13"/>
      <c r="M198" s="19"/>
      <c r="N198" s="13"/>
      <c r="O198" s="19"/>
      <c r="P198" s="13"/>
      <c r="Q198" s="19"/>
      <c r="R198" s="13"/>
      <c r="S198" s="19"/>
      <c r="T198" s="13"/>
      <c r="U198" s="19"/>
      <c r="V198" s="13"/>
      <c r="W198" s="19"/>
      <c r="X198" s="13"/>
      <c r="Y198" s="19"/>
      <c r="Z198" s="13"/>
      <c r="AA198" s="19"/>
      <c r="AB198" s="13"/>
      <c r="AC198" s="19"/>
      <c r="AD198" s="13"/>
      <c r="AE198" s="19"/>
      <c r="AF198" s="13"/>
      <c r="AG198" s="19"/>
      <c r="AH198" s="13"/>
      <c r="AI198" s="19"/>
      <c r="AJ198" s="13"/>
      <c r="AK198" s="19"/>
      <c r="AL198" s="13"/>
      <c r="AM198" s="19"/>
      <c r="AN198" s="13"/>
      <c r="AO198" s="19"/>
      <c r="AP198" s="13"/>
      <c r="AQ198" s="19"/>
      <c r="AR198" s="13"/>
      <c r="AS198" s="614"/>
      <c r="AT198" s="460"/>
      <c r="AU198" s="783"/>
      <c r="AV198" s="460"/>
    </row>
    <row r="199" spans="1:48">
      <c r="A199" s="14"/>
      <c r="B199" s="15"/>
      <c r="C199" s="16"/>
      <c r="D199" s="17"/>
      <c r="E199" s="12"/>
      <c r="F199" s="18"/>
      <c r="G199" s="19"/>
      <c r="H199" s="13"/>
      <c r="I199" s="19"/>
      <c r="J199" s="13"/>
      <c r="K199" s="19"/>
      <c r="L199" s="13"/>
      <c r="M199" s="19"/>
      <c r="N199" s="13"/>
      <c r="O199" s="19"/>
      <c r="P199" s="13"/>
      <c r="Q199" s="19"/>
      <c r="R199" s="13"/>
      <c r="S199" s="19"/>
      <c r="T199" s="13"/>
      <c r="U199" s="19"/>
      <c r="V199" s="13"/>
      <c r="W199" s="19"/>
      <c r="X199" s="13"/>
      <c r="Y199" s="19"/>
      <c r="Z199" s="13"/>
      <c r="AA199" s="19"/>
      <c r="AB199" s="13"/>
      <c r="AC199" s="19"/>
      <c r="AD199" s="13"/>
      <c r="AE199" s="19"/>
      <c r="AF199" s="13"/>
      <c r="AG199" s="19"/>
      <c r="AH199" s="13"/>
      <c r="AI199" s="19"/>
      <c r="AJ199" s="13"/>
      <c r="AK199" s="19"/>
      <c r="AL199" s="13"/>
      <c r="AM199" s="19"/>
      <c r="AN199" s="13"/>
      <c r="AO199" s="19"/>
      <c r="AP199" s="13"/>
      <c r="AQ199" s="19"/>
      <c r="AR199" s="13"/>
      <c r="AS199" s="614"/>
      <c r="AT199" s="460"/>
      <c r="AU199" s="783"/>
      <c r="AV199" s="460"/>
    </row>
    <row r="200" spans="1:48">
      <c r="A200" s="14"/>
      <c r="B200" s="15"/>
      <c r="C200" s="16"/>
      <c r="D200" s="17"/>
      <c r="E200" s="12"/>
      <c r="F200" s="18"/>
      <c r="G200" s="19"/>
      <c r="H200" s="13"/>
      <c r="I200" s="19"/>
      <c r="J200" s="13"/>
      <c r="K200" s="19"/>
      <c r="L200" s="13"/>
      <c r="M200" s="19"/>
      <c r="N200" s="13"/>
      <c r="O200" s="19"/>
      <c r="P200" s="13"/>
      <c r="Q200" s="19"/>
      <c r="R200" s="13"/>
      <c r="S200" s="19"/>
      <c r="T200" s="13"/>
      <c r="U200" s="19"/>
      <c r="V200" s="13"/>
      <c r="W200" s="19"/>
      <c r="X200" s="13"/>
      <c r="Y200" s="19"/>
      <c r="Z200" s="13"/>
      <c r="AA200" s="19"/>
      <c r="AB200" s="13"/>
      <c r="AC200" s="19"/>
      <c r="AD200" s="13"/>
      <c r="AE200" s="19"/>
      <c r="AF200" s="13"/>
      <c r="AG200" s="19"/>
      <c r="AH200" s="13"/>
      <c r="AI200" s="19"/>
      <c r="AJ200" s="13"/>
      <c r="AK200" s="19"/>
      <c r="AL200" s="13"/>
      <c r="AM200" s="19"/>
      <c r="AN200" s="13"/>
      <c r="AO200" s="19"/>
      <c r="AP200" s="13"/>
      <c r="AQ200" s="19"/>
      <c r="AR200" s="13"/>
      <c r="AS200" s="614"/>
      <c r="AT200" s="460"/>
      <c r="AU200" s="783"/>
      <c r="AV200" s="460"/>
    </row>
    <row r="201" spans="1:48">
      <c r="A201" s="14"/>
      <c r="B201" s="15"/>
      <c r="C201" s="16"/>
      <c r="D201" s="17"/>
      <c r="E201" s="12"/>
      <c r="F201" s="18"/>
      <c r="G201" s="19"/>
      <c r="H201" s="13"/>
      <c r="I201" s="19"/>
      <c r="J201" s="13"/>
      <c r="K201" s="19"/>
      <c r="L201" s="13"/>
      <c r="M201" s="19"/>
      <c r="N201" s="13"/>
      <c r="O201" s="19"/>
      <c r="P201" s="13"/>
      <c r="Q201" s="19"/>
      <c r="R201" s="13"/>
      <c r="S201" s="19"/>
      <c r="T201" s="13"/>
      <c r="U201" s="19"/>
      <c r="V201" s="13"/>
      <c r="W201" s="19"/>
      <c r="X201" s="13"/>
      <c r="Y201" s="19"/>
      <c r="Z201" s="13"/>
      <c r="AA201" s="19"/>
      <c r="AB201" s="13"/>
      <c r="AC201" s="19"/>
      <c r="AD201" s="13"/>
      <c r="AE201" s="19"/>
      <c r="AF201" s="13"/>
      <c r="AG201" s="19"/>
      <c r="AH201" s="13"/>
      <c r="AI201" s="19"/>
      <c r="AJ201" s="13"/>
      <c r="AK201" s="19"/>
      <c r="AL201" s="13"/>
      <c r="AM201" s="19"/>
      <c r="AN201" s="13"/>
      <c r="AO201" s="19"/>
      <c r="AP201" s="13"/>
      <c r="AQ201" s="19"/>
      <c r="AR201" s="13"/>
      <c r="AS201" s="614"/>
      <c r="AT201" s="460"/>
      <c r="AU201" s="783"/>
      <c r="AV201" s="460"/>
    </row>
    <row r="202" spans="1:48">
      <c r="A202" s="14"/>
      <c r="B202" s="15"/>
      <c r="C202" s="16"/>
      <c r="D202" s="17"/>
      <c r="E202" s="12"/>
      <c r="F202" s="18"/>
      <c r="G202" s="19"/>
      <c r="H202" s="13"/>
      <c r="I202" s="19"/>
      <c r="J202" s="13"/>
      <c r="K202" s="19"/>
      <c r="L202" s="13"/>
      <c r="M202" s="19"/>
      <c r="N202" s="13"/>
      <c r="O202" s="19"/>
      <c r="P202" s="13"/>
      <c r="Q202" s="19"/>
      <c r="R202" s="13"/>
      <c r="S202" s="19"/>
      <c r="T202" s="13"/>
      <c r="U202" s="19"/>
      <c r="V202" s="13"/>
      <c r="W202" s="19"/>
      <c r="X202" s="13"/>
      <c r="Y202" s="19"/>
      <c r="Z202" s="13"/>
      <c r="AA202" s="19"/>
      <c r="AB202" s="13"/>
      <c r="AC202" s="19"/>
      <c r="AD202" s="13"/>
      <c r="AE202" s="19"/>
      <c r="AF202" s="13"/>
      <c r="AG202" s="19"/>
      <c r="AH202" s="13"/>
      <c r="AI202" s="19"/>
      <c r="AJ202" s="13"/>
      <c r="AK202" s="19"/>
      <c r="AL202" s="13"/>
      <c r="AM202" s="19"/>
      <c r="AN202" s="13"/>
      <c r="AO202" s="19"/>
      <c r="AP202" s="13"/>
      <c r="AQ202" s="19"/>
      <c r="AR202" s="13"/>
      <c r="AS202" s="614"/>
      <c r="AT202" s="460"/>
      <c r="AU202" s="783"/>
      <c r="AV202" s="460"/>
    </row>
    <row r="203" spans="1:48">
      <c r="A203" s="14"/>
      <c r="B203" s="15"/>
      <c r="C203" s="16"/>
      <c r="D203" s="17"/>
      <c r="E203" s="12"/>
      <c r="F203" s="18"/>
      <c r="G203" s="19"/>
      <c r="H203" s="13"/>
      <c r="I203" s="19"/>
      <c r="J203" s="13"/>
      <c r="K203" s="19"/>
      <c r="L203" s="13"/>
      <c r="M203" s="19"/>
      <c r="N203" s="13"/>
      <c r="O203" s="19"/>
      <c r="P203" s="13"/>
      <c r="Q203" s="19"/>
      <c r="R203" s="13"/>
      <c r="S203" s="19"/>
      <c r="T203" s="13"/>
      <c r="U203" s="19"/>
      <c r="V203" s="13"/>
      <c r="W203" s="19"/>
      <c r="X203" s="13"/>
      <c r="Y203" s="19"/>
      <c r="Z203" s="13"/>
      <c r="AA203" s="19"/>
      <c r="AB203" s="13"/>
      <c r="AC203" s="19"/>
      <c r="AD203" s="13"/>
      <c r="AE203" s="19"/>
      <c r="AF203" s="13"/>
      <c r="AG203" s="19"/>
      <c r="AH203" s="13"/>
      <c r="AI203" s="19"/>
      <c r="AJ203" s="13"/>
      <c r="AK203" s="19"/>
      <c r="AL203" s="13"/>
      <c r="AM203" s="19"/>
      <c r="AN203" s="13"/>
      <c r="AO203" s="19"/>
      <c r="AP203" s="13"/>
      <c r="AQ203" s="19"/>
      <c r="AR203" s="13"/>
      <c r="AS203" s="614"/>
      <c r="AT203" s="460"/>
      <c r="AU203" s="783"/>
      <c r="AV203" s="460"/>
    </row>
    <row r="204" spans="1:48">
      <c r="A204" s="14"/>
      <c r="B204" s="15"/>
      <c r="C204" s="16"/>
      <c r="D204" s="17"/>
      <c r="E204" s="12"/>
      <c r="F204" s="18"/>
      <c r="G204" s="19"/>
      <c r="H204" s="13"/>
      <c r="I204" s="19"/>
      <c r="J204" s="13"/>
      <c r="K204" s="19"/>
      <c r="L204" s="13"/>
      <c r="M204" s="19"/>
      <c r="N204" s="13"/>
      <c r="O204" s="19"/>
      <c r="P204" s="13"/>
      <c r="Q204" s="19"/>
      <c r="R204" s="13"/>
      <c r="S204" s="19"/>
      <c r="T204" s="13"/>
      <c r="U204" s="19"/>
      <c r="V204" s="13"/>
      <c r="W204" s="19"/>
      <c r="X204" s="13"/>
      <c r="Y204" s="19"/>
      <c r="Z204" s="13"/>
      <c r="AA204" s="19"/>
      <c r="AB204" s="13"/>
      <c r="AC204" s="19"/>
      <c r="AD204" s="13"/>
      <c r="AE204" s="19"/>
      <c r="AF204" s="13"/>
      <c r="AG204" s="19"/>
      <c r="AH204" s="13"/>
      <c r="AI204" s="19"/>
      <c r="AJ204" s="13"/>
      <c r="AK204" s="19"/>
      <c r="AL204" s="13"/>
      <c r="AM204" s="19"/>
      <c r="AN204" s="13"/>
      <c r="AO204" s="19"/>
      <c r="AP204" s="13"/>
      <c r="AQ204" s="19"/>
      <c r="AR204" s="13"/>
      <c r="AS204" s="614"/>
      <c r="AT204" s="460"/>
      <c r="AU204" s="783"/>
      <c r="AV204" s="460"/>
    </row>
    <row r="205" spans="1:48">
      <c r="A205" s="14"/>
      <c r="B205" s="15"/>
      <c r="C205" s="16"/>
      <c r="D205" s="17"/>
      <c r="E205" s="12"/>
      <c r="F205" s="18"/>
      <c r="G205" s="19"/>
      <c r="H205" s="13"/>
      <c r="I205" s="19"/>
      <c r="J205" s="13"/>
      <c r="K205" s="19"/>
      <c r="L205" s="13"/>
      <c r="M205" s="19"/>
      <c r="N205" s="13"/>
      <c r="O205" s="19"/>
      <c r="P205" s="13"/>
      <c r="Q205" s="19"/>
      <c r="R205" s="13"/>
      <c r="S205" s="19"/>
      <c r="T205" s="13"/>
      <c r="U205" s="19"/>
      <c r="V205" s="13"/>
      <c r="W205" s="19"/>
      <c r="X205" s="13"/>
      <c r="Y205" s="19"/>
      <c r="Z205" s="13"/>
      <c r="AA205" s="19"/>
      <c r="AB205" s="13"/>
      <c r="AC205" s="19"/>
      <c r="AD205" s="13"/>
      <c r="AE205" s="19"/>
      <c r="AF205" s="13"/>
      <c r="AG205" s="19"/>
      <c r="AH205" s="13"/>
      <c r="AI205" s="19"/>
      <c r="AJ205" s="13"/>
      <c r="AK205" s="19"/>
      <c r="AL205" s="13"/>
      <c r="AM205" s="19"/>
      <c r="AN205" s="13"/>
      <c r="AO205" s="19"/>
      <c r="AP205" s="13"/>
      <c r="AQ205" s="19"/>
      <c r="AR205" s="13"/>
      <c r="AS205" s="614"/>
      <c r="AT205" s="460"/>
      <c r="AU205" s="783"/>
      <c r="AV205" s="460"/>
    </row>
    <row r="206" spans="1:48">
      <c r="A206" s="14"/>
      <c r="B206" s="15"/>
      <c r="C206" s="16"/>
      <c r="D206" s="17"/>
      <c r="E206" s="12"/>
      <c r="F206" s="18"/>
      <c r="G206" s="19"/>
      <c r="H206" s="13"/>
      <c r="I206" s="19"/>
      <c r="J206" s="13"/>
      <c r="K206" s="19"/>
      <c r="L206" s="13"/>
      <c r="M206" s="19"/>
      <c r="N206" s="13"/>
      <c r="O206" s="19"/>
      <c r="P206" s="13"/>
      <c r="Q206" s="19"/>
      <c r="R206" s="13"/>
      <c r="S206" s="19"/>
      <c r="T206" s="13"/>
      <c r="U206" s="19"/>
      <c r="V206" s="13"/>
      <c r="W206" s="19"/>
      <c r="X206" s="13"/>
      <c r="Y206" s="19"/>
      <c r="Z206" s="13"/>
      <c r="AA206" s="19"/>
      <c r="AB206" s="13"/>
      <c r="AC206" s="19"/>
      <c r="AD206" s="13"/>
      <c r="AE206" s="19"/>
      <c r="AF206" s="13"/>
      <c r="AG206" s="19"/>
      <c r="AH206" s="13"/>
      <c r="AI206" s="19"/>
      <c r="AJ206" s="13"/>
      <c r="AK206" s="19"/>
      <c r="AL206" s="13"/>
      <c r="AM206" s="19"/>
      <c r="AN206" s="13"/>
      <c r="AO206" s="19"/>
      <c r="AP206" s="13"/>
      <c r="AQ206" s="19"/>
      <c r="AR206" s="13"/>
      <c r="AS206" s="614"/>
      <c r="AT206" s="460"/>
      <c r="AU206" s="783"/>
      <c r="AV206" s="460"/>
    </row>
    <row r="207" spans="1:48">
      <c r="A207" s="14"/>
      <c r="B207" s="15"/>
      <c r="C207" s="16"/>
      <c r="D207" s="17"/>
      <c r="E207" s="12"/>
      <c r="F207" s="18"/>
      <c r="G207" s="19"/>
      <c r="H207" s="13"/>
      <c r="I207" s="19"/>
      <c r="J207" s="13"/>
      <c r="K207" s="19"/>
      <c r="L207" s="13"/>
      <c r="M207" s="19"/>
      <c r="N207" s="13"/>
      <c r="O207" s="19"/>
      <c r="P207" s="13"/>
      <c r="Q207" s="19"/>
      <c r="R207" s="13"/>
      <c r="S207" s="19"/>
      <c r="T207" s="13"/>
      <c r="U207" s="19"/>
      <c r="V207" s="13"/>
      <c r="W207" s="19"/>
      <c r="X207" s="13"/>
      <c r="Y207" s="19"/>
      <c r="Z207" s="13"/>
      <c r="AA207" s="19"/>
      <c r="AB207" s="13"/>
      <c r="AC207" s="19"/>
      <c r="AD207" s="13"/>
      <c r="AE207" s="19"/>
      <c r="AF207" s="13"/>
      <c r="AG207" s="19"/>
      <c r="AH207" s="13"/>
      <c r="AI207" s="19"/>
      <c r="AJ207" s="13"/>
      <c r="AK207" s="19"/>
      <c r="AL207" s="13"/>
      <c r="AM207" s="19"/>
      <c r="AN207" s="13"/>
      <c r="AO207" s="19"/>
      <c r="AP207" s="13"/>
      <c r="AQ207" s="19"/>
      <c r="AR207" s="13"/>
      <c r="AS207" s="614"/>
      <c r="AT207" s="460"/>
      <c r="AU207" s="783"/>
      <c r="AV207" s="460"/>
    </row>
    <row r="208" spans="1:48">
      <c r="A208" s="14"/>
      <c r="B208" s="15"/>
      <c r="C208" s="16"/>
      <c r="D208" s="17"/>
      <c r="E208" s="12"/>
      <c r="F208" s="18"/>
      <c r="G208" s="19"/>
      <c r="H208" s="13"/>
      <c r="I208" s="19"/>
      <c r="J208" s="13"/>
      <c r="K208" s="19"/>
      <c r="L208" s="13"/>
      <c r="M208" s="19"/>
      <c r="N208" s="13"/>
      <c r="O208" s="19"/>
      <c r="P208" s="13"/>
      <c r="Q208" s="19"/>
      <c r="R208" s="13"/>
      <c r="S208" s="19"/>
      <c r="T208" s="13"/>
      <c r="U208" s="19"/>
      <c r="V208" s="13"/>
      <c r="W208" s="19"/>
      <c r="X208" s="13"/>
      <c r="Y208" s="19"/>
      <c r="Z208" s="13"/>
      <c r="AA208" s="19"/>
      <c r="AB208" s="13"/>
      <c r="AC208" s="19"/>
      <c r="AD208" s="13"/>
      <c r="AE208" s="19"/>
      <c r="AF208" s="13"/>
      <c r="AG208" s="19"/>
      <c r="AH208" s="13"/>
      <c r="AI208" s="19"/>
      <c r="AJ208" s="13"/>
      <c r="AK208" s="19"/>
      <c r="AL208" s="13"/>
      <c r="AM208" s="19"/>
      <c r="AN208" s="13"/>
      <c r="AO208" s="19"/>
      <c r="AP208" s="13"/>
      <c r="AQ208" s="19"/>
      <c r="AR208" s="13"/>
      <c r="AS208" s="614"/>
      <c r="AT208" s="460"/>
      <c r="AU208" s="783"/>
      <c r="AV208" s="460"/>
    </row>
    <row r="209" spans="1:48">
      <c r="A209" s="14"/>
      <c r="B209" s="15"/>
      <c r="C209" s="16"/>
      <c r="D209" s="17"/>
      <c r="E209" s="12"/>
      <c r="F209" s="18"/>
      <c r="G209" s="19"/>
      <c r="H209" s="13"/>
      <c r="I209" s="19"/>
      <c r="J209" s="13"/>
      <c r="K209" s="19"/>
      <c r="L209" s="13"/>
      <c r="M209" s="19"/>
      <c r="N209" s="13"/>
      <c r="O209" s="19"/>
      <c r="P209" s="13"/>
      <c r="Q209" s="19"/>
      <c r="R209" s="13"/>
      <c r="S209" s="19"/>
      <c r="T209" s="13"/>
      <c r="U209" s="19"/>
      <c r="V209" s="13"/>
      <c r="W209" s="19"/>
      <c r="X209" s="13"/>
      <c r="Y209" s="19"/>
      <c r="Z209" s="13"/>
      <c r="AA209" s="19"/>
      <c r="AB209" s="13"/>
      <c r="AC209" s="19"/>
      <c r="AD209" s="13"/>
      <c r="AE209" s="19"/>
      <c r="AF209" s="13"/>
      <c r="AG209" s="19"/>
      <c r="AH209" s="13"/>
      <c r="AI209" s="19"/>
      <c r="AJ209" s="13"/>
      <c r="AK209" s="19"/>
      <c r="AL209" s="13"/>
      <c r="AM209" s="19"/>
      <c r="AN209" s="13"/>
      <c r="AO209" s="19"/>
      <c r="AP209" s="13"/>
      <c r="AQ209" s="19"/>
      <c r="AR209" s="13"/>
      <c r="AS209" s="614"/>
      <c r="AT209" s="460"/>
      <c r="AU209" s="783"/>
      <c r="AV209" s="460"/>
    </row>
    <row r="210" spans="1:48">
      <c r="A210" s="14"/>
      <c r="B210" s="15"/>
      <c r="C210" s="16"/>
      <c r="D210" s="17"/>
      <c r="E210" s="12"/>
      <c r="F210" s="18"/>
      <c r="G210" s="19"/>
      <c r="H210" s="13"/>
      <c r="I210" s="19"/>
      <c r="J210" s="13"/>
      <c r="K210" s="19"/>
      <c r="L210" s="13"/>
      <c r="M210" s="19"/>
      <c r="N210" s="13"/>
      <c r="O210" s="19"/>
      <c r="P210" s="13"/>
      <c r="Q210" s="19"/>
      <c r="R210" s="13"/>
      <c r="S210" s="19"/>
      <c r="T210" s="13"/>
      <c r="U210" s="19"/>
      <c r="V210" s="13"/>
      <c r="W210" s="19"/>
      <c r="X210" s="13"/>
      <c r="Y210" s="19"/>
      <c r="Z210" s="13"/>
      <c r="AA210" s="19"/>
      <c r="AB210" s="13"/>
      <c r="AC210" s="19"/>
      <c r="AD210" s="13"/>
      <c r="AE210" s="19"/>
      <c r="AF210" s="13"/>
      <c r="AG210" s="19"/>
      <c r="AH210" s="13"/>
      <c r="AI210" s="19"/>
      <c r="AJ210" s="13"/>
      <c r="AK210" s="19"/>
      <c r="AL210" s="13"/>
      <c r="AM210" s="19"/>
      <c r="AN210" s="13"/>
      <c r="AO210" s="19"/>
      <c r="AP210" s="13"/>
      <c r="AQ210" s="19"/>
      <c r="AR210" s="13"/>
      <c r="AS210" s="614"/>
      <c r="AT210" s="460"/>
      <c r="AU210" s="783"/>
      <c r="AV210" s="460"/>
    </row>
    <row r="211" spans="1:48">
      <c r="A211" s="14"/>
      <c r="B211" s="15"/>
      <c r="C211" s="16"/>
      <c r="D211" s="17"/>
      <c r="E211" s="12"/>
      <c r="F211" s="18"/>
      <c r="G211" s="19"/>
      <c r="H211" s="13"/>
      <c r="I211" s="19"/>
      <c r="J211" s="13"/>
      <c r="K211" s="19"/>
      <c r="L211" s="13"/>
      <c r="M211" s="19"/>
      <c r="N211" s="13"/>
      <c r="O211" s="19"/>
      <c r="P211" s="13"/>
      <c r="Q211" s="19"/>
      <c r="R211" s="13"/>
      <c r="S211" s="19"/>
      <c r="T211" s="13"/>
      <c r="U211" s="19"/>
      <c r="V211" s="13"/>
      <c r="W211" s="19"/>
      <c r="X211" s="13"/>
      <c r="Y211" s="19"/>
      <c r="Z211" s="13"/>
      <c r="AA211" s="19"/>
      <c r="AB211" s="13"/>
      <c r="AC211" s="19"/>
      <c r="AD211" s="13"/>
      <c r="AE211" s="19"/>
      <c r="AF211" s="13"/>
      <c r="AG211" s="19"/>
      <c r="AH211" s="13"/>
      <c r="AI211" s="19"/>
      <c r="AJ211" s="13"/>
      <c r="AK211" s="19"/>
      <c r="AL211" s="13"/>
      <c r="AM211" s="19"/>
      <c r="AN211" s="13"/>
      <c r="AO211" s="19"/>
      <c r="AP211" s="13"/>
      <c r="AQ211" s="19"/>
      <c r="AR211" s="13"/>
      <c r="AS211" s="614"/>
      <c r="AT211" s="460"/>
      <c r="AU211" s="783"/>
      <c r="AV211" s="460"/>
    </row>
    <row r="212" spans="1:48">
      <c r="A212" s="14"/>
      <c r="B212" s="15"/>
      <c r="C212" s="16"/>
      <c r="D212" s="17"/>
      <c r="E212" s="12"/>
      <c r="F212" s="18"/>
      <c r="G212" s="19"/>
      <c r="H212" s="13"/>
      <c r="I212" s="19"/>
      <c r="J212" s="13"/>
      <c r="K212" s="19"/>
      <c r="L212" s="13"/>
      <c r="M212" s="19"/>
      <c r="N212" s="13"/>
      <c r="O212" s="19"/>
      <c r="P212" s="13"/>
      <c r="Q212" s="19"/>
      <c r="R212" s="13"/>
      <c r="S212" s="19"/>
      <c r="T212" s="13"/>
      <c r="U212" s="19"/>
      <c r="V212" s="13"/>
      <c r="W212" s="19"/>
      <c r="X212" s="13"/>
      <c r="Y212" s="19"/>
      <c r="Z212" s="13"/>
      <c r="AA212" s="19"/>
      <c r="AB212" s="13"/>
      <c r="AC212" s="19"/>
      <c r="AD212" s="13"/>
      <c r="AE212" s="19"/>
      <c r="AF212" s="13"/>
      <c r="AG212" s="19"/>
      <c r="AH212" s="13"/>
      <c r="AI212" s="19"/>
      <c r="AJ212" s="13"/>
      <c r="AK212" s="19"/>
      <c r="AL212" s="13"/>
      <c r="AM212" s="19"/>
      <c r="AN212" s="13"/>
      <c r="AO212" s="19"/>
      <c r="AP212" s="13"/>
      <c r="AQ212" s="19"/>
      <c r="AR212" s="13"/>
      <c r="AS212" s="614"/>
      <c r="AT212" s="460"/>
      <c r="AU212" s="783"/>
      <c r="AV212" s="460"/>
    </row>
    <row r="213" spans="1:48">
      <c r="A213" s="14"/>
      <c r="B213" s="15"/>
      <c r="C213" s="16"/>
      <c r="D213" s="17"/>
      <c r="E213" s="12"/>
      <c r="F213" s="18"/>
      <c r="G213" s="19"/>
      <c r="H213" s="13"/>
      <c r="I213" s="19"/>
      <c r="J213" s="13"/>
      <c r="K213" s="19"/>
      <c r="L213" s="13"/>
      <c r="M213" s="19"/>
      <c r="N213" s="13"/>
      <c r="O213" s="19"/>
      <c r="P213" s="13"/>
      <c r="Q213" s="19"/>
      <c r="R213" s="13"/>
      <c r="S213" s="19"/>
      <c r="T213" s="13"/>
      <c r="U213" s="19"/>
      <c r="V213" s="13"/>
      <c r="W213" s="19"/>
      <c r="X213" s="13"/>
      <c r="Y213" s="19"/>
      <c r="Z213" s="13"/>
      <c r="AA213" s="19"/>
      <c r="AB213" s="13"/>
      <c r="AC213" s="19"/>
      <c r="AD213" s="13"/>
      <c r="AE213" s="19"/>
      <c r="AF213" s="13"/>
      <c r="AG213" s="19"/>
      <c r="AH213" s="13"/>
      <c r="AI213" s="19"/>
      <c r="AJ213" s="13"/>
      <c r="AK213" s="19"/>
      <c r="AL213" s="13"/>
      <c r="AM213" s="19"/>
      <c r="AN213" s="13"/>
      <c r="AO213" s="19"/>
      <c r="AP213" s="13"/>
      <c r="AQ213" s="19"/>
      <c r="AR213" s="13"/>
      <c r="AS213" s="614"/>
      <c r="AT213" s="460"/>
      <c r="AU213" s="783"/>
      <c r="AV213" s="460"/>
    </row>
    <row r="214" spans="1:48">
      <c r="A214" s="14"/>
      <c r="B214" s="15"/>
      <c r="C214" s="16"/>
      <c r="D214" s="17"/>
      <c r="E214" s="12"/>
      <c r="F214" s="18"/>
      <c r="G214" s="19"/>
      <c r="H214" s="13"/>
      <c r="I214" s="19"/>
      <c r="J214" s="13"/>
      <c r="K214" s="19"/>
      <c r="L214" s="13"/>
      <c r="M214" s="19"/>
      <c r="N214" s="13"/>
      <c r="O214" s="19"/>
      <c r="P214" s="13"/>
      <c r="Q214" s="19"/>
      <c r="R214" s="13"/>
      <c r="S214" s="19"/>
      <c r="T214" s="13"/>
      <c r="U214" s="19"/>
      <c r="V214" s="13"/>
      <c r="W214" s="19"/>
      <c r="X214" s="13"/>
      <c r="Y214" s="19"/>
      <c r="Z214" s="13"/>
      <c r="AA214" s="19"/>
      <c r="AB214" s="13"/>
      <c r="AC214" s="19"/>
      <c r="AD214" s="13"/>
      <c r="AE214" s="19"/>
      <c r="AF214" s="13"/>
      <c r="AG214" s="19"/>
      <c r="AH214" s="13"/>
      <c r="AI214" s="19"/>
      <c r="AJ214" s="13"/>
      <c r="AK214" s="19"/>
      <c r="AL214" s="13"/>
      <c r="AM214" s="19"/>
      <c r="AN214" s="13"/>
      <c r="AO214" s="19"/>
      <c r="AP214" s="13"/>
      <c r="AQ214" s="19"/>
      <c r="AR214" s="13"/>
      <c r="AS214" s="614"/>
      <c r="AT214" s="460"/>
      <c r="AU214" s="783"/>
      <c r="AV214" s="460"/>
    </row>
    <row r="215" spans="1:48">
      <c r="A215" s="14"/>
      <c r="B215" s="15"/>
      <c r="C215" s="16"/>
      <c r="D215" s="17"/>
      <c r="E215" s="12"/>
      <c r="F215" s="18"/>
      <c r="G215" s="19"/>
      <c r="H215" s="13"/>
      <c r="I215" s="19"/>
      <c r="J215" s="13"/>
      <c r="K215" s="19"/>
      <c r="L215" s="13"/>
      <c r="M215" s="19"/>
      <c r="N215" s="13"/>
      <c r="O215" s="19"/>
      <c r="P215" s="13"/>
      <c r="Q215" s="19"/>
      <c r="R215" s="13"/>
      <c r="S215" s="19"/>
      <c r="T215" s="13"/>
      <c r="U215" s="19"/>
      <c r="V215" s="13"/>
      <c r="W215" s="19"/>
      <c r="X215" s="13"/>
      <c r="Y215" s="19"/>
      <c r="Z215" s="13"/>
      <c r="AA215" s="19"/>
      <c r="AB215" s="13"/>
      <c r="AC215" s="19"/>
      <c r="AD215" s="13"/>
      <c r="AE215" s="19"/>
      <c r="AF215" s="13"/>
      <c r="AG215" s="19"/>
      <c r="AH215" s="13"/>
      <c r="AI215" s="19"/>
      <c r="AJ215" s="13"/>
      <c r="AK215" s="19"/>
      <c r="AL215" s="13"/>
      <c r="AM215" s="19"/>
      <c r="AN215" s="13"/>
      <c r="AO215" s="19"/>
      <c r="AP215" s="13"/>
      <c r="AQ215" s="19"/>
      <c r="AR215" s="13"/>
      <c r="AS215" s="614"/>
      <c r="AT215" s="460"/>
      <c r="AU215" s="783"/>
      <c r="AV215" s="460"/>
    </row>
    <row r="216" spans="1:48">
      <c r="A216" s="14"/>
      <c r="B216" s="15"/>
      <c r="C216" s="16"/>
      <c r="D216" s="17"/>
      <c r="E216" s="12"/>
      <c r="F216" s="18"/>
      <c r="G216" s="19"/>
      <c r="H216" s="13"/>
      <c r="I216" s="19"/>
      <c r="J216" s="13"/>
      <c r="K216" s="19"/>
      <c r="L216" s="13"/>
      <c r="M216" s="19"/>
      <c r="N216" s="13"/>
      <c r="O216" s="19"/>
      <c r="P216" s="13"/>
      <c r="Q216" s="19"/>
      <c r="R216" s="13"/>
      <c r="S216" s="19"/>
      <c r="T216" s="13"/>
      <c r="U216" s="19"/>
      <c r="V216" s="13"/>
      <c r="W216" s="19"/>
      <c r="X216" s="13"/>
      <c r="Y216" s="19"/>
      <c r="Z216" s="13"/>
      <c r="AA216" s="19"/>
      <c r="AB216" s="13"/>
      <c r="AC216" s="19"/>
      <c r="AD216" s="13"/>
      <c r="AE216" s="19"/>
      <c r="AF216" s="13"/>
      <c r="AG216" s="19"/>
      <c r="AH216" s="13"/>
      <c r="AI216" s="19"/>
      <c r="AJ216" s="13"/>
      <c r="AK216" s="19"/>
      <c r="AL216" s="13"/>
      <c r="AM216" s="19"/>
      <c r="AN216" s="13"/>
      <c r="AO216" s="19"/>
      <c r="AP216" s="13"/>
      <c r="AQ216" s="19"/>
      <c r="AR216" s="13"/>
      <c r="AS216" s="614"/>
      <c r="AT216" s="460"/>
      <c r="AU216" s="783"/>
      <c r="AV216" s="460"/>
    </row>
    <row r="217" spans="1:48">
      <c r="A217" s="14"/>
      <c r="B217" s="15"/>
      <c r="C217" s="16"/>
      <c r="D217" s="17"/>
      <c r="E217" s="12"/>
      <c r="F217" s="18"/>
      <c r="G217" s="19"/>
      <c r="H217" s="13"/>
      <c r="I217" s="19"/>
      <c r="J217" s="13"/>
      <c r="K217" s="19"/>
      <c r="L217" s="13"/>
      <c r="M217" s="19"/>
      <c r="N217" s="13"/>
      <c r="O217" s="19"/>
      <c r="P217" s="13"/>
      <c r="Q217" s="19"/>
      <c r="R217" s="13"/>
      <c r="S217" s="19"/>
      <c r="T217" s="13"/>
      <c r="U217" s="19"/>
      <c r="V217" s="13"/>
      <c r="W217" s="19"/>
      <c r="X217" s="13"/>
      <c r="Y217" s="19"/>
      <c r="Z217" s="13"/>
      <c r="AA217" s="19"/>
      <c r="AB217" s="13"/>
      <c r="AC217" s="19"/>
      <c r="AD217" s="13"/>
      <c r="AE217" s="19"/>
      <c r="AF217" s="13"/>
      <c r="AG217" s="19"/>
      <c r="AH217" s="13"/>
      <c r="AI217" s="19"/>
      <c r="AJ217" s="13"/>
      <c r="AK217" s="19"/>
      <c r="AL217" s="13"/>
      <c r="AM217" s="19"/>
      <c r="AN217" s="13"/>
      <c r="AO217" s="19"/>
      <c r="AP217" s="13"/>
      <c r="AQ217" s="19"/>
      <c r="AR217" s="13"/>
      <c r="AS217" s="614"/>
      <c r="AT217" s="460"/>
      <c r="AU217" s="783"/>
      <c r="AV217" s="460"/>
    </row>
    <row r="218" spans="1:48">
      <c r="A218" s="14"/>
      <c r="B218" s="15"/>
      <c r="C218" s="16"/>
      <c r="D218" s="17"/>
      <c r="E218" s="12"/>
      <c r="F218" s="18"/>
      <c r="G218" s="19"/>
      <c r="H218" s="13"/>
      <c r="I218" s="19"/>
      <c r="J218" s="13"/>
      <c r="K218" s="19"/>
      <c r="L218" s="13"/>
      <c r="M218" s="19"/>
      <c r="N218" s="13"/>
      <c r="O218" s="19"/>
      <c r="P218" s="13"/>
      <c r="Q218" s="19"/>
      <c r="R218" s="13"/>
      <c r="S218" s="19"/>
      <c r="T218" s="13"/>
      <c r="U218" s="19"/>
      <c r="V218" s="13"/>
      <c r="W218" s="19"/>
      <c r="X218" s="13"/>
      <c r="Y218" s="19"/>
      <c r="Z218" s="13"/>
      <c r="AA218" s="19"/>
      <c r="AB218" s="13"/>
      <c r="AC218" s="19"/>
      <c r="AD218" s="13"/>
      <c r="AE218" s="19"/>
      <c r="AF218" s="13"/>
      <c r="AG218" s="19"/>
      <c r="AH218" s="13"/>
      <c r="AI218" s="19"/>
      <c r="AJ218" s="13"/>
      <c r="AK218" s="19"/>
      <c r="AL218" s="13"/>
      <c r="AM218" s="19"/>
      <c r="AN218" s="13"/>
      <c r="AO218" s="19"/>
      <c r="AP218" s="13"/>
      <c r="AQ218" s="19"/>
      <c r="AR218" s="13"/>
      <c r="AS218" s="614"/>
      <c r="AT218" s="460"/>
      <c r="AU218" s="783"/>
      <c r="AV218" s="460"/>
    </row>
    <row r="219" spans="1:48">
      <c r="A219" s="14"/>
      <c r="B219" s="15"/>
      <c r="C219" s="16"/>
      <c r="D219" s="17"/>
      <c r="E219" s="12"/>
      <c r="F219" s="18"/>
      <c r="G219" s="19"/>
      <c r="H219" s="13"/>
      <c r="I219" s="19"/>
      <c r="J219" s="13"/>
      <c r="K219" s="19"/>
      <c r="L219" s="13"/>
      <c r="M219" s="19"/>
      <c r="N219" s="13"/>
      <c r="O219" s="19"/>
      <c r="P219" s="13"/>
      <c r="Q219" s="19"/>
      <c r="R219" s="13"/>
      <c r="S219" s="19"/>
      <c r="T219" s="13"/>
      <c r="U219" s="19"/>
      <c r="V219" s="13"/>
      <c r="W219" s="19"/>
      <c r="X219" s="13"/>
      <c r="Y219" s="19"/>
      <c r="Z219" s="13"/>
      <c r="AA219" s="19"/>
      <c r="AB219" s="13"/>
      <c r="AC219" s="19"/>
      <c r="AD219" s="13"/>
      <c r="AE219" s="19"/>
      <c r="AF219" s="13"/>
      <c r="AG219" s="19"/>
      <c r="AH219" s="13"/>
      <c r="AI219" s="19"/>
      <c r="AJ219" s="13"/>
      <c r="AK219" s="19"/>
      <c r="AL219" s="13"/>
      <c r="AM219" s="19"/>
      <c r="AN219" s="13"/>
      <c r="AO219" s="19"/>
      <c r="AP219" s="13"/>
      <c r="AQ219" s="19"/>
      <c r="AR219" s="13"/>
      <c r="AS219" s="614"/>
      <c r="AT219" s="460"/>
      <c r="AU219" s="783"/>
      <c r="AV219" s="460"/>
    </row>
    <row r="220" spans="1:48">
      <c r="A220" s="14"/>
      <c r="B220" s="15"/>
      <c r="C220" s="16"/>
      <c r="D220" s="17"/>
      <c r="E220" s="12"/>
      <c r="F220" s="18"/>
      <c r="G220" s="19"/>
      <c r="H220" s="13"/>
      <c r="I220" s="19"/>
      <c r="J220" s="13"/>
      <c r="K220" s="19"/>
      <c r="L220" s="13"/>
      <c r="M220" s="19"/>
      <c r="N220" s="13"/>
      <c r="O220" s="19"/>
      <c r="P220" s="13"/>
      <c r="Q220" s="19"/>
      <c r="R220" s="13"/>
      <c r="S220" s="19"/>
      <c r="T220" s="13"/>
      <c r="U220" s="19"/>
      <c r="V220" s="13"/>
      <c r="W220" s="19"/>
      <c r="X220" s="13"/>
      <c r="Y220" s="19"/>
      <c r="Z220" s="13"/>
      <c r="AA220" s="19"/>
      <c r="AB220" s="13"/>
      <c r="AC220" s="19"/>
      <c r="AD220" s="13"/>
      <c r="AE220" s="19"/>
      <c r="AF220" s="13"/>
      <c r="AG220" s="19"/>
      <c r="AH220" s="13"/>
      <c r="AI220" s="19"/>
      <c r="AJ220" s="13"/>
      <c r="AK220" s="19"/>
      <c r="AL220" s="13"/>
      <c r="AM220" s="19"/>
      <c r="AN220" s="13"/>
      <c r="AO220" s="19"/>
      <c r="AP220" s="13"/>
      <c r="AQ220" s="19"/>
      <c r="AR220" s="13"/>
      <c r="AS220" s="614"/>
      <c r="AT220" s="460"/>
      <c r="AU220" s="783"/>
      <c r="AV220" s="460"/>
    </row>
    <row r="221" spans="1:48">
      <c r="A221" s="14"/>
      <c r="B221" s="15"/>
      <c r="C221" s="16"/>
      <c r="D221" s="17"/>
      <c r="E221" s="12"/>
      <c r="F221" s="18"/>
      <c r="G221" s="19"/>
      <c r="H221" s="13"/>
      <c r="I221" s="19"/>
      <c r="J221" s="13"/>
      <c r="K221" s="19"/>
      <c r="L221" s="13"/>
      <c r="M221" s="19"/>
      <c r="N221" s="13"/>
      <c r="O221" s="19"/>
      <c r="P221" s="13"/>
      <c r="Q221" s="19"/>
      <c r="R221" s="13"/>
      <c r="S221" s="19"/>
      <c r="T221" s="13"/>
      <c r="U221" s="19"/>
      <c r="V221" s="13"/>
      <c r="W221" s="19"/>
      <c r="X221" s="13"/>
      <c r="Y221" s="19"/>
      <c r="Z221" s="13"/>
      <c r="AA221" s="19"/>
      <c r="AB221" s="13"/>
      <c r="AC221" s="19"/>
      <c r="AD221" s="13"/>
      <c r="AE221" s="19"/>
      <c r="AF221" s="13"/>
      <c r="AG221" s="19"/>
      <c r="AH221" s="13"/>
      <c r="AI221" s="19"/>
      <c r="AJ221" s="13"/>
      <c r="AK221" s="19"/>
      <c r="AL221" s="13"/>
      <c r="AM221" s="19"/>
      <c r="AN221" s="13"/>
      <c r="AO221" s="19"/>
      <c r="AP221" s="13"/>
      <c r="AQ221" s="19"/>
      <c r="AR221" s="13"/>
      <c r="AS221" s="614"/>
      <c r="AT221" s="460"/>
      <c r="AU221" s="783"/>
      <c r="AV221" s="460"/>
    </row>
    <row r="222" spans="1:48">
      <c r="A222" s="14"/>
      <c r="B222" s="15"/>
      <c r="C222" s="16"/>
      <c r="D222" s="17"/>
      <c r="E222" s="12"/>
      <c r="F222" s="18"/>
      <c r="G222" s="19"/>
      <c r="H222" s="13"/>
      <c r="I222" s="19"/>
      <c r="J222" s="13"/>
      <c r="K222" s="19"/>
      <c r="L222" s="13"/>
      <c r="M222" s="19"/>
      <c r="N222" s="13"/>
      <c r="O222" s="19"/>
      <c r="P222" s="13"/>
      <c r="Q222" s="19"/>
      <c r="R222" s="13"/>
      <c r="S222" s="19"/>
      <c r="T222" s="13"/>
      <c r="U222" s="19"/>
      <c r="V222" s="13"/>
      <c r="W222" s="19"/>
      <c r="X222" s="13"/>
      <c r="Y222" s="19"/>
      <c r="Z222" s="13"/>
      <c r="AA222" s="19"/>
      <c r="AB222" s="13"/>
      <c r="AC222" s="19"/>
      <c r="AD222" s="13"/>
      <c r="AE222" s="19"/>
      <c r="AF222" s="13"/>
      <c r="AG222" s="19"/>
      <c r="AH222" s="13"/>
      <c r="AI222" s="19"/>
      <c r="AJ222" s="13"/>
      <c r="AK222" s="19"/>
      <c r="AL222" s="13"/>
      <c r="AM222" s="19"/>
      <c r="AN222" s="13"/>
      <c r="AO222" s="19"/>
      <c r="AP222" s="13"/>
      <c r="AQ222" s="19"/>
      <c r="AR222" s="13"/>
      <c r="AS222" s="614"/>
      <c r="AT222" s="460"/>
      <c r="AU222" s="783"/>
      <c r="AV222" s="460"/>
    </row>
    <row r="223" spans="1:48">
      <c r="A223" s="14"/>
      <c r="B223" s="15"/>
      <c r="C223" s="16"/>
      <c r="D223" s="17"/>
      <c r="E223" s="12"/>
      <c r="F223" s="18"/>
      <c r="G223" s="19"/>
      <c r="H223" s="13"/>
      <c r="I223" s="19"/>
      <c r="J223" s="13"/>
      <c r="K223" s="19"/>
      <c r="L223" s="13"/>
      <c r="M223" s="19"/>
      <c r="N223" s="13"/>
      <c r="O223" s="19"/>
      <c r="P223" s="13"/>
      <c r="Q223" s="19"/>
      <c r="R223" s="13"/>
      <c r="S223" s="19"/>
      <c r="T223" s="13"/>
      <c r="U223" s="19"/>
      <c r="V223" s="13"/>
      <c r="W223" s="19"/>
      <c r="X223" s="13"/>
      <c r="Y223" s="19"/>
      <c r="Z223" s="13"/>
      <c r="AA223" s="19"/>
      <c r="AB223" s="13"/>
      <c r="AC223" s="19"/>
      <c r="AD223" s="13"/>
      <c r="AE223" s="19"/>
      <c r="AF223" s="13"/>
      <c r="AG223" s="19"/>
      <c r="AH223" s="13"/>
      <c r="AI223" s="19"/>
      <c r="AJ223" s="13"/>
      <c r="AK223" s="19"/>
      <c r="AL223" s="13"/>
      <c r="AM223" s="19"/>
      <c r="AN223" s="13"/>
      <c r="AO223" s="19"/>
      <c r="AP223" s="13"/>
      <c r="AQ223" s="19"/>
      <c r="AR223" s="13"/>
      <c r="AS223" s="614"/>
      <c r="AT223" s="460"/>
      <c r="AU223" s="783"/>
      <c r="AV223" s="460"/>
    </row>
    <row r="224" spans="1:48">
      <c r="A224" s="14"/>
      <c r="B224" s="15"/>
      <c r="C224" s="16"/>
      <c r="D224" s="17"/>
      <c r="E224" s="12"/>
      <c r="F224" s="18"/>
      <c r="G224" s="19"/>
      <c r="H224" s="13"/>
      <c r="I224" s="19"/>
      <c r="J224" s="13"/>
      <c r="K224" s="19"/>
      <c r="L224" s="13"/>
      <c r="M224" s="19"/>
      <c r="N224" s="13"/>
      <c r="O224" s="19"/>
      <c r="P224" s="13"/>
      <c r="Q224" s="19"/>
      <c r="R224" s="13"/>
      <c r="S224" s="19"/>
      <c r="T224" s="13"/>
      <c r="U224" s="19"/>
      <c r="V224" s="13"/>
      <c r="W224" s="19"/>
      <c r="X224" s="13"/>
      <c r="Y224" s="19"/>
      <c r="Z224" s="13"/>
      <c r="AA224" s="19"/>
      <c r="AB224" s="13"/>
      <c r="AC224" s="19"/>
      <c r="AD224" s="13"/>
      <c r="AE224" s="19"/>
      <c r="AF224" s="13"/>
      <c r="AG224" s="19"/>
      <c r="AH224" s="13"/>
      <c r="AI224" s="19"/>
      <c r="AJ224" s="13"/>
      <c r="AK224" s="19"/>
      <c r="AL224" s="13"/>
      <c r="AM224" s="19"/>
      <c r="AN224" s="13"/>
      <c r="AO224" s="19"/>
      <c r="AP224" s="13"/>
      <c r="AQ224" s="19"/>
      <c r="AR224" s="13"/>
      <c r="AS224" s="614"/>
      <c r="AT224" s="460"/>
      <c r="AU224" s="783"/>
      <c r="AV224" s="460"/>
    </row>
    <row r="225" spans="1:48">
      <c r="A225" s="14"/>
      <c r="B225" s="15"/>
      <c r="C225" s="16"/>
      <c r="D225" s="17"/>
      <c r="E225" s="12"/>
      <c r="F225" s="18"/>
      <c r="G225" s="19"/>
      <c r="H225" s="13"/>
      <c r="I225" s="19"/>
      <c r="J225" s="13"/>
      <c r="K225" s="19"/>
      <c r="L225" s="13"/>
      <c r="M225" s="19"/>
      <c r="N225" s="13"/>
      <c r="O225" s="19"/>
      <c r="P225" s="13"/>
      <c r="Q225" s="19"/>
      <c r="R225" s="13"/>
      <c r="S225" s="19"/>
      <c r="T225" s="13"/>
      <c r="U225" s="19"/>
      <c r="V225" s="13"/>
      <c r="W225" s="19"/>
      <c r="X225" s="13"/>
      <c r="Y225" s="19"/>
      <c r="Z225" s="13"/>
      <c r="AA225" s="19"/>
      <c r="AB225" s="13"/>
      <c r="AC225" s="19"/>
      <c r="AD225" s="13"/>
      <c r="AE225" s="19"/>
      <c r="AF225" s="13"/>
      <c r="AG225" s="19"/>
      <c r="AH225" s="13"/>
      <c r="AI225" s="19"/>
      <c r="AJ225" s="13"/>
      <c r="AK225" s="19"/>
      <c r="AL225" s="13"/>
      <c r="AM225" s="19"/>
      <c r="AN225" s="13"/>
      <c r="AO225" s="19"/>
      <c r="AP225" s="13"/>
      <c r="AQ225" s="19"/>
      <c r="AR225" s="13"/>
      <c r="AS225" s="614"/>
      <c r="AT225" s="460"/>
      <c r="AU225" s="783"/>
      <c r="AV225" s="460"/>
    </row>
    <row r="226" spans="1:48">
      <c r="A226" s="14"/>
      <c r="B226" s="15"/>
      <c r="C226" s="16"/>
      <c r="D226" s="17"/>
      <c r="E226" s="12"/>
      <c r="F226" s="18"/>
      <c r="G226" s="19"/>
      <c r="H226" s="13"/>
      <c r="I226" s="19"/>
      <c r="J226" s="13"/>
      <c r="K226" s="19"/>
      <c r="L226" s="13"/>
      <c r="M226" s="19"/>
      <c r="N226" s="13"/>
      <c r="O226" s="19"/>
      <c r="P226" s="13"/>
      <c r="Q226" s="19"/>
      <c r="R226" s="13"/>
      <c r="S226" s="19"/>
      <c r="T226" s="13"/>
      <c r="U226" s="19"/>
      <c r="V226" s="13"/>
      <c r="W226" s="19"/>
      <c r="X226" s="13"/>
      <c r="Y226" s="19"/>
      <c r="Z226" s="13"/>
      <c r="AA226" s="19"/>
      <c r="AB226" s="13"/>
      <c r="AC226" s="19"/>
      <c r="AD226" s="13"/>
      <c r="AE226" s="19"/>
      <c r="AF226" s="13"/>
      <c r="AG226" s="19"/>
      <c r="AH226" s="13"/>
      <c r="AI226" s="19"/>
      <c r="AJ226" s="13"/>
      <c r="AK226" s="19"/>
      <c r="AL226" s="13"/>
      <c r="AM226" s="19"/>
      <c r="AN226" s="13"/>
      <c r="AO226" s="19"/>
      <c r="AP226" s="13"/>
      <c r="AQ226" s="19"/>
      <c r="AR226" s="13"/>
      <c r="AS226" s="614"/>
      <c r="AT226" s="460"/>
      <c r="AU226" s="783"/>
      <c r="AV226" s="460"/>
    </row>
    <row r="227" spans="1:48">
      <c r="A227" s="14"/>
      <c r="B227" s="15"/>
      <c r="C227" s="16"/>
      <c r="D227" s="17"/>
      <c r="E227" s="12"/>
      <c r="F227" s="18"/>
      <c r="G227" s="19"/>
      <c r="H227" s="13"/>
      <c r="I227" s="19"/>
      <c r="J227" s="13"/>
      <c r="K227" s="19"/>
      <c r="L227" s="13"/>
      <c r="M227" s="19"/>
      <c r="N227" s="13"/>
      <c r="O227" s="19"/>
      <c r="P227" s="13"/>
      <c r="Q227" s="19"/>
      <c r="R227" s="13"/>
      <c r="S227" s="19"/>
      <c r="T227" s="13"/>
      <c r="U227" s="19"/>
      <c r="V227" s="13"/>
      <c r="W227" s="19"/>
      <c r="X227" s="13"/>
      <c r="Y227" s="19"/>
      <c r="Z227" s="13"/>
      <c r="AA227" s="19"/>
      <c r="AB227" s="13"/>
      <c r="AC227" s="19"/>
      <c r="AD227" s="13"/>
      <c r="AE227" s="19"/>
      <c r="AF227" s="13"/>
      <c r="AG227" s="19"/>
      <c r="AH227" s="13"/>
      <c r="AI227" s="19"/>
      <c r="AJ227" s="13"/>
      <c r="AK227" s="19"/>
      <c r="AL227" s="13"/>
      <c r="AM227" s="19"/>
      <c r="AN227" s="13"/>
      <c r="AO227" s="19"/>
      <c r="AP227" s="13"/>
      <c r="AQ227" s="19"/>
      <c r="AR227" s="13"/>
      <c r="AS227" s="614"/>
      <c r="AT227" s="460"/>
      <c r="AU227" s="783"/>
      <c r="AV227" s="460"/>
    </row>
    <row r="228" spans="1:48">
      <c r="A228" s="14"/>
      <c r="B228" s="15"/>
      <c r="C228" s="16"/>
      <c r="D228" s="17"/>
      <c r="E228" s="12"/>
      <c r="F228" s="18"/>
      <c r="G228" s="19"/>
      <c r="H228" s="13"/>
      <c r="I228" s="19"/>
      <c r="J228" s="13"/>
      <c r="K228" s="19"/>
      <c r="L228" s="13"/>
      <c r="M228" s="19"/>
      <c r="N228" s="13"/>
      <c r="O228" s="19"/>
      <c r="P228" s="13"/>
      <c r="Q228" s="19"/>
      <c r="R228" s="13"/>
      <c r="S228" s="19"/>
      <c r="T228" s="13"/>
      <c r="U228" s="19"/>
      <c r="V228" s="13"/>
      <c r="W228" s="19"/>
      <c r="X228" s="13"/>
      <c r="Y228" s="19"/>
      <c r="Z228" s="13"/>
      <c r="AA228" s="19"/>
      <c r="AB228" s="13"/>
      <c r="AC228" s="19"/>
      <c r="AD228" s="13"/>
      <c r="AE228" s="19"/>
      <c r="AF228" s="13"/>
      <c r="AG228" s="19"/>
      <c r="AH228" s="13"/>
      <c r="AI228" s="19"/>
      <c r="AJ228" s="13"/>
      <c r="AK228" s="19"/>
      <c r="AL228" s="13"/>
      <c r="AM228" s="19"/>
      <c r="AN228" s="13"/>
      <c r="AO228" s="19"/>
      <c r="AP228" s="13"/>
      <c r="AQ228" s="19"/>
      <c r="AR228" s="13"/>
      <c r="AS228" s="614"/>
      <c r="AT228" s="460"/>
      <c r="AU228" s="783"/>
      <c r="AV228" s="460"/>
    </row>
    <row r="229" spans="1:48">
      <c r="A229" s="14"/>
      <c r="B229" s="15"/>
      <c r="C229" s="16"/>
      <c r="D229" s="17"/>
      <c r="E229" s="12"/>
      <c r="F229" s="18"/>
      <c r="G229" s="19"/>
      <c r="H229" s="13"/>
      <c r="I229" s="19"/>
      <c r="J229" s="13"/>
      <c r="K229" s="19"/>
      <c r="L229" s="13"/>
      <c r="M229" s="19"/>
      <c r="N229" s="13"/>
      <c r="O229" s="19"/>
      <c r="P229" s="13"/>
      <c r="Q229" s="19"/>
      <c r="R229" s="13"/>
      <c r="S229" s="19"/>
      <c r="T229" s="13"/>
      <c r="U229" s="19"/>
      <c r="V229" s="13"/>
      <c r="W229" s="19"/>
      <c r="X229" s="13"/>
      <c r="Y229" s="19"/>
      <c r="Z229" s="13"/>
      <c r="AA229" s="19"/>
      <c r="AB229" s="13"/>
      <c r="AC229" s="19"/>
      <c r="AD229" s="13"/>
      <c r="AE229" s="19"/>
      <c r="AF229" s="13"/>
      <c r="AG229" s="19"/>
      <c r="AH229" s="13"/>
      <c r="AI229" s="19"/>
      <c r="AJ229" s="13"/>
      <c r="AK229" s="19"/>
      <c r="AL229" s="13"/>
      <c r="AM229" s="19"/>
      <c r="AN229" s="13"/>
      <c r="AO229" s="19"/>
      <c r="AP229" s="13"/>
      <c r="AQ229" s="19"/>
      <c r="AR229" s="13"/>
      <c r="AS229" s="614"/>
      <c r="AT229" s="460"/>
      <c r="AU229" s="783"/>
      <c r="AV229" s="460"/>
    </row>
    <row r="230" spans="1:48">
      <c r="A230" s="14"/>
      <c r="B230" s="15"/>
      <c r="C230" s="16"/>
      <c r="D230" s="17"/>
      <c r="E230" s="12"/>
      <c r="F230" s="18"/>
      <c r="G230" s="19"/>
      <c r="H230" s="13"/>
      <c r="I230" s="19"/>
      <c r="J230" s="13"/>
      <c r="K230" s="19"/>
      <c r="L230" s="13"/>
      <c r="M230" s="19"/>
      <c r="N230" s="13"/>
      <c r="O230" s="19"/>
      <c r="P230" s="13"/>
      <c r="Q230" s="19"/>
      <c r="R230" s="13"/>
      <c r="S230" s="19"/>
      <c r="T230" s="13"/>
      <c r="U230" s="19"/>
      <c r="V230" s="13"/>
      <c r="W230" s="19"/>
      <c r="X230" s="13"/>
      <c r="Y230" s="19"/>
      <c r="Z230" s="13"/>
      <c r="AA230" s="19"/>
      <c r="AB230" s="13"/>
      <c r="AC230" s="19"/>
      <c r="AD230" s="13"/>
      <c r="AE230" s="19"/>
      <c r="AF230" s="13"/>
      <c r="AG230" s="19"/>
      <c r="AH230" s="13"/>
      <c r="AI230" s="19"/>
      <c r="AJ230" s="13"/>
      <c r="AK230" s="19"/>
      <c r="AL230" s="13"/>
      <c r="AM230" s="19"/>
      <c r="AN230" s="13"/>
      <c r="AO230" s="19"/>
      <c r="AP230" s="13"/>
      <c r="AQ230" s="19"/>
      <c r="AR230" s="13"/>
      <c r="AS230" s="614"/>
      <c r="AT230" s="460"/>
      <c r="AU230" s="783"/>
      <c r="AV230" s="460"/>
    </row>
    <row r="231" spans="1:48">
      <c r="A231" s="14"/>
      <c r="B231" s="15"/>
      <c r="C231" s="16"/>
      <c r="D231" s="17"/>
      <c r="E231" s="12"/>
      <c r="F231" s="18"/>
      <c r="G231" s="19"/>
      <c r="H231" s="13"/>
      <c r="I231" s="19"/>
      <c r="J231" s="13"/>
      <c r="K231" s="19"/>
      <c r="L231" s="13"/>
      <c r="M231" s="19"/>
      <c r="N231" s="13"/>
      <c r="O231" s="19"/>
      <c r="P231" s="13"/>
      <c r="Q231" s="19"/>
      <c r="R231" s="13"/>
      <c r="S231" s="19"/>
      <c r="T231" s="13"/>
      <c r="U231" s="19"/>
      <c r="V231" s="13"/>
      <c r="W231" s="19"/>
      <c r="X231" s="13"/>
      <c r="Y231" s="19"/>
      <c r="Z231" s="13"/>
      <c r="AA231" s="19"/>
      <c r="AB231" s="13"/>
      <c r="AC231" s="19"/>
      <c r="AD231" s="13"/>
      <c r="AE231" s="19"/>
      <c r="AF231" s="13"/>
      <c r="AG231" s="19"/>
      <c r="AH231" s="13"/>
      <c r="AI231" s="19"/>
      <c r="AJ231" s="13"/>
      <c r="AK231" s="19"/>
      <c r="AL231" s="13"/>
      <c r="AM231" s="19"/>
      <c r="AN231" s="13"/>
      <c r="AO231" s="19"/>
      <c r="AP231" s="13"/>
      <c r="AQ231" s="19"/>
      <c r="AR231" s="13"/>
      <c r="AS231" s="614"/>
      <c r="AT231" s="460"/>
      <c r="AU231" s="783"/>
      <c r="AV231" s="460"/>
    </row>
    <row r="232" spans="1:48">
      <c r="A232" s="14"/>
      <c r="B232" s="15"/>
      <c r="C232" s="16"/>
      <c r="D232" s="17"/>
      <c r="E232" s="12"/>
      <c r="F232" s="18"/>
      <c r="G232" s="19"/>
      <c r="H232" s="13"/>
      <c r="I232" s="19"/>
      <c r="J232" s="13"/>
      <c r="K232" s="19"/>
      <c r="L232" s="13"/>
      <c r="M232" s="19"/>
      <c r="N232" s="13"/>
      <c r="O232" s="19"/>
      <c r="P232" s="13"/>
      <c r="Q232" s="19"/>
      <c r="R232" s="13"/>
      <c r="S232" s="19"/>
      <c r="T232" s="13"/>
      <c r="U232" s="19"/>
      <c r="V232" s="13"/>
      <c r="W232" s="19"/>
      <c r="X232" s="13"/>
      <c r="Y232" s="19"/>
      <c r="Z232" s="13"/>
      <c r="AA232" s="19"/>
      <c r="AB232" s="13"/>
      <c r="AC232" s="19"/>
      <c r="AD232" s="13"/>
      <c r="AE232" s="19"/>
      <c r="AF232" s="13"/>
      <c r="AG232" s="19"/>
      <c r="AH232" s="13"/>
      <c r="AI232" s="19"/>
      <c r="AJ232" s="13"/>
      <c r="AK232" s="19"/>
      <c r="AL232" s="13"/>
      <c r="AM232" s="19"/>
      <c r="AN232" s="13"/>
      <c r="AO232" s="19"/>
      <c r="AP232" s="13"/>
      <c r="AQ232" s="19"/>
      <c r="AR232" s="13"/>
      <c r="AS232" s="614"/>
      <c r="AT232" s="460"/>
      <c r="AU232" s="783"/>
      <c r="AV232" s="460"/>
    </row>
    <row r="233" spans="1:48">
      <c r="A233" s="14"/>
      <c r="B233" s="15"/>
      <c r="C233" s="16"/>
      <c r="D233" s="17"/>
      <c r="E233" s="12"/>
      <c r="F233" s="18"/>
      <c r="G233" s="19"/>
      <c r="H233" s="13"/>
      <c r="I233" s="19"/>
      <c r="J233" s="13"/>
      <c r="K233" s="19"/>
      <c r="L233" s="13"/>
      <c r="M233" s="19"/>
      <c r="N233" s="13"/>
      <c r="O233" s="19"/>
      <c r="P233" s="13"/>
      <c r="Q233" s="19"/>
      <c r="R233" s="13"/>
      <c r="S233" s="19"/>
      <c r="T233" s="13"/>
      <c r="U233" s="19"/>
      <c r="V233" s="13"/>
      <c r="W233" s="19"/>
      <c r="X233" s="13"/>
      <c r="Y233" s="19"/>
      <c r="Z233" s="13"/>
      <c r="AA233" s="19"/>
      <c r="AB233" s="13"/>
      <c r="AC233" s="19"/>
      <c r="AD233" s="13"/>
      <c r="AE233" s="19"/>
      <c r="AF233" s="13"/>
      <c r="AG233" s="19"/>
      <c r="AH233" s="13"/>
      <c r="AI233" s="19"/>
      <c r="AJ233" s="13"/>
      <c r="AK233" s="19"/>
      <c r="AL233" s="13"/>
      <c r="AM233" s="19"/>
      <c r="AN233" s="13"/>
      <c r="AO233" s="19"/>
      <c r="AP233" s="13"/>
      <c r="AQ233" s="19"/>
      <c r="AR233" s="13"/>
      <c r="AS233" s="614"/>
      <c r="AT233" s="460"/>
      <c r="AU233" s="783"/>
      <c r="AV233" s="460"/>
    </row>
    <row r="234" spans="1:48">
      <c r="A234" s="14"/>
      <c r="B234" s="15"/>
      <c r="C234" s="16"/>
      <c r="D234" s="17"/>
      <c r="E234" s="12"/>
      <c r="F234" s="18"/>
      <c r="G234" s="19"/>
      <c r="H234" s="13"/>
      <c r="I234" s="19"/>
      <c r="J234" s="13"/>
      <c r="K234" s="19"/>
      <c r="L234" s="13"/>
      <c r="M234" s="19"/>
      <c r="N234" s="13"/>
      <c r="O234" s="19"/>
      <c r="P234" s="13"/>
      <c r="Q234" s="19"/>
      <c r="R234" s="13"/>
      <c r="S234" s="19"/>
      <c r="T234" s="13"/>
      <c r="U234" s="19"/>
      <c r="V234" s="13"/>
      <c r="W234" s="19"/>
      <c r="X234" s="13"/>
      <c r="Y234" s="19"/>
      <c r="Z234" s="13"/>
      <c r="AA234" s="19"/>
      <c r="AB234" s="13"/>
      <c r="AC234" s="19"/>
      <c r="AD234" s="13"/>
      <c r="AE234" s="19"/>
      <c r="AF234" s="13"/>
      <c r="AG234" s="19"/>
      <c r="AH234" s="13"/>
      <c r="AI234" s="19"/>
      <c r="AJ234" s="13"/>
      <c r="AK234" s="19"/>
      <c r="AL234" s="13"/>
      <c r="AM234" s="19"/>
      <c r="AN234" s="13"/>
      <c r="AO234" s="19"/>
      <c r="AP234" s="13"/>
      <c r="AQ234" s="19"/>
      <c r="AR234" s="13"/>
      <c r="AS234" s="614"/>
      <c r="AT234" s="460"/>
      <c r="AU234" s="783"/>
      <c r="AV234" s="460"/>
    </row>
    <row r="235" spans="1:48">
      <c r="A235" s="14"/>
      <c r="B235" s="15"/>
      <c r="C235" s="16"/>
      <c r="D235" s="17"/>
      <c r="E235" s="12"/>
      <c r="F235" s="18"/>
      <c r="G235" s="19"/>
      <c r="H235" s="13"/>
      <c r="I235" s="19"/>
      <c r="J235" s="13"/>
      <c r="K235" s="19"/>
      <c r="L235" s="13"/>
      <c r="M235" s="19"/>
      <c r="N235" s="13"/>
      <c r="O235" s="19"/>
      <c r="P235" s="13"/>
      <c r="Q235" s="19"/>
      <c r="R235" s="13"/>
      <c r="S235" s="19"/>
      <c r="T235" s="13"/>
      <c r="U235" s="19"/>
      <c r="V235" s="13"/>
      <c r="W235" s="19"/>
      <c r="X235" s="13"/>
      <c r="Y235" s="19"/>
      <c r="Z235" s="13"/>
      <c r="AA235" s="19"/>
      <c r="AB235" s="13"/>
      <c r="AC235" s="19"/>
      <c r="AD235" s="13"/>
      <c r="AE235" s="19"/>
      <c r="AF235" s="13"/>
      <c r="AG235" s="19"/>
      <c r="AH235" s="13"/>
      <c r="AI235" s="19"/>
      <c r="AJ235" s="13"/>
      <c r="AK235" s="19"/>
      <c r="AL235" s="13"/>
      <c r="AM235" s="19"/>
      <c r="AN235" s="13"/>
      <c r="AO235" s="19"/>
      <c r="AP235" s="13"/>
      <c r="AQ235" s="19"/>
      <c r="AR235" s="13"/>
      <c r="AS235" s="614"/>
      <c r="AT235" s="460"/>
      <c r="AU235" s="783"/>
      <c r="AV235" s="460"/>
    </row>
    <row r="236" spans="1:48">
      <c r="A236" s="14"/>
      <c r="B236" s="15"/>
      <c r="C236" s="16"/>
      <c r="D236" s="17"/>
      <c r="E236" s="12"/>
      <c r="F236" s="18"/>
      <c r="G236" s="19"/>
      <c r="H236" s="13"/>
      <c r="I236" s="19"/>
      <c r="J236" s="13"/>
      <c r="K236" s="19"/>
      <c r="L236" s="13"/>
      <c r="M236" s="19"/>
      <c r="N236" s="13"/>
      <c r="O236" s="19"/>
      <c r="P236" s="13"/>
      <c r="Q236" s="19"/>
      <c r="R236" s="13"/>
      <c r="S236" s="19"/>
      <c r="T236" s="13"/>
      <c r="U236" s="19"/>
      <c r="V236" s="13"/>
      <c r="W236" s="19"/>
      <c r="X236" s="13"/>
      <c r="Y236" s="19"/>
      <c r="Z236" s="13"/>
      <c r="AA236" s="19"/>
      <c r="AB236" s="13"/>
      <c r="AC236" s="19"/>
      <c r="AD236" s="13"/>
      <c r="AE236" s="19"/>
      <c r="AF236" s="13"/>
      <c r="AG236" s="19"/>
      <c r="AH236" s="13"/>
      <c r="AI236" s="19"/>
      <c r="AJ236" s="13"/>
      <c r="AK236" s="19"/>
      <c r="AL236" s="13"/>
      <c r="AM236" s="19"/>
      <c r="AN236" s="13"/>
      <c r="AO236" s="19"/>
      <c r="AP236" s="13"/>
      <c r="AQ236" s="19"/>
      <c r="AR236" s="13"/>
      <c r="AS236" s="614"/>
      <c r="AT236" s="460"/>
      <c r="AU236" s="783"/>
      <c r="AV236" s="460"/>
    </row>
    <row r="237" spans="1:48">
      <c r="A237" s="14"/>
      <c r="B237" s="15"/>
      <c r="C237" s="16"/>
      <c r="D237" s="17"/>
      <c r="E237" s="12"/>
      <c r="F237" s="18"/>
      <c r="G237" s="19"/>
      <c r="H237" s="13"/>
      <c r="I237" s="19"/>
      <c r="J237" s="13"/>
      <c r="K237" s="19"/>
      <c r="L237" s="13"/>
      <c r="M237" s="19"/>
      <c r="N237" s="13"/>
      <c r="O237" s="19"/>
      <c r="P237" s="13"/>
      <c r="Q237" s="19"/>
      <c r="R237" s="13"/>
      <c r="S237" s="19"/>
      <c r="T237" s="13"/>
      <c r="U237" s="19"/>
      <c r="V237" s="13"/>
      <c r="W237" s="19"/>
      <c r="X237" s="13"/>
      <c r="Y237" s="19"/>
      <c r="Z237" s="13"/>
      <c r="AA237" s="19"/>
      <c r="AB237" s="13"/>
      <c r="AC237" s="19"/>
      <c r="AD237" s="13"/>
      <c r="AE237" s="19"/>
      <c r="AF237" s="13"/>
      <c r="AG237" s="19"/>
      <c r="AH237" s="13"/>
      <c r="AI237" s="19"/>
      <c r="AJ237" s="13"/>
      <c r="AK237" s="19"/>
      <c r="AL237" s="13"/>
      <c r="AM237" s="19"/>
      <c r="AN237" s="13"/>
      <c r="AO237" s="19"/>
      <c r="AP237" s="13"/>
      <c r="AQ237" s="19"/>
      <c r="AR237" s="13"/>
      <c r="AS237" s="614"/>
      <c r="AT237" s="460"/>
      <c r="AU237" s="783"/>
      <c r="AV237" s="460"/>
    </row>
    <row r="238" spans="1:48">
      <c r="A238" s="14"/>
      <c r="B238" s="15"/>
      <c r="C238" s="16"/>
      <c r="D238" s="17"/>
      <c r="E238" s="12"/>
      <c r="F238" s="18"/>
      <c r="G238" s="19"/>
      <c r="H238" s="13"/>
      <c r="I238" s="19"/>
      <c r="J238" s="13"/>
      <c r="K238" s="19"/>
      <c r="L238" s="13"/>
      <c r="M238" s="19"/>
      <c r="N238" s="13"/>
      <c r="O238" s="19"/>
      <c r="P238" s="13"/>
      <c r="Q238" s="19"/>
      <c r="R238" s="13"/>
      <c r="S238" s="19"/>
      <c r="T238" s="13"/>
      <c r="U238" s="19"/>
      <c r="V238" s="13"/>
      <c r="W238" s="19"/>
      <c r="X238" s="13"/>
      <c r="Y238" s="19"/>
      <c r="Z238" s="13"/>
      <c r="AA238" s="19"/>
      <c r="AB238" s="13"/>
      <c r="AC238" s="19"/>
      <c r="AD238" s="13"/>
      <c r="AE238" s="19"/>
      <c r="AF238" s="13"/>
      <c r="AG238" s="19"/>
      <c r="AH238" s="13"/>
      <c r="AI238" s="19"/>
      <c r="AJ238" s="13"/>
      <c r="AK238" s="19"/>
      <c r="AL238" s="13"/>
      <c r="AM238" s="19"/>
      <c r="AN238" s="13"/>
      <c r="AO238" s="19"/>
      <c r="AP238" s="13"/>
      <c r="AQ238" s="19"/>
      <c r="AR238" s="13"/>
      <c r="AS238" s="614"/>
      <c r="AT238" s="460"/>
      <c r="AU238" s="783"/>
      <c r="AV238" s="460"/>
    </row>
    <row r="239" spans="1:48">
      <c r="A239" s="14"/>
      <c r="B239" s="15"/>
      <c r="C239" s="16"/>
      <c r="D239" s="17"/>
      <c r="E239" s="12"/>
      <c r="F239" s="18"/>
      <c r="G239" s="19"/>
      <c r="H239" s="13"/>
      <c r="I239" s="19"/>
      <c r="J239" s="13"/>
      <c r="K239" s="19"/>
      <c r="L239" s="13"/>
      <c r="M239" s="19"/>
      <c r="N239" s="13"/>
      <c r="O239" s="19"/>
      <c r="P239" s="13"/>
      <c r="Q239" s="19"/>
      <c r="R239" s="13"/>
      <c r="S239" s="19"/>
      <c r="T239" s="13"/>
      <c r="U239" s="19"/>
      <c r="V239" s="13"/>
      <c r="W239" s="19"/>
      <c r="X239" s="13"/>
      <c r="Y239" s="19"/>
      <c r="Z239" s="13"/>
      <c r="AA239" s="19"/>
      <c r="AB239" s="13"/>
      <c r="AC239" s="19"/>
      <c r="AD239" s="13"/>
      <c r="AE239" s="19"/>
      <c r="AF239" s="13"/>
      <c r="AG239" s="19"/>
      <c r="AH239" s="13"/>
      <c r="AI239" s="19"/>
      <c r="AJ239" s="13"/>
      <c r="AK239" s="19"/>
      <c r="AL239" s="13"/>
      <c r="AM239" s="19"/>
      <c r="AN239" s="13"/>
      <c r="AO239" s="19"/>
      <c r="AP239" s="13"/>
      <c r="AQ239" s="19"/>
      <c r="AR239" s="13"/>
      <c r="AS239" s="614"/>
      <c r="AT239" s="460"/>
      <c r="AU239" s="783"/>
      <c r="AV239" s="460"/>
    </row>
    <row r="240" spans="1:48">
      <c r="A240" s="14"/>
      <c r="B240" s="15"/>
      <c r="C240" s="16"/>
      <c r="D240" s="17"/>
      <c r="E240" s="12"/>
      <c r="F240" s="18"/>
      <c r="G240" s="19"/>
      <c r="H240" s="13"/>
      <c r="I240" s="19"/>
      <c r="J240" s="13"/>
      <c r="K240" s="19"/>
      <c r="L240" s="13"/>
      <c r="M240" s="19"/>
      <c r="N240" s="13"/>
      <c r="O240" s="19"/>
      <c r="P240" s="13"/>
      <c r="Q240" s="19"/>
      <c r="R240" s="13"/>
      <c r="S240" s="19"/>
      <c r="T240" s="13"/>
      <c r="U240" s="19"/>
      <c r="V240" s="13"/>
      <c r="W240" s="19"/>
      <c r="X240" s="13"/>
      <c r="Y240" s="19"/>
      <c r="Z240" s="13"/>
      <c r="AA240" s="19"/>
      <c r="AB240" s="13"/>
      <c r="AC240" s="19"/>
      <c r="AD240" s="13"/>
      <c r="AE240" s="19"/>
      <c r="AF240" s="13"/>
      <c r="AG240" s="19"/>
      <c r="AH240" s="13"/>
      <c r="AI240" s="19"/>
      <c r="AJ240" s="13"/>
      <c r="AK240" s="19"/>
      <c r="AL240" s="13"/>
      <c r="AM240" s="19"/>
      <c r="AN240" s="13"/>
      <c r="AO240" s="19"/>
      <c r="AP240" s="13"/>
      <c r="AQ240" s="19"/>
      <c r="AR240" s="13"/>
      <c r="AS240" s="614"/>
      <c r="AT240" s="460"/>
      <c r="AU240" s="783"/>
      <c r="AV240" s="460"/>
    </row>
    <row r="241" spans="1:48">
      <c r="A241" s="14"/>
      <c r="B241" s="15"/>
      <c r="C241" s="16"/>
      <c r="D241" s="17"/>
      <c r="E241" s="12"/>
      <c r="F241" s="18"/>
      <c r="G241" s="19"/>
      <c r="H241" s="13"/>
      <c r="I241" s="19"/>
      <c r="J241" s="13"/>
      <c r="K241" s="19"/>
      <c r="L241" s="13"/>
      <c r="M241" s="19"/>
      <c r="N241" s="13"/>
      <c r="O241" s="19"/>
      <c r="P241" s="13"/>
      <c r="Q241" s="19"/>
      <c r="R241" s="13"/>
      <c r="S241" s="19"/>
      <c r="T241" s="13"/>
      <c r="U241" s="19"/>
      <c r="V241" s="13"/>
      <c r="W241" s="19"/>
      <c r="X241" s="13"/>
      <c r="Y241" s="19"/>
      <c r="Z241" s="13"/>
      <c r="AA241" s="19"/>
      <c r="AB241" s="13"/>
      <c r="AC241" s="19"/>
      <c r="AD241" s="13"/>
      <c r="AE241" s="19"/>
      <c r="AF241" s="13"/>
      <c r="AG241" s="19"/>
      <c r="AH241" s="13"/>
      <c r="AI241" s="19"/>
      <c r="AJ241" s="13"/>
      <c r="AK241" s="19"/>
      <c r="AL241" s="13"/>
      <c r="AM241" s="19"/>
      <c r="AN241" s="13"/>
      <c r="AO241" s="19"/>
      <c r="AP241" s="13"/>
      <c r="AQ241" s="19"/>
      <c r="AR241" s="13"/>
      <c r="AS241" s="614"/>
      <c r="AT241" s="460"/>
      <c r="AU241" s="783"/>
      <c r="AV241" s="460"/>
    </row>
    <row r="242" spans="1:48">
      <c r="A242" s="14"/>
      <c r="B242" s="15"/>
      <c r="C242" s="16"/>
      <c r="D242" s="17"/>
      <c r="E242" s="12"/>
      <c r="F242" s="18"/>
      <c r="G242" s="19"/>
      <c r="H242" s="13"/>
      <c r="I242" s="19"/>
      <c r="J242" s="13"/>
      <c r="K242" s="19"/>
      <c r="L242" s="13"/>
      <c r="M242" s="19"/>
      <c r="N242" s="13"/>
      <c r="O242" s="19"/>
      <c r="P242" s="13"/>
      <c r="Q242" s="19"/>
      <c r="R242" s="13"/>
      <c r="S242" s="19"/>
      <c r="T242" s="13"/>
      <c r="U242" s="19"/>
      <c r="V242" s="13"/>
      <c r="W242" s="19"/>
      <c r="X242" s="13"/>
      <c r="Y242" s="19"/>
      <c r="Z242" s="13"/>
      <c r="AA242" s="19"/>
      <c r="AB242" s="13"/>
      <c r="AC242" s="19"/>
      <c r="AD242" s="13"/>
      <c r="AE242" s="19"/>
      <c r="AF242" s="13"/>
      <c r="AG242" s="19"/>
      <c r="AH242" s="13"/>
      <c r="AI242" s="19"/>
      <c r="AJ242" s="13"/>
      <c r="AK242" s="19"/>
      <c r="AL242" s="13"/>
      <c r="AM242" s="19"/>
      <c r="AN242" s="13"/>
      <c r="AO242" s="19"/>
      <c r="AP242" s="13"/>
      <c r="AQ242" s="19"/>
      <c r="AR242" s="13"/>
      <c r="AS242" s="614"/>
      <c r="AT242" s="460"/>
      <c r="AU242" s="783"/>
      <c r="AV242" s="460"/>
    </row>
    <row r="243" spans="1:48">
      <c r="A243" s="14"/>
      <c r="B243" s="15"/>
      <c r="C243" s="16"/>
      <c r="D243" s="17"/>
      <c r="E243" s="12"/>
      <c r="F243" s="18"/>
      <c r="G243" s="19"/>
      <c r="H243" s="13"/>
      <c r="I243" s="19"/>
      <c r="J243" s="13"/>
      <c r="K243" s="19"/>
      <c r="L243" s="13"/>
      <c r="M243" s="19"/>
      <c r="N243" s="13"/>
      <c r="O243" s="19"/>
      <c r="P243" s="13"/>
      <c r="Q243" s="19"/>
      <c r="R243" s="13"/>
      <c r="S243" s="19"/>
      <c r="T243" s="13"/>
      <c r="U243" s="19"/>
      <c r="V243" s="13"/>
      <c r="W243" s="19"/>
      <c r="X243" s="13"/>
      <c r="Y243" s="19"/>
      <c r="Z243" s="13"/>
      <c r="AA243" s="19"/>
      <c r="AB243" s="13"/>
      <c r="AC243" s="19"/>
      <c r="AD243" s="13"/>
      <c r="AE243" s="19"/>
      <c r="AF243" s="13"/>
      <c r="AG243" s="19"/>
      <c r="AH243" s="13"/>
      <c r="AI243" s="19"/>
      <c r="AJ243" s="13"/>
      <c r="AK243" s="19"/>
      <c r="AL243" s="13"/>
      <c r="AM243" s="19"/>
      <c r="AN243" s="13"/>
      <c r="AO243" s="19"/>
      <c r="AP243" s="13"/>
      <c r="AQ243" s="19"/>
      <c r="AR243" s="13"/>
      <c r="AS243" s="614"/>
      <c r="AT243" s="460"/>
      <c r="AU243" s="783"/>
      <c r="AV243" s="460"/>
    </row>
    <row r="244" spans="1:48">
      <c r="A244" s="14"/>
      <c r="B244" s="15"/>
      <c r="C244" s="16"/>
      <c r="D244" s="17"/>
      <c r="E244" s="12"/>
      <c r="F244" s="18"/>
      <c r="G244" s="19"/>
      <c r="H244" s="13"/>
      <c r="I244" s="19"/>
      <c r="J244" s="13"/>
      <c r="K244" s="19"/>
      <c r="L244" s="13"/>
      <c r="M244" s="19"/>
      <c r="N244" s="13"/>
      <c r="O244" s="19"/>
      <c r="P244" s="13"/>
      <c r="Q244" s="19"/>
      <c r="R244" s="13"/>
      <c r="S244" s="19"/>
      <c r="T244" s="13"/>
      <c r="U244" s="19"/>
      <c r="V244" s="13"/>
      <c r="W244" s="19"/>
      <c r="X244" s="13"/>
      <c r="Y244" s="19"/>
      <c r="Z244" s="13"/>
      <c r="AA244" s="19"/>
      <c r="AB244" s="13"/>
      <c r="AC244" s="19"/>
      <c r="AD244" s="13"/>
      <c r="AE244" s="19"/>
      <c r="AF244" s="13"/>
      <c r="AG244" s="19"/>
      <c r="AH244" s="13"/>
      <c r="AI244" s="19"/>
      <c r="AJ244" s="13"/>
      <c r="AK244" s="19"/>
      <c r="AL244" s="13"/>
      <c r="AM244" s="19"/>
      <c r="AN244" s="13"/>
      <c r="AO244" s="19"/>
      <c r="AP244" s="13"/>
      <c r="AQ244" s="19"/>
      <c r="AR244" s="13"/>
      <c r="AS244" s="614"/>
      <c r="AT244" s="460"/>
      <c r="AU244" s="783"/>
      <c r="AV244" s="460"/>
    </row>
    <row r="245" spans="1:48">
      <c r="A245" s="14"/>
      <c r="B245" s="15"/>
      <c r="C245" s="16"/>
      <c r="D245" s="17"/>
      <c r="E245" s="12"/>
      <c r="F245" s="18"/>
      <c r="G245" s="19"/>
      <c r="H245" s="13"/>
      <c r="I245" s="19"/>
      <c r="J245" s="13"/>
      <c r="K245" s="19"/>
      <c r="L245" s="13"/>
      <c r="M245" s="19"/>
      <c r="N245" s="13"/>
      <c r="O245" s="19"/>
      <c r="P245" s="13"/>
      <c r="Q245" s="19"/>
      <c r="R245" s="13"/>
      <c r="S245" s="19"/>
      <c r="T245" s="13"/>
      <c r="U245" s="19"/>
      <c r="V245" s="13"/>
      <c r="W245" s="19"/>
      <c r="X245" s="13"/>
      <c r="Y245" s="19"/>
      <c r="Z245" s="13"/>
      <c r="AA245" s="19"/>
      <c r="AB245" s="13"/>
      <c r="AC245" s="19"/>
      <c r="AD245" s="13"/>
      <c r="AE245" s="19"/>
      <c r="AF245" s="13"/>
      <c r="AG245" s="19"/>
      <c r="AH245" s="13"/>
      <c r="AI245" s="19"/>
      <c r="AJ245" s="13"/>
      <c r="AK245" s="19"/>
      <c r="AL245" s="13"/>
      <c r="AM245" s="19"/>
      <c r="AN245" s="13"/>
      <c r="AO245" s="19"/>
      <c r="AP245" s="13"/>
      <c r="AQ245" s="19"/>
      <c r="AR245" s="13"/>
      <c r="AS245" s="614"/>
      <c r="AT245" s="460"/>
      <c r="AU245" s="783"/>
      <c r="AV245" s="460"/>
    </row>
    <row r="246" spans="1:48">
      <c r="A246" s="14"/>
      <c r="B246" s="15"/>
      <c r="C246" s="16"/>
      <c r="D246" s="17"/>
      <c r="E246" s="12"/>
      <c r="F246" s="18"/>
      <c r="G246" s="19"/>
      <c r="H246" s="13"/>
      <c r="I246" s="19"/>
      <c r="J246" s="13"/>
      <c r="K246" s="19"/>
      <c r="L246" s="13"/>
      <c r="M246" s="19"/>
      <c r="N246" s="13"/>
      <c r="O246" s="19"/>
      <c r="P246" s="13"/>
      <c r="Q246" s="19"/>
      <c r="R246" s="13"/>
      <c r="S246" s="19"/>
      <c r="T246" s="13"/>
      <c r="U246" s="19"/>
      <c r="V246" s="13"/>
      <c r="W246" s="19"/>
      <c r="X246" s="13"/>
      <c r="Y246" s="19"/>
      <c r="Z246" s="13"/>
      <c r="AA246" s="19"/>
      <c r="AB246" s="13"/>
      <c r="AC246" s="19"/>
      <c r="AD246" s="13"/>
      <c r="AE246" s="19"/>
      <c r="AF246" s="13"/>
      <c r="AG246" s="19"/>
      <c r="AH246" s="13"/>
      <c r="AI246" s="19"/>
      <c r="AJ246" s="13"/>
      <c r="AK246" s="19"/>
      <c r="AL246" s="13"/>
      <c r="AM246" s="19"/>
      <c r="AN246" s="13"/>
      <c r="AO246" s="19"/>
      <c r="AP246" s="13"/>
      <c r="AQ246" s="19"/>
      <c r="AR246" s="13"/>
      <c r="AS246" s="614"/>
      <c r="AT246" s="460"/>
      <c r="AU246" s="783"/>
      <c r="AV246" s="460"/>
    </row>
    <row r="247" spans="1:48">
      <c r="A247" s="14"/>
      <c r="B247" s="15"/>
      <c r="C247" s="16"/>
      <c r="D247" s="17"/>
      <c r="E247" s="12"/>
      <c r="F247" s="18"/>
      <c r="G247" s="19"/>
      <c r="H247" s="13"/>
      <c r="I247" s="19"/>
      <c r="J247" s="13"/>
      <c r="K247" s="19"/>
      <c r="L247" s="13"/>
      <c r="M247" s="19"/>
      <c r="N247" s="13"/>
      <c r="O247" s="19"/>
      <c r="P247" s="13"/>
      <c r="Q247" s="19"/>
      <c r="R247" s="13"/>
      <c r="S247" s="19"/>
      <c r="T247" s="13"/>
      <c r="U247" s="19"/>
      <c r="V247" s="13"/>
      <c r="W247" s="19"/>
      <c r="X247" s="13"/>
      <c r="Y247" s="19"/>
      <c r="Z247" s="13"/>
      <c r="AA247" s="19"/>
      <c r="AB247" s="13"/>
      <c r="AC247" s="19"/>
      <c r="AD247" s="13"/>
      <c r="AE247" s="19"/>
      <c r="AF247" s="13"/>
      <c r="AG247" s="19"/>
      <c r="AH247" s="13"/>
      <c r="AI247" s="19"/>
      <c r="AJ247" s="13"/>
      <c r="AK247" s="19"/>
      <c r="AL247" s="13"/>
      <c r="AM247" s="19"/>
      <c r="AN247" s="13"/>
      <c r="AO247" s="19"/>
      <c r="AP247" s="13"/>
      <c r="AQ247" s="19"/>
      <c r="AR247" s="13"/>
      <c r="AS247" s="614"/>
      <c r="AT247" s="460"/>
      <c r="AU247" s="783"/>
      <c r="AV247" s="460"/>
    </row>
    <row r="248" spans="1:48">
      <c r="A248" s="14"/>
      <c r="B248" s="15"/>
      <c r="C248" s="16"/>
      <c r="D248" s="17"/>
      <c r="E248" s="12"/>
      <c r="F248" s="18"/>
      <c r="G248" s="19"/>
      <c r="H248" s="13"/>
      <c r="I248" s="19"/>
      <c r="J248" s="13"/>
      <c r="K248" s="19"/>
      <c r="L248" s="13"/>
      <c r="M248" s="19"/>
      <c r="N248" s="13"/>
      <c r="O248" s="19"/>
      <c r="P248" s="13"/>
      <c r="Q248" s="19"/>
      <c r="R248" s="13"/>
      <c r="S248" s="19"/>
      <c r="T248" s="13"/>
      <c r="U248" s="19"/>
      <c r="V248" s="13"/>
      <c r="W248" s="19"/>
      <c r="X248" s="13"/>
      <c r="Y248" s="19"/>
      <c r="Z248" s="13"/>
      <c r="AA248" s="19"/>
      <c r="AB248" s="13"/>
      <c r="AC248" s="19"/>
      <c r="AD248" s="13"/>
      <c r="AE248" s="19"/>
      <c r="AF248" s="13"/>
      <c r="AG248" s="19"/>
      <c r="AH248" s="13"/>
      <c r="AI248" s="19"/>
      <c r="AJ248" s="13"/>
      <c r="AK248" s="19"/>
      <c r="AL248" s="13"/>
      <c r="AM248" s="19"/>
      <c r="AN248" s="13"/>
      <c r="AO248" s="19"/>
      <c r="AP248" s="13"/>
      <c r="AQ248" s="19"/>
      <c r="AR248" s="13"/>
      <c r="AS248" s="614"/>
      <c r="AT248" s="460"/>
      <c r="AU248" s="783"/>
      <c r="AV248" s="460"/>
    </row>
    <row r="249" spans="1:48">
      <c r="A249" s="14"/>
      <c r="B249" s="15"/>
      <c r="C249" s="16"/>
      <c r="D249" s="17"/>
      <c r="E249" s="12"/>
      <c r="F249" s="18"/>
      <c r="G249" s="19"/>
      <c r="H249" s="13"/>
      <c r="I249" s="19"/>
      <c r="J249" s="13"/>
      <c r="K249" s="19"/>
      <c r="L249" s="13"/>
      <c r="M249" s="19"/>
      <c r="N249" s="13"/>
      <c r="O249" s="19"/>
      <c r="P249" s="13"/>
      <c r="Q249" s="19"/>
      <c r="R249" s="13"/>
      <c r="S249" s="19"/>
      <c r="T249" s="13"/>
      <c r="U249" s="19"/>
      <c r="V249" s="13"/>
      <c r="W249" s="19"/>
      <c r="X249" s="13"/>
      <c r="Y249" s="19"/>
      <c r="Z249" s="13"/>
      <c r="AA249" s="19"/>
      <c r="AB249" s="13"/>
      <c r="AC249" s="19"/>
      <c r="AD249" s="13"/>
      <c r="AE249" s="19"/>
      <c r="AF249" s="13"/>
      <c r="AG249" s="19"/>
      <c r="AH249" s="13"/>
      <c r="AI249" s="19"/>
      <c r="AJ249" s="13"/>
      <c r="AK249" s="19"/>
      <c r="AL249" s="13"/>
      <c r="AM249" s="19"/>
      <c r="AN249" s="13"/>
      <c r="AO249" s="19"/>
      <c r="AP249" s="13"/>
      <c r="AQ249" s="19"/>
      <c r="AR249" s="13"/>
      <c r="AS249" s="614"/>
      <c r="AT249" s="460"/>
      <c r="AU249" s="783"/>
      <c r="AV249" s="460"/>
    </row>
    <row r="250" spans="1:48">
      <c r="A250" s="14"/>
      <c r="B250" s="15"/>
      <c r="C250" s="16"/>
      <c r="D250" s="17"/>
      <c r="E250" s="12"/>
      <c r="F250" s="18"/>
      <c r="G250" s="19"/>
      <c r="H250" s="13"/>
      <c r="I250" s="19"/>
      <c r="J250" s="13"/>
      <c r="K250" s="19"/>
      <c r="L250" s="13"/>
      <c r="M250" s="19"/>
      <c r="N250" s="13"/>
      <c r="O250" s="19"/>
      <c r="P250" s="13"/>
      <c r="Q250" s="19"/>
      <c r="R250" s="13"/>
      <c r="S250" s="19"/>
      <c r="T250" s="13"/>
      <c r="U250" s="19"/>
      <c r="V250" s="13"/>
      <c r="W250" s="19"/>
      <c r="X250" s="13"/>
      <c r="Y250" s="19"/>
      <c r="Z250" s="13"/>
      <c r="AA250" s="19"/>
      <c r="AB250" s="13"/>
      <c r="AC250" s="19"/>
      <c r="AD250" s="13"/>
      <c r="AE250" s="19"/>
      <c r="AF250" s="13"/>
      <c r="AG250" s="19"/>
      <c r="AH250" s="13"/>
      <c r="AI250" s="19"/>
      <c r="AJ250" s="13"/>
      <c r="AK250" s="19"/>
      <c r="AL250" s="13"/>
      <c r="AM250" s="19"/>
      <c r="AN250" s="13"/>
      <c r="AO250" s="19"/>
      <c r="AP250" s="13"/>
      <c r="AQ250" s="19"/>
      <c r="AR250" s="13"/>
      <c r="AS250" s="614"/>
      <c r="AT250" s="460"/>
      <c r="AU250" s="783"/>
      <c r="AV250" s="460"/>
    </row>
    <row r="251" spans="1:48">
      <c r="A251" s="14"/>
      <c r="B251" s="15"/>
      <c r="C251" s="16"/>
      <c r="D251" s="17"/>
      <c r="E251" s="12"/>
      <c r="F251" s="18"/>
      <c r="G251" s="19"/>
      <c r="H251" s="13"/>
      <c r="I251" s="19"/>
      <c r="J251" s="13"/>
      <c r="K251" s="19"/>
      <c r="L251" s="13"/>
      <c r="M251" s="19"/>
      <c r="N251" s="13"/>
      <c r="O251" s="19"/>
      <c r="P251" s="13"/>
      <c r="Q251" s="19"/>
      <c r="R251" s="13"/>
      <c r="S251" s="19"/>
      <c r="T251" s="13"/>
      <c r="U251" s="19"/>
      <c r="V251" s="13"/>
      <c r="W251" s="19"/>
      <c r="X251" s="13"/>
      <c r="Y251" s="19"/>
      <c r="Z251" s="13"/>
      <c r="AA251" s="19"/>
      <c r="AB251" s="13"/>
      <c r="AC251" s="19"/>
      <c r="AD251" s="13"/>
      <c r="AE251" s="19"/>
      <c r="AF251" s="13"/>
      <c r="AG251" s="19"/>
      <c r="AH251" s="13"/>
      <c r="AI251" s="19"/>
      <c r="AJ251" s="13"/>
      <c r="AK251" s="19"/>
      <c r="AL251" s="13"/>
      <c r="AM251" s="19"/>
      <c r="AN251" s="13"/>
      <c r="AO251" s="19"/>
      <c r="AP251" s="13"/>
      <c r="AQ251" s="19"/>
      <c r="AR251" s="13"/>
      <c r="AS251" s="614"/>
      <c r="AT251" s="460"/>
      <c r="AU251" s="783"/>
      <c r="AV251" s="460"/>
    </row>
    <row r="252" spans="1:48">
      <c r="A252" s="14"/>
      <c r="B252" s="15"/>
      <c r="C252" s="16"/>
      <c r="D252" s="17"/>
      <c r="E252" s="12"/>
      <c r="F252" s="18"/>
      <c r="G252" s="19"/>
      <c r="H252" s="13"/>
      <c r="I252" s="19"/>
      <c r="J252" s="13"/>
      <c r="K252" s="19"/>
      <c r="L252" s="13"/>
      <c r="M252" s="19"/>
      <c r="N252" s="13"/>
      <c r="O252" s="19"/>
      <c r="P252" s="13"/>
      <c r="Q252" s="19"/>
      <c r="R252" s="13"/>
      <c r="S252" s="19"/>
      <c r="T252" s="13"/>
      <c r="U252" s="19"/>
      <c r="V252" s="13"/>
      <c r="W252" s="19"/>
      <c r="X252" s="13"/>
      <c r="Y252" s="19"/>
      <c r="Z252" s="13"/>
      <c r="AA252" s="19"/>
      <c r="AB252" s="13"/>
      <c r="AC252" s="19"/>
      <c r="AD252" s="13"/>
      <c r="AE252" s="19"/>
      <c r="AF252" s="13"/>
      <c r="AG252" s="19"/>
      <c r="AH252" s="13"/>
      <c r="AI252" s="19"/>
      <c r="AJ252" s="13"/>
      <c r="AK252" s="19"/>
      <c r="AL252" s="13"/>
      <c r="AM252" s="19"/>
      <c r="AN252" s="13"/>
      <c r="AO252" s="19"/>
      <c r="AP252" s="13"/>
      <c r="AQ252" s="19"/>
      <c r="AR252" s="13"/>
      <c r="AS252" s="614"/>
      <c r="AT252" s="460"/>
      <c r="AU252" s="783"/>
      <c r="AV252" s="460"/>
    </row>
    <row r="253" spans="1:48">
      <c r="A253" s="14"/>
      <c r="B253" s="15"/>
      <c r="C253" s="16"/>
      <c r="D253" s="17"/>
      <c r="E253" s="12"/>
      <c r="F253" s="18"/>
      <c r="G253" s="19"/>
      <c r="H253" s="13"/>
      <c r="I253" s="19"/>
      <c r="J253" s="13"/>
      <c r="K253" s="19"/>
      <c r="L253" s="13"/>
      <c r="M253" s="19"/>
      <c r="N253" s="13"/>
      <c r="O253" s="19"/>
      <c r="P253" s="13"/>
      <c r="Q253" s="19"/>
      <c r="R253" s="13"/>
      <c r="S253" s="19"/>
      <c r="T253" s="13"/>
      <c r="U253" s="19"/>
      <c r="V253" s="13"/>
      <c r="W253" s="19"/>
      <c r="X253" s="13"/>
      <c r="Y253" s="19"/>
      <c r="Z253" s="13"/>
      <c r="AA253" s="19"/>
      <c r="AB253" s="13"/>
      <c r="AC253" s="19"/>
      <c r="AD253" s="13"/>
      <c r="AE253" s="19"/>
      <c r="AF253" s="13"/>
      <c r="AG253" s="19"/>
      <c r="AH253" s="13"/>
      <c r="AI253" s="19"/>
      <c r="AJ253" s="13"/>
      <c r="AK253" s="19"/>
      <c r="AL253" s="13"/>
      <c r="AM253" s="19"/>
      <c r="AN253" s="13"/>
      <c r="AO253" s="19"/>
      <c r="AP253" s="13"/>
      <c r="AQ253" s="19"/>
      <c r="AR253" s="13"/>
      <c r="AS253" s="614"/>
      <c r="AT253" s="460"/>
      <c r="AU253" s="783"/>
      <c r="AV253" s="460"/>
    </row>
    <row r="254" spans="1:48">
      <c r="A254" s="14"/>
      <c r="B254" s="15"/>
      <c r="C254" s="16"/>
      <c r="D254" s="17"/>
      <c r="E254" s="12"/>
      <c r="F254" s="18"/>
      <c r="G254" s="19"/>
      <c r="H254" s="13"/>
      <c r="I254" s="19"/>
      <c r="J254" s="13"/>
      <c r="K254" s="19"/>
      <c r="L254" s="13"/>
      <c r="M254" s="19"/>
      <c r="N254" s="13"/>
      <c r="O254" s="19"/>
      <c r="P254" s="13"/>
      <c r="Q254" s="19"/>
      <c r="R254" s="13"/>
      <c r="S254" s="19"/>
      <c r="T254" s="13"/>
      <c r="U254" s="19"/>
      <c r="V254" s="13"/>
      <c r="W254" s="19"/>
      <c r="X254" s="13"/>
      <c r="Y254" s="19"/>
      <c r="Z254" s="13"/>
      <c r="AA254" s="19"/>
      <c r="AB254" s="13"/>
      <c r="AC254" s="19"/>
      <c r="AD254" s="13"/>
      <c r="AE254" s="19"/>
      <c r="AF254" s="13"/>
      <c r="AG254" s="19"/>
      <c r="AH254" s="13"/>
      <c r="AI254" s="19"/>
      <c r="AJ254" s="13"/>
      <c r="AK254" s="19"/>
      <c r="AL254" s="13"/>
      <c r="AM254" s="19"/>
      <c r="AN254" s="13"/>
      <c r="AO254" s="19"/>
      <c r="AP254" s="13"/>
      <c r="AQ254" s="19"/>
      <c r="AR254" s="13"/>
      <c r="AS254" s="614"/>
      <c r="AT254" s="460"/>
      <c r="AU254" s="783"/>
      <c r="AV254" s="460"/>
    </row>
    <row r="255" spans="1:48">
      <c r="A255" s="14"/>
      <c r="B255" s="15"/>
      <c r="C255" s="16"/>
      <c r="D255" s="17"/>
      <c r="E255" s="12"/>
      <c r="F255" s="18"/>
      <c r="G255" s="19"/>
      <c r="H255" s="13"/>
      <c r="I255" s="19"/>
      <c r="J255" s="13"/>
      <c r="K255" s="19"/>
      <c r="L255" s="13"/>
      <c r="M255" s="19"/>
      <c r="N255" s="13"/>
      <c r="O255" s="19"/>
      <c r="P255" s="13"/>
      <c r="Q255" s="19"/>
      <c r="R255" s="13"/>
      <c r="S255" s="19"/>
      <c r="T255" s="13"/>
      <c r="U255" s="19"/>
      <c r="V255" s="13"/>
      <c r="W255" s="19"/>
      <c r="X255" s="13"/>
      <c r="Y255" s="19"/>
      <c r="Z255" s="13"/>
      <c r="AA255" s="19"/>
      <c r="AB255" s="13"/>
      <c r="AC255" s="19"/>
      <c r="AD255" s="13"/>
      <c r="AE255" s="19"/>
      <c r="AF255" s="13"/>
      <c r="AG255" s="19"/>
      <c r="AH255" s="13"/>
      <c r="AI255" s="19"/>
      <c r="AJ255" s="13"/>
      <c r="AK255" s="19"/>
      <c r="AL255" s="13"/>
      <c r="AM255" s="19"/>
      <c r="AN255" s="13"/>
      <c r="AO255" s="19"/>
      <c r="AP255" s="13"/>
      <c r="AQ255" s="19"/>
      <c r="AR255" s="13"/>
      <c r="AS255" s="614"/>
      <c r="AT255" s="460"/>
      <c r="AU255" s="783"/>
      <c r="AV255" s="460"/>
    </row>
    <row r="256" spans="1:48">
      <c r="A256" s="14"/>
      <c r="B256" s="15"/>
      <c r="C256" s="16"/>
      <c r="D256" s="17"/>
      <c r="E256" s="12"/>
      <c r="F256" s="18"/>
      <c r="G256" s="19"/>
      <c r="H256" s="13"/>
      <c r="I256" s="19"/>
      <c r="J256" s="13"/>
      <c r="K256" s="19"/>
      <c r="L256" s="13"/>
      <c r="M256" s="19"/>
      <c r="N256" s="13"/>
      <c r="O256" s="19"/>
      <c r="P256" s="13"/>
      <c r="Q256" s="19"/>
      <c r="R256" s="13"/>
      <c r="S256" s="19"/>
      <c r="T256" s="13"/>
      <c r="U256" s="19"/>
      <c r="V256" s="13"/>
      <c r="W256" s="19"/>
      <c r="X256" s="13"/>
      <c r="Y256" s="19"/>
      <c r="Z256" s="13"/>
      <c r="AA256" s="19"/>
      <c r="AB256" s="13"/>
      <c r="AC256" s="19"/>
      <c r="AD256" s="13"/>
      <c r="AE256" s="19"/>
      <c r="AF256" s="13"/>
      <c r="AG256" s="19"/>
      <c r="AH256" s="13"/>
      <c r="AI256" s="19"/>
      <c r="AJ256" s="13"/>
      <c r="AK256" s="19"/>
      <c r="AL256" s="13"/>
      <c r="AM256" s="19"/>
      <c r="AN256" s="13"/>
      <c r="AO256" s="19"/>
      <c r="AP256" s="13"/>
      <c r="AQ256" s="19"/>
      <c r="AR256" s="13"/>
      <c r="AS256" s="614"/>
      <c r="AT256" s="460"/>
      <c r="AU256" s="783"/>
      <c r="AV256" s="460"/>
    </row>
    <row r="257" spans="1:48">
      <c r="A257" s="14"/>
      <c r="B257" s="15"/>
      <c r="C257" s="16"/>
      <c r="D257" s="17"/>
      <c r="E257" s="12"/>
      <c r="F257" s="18"/>
      <c r="G257" s="19"/>
      <c r="H257" s="13"/>
      <c r="I257" s="19"/>
      <c r="J257" s="13"/>
      <c r="K257" s="19"/>
      <c r="L257" s="13"/>
      <c r="M257" s="19"/>
      <c r="N257" s="13"/>
      <c r="O257" s="19"/>
      <c r="P257" s="13"/>
      <c r="Q257" s="19"/>
      <c r="R257" s="13"/>
      <c r="S257" s="19"/>
      <c r="T257" s="13"/>
      <c r="U257" s="19"/>
      <c r="V257" s="13"/>
      <c r="W257" s="19"/>
      <c r="X257" s="13"/>
      <c r="Y257" s="19"/>
      <c r="Z257" s="13"/>
      <c r="AA257" s="19"/>
      <c r="AB257" s="13"/>
      <c r="AC257" s="19"/>
      <c r="AD257" s="13"/>
      <c r="AE257" s="19"/>
      <c r="AF257" s="13"/>
      <c r="AG257" s="19"/>
      <c r="AH257" s="13"/>
      <c r="AI257" s="19"/>
      <c r="AJ257" s="13"/>
      <c r="AK257" s="19"/>
      <c r="AL257" s="13"/>
      <c r="AM257" s="19"/>
      <c r="AN257" s="13"/>
      <c r="AO257" s="19"/>
      <c r="AP257" s="13"/>
      <c r="AQ257" s="19"/>
      <c r="AR257" s="13"/>
      <c r="AS257" s="614"/>
      <c r="AT257" s="460"/>
      <c r="AU257" s="783"/>
      <c r="AV257" s="460"/>
    </row>
    <row r="258" spans="1:48">
      <c r="A258" s="14"/>
      <c r="B258" s="15"/>
      <c r="C258" s="16"/>
      <c r="D258" s="17"/>
      <c r="E258" s="12"/>
      <c r="F258" s="18"/>
      <c r="G258" s="19"/>
      <c r="H258" s="13"/>
      <c r="I258" s="19"/>
      <c r="J258" s="13"/>
      <c r="K258" s="19"/>
      <c r="L258" s="13"/>
      <c r="M258" s="19"/>
      <c r="N258" s="13"/>
      <c r="O258" s="19"/>
      <c r="P258" s="13"/>
      <c r="Q258" s="19"/>
      <c r="R258" s="13"/>
      <c r="S258" s="19"/>
      <c r="T258" s="13"/>
      <c r="U258" s="19"/>
      <c r="V258" s="13"/>
      <c r="W258" s="19"/>
      <c r="X258" s="13"/>
      <c r="Y258" s="19"/>
      <c r="Z258" s="13"/>
      <c r="AA258" s="19"/>
      <c r="AB258" s="13"/>
      <c r="AC258" s="19"/>
      <c r="AD258" s="13"/>
      <c r="AE258" s="19"/>
      <c r="AF258" s="13"/>
      <c r="AG258" s="19"/>
      <c r="AH258" s="13"/>
      <c r="AI258" s="19"/>
      <c r="AJ258" s="13"/>
      <c r="AK258" s="19"/>
      <c r="AL258" s="13"/>
      <c r="AM258" s="19"/>
      <c r="AN258" s="13"/>
      <c r="AO258" s="19"/>
      <c r="AP258" s="13"/>
      <c r="AQ258" s="19"/>
      <c r="AR258" s="13"/>
      <c r="AS258" s="614"/>
      <c r="AT258" s="460"/>
      <c r="AU258" s="783"/>
      <c r="AV258" s="460"/>
    </row>
    <row r="259" spans="1:48">
      <c r="A259" s="14"/>
      <c r="B259" s="15"/>
      <c r="C259" s="16"/>
      <c r="D259" s="17"/>
      <c r="E259" s="12"/>
      <c r="F259" s="18"/>
      <c r="G259" s="19"/>
      <c r="H259" s="13"/>
      <c r="I259" s="19"/>
      <c r="J259" s="13"/>
      <c r="K259" s="19"/>
      <c r="L259" s="13"/>
      <c r="M259" s="19"/>
      <c r="N259" s="13"/>
      <c r="O259" s="19"/>
      <c r="P259" s="13"/>
      <c r="Q259" s="19"/>
      <c r="R259" s="13"/>
      <c r="S259" s="19"/>
      <c r="T259" s="13"/>
      <c r="U259" s="19"/>
      <c r="V259" s="13"/>
      <c r="W259" s="19"/>
      <c r="X259" s="13"/>
      <c r="Y259" s="19"/>
      <c r="Z259" s="13"/>
      <c r="AA259" s="19"/>
      <c r="AB259" s="13"/>
      <c r="AC259" s="19"/>
      <c r="AD259" s="13"/>
      <c r="AE259" s="19"/>
      <c r="AF259" s="13"/>
      <c r="AG259" s="19"/>
      <c r="AH259" s="13"/>
      <c r="AI259" s="19"/>
      <c r="AJ259" s="13"/>
      <c r="AK259" s="19"/>
      <c r="AL259" s="13"/>
      <c r="AM259" s="19"/>
      <c r="AN259" s="13"/>
      <c r="AO259" s="19"/>
      <c r="AP259" s="13"/>
      <c r="AQ259" s="19"/>
      <c r="AR259" s="13"/>
      <c r="AS259" s="614"/>
      <c r="AT259" s="460"/>
      <c r="AU259" s="783"/>
      <c r="AV259" s="460"/>
    </row>
    <row r="260" spans="1:48">
      <c r="A260" s="14"/>
      <c r="B260" s="15"/>
      <c r="C260" s="16"/>
      <c r="D260" s="17"/>
      <c r="E260" s="12"/>
      <c r="F260" s="18"/>
      <c r="G260" s="19"/>
      <c r="H260" s="13"/>
      <c r="I260" s="19"/>
      <c r="J260" s="13"/>
      <c r="K260" s="19"/>
      <c r="L260" s="13"/>
      <c r="M260" s="19"/>
      <c r="N260" s="13"/>
      <c r="O260" s="19"/>
      <c r="P260" s="13"/>
      <c r="Q260" s="19"/>
      <c r="R260" s="13"/>
      <c r="S260" s="19"/>
      <c r="T260" s="13"/>
      <c r="U260" s="19"/>
      <c r="V260" s="13"/>
      <c r="W260" s="19"/>
      <c r="X260" s="13"/>
      <c r="Y260" s="19"/>
      <c r="Z260" s="13"/>
      <c r="AA260" s="19"/>
      <c r="AB260" s="13"/>
      <c r="AC260" s="19"/>
      <c r="AD260" s="13"/>
      <c r="AE260" s="19"/>
      <c r="AF260" s="13"/>
      <c r="AG260" s="19"/>
      <c r="AH260" s="13"/>
      <c r="AI260" s="19"/>
      <c r="AJ260" s="13"/>
      <c r="AK260" s="19"/>
      <c r="AL260" s="13"/>
      <c r="AM260" s="19"/>
      <c r="AN260" s="13"/>
      <c r="AO260" s="19"/>
      <c r="AP260" s="13"/>
      <c r="AQ260" s="19"/>
      <c r="AR260" s="13"/>
      <c r="AS260" s="614"/>
      <c r="AT260" s="460"/>
      <c r="AU260" s="783"/>
      <c r="AV260" s="460"/>
    </row>
    <row r="261" spans="1:48">
      <c r="A261" s="14"/>
      <c r="B261" s="15"/>
      <c r="C261" s="16"/>
      <c r="D261" s="17"/>
      <c r="E261" s="12"/>
      <c r="F261" s="18"/>
      <c r="G261" s="19"/>
      <c r="H261" s="13"/>
      <c r="I261" s="19"/>
      <c r="J261" s="13"/>
      <c r="K261" s="19"/>
      <c r="L261" s="13"/>
      <c r="M261" s="19"/>
      <c r="N261" s="13"/>
      <c r="O261" s="19"/>
      <c r="P261" s="13"/>
      <c r="Q261" s="19"/>
      <c r="R261" s="13"/>
      <c r="S261" s="19"/>
      <c r="T261" s="13"/>
      <c r="U261" s="19"/>
      <c r="V261" s="13"/>
      <c r="W261" s="19"/>
      <c r="X261" s="13"/>
      <c r="Y261" s="19"/>
      <c r="Z261" s="13"/>
      <c r="AA261" s="19"/>
      <c r="AB261" s="13"/>
      <c r="AC261" s="19"/>
      <c r="AD261" s="13"/>
      <c r="AE261" s="19"/>
      <c r="AF261" s="13"/>
      <c r="AG261" s="19"/>
      <c r="AH261" s="13"/>
      <c r="AI261" s="19"/>
      <c r="AJ261" s="13"/>
      <c r="AK261" s="19"/>
      <c r="AL261" s="13"/>
      <c r="AM261" s="19"/>
      <c r="AN261" s="13"/>
      <c r="AO261" s="19"/>
      <c r="AP261" s="13"/>
      <c r="AQ261" s="19"/>
      <c r="AR261" s="13"/>
      <c r="AS261" s="614"/>
      <c r="AT261" s="460"/>
      <c r="AU261" s="783"/>
      <c r="AV261" s="460"/>
    </row>
    <row r="262" spans="1:48">
      <c r="A262" s="14"/>
      <c r="B262" s="15"/>
      <c r="C262" s="16"/>
      <c r="D262" s="17"/>
      <c r="E262" s="12"/>
      <c r="F262" s="18"/>
      <c r="G262" s="19"/>
      <c r="H262" s="13"/>
      <c r="I262" s="19"/>
      <c r="J262" s="13"/>
      <c r="K262" s="19"/>
      <c r="L262" s="13"/>
      <c r="M262" s="19"/>
      <c r="N262" s="13"/>
      <c r="O262" s="19"/>
      <c r="P262" s="13"/>
      <c r="Q262" s="19"/>
      <c r="R262" s="13"/>
      <c r="S262" s="19"/>
      <c r="T262" s="13"/>
      <c r="U262" s="19"/>
      <c r="V262" s="13"/>
      <c r="W262" s="19"/>
      <c r="X262" s="13"/>
      <c r="Y262" s="19"/>
      <c r="Z262" s="13"/>
      <c r="AA262" s="19"/>
      <c r="AB262" s="13"/>
      <c r="AC262" s="19"/>
      <c r="AD262" s="13"/>
      <c r="AE262" s="19"/>
      <c r="AF262" s="13"/>
      <c r="AG262" s="19"/>
      <c r="AH262" s="13"/>
      <c r="AI262" s="19"/>
      <c r="AJ262" s="13"/>
      <c r="AK262" s="19"/>
      <c r="AL262" s="13"/>
      <c r="AM262" s="19"/>
      <c r="AN262" s="13"/>
      <c r="AO262" s="19"/>
      <c r="AP262" s="13"/>
      <c r="AQ262" s="19"/>
      <c r="AR262" s="13"/>
      <c r="AS262" s="614"/>
      <c r="AT262" s="460"/>
      <c r="AU262" s="783"/>
      <c r="AV262" s="460"/>
    </row>
    <row r="263" spans="1:48">
      <c r="A263" s="14"/>
      <c r="B263" s="15"/>
      <c r="C263" s="16"/>
      <c r="D263" s="17"/>
      <c r="E263" s="12"/>
      <c r="F263" s="18"/>
      <c r="G263" s="19"/>
      <c r="H263" s="13"/>
      <c r="I263" s="19"/>
      <c r="J263" s="13"/>
      <c r="K263" s="19"/>
      <c r="L263" s="13"/>
      <c r="M263" s="19"/>
      <c r="N263" s="13"/>
      <c r="O263" s="19"/>
      <c r="P263" s="13"/>
      <c r="Q263" s="19"/>
      <c r="R263" s="13"/>
      <c r="S263" s="19"/>
      <c r="T263" s="13"/>
      <c r="U263" s="19"/>
      <c r="V263" s="13"/>
      <c r="W263" s="19"/>
      <c r="X263" s="13"/>
      <c r="Y263" s="19"/>
      <c r="Z263" s="13"/>
      <c r="AA263" s="19"/>
      <c r="AB263" s="13"/>
      <c r="AC263" s="19"/>
      <c r="AD263" s="13"/>
      <c r="AE263" s="19"/>
      <c r="AF263" s="13"/>
      <c r="AG263" s="19"/>
      <c r="AH263" s="13"/>
      <c r="AI263" s="19"/>
      <c r="AJ263" s="13"/>
      <c r="AK263" s="19"/>
      <c r="AL263" s="13"/>
      <c r="AM263" s="19"/>
      <c r="AN263" s="13"/>
      <c r="AO263" s="19"/>
      <c r="AP263" s="13"/>
      <c r="AQ263" s="19"/>
      <c r="AR263" s="13"/>
      <c r="AS263" s="614"/>
      <c r="AT263" s="460"/>
      <c r="AU263" s="783"/>
      <c r="AV263" s="460"/>
    </row>
    <row r="264" spans="1:48">
      <c r="A264" s="14"/>
      <c r="B264" s="15"/>
      <c r="C264" s="16"/>
      <c r="D264" s="17"/>
      <c r="E264" s="12"/>
      <c r="F264" s="18"/>
      <c r="G264" s="19"/>
      <c r="H264" s="13"/>
      <c r="I264" s="19"/>
      <c r="J264" s="13"/>
      <c r="K264" s="19"/>
      <c r="L264" s="13"/>
      <c r="M264" s="19"/>
      <c r="N264" s="13"/>
      <c r="O264" s="19"/>
      <c r="P264" s="13"/>
      <c r="Q264" s="19"/>
      <c r="R264" s="13"/>
      <c r="S264" s="19"/>
      <c r="T264" s="13"/>
      <c r="U264" s="19"/>
      <c r="V264" s="13"/>
      <c r="W264" s="19"/>
      <c r="X264" s="13"/>
      <c r="Y264" s="19"/>
      <c r="Z264" s="13"/>
      <c r="AA264" s="19"/>
      <c r="AB264" s="13"/>
      <c r="AC264" s="19"/>
      <c r="AD264" s="13"/>
      <c r="AE264" s="19"/>
      <c r="AF264" s="13"/>
      <c r="AG264" s="19"/>
      <c r="AH264" s="13"/>
      <c r="AI264" s="19"/>
      <c r="AJ264" s="13"/>
      <c r="AK264" s="19"/>
      <c r="AL264" s="13"/>
      <c r="AM264" s="19"/>
      <c r="AN264" s="13"/>
      <c r="AO264" s="19"/>
      <c r="AP264" s="13"/>
      <c r="AQ264" s="19"/>
      <c r="AR264" s="13"/>
      <c r="AS264" s="614"/>
      <c r="AT264" s="460"/>
      <c r="AU264" s="783"/>
      <c r="AV264" s="460"/>
    </row>
    <row r="265" spans="1:48">
      <c r="A265" s="14"/>
      <c r="B265" s="15"/>
      <c r="C265" s="16"/>
      <c r="D265" s="17"/>
      <c r="E265" s="12"/>
      <c r="F265" s="18"/>
      <c r="G265" s="19"/>
      <c r="H265" s="13"/>
      <c r="I265" s="19"/>
      <c r="J265" s="13"/>
      <c r="K265" s="19"/>
      <c r="L265" s="13"/>
      <c r="M265" s="19"/>
      <c r="N265" s="13"/>
      <c r="O265" s="19"/>
      <c r="P265" s="13"/>
      <c r="Q265" s="19"/>
      <c r="R265" s="13"/>
      <c r="S265" s="19"/>
      <c r="T265" s="13"/>
      <c r="U265" s="19"/>
      <c r="V265" s="13"/>
      <c r="W265" s="19"/>
      <c r="X265" s="13"/>
      <c r="Y265" s="19"/>
      <c r="Z265" s="13"/>
      <c r="AA265" s="19"/>
      <c r="AB265" s="13"/>
      <c r="AC265" s="19"/>
      <c r="AD265" s="13"/>
      <c r="AE265" s="19"/>
      <c r="AF265" s="13"/>
      <c r="AG265" s="19"/>
      <c r="AH265" s="13"/>
      <c r="AI265" s="19"/>
      <c r="AJ265" s="13"/>
      <c r="AK265" s="19"/>
      <c r="AL265" s="13"/>
      <c r="AM265" s="19"/>
      <c r="AN265" s="13"/>
      <c r="AO265" s="19"/>
      <c r="AP265" s="13"/>
      <c r="AQ265" s="19"/>
      <c r="AR265" s="13"/>
      <c r="AS265" s="614"/>
      <c r="AT265" s="460"/>
      <c r="AU265" s="783"/>
      <c r="AV265" s="460"/>
    </row>
    <row r="266" spans="1:48">
      <c r="A266" s="14"/>
      <c r="B266" s="15"/>
      <c r="C266" s="16"/>
      <c r="D266" s="17"/>
      <c r="E266" s="12"/>
      <c r="F266" s="18"/>
      <c r="G266" s="19"/>
      <c r="H266" s="13"/>
      <c r="I266" s="19"/>
      <c r="J266" s="13"/>
      <c r="K266" s="19"/>
      <c r="L266" s="13"/>
      <c r="M266" s="19"/>
      <c r="N266" s="13"/>
      <c r="O266" s="19"/>
      <c r="P266" s="13"/>
      <c r="Q266" s="19"/>
      <c r="R266" s="13"/>
      <c r="S266" s="19"/>
      <c r="T266" s="13"/>
      <c r="U266" s="19"/>
      <c r="V266" s="13"/>
      <c r="W266" s="19"/>
      <c r="X266" s="13"/>
      <c r="Y266" s="19"/>
      <c r="Z266" s="13"/>
      <c r="AA266" s="19"/>
      <c r="AB266" s="13"/>
      <c r="AC266" s="19"/>
      <c r="AD266" s="13"/>
      <c r="AE266" s="19"/>
      <c r="AF266" s="13"/>
      <c r="AG266" s="19"/>
      <c r="AH266" s="13"/>
      <c r="AI266" s="19"/>
      <c r="AJ266" s="13"/>
      <c r="AK266" s="19"/>
      <c r="AL266" s="13"/>
      <c r="AM266" s="19"/>
      <c r="AN266" s="13"/>
      <c r="AO266" s="19"/>
      <c r="AP266" s="13"/>
      <c r="AQ266" s="19"/>
      <c r="AR266" s="13"/>
      <c r="AS266" s="614"/>
      <c r="AT266" s="460"/>
      <c r="AU266" s="783"/>
      <c r="AV266" s="460"/>
    </row>
    <row r="267" spans="1:48">
      <c r="A267" s="14"/>
      <c r="B267" s="15"/>
      <c r="C267" s="16"/>
      <c r="D267" s="17"/>
      <c r="E267" s="12"/>
      <c r="F267" s="18"/>
      <c r="G267" s="19"/>
      <c r="H267" s="13"/>
      <c r="I267" s="19"/>
      <c r="J267" s="13"/>
      <c r="K267" s="19"/>
      <c r="L267" s="13"/>
      <c r="M267" s="19"/>
      <c r="N267" s="13"/>
      <c r="O267" s="19"/>
      <c r="P267" s="13"/>
      <c r="Q267" s="19"/>
      <c r="R267" s="13"/>
      <c r="S267" s="19"/>
      <c r="T267" s="13"/>
      <c r="U267" s="19"/>
      <c r="V267" s="13"/>
      <c r="W267" s="19"/>
      <c r="X267" s="13"/>
      <c r="Y267" s="19"/>
      <c r="Z267" s="13"/>
      <c r="AA267" s="19"/>
      <c r="AB267" s="13"/>
      <c r="AC267" s="19"/>
      <c r="AD267" s="13"/>
      <c r="AE267" s="19"/>
      <c r="AF267" s="13"/>
      <c r="AG267" s="19"/>
      <c r="AH267" s="13"/>
      <c r="AI267" s="19"/>
      <c r="AJ267" s="13"/>
      <c r="AK267" s="19"/>
      <c r="AL267" s="13"/>
      <c r="AM267" s="19"/>
      <c r="AN267" s="13"/>
      <c r="AO267" s="19"/>
      <c r="AP267" s="13"/>
      <c r="AQ267" s="19"/>
      <c r="AR267" s="13"/>
      <c r="AS267" s="614"/>
      <c r="AT267" s="460"/>
      <c r="AU267" s="783"/>
      <c r="AV267" s="460"/>
    </row>
    <row r="268" spans="1:48">
      <c r="A268" s="14"/>
      <c r="B268" s="15"/>
      <c r="C268" s="16"/>
      <c r="D268" s="17"/>
      <c r="E268" s="12"/>
      <c r="F268" s="18"/>
      <c r="G268" s="19"/>
      <c r="H268" s="13"/>
      <c r="I268" s="19"/>
      <c r="J268" s="13"/>
      <c r="K268" s="19"/>
      <c r="L268" s="13"/>
      <c r="M268" s="19"/>
      <c r="N268" s="13"/>
      <c r="O268" s="19"/>
      <c r="P268" s="13"/>
      <c r="Q268" s="19"/>
      <c r="R268" s="13"/>
      <c r="S268" s="19"/>
      <c r="T268" s="13"/>
      <c r="U268" s="19"/>
      <c r="V268" s="13"/>
      <c r="W268" s="19"/>
      <c r="X268" s="13"/>
      <c r="Y268" s="19"/>
      <c r="Z268" s="13"/>
      <c r="AA268" s="19"/>
      <c r="AB268" s="13"/>
      <c r="AC268" s="19"/>
      <c r="AD268" s="13"/>
      <c r="AE268" s="19"/>
      <c r="AF268" s="13"/>
      <c r="AG268" s="19"/>
      <c r="AH268" s="13"/>
      <c r="AI268" s="19"/>
      <c r="AJ268" s="13"/>
      <c r="AK268" s="19"/>
      <c r="AL268" s="13"/>
      <c r="AM268" s="19"/>
      <c r="AN268" s="13"/>
      <c r="AO268" s="19"/>
      <c r="AP268" s="13"/>
      <c r="AQ268" s="19"/>
      <c r="AR268" s="13"/>
      <c r="AS268" s="614"/>
      <c r="AT268" s="460"/>
      <c r="AU268" s="783"/>
      <c r="AV268" s="460"/>
    </row>
    <row r="269" spans="1:48">
      <c r="A269" s="14"/>
      <c r="B269" s="15"/>
      <c r="C269" s="16"/>
      <c r="D269" s="17"/>
      <c r="E269" s="12"/>
      <c r="F269" s="18"/>
      <c r="G269" s="19"/>
      <c r="H269" s="13"/>
      <c r="I269" s="19"/>
      <c r="J269" s="13"/>
      <c r="K269" s="19"/>
      <c r="L269" s="13"/>
      <c r="M269" s="19"/>
      <c r="N269" s="13"/>
      <c r="O269" s="19"/>
      <c r="P269" s="13"/>
      <c r="Q269" s="19"/>
      <c r="R269" s="13"/>
      <c r="S269" s="19"/>
      <c r="T269" s="13"/>
      <c r="U269" s="19"/>
      <c r="V269" s="13"/>
      <c r="W269" s="19"/>
      <c r="X269" s="13"/>
      <c r="Y269" s="19"/>
      <c r="Z269" s="13"/>
      <c r="AA269" s="19"/>
      <c r="AB269" s="13"/>
      <c r="AC269" s="19"/>
      <c r="AD269" s="13"/>
      <c r="AE269" s="19"/>
      <c r="AF269" s="13"/>
      <c r="AG269" s="19"/>
      <c r="AH269" s="13"/>
      <c r="AI269" s="19"/>
      <c r="AJ269" s="13"/>
      <c r="AK269" s="19"/>
      <c r="AL269" s="13"/>
      <c r="AM269" s="19"/>
      <c r="AN269" s="13"/>
      <c r="AO269" s="19"/>
      <c r="AP269" s="13"/>
      <c r="AQ269" s="19"/>
      <c r="AR269" s="13"/>
      <c r="AS269" s="614"/>
      <c r="AT269" s="460"/>
      <c r="AU269" s="783"/>
      <c r="AV269" s="460"/>
    </row>
    <row r="270" spans="1:48">
      <c r="A270" s="14"/>
      <c r="B270" s="15"/>
      <c r="C270" s="16"/>
      <c r="D270" s="17"/>
      <c r="E270" s="12"/>
      <c r="F270" s="18"/>
      <c r="G270" s="19"/>
      <c r="H270" s="13"/>
      <c r="I270" s="19"/>
      <c r="J270" s="13"/>
      <c r="K270" s="19"/>
      <c r="L270" s="13"/>
      <c r="M270" s="19"/>
      <c r="N270" s="13"/>
      <c r="O270" s="19"/>
      <c r="P270" s="13"/>
      <c r="Q270" s="19"/>
      <c r="R270" s="13"/>
      <c r="S270" s="19"/>
      <c r="T270" s="13"/>
      <c r="U270" s="19"/>
      <c r="V270" s="13"/>
      <c r="W270" s="19"/>
      <c r="X270" s="13"/>
      <c r="Y270" s="19"/>
      <c r="Z270" s="13"/>
      <c r="AA270" s="19"/>
      <c r="AB270" s="13"/>
      <c r="AC270" s="19"/>
      <c r="AD270" s="13"/>
      <c r="AE270" s="19"/>
      <c r="AF270" s="13"/>
      <c r="AG270" s="19"/>
      <c r="AH270" s="13"/>
      <c r="AI270" s="19"/>
      <c r="AJ270" s="13"/>
      <c r="AK270" s="19"/>
      <c r="AL270" s="13"/>
      <c r="AM270" s="19"/>
      <c r="AN270" s="13"/>
      <c r="AO270" s="19"/>
      <c r="AP270" s="13"/>
      <c r="AQ270" s="19"/>
      <c r="AR270" s="13"/>
      <c r="AS270" s="614"/>
      <c r="AT270" s="460"/>
      <c r="AU270" s="783"/>
      <c r="AV270" s="460"/>
    </row>
    <row r="271" spans="1:48">
      <c r="A271" s="14"/>
      <c r="B271" s="15"/>
      <c r="C271" s="16"/>
      <c r="D271" s="17"/>
      <c r="E271" s="12"/>
      <c r="F271" s="18"/>
      <c r="G271" s="19"/>
      <c r="H271" s="13"/>
      <c r="I271" s="19"/>
      <c r="J271" s="13"/>
      <c r="K271" s="19"/>
      <c r="L271" s="13"/>
      <c r="M271" s="19"/>
      <c r="N271" s="13"/>
      <c r="O271" s="19"/>
      <c r="P271" s="13"/>
      <c r="Q271" s="19"/>
      <c r="R271" s="13"/>
      <c r="S271" s="19"/>
      <c r="T271" s="13"/>
      <c r="U271" s="19"/>
      <c r="V271" s="13"/>
      <c r="W271" s="19"/>
      <c r="X271" s="13"/>
      <c r="Y271" s="19"/>
      <c r="Z271" s="13"/>
      <c r="AA271" s="19"/>
      <c r="AB271" s="13"/>
      <c r="AC271" s="19"/>
      <c r="AD271" s="13"/>
      <c r="AE271" s="19"/>
      <c r="AF271" s="13"/>
      <c r="AG271" s="19"/>
      <c r="AH271" s="13"/>
      <c r="AI271" s="19"/>
      <c r="AJ271" s="13"/>
      <c r="AK271" s="19"/>
      <c r="AL271" s="13"/>
      <c r="AM271" s="19"/>
      <c r="AN271" s="13"/>
      <c r="AO271" s="19"/>
      <c r="AP271" s="13"/>
      <c r="AQ271" s="19"/>
      <c r="AR271" s="13"/>
      <c r="AS271" s="614"/>
      <c r="AT271" s="460"/>
      <c r="AU271" s="783"/>
      <c r="AV271" s="460"/>
    </row>
    <row r="272" spans="1:48">
      <c r="A272" s="14"/>
      <c r="B272" s="15"/>
      <c r="C272" s="16"/>
      <c r="D272" s="17"/>
      <c r="E272" s="12"/>
      <c r="F272" s="18"/>
      <c r="G272" s="19"/>
      <c r="H272" s="13"/>
      <c r="I272" s="19"/>
      <c r="J272" s="13"/>
      <c r="K272" s="19"/>
      <c r="L272" s="13"/>
      <c r="M272" s="19"/>
      <c r="N272" s="13"/>
      <c r="O272" s="19"/>
      <c r="P272" s="13"/>
      <c r="Q272" s="19"/>
      <c r="R272" s="13"/>
      <c r="S272" s="19"/>
      <c r="T272" s="13"/>
      <c r="U272" s="19"/>
      <c r="V272" s="13"/>
      <c r="W272" s="19"/>
      <c r="X272" s="13"/>
      <c r="Y272" s="19"/>
      <c r="Z272" s="13"/>
      <c r="AA272" s="19"/>
      <c r="AB272" s="13"/>
      <c r="AC272" s="19"/>
      <c r="AD272" s="13"/>
      <c r="AE272" s="19"/>
      <c r="AF272" s="13"/>
      <c r="AG272" s="19"/>
      <c r="AH272" s="13"/>
      <c r="AI272" s="19"/>
      <c r="AJ272" s="13"/>
      <c r="AK272" s="19"/>
      <c r="AL272" s="13"/>
      <c r="AM272" s="19"/>
      <c r="AN272" s="13"/>
      <c r="AO272" s="19"/>
      <c r="AP272" s="13"/>
      <c r="AQ272" s="19"/>
      <c r="AR272" s="13"/>
      <c r="AS272" s="614"/>
      <c r="AT272" s="460"/>
      <c r="AU272" s="783"/>
      <c r="AV272" s="460"/>
    </row>
    <row r="273" spans="1:48">
      <c r="A273" s="14"/>
      <c r="B273" s="15"/>
      <c r="C273" s="16"/>
      <c r="D273" s="17"/>
      <c r="E273" s="12"/>
      <c r="F273" s="18"/>
      <c r="G273" s="19"/>
      <c r="H273" s="13"/>
      <c r="I273" s="19"/>
      <c r="J273" s="13"/>
      <c r="K273" s="19"/>
      <c r="L273" s="13"/>
      <c r="M273" s="19"/>
      <c r="N273" s="13"/>
      <c r="O273" s="19"/>
      <c r="P273" s="13"/>
      <c r="Q273" s="19"/>
      <c r="R273" s="13"/>
      <c r="S273" s="19"/>
      <c r="T273" s="13"/>
      <c r="U273" s="19"/>
      <c r="V273" s="13"/>
      <c r="W273" s="19"/>
      <c r="X273" s="13"/>
      <c r="Y273" s="19"/>
      <c r="Z273" s="13"/>
      <c r="AA273" s="19"/>
      <c r="AB273" s="13"/>
      <c r="AC273" s="19"/>
      <c r="AD273" s="13"/>
      <c r="AE273" s="19"/>
      <c r="AF273" s="13"/>
      <c r="AG273" s="19"/>
      <c r="AH273" s="13"/>
      <c r="AI273" s="19"/>
      <c r="AJ273" s="13"/>
      <c r="AK273" s="19"/>
      <c r="AL273" s="13"/>
      <c r="AM273" s="19"/>
      <c r="AN273" s="13"/>
      <c r="AO273" s="19"/>
      <c r="AP273" s="13"/>
      <c r="AQ273" s="19"/>
      <c r="AR273" s="13"/>
      <c r="AS273" s="614"/>
      <c r="AT273" s="460"/>
      <c r="AU273" s="783"/>
      <c r="AV273" s="460"/>
    </row>
    <row r="274" spans="1:48">
      <c r="A274" s="14"/>
      <c r="B274" s="15"/>
      <c r="C274" s="16"/>
      <c r="D274" s="17"/>
      <c r="E274" s="12"/>
      <c r="F274" s="18"/>
      <c r="G274" s="19"/>
      <c r="H274" s="13"/>
      <c r="I274" s="19"/>
      <c r="J274" s="13"/>
      <c r="K274" s="19"/>
      <c r="L274" s="13"/>
      <c r="M274" s="19"/>
      <c r="N274" s="13"/>
      <c r="O274" s="19"/>
      <c r="P274" s="13"/>
      <c r="Q274" s="19"/>
      <c r="R274" s="13"/>
      <c r="S274" s="19"/>
      <c r="T274" s="13"/>
      <c r="U274" s="19"/>
      <c r="V274" s="13"/>
      <c r="W274" s="19"/>
      <c r="X274" s="13"/>
      <c r="Y274" s="19"/>
      <c r="Z274" s="13"/>
      <c r="AA274" s="19"/>
      <c r="AB274" s="13"/>
      <c r="AC274" s="19"/>
      <c r="AD274" s="13"/>
      <c r="AE274" s="19"/>
      <c r="AF274" s="13"/>
      <c r="AG274" s="19"/>
      <c r="AH274" s="13"/>
      <c r="AI274" s="19"/>
      <c r="AJ274" s="13"/>
      <c r="AK274" s="19"/>
      <c r="AL274" s="13"/>
      <c r="AM274" s="19"/>
      <c r="AN274" s="13"/>
      <c r="AO274" s="19"/>
      <c r="AP274" s="13"/>
      <c r="AQ274" s="19"/>
      <c r="AR274" s="13"/>
      <c r="AS274" s="614"/>
      <c r="AT274" s="460"/>
      <c r="AU274" s="783"/>
      <c r="AV274" s="460"/>
    </row>
    <row r="275" spans="1:48">
      <c r="A275" s="14"/>
      <c r="B275" s="15"/>
      <c r="C275" s="16"/>
      <c r="D275" s="17"/>
      <c r="E275" s="12"/>
      <c r="F275" s="18"/>
      <c r="G275" s="19"/>
      <c r="H275" s="13"/>
      <c r="I275" s="19"/>
      <c r="J275" s="13"/>
      <c r="K275" s="19"/>
      <c r="L275" s="13"/>
      <c r="M275" s="19"/>
      <c r="N275" s="13"/>
      <c r="O275" s="19"/>
      <c r="P275" s="13"/>
      <c r="Q275" s="19"/>
      <c r="R275" s="13"/>
      <c r="S275" s="19"/>
      <c r="T275" s="13"/>
      <c r="U275" s="19"/>
      <c r="V275" s="13"/>
      <c r="W275" s="19"/>
      <c r="X275" s="13"/>
      <c r="Y275" s="19"/>
      <c r="Z275" s="13"/>
      <c r="AA275" s="19"/>
      <c r="AB275" s="13"/>
      <c r="AC275" s="19"/>
      <c r="AD275" s="13"/>
      <c r="AE275" s="19"/>
      <c r="AF275" s="13"/>
      <c r="AG275" s="19"/>
      <c r="AH275" s="13"/>
      <c r="AI275" s="19"/>
      <c r="AJ275" s="13"/>
      <c r="AK275" s="19"/>
      <c r="AL275" s="13"/>
      <c r="AM275" s="19"/>
      <c r="AN275" s="13"/>
      <c r="AO275" s="19"/>
      <c r="AP275" s="13"/>
      <c r="AQ275" s="19"/>
      <c r="AR275" s="13"/>
      <c r="AS275" s="614"/>
      <c r="AT275" s="460"/>
      <c r="AU275" s="783"/>
      <c r="AV275" s="460"/>
    </row>
    <row r="276" spans="1:48">
      <c r="A276" s="14"/>
      <c r="B276" s="15"/>
      <c r="C276" s="16"/>
      <c r="D276" s="17"/>
      <c r="E276" s="12"/>
      <c r="F276" s="18"/>
      <c r="G276" s="19"/>
      <c r="H276" s="13"/>
      <c r="I276" s="19"/>
      <c r="J276" s="13"/>
      <c r="K276" s="19"/>
      <c r="L276" s="13"/>
      <c r="M276" s="19"/>
      <c r="N276" s="13"/>
      <c r="O276" s="19"/>
      <c r="P276" s="13"/>
      <c r="Q276" s="19"/>
      <c r="R276" s="13"/>
      <c r="S276" s="19"/>
      <c r="T276" s="13"/>
      <c r="U276" s="19"/>
      <c r="V276" s="13"/>
      <c r="W276" s="19"/>
      <c r="X276" s="13"/>
      <c r="Y276" s="19"/>
      <c r="Z276" s="13"/>
      <c r="AA276" s="19"/>
      <c r="AB276" s="13"/>
      <c r="AC276" s="19"/>
      <c r="AD276" s="13"/>
      <c r="AE276" s="19"/>
      <c r="AF276" s="13"/>
      <c r="AG276" s="19"/>
      <c r="AH276" s="13"/>
      <c r="AI276" s="19"/>
      <c r="AJ276" s="13"/>
      <c r="AK276" s="19"/>
      <c r="AL276" s="13"/>
      <c r="AM276" s="19"/>
      <c r="AN276" s="13"/>
      <c r="AO276" s="19"/>
      <c r="AP276" s="13"/>
      <c r="AQ276" s="19"/>
      <c r="AR276" s="13"/>
      <c r="AS276" s="614"/>
      <c r="AT276" s="460"/>
      <c r="AU276" s="783"/>
      <c r="AV276" s="460"/>
    </row>
    <row r="277" spans="1:48">
      <c r="A277" s="14"/>
      <c r="B277" s="15"/>
      <c r="C277" s="16"/>
      <c r="D277" s="17"/>
      <c r="E277" s="12"/>
      <c r="F277" s="18"/>
      <c r="G277" s="19"/>
      <c r="H277" s="13"/>
      <c r="I277" s="19"/>
      <c r="J277" s="13"/>
      <c r="K277" s="19"/>
      <c r="L277" s="13"/>
      <c r="M277" s="19"/>
      <c r="N277" s="13"/>
      <c r="O277" s="19"/>
      <c r="P277" s="13"/>
      <c r="Q277" s="19"/>
      <c r="R277" s="13"/>
      <c r="S277" s="19"/>
      <c r="T277" s="13"/>
      <c r="U277" s="19"/>
      <c r="V277" s="13"/>
      <c r="W277" s="19"/>
      <c r="X277" s="13"/>
      <c r="Y277" s="19"/>
      <c r="Z277" s="13"/>
      <c r="AA277" s="19"/>
      <c r="AB277" s="13"/>
      <c r="AC277" s="19"/>
      <c r="AD277" s="13"/>
      <c r="AE277" s="19"/>
      <c r="AF277" s="13"/>
      <c r="AG277" s="19"/>
      <c r="AH277" s="13"/>
      <c r="AI277" s="19"/>
      <c r="AJ277" s="13"/>
      <c r="AK277" s="19"/>
      <c r="AL277" s="13"/>
      <c r="AM277" s="19"/>
      <c r="AN277" s="13"/>
      <c r="AO277" s="19"/>
      <c r="AP277" s="13"/>
      <c r="AQ277" s="19"/>
      <c r="AR277" s="13"/>
      <c r="AS277" s="614"/>
      <c r="AT277" s="460"/>
      <c r="AU277" s="783"/>
      <c r="AV277" s="460"/>
    </row>
    <row r="278" spans="1:48">
      <c r="A278" s="14"/>
      <c r="B278" s="15"/>
      <c r="C278" s="16"/>
      <c r="D278" s="17"/>
      <c r="E278" s="12"/>
      <c r="F278" s="18"/>
      <c r="G278" s="19"/>
      <c r="H278" s="13"/>
      <c r="I278" s="19"/>
      <c r="J278" s="13"/>
      <c r="K278" s="19"/>
      <c r="L278" s="13"/>
      <c r="M278" s="19"/>
      <c r="N278" s="13"/>
      <c r="O278" s="19"/>
      <c r="P278" s="13"/>
      <c r="Q278" s="19"/>
      <c r="R278" s="13"/>
      <c r="S278" s="19"/>
      <c r="T278" s="13"/>
      <c r="U278" s="19"/>
      <c r="V278" s="13"/>
      <c r="W278" s="19"/>
      <c r="X278" s="13"/>
      <c r="Y278" s="19"/>
      <c r="Z278" s="13"/>
      <c r="AA278" s="19"/>
      <c r="AB278" s="13"/>
      <c r="AC278" s="19"/>
      <c r="AD278" s="13"/>
      <c r="AE278" s="19"/>
      <c r="AF278" s="13"/>
      <c r="AG278" s="19"/>
      <c r="AH278" s="13"/>
      <c r="AI278" s="19"/>
      <c r="AJ278" s="13"/>
      <c r="AK278" s="19"/>
      <c r="AL278" s="13"/>
      <c r="AM278" s="19"/>
      <c r="AN278" s="13"/>
      <c r="AO278" s="19"/>
      <c r="AP278" s="13"/>
      <c r="AQ278" s="19"/>
      <c r="AR278" s="13"/>
      <c r="AS278" s="614"/>
      <c r="AT278" s="460"/>
      <c r="AU278" s="783"/>
      <c r="AV278" s="460"/>
    </row>
    <row r="279" spans="1:48">
      <c r="A279" s="14"/>
      <c r="B279" s="15"/>
      <c r="C279" s="16"/>
      <c r="D279" s="17"/>
      <c r="E279" s="12"/>
      <c r="F279" s="18"/>
      <c r="G279" s="19"/>
      <c r="H279" s="13"/>
      <c r="I279" s="19"/>
      <c r="J279" s="13"/>
      <c r="K279" s="19"/>
      <c r="L279" s="13"/>
      <c r="M279" s="19"/>
      <c r="N279" s="13"/>
      <c r="O279" s="19"/>
      <c r="P279" s="13"/>
      <c r="Q279" s="19"/>
      <c r="R279" s="13"/>
      <c r="S279" s="19"/>
      <c r="T279" s="13"/>
      <c r="U279" s="19"/>
      <c r="V279" s="13"/>
      <c r="W279" s="19"/>
      <c r="X279" s="13"/>
      <c r="Y279" s="19"/>
      <c r="Z279" s="13"/>
      <c r="AA279" s="19"/>
      <c r="AB279" s="13"/>
      <c r="AC279" s="19"/>
      <c r="AD279" s="13"/>
      <c r="AE279" s="19"/>
      <c r="AF279" s="13"/>
      <c r="AG279" s="19"/>
      <c r="AH279" s="13"/>
      <c r="AI279" s="19"/>
      <c r="AJ279" s="13"/>
      <c r="AK279" s="19"/>
      <c r="AL279" s="13"/>
      <c r="AM279" s="19"/>
      <c r="AN279" s="13"/>
      <c r="AO279" s="19"/>
      <c r="AP279" s="13"/>
      <c r="AQ279" s="19"/>
      <c r="AR279" s="13"/>
      <c r="AS279" s="614"/>
      <c r="AT279" s="460"/>
      <c r="AU279" s="783"/>
      <c r="AV279" s="460"/>
    </row>
    <row r="280" spans="1:48">
      <c r="A280" s="14"/>
      <c r="B280" s="15"/>
      <c r="C280" s="16"/>
      <c r="D280" s="17"/>
      <c r="E280" s="12"/>
      <c r="F280" s="18"/>
      <c r="G280" s="19"/>
      <c r="H280" s="13"/>
      <c r="I280" s="19"/>
      <c r="J280" s="13"/>
      <c r="K280" s="19"/>
      <c r="L280" s="13"/>
      <c r="M280" s="19"/>
      <c r="N280" s="13"/>
      <c r="O280" s="19"/>
      <c r="P280" s="13"/>
      <c r="Q280" s="19"/>
      <c r="R280" s="13"/>
      <c r="S280" s="19"/>
      <c r="T280" s="13"/>
      <c r="U280" s="19"/>
      <c r="V280" s="13"/>
      <c r="W280" s="19"/>
      <c r="X280" s="13"/>
      <c r="Y280" s="19"/>
      <c r="Z280" s="13"/>
      <c r="AA280" s="19"/>
      <c r="AB280" s="13"/>
      <c r="AC280" s="19"/>
      <c r="AD280" s="13"/>
      <c r="AE280" s="19"/>
      <c r="AF280" s="13"/>
      <c r="AG280" s="19"/>
      <c r="AH280" s="13"/>
      <c r="AI280" s="19"/>
      <c r="AJ280" s="13"/>
      <c r="AK280" s="19"/>
      <c r="AL280" s="13"/>
      <c r="AM280" s="19"/>
      <c r="AN280" s="13"/>
      <c r="AO280" s="19"/>
      <c r="AP280" s="13"/>
      <c r="AQ280" s="19"/>
      <c r="AR280" s="13"/>
      <c r="AS280" s="614"/>
      <c r="AT280" s="460"/>
      <c r="AU280" s="783"/>
      <c r="AV280" s="460"/>
    </row>
    <row r="281" spans="1:48">
      <c r="A281" s="14"/>
      <c r="B281" s="15"/>
      <c r="C281" s="16"/>
      <c r="D281" s="17"/>
      <c r="E281" s="12"/>
      <c r="F281" s="18"/>
      <c r="G281" s="19"/>
      <c r="H281" s="13"/>
      <c r="I281" s="19"/>
      <c r="J281" s="13"/>
      <c r="K281" s="19"/>
      <c r="L281" s="13"/>
      <c r="M281" s="19"/>
      <c r="N281" s="13"/>
      <c r="O281" s="19"/>
      <c r="P281" s="13"/>
      <c r="Q281" s="19"/>
      <c r="R281" s="13"/>
      <c r="S281" s="19"/>
      <c r="T281" s="13"/>
      <c r="U281" s="19"/>
      <c r="V281" s="13"/>
      <c r="W281" s="19"/>
      <c r="X281" s="13"/>
      <c r="Y281" s="19"/>
      <c r="Z281" s="13"/>
      <c r="AA281" s="19"/>
      <c r="AB281" s="13"/>
      <c r="AC281" s="19"/>
      <c r="AD281" s="13"/>
      <c r="AE281" s="19"/>
      <c r="AF281" s="13"/>
      <c r="AG281" s="19"/>
      <c r="AH281" s="13"/>
      <c r="AI281" s="19"/>
      <c r="AJ281" s="13"/>
      <c r="AK281" s="19"/>
      <c r="AL281" s="13"/>
      <c r="AM281" s="19"/>
      <c r="AN281" s="13"/>
      <c r="AO281" s="19"/>
      <c r="AP281" s="13"/>
      <c r="AQ281" s="19"/>
      <c r="AR281" s="13"/>
      <c r="AS281" s="614"/>
      <c r="AT281" s="460"/>
      <c r="AU281" s="783"/>
      <c r="AV281" s="460"/>
    </row>
    <row r="282" spans="1:48">
      <c r="A282" s="14"/>
      <c r="B282" s="15"/>
      <c r="C282" s="16"/>
      <c r="D282" s="17"/>
      <c r="E282" s="12"/>
      <c r="F282" s="18"/>
      <c r="G282" s="19"/>
      <c r="H282" s="13"/>
      <c r="I282" s="19"/>
      <c r="J282" s="13"/>
      <c r="K282" s="19"/>
      <c r="L282" s="13"/>
      <c r="M282" s="19"/>
      <c r="N282" s="13"/>
      <c r="O282" s="19"/>
      <c r="P282" s="13"/>
      <c r="Q282" s="19"/>
      <c r="R282" s="13"/>
      <c r="S282" s="19"/>
      <c r="T282" s="13"/>
      <c r="U282" s="19"/>
      <c r="V282" s="13"/>
      <c r="W282" s="19"/>
      <c r="X282" s="13"/>
      <c r="Y282" s="19"/>
      <c r="Z282" s="13"/>
      <c r="AA282" s="19"/>
      <c r="AB282" s="13"/>
      <c r="AC282" s="19"/>
      <c r="AD282" s="13"/>
      <c r="AE282" s="19"/>
      <c r="AF282" s="13"/>
      <c r="AG282" s="19"/>
      <c r="AH282" s="13"/>
      <c r="AI282" s="19"/>
      <c r="AJ282" s="13"/>
      <c r="AK282" s="19"/>
      <c r="AL282" s="13"/>
      <c r="AM282" s="19"/>
      <c r="AN282" s="13"/>
      <c r="AO282" s="19"/>
      <c r="AP282" s="13"/>
      <c r="AQ282" s="19"/>
      <c r="AR282" s="13"/>
      <c r="AS282" s="614"/>
      <c r="AT282" s="460"/>
      <c r="AU282" s="783"/>
      <c r="AV282" s="460"/>
    </row>
    <row r="283" spans="1:48">
      <c r="A283" s="14"/>
      <c r="B283" s="15"/>
      <c r="C283" s="16"/>
      <c r="D283" s="17"/>
      <c r="E283" s="12"/>
      <c r="F283" s="18"/>
      <c r="G283" s="19"/>
      <c r="H283" s="13"/>
      <c r="I283" s="19"/>
      <c r="J283" s="13"/>
      <c r="K283" s="19"/>
      <c r="L283" s="13"/>
      <c r="M283" s="19"/>
      <c r="N283" s="13"/>
      <c r="O283" s="19"/>
      <c r="P283" s="13"/>
      <c r="Q283" s="19"/>
      <c r="R283" s="13"/>
      <c r="S283" s="19"/>
      <c r="T283" s="13"/>
      <c r="U283" s="19"/>
      <c r="V283" s="13"/>
      <c r="W283" s="19"/>
      <c r="X283" s="13"/>
      <c r="Y283" s="19"/>
      <c r="Z283" s="13"/>
      <c r="AA283" s="19"/>
      <c r="AB283" s="13"/>
      <c r="AC283" s="19"/>
      <c r="AD283" s="13"/>
      <c r="AE283" s="19"/>
      <c r="AF283" s="13"/>
      <c r="AG283" s="19"/>
      <c r="AH283" s="13"/>
      <c r="AI283" s="19"/>
      <c r="AJ283" s="13"/>
      <c r="AK283" s="19"/>
      <c r="AL283" s="13"/>
      <c r="AM283" s="19"/>
      <c r="AN283" s="13"/>
      <c r="AO283" s="19"/>
      <c r="AP283" s="13"/>
      <c r="AQ283" s="19"/>
      <c r="AR283" s="13"/>
      <c r="AS283" s="614"/>
      <c r="AT283" s="460"/>
      <c r="AU283" s="783"/>
      <c r="AV283" s="460"/>
    </row>
    <row r="284" spans="1:48">
      <c r="A284" s="14"/>
      <c r="B284" s="15"/>
      <c r="C284" s="16"/>
      <c r="D284" s="17"/>
      <c r="E284" s="12"/>
      <c r="F284" s="18"/>
      <c r="G284" s="19"/>
      <c r="H284" s="13"/>
      <c r="I284" s="19"/>
      <c r="J284" s="13"/>
      <c r="K284" s="19"/>
      <c r="L284" s="13"/>
      <c r="M284" s="19"/>
      <c r="N284" s="13"/>
      <c r="O284" s="19"/>
      <c r="P284" s="13"/>
      <c r="Q284" s="19"/>
      <c r="R284" s="13"/>
      <c r="S284" s="19"/>
      <c r="T284" s="13"/>
      <c r="U284" s="19"/>
      <c r="V284" s="13"/>
      <c r="W284" s="19"/>
      <c r="X284" s="13"/>
      <c r="Y284" s="19"/>
      <c r="Z284" s="13"/>
      <c r="AA284" s="19"/>
      <c r="AB284" s="13"/>
      <c r="AC284" s="19"/>
      <c r="AD284" s="13"/>
      <c r="AE284" s="19"/>
      <c r="AF284" s="13"/>
      <c r="AG284" s="19"/>
      <c r="AH284" s="13"/>
      <c r="AI284" s="19"/>
      <c r="AJ284" s="13"/>
      <c r="AK284" s="19"/>
      <c r="AL284" s="13"/>
      <c r="AM284" s="19"/>
      <c r="AN284" s="13"/>
      <c r="AO284" s="19"/>
      <c r="AP284" s="13"/>
      <c r="AQ284" s="19"/>
      <c r="AR284" s="13"/>
      <c r="AS284" s="614"/>
      <c r="AT284" s="460"/>
      <c r="AU284" s="783"/>
      <c r="AV284" s="460"/>
    </row>
    <row r="285" spans="1:48">
      <c r="A285" s="14"/>
      <c r="B285" s="15"/>
      <c r="C285" s="16"/>
      <c r="D285" s="17"/>
      <c r="E285" s="12"/>
      <c r="F285" s="18"/>
      <c r="G285" s="19"/>
      <c r="H285" s="13"/>
      <c r="I285" s="19"/>
      <c r="J285" s="13"/>
      <c r="K285" s="19"/>
      <c r="L285" s="13"/>
      <c r="M285" s="19"/>
      <c r="N285" s="13"/>
      <c r="O285" s="19"/>
      <c r="P285" s="13"/>
      <c r="Q285" s="19"/>
      <c r="R285" s="13"/>
      <c r="S285" s="19"/>
      <c r="T285" s="13"/>
      <c r="U285" s="19"/>
      <c r="V285" s="13"/>
      <c r="W285" s="19"/>
      <c r="X285" s="13"/>
      <c r="Y285" s="19"/>
      <c r="Z285" s="13"/>
      <c r="AA285" s="19"/>
      <c r="AB285" s="13"/>
      <c r="AC285" s="19"/>
      <c r="AD285" s="13"/>
      <c r="AE285" s="19"/>
      <c r="AF285" s="13"/>
      <c r="AG285" s="19"/>
      <c r="AH285" s="13"/>
      <c r="AI285" s="19"/>
      <c r="AJ285" s="13"/>
      <c r="AK285" s="19"/>
      <c r="AL285" s="13"/>
      <c r="AM285" s="19"/>
      <c r="AN285" s="13"/>
      <c r="AO285" s="19"/>
      <c r="AP285" s="13"/>
      <c r="AQ285" s="19"/>
      <c r="AR285" s="13"/>
      <c r="AS285" s="614"/>
      <c r="AT285" s="460"/>
      <c r="AU285" s="783"/>
      <c r="AV285" s="460"/>
    </row>
    <row r="286" spans="1:48">
      <c r="A286" s="14"/>
      <c r="B286" s="15"/>
      <c r="C286" s="16"/>
      <c r="D286" s="17"/>
      <c r="E286" s="12"/>
      <c r="F286" s="18"/>
      <c r="G286" s="19"/>
      <c r="H286" s="13"/>
      <c r="I286" s="19"/>
      <c r="J286" s="13"/>
      <c r="K286" s="19"/>
      <c r="L286" s="13"/>
      <c r="M286" s="19"/>
      <c r="N286" s="13"/>
      <c r="O286" s="19"/>
      <c r="P286" s="13"/>
      <c r="Q286" s="19"/>
      <c r="R286" s="13"/>
      <c r="S286" s="19"/>
      <c r="T286" s="13"/>
      <c r="U286" s="19"/>
      <c r="V286" s="13"/>
      <c r="W286" s="19"/>
      <c r="X286" s="13"/>
      <c r="Y286" s="19"/>
      <c r="Z286" s="13"/>
      <c r="AA286" s="19"/>
      <c r="AB286" s="13"/>
      <c r="AC286" s="19"/>
      <c r="AD286" s="13"/>
      <c r="AE286" s="19"/>
      <c r="AF286" s="13"/>
      <c r="AG286" s="19"/>
      <c r="AH286" s="13"/>
      <c r="AI286" s="19"/>
      <c r="AJ286" s="13"/>
      <c r="AK286" s="19"/>
      <c r="AL286" s="13"/>
      <c r="AM286" s="19"/>
      <c r="AN286" s="13"/>
      <c r="AO286" s="19"/>
      <c r="AP286" s="13"/>
      <c r="AQ286" s="19"/>
      <c r="AR286" s="13"/>
      <c r="AS286" s="614"/>
      <c r="AT286" s="460"/>
      <c r="AU286" s="783"/>
      <c r="AV286" s="460"/>
    </row>
    <row r="287" spans="1:48">
      <c r="A287" s="14"/>
      <c r="B287" s="15"/>
      <c r="C287" s="16"/>
      <c r="D287" s="17"/>
      <c r="E287" s="12"/>
      <c r="F287" s="18"/>
      <c r="G287" s="19"/>
      <c r="H287" s="13"/>
      <c r="I287" s="19"/>
      <c r="J287" s="13"/>
      <c r="K287" s="19"/>
      <c r="L287" s="13"/>
      <c r="M287" s="19"/>
      <c r="N287" s="13"/>
      <c r="O287" s="19"/>
      <c r="P287" s="13"/>
      <c r="Q287" s="19"/>
      <c r="R287" s="13"/>
      <c r="S287" s="19"/>
      <c r="T287" s="13"/>
      <c r="U287" s="19"/>
      <c r="V287" s="13"/>
      <c r="W287" s="19"/>
      <c r="X287" s="13"/>
      <c r="Y287" s="19"/>
      <c r="Z287" s="13"/>
      <c r="AA287" s="19"/>
      <c r="AB287" s="13"/>
      <c r="AC287" s="19"/>
      <c r="AD287" s="13"/>
      <c r="AE287" s="19"/>
      <c r="AF287" s="13"/>
      <c r="AG287" s="19"/>
      <c r="AH287" s="13"/>
      <c r="AI287" s="19"/>
      <c r="AJ287" s="13"/>
      <c r="AK287" s="19"/>
      <c r="AL287" s="13"/>
      <c r="AM287" s="19"/>
      <c r="AN287" s="13"/>
      <c r="AO287" s="19"/>
      <c r="AP287" s="13"/>
      <c r="AQ287" s="19"/>
      <c r="AR287" s="13"/>
      <c r="AS287" s="614"/>
      <c r="AT287" s="460"/>
      <c r="AU287" s="783"/>
      <c r="AV287" s="460"/>
    </row>
    <row r="288" spans="1:48">
      <c r="A288" s="14"/>
      <c r="B288" s="15"/>
      <c r="C288" s="16"/>
      <c r="D288" s="17"/>
      <c r="E288" s="12"/>
      <c r="F288" s="18"/>
      <c r="G288" s="19"/>
      <c r="H288" s="13"/>
      <c r="I288" s="19"/>
      <c r="J288" s="13"/>
      <c r="K288" s="19"/>
      <c r="L288" s="13"/>
      <c r="M288" s="19"/>
      <c r="N288" s="13"/>
      <c r="O288" s="19"/>
      <c r="P288" s="13"/>
      <c r="Q288" s="19"/>
      <c r="R288" s="13"/>
      <c r="S288" s="19"/>
      <c r="T288" s="13"/>
      <c r="U288" s="19"/>
      <c r="V288" s="13"/>
      <c r="W288" s="19"/>
      <c r="X288" s="13"/>
      <c r="Y288" s="19"/>
      <c r="Z288" s="13"/>
      <c r="AA288" s="19"/>
      <c r="AB288" s="13"/>
      <c r="AC288" s="19"/>
      <c r="AD288" s="13"/>
      <c r="AE288" s="19"/>
      <c r="AF288" s="13"/>
      <c r="AG288" s="19"/>
      <c r="AH288" s="13"/>
      <c r="AI288" s="19"/>
      <c r="AJ288" s="13"/>
      <c r="AK288" s="19"/>
      <c r="AL288" s="13"/>
      <c r="AM288" s="19"/>
      <c r="AN288" s="13"/>
      <c r="AO288" s="19"/>
      <c r="AP288" s="13"/>
      <c r="AQ288" s="19"/>
      <c r="AR288" s="13"/>
      <c r="AS288" s="614"/>
      <c r="AT288" s="460"/>
      <c r="AU288" s="783"/>
      <c r="AV288" s="460"/>
    </row>
    <row r="289" spans="1:48">
      <c r="A289" s="14"/>
      <c r="B289" s="15"/>
      <c r="C289" s="16"/>
      <c r="D289" s="17"/>
      <c r="E289" s="12"/>
      <c r="F289" s="18"/>
      <c r="G289" s="19"/>
      <c r="H289" s="13"/>
      <c r="I289" s="19"/>
      <c r="J289" s="13"/>
      <c r="K289" s="19"/>
      <c r="L289" s="13"/>
      <c r="M289" s="19"/>
      <c r="N289" s="13"/>
      <c r="O289" s="19"/>
      <c r="P289" s="13"/>
      <c r="Q289" s="19"/>
      <c r="R289" s="13"/>
      <c r="S289" s="19"/>
      <c r="T289" s="13"/>
      <c r="U289" s="19"/>
      <c r="V289" s="13"/>
      <c r="W289" s="19"/>
      <c r="X289" s="13"/>
      <c r="Y289" s="19"/>
      <c r="Z289" s="13"/>
      <c r="AA289" s="19"/>
      <c r="AB289" s="13"/>
      <c r="AC289" s="19"/>
      <c r="AD289" s="13"/>
      <c r="AE289" s="19"/>
      <c r="AF289" s="13"/>
      <c r="AG289" s="19"/>
      <c r="AH289" s="13"/>
      <c r="AI289" s="19"/>
      <c r="AJ289" s="13"/>
      <c r="AK289" s="19"/>
      <c r="AL289" s="13"/>
      <c r="AM289" s="19"/>
      <c r="AN289" s="13"/>
      <c r="AO289" s="19"/>
      <c r="AP289" s="13"/>
      <c r="AQ289" s="19"/>
      <c r="AR289" s="13"/>
      <c r="AS289" s="614"/>
      <c r="AT289" s="460"/>
      <c r="AU289" s="783"/>
      <c r="AV289" s="460"/>
    </row>
    <row r="290" spans="1:48">
      <c r="A290" s="14"/>
      <c r="B290" s="15"/>
      <c r="C290" s="16"/>
      <c r="D290" s="17"/>
      <c r="E290" s="12"/>
      <c r="F290" s="18"/>
      <c r="G290" s="19"/>
      <c r="H290" s="13"/>
      <c r="I290" s="19"/>
      <c r="J290" s="13"/>
      <c r="K290" s="19"/>
      <c r="L290" s="13"/>
      <c r="M290" s="19"/>
      <c r="N290" s="13"/>
      <c r="O290" s="19"/>
      <c r="P290" s="13"/>
      <c r="Q290" s="19"/>
      <c r="R290" s="13"/>
      <c r="S290" s="19"/>
      <c r="T290" s="13"/>
      <c r="U290" s="19"/>
      <c r="V290" s="13"/>
      <c r="W290" s="19"/>
      <c r="X290" s="13"/>
      <c r="Y290" s="19"/>
      <c r="Z290" s="13"/>
      <c r="AA290" s="19"/>
      <c r="AB290" s="13"/>
      <c r="AC290" s="19"/>
      <c r="AD290" s="13"/>
      <c r="AE290" s="19"/>
      <c r="AF290" s="13"/>
      <c r="AG290" s="19"/>
      <c r="AH290" s="13"/>
      <c r="AI290" s="19"/>
      <c r="AJ290" s="13"/>
      <c r="AK290" s="19"/>
      <c r="AL290" s="13"/>
      <c r="AM290" s="19"/>
      <c r="AN290" s="13"/>
      <c r="AO290" s="19"/>
      <c r="AP290" s="13"/>
      <c r="AQ290" s="19"/>
      <c r="AR290" s="13"/>
      <c r="AS290" s="614"/>
      <c r="AT290" s="460"/>
      <c r="AU290" s="783"/>
      <c r="AV290" s="460"/>
    </row>
    <row r="291" spans="1:48">
      <c r="A291" s="14"/>
      <c r="B291" s="15"/>
      <c r="C291" s="16"/>
      <c r="D291" s="17"/>
      <c r="E291" s="12"/>
      <c r="F291" s="18"/>
      <c r="G291" s="19"/>
      <c r="H291" s="13"/>
      <c r="I291" s="19"/>
      <c r="J291" s="13"/>
      <c r="K291" s="19"/>
      <c r="L291" s="13"/>
      <c r="M291" s="19"/>
      <c r="N291" s="13"/>
      <c r="O291" s="19"/>
      <c r="P291" s="13"/>
      <c r="Q291" s="19"/>
      <c r="R291" s="13"/>
      <c r="S291" s="19"/>
      <c r="T291" s="13"/>
      <c r="U291" s="19"/>
      <c r="V291" s="13"/>
      <c r="W291" s="19"/>
      <c r="X291" s="13"/>
      <c r="Y291" s="19"/>
      <c r="Z291" s="13"/>
      <c r="AA291" s="19"/>
      <c r="AB291" s="13"/>
      <c r="AC291" s="19"/>
      <c r="AD291" s="13"/>
      <c r="AE291" s="19"/>
      <c r="AF291" s="13"/>
      <c r="AG291" s="19"/>
      <c r="AH291" s="13"/>
      <c r="AI291" s="19"/>
      <c r="AJ291" s="13"/>
      <c r="AK291" s="19"/>
      <c r="AL291" s="13"/>
      <c r="AM291" s="19"/>
      <c r="AN291" s="13"/>
      <c r="AO291" s="19"/>
      <c r="AP291" s="13"/>
      <c r="AQ291" s="19"/>
      <c r="AR291" s="13"/>
      <c r="AS291" s="614"/>
      <c r="AT291" s="460"/>
      <c r="AU291" s="783"/>
      <c r="AV291" s="460"/>
    </row>
    <row r="292" spans="1:48">
      <c r="A292" s="14"/>
      <c r="B292" s="15"/>
      <c r="C292" s="16"/>
      <c r="D292" s="17"/>
      <c r="E292" s="12"/>
      <c r="F292" s="18"/>
      <c r="G292" s="19"/>
      <c r="H292" s="13"/>
      <c r="I292" s="19"/>
      <c r="J292" s="13"/>
      <c r="K292" s="19"/>
      <c r="L292" s="13"/>
      <c r="M292" s="19"/>
      <c r="N292" s="13"/>
      <c r="O292" s="19"/>
      <c r="P292" s="13"/>
      <c r="Q292" s="19"/>
      <c r="R292" s="13"/>
      <c r="S292" s="19"/>
      <c r="T292" s="13"/>
      <c r="U292" s="19"/>
      <c r="V292" s="13"/>
      <c r="W292" s="19"/>
      <c r="X292" s="13"/>
      <c r="Y292" s="19"/>
      <c r="Z292" s="13"/>
      <c r="AA292" s="19"/>
      <c r="AB292" s="13"/>
      <c r="AC292" s="19"/>
      <c r="AD292" s="13"/>
      <c r="AE292" s="19"/>
      <c r="AF292" s="13"/>
      <c r="AG292" s="19"/>
      <c r="AH292" s="13"/>
      <c r="AI292" s="19"/>
      <c r="AJ292" s="13"/>
      <c r="AK292" s="19"/>
      <c r="AL292" s="13"/>
      <c r="AM292" s="19"/>
      <c r="AN292" s="13"/>
      <c r="AO292" s="19"/>
      <c r="AP292" s="13"/>
      <c r="AQ292" s="19"/>
      <c r="AR292" s="13"/>
      <c r="AS292" s="614"/>
      <c r="AT292" s="460"/>
      <c r="AU292" s="783"/>
      <c r="AV292" s="460"/>
    </row>
    <row r="293" spans="1:48">
      <c r="A293" s="14"/>
      <c r="B293" s="15"/>
      <c r="C293" s="16"/>
      <c r="D293" s="17"/>
      <c r="E293" s="12"/>
      <c r="F293" s="18"/>
      <c r="G293" s="19"/>
      <c r="H293" s="13"/>
      <c r="I293" s="19"/>
      <c r="J293" s="13"/>
      <c r="K293" s="19"/>
      <c r="L293" s="13"/>
      <c r="M293" s="19"/>
      <c r="N293" s="13"/>
      <c r="O293" s="19"/>
      <c r="P293" s="13"/>
      <c r="Q293" s="19"/>
      <c r="R293" s="13"/>
      <c r="S293" s="19"/>
      <c r="T293" s="13"/>
      <c r="U293" s="19"/>
      <c r="V293" s="13"/>
      <c r="W293" s="19"/>
      <c r="X293" s="13"/>
      <c r="Y293" s="19"/>
      <c r="Z293" s="13"/>
      <c r="AA293" s="19"/>
      <c r="AB293" s="13"/>
      <c r="AC293" s="19"/>
      <c r="AD293" s="13"/>
      <c r="AE293" s="19"/>
      <c r="AF293" s="13"/>
      <c r="AG293" s="19"/>
      <c r="AH293" s="13"/>
      <c r="AI293" s="19"/>
      <c r="AJ293" s="13"/>
      <c r="AK293" s="19"/>
      <c r="AL293" s="13"/>
      <c r="AM293" s="19"/>
      <c r="AN293" s="13"/>
      <c r="AO293" s="19"/>
      <c r="AP293" s="13"/>
      <c r="AQ293" s="19"/>
      <c r="AR293" s="13"/>
      <c r="AS293" s="614"/>
      <c r="AT293" s="460"/>
      <c r="AU293" s="783"/>
      <c r="AV293" s="460"/>
    </row>
    <row r="294" spans="1:48">
      <c r="A294" s="14"/>
      <c r="B294" s="15"/>
      <c r="C294" s="16"/>
      <c r="D294" s="17"/>
      <c r="E294" s="12"/>
      <c r="F294" s="18"/>
      <c r="G294" s="19"/>
      <c r="H294" s="13"/>
      <c r="I294" s="19"/>
      <c r="J294" s="13"/>
      <c r="K294" s="19"/>
      <c r="L294" s="13"/>
      <c r="M294" s="19"/>
      <c r="N294" s="13"/>
      <c r="O294" s="19"/>
      <c r="P294" s="13"/>
      <c r="Q294" s="19"/>
      <c r="R294" s="13"/>
      <c r="S294" s="19"/>
      <c r="T294" s="13"/>
      <c r="U294" s="19"/>
      <c r="V294" s="13"/>
      <c r="W294" s="19"/>
      <c r="X294" s="13"/>
      <c r="Y294" s="19"/>
      <c r="Z294" s="13"/>
      <c r="AA294" s="19"/>
      <c r="AB294" s="13"/>
      <c r="AC294" s="19"/>
      <c r="AD294" s="13"/>
      <c r="AE294" s="19"/>
      <c r="AF294" s="13"/>
      <c r="AG294" s="19"/>
      <c r="AH294" s="13"/>
      <c r="AI294" s="19"/>
      <c r="AJ294" s="13"/>
      <c r="AK294" s="19"/>
      <c r="AL294" s="13"/>
      <c r="AM294" s="19"/>
      <c r="AN294" s="13"/>
      <c r="AO294" s="19"/>
      <c r="AP294" s="13"/>
      <c r="AQ294" s="19"/>
      <c r="AR294" s="13"/>
      <c r="AS294" s="614"/>
      <c r="AT294" s="460"/>
      <c r="AU294" s="783"/>
      <c r="AV294" s="460"/>
    </row>
    <row r="295" spans="1:48">
      <c r="A295" s="14"/>
      <c r="B295" s="15"/>
      <c r="C295" s="16"/>
      <c r="D295" s="17"/>
      <c r="E295" s="12"/>
      <c r="F295" s="18"/>
      <c r="G295" s="19"/>
      <c r="H295" s="13"/>
      <c r="I295" s="19"/>
      <c r="J295" s="13"/>
      <c r="K295" s="19"/>
      <c r="L295" s="13"/>
      <c r="M295" s="19"/>
      <c r="N295" s="13"/>
      <c r="O295" s="19"/>
      <c r="P295" s="13"/>
      <c r="Q295" s="19"/>
      <c r="R295" s="13"/>
      <c r="S295" s="19"/>
      <c r="T295" s="13"/>
      <c r="U295" s="19"/>
      <c r="V295" s="13"/>
      <c r="W295" s="19"/>
      <c r="X295" s="13"/>
      <c r="Y295" s="19"/>
      <c r="Z295" s="13"/>
      <c r="AA295" s="19"/>
      <c r="AB295" s="13"/>
      <c r="AC295" s="19"/>
      <c r="AD295" s="13"/>
      <c r="AE295" s="19"/>
      <c r="AF295" s="13"/>
      <c r="AG295" s="19"/>
      <c r="AH295" s="13"/>
      <c r="AI295" s="19"/>
      <c r="AJ295" s="13"/>
      <c r="AK295" s="19"/>
      <c r="AL295" s="13"/>
      <c r="AM295" s="19"/>
      <c r="AN295" s="13"/>
      <c r="AO295" s="19"/>
      <c r="AP295" s="13"/>
      <c r="AQ295" s="19"/>
      <c r="AR295" s="13"/>
      <c r="AS295" s="614"/>
      <c r="AT295" s="460"/>
      <c r="AU295" s="783"/>
      <c r="AV295" s="460"/>
    </row>
    <row r="296" spans="1:48">
      <c r="A296" s="14"/>
      <c r="B296" s="15"/>
      <c r="C296" s="16"/>
      <c r="D296" s="17"/>
      <c r="E296" s="12"/>
      <c r="F296" s="18"/>
      <c r="G296" s="19"/>
      <c r="H296" s="13"/>
      <c r="I296" s="19"/>
      <c r="J296" s="13"/>
      <c r="K296" s="19"/>
      <c r="L296" s="13"/>
      <c r="M296" s="19"/>
      <c r="N296" s="13"/>
      <c r="O296" s="19"/>
      <c r="P296" s="13"/>
      <c r="Q296" s="19"/>
      <c r="R296" s="13"/>
      <c r="S296" s="19"/>
      <c r="T296" s="13"/>
      <c r="U296" s="19"/>
      <c r="V296" s="13"/>
      <c r="W296" s="19"/>
      <c r="X296" s="13"/>
      <c r="Y296" s="19"/>
      <c r="Z296" s="13"/>
      <c r="AA296" s="19"/>
      <c r="AB296" s="13"/>
      <c r="AC296" s="19"/>
      <c r="AD296" s="13"/>
      <c r="AE296" s="19"/>
      <c r="AF296" s="13"/>
      <c r="AG296" s="19"/>
      <c r="AH296" s="13"/>
      <c r="AI296" s="19"/>
      <c r="AJ296" s="13"/>
      <c r="AK296" s="19"/>
      <c r="AL296" s="13"/>
      <c r="AM296" s="19"/>
      <c r="AN296" s="13"/>
      <c r="AO296" s="19"/>
      <c r="AP296" s="13"/>
      <c r="AQ296" s="19"/>
      <c r="AR296" s="13"/>
      <c r="AS296" s="614"/>
      <c r="AT296" s="460"/>
      <c r="AU296" s="783"/>
      <c r="AV296" s="460"/>
    </row>
    <row r="297" spans="1:48">
      <c r="A297" s="14"/>
      <c r="B297" s="15"/>
      <c r="C297" s="16"/>
      <c r="D297" s="17"/>
      <c r="E297" s="12"/>
      <c r="F297" s="18"/>
      <c r="G297" s="19"/>
      <c r="H297" s="13"/>
      <c r="I297" s="19"/>
      <c r="J297" s="13"/>
      <c r="K297" s="19"/>
      <c r="L297" s="13"/>
      <c r="M297" s="19"/>
      <c r="N297" s="13"/>
      <c r="O297" s="19"/>
      <c r="P297" s="13"/>
      <c r="Q297" s="19"/>
      <c r="R297" s="13"/>
      <c r="S297" s="19"/>
      <c r="T297" s="13"/>
      <c r="U297" s="19"/>
      <c r="V297" s="13"/>
      <c r="W297" s="19"/>
      <c r="X297" s="13"/>
      <c r="Y297" s="19"/>
      <c r="Z297" s="13"/>
      <c r="AA297" s="19"/>
      <c r="AB297" s="13"/>
      <c r="AC297" s="19"/>
      <c r="AD297" s="13"/>
      <c r="AE297" s="19"/>
      <c r="AF297" s="13"/>
      <c r="AG297" s="19"/>
      <c r="AH297" s="13"/>
      <c r="AI297" s="19"/>
      <c r="AJ297" s="13"/>
      <c r="AK297" s="19"/>
      <c r="AL297" s="13"/>
      <c r="AM297" s="19"/>
      <c r="AN297" s="13"/>
      <c r="AO297" s="19"/>
      <c r="AP297" s="13"/>
      <c r="AQ297" s="19"/>
      <c r="AR297" s="13"/>
      <c r="AS297" s="614"/>
      <c r="AT297" s="460"/>
      <c r="AU297" s="783"/>
      <c r="AV297" s="460"/>
    </row>
    <row r="298" spans="1:48">
      <c r="A298" s="14"/>
      <c r="B298" s="15"/>
      <c r="C298" s="16"/>
      <c r="D298" s="17"/>
      <c r="E298" s="12"/>
      <c r="F298" s="18"/>
      <c r="G298" s="19"/>
      <c r="H298" s="13"/>
      <c r="I298" s="19"/>
      <c r="J298" s="13"/>
      <c r="K298" s="19"/>
      <c r="L298" s="13"/>
      <c r="M298" s="19"/>
      <c r="N298" s="13"/>
      <c r="O298" s="19"/>
      <c r="P298" s="13"/>
      <c r="Q298" s="19"/>
      <c r="R298" s="13"/>
      <c r="S298" s="19"/>
      <c r="T298" s="13"/>
      <c r="U298" s="19"/>
      <c r="V298" s="13"/>
      <c r="W298" s="19"/>
      <c r="X298" s="13"/>
      <c r="Y298" s="19"/>
      <c r="Z298" s="13"/>
      <c r="AA298" s="19"/>
      <c r="AB298" s="13"/>
      <c r="AC298" s="19"/>
      <c r="AD298" s="13"/>
      <c r="AE298" s="19"/>
      <c r="AF298" s="13"/>
      <c r="AG298" s="19"/>
      <c r="AH298" s="13"/>
      <c r="AI298" s="19"/>
      <c r="AJ298" s="13"/>
      <c r="AK298" s="19"/>
      <c r="AL298" s="13"/>
      <c r="AM298" s="19"/>
      <c r="AN298" s="13"/>
      <c r="AO298" s="19"/>
      <c r="AP298" s="13"/>
      <c r="AQ298" s="19"/>
      <c r="AR298" s="13"/>
      <c r="AS298" s="614"/>
      <c r="AT298" s="460"/>
      <c r="AU298" s="783"/>
      <c r="AV298" s="460"/>
    </row>
    <row r="299" spans="1:48">
      <c r="A299" s="14"/>
      <c r="B299" s="15"/>
      <c r="C299" s="16"/>
      <c r="D299" s="17"/>
      <c r="E299" s="12"/>
      <c r="F299" s="18"/>
      <c r="G299" s="19"/>
      <c r="H299" s="13"/>
      <c r="I299" s="19"/>
      <c r="J299" s="13"/>
      <c r="K299" s="19"/>
      <c r="L299" s="13"/>
      <c r="M299" s="19"/>
      <c r="N299" s="13"/>
      <c r="O299" s="19"/>
      <c r="P299" s="13"/>
      <c r="Q299" s="19"/>
      <c r="R299" s="13"/>
      <c r="S299" s="19"/>
      <c r="T299" s="13"/>
      <c r="U299" s="19"/>
      <c r="V299" s="13"/>
      <c r="W299" s="19"/>
      <c r="X299" s="13"/>
      <c r="Y299" s="19"/>
      <c r="Z299" s="13"/>
      <c r="AA299" s="19"/>
      <c r="AB299" s="13"/>
      <c r="AC299" s="19"/>
      <c r="AD299" s="13"/>
      <c r="AE299" s="19"/>
      <c r="AF299" s="13"/>
      <c r="AG299" s="19"/>
      <c r="AH299" s="13"/>
      <c r="AI299" s="19"/>
      <c r="AJ299" s="13"/>
      <c r="AK299" s="19"/>
      <c r="AL299" s="13"/>
      <c r="AM299" s="19"/>
      <c r="AN299" s="13"/>
      <c r="AO299" s="19"/>
      <c r="AP299" s="13"/>
      <c r="AQ299" s="19"/>
      <c r="AR299" s="13"/>
      <c r="AS299" s="614"/>
      <c r="AT299" s="460"/>
      <c r="AU299" s="783"/>
      <c r="AV299" s="460"/>
    </row>
    <row r="300" spans="1:48">
      <c r="A300" s="14"/>
      <c r="B300" s="15"/>
      <c r="C300" s="16"/>
      <c r="D300" s="17"/>
      <c r="E300" s="12"/>
      <c r="F300" s="18"/>
      <c r="G300" s="19"/>
      <c r="H300" s="13"/>
      <c r="I300" s="19"/>
      <c r="J300" s="13"/>
      <c r="K300" s="19"/>
      <c r="L300" s="13"/>
      <c r="M300" s="19"/>
      <c r="N300" s="13"/>
      <c r="O300" s="19"/>
      <c r="P300" s="13"/>
      <c r="Q300" s="19"/>
      <c r="R300" s="13"/>
      <c r="S300" s="19"/>
      <c r="T300" s="13"/>
      <c r="U300" s="19"/>
      <c r="V300" s="13"/>
      <c r="W300" s="19"/>
      <c r="X300" s="13"/>
      <c r="Y300" s="19"/>
      <c r="Z300" s="13"/>
      <c r="AA300" s="19"/>
      <c r="AB300" s="13"/>
      <c r="AC300" s="19"/>
      <c r="AD300" s="13"/>
      <c r="AE300" s="19"/>
      <c r="AF300" s="13"/>
      <c r="AG300" s="19"/>
      <c r="AH300" s="13"/>
      <c r="AI300" s="19"/>
      <c r="AJ300" s="13"/>
      <c r="AK300" s="19"/>
      <c r="AL300" s="13"/>
      <c r="AM300" s="19"/>
      <c r="AN300" s="13"/>
      <c r="AO300" s="19"/>
      <c r="AP300" s="13"/>
      <c r="AQ300" s="19"/>
      <c r="AR300" s="13"/>
      <c r="AS300" s="614"/>
      <c r="AT300" s="460"/>
      <c r="AU300" s="783"/>
      <c r="AV300" s="460"/>
    </row>
    <row r="301" spans="1:48">
      <c r="A301" s="14"/>
      <c r="B301" s="15"/>
      <c r="C301" s="16"/>
      <c r="D301" s="17"/>
      <c r="E301" s="12"/>
      <c r="F301" s="18"/>
      <c r="G301" s="19"/>
      <c r="H301" s="13"/>
      <c r="I301" s="19"/>
      <c r="J301" s="13"/>
      <c r="K301" s="19"/>
      <c r="L301" s="13"/>
      <c r="M301" s="19"/>
      <c r="N301" s="13"/>
      <c r="O301" s="19"/>
      <c r="P301" s="13"/>
      <c r="Q301" s="19"/>
      <c r="R301" s="13"/>
      <c r="S301" s="19"/>
      <c r="T301" s="13"/>
      <c r="U301" s="19"/>
      <c r="V301" s="13"/>
      <c r="W301" s="19"/>
      <c r="X301" s="13"/>
      <c r="Y301" s="19"/>
      <c r="Z301" s="13"/>
      <c r="AA301" s="19"/>
      <c r="AB301" s="13"/>
      <c r="AC301" s="19"/>
      <c r="AD301" s="13"/>
      <c r="AE301" s="19"/>
      <c r="AF301" s="13"/>
      <c r="AG301" s="19"/>
      <c r="AH301" s="13"/>
      <c r="AI301" s="19"/>
      <c r="AJ301" s="13"/>
      <c r="AK301" s="19"/>
      <c r="AL301" s="13"/>
      <c r="AM301" s="19"/>
      <c r="AN301" s="13"/>
      <c r="AO301" s="19"/>
      <c r="AP301" s="13"/>
      <c r="AQ301" s="19"/>
      <c r="AR301" s="13"/>
      <c r="AS301" s="614"/>
      <c r="AT301" s="460"/>
      <c r="AU301" s="783"/>
      <c r="AV301" s="460"/>
    </row>
    <row r="302" spans="1:48">
      <c r="A302" s="14"/>
      <c r="B302" s="15"/>
      <c r="C302" s="16"/>
      <c r="D302" s="17"/>
      <c r="E302" s="12"/>
      <c r="F302" s="18"/>
      <c r="G302" s="19"/>
      <c r="H302" s="13"/>
      <c r="I302" s="19"/>
      <c r="J302" s="13"/>
      <c r="K302" s="19"/>
      <c r="L302" s="13"/>
      <c r="M302" s="19"/>
      <c r="N302" s="13"/>
      <c r="O302" s="19"/>
      <c r="P302" s="13"/>
      <c r="Q302" s="19"/>
      <c r="R302" s="13"/>
      <c r="S302" s="19"/>
      <c r="T302" s="13"/>
      <c r="U302" s="19"/>
      <c r="V302" s="13"/>
      <c r="W302" s="19"/>
      <c r="X302" s="13"/>
      <c r="Y302" s="19"/>
      <c r="Z302" s="13"/>
      <c r="AA302" s="19"/>
      <c r="AB302" s="13"/>
      <c r="AC302" s="19"/>
      <c r="AD302" s="13"/>
      <c r="AE302" s="19"/>
      <c r="AF302" s="13"/>
      <c r="AG302" s="19"/>
      <c r="AH302" s="13"/>
      <c r="AI302" s="19"/>
      <c r="AJ302" s="13"/>
      <c r="AK302" s="19"/>
      <c r="AL302" s="13"/>
      <c r="AM302" s="19"/>
      <c r="AN302" s="13"/>
      <c r="AO302" s="19"/>
      <c r="AP302" s="13"/>
      <c r="AQ302" s="19"/>
      <c r="AR302" s="13"/>
      <c r="AS302" s="614"/>
      <c r="AT302" s="460"/>
      <c r="AU302" s="783"/>
      <c r="AV302" s="460"/>
    </row>
    <row r="303" spans="1:48">
      <c r="A303" s="14"/>
      <c r="B303" s="15"/>
      <c r="C303" s="16"/>
      <c r="D303" s="17"/>
      <c r="E303" s="12"/>
      <c r="F303" s="18"/>
      <c r="G303" s="19"/>
      <c r="H303" s="13"/>
      <c r="I303" s="19"/>
      <c r="J303" s="13"/>
      <c r="K303" s="19"/>
      <c r="L303" s="13"/>
      <c r="M303" s="19"/>
      <c r="N303" s="13"/>
      <c r="O303" s="19"/>
      <c r="P303" s="13"/>
      <c r="Q303" s="19"/>
      <c r="R303" s="13"/>
      <c r="S303" s="19"/>
      <c r="T303" s="13"/>
      <c r="U303" s="19"/>
      <c r="V303" s="13"/>
      <c r="W303" s="19"/>
      <c r="X303" s="13"/>
      <c r="Y303" s="19"/>
      <c r="Z303" s="13"/>
      <c r="AA303" s="19"/>
      <c r="AB303" s="13"/>
      <c r="AC303" s="19"/>
      <c r="AD303" s="13"/>
      <c r="AE303" s="19"/>
      <c r="AF303" s="13"/>
      <c r="AG303" s="19"/>
      <c r="AH303" s="13"/>
      <c r="AI303" s="19"/>
      <c r="AJ303" s="13"/>
      <c r="AK303" s="19"/>
      <c r="AL303" s="13"/>
      <c r="AM303" s="19"/>
      <c r="AN303" s="13"/>
      <c r="AO303" s="19"/>
      <c r="AP303" s="13"/>
      <c r="AQ303" s="19"/>
      <c r="AR303" s="13"/>
      <c r="AS303" s="614"/>
      <c r="AT303" s="460"/>
      <c r="AU303" s="783"/>
      <c r="AV303" s="460"/>
    </row>
    <row r="304" spans="1:48">
      <c r="A304" s="14"/>
      <c r="B304" s="15"/>
      <c r="C304" s="16"/>
      <c r="D304" s="17"/>
      <c r="E304" s="12"/>
      <c r="F304" s="18"/>
      <c r="G304" s="19"/>
      <c r="H304" s="13"/>
      <c r="I304" s="19"/>
      <c r="J304" s="13"/>
      <c r="K304" s="19"/>
      <c r="L304" s="13"/>
      <c r="M304" s="19"/>
      <c r="N304" s="13"/>
      <c r="O304" s="19"/>
      <c r="P304" s="13"/>
      <c r="Q304" s="19"/>
      <c r="R304" s="13"/>
      <c r="S304" s="19"/>
      <c r="T304" s="13"/>
      <c r="U304" s="19"/>
      <c r="V304" s="13"/>
      <c r="W304" s="19"/>
      <c r="X304" s="13"/>
      <c r="Y304" s="19"/>
      <c r="Z304" s="13"/>
      <c r="AA304" s="19"/>
      <c r="AB304" s="13"/>
      <c r="AC304" s="19"/>
      <c r="AD304" s="13"/>
      <c r="AE304" s="19"/>
      <c r="AF304" s="13"/>
      <c r="AG304" s="19"/>
      <c r="AH304" s="13"/>
      <c r="AI304" s="19"/>
      <c r="AJ304" s="13"/>
      <c r="AK304" s="19"/>
      <c r="AL304" s="13"/>
      <c r="AM304" s="19"/>
      <c r="AN304" s="13"/>
      <c r="AO304" s="19"/>
      <c r="AP304" s="13"/>
      <c r="AQ304" s="19"/>
      <c r="AR304" s="13"/>
      <c r="AS304" s="614"/>
      <c r="AT304" s="460"/>
      <c r="AU304" s="783"/>
      <c r="AV304" s="460"/>
    </row>
    <row r="305" spans="1:48">
      <c r="A305" s="14"/>
      <c r="B305" s="15"/>
      <c r="C305" s="16"/>
      <c r="D305" s="17"/>
      <c r="E305" s="12"/>
      <c r="F305" s="18"/>
      <c r="G305" s="19"/>
      <c r="H305" s="13"/>
      <c r="I305" s="19"/>
      <c r="J305" s="13"/>
      <c r="K305" s="19"/>
      <c r="L305" s="13"/>
      <c r="M305" s="19"/>
      <c r="N305" s="13"/>
      <c r="O305" s="19"/>
      <c r="P305" s="13"/>
      <c r="Q305" s="19"/>
      <c r="R305" s="13"/>
      <c r="S305" s="19"/>
      <c r="T305" s="13"/>
      <c r="U305" s="19"/>
      <c r="V305" s="13"/>
      <c r="W305" s="19"/>
      <c r="X305" s="13"/>
      <c r="Y305" s="19"/>
      <c r="Z305" s="13"/>
      <c r="AA305" s="19"/>
      <c r="AB305" s="13"/>
      <c r="AC305" s="19"/>
      <c r="AD305" s="13"/>
      <c r="AE305" s="19"/>
      <c r="AF305" s="13"/>
      <c r="AG305" s="19"/>
      <c r="AH305" s="13"/>
      <c r="AI305" s="19"/>
      <c r="AJ305" s="13"/>
      <c r="AK305" s="19"/>
      <c r="AL305" s="13"/>
      <c r="AM305" s="19"/>
      <c r="AN305" s="13"/>
      <c r="AO305" s="19"/>
      <c r="AP305" s="13"/>
      <c r="AQ305" s="19"/>
      <c r="AR305" s="13"/>
      <c r="AS305" s="614"/>
      <c r="AT305" s="460"/>
      <c r="AU305" s="783"/>
      <c r="AV305" s="460"/>
    </row>
    <row r="306" spans="1:48">
      <c r="A306" s="14"/>
      <c r="B306" s="15"/>
      <c r="C306" s="16"/>
      <c r="D306" s="17"/>
      <c r="E306" s="12"/>
      <c r="F306" s="18"/>
      <c r="G306" s="19"/>
      <c r="H306" s="13"/>
      <c r="I306" s="19"/>
      <c r="J306" s="13"/>
      <c r="K306" s="19"/>
      <c r="L306" s="13"/>
      <c r="M306" s="19"/>
      <c r="N306" s="13"/>
      <c r="O306" s="19"/>
      <c r="P306" s="13"/>
      <c r="Q306" s="19"/>
      <c r="R306" s="13"/>
      <c r="S306" s="19"/>
      <c r="T306" s="13"/>
      <c r="U306" s="19"/>
      <c r="V306" s="13"/>
      <c r="W306" s="19"/>
      <c r="X306" s="13"/>
      <c r="Y306" s="19"/>
      <c r="Z306" s="13"/>
      <c r="AA306" s="19"/>
      <c r="AB306" s="13"/>
      <c r="AC306" s="19"/>
      <c r="AD306" s="13"/>
      <c r="AE306" s="19"/>
      <c r="AF306" s="13"/>
      <c r="AG306" s="19"/>
      <c r="AH306" s="13"/>
      <c r="AI306" s="19"/>
      <c r="AJ306" s="13"/>
      <c r="AK306" s="19"/>
      <c r="AL306" s="13"/>
      <c r="AM306" s="19"/>
      <c r="AN306" s="13"/>
      <c r="AO306" s="19"/>
      <c r="AP306" s="13"/>
      <c r="AQ306" s="19"/>
      <c r="AR306" s="13"/>
      <c r="AS306" s="614"/>
      <c r="AT306" s="460"/>
      <c r="AU306" s="783"/>
      <c r="AV306" s="460"/>
    </row>
    <row r="307" spans="1:48">
      <c r="A307" s="14"/>
      <c r="B307" s="15"/>
      <c r="C307" s="16"/>
      <c r="D307" s="17"/>
      <c r="E307" s="12"/>
      <c r="F307" s="18"/>
      <c r="G307" s="19"/>
      <c r="H307" s="13"/>
      <c r="I307" s="19"/>
      <c r="J307" s="13"/>
      <c r="K307" s="19"/>
      <c r="L307" s="13"/>
      <c r="M307" s="19"/>
      <c r="N307" s="13"/>
      <c r="O307" s="19"/>
      <c r="P307" s="13"/>
      <c r="Q307" s="19"/>
      <c r="R307" s="13"/>
      <c r="S307" s="19"/>
      <c r="T307" s="13"/>
      <c r="U307" s="19"/>
      <c r="V307" s="13"/>
      <c r="W307" s="19"/>
      <c r="X307" s="13"/>
      <c r="Y307" s="19"/>
      <c r="Z307" s="13"/>
      <c r="AA307" s="19"/>
      <c r="AB307" s="13"/>
      <c r="AC307" s="19"/>
      <c r="AD307" s="13"/>
      <c r="AE307" s="19"/>
      <c r="AF307" s="13"/>
      <c r="AG307" s="19"/>
      <c r="AH307" s="13"/>
      <c r="AI307" s="19"/>
      <c r="AJ307" s="13"/>
      <c r="AK307" s="19"/>
      <c r="AL307" s="13"/>
      <c r="AM307" s="19"/>
      <c r="AN307" s="13"/>
      <c r="AO307" s="19"/>
      <c r="AP307" s="13"/>
      <c r="AQ307" s="19"/>
      <c r="AR307" s="13"/>
      <c r="AS307" s="614"/>
      <c r="AT307" s="460"/>
      <c r="AU307" s="783"/>
      <c r="AV307" s="460"/>
    </row>
    <row r="308" spans="1:48">
      <c r="A308" s="14"/>
      <c r="B308" s="15"/>
      <c r="C308" s="16"/>
      <c r="D308" s="17"/>
      <c r="E308" s="12"/>
      <c r="F308" s="18"/>
      <c r="G308" s="19"/>
      <c r="H308" s="13"/>
      <c r="I308" s="19"/>
      <c r="J308" s="13"/>
      <c r="K308" s="19"/>
      <c r="L308" s="13"/>
      <c r="M308" s="19"/>
      <c r="N308" s="13"/>
      <c r="O308" s="19"/>
      <c r="P308" s="13"/>
      <c r="Q308" s="19"/>
      <c r="R308" s="13"/>
      <c r="S308" s="19"/>
      <c r="T308" s="13"/>
      <c r="U308" s="19"/>
      <c r="V308" s="13"/>
      <c r="W308" s="19"/>
      <c r="X308" s="13"/>
      <c r="Y308" s="19"/>
      <c r="Z308" s="13"/>
      <c r="AA308" s="19"/>
      <c r="AB308" s="13"/>
      <c r="AC308" s="19"/>
      <c r="AD308" s="13"/>
      <c r="AE308" s="19"/>
      <c r="AF308" s="13"/>
      <c r="AG308" s="19"/>
      <c r="AH308" s="13"/>
      <c r="AI308" s="19"/>
      <c r="AJ308" s="13"/>
      <c r="AK308" s="19"/>
      <c r="AL308" s="13"/>
      <c r="AM308" s="19"/>
      <c r="AN308" s="13"/>
      <c r="AO308" s="19"/>
      <c r="AP308" s="13"/>
      <c r="AQ308" s="19"/>
      <c r="AR308" s="13"/>
      <c r="AS308" s="614"/>
      <c r="AT308" s="460"/>
      <c r="AU308" s="783"/>
      <c r="AV308" s="460"/>
    </row>
    <row r="309" spans="1:48">
      <c r="A309" s="14"/>
      <c r="B309" s="15"/>
      <c r="C309" s="16"/>
      <c r="D309" s="17"/>
      <c r="E309" s="12"/>
      <c r="F309" s="18"/>
      <c r="G309" s="19"/>
      <c r="H309" s="13"/>
      <c r="I309" s="19"/>
      <c r="J309" s="13"/>
      <c r="K309" s="19"/>
      <c r="L309" s="13"/>
      <c r="M309" s="19"/>
      <c r="N309" s="13"/>
      <c r="O309" s="19"/>
      <c r="P309" s="13"/>
      <c r="Q309" s="19"/>
      <c r="R309" s="13"/>
      <c r="S309" s="19"/>
      <c r="T309" s="13"/>
      <c r="U309" s="19"/>
      <c r="V309" s="13"/>
      <c r="W309" s="19"/>
      <c r="X309" s="13"/>
      <c r="Y309" s="19"/>
      <c r="Z309" s="13"/>
      <c r="AA309" s="19"/>
      <c r="AB309" s="13"/>
      <c r="AC309" s="19"/>
      <c r="AD309" s="13"/>
      <c r="AE309" s="19"/>
      <c r="AF309" s="13"/>
      <c r="AG309" s="19"/>
      <c r="AH309" s="13"/>
      <c r="AI309" s="19"/>
      <c r="AJ309" s="13"/>
      <c r="AK309" s="19"/>
      <c r="AL309" s="13"/>
      <c r="AM309" s="19"/>
      <c r="AN309" s="13"/>
      <c r="AO309" s="19"/>
      <c r="AP309" s="13"/>
      <c r="AQ309" s="19"/>
      <c r="AR309" s="13"/>
      <c r="AS309" s="614"/>
      <c r="AT309" s="460"/>
      <c r="AU309" s="783"/>
      <c r="AV309" s="460"/>
    </row>
    <row r="310" spans="1:48">
      <c r="A310" s="14"/>
      <c r="B310" s="15"/>
      <c r="C310" s="16"/>
      <c r="D310" s="17"/>
      <c r="E310" s="12"/>
      <c r="F310" s="18"/>
      <c r="G310" s="19"/>
      <c r="H310" s="13"/>
      <c r="I310" s="19"/>
      <c r="J310" s="13"/>
      <c r="K310" s="19"/>
      <c r="L310" s="13"/>
      <c r="M310" s="19"/>
      <c r="N310" s="13"/>
      <c r="O310" s="19"/>
      <c r="P310" s="13"/>
      <c r="Q310" s="19"/>
      <c r="R310" s="13"/>
      <c r="S310" s="19"/>
      <c r="T310" s="13"/>
      <c r="U310" s="19"/>
      <c r="V310" s="13"/>
      <c r="W310" s="19"/>
      <c r="X310" s="13"/>
      <c r="Y310" s="19"/>
      <c r="Z310" s="13"/>
      <c r="AA310" s="19"/>
      <c r="AB310" s="13"/>
      <c r="AC310" s="19"/>
      <c r="AD310" s="13"/>
      <c r="AE310" s="19"/>
      <c r="AF310" s="13"/>
      <c r="AG310" s="19"/>
      <c r="AH310" s="13"/>
      <c r="AI310" s="19"/>
      <c r="AJ310" s="13"/>
      <c r="AK310" s="19"/>
      <c r="AL310" s="13"/>
      <c r="AM310" s="19"/>
      <c r="AN310" s="13"/>
      <c r="AO310" s="19"/>
      <c r="AP310" s="13"/>
      <c r="AQ310" s="19"/>
      <c r="AR310" s="13"/>
      <c r="AS310" s="614"/>
      <c r="AT310" s="460"/>
      <c r="AU310" s="783"/>
      <c r="AV310" s="460"/>
    </row>
    <row r="311" spans="1:48">
      <c r="A311" s="14"/>
      <c r="B311" s="15"/>
      <c r="C311" s="16"/>
      <c r="D311" s="17"/>
      <c r="E311" s="12"/>
      <c r="F311" s="18"/>
      <c r="G311" s="19"/>
      <c r="H311" s="13"/>
      <c r="I311" s="19"/>
      <c r="J311" s="13"/>
      <c r="K311" s="19"/>
      <c r="L311" s="13"/>
      <c r="M311" s="19"/>
      <c r="N311" s="13"/>
      <c r="O311" s="19"/>
      <c r="P311" s="13"/>
      <c r="Q311" s="19"/>
      <c r="R311" s="13"/>
      <c r="S311" s="19"/>
      <c r="T311" s="13"/>
      <c r="U311" s="19"/>
      <c r="V311" s="13"/>
      <c r="W311" s="19"/>
      <c r="X311" s="13"/>
      <c r="Y311" s="19"/>
      <c r="Z311" s="13"/>
      <c r="AA311" s="19"/>
      <c r="AB311" s="13"/>
      <c r="AC311" s="19"/>
      <c r="AD311" s="13"/>
      <c r="AE311" s="19"/>
      <c r="AF311" s="13"/>
      <c r="AG311" s="19"/>
      <c r="AH311" s="13"/>
      <c r="AI311" s="19"/>
      <c r="AJ311" s="13"/>
      <c r="AK311" s="19"/>
      <c r="AL311" s="13"/>
      <c r="AM311" s="19"/>
      <c r="AN311" s="13"/>
      <c r="AO311" s="19"/>
      <c r="AP311" s="13"/>
      <c r="AQ311" s="19"/>
      <c r="AR311" s="13"/>
      <c r="AS311" s="614"/>
      <c r="AT311" s="460"/>
      <c r="AU311" s="783"/>
      <c r="AV311" s="460"/>
    </row>
    <row r="312" spans="1:48">
      <c r="A312" s="14"/>
      <c r="B312" s="15"/>
      <c r="C312" s="16"/>
      <c r="D312" s="17"/>
      <c r="E312" s="12"/>
      <c r="F312" s="18"/>
      <c r="G312" s="19"/>
      <c r="H312" s="13"/>
      <c r="I312" s="19"/>
      <c r="J312" s="13"/>
      <c r="K312" s="19"/>
      <c r="L312" s="13"/>
      <c r="M312" s="19"/>
      <c r="N312" s="13"/>
      <c r="O312" s="19"/>
      <c r="P312" s="13"/>
      <c r="Q312" s="19"/>
      <c r="R312" s="13"/>
      <c r="S312" s="19"/>
      <c r="T312" s="13"/>
      <c r="U312" s="19"/>
      <c r="V312" s="13"/>
      <c r="W312" s="19"/>
      <c r="X312" s="13"/>
      <c r="Y312" s="19"/>
      <c r="Z312" s="13"/>
      <c r="AA312" s="19"/>
      <c r="AB312" s="13"/>
      <c r="AC312" s="19"/>
      <c r="AD312" s="13"/>
      <c r="AE312" s="19"/>
      <c r="AF312" s="13"/>
      <c r="AG312" s="19"/>
      <c r="AH312" s="13"/>
      <c r="AI312" s="19"/>
      <c r="AJ312" s="13"/>
      <c r="AK312" s="19"/>
      <c r="AL312" s="13"/>
      <c r="AM312" s="19"/>
      <c r="AN312" s="13"/>
      <c r="AO312" s="19"/>
      <c r="AP312" s="13"/>
      <c r="AQ312" s="19"/>
      <c r="AR312" s="13"/>
      <c r="AS312" s="614"/>
      <c r="AT312" s="460"/>
      <c r="AU312" s="783"/>
      <c r="AV312" s="460"/>
    </row>
    <row r="313" spans="1:48">
      <c r="A313" s="14"/>
      <c r="B313" s="15"/>
      <c r="C313" s="16"/>
      <c r="D313" s="17"/>
      <c r="E313" s="12"/>
      <c r="F313" s="18"/>
      <c r="G313" s="19"/>
      <c r="H313" s="13"/>
      <c r="I313" s="19"/>
      <c r="J313" s="13"/>
      <c r="K313" s="19"/>
      <c r="L313" s="13"/>
      <c r="M313" s="19"/>
      <c r="N313" s="13"/>
      <c r="O313" s="19"/>
      <c r="P313" s="13"/>
      <c r="Q313" s="19"/>
      <c r="R313" s="13"/>
      <c r="S313" s="19"/>
      <c r="T313" s="13"/>
      <c r="U313" s="19"/>
      <c r="V313" s="13"/>
      <c r="W313" s="19"/>
      <c r="X313" s="13"/>
      <c r="Y313" s="19"/>
      <c r="Z313" s="13"/>
      <c r="AA313" s="19"/>
      <c r="AB313" s="13"/>
      <c r="AC313" s="19"/>
      <c r="AD313" s="13"/>
      <c r="AE313" s="19"/>
      <c r="AF313" s="13"/>
      <c r="AG313" s="19"/>
      <c r="AH313" s="13"/>
      <c r="AI313" s="19"/>
      <c r="AJ313" s="13"/>
      <c r="AK313" s="19"/>
      <c r="AL313" s="13"/>
      <c r="AM313" s="19"/>
      <c r="AN313" s="13"/>
      <c r="AO313" s="19"/>
      <c r="AP313" s="13"/>
      <c r="AQ313" s="19"/>
      <c r="AR313" s="13"/>
      <c r="AS313" s="614"/>
      <c r="AT313" s="460"/>
      <c r="AU313" s="783"/>
      <c r="AV313" s="460"/>
    </row>
    <row r="314" spans="1:48">
      <c r="A314" s="14"/>
      <c r="B314" s="15"/>
      <c r="C314" s="16"/>
      <c r="D314" s="17"/>
      <c r="E314" s="12"/>
      <c r="F314" s="18"/>
      <c r="G314" s="19"/>
      <c r="H314" s="13"/>
      <c r="I314" s="19"/>
      <c r="J314" s="13"/>
      <c r="K314" s="19"/>
      <c r="L314" s="13"/>
      <c r="M314" s="19"/>
      <c r="N314" s="13"/>
      <c r="O314" s="19"/>
      <c r="P314" s="13"/>
      <c r="Q314" s="19"/>
      <c r="R314" s="13"/>
      <c r="S314" s="19"/>
      <c r="T314" s="13"/>
      <c r="U314" s="19"/>
      <c r="V314" s="13"/>
      <c r="W314" s="19"/>
      <c r="X314" s="13"/>
      <c r="Y314" s="19"/>
      <c r="Z314" s="13"/>
      <c r="AA314" s="19"/>
      <c r="AB314" s="13"/>
      <c r="AC314" s="19"/>
      <c r="AD314" s="13"/>
      <c r="AE314" s="19"/>
      <c r="AF314" s="13"/>
      <c r="AG314" s="19"/>
      <c r="AH314" s="13"/>
      <c r="AI314" s="19"/>
      <c r="AJ314" s="13"/>
      <c r="AK314" s="19"/>
      <c r="AL314" s="13"/>
      <c r="AM314" s="19"/>
      <c r="AN314" s="13"/>
      <c r="AO314" s="19"/>
      <c r="AP314" s="13"/>
      <c r="AQ314" s="19"/>
      <c r="AR314" s="13"/>
      <c r="AS314" s="614"/>
      <c r="AT314" s="460"/>
      <c r="AU314" s="783"/>
      <c r="AV314" s="460"/>
    </row>
    <row r="315" spans="1:48">
      <c r="A315" s="14"/>
      <c r="B315" s="15"/>
      <c r="C315" s="16"/>
      <c r="D315" s="17"/>
      <c r="E315" s="12"/>
      <c r="F315" s="18"/>
      <c r="G315" s="19"/>
      <c r="H315" s="13"/>
      <c r="I315" s="19"/>
      <c r="J315" s="13"/>
      <c r="K315" s="19"/>
      <c r="L315" s="13"/>
      <c r="M315" s="19"/>
      <c r="N315" s="13"/>
      <c r="O315" s="19"/>
      <c r="P315" s="13"/>
      <c r="Q315" s="19"/>
      <c r="R315" s="13"/>
      <c r="S315" s="19"/>
      <c r="T315" s="13"/>
      <c r="U315" s="19"/>
      <c r="V315" s="13"/>
      <c r="W315" s="19"/>
      <c r="X315" s="13"/>
      <c r="Y315" s="19"/>
      <c r="Z315" s="13"/>
      <c r="AA315" s="19"/>
      <c r="AB315" s="13"/>
      <c r="AC315" s="19"/>
      <c r="AD315" s="13"/>
      <c r="AE315" s="19"/>
      <c r="AF315" s="13"/>
      <c r="AG315" s="19"/>
      <c r="AH315" s="13"/>
      <c r="AI315" s="19"/>
      <c r="AJ315" s="13"/>
      <c r="AK315" s="19"/>
      <c r="AL315" s="13"/>
      <c r="AM315" s="19"/>
      <c r="AN315" s="13"/>
      <c r="AO315" s="19"/>
      <c r="AP315" s="13"/>
      <c r="AQ315" s="19"/>
      <c r="AR315" s="13"/>
      <c r="AS315" s="614"/>
      <c r="AT315" s="460"/>
      <c r="AU315" s="783"/>
      <c r="AV315" s="460"/>
    </row>
    <row r="316" spans="1:48">
      <c r="A316" s="14"/>
      <c r="B316" s="15"/>
      <c r="C316" s="16"/>
      <c r="D316" s="17"/>
      <c r="E316" s="12"/>
      <c r="F316" s="18"/>
      <c r="G316" s="19"/>
      <c r="H316" s="13"/>
      <c r="I316" s="19"/>
      <c r="J316" s="13"/>
      <c r="K316" s="19"/>
      <c r="L316" s="13"/>
      <c r="M316" s="19"/>
      <c r="N316" s="13"/>
      <c r="O316" s="19"/>
      <c r="P316" s="13"/>
      <c r="Q316" s="19"/>
      <c r="R316" s="13"/>
      <c r="S316" s="19"/>
      <c r="T316" s="13"/>
      <c r="U316" s="19"/>
      <c r="V316" s="13"/>
      <c r="W316" s="19"/>
      <c r="X316" s="13"/>
      <c r="Y316" s="19"/>
      <c r="Z316" s="13"/>
      <c r="AA316" s="19"/>
      <c r="AB316" s="13"/>
      <c r="AC316" s="19"/>
      <c r="AD316" s="13"/>
      <c r="AE316" s="19"/>
      <c r="AF316" s="13"/>
      <c r="AG316" s="19"/>
      <c r="AH316" s="13"/>
      <c r="AI316" s="19"/>
      <c r="AJ316" s="13"/>
      <c r="AK316" s="19"/>
      <c r="AL316" s="13"/>
      <c r="AM316" s="19"/>
      <c r="AN316" s="13"/>
      <c r="AO316" s="19"/>
      <c r="AP316" s="13"/>
      <c r="AQ316" s="19"/>
      <c r="AR316" s="13"/>
      <c r="AS316" s="614"/>
      <c r="AT316" s="460"/>
      <c r="AU316" s="783"/>
      <c r="AV316" s="460"/>
    </row>
    <row r="317" spans="1:48">
      <c r="A317" s="14"/>
      <c r="B317" s="15"/>
      <c r="C317" s="16"/>
      <c r="D317" s="17"/>
      <c r="E317" s="12"/>
      <c r="F317" s="18"/>
      <c r="G317" s="19"/>
      <c r="H317" s="13"/>
      <c r="I317" s="19"/>
      <c r="J317" s="13"/>
      <c r="K317" s="19"/>
      <c r="L317" s="13"/>
      <c r="M317" s="19"/>
      <c r="N317" s="13"/>
      <c r="O317" s="19"/>
      <c r="P317" s="13"/>
      <c r="Q317" s="19"/>
      <c r="R317" s="13"/>
      <c r="S317" s="19"/>
      <c r="T317" s="13"/>
      <c r="U317" s="19"/>
      <c r="V317" s="13"/>
      <c r="W317" s="19"/>
      <c r="X317" s="13"/>
      <c r="Y317" s="19"/>
      <c r="Z317" s="13"/>
      <c r="AA317" s="19"/>
      <c r="AB317" s="13"/>
      <c r="AC317" s="19"/>
      <c r="AD317" s="13"/>
      <c r="AE317" s="19"/>
      <c r="AF317" s="13"/>
      <c r="AG317" s="19"/>
      <c r="AH317" s="13"/>
      <c r="AI317" s="19"/>
      <c r="AJ317" s="13"/>
      <c r="AK317" s="19"/>
      <c r="AL317" s="13"/>
      <c r="AM317" s="19"/>
      <c r="AN317" s="13"/>
      <c r="AO317" s="19"/>
      <c r="AP317" s="13"/>
      <c r="AQ317" s="19"/>
      <c r="AR317" s="13"/>
      <c r="AS317" s="614"/>
      <c r="AT317" s="460"/>
      <c r="AU317" s="783"/>
      <c r="AV317" s="460"/>
    </row>
    <row r="318" spans="1:48">
      <c r="A318" s="14"/>
      <c r="B318" s="15"/>
      <c r="C318" s="16"/>
      <c r="D318" s="17"/>
      <c r="E318" s="12"/>
      <c r="F318" s="18"/>
      <c r="G318" s="19"/>
      <c r="H318" s="13"/>
      <c r="I318" s="19"/>
      <c r="J318" s="13"/>
      <c r="K318" s="19"/>
      <c r="L318" s="13"/>
      <c r="M318" s="19"/>
      <c r="N318" s="13"/>
      <c r="O318" s="19"/>
      <c r="P318" s="13"/>
      <c r="Q318" s="19"/>
      <c r="R318" s="13"/>
      <c r="S318" s="19"/>
      <c r="T318" s="13"/>
      <c r="U318" s="19"/>
      <c r="V318" s="13"/>
      <c r="W318" s="19"/>
      <c r="X318" s="13"/>
      <c r="Y318" s="19"/>
      <c r="Z318" s="13"/>
      <c r="AA318" s="19"/>
      <c r="AB318" s="13"/>
      <c r="AC318" s="19"/>
      <c r="AD318" s="13"/>
      <c r="AE318" s="19"/>
      <c r="AF318" s="13"/>
      <c r="AG318" s="19"/>
      <c r="AH318" s="13"/>
      <c r="AI318" s="19"/>
      <c r="AJ318" s="13"/>
      <c r="AK318" s="19"/>
      <c r="AL318" s="13"/>
      <c r="AM318" s="19"/>
      <c r="AN318" s="13"/>
      <c r="AO318" s="19"/>
      <c r="AP318" s="13"/>
      <c r="AQ318" s="19"/>
      <c r="AR318" s="13"/>
      <c r="AS318" s="614"/>
      <c r="AT318" s="460"/>
      <c r="AU318" s="783"/>
      <c r="AV318" s="460"/>
    </row>
    <row r="319" spans="1:48">
      <c r="A319" s="14"/>
      <c r="B319" s="15"/>
      <c r="C319" s="16"/>
      <c r="D319" s="17"/>
      <c r="E319" s="12"/>
      <c r="F319" s="18"/>
      <c r="G319" s="19"/>
      <c r="H319" s="13"/>
      <c r="I319" s="19"/>
      <c r="J319" s="13"/>
      <c r="K319" s="19"/>
      <c r="L319" s="13"/>
      <c r="M319" s="19"/>
      <c r="N319" s="13"/>
      <c r="O319" s="19"/>
      <c r="P319" s="13"/>
      <c r="Q319" s="19"/>
      <c r="R319" s="13"/>
      <c r="S319" s="19"/>
      <c r="T319" s="13"/>
      <c r="U319" s="19"/>
      <c r="V319" s="13"/>
      <c r="W319" s="19"/>
      <c r="X319" s="13"/>
      <c r="Y319" s="19"/>
      <c r="Z319" s="13"/>
      <c r="AA319" s="19"/>
      <c r="AB319" s="13"/>
      <c r="AC319" s="19"/>
      <c r="AD319" s="13"/>
      <c r="AE319" s="19"/>
      <c r="AF319" s="13"/>
      <c r="AG319" s="19"/>
      <c r="AH319" s="13"/>
      <c r="AI319" s="19"/>
      <c r="AJ319" s="13"/>
      <c r="AK319" s="19"/>
      <c r="AL319" s="13"/>
      <c r="AM319" s="19"/>
      <c r="AN319" s="13"/>
      <c r="AO319" s="19"/>
      <c r="AP319" s="13"/>
      <c r="AQ319" s="19"/>
      <c r="AR319" s="13"/>
      <c r="AS319" s="614"/>
      <c r="AT319" s="460"/>
      <c r="AU319" s="783"/>
      <c r="AV319" s="460"/>
    </row>
    <row r="320" spans="1:48">
      <c r="A320" s="14"/>
      <c r="B320" s="15"/>
      <c r="C320" s="16"/>
      <c r="D320" s="17"/>
      <c r="E320" s="12"/>
      <c r="F320" s="18"/>
      <c r="G320" s="19"/>
      <c r="H320" s="13"/>
      <c r="I320" s="19"/>
      <c r="J320" s="13"/>
      <c r="K320" s="19"/>
      <c r="L320" s="13"/>
      <c r="M320" s="19"/>
      <c r="N320" s="13"/>
      <c r="O320" s="19"/>
      <c r="P320" s="13"/>
      <c r="Q320" s="19"/>
      <c r="R320" s="13"/>
      <c r="S320" s="19"/>
      <c r="T320" s="13"/>
      <c r="U320" s="19"/>
      <c r="V320" s="13"/>
      <c r="W320" s="19"/>
      <c r="X320" s="13"/>
      <c r="Y320" s="19"/>
      <c r="Z320" s="13"/>
      <c r="AA320" s="19"/>
      <c r="AB320" s="13"/>
      <c r="AC320" s="19"/>
      <c r="AD320" s="13"/>
      <c r="AE320" s="19"/>
      <c r="AF320" s="13"/>
      <c r="AG320" s="19"/>
      <c r="AH320" s="13"/>
      <c r="AI320" s="19"/>
      <c r="AJ320" s="13"/>
      <c r="AK320" s="19"/>
      <c r="AL320" s="13"/>
      <c r="AM320" s="19"/>
      <c r="AN320" s="13"/>
      <c r="AO320" s="19"/>
      <c r="AP320" s="13"/>
      <c r="AQ320" s="19"/>
      <c r="AR320" s="13"/>
      <c r="AS320" s="614"/>
      <c r="AT320" s="460"/>
      <c r="AU320" s="783"/>
      <c r="AV320" s="460"/>
    </row>
    <row r="321" spans="1:48">
      <c r="A321" s="14"/>
      <c r="B321" s="15"/>
      <c r="C321" s="16"/>
      <c r="D321" s="17"/>
      <c r="E321" s="12"/>
      <c r="F321" s="18"/>
      <c r="G321" s="19"/>
      <c r="H321" s="13"/>
      <c r="I321" s="19"/>
      <c r="J321" s="13"/>
      <c r="K321" s="19"/>
      <c r="L321" s="13"/>
      <c r="M321" s="19"/>
      <c r="N321" s="13"/>
      <c r="O321" s="19"/>
      <c r="P321" s="13"/>
      <c r="Q321" s="19"/>
      <c r="R321" s="13"/>
      <c r="S321" s="19"/>
      <c r="T321" s="13"/>
      <c r="U321" s="19"/>
      <c r="V321" s="13"/>
      <c r="W321" s="19"/>
      <c r="X321" s="13"/>
      <c r="Y321" s="19"/>
      <c r="Z321" s="13"/>
      <c r="AA321" s="19"/>
      <c r="AB321" s="13"/>
      <c r="AC321" s="19"/>
      <c r="AD321" s="13"/>
      <c r="AE321" s="19"/>
      <c r="AF321" s="13"/>
      <c r="AG321" s="19"/>
      <c r="AH321" s="13"/>
      <c r="AI321" s="19"/>
      <c r="AJ321" s="13"/>
      <c r="AK321" s="19"/>
      <c r="AL321" s="13"/>
      <c r="AM321" s="19"/>
      <c r="AN321" s="13"/>
      <c r="AO321" s="19"/>
      <c r="AP321" s="13"/>
      <c r="AQ321" s="19"/>
      <c r="AR321" s="13"/>
      <c r="AS321" s="614"/>
      <c r="AT321" s="460"/>
      <c r="AU321" s="783"/>
      <c r="AV321" s="460"/>
    </row>
    <row r="322" spans="1:48">
      <c r="A322" s="14"/>
      <c r="B322" s="15"/>
      <c r="C322" s="16"/>
      <c r="D322" s="17"/>
      <c r="E322" s="12"/>
      <c r="F322" s="18"/>
      <c r="G322" s="19"/>
      <c r="H322" s="13"/>
      <c r="I322" s="19"/>
      <c r="J322" s="13"/>
      <c r="K322" s="19"/>
      <c r="L322" s="13"/>
      <c r="M322" s="19"/>
      <c r="N322" s="13"/>
      <c r="O322" s="19"/>
      <c r="P322" s="13"/>
      <c r="Q322" s="19"/>
      <c r="R322" s="13"/>
      <c r="S322" s="19"/>
      <c r="T322" s="13"/>
      <c r="U322" s="19"/>
      <c r="V322" s="13"/>
      <c r="W322" s="19"/>
      <c r="X322" s="13"/>
      <c r="Y322" s="19"/>
      <c r="Z322" s="13"/>
      <c r="AA322" s="19"/>
      <c r="AB322" s="13"/>
      <c r="AC322" s="19"/>
      <c r="AD322" s="13"/>
      <c r="AE322" s="19"/>
      <c r="AF322" s="13"/>
      <c r="AG322" s="19"/>
      <c r="AH322" s="13"/>
      <c r="AI322" s="19"/>
      <c r="AJ322" s="13"/>
      <c r="AK322" s="19"/>
      <c r="AL322" s="13"/>
      <c r="AM322" s="19"/>
      <c r="AN322" s="13"/>
      <c r="AO322" s="19"/>
      <c r="AP322" s="13"/>
      <c r="AQ322" s="19"/>
      <c r="AR322" s="13"/>
      <c r="AS322" s="614"/>
      <c r="AT322" s="460"/>
      <c r="AU322" s="783"/>
      <c r="AV322" s="460"/>
    </row>
    <row r="323" spans="1:48">
      <c r="A323" s="14"/>
      <c r="B323" s="15"/>
      <c r="C323" s="16"/>
      <c r="D323" s="17"/>
      <c r="E323" s="12"/>
      <c r="F323" s="18"/>
      <c r="G323" s="19"/>
      <c r="H323" s="13"/>
      <c r="I323" s="19"/>
      <c r="J323" s="13"/>
      <c r="K323" s="19"/>
      <c r="L323" s="13"/>
      <c r="M323" s="19"/>
      <c r="N323" s="13"/>
      <c r="O323" s="19"/>
      <c r="P323" s="13"/>
      <c r="Q323" s="19"/>
      <c r="R323" s="13"/>
      <c r="S323" s="19"/>
      <c r="T323" s="13"/>
      <c r="U323" s="19"/>
      <c r="V323" s="13"/>
      <c r="W323" s="19"/>
      <c r="X323" s="13"/>
      <c r="Y323" s="19"/>
      <c r="Z323" s="13"/>
      <c r="AA323" s="19"/>
      <c r="AB323" s="13"/>
      <c r="AC323" s="19"/>
      <c r="AD323" s="13"/>
      <c r="AE323" s="19"/>
      <c r="AF323" s="13"/>
      <c r="AG323" s="19"/>
      <c r="AH323" s="13"/>
      <c r="AI323" s="19"/>
      <c r="AJ323" s="13"/>
      <c r="AK323" s="19"/>
      <c r="AL323" s="13"/>
      <c r="AM323" s="19"/>
      <c r="AN323" s="13"/>
      <c r="AO323" s="19"/>
      <c r="AP323" s="13"/>
      <c r="AQ323" s="19"/>
      <c r="AR323" s="13"/>
      <c r="AS323" s="614"/>
      <c r="AT323" s="460"/>
      <c r="AU323" s="783"/>
      <c r="AV323" s="460"/>
    </row>
    <row r="324" spans="1:48">
      <c r="A324" s="14"/>
      <c r="B324" s="15"/>
      <c r="C324" s="16"/>
      <c r="D324" s="17"/>
      <c r="E324" s="12"/>
      <c r="F324" s="18"/>
      <c r="G324" s="19"/>
      <c r="H324" s="13"/>
      <c r="I324" s="19"/>
      <c r="J324" s="13"/>
      <c r="K324" s="19"/>
      <c r="L324" s="13"/>
      <c r="M324" s="19"/>
      <c r="N324" s="13"/>
      <c r="O324" s="19"/>
      <c r="P324" s="13"/>
      <c r="Q324" s="19"/>
      <c r="R324" s="13"/>
      <c r="S324" s="19"/>
      <c r="T324" s="13"/>
      <c r="U324" s="19"/>
      <c r="V324" s="13"/>
      <c r="W324" s="19"/>
      <c r="X324" s="13"/>
      <c r="Y324" s="19"/>
      <c r="Z324" s="13"/>
      <c r="AA324" s="19"/>
      <c r="AB324" s="13"/>
      <c r="AC324" s="19"/>
      <c r="AD324" s="13"/>
      <c r="AE324" s="19"/>
      <c r="AF324" s="13"/>
      <c r="AG324" s="19"/>
      <c r="AH324" s="13"/>
      <c r="AI324" s="19"/>
      <c r="AJ324" s="13"/>
      <c r="AK324" s="19"/>
      <c r="AL324" s="13"/>
      <c r="AM324" s="19"/>
      <c r="AN324" s="13"/>
      <c r="AO324" s="19"/>
      <c r="AP324" s="13"/>
      <c r="AQ324" s="19"/>
      <c r="AR324" s="13"/>
      <c r="AS324" s="614"/>
      <c r="AT324" s="460"/>
      <c r="AU324" s="783"/>
      <c r="AV324" s="460"/>
    </row>
    <row r="325" spans="1:48">
      <c r="A325" s="14"/>
      <c r="B325" s="15"/>
      <c r="C325" s="16"/>
      <c r="D325" s="17"/>
      <c r="E325" s="12"/>
      <c r="F325" s="18"/>
      <c r="G325" s="19"/>
      <c r="H325" s="13"/>
      <c r="I325" s="19"/>
      <c r="J325" s="13"/>
      <c r="K325" s="19"/>
      <c r="L325" s="13"/>
      <c r="M325" s="19"/>
      <c r="N325" s="13"/>
      <c r="O325" s="19"/>
      <c r="P325" s="13"/>
      <c r="Q325" s="19"/>
      <c r="R325" s="13"/>
      <c r="S325" s="19"/>
      <c r="T325" s="13"/>
      <c r="U325" s="19"/>
      <c r="V325" s="13"/>
      <c r="W325" s="19"/>
      <c r="X325" s="13"/>
      <c r="Y325" s="19"/>
      <c r="Z325" s="13"/>
      <c r="AA325" s="19"/>
      <c r="AB325" s="13"/>
      <c r="AC325" s="19"/>
      <c r="AD325" s="13"/>
      <c r="AE325" s="19"/>
      <c r="AF325" s="13"/>
      <c r="AG325" s="19"/>
      <c r="AH325" s="13"/>
      <c r="AI325" s="19"/>
      <c r="AJ325" s="13"/>
      <c r="AK325" s="19"/>
      <c r="AL325" s="13"/>
      <c r="AM325" s="19"/>
      <c r="AN325" s="13"/>
      <c r="AO325" s="19"/>
      <c r="AP325" s="13"/>
      <c r="AQ325" s="19"/>
      <c r="AR325" s="13"/>
      <c r="AS325" s="614"/>
      <c r="AT325" s="460"/>
      <c r="AU325" s="783"/>
      <c r="AV325" s="460"/>
    </row>
    <row r="326" spans="1:48">
      <c r="A326" s="14"/>
      <c r="B326" s="15"/>
      <c r="C326" s="16"/>
      <c r="D326" s="17"/>
      <c r="E326" s="12"/>
      <c r="F326" s="18"/>
      <c r="G326" s="19"/>
      <c r="H326" s="13"/>
      <c r="I326" s="19"/>
      <c r="J326" s="13"/>
      <c r="K326" s="19"/>
      <c r="L326" s="13"/>
      <c r="M326" s="19"/>
      <c r="N326" s="13"/>
      <c r="O326" s="19"/>
      <c r="P326" s="13"/>
      <c r="Q326" s="19"/>
      <c r="R326" s="13"/>
      <c r="S326" s="19"/>
      <c r="T326" s="13"/>
      <c r="U326" s="19"/>
      <c r="V326" s="13"/>
      <c r="W326" s="19"/>
      <c r="X326" s="13"/>
      <c r="Y326" s="19"/>
      <c r="Z326" s="13"/>
      <c r="AA326" s="19"/>
      <c r="AB326" s="13"/>
      <c r="AC326" s="19"/>
      <c r="AD326" s="13"/>
      <c r="AE326" s="19"/>
      <c r="AF326" s="13"/>
      <c r="AG326" s="19"/>
      <c r="AH326" s="13"/>
      <c r="AI326" s="19"/>
      <c r="AJ326" s="13"/>
      <c r="AK326" s="19"/>
      <c r="AL326" s="13"/>
      <c r="AM326" s="19"/>
      <c r="AN326" s="13"/>
      <c r="AO326" s="19"/>
      <c r="AP326" s="13"/>
      <c r="AQ326" s="19"/>
      <c r="AR326" s="13"/>
      <c r="AS326" s="614"/>
      <c r="AT326" s="460"/>
      <c r="AU326" s="783"/>
      <c r="AV326" s="460"/>
    </row>
    <row r="327" spans="1:48">
      <c r="A327" s="14"/>
      <c r="B327" s="15"/>
      <c r="C327" s="16"/>
      <c r="D327" s="17"/>
      <c r="E327" s="12"/>
      <c r="F327" s="18"/>
      <c r="G327" s="19"/>
      <c r="H327" s="13"/>
      <c r="I327" s="19"/>
      <c r="J327" s="13"/>
      <c r="K327" s="19"/>
      <c r="L327" s="13"/>
      <c r="M327" s="19"/>
      <c r="N327" s="13"/>
      <c r="O327" s="19"/>
      <c r="P327" s="13"/>
      <c r="Q327" s="19"/>
      <c r="R327" s="13"/>
      <c r="S327" s="19"/>
      <c r="T327" s="13"/>
      <c r="U327" s="19"/>
      <c r="V327" s="13"/>
      <c r="W327" s="19"/>
      <c r="X327" s="13"/>
      <c r="Y327" s="19"/>
      <c r="Z327" s="13"/>
      <c r="AA327" s="19"/>
      <c r="AB327" s="13"/>
      <c r="AC327" s="19"/>
      <c r="AD327" s="13"/>
      <c r="AE327" s="19"/>
      <c r="AF327" s="13"/>
      <c r="AG327" s="19"/>
      <c r="AH327" s="13"/>
      <c r="AI327" s="19"/>
      <c r="AJ327" s="13"/>
      <c r="AK327" s="19"/>
      <c r="AL327" s="13"/>
      <c r="AM327" s="19"/>
      <c r="AN327" s="13"/>
      <c r="AO327" s="19"/>
      <c r="AP327" s="13"/>
      <c r="AQ327" s="19"/>
      <c r="AR327" s="13"/>
      <c r="AS327" s="614"/>
      <c r="AT327" s="460"/>
      <c r="AU327" s="783"/>
      <c r="AV327" s="460"/>
    </row>
    <row r="328" spans="1:48">
      <c r="A328" s="14"/>
      <c r="B328" s="15"/>
      <c r="C328" s="16"/>
      <c r="D328" s="17"/>
      <c r="E328" s="12"/>
      <c r="F328" s="18"/>
      <c r="G328" s="19"/>
      <c r="H328" s="13"/>
      <c r="I328" s="19"/>
      <c r="J328" s="13"/>
      <c r="K328" s="19"/>
      <c r="L328" s="13"/>
      <c r="M328" s="19"/>
      <c r="N328" s="13"/>
      <c r="O328" s="19"/>
      <c r="P328" s="13"/>
      <c r="Q328" s="19"/>
      <c r="R328" s="13"/>
      <c r="S328" s="19"/>
      <c r="T328" s="13"/>
      <c r="U328" s="19"/>
      <c r="V328" s="13"/>
      <c r="W328" s="19"/>
      <c r="X328" s="13"/>
      <c r="Y328" s="19"/>
      <c r="Z328" s="13"/>
      <c r="AA328" s="19"/>
      <c r="AB328" s="13"/>
      <c r="AC328" s="19"/>
      <c r="AD328" s="13"/>
      <c r="AE328" s="19"/>
      <c r="AF328" s="13"/>
      <c r="AG328" s="19"/>
      <c r="AH328" s="13"/>
      <c r="AI328" s="19"/>
      <c r="AJ328" s="13"/>
      <c r="AK328" s="19"/>
      <c r="AL328" s="13"/>
      <c r="AM328" s="19"/>
      <c r="AN328" s="13"/>
      <c r="AO328" s="19"/>
      <c r="AP328" s="13"/>
      <c r="AQ328" s="19"/>
      <c r="AR328" s="13"/>
      <c r="AS328" s="614"/>
      <c r="AT328" s="460"/>
      <c r="AU328" s="783"/>
      <c r="AV328" s="460"/>
    </row>
    <row r="329" spans="1:48">
      <c r="A329" s="14"/>
      <c r="B329" s="15"/>
      <c r="C329" s="16"/>
      <c r="D329" s="17"/>
      <c r="E329" s="12"/>
      <c r="F329" s="18"/>
      <c r="G329" s="19"/>
      <c r="H329" s="13"/>
      <c r="I329" s="19"/>
      <c r="J329" s="13"/>
      <c r="K329" s="19"/>
      <c r="L329" s="13"/>
      <c r="M329" s="19"/>
      <c r="N329" s="13"/>
      <c r="O329" s="19"/>
      <c r="P329" s="13"/>
      <c r="Q329" s="19"/>
      <c r="R329" s="13"/>
      <c r="S329" s="19"/>
      <c r="T329" s="13"/>
      <c r="U329" s="19"/>
      <c r="V329" s="13"/>
      <c r="W329" s="19"/>
      <c r="X329" s="13"/>
      <c r="Y329" s="19"/>
      <c r="Z329" s="13"/>
      <c r="AA329" s="19"/>
      <c r="AB329" s="13"/>
      <c r="AC329" s="19"/>
      <c r="AD329" s="13"/>
      <c r="AE329" s="19"/>
      <c r="AF329" s="13"/>
      <c r="AG329" s="19"/>
      <c r="AH329" s="13"/>
      <c r="AI329" s="19"/>
      <c r="AJ329" s="13"/>
      <c r="AK329" s="19"/>
      <c r="AL329" s="13"/>
      <c r="AM329" s="19"/>
      <c r="AN329" s="13"/>
      <c r="AO329" s="19"/>
      <c r="AP329" s="13"/>
      <c r="AQ329" s="19"/>
      <c r="AR329" s="13"/>
      <c r="AS329" s="614"/>
      <c r="AT329" s="460"/>
      <c r="AU329" s="783"/>
      <c r="AV329" s="460"/>
    </row>
    <row r="330" spans="1:48">
      <c r="A330" s="14"/>
      <c r="B330" s="15"/>
      <c r="C330" s="16"/>
      <c r="D330" s="17"/>
      <c r="E330" s="12"/>
      <c r="F330" s="18"/>
      <c r="G330" s="19"/>
      <c r="H330" s="13"/>
      <c r="I330" s="19"/>
      <c r="J330" s="13"/>
      <c r="K330" s="19"/>
      <c r="L330" s="13"/>
      <c r="M330" s="19"/>
      <c r="N330" s="13"/>
      <c r="O330" s="19"/>
      <c r="P330" s="13"/>
      <c r="Q330" s="19"/>
      <c r="R330" s="13"/>
      <c r="S330" s="19"/>
      <c r="T330" s="13"/>
      <c r="U330" s="19"/>
      <c r="V330" s="13"/>
      <c r="W330" s="19"/>
      <c r="X330" s="13"/>
      <c r="Y330" s="19"/>
      <c r="Z330" s="13"/>
      <c r="AA330" s="19"/>
      <c r="AB330" s="13"/>
      <c r="AC330" s="19"/>
      <c r="AD330" s="13"/>
      <c r="AE330" s="19"/>
      <c r="AF330" s="13"/>
      <c r="AG330" s="19"/>
      <c r="AH330" s="13"/>
      <c r="AI330" s="19"/>
      <c r="AJ330" s="13"/>
      <c r="AK330" s="19"/>
      <c r="AL330" s="13"/>
      <c r="AM330" s="19"/>
      <c r="AN330" s="13"/>
      <c r="AO330" s="19"/>
      <c r="AP330" s="13"/>
      <c r="AQ330" s="19"/>
      <c r="AR330" s="13"/>
      <c r="AS330" s="614"/>
      <c r="AT330" s="460"/>
      <c r="AU330" s="783"/>
      <c r="AV330" s="460"/>
    </row>
    <row r="331" spans="1:48">
      <c r="A331" s="14"/>
      <c r="B331" s="15"/>
      <c r="C331" s="16"/>
      <c r="D331" s="17"/>
      <c r="E331" s="12"/>
      <c r="F331" s="18"/>
      <c r="G331" s="19"/>
      <c r="H331" s="13"/>
      <c r="I331" s="19"/>
      <c r="J331" s="13"/>
      <c r="K331" s="19"/>
      <c r="L331" s="13"/>
      <c r="M331" s="19"/>
      <c r="N331" s="13"/>
      <c r="O331" s="19"/>
      <c r="P331" s="13"/>
      <c r="Q331" s="19"/>
      <c r="R331" s="13"/>
      <c r="S331" s="19"/>
      <c r="T331" s="13"/>
      <c r="U331" s="19"/>
      <c r="V331" s="13"/>
      <c r="W331" s="19"/>
      <c r="X331" s="13"/>
      <c r="Y331" s="19"/>
      <c r="Z331" s="13"/>
      <c r="AA331" s="19"/>
      <c r="AB331" s="13"/>
      <c r="AC331" s="19"/>
      <c r="AD331" s="13"/>
      <c r="AE331" s="19"/>
      <c r="AF331" s="13"/>
      <c r="AG331" s="19"/>
      <c r="AH331" s="13"/>
      <c r="AI331" s="19"/>
      <c r="AJ331" s="13"/>
      <c r="AK331" s="19"/>
      <c r="AL331" s="13"/>
      <c r="AM331" s="19"/>
      <c r="AN331" s="13"/>
      <c r="AO331" s="19"/>
      <c r="AP331" s="13"/>
      <c r="AQ331" s="19"/>
      <c r="AR331" s="13"/>
      <c r="AS331" s="614"/>
      <c r="AT331" s="460"/>
      <c r="AU331" s="783"/>
      <c r="AV331" s="460"/>
    </row>
    <row r="332" spans="1:48">
      <c r="A332" s="14"/>
      <c r="B332" s="15"/>
      <c r="C332" s="16"/>
      <c r="D332" s="17"/>
      <c r="E332" s="12"/>
      <c r="F332" s="18"/>
      <c r="G332" s="19"/>
      <c r="H332" s="13"/>
      <c r="I332" s="19"/>
      <c r="J332" s="13"/>
      <c r="K332" s="19"/>
      <c r="L332" s="13"/>
      <c r="M332" s="19"/>
      <c r="N332" s="13"/>
      <c r="O332" s="19"/>
      <c r="P332" s="13"/>
      <c r="Q332" s="19"/>
      <c r="R332" s="13"/>
      <c r="S332" s="19"/>
      <c r="T332" s="13"/>
      <c r="U332" s="19"/>
      <c r="V332" s="13"/>
      <c r="W332" s="19"/>
      <c r="X332" s="13"/>
      <c r="Y332" s="19"/>
      <c r="Z332" s="13"/>
      <c r="AA332" s="19"/>
      <c r="AB332" s="13"/>
      <c r="AC332" s="19"/>
      <c r="AD332" s="13"/>
      <c r="AE332" s="19"/>
      <c r="AF332" s="13"/>
      <c r="AG332" s="19"/>
      <c r="AH332" s="13"/>
      <c r="AI332" s="19"/>
      <c r="AJ332" s="13"/>
      <c r="AK332" s="19"/>
      <c r="AL332" s="13"/>
      <c r="AM332" s="19"/>
      <c r="AN332" s="13"/>
      <c r="AO332" s="19"/>
      <c r="AP332" s="13"/>
      <c r="AQ332" s="19"/>
      <c r="AR332" s="13"/>
      <c r="AS332" s="614"/>
      <c r="AT332" s="460"/>
      <c r="AU332" s="783"/>
      <c r="AV332" s="460"/>
    </row>
    <row r="333" spans="1:48">
      <c r="A333" s="14"/>
      <c r="B333" s="15"/>
      <c r="C333" s="16"/>
      <c r="D333" s="17"/>
      <c r="E333" s="12"/>
      <c r="F333" s="18"/>
      <c r="G333" s="19"/>
      <c r="H333" s="13"/>
      <c r="I333" s="19"/>
      <c r="J333" s="13"/>
      <c r="K333" s="19"/>
      <c r="L333" s="13"/>
      <c r="M333" s="19"/>
      <c r="N333" s="13"/>
      <c r="O333" s="19"/>
      <c r="P333" s="13"/>
      <c r="Q333" s="19"/>
      <c r="R333" s="13"/>
      <c r="S333" s="19"/>
      <c r="T333" s="13"/>
      <c r="U333" s="19"/>
      <c r="V333" s="13"/>
      <c r="W333" s="19"/>
      <c r="X333" s="13"/>
      <c r="Y333" s="19"/>
      <c r="Z333" s="13"/>
      <c r="AA333" s="19"/>
      <c r="AB333" s="13"/>
      <c r="AC333" s="19"/>
      <c r="AD333" s="13"/>
      <c r="AE333" s="19"/>
      <c r="AF333" s="13"/>
      <c r="AG333" s="19"/>
      <c r="AH333" s="13"/>
      <c r="AI333" s="19"/>
      <c r="AJ333" s="13"/>
      <c r="AK333" s="19"/>
      <c r="AL333" s="13"/>
      <c r="AM333" s="19"/>
      <c r="AN333" s="13"/>
      <c r="AO333" s="19"/>
      <c r="AP333" s="13"/>
      <c r="AQ333" s="19"/>
      <c r="AR333" s="13"/>
      <c r="AS333" s="614"/>
      <c r="AT333" s="460"/>
      <c r="AU333" s="783"/>
      <c r="AV333" s="460"/>
    </row>
    <row r="334" spans="1:48">
      <c r="A334" s="14"/>
      <c r="B334" s="15"/>
      <c r="C334" s="16"/>
      <c r="D334" s="17"/>
      <c r="E334" s="12"/>
      <c r="F334" s="18"/>
      <c r="G334" s="19"/>
      <c r="H334" s="13"/>
      <c r="I334" s="19"/>
      <c r="J334" s="13"/>
      <c r="K334" s="19"/>
      <c r="L334" s="13"/>
      <c r="M334" s="19"/>
      <c r="N334" s="13"/>
      <c r="O334" s="19"/>
      <c r="P334" s="13"/>
      <c r="Q334" s="19"/>
      <c r="R334" s="13"/>
      <c r="S334" s="19"/>
      <c r="T334" s="13"/>
      <c r="U334" s="19"/>
      <c r="V334" s="13"/>
      <c r="W334" s="19"/>
      <c r="X334" s="13"/>
      <c r="Y334" s="19"/>
      <c r="Z334" s="13"/>
      <c r="AA334" s="19"/>
      <c r="AB334" s="13"/>
      <c r="AC334" s="19"/>
      <c r="AD334" s="13"/>
      <c r="AE334" s="19"/>
      <c r="AF334" s="13"/>
      <c r="AG334" s="19"/>
      <c r="AH334" s="13"/>
      <c r="AI334" s="19"/>
      <c r="AJ334" s="13"/>
      <c r="AK334" s="19"/>
      <c r="AL334" s="13"/>
      <c r="AM334" s="19"/>
      <c r="AN334" s="13"/>
      <c r="AO334" s="19"/>
      <c r="AP334" s="13"/>
      <c r="AQ334" s="19"/>
      <c r="AR334" s="13"/>
      <c r="AS334" s="614"/>
      <c r="AT334" s="460"/>
      <c r="AU334" s="783"/>
      <c r="AV334" s="460"/>
    </row>
    <row r="335" spans="1:48">
      <c r="A335" s="14"/>
      <c r="B335" s="15"/>
      <c r="C335" s="16"/>
      <c r="D335" s="17"/>
      <c r="E335" s="12"/>
      <c r="F335" s="18"/>
      <c r="G335" s="19"/>
      <c r="H335" s="13"/>
      <c r="I335" s="19"/>
      <c r="J335" s="13"/>
      <c r="K335" s="19"/>
      <c r="L335" s="13"/>
      <c r="M335" s="19"/>
      <c r="N335" s="13"/>
      <c r="O335" s="19"/>
      <c r="P335" s="13"/>
      <c r="Q335" s="19"/>
      <c r="R335" s="13"/>
      <c r="S335" s="19"/>
      <c r="T335" s="13"/>
      <c r="U335" s="19"/>
      <c r="V335" s="13"/>
      <c r="W335" s="19"/>
      <c r="X335" s="13"/>
      <c r="Y335" s="19"/>
      <c r="Z335" s="13"/>
      <c r="AA335" s="19"/>
      <c r="AB335" s="13"/>
      <c r="AC335" s="19"/>
      <c r="AD335" s="13"/>
      <c r="AE335" s="19"/>
      <c r="AF335" s="13"/>
      <c r="AG335" s="19"/>
      <c r="AH335" s="13"/>
      <c r="AI335" s="19"/>
      <c r="AJ335" s="13"/>
      <c r="AK335" s="19"/>
      <c r="AL335" s="13"/>
      <c r="AM335" s="19"/>
      <c r="AN335" s="13"/>
      <c r="AO335" s="19"/>
      <c r="AP335" s="13"/>
      <c r="AQ335" s="19"/>
      <c r="AR335" s="13"/>
      <c r="AS335" s="614"/>
      <c r="AT335" s="460"/>
      <c r="AU335" s="783"/>
      <c r="AV335" s="460"/>
    </row>
    <row r="336" spans="1:48">
      <c r="A336" s="14"/>
      <c r="B336" s="15"/>
      <c r="C336" s="16"/>
      <c r="D336" s="17"/>
      <c r="E336" s="12"/>
      <c r="F336" s="18"/>
      <c r="G336" s="19"/>
      <c r="H336" s="13"/>
      <c r="I336" s="19"/>
      <c r="J336" s="13"/>
      <c r="K336" s="19"/>
      <c r="L336" s="13"/>
      <c r="M336" s="19"/>
      <c r="N336" s="13"/>
      <c r="O336" s="19"/>
      <c r="P336" s="13"/>
      <c r="Q336" s="19"/>
      <c r="R336" s="13"/>
      <c r="S336" s="19"/>
      <c r="T336" s="13"/>
      <c r="U336" s="19"/>
      <c r="V336" s="13"/>
      <c r="W336" s="19"/>
      <c r="X336" s="13"/>
      <c r="Y336" s="19"/>
      <c r="Z336" s="13"/>
      <c r="AA336" s="19"/>
      <c r="AB336" s="13"/>
      <c r="AC336" s="19"/>
      <c r="AD336" s="13"/>
      <c r="AE336" s="19"/>
      <c r="AF336" s="13"/>
      <c r="AG336" s="19"/>
      <c r="AH336" s="13"/>
      <c r="AI336" s="19"/>
      <c r="AJ336" s="13"/>
      <c r="AK336" s="19"/>
      <c r="AL336" s="13"/>
      <c r="AM336" s="19"/>
      <c r="AN336" s="13"/>
      <c r="AO336" s="19"/>
      <c r="AP336" s="13"/>
      <c r="AQ336" s="19"/>
      <c r="AR336" s="13"/>
      <c r="AS336" s="614"/>
      <c r="AT336" s="460"/>
      <c r="AU336" s="783"/>
      <c r="AV336" s="460"/>
    </row>
    <row r="337" spans="1:48">
      <c r="A337" s="14"/>
      <c r="B337" s="15"/>
      <c r="C337" s="16"/>
      <c r="D337" s="17"/>
      <c r="E337" s="12"/>
      <c r="F337" s="18"/>
      <c r="G337" s="19"/>
      <c r="H337" s="13"/>
      <c r="I337" s="19"/>
      <c r="J337" s="13"/>
      <c r="K337" s="19"/>
      <c r="L337" s="13"/>
      <c r="M337" s="19"/>
      <c r="N337" s="13"/>
      <c r="O337" s="19"/>
      <c r="P337" s="13"/>
      <c r="Q337" s="19"/>
      <c r="R337" s="13"/>
      <c r="S337" s="19"/>
      <c r="T337" s="13"/>
      <c r="U337" s="19"/>
      <c r="V337" s="13"/>
      <c r="W337" s="19"/>
      <c r="X337" s="13"/>
      <c r="Y337" s="19"/>
      <c r="Z337" s="13"/>
      <c r="AA337" s="19"/>
      <c r="AB337" s="13"/>
      <c r="AC337" s="19"/>
      <c r="AD337" s="13"/>
      <c r="AE337" s="19"/>
      <c r="AF337" s="13"/>
      <c r="AG337" s="19"/>
      <c r="AH337" s="13"/>
      <c r="AI337" s="19"/>
      <c r="AJ337" s="13"/>
      <c r="AK337" s="19"/>
      <c r="AL337" s="13"/>
      <c r="AM337" s="19"/>
      <c r="AN337" s="13"/>
      <c r="AO337" s="19"/>
      <c r="AP337" s="13"/>
      <c r="AQ337" s="19"/>
      <c r="AR337" s="13"/>
      <c r="AS337" s="614"/>
      <c r="AT337" s="460"/>
      <c r="AU337" s="783"/>
      <c r="AV337" s="460"/>
    </row>
    <row r="338" spans="1:48">
      <c r="A338" s="14"/>
      <c r="B338" s="15"/>
      <c r="C338" s="16"/>
      <c r="D338" s="17"/>
      <c r="E338" s="12"/>
      <c r="F338" s="18"/>
      <c r="G338" s="19"/>
      <c r="H338" s="13"/>
      <c r="I338" s="19"/>
      <c r="J338" s="13"/>
      <c r="K338" s="19"/>
      <c r="L338" s="13"/>
      <c r="M338" s="19"/>
      <c r="N338" s="13"/>
      <c r="O338" s="19"/>
      <c r="P338" s="13"/>
      <c r="Q338" s="19"/>
      <c r="R338" s="13"/>
      <c r="S338" s="19"/>
      <c r="T338" s="13"/>
      <c r="U338" s="19"/>
      <c r="V338" s="13"/>
      <c r="W338" s="19"/>
      <c r="X338" s="13"/>
      <c r="Y338" s="19"/>
      <c r="Z338" s="13"/>
      <c r="AA338" s="19"/>
      <c r="AB338" s="13"/>
      <c r="AC338" s="19"/>
      <c r="AD338" s="13"/>
      <c r="AE338" s="19"/>
      <c r="AF338" s="13"/>
      <c r="AG338" s="19"/>
      <c r="AH338" s="13"/>
      <c r="AI338" s="19"/>
      <c r="AJ338" s="13"/>
      <c r="AK338" s="19"/>
      <c r="AL338" s="13"/>
      <c r="AM338" s="19"/>
      <c r="AN338" s="13"/>
      <c r="AO338" s="19"/>
      <c r="AP338" s="13"/>
      <c r="AQ338" s="19"/>
      <c r="AR338" s="13"/>
      <c r="AS338" s="614"/>
      <c r="AT338" s="460"/>
      <c r="AU338" s="783"/>
      <c r="AV338" s="460"/>
    </row>
    <row r="339" spans="1:48">
      <c r="A339" s="14"/>
      <c r="B339" s="15"/>
      <c r="C339" s="16"/>
      <c r="D339" s="17"/>
      <c r="E339" s="12"/>
      <c r="F339" s="18"/>
      <c r="G339" s="19"/>
      <c r="H339" s="13"/>
      <c r="I339" s="19"/>
      <c r="J339" s="13"/>
      <c r="K339" s="19"/>
      <c r="L339" s="13"/>
      <c r="M339" s="19"/>
      <c r="N339" s="13"/>
      <c r="O339" s="19"/>
      <c r="P339" s="13"/>
      <c r="Q339" s="19"/>
      <c r="R339" s="13"/>
      <c r="S339" s="19"/>
      <c r="T339" s="13"/>
      <c r="U339" s="19"/>
      <c r="V339" s="13"/>
      <c r="W339" s="19"/>
      <c r="X339" s="13"/>
      <c r="Y339" s="19"/>
      <c r="Z339" s="13"/>
      <c r="AA339" s="19"/>
      <c r="AB339" s="13"/>
      <c r="AC339" s="19"/>
      <c r="AD339" s="13"/>
      <c r="AE339" s="19"/>
      <c r="AF339" s="13"/>
      <c r="AG339" s="19"/>
      <c r="AH339" s="13"/>
      <c r="AI339" s="19"/>
      <c r="AJ339" s="13"/>
      <c r="AK339" s="19"/>
      <c r="AL339" s="13"/>
      <c r="AM339" s="19"/>
      <c r="AN339" s="13"/>
      <c r="AO339" s="19"/>
      <c r="AP339" s="13"/>
      <c r="AQ339" s="19"/>
      <c r="AR339" s="13"/>
      <c r="AS339" s="614"/>
      <c r="AT339" s="460"/>
      <c r="AU339" s="783"/>
      <c r="AV339" s="460"/>
    </row>
    <row r="340" spans="1:48">
      <c r="A340" s="14"/>
      <c r="B340" s="15"/>
      <c r="C340" s="16"/>
      <c r="D340" s="17"/>
      <c r="E340" s="12"/>
      <c r="F340" s="18"/>
      <c r="G340" s="19"/>
      <c r="H340" s="13"/>
      <c r="I340" s="19"/>
      <c r="J340" s="13"/>
      <c r="K340" s="19"/>
      <c r="L340" s="13"/>
      <c r="M340" s="19"/>
      <c r="N340" s="13"/>
      <c r="O340" s="19"/>
      <c r="P340" s="13"/>
      <c r="Q340" s="19"/>
      <c r="R340" s="13"/>
      <c r="S340" s="19"/>
      <c r="T340" s="13"/>
      <c r="U340" s="19"/>
      <c r="V340" s="13"/>
      <c r="W340" s="19"/>
      <c r="X340" s="13"/>
      <c r="Y340" s="19"/>
      <c r="Z340" s="13"/>
      <c r="AA340" s="19"/>
      <c r="AB340" s="13"/>
      <c r="AC340" s="19"/>
      <c r="AD340" s="13"/>
      <c r="AE340" s="19"/>
      <c r="AF340" s="13"/>
      <c r="AG340" s="19"/>
      <c r="AH340" s="13"/>
      <c r="AI340" s="19"/>
      <c r="AJ340" s="13"/>
      <c r="AK340" s="19"/>
      <c r="AL340" s="13"/>
      <c r="AM340" s="19"/>
      <c r="AN340" s="13"/>
      <c r="AO340" s="19"/>
      <c r="AP340" s="13"/>
      <c r="AQ340" s="19"/>
      <c r="AR340" s="13"/>
      <c r="AS340" s="614"/>
      <c r="AT340" s="460"/>
      <c r="AU340" s="783"/>
      <c r="AV340" s="460"/>
    </row>
    <row r="341" spans="1:48">
      <c r="A341" s="14"/>
      <c r="B341" s="15"/>
      <c r="C341" s="16"/>
      <c r="D341" s="17"/>
      <c r="E341" s="12"/>
      <c r="F341" s="18"/>
      <c r="G341" s="19"/>
      <c r="H341" s="13"/>
      <c r="I341" s="19"/>
      <c r="J341" s="13"/>
      <c r="K341" s="19"/>
      <c r="L341" s="13"/>
      <c r="M341" s="19"/>
      <c r="N341" s="13"/>
      <c r="O341" s="19"/>
      <c r="P341" s="13"/>
      <c r="Q341" s="19"/>
      <c r="R341" s="13"/>
      <c r="S341" s="19"/>
      <c r="T341" s="13"/>
      <c r="U341" s="19"/>
      <c r="V341" s="13"/>
      <c r="W341" s="19"/>
      <c r="X341" s="13"/>
      <c r="Y341" s="19"/>
      <c r="Z341" s="13"/>
      <c r="AA341" s="19"/>
      <c r="AB341" s="13"/>
      <c r="AC341" s="19"/>
      <c r="AD341" s="13"/>
      <c r="AE341" s="19"/>
      <c r="AF341" s="13"/>
      <c r="AG341" s="19"/>
      <c r="AH341" s="13"/>
      <c r="AI341" s="19"/>
      <c r="AJ341" s="13"/>
      <c r="AK341" s="19"/>
      <c r="AL341" s="13"/>
      <c r="AM341" s="19"/>
      <c r="AN341" s="13"/>
      <c r="AO341" s="19"/>
      <c r="AP341" s="13"/>
      <c r="AQ341" s="19"/>
      <c r="AR341" s="13"/>
      <c r="AS341" s="614"/>
      <c r="AT341" s="460"/>
      <c r="AU341" s="783"/>
      <c r="AV341" s="460"/>
    </row>
    <row r="342" spans="1:48">
      <c r="A342" s="14"/>
      <c r="B342" s="15"/>
      <c r="C342" s="16"/>
      <c r="D342" s="17"/>
      <c r="E342" s="12"/>
      <c r="F342" s="18"/>
      <c r="G342" s="19"/>
      <c r="H342" s="13"/>
      <c r="I342" s="19"/>
      <c r="J342" s="13"/>
      <c r="K342" s="19"/>
      <c r="L342" s="13"/>
      <c r="M342" s="19"/>
      <c r="N342" s="13"/>
      <c r="O342" s="19"/>
      <c r="P342" s="13"/>
      <c r="Q342" s="19"/>
      <c r="R342" s="13"/>
      <c r="S342" s="19"/>
      <c r="T342" s="13"/>
      <c r="U342" s="19"/>
      <c r="V342" s="13"/>
      <c r="W342" s="19"/>
      <c r="X342" s="13"/>
      <c r="Y342" s="19"/>
      <c r="Z342" s="13"/>
      <c r="AA342" s="19"/>
      <c r="AB342" s="13"/>
      <c r="AC342" s="19"/>
      <c r="AD342" s="13"/>
      <c r="AE342" s="19"/>
      <c r="AF342" s="13"/>
      <c r="AG342" s="19"/>
      <c r="AH342" s="13"/>
      <c r="AI342" s="19"/>
      <c r="AJ342" s="13"/>
      <c r="AK342" s="19"/>
      <c r="AL342" s="13"/>
      <c r="AM342" s="19"/>
      <c r="AN342" s="13"/>
      <c r="AO342" s="19"/>
      <c r="AP342" s="13"/>
      <c r="AQ342" s="19"/>
      <c r="AR342" s="13"/>
      <c r="AS342" s="614"/>
      <c r="AT342" s="460"/>
      <c r="AU342" s="783"/>
      <c r="AV342" s="460"/>
    </row>
    <row r="343" spans="1:48">
      <c r="A343" s="14"/>
      <c r="B343" s="15"/>
      <c r="C343" s="16"/>
      <c r="D343" s="17"/>
      <c r="E343" s="12"/>
      <c r="F343" s="18"/>
      <c r="G343" s="19"/>
      <c r="H343" s="13"/>
      <c r="I343" s="19"/>
      <c r="J343" s="13"/>
      <c r="K343" s="19"/>
      <c r="L343" s="13"/>
      <c r="M343" s="19"/>
      <c r="N343" s="13"/>
      <c r="O343" s="19"/>
      <c r="P343" s="13"/>
      <c r="Q343" s="19"/>
      <c r="R343" s="13"/>
      <c r="S343" s="19"/>
      <c r="T343" s="13"/>
      <c r="U343" s="19"/>
      <c r="V343" s="13"/>
      <c r="W343" s="19"/>
      <c r="X343" s="13"/>
      <c r="Y343" s="19"/>
      <c r="Z343" s="13"/>
      <c r="AA343" s="19"/>
      <c r="AB343" s="13"/>
      <c r="AC343" s="19"/>
      <c r="AD343" s="13"/>
      <c r="AE343" s="19"/>
      <c r="AF343" s="13"/>
      <c r="AG343" s="19"/>
      <c r="AH343" s="13"/>
      <c r="AI343" s="19"/>
      <c r="AJ343" s="13"/>
      <c r="AK343" s="19"/>
      <c r="AL343" s="13"/>
      <c r="AM343" s="19"/>
      <c r="AN343" s="13"/>
      <c r="AO343" s="19"/>
      <c r="AP343" s="13"/>
      <c r="AQ343" s="19"/>
      <c r="AR343" s="13"/>
      <c r="AS343" s="614"/>
      <c r="AT343" s="460"/>
      <c r="AU343" s="783"/>
      <c r="AV343" s="460"/>
    </row>
    <row r="344" spans="1:48">
      <c r="A344" s="14"/>
      <c r="B344" s="15"/>
      <c r="C344" s="16"/>
      <c r="D344" s="17"/>
      <c r="E344" s="12"/>
      <c r="F344" s="18"/>
      <c r="G344" s="19"/>
      <c r="H344" s="13"/>
      <c r="I344" s="19"/>
      <c r="J344" s="13"/>
      <c r="K344" s="19"/>
      <c r="L344" s="13"/>
      <c r="M344" s="19"/>
      <c r="N344" s="13"/>
      <c r="O344" s="19"/>
      <c r="P344" s="13"/>
      <c r="Q344" s="19"/>
      <c r="R344" s="13"/>
      <c r="S344" s="19"/>
      <c r="T344" s="13"/>
      <c r="U344" s="19"/>
      <c r="V344" s="13"/>
      <c r="W344" s="19"/>
      <c r="X344" s="13"/>
      <c r="Y344" s="19"/>
      <c r="Z344" s="13"/>
      <c r="AA344" s="19"/>
      <c r="AB344" s="13"/>
      <c r="AC344" s="19"/>
      <c r="AD344" s="13"/>
      <c r="AE344" s="19"/>
      <c r="AF344" s="13"/>
      <c r="AG344" s="19"/>
      <c r="AH344" s="13"/>
      <c r="AI344" s="19"/>
      <c r="AJ344" s="13"/>
      <c r="AK344" s="19"/>
      <c r="AL344" s="13"/>
      <c r="AM344" s="19"/>
      <c r="AN344" s="13"/>
      <c r="AO344" s="19"/>
      <c r="AP344" s="13"/>
      <c r="AQ344" s="19"/>
      <c r="AR344" s="13"/>
      <c r="AS344" s="614"/>
      <c r="AT344" s="460"/>
      <c r="AU344" s="783"/>
      <c r="AV344" s="460"/>
    </row>
    <row r="345" spans="1:48">
      <c r="A345" s="14"/>
      <c r="B345" s="15"/>
      <c r="C345" s="16"/>
      <c r="D345" s="17"/>
      <c r="E345" s="12"/>
      <c r="F345" s="18"/>
      <c r="G345" s="19"/>
      <c r="H345" s="13"/>
      <c r="I345" s="19"/>
      <c r="J345" s="13"/>
      <c r="K345" s="19"/>
      <c r="L345" s="13"/>
      <c r="M345" s="19"/>
      <c r="N345" s="13"/>
      <c r="O345" s="19"/>
      <c r="P345" s="13"/>
      <c r="Q345" s="19"/>
      <c r="R345" s="13"/>
      <c r="S345" s="19"/>
      <c r="T345" s="13"/>
      <c r="U345" s="19"/>
      <c r="V345" s="13"/>
      <c r="W345" s="19"/>
      <c r="X345" s="13"/>
      <c r="Y345" s="19"/>
      <c r="Z345" s="13"/>
      <c r="AA345" s="19"/>
      <c r="AB345" s="13"/>
      <c r="AC345" s="19"/>
      <c r="AD345" s="13"/>
      <c r="AE345" s="19"/>
      <c r="AF345" s="13"/>
      <c r="AG345" s="19"/>
      <c r="AH345" s="13"/>
      <c r="AI345" s="19"/>
      <c r="AJ345" s="13"/>
      <c r="AK345" s="19"/>
      <c r="AL345" s="13"/>
      <c r="AM345" s="19"/>
      <c r="AN345" s="13"/>
      <c r="AO345" s="19"/>
      <c r="AP345" s="13"/>
      <c r="AQ345" s="19"/>
      <c r="AR345" s="13"/>
      <c r="AS345" s="614"/>
      <c r="AT345" s="460"/>
      <c r="AU345" s="783"/>
      <c r="AV345" s="460"/>
    </row>
    <row r="346" spans="1:48">
      <c r="A346" s="14"/>
      <c r="B346" s="15"/>
      <c r="C346" s="16"/>
      <c r="D346" s="17"/>
      <c r="E346" s="12"/>
      <c r="F346" s="18"/>
      <c r="G346" s="19"/>
      <c r="H346" s="13"/>
      <c r="I346" s="19"/>
      <c r="J346" s="13"/>
      <c r="K346" s="19"/>
      <c r="L346" s="13"/>
      <c r="M346" s="19"/>
      <c r="N346" s="13"/>
      <c r="O346" s="19"/>
      <c r="P346" s="13"/>
      <c r="Q346" s="19"/>
      <c r="R346" s="13"/>
      <c r="S346" s="19"/>
      <c r="T346" s="13"/>
      <c r="U346" s="19"/>
      <c r="V346" s="13"/>
      <c r="W346" s="19"/>
      <c r="X346" s="13"/>
      <c r="Y346" s="19"/>
      <c r="Z346" s="13"/>
      <c r="AA346" s="19"/>
      <c r="AB346" s="13"/>
      <c r="AC346" s="19"/>
      <c r="AD346" s="13"/>
      <c r="AE346" s="19"/>
      <c r="AF346" s="13"/>
      <c r="AG346" s="19"/>
      <c r="AH346" s="13"/>
      <c r="AI346" s="19"/>
      <c r="AJ346" s="13"/>
      <c r="AK346" s="19"/>
      <c r="AL346" s="13"/>
      <c r="AM346" s="19"/>
      <c r="AN346" s="13"/>
      <c r="AO346" s="19"/>
      <c r="AP346" s="13"/>
      <c r="AQ346" s="19"/>
      <c r="AR346" s="13"/>
      <c r="AS346" s="614"/>
      <c r="AT346" s="460"/>
      <c r="AU346" s="783"/>
      <c r="AV346" s="460"/>
    </row>
    <row r="347" spans="1:48">
      <c r="A347" s="14"/>
      <c r="B347" s="15"/>
      <c r="C347" s="16"/>
      <c r="D347" s="17"/>
      <c r="E347" s="12"/>
      <c r="F347" s="18"/>
      <c r="G347" s="19"/>
      <c r="H347" s="13"/>
      <c r="I347" s="19"/>
      <c r="J347" s="13"/>
      <c r="K347" s="19"/>
      <c r="L347" s="13"/>
      <c r="M347" s="19"/>
      <c r="N347" s="13"/>
      <c r="O347" s="19"/>
      <c r="P347" s="13"/>
      <c r="Q347" s="19"/>
      <c r="R347" s="13"/>
      <c r="S347" s="19"/>
      <c r="T347" s="13"/>
      <c r="U347" s="19"/>
      <c r="V347" s="13"/>
      <c r="W347" s="19"/>
      <c r="X347" s="13"/>
      <c r="Y347" s="19"/>
      <c r="Z347" s="13"/>
      <c r="AA347" s="19"/>
      <c r="AB347" s="13"/>
      <c r="AC347" s="19"/>
      <c r="AD347" s="13"/>
      <c r="AE347" s="19"/>
      <c r="AF347" s="13"/>
      <c r="AG347" s="19"/>
      <c r="AH347" s="13"/>
      <c r="AI347" s="19"/>
      <c r="AJ347" s="13"/>
      <c r="AK347" s="19"/>
      <c r="AL347" s="13"/>
      <c r="AM347" s="19"/>
      <c r="AN347" s="13"/>
      <c r="AO347" s="19"/>
      <c r="AP347" s="13"/>
      <c r="AQ347" s="19"/>
      <c r="AR347" s="13"/>
      <c r="AS347" s="614"/>
      <c r="AT347" s="460"/>
      <c r="AU347" s="783"/>
      <c r="AV347" s="460"/>
    </row>
    <row r="348" spans="1:48">
      <c r="A348" s="14"/>
      <c r="B348" s="15"/>
      <c r="C348" s="16"/>
      <c r="D348" s="17"/>
      <c r="E348" s="12"/>
      <c r="F348" s="18"/>
      <c r="G348" s="19"/>
      <c r="H348" s="13"/>
      <c r="I348" s="19"/>
      <c r="J348" s="13"/>
      <c r="K348" s="19"/>
      <c r="L348" s="13"/>
      <c r="M348" s="19"/>
      <c r="N348" s="13"/>
      <c r="O348" s="19"/>
      <c r="P348" s="13"/>
      <c r="Q348" s="19"/>
      <c r="R348" s="13"/>
      <c r="S348" s="19"/>
      <c r="T348" s="13"/>
      <c r="U348" s="19"/>
      <c r="V348" s="13"/>
      <c r="W348" s="19"/>
      <c r="X348" s="13"/>
      <c r="Y348" s="19"/>
      <c r="Z348" s="13"/>
      <c r="AA348" s="19"/>
      <c r="AB348" s="13"/>
      <c r="AC348" s="19"/>
      <c r="AD348" s="13"/>
      <c r="AE348" s="19"/>
      <c r="AF348" s="13"/>
      <c r="AG348" s="19"/>
      <c r="AH348" s="13"/>
      <c r="AI348" s="19"/>
      <c r="AJ348" s="13"/>
      <c r="AK348" s="19"/>
      <c r="AL348" s="13"/>
      <c r="AM348" s="19"/>
      <c r="AN348" s="13"/>
      <c r="AO348" s="19"/>
      <c r="AP348" s="13"/>
      <c r="AQ348" s="19"/>
      <c r="AR348" s="13"/>
      <c r="AS348" s="614"/>
      <c r="AT348" s="460"/>
      <c r="AU348" s="783"/>
      <c r="AV348" s="460"/>
    </row>
    <row r="349" spans="1:48">
      <c r="A349" s="14"/>
      <c r="B349" s="15"/>
      <c r="C349" s="16"/>
      <c r="D349" s="17"/>
      <c r="E349" s="12"/>
      <c r="F349" s="18"/>
      <c r="G349" s="19"/>
      <c r="H349" s="13"/>
      <c r="I349" s="19"/>
      <c r="J349" s="13"/>
      <c r="K349" s="19"/>
      <c r="L349" s="13"/>
      <c r="M349" s="19"/>
      <c r="N349" s="13"/>
      <c r="O349" s="19"/>
      <c r="P349" s="13"/>
      <c r="Q349" s="19"/>
      <c r="R349" s="13"/>
      <c r="S349" s="19"/>
      <c r="T349" s="13"/>
      <c r="U349" s="19"/>
      <c r="V349" s="13"/>
      <c r="W349" s="19"/>
      <c r="X349" s="13"/>
      <c r="Y349" s="19"/>
      <c r="Z349" s="13"/>
      <c r="AA349" s="19"/>
      <c r="AB349" s="13"/>
      <c r="AC349" s="19"/>
      <c r="AD349" s="13"/>
      <c r="AE349" s="19"/>
      <c r="AF349" s="13"/>
      <c r="AG349" s="19"/>
      <c r="AH349" s="13"/>
      <c r="AI349" s="19"/>
      <c r="AJ349" s="13"/>
      <c r="AK349" s="19"/>
      <c r="AL349" s="13"/>
      <c r="AM349" s="19"/>
      <c r="AN349" s="13"/>
      <c r="AO349" s="19"/>
      <c r="AP349" s="13"/>
      <c r="AQ349" s="19"/>
      <c r="AR349" s="13"/>
      <c r="AS349" s="614"/>
      <c r="AT349" s="460"/>
      <c r="AU349" s="783"/>
      <c r="AV349" s="460"/>
    </row>
    <row r="350" spans="1:48">
      <c r="A350" s="14"/>
      <c r="B350" s="15"/>
      <c r="C350" s="16"/>
      <c r="D350" s="17"/>
      <c r="E350" s="12"/>
      <c r="F350" s="18"/>
      <c r="G350" s="19"/>
      <c r="H350" s="13"/>
      <c r="I350" s="19"/>
      <c r="J350" s="13"/>
      <c r="K350" s="19"/>
      <c r="L350" s="13"/>
      <c r="M350" s="19"/>
      <c r="N350" s="13"/>
      <c r="O350" s="19"/>
      <c r="P350" s="13"/>
      <c r="Q350" s="19"/>
      <c r="R350" s="13"/>
      <c r="S350" s="19"/>
      <c r="T350" s="13"/>
      <c r="U350" s="19"/>
      <c r="V350" s="13"/>
      <c r="W350" s="19"/>
      <c r="X350" s="13"/>
      <c r="Y350" s="19"/>
      <c r="Z350" s="13"/>
      <c r="AA350" s="19"/>
      <c r="AB350" s="13"/>
      <c r="AC350" s="19"/>
      <c r="AD350" s="13"/>
      <c r="AE350" s="19"/>
      <c r="AF350" s="13"/>
      <c r="AG350" s="19"/>
      <c r="AH350" s="13"/>
      <c r="AI350" s="19"/>
      <c r="AJ350" s="13"/>
      <c r="AK350" s="19"/>
      <c r="AL350" s="13"/>
      <c r="AM350" s="19"/>
      <c r="AN350" s="13"/>
      <c r="AO350" s="19"/>
      <c r="AP350" s="13"/>
      <c r="AQ350" s="19"/>
      <c r="AR350" s="13"/>
      <c r="AS350" s="614"/>
      <c r="AT350" s="460"/>
      <c r="AU350" s="783"/>
      <c r="AV350" s="460"/>
    </row>
    <row r="351" spans="1:48">
      <c r="A351" s="14"/>
      <c r="B351" s="15"/>
      <c r="C351" s="16"/>
      <c r="D351" s="17"/>
      <c r="E351" s="12"/>
      <c r="F351" s="18"/>
      <c r="G351" s="19"/>
      <c r="H351" s="13"/>
      <c r="I351" s="19"/>
      <c r="J351" s="13"/>
      <c r="K351" s="19"/>
      <c r="L351" s="13"/>
      <c r="M351" s="19"/>
      <c r="N351" s="13"/>
      <c r="O351" s="19"/>
      <c r="P351" s="13"/>
      <c r="Q351" s="19"/>
      <c r="R351" s="13"/>
      <c r="S351" s="19"/>
      <c r="T351" s="13"/>
      <c r="U351" s="19"/>
      <c r="V351" s="13"/>
      <c r="W351" s="19"/>
      <c r="X351" s="13"/>
      <c r="Y351" s="19"/>
      <c r="Z351" s="13"/>
      <c r="AA351" s="19"/>
      <c r="AB351" s="13"/>
      <c r="AC351" s="19"/>
      <c r="AD351" s="13"/>
      <c r="AE351" s="19"/>
      <c r="AF351" s="13"/>
      <c r="AG351" s="19"/>
      <c r="AH351" s="13"/>
      <c r="AI351" s="19"/>
      <c r="AJ351" s="13"/>
      <c r="AK351" s="19"/>
      <c r="AL351" s="13"/>
      <c r="AM351" s="19"/>
      <c r="AN351" s="13"/>
      <c r="AO351" s="19"/>
      <c r="AP351" s="13"/>
      <c r="AQ351" s="19"/>
      <c r="AR351" s="13"/>
      <c r="AS351" s="614"/>
      <c r="AT351" s="460"/>
      <c r="AU351" s="783"/>
      <c r="AV351" s="460"/>
    </row>
    <row r="352" spans="1:48">
      <c r="A352" s="14"/>
      <c r="B352" s="15"/>
      <c r="C352" s="16"/>
      <c r="D352" s="17"/>
      <c r="E352" s="12"/>
      <c r="F352" s="18"/>
      <c r="G352" s="19"/>
      <c r="H352" s="13"/>
      <c r="I352" s="19"/>
      <c r="J352" s="13"/>
      <c r="K352" s="19"/>
      <c r="L352" s="13"/>
      <c r="M352" s="19"/>
      <c r="N352" s="13"/>
      <c r="O352" s="19"/>
      <c r="P352" s="13"/>
      <c r="Q352" s="19"/>
      <c r="R352" s="13"/>
      <c r="S352" s="19"/>
      <c r="T352" s="13"/>
      <c r="U352" s="19"/>
      <c r="V352" s="13"/>
      <c r="W352" s="19"/>
      <c r="X352" s="13"/>
      <c r="Y352" s="19"/>
      <c r="Z352" s="13"/>
      <c r="AA352" s="19"/>
      <c r="AB352" s="13"/>
      <c r="AC352" s="19"/>
      <c r="AD352" s="13"/>
      <c r="AE352" s="19"/>
      <c r="AF352" s="13"/>
      <c r="AG352" s="19"/>
      <c r="AH352" s="13"/>
      <c r="AI352" s="19"/>
      <c r="AJ352" s="13"/>
      <c r="AK352" s="19"/>
      <c r="AL352" s="13"/>
      <c r="AM352" s="19"/>
      <c r="AN352" s="13"/>
      <c r="AO352" s="19"/>
      <c r="AP352" s="13"/>
      <c r="AQ352" s="19"/>
      <c r="AR352" s="13"/>
      <c r="AS352" s="614"/>
      <c r="AT352" s="460"/>
      <c r="AU352" s="783"/>
      <c r="AV352" s="460"/>
    </row>
    <row r="353" spans="1:48">
      <c r="A353" s="14"/>
      <c r="B353" s="15"/>
      <c r="C353" s="16"/>
      <c r="D353" s="17"/>
      <c r="E353" s="12"/>
      <c r="F353" s="18"/>
      <c r="G353" s="19"/>
      <c r="H353" s="13"/>
      <c r="I353" s="19"/>
      <c r="J353" s="13"/>
      <c r="K353" s="19"/>
      <c r="L353" s="13"/>
      <c r="M353" s="19"/>
      <c r="N353" s="13"/>
      <c r="O353" s="19"/>
      <c r="P353" s="13"/>
      <c r="Q353" s="19"/>
      <c r="R353" s="13"/>
      <c r="S353" s="19"/>
      <c r="T353" s="13"/>
      <c r="U353" s="19"/>
      <c r="V353" s="13"/>
      <c r="W353" s="19"/>
      <c r="X353" s="13"/>
      <c r="Y353" s="19"/>
      <c r="Z353" s="13"/>
      <c r="AA353" s="19"/>
      <c r="AB353" s="13"/>
      <c r="AC353" s="19"/>
      <c r="AD353" s="13"/>
      <c r="AE353" s="19"/>
      <c r="AF353" s="13"/>
      <c r="AG353" s="19"/>
      <c r="AH353" s="13"/>
      <c r="AI353" s="19"/>
      <c r="AJ353" s="13"/>
      <c r="AK353" s="19"/>
      <c r="AL353" s="13"/>
      <c r="AM353" s="19"/>
      <c r="AN353" s="13"/>
      <c r="AO353" s="19"/>
      <c r="AP353" s="13"/>
      <c r="AQ353" s="19"/>
      <c r="AR353" s="13"/>
      <c r="AS353" s="614"/>
      <c r="AT353" s="460"/>
      <c r="AU353" s="783"/>
      <c r="AV353" s="460"/>
    </row>
    <row r="354" spans="1:48">
      <c r="A354" s="14"/>
      <c r="B354" s="15"/>
      <c r="C354" s="16"/>
      <c r="D354" s="17"/>
      <c r="E354" s="12"/>
      <c r="F354" s="18"/>
      <c r="G354" s="19"/>
      <c r="H354" s="13"/>
      <c r="I354" s="19"/>
      <c r="J354" s="13"/>
      <c r="K354" s="19"/>
      <c r="L354" s="13"/>
      <c r="M354" s="19"/>
      <c r="N354" s="13"/>
      <c r="O354" s="19"/>
      <c r="P354" s="13"/>
      <c r="Q354" s="19"/>
      <c r="R354" s="13"/>
      <c r="S354" s="19"/>
      <c r="T354" s="13"/>
      <c r="U354" s="19"/>
      <c r="V354" s="13"/>
      <c r="W354" s="19"/>
      <c r="X354" s="13"/>
      <c r="Y354" s="19"/>
      <c r="Z354" s="13"/>
      <c r="AA354" s="19"/>
      <c r="AB354" s="13"/>
      <c r="AC354" s="19"/>
      <c r="AD354" s="13"/>
      <c r="AE354" s="19"/>
      <c r="AF354" s="13"/>
      <c r="AG354" s="19"/>
      <c r="AH354" s="13"/>
      <c r="AI354" s="19"/>
      <c r="AJ354" s="13"/>
      <c r="AK354" s="19"/>
      <c r="AL354" s="13"/>
      <c r="AM354" s="19"/>
      <c r="AN354" s="13"/>
      <c r="AO354" s="19"/>
      <c r="AP354" s="13"/>
      <c r="AQ354" s="19"/>
      <c r="AR354" s="13"/>
      <c r="AS354" s="614"/>
      <c r="AT354" s="460"/>
      <c r="AU354" s="783"/>
      <c r="AV354" s="460"/>
    </row>
    <row r="355" spans="1:48">
      <c r="A355" s="14"/>
      <c r="B355" s="15"/>
      <c r="C355" s="16"/>
      <c r="D355" s="17"/>
      <c r="E355" s="12"/>
      <c r="F355" s="18"/>
      <c r="G355" s="19"/>
      <c r="H355" s="13"/>
      <c r="I355" s="19"/>
      <c r="J355" s="13"/>
      <c r="K355" s="19"/>
      <c r="L355" s="13"/>
      <c r="M355" s="19"/>
      <c r="N355" s="13"/>
      <c r="O355" s="19"/>
      <c r="P355" s="13"/>
      <c r="Q355" s="19"/>
      <c r="R355" s="13"/>
      <c r="S355" s="19"/>
      <c r="T355" s="13"/>
      <c r="U355" s="19"/>
      <c r="V355" s="13"/>
      <c r="W355" s="19"/>
      <c r="X355" s="13"/>
      <c r="Y355" s="19"/>
      <c r="Z355" s="13"/>
      <c r="AA355" s="19"/>
      <c r="AB355" s="13"/>
      <c r="AC355" s="19"/>
      <c r="AD355" s="13"/>
      <c r="AE355" s="19"/>
      <c r="AF355" s="13"/>
      <c r="AG355" s="19"/>
      <c r="AH355" s="13"/>
      <c r="AI355" s="19"/>
      <c r="AJ355" s="13"/>
      <c r="AK355" s="19"/>
      <c r="AL355" s="13"/>
      <c r="AM355" s="19"/>
      <c r="AN355" s="13"/>
      <c r="AO355" s="19"/>
      <c r="AP355" s="13"/>
      <c r="AQ355" s="19"/>
      <c r="AR355" s="13"/>
      <c r="AS355" s="614"/>
      <c r="AT355" s="460"/>
      <c r="AU355" s="783"/>
      <c r="AV355" s="460"/>
    </row>
    <row r="356" spans="1:48">
      <c r="A356" s="14"/>
      <c r="B356" s="15"/>
      <c r="C356" s="16"/>
      <c r="D356" s="17"/>
      <c r="E356" s="12"/>
      <c r="F356" s="18"/>
      <c r="G356" s="19"/>
      <c r="H356" s="13"/>
      <c r="I356" s="19"/>
      <c r="J356" s="13"/>
      <c r="K356" s="19"/>
      <c r="L356" s="13"/>
      <c r="M356" s="19"/>
      <c r="N356" s="13"/>
      <c r="O356" s="19"/>
      <c r="P356" s="13"/>
      <c r="Q356" s="19"/>
      <c r="R356" s="13"/>
      <c r="S356" s="19"/>
      <c r="T356" s="13"/>
      <c r="U356" s="19"/>
      <c r="V356" s="13"/>
      <c r="W356" s="19"/>
      <c r="X356" s="13"/>
      <c r="Y356" s="19"/>
      <c r="Z356" s="13"/>
      <c r="AA356" s="19"/>
      <c r="AB356" s="13"/>
      <c r="AC356" s="19"/>
      <c r="AD356" s="13"/>
      <c r="AE356" s="19"/>
      <c r="AF356" s="13"/>
      <c r="AG356" s="19"/>
      <c r="AH356" s="13"/>
      <c r="AI356" s="19"/>
      <c r="AJ356" s="13"/>
      <c r="AK356" s="19"/>
      <c r="AL356" s="13"/>
      <c r="AM356" s="19"/>
      <c r="AN356" s="13"/>
      <c r="AO356" s="19"/>
      <c r="AP356" s="13"/>
      <c r="AQ356" s="19"/>
      <c r="AR356" s="13"/>
      <c r="AS356" s="614"/>
      <c r="AT356" s="460"/>
      <c r="AU356" s="783"/>
      <c r="AV356" s="460"/>
    </row>
    <row r="357" spans="1:48">
      <c r="A357" s="14"/>
      <c r="B357" s="15"/>
      <c r="C357" s="16"/>
      <c r="D357" s="17"/>
      <c r="E357" s="12"/>
      <c r="F357" s="18"/>
      <c r="G357" s="19"/>
      <c r="H357" s="13"/>
      <c r="I357" s="19"/>
      <c r="J357" s="13"/>
      <c r="K357" s="19"/>
      <c r="L357" s="13"/>
      <c r="M357" s="19"/>
      <c r="N357" s="13"/>
      <c r="O357" s="19"/>
      <c r="P357" s="13"/>
      <c r="Q357" s="19"/>
      <c r="R357" s="13"/>
      <c r="S357" s="19"/>
      <c r="T357" s="13"/>
      <c r="U357" s="19"/>
      <c r="V357" s="13"/>
      <c r="W357" s="19"/>
      <c r="X357" s="13"/>
      <c r="Y357" s="19"/>
      <c r="Z357" s="13"/>
      <c r="AA357" s="19"/>
      <c r="AB357" s="13"/>
      <c r="AC357" s="19"/>
      <c r="AD357" s="13"/>
      <c r="AE357" s="19"/>
      <c r="AF357" s="13"/>
      <c r="AG357" s="19"/>
      <c r="AH357" s="13"/>
      <c r="AI357" s="19"/>
      <c r="AJ357" s="13"/>
      <c r="AK357" s="19"/>
      <c r="AL357" s="13"/>
      <c r="AM357" s="19"/>
      <c r="AN357" s="13"/>
      <c r="AO357" s="19"/>
      <c r="AP357" s="13"/>
      <c r="AQ357" s="19"/>
      <c r="AR357" s="13"/>
      <c r="AS357" s="614"/>
      <c r="AT357" s="460"/>
      <c r="AU357" s="783"/>
      <c r="AV357" s="460"/>
    </row>
    <row r="358" spans="1:48">
      <c r="A358" s="14"/>
      <c r="B358" s="15"/>
      <c r="C358" s="16"/>
      <c r="D358" s="17"/>
      <c r="E358" s="12"/>
      <c r="F358" s="18"/>
      <c r="G358" s="19"/>
      <c r="H358" s="13"/>
      <c r="I358" s="19"/>
      <c r="J358" s="13"/>
      <c r="K358" s="19"/>
      <c r="L358" s="13"/>
      <c r="M358" s="19"/>
      <c r="N358" s="13"/>
      <c r="O358" s="19"/>
      <c r="P358" s="13"/>
      <c r="Q358" s="19"/>
      <c r="R358" s="13"/>
      <c r="S358" s="19"/>
      <c r="T358" s="13"/>
      <c r="U358" s="19"/>
      <c r="V358" s="13"/>
      <c r="W358" s="19"/>
      <c r="X358" s="13"/>
      <c r="Y358" s="19"/>
      <c r="Z358" s="13"/>
      <c r="AA358" s="19"/>
      <c r="AB358" s="13"/>
      <c r="AC358" s="19"/>
      <c r="AD358" s="13"/>
      <c r="AE358" s="19"/>
      <c r="AF358" s="13"/>
      <c r="AG358" s="19"/>
      <c r="AH358" s="13"/>
      <c r="AI358" s="19"/>
      <c r="AJ358" s="13"/>
      <c r="AK358" s="19"/>
      <c r="AL358" s="13"/>
      <c r="AM358" s="19"/>
      <c r="AN358" s="13"/>
      <c r="AO358" s="19"/>
      <c r="AP358" s="13"/>
      <c r="AQ358" s="19"/>
      <c r="AR358" s="13"/>
      <c r="AS358" s="614"/>
      <c r="AT358" s="460"/>
      <c r="AU358" s="783"/>
      <c r="AV358" s="460"/>
    </row>
    <row r="359" spans="1:48">
      <c r="A359" s="14"/>
      <c r="B359" s="15"/>
      <c r="C359" s="16"/>
      <c r="D359" s="17"/>
      <c r="E359" s="12"/>
      <c r="F359" s="18"/>
      <c r="G359" s="19"/>
      <c r="H359" s="13"/>
      <c r="I359" s="19"/>
      <c r="J359" s="13"/>
      <c r="K359" s="19"/>
      <c r="L359" s="13"/>
      <c r="M359" s="19"/>
      <c r="N359" s="13"/>
      <c r="O359" s="19"/>
      <c r="P359" s="13"/>
      <c r="Q359" s="19"/>
      <c r="R359" s="13"/>
      <c r="S359" s="19"/>
      <c r="T359" s="13"/>
      <c r="U359" s="19"/>
      <c r="V359" s="13"/>
      <c r="W359" s="19"/>
      <c r="X359" s="13"/>
      <c r="Y359" s="19"/>
      <c r="Z359" s="13"/>
      <c r="AA359" s="19"/>
      <c r="AB359" s="13"/>
      <c r="AC359" s="19"/>
      <c r="AD359" s="13"/>
      <c r="AE359" s="19"/>
      <c r="AF359" s="13"/>
      <c r="AG359" s="19"/>
      <c r="AH359" s="13"/>
      <c r="AI359" s="19"/>
      <c r="AJ359" s="13"/>
      <c r="AK359" s="19"/>
      <c r="AL359" s="13"/>
      <c r="AM359" s="19"/>
      <c r="AN359" s="13"/>
      <c r="AO359" s="19"/>
      <c r="AP359" s="13"/>
      <c r="AQ359" s="19"/>
      <c r="AR359" s="13"/>
      <c r="AS359" s="614"/>
      <c r="AT359" s="460"/>
      <c r="AU359" s="783"/>
      <c r="AV359" s="460"/>
    </row>
    <row r="360" spans="1:48">
      <c r="A360" s="14"/>
      <c r="B360" s="15"/>
      <c r="C360" s="16"/>
      <c r="D360" s="17"/>
      <c r="E360" s="12"/>
      <c r="F360" s="18"/>
      <c r="G360" s="19"/>
      <c r="H360" s="13"/>
      <c r="I360" s="19"/>
      <c r="J360" s="13"/>
      <c r="K360" s="19"/>
      <c r="L360" s="13"/>
      <c r="M360" s="19"/>
      <c r="N360" s="13"/>
      <c r="O360" s="19"/>
      <c r="P360" s="13"/>
      <c r="Q360" s="19"/>
      <c r="R360" s="13"/>
      <c r="S360" s="19"/>
      <c r="T360" s="13"/>
      <c r="U360" s="19"/>
      <c r="V360" s="13"/>
      <c r="W360" s="19"/>
      <c r="X360" s="13"/>
      <c r="Y360" s="19"/>
      <c r="Z360" s="13"/>
      <c r="AA360" s="19"/>
      <c r="AB360" s="13"/>
      <c r="AC360" s="19"/>
      <c r="AD360" s="13"/>
      <c r="AE360" s="19"/>
      <c r="AF360" s="13"/>
      <c r="AG360" s="19"/>
      <c r="AH360" s="13"/>
      <c r="AI360" s="19"/>
      <c r="AJ360" s="13"/>
      <c r="AK360" s="19"/>
      <c r="AL360" s="13"/>
      <c r="AM360" s="19"/>
      <c r="AN360" s="13"/>
      <c r="AO360" s="19"/>
      <c r="AP360" s="13"/>
      <c r="AQ360" s="19"/>
      <c r="AR360" s="13"/>
      <c r="AS360" s="614"/>
      <c r="AT360" s="460"/>
      <c r="AU360" s="783"/>
      <c r="AV360" s="460"/>
    </row>
    <row r="361" spans="1:48">
      <c r="A361" s="14"/>
      <c r="B361" s="15"/>
      <c r="C361" s="16"/>
      <c r="D361" s="17"/>
      <c r="E361" s="12"/>
      <c r="F361" s="18"/>
      <c r="G361" s="19"/>
      <c r="H361" s="13"/>
      <c r="I361" s="19"/>
      <c r="J361" s="13"/>
      <c r="K361" s="19"/>
      <c r="L361" s="13"/>
      <c r="M361" s="19"/>
      <c r="N361" s="13"/>
      <c r="O361" s="19"/>
      <c r="P361" s="13"/>
      <c r="Q361" s="19"/>
      <c r="R361" s="13"/>
      <c r="S361" s="19"/>
      <c r="T361" s="13"/>
      <c r="U361" s="19"/>
      <c r="V361" s="13"/>
      <c r="W361" s="19"/>
      <c r="X361" s="13"/>
      <c r="Y361" s="19"/>
      <c r="Z361" s="13"/>
      <c r="AA361" s="19"/>
      <c r="AB361" s="13"/>
      <c r="AC361" s="19"/>
      <c r="AD361" s="13"/>
      <c r="AE361" s="19"/>
      <c r="AF361" s="13"/>
      <c r="AG361" s="19"/>
      <c r="AH361" s="13"/>
      <c r="AI361" s="19"/>
      <c r="AJ361" s="13"/>
      <c r="AK361" s="19"/>
      <c r="AL361" s="13"/>
      <c r="AM361" s="19"/>
      <c r="AN361" s="13"/>
      <c r="AO361" s="19"/>
      <c r="AP361" s="13"/>
      <c r="AQ361" s="19"/>
      <c r="AR361" s="13"/>
      <c r="AS361" s="614"/>
      <c r="AT361" s="460"/>
      <c r="AU361" s="783"/>
      <c r="AV361" s="460"/>
    </row>
    <row r="362" spans="1:48">
      <c r="A362" s="14"/>
      <c r="B362" s="15"/>
      <c r="C362" s="16"/>
      <c r="D362" s="17"/>
      <c r="E362" s="12"/>
      <c r="F362" s="18"/>
      <c r="G362" s="19"/>
      <c r="H362" s="13"/>
      <c r="I362" s="19"/>
      <c r="J362" s="13"/>
      <c r="K362" s="19"/>
      <c r="L362" s="13"/>
      <c r="M362" s="19"/>
      <c r="N362" s="13"/>
      <c r="O362" s="19"/>
      <c r="P362" s="13"/>
      <c r="Q362" s="19"/>
      <c r="R362" s="13"/>
      <c r="S362" s="19"/>
      <c r="T362" s="13"/>
      <c r="U362" s="19"/>
      <c r="V362" s="13"/>
      <c r="W362" s="19"/>
      <c r="X362" s="13"/>
      <c r="Y362" s="19"/>
      <c r="Z362" s="13"/>
      <c r="AA362" s="19"/>
      <c r="AB362" s="13"/>
      <c r="AC362" s="19"/>
      <c r="AD362" s="13"/>
      <c r="AE362" s="19"/>
      <c r="AF362" s="13"/>
      <c r="AG362" s="19"/>
      <c r="AH362" s="13"/>
      <c r="AI362" s="19"/>
      <c r="AJ362" s="13"/>
      <c r="AK362" s="19"/>
      <c r="AL362" s="13"/>
      <c r="AM362" s="19"/>
      <c r="AN362" s="13"/>
      <c r="AO362" s="19"/>
      <c r="AP362" s="13"/>
      <c r="AQ362" s="19"/>
      <c r="AR362" s="13"/>
      <c r="AS362" s="614"/>
      <c r="AT362" s="460"/>
      <c r="AU362" s="783"/>
      <c r="AV362" s="460"/>
    </row>
    <row r="363" spans="1:48">
      <c r="A363" s="14"/>
      <c r="B363" s="15"/>
      <c r="C363" s="16"/>
      <c r="D363" s="17"/>
      <c r="E363" s="12"/>
      <c r="F363" s="18"/>
      <c r="G363" s="19"/>
      <c r="H363" s="13"/>
      <c r="I363" s="19"/>
      <c r="J363" s="13"/>
      <c r="K363" s="19"/>
      <c r="L363" s="13"/>
      <c r="M363" s="19"/>
      <c r="N363" s="13"/>
      <c r="O363" s="19"/>
      <c r="P363" s="13"/>
      <c r="Q363" s="19"/>
      <c r="R363" s="13"/>
      <c r="S363" s="19"/>
      <c r="T363" s="13"/>
      <c r="U363" s="19"/>
      <c r="V363" s="13"/>
      <c r="W363" s="19"/>
      <c r="X363" s="13"/>
      <c r="Y363" s="19"/>
      <c r="Z363" s="13"/>
      <c r="AA363" s="19"/>
      <c r="AB363" s="13"/>
      <c r="AC363" s="19"/>
      <c r="AD363" s="13"/>
      <c r="AE363" s="19"/>
      <c r="AF363" s="13"/>
      <c r="AG363" s="19"/>
      <c r="AH363" s="13"/>
      <c r="AI363" s="19"/>
      <c r="AJ363" s="13"/>
      <c r="AK363" s="19"/>
      <c r="AL363" s="13"/>
      <c r="AM363" s="19"/>
      <c r="AN363" s="13"/>
      <c r="AO363" s="19"/>
      <c r="AP363" s="13"/>
      <c r="AQ363" s="19"/>
      <c r="AR363" s="13"/>
      <c r="AS363" s="614"/>
      <c r="AT363" s="460"/>
      <c r="AU363" s="783"/>
      <c r="AV363" s="460"/>
    </row>
    <row r="364" spans="1:48">
      <c r="A364" s="14"/>
      <c r="B364" s="15"/>
      <c r="C364" s="16"/>
      <c r="D364" s="17"/>
      <c r="E364" s="12"/>
      <c r="F364" s="18"/>
      <c r="G364" s="19"/>
      <c r="H364" s="13"/>
      <c r="I364" s="19"/>
      <c r="J364" s="13"/>
      <c r="K364" s="19"/>
      <c r="L364" s="13"/>
      <c r="M364" s="19"/>
      <c r="N364" s="13"/>
      <c r="O364" s="19"/>
      <c r="P364" s="13"/>
      <c r="Q364" s="19"/>
      <c r="R364" s="13"/>
      <c r="S364" s="19"/>
      <c r="T364" s="13"/>
      <c r="U364" s="19"/>
      <c r="V364" s="13"/>
      <c r="W364" s="19"/>
      <c r="X364" s="13"/>
      <c r="Y364" s="19"/>
      <c r="Z364" s="13"/>
      <c r="AA364" s="19"/>
      <c r="AB364" s="13"/>
      <c r="AC364" s="19"/>
      <c r="AD364" s="13"/>
      <c r="AE364" s="19"/>
      <c r="AF364" s="13"/>
      <c r="AG364" s="19"/>
      <c r="AH364" s="13"/>
      <c r="AI364" s="19"/>
      <c r="AJ364" s="13"/>
      <c r="AK364" s="19"/>
      <c r="AL364" s="13"/>
      <c r="AM364" s="19"/>
      <c r="AN364" s="13"/>
      <c r="AO364" s="19"/>
      <c r="AP364" s="13"/>
      <c r="AQ364" s="19"/>
      <c r="AR364" s="13"/>
      <c r="AS364" s="614"/>
      <c r="AT364" s="460"/>
      <c r="AU364" s="783"/>
      <c r="AV364" s="460"/>
    </row>
    <row r="365" spans="1:48">
      <c r="A365" s="14"/>
      <c r="B365" s="15"/>
      <c r="C365" s="16"/>
      <c r="D365" s="17"/>
      <c r="E365" s="12"/>
      <c r="F365" s="18"/>
      <c r="G365" s="19"/>
      <c r="H365" s="13"/>
      <c r="I365" s="19"/>
      <c r="J365" s="13"/>
      <c r="K365" s="19"/>
      <c r="L365" s="13"/>
      <c r="M365" s="19"/>
      <c r="N365" s="13"/>
      <c r="O365" s="19"/>
      <c r="P365" s="13"/>
      <c r="Q365" s="19"/>
      <c r="R365" s="13"/>
      <c r="S365" s="19"/>
      <c r="T365" s="13"/>
      <c r="U365" s="19"/>
      <c r="V365" s="13"/>
      <c r="W365" s="19"/>
      <c r="X365" s="13"/>
      <c r="Y365" s="19"/>
      <c r="Z365" s="13"/>
      <c r="AA365" s="19"/>
      <c r="AB365" s="13"/>
      <c r="AC365" s="19"/>
      <c r="AD365" s="13"/>
      <c r="AE365" s="19"/>
      <c r="AF365" s="13"/>
      <c r="AG365" s="19"/>
      <c r="AH365" s="13"/>
      <c r="AI365" s="19"/>
      <c r="AJ365" s="13"/>
      <c r="AK365" s="19"/>
      <c r="AL365" s="13"/>
      <c r="AM365" s="19"/>
      <c r="AN365" s="13"/>
      <c r="AO365" s="19"/>
      <c r="AP365" s="13"/>
      <c r="AQ365" s="19"/>
      <c r="AR365" s="13"/>
      <c r="AS365" s="614"/>
      <c r="AT365" s="460"/>
      <c r="AU365" s="783"/>
      <c r="AV365" s="460"/>
    </row>
    <row r="366" spans="1:48">
      <c r="A366" s="14"/>
      <c r="B366" s="15"/>
      <c r="C366" s="16"/>
      <c r="D366" s="17"/>
      <c r="E366" s="12"/>
      <c r="F366" s="18"/>
      <c r="G366" s="19"/>
      <c r="H366" s="13"/>
      <c r="I366" s="19"/>
      <c r="J366" s="13"/>
      <c r="K366" s="19"/>
      <c r="L366" s="13"/>
      <c r="M366" s="19"/>
      <c r="N366" s="13"/>
      <c r="O366" s="19"/>
      <c r="P366" s="13"/>
      <c r="Q366" s="19"/>
      <c r="R366" s="13"/>
      <c r="S366" s="19"/>
      <c r="T366" s="13"/>
      <c r="U366" s="19"/>
      <c r="V366" s="13"/>
      <c r="W366" s="19"/>
      <c r="X366" s="13"/>
      <c r="Y366" s="19"/>
      <c r="Z366" s="13"/>
      <c r="AA366" s="19"/>
      <c r="AB366" s="13"/>
      <c r="AC366" s="19"/>
      <c r="AD366" s="13"/>
      <c r="AE366" s="19"/>
      <c r="AF366" s="13"/>
      <c r="AG366" s="19"/>
      <c r="AH366" s="13"/>
      <c r="AI366" s="19"/>
      <c r="AJ366" s="13"/>
      <c r="AK366" s="19"/>
      <c r="AL366" s="13"/>
      <c r="AM366" s="19"/>
      <c r="AN366" s="13"/>
      <c r="AO366" s="19"/>
      <c r="AP366" s="13"/>
      <c r="AQ366" s="19"/>
      <c r="AR366" s="13"/>
      <c r="AS366" s="614"/>
      <c r="AT366" s="460"/>
      <c r="AU366" s="783"/>
      <c r="AV366" s="460"/>
    </row>
    <row r="367" spans="1:48">
      <c r="A367" s="14"/>
      <c r="B367" s="15"/>
      <c r="C367" s="16"/>
      <c r="D367" s="17"/>
      <c r="E367" s="12"/>
      <c r="F367" s="18"/>
      <c r="G367" s="19"/>
      <c r="H367" s="13"/>
      <c r="I367" s="19"/>
      <c r="J367" s="13"/>
      <c r="K367" s="19"/>
      <c r="L367" s="13"/>
      <c r="M367" s="19"/>
      <c r="N367" s="13"/>
      <c r="O367" s="19"/>
      <c r="P367" s="13"/>
      <c r="Q367" s="19"/>
      <c r="R367" s="13"/>
      <c r="S367" s="19"/>
      <c r="T367" s="13"/>
      <c r="U367" s="19"/>
      <c r="V367" s="13"/>
      <c r="W367" s="19"/>
      <c r="X367" s="13"/>
      <c r="Y367" s="19"/>
      <c r="Z367" s="13"/>
      <c r="AA367" s="19"/>
      <c r="AB367" s="13"/>
      <c r="AC367" s="19"/>
      <c r="AD367" s="13"/>
      <c r="AE367" s="19"/>
      <c r="AF367" s="13"/>
      <c r="AG367" s="19"/>
      <c r="AH367" s="13"/>
      <c r="AI367" s="19"/>
      <c r="AJ367" s="13"/>
      <c r="AK367" s="19"/>
      <c r="AL367" s="13"/>
      <c r="AM367" s="19"/>
      <c r="AN367" s="13"/>
      <c r="AO367" s="19"/>
      <c r="AP367" s="13"/>
      <c r="AQ367" s="19"/>
      <c r="AR367" s="13"/>
      <c r="AS367" s="614"/>
      <c r="AT367" s="460"/>
      <c r="AU367" s="783"/>
      <c r="AV367" s="460"/>
    </row>
    <row r="368" spans="1:48">
      <c r="A368" s="14"/>
      <c r="B368" s="15"/>
      <c r="C368" s="16"/>
      <c r="D368" s="17"/>
      <c r="E368" s="12"/>
      <c r="F368" s="18"/>
      <c r="G368" s="19"/>
      <c r="H368" s="13"/>
      <c r="I368" s="19"/>
      <c r="J368" s="13"/>
      <c r="K368" s="19"/>
      <c r="L368" s="13"/>
      <c r="M368" s="19"/>
      <c r="N368" s="13"/>
      <c r="O368" s="19"/>
      <c r="P368" s="13"/>
      <c r="Q368" s="19"/>
      <c r="R368" s="13"/>
      <c r="S368" s="19"/>
      <c r="T368" s="13"/>
      <c r="U368" s="19"/>
      <c r="V368" s="13"/>
      <c r="W368" s="19"/>
      <c r="X368" s="13"/>
      <c r="Y368" s="19"/>
      <c r="Z368" s="13"/>
      <c r="AA368" s="19"/>
      <c r="AB368" s="13"/>
      <c r="AC368" s="19"/>
      <c r="AD368" s="13"/>
      <c r="AE368" s="19"/>
      <c r="AF368" s="13"/>
      <c r="AG368" s="19"/>
      <c r="AH368" s="13"/>
      <c r="AI368" s="19"/>
      <c r="AJ368" s="13"/>
      <c r="AK368" s="19"/>
      <c r="AL368" s="13"/>
      <c r="AM368" s="19"/>
      <c r="AN368" s="13"/>
      <c r="AO368" s="19"/>
      <c r="AP368" s="13"/>
      <c r="AQ368" s="19"/>
      <c r="AR368" s="13"/>
      <c r="AS368" s="614"/>
      <c r="AT368" s="460"/>
      <c r="AU368" s="783"/>
      <c r="AV368" s="460"/>
    </row>
    <row r="369" spans="1:48">
      <c r="A369" s="14"/>
      <c r="B369" s="15"/>
      <c r="C369" s="16"/>
      <c r="D369" s="17"/>
      <c r="E369" s="12"/>
      <c r="F369" s="18"/>
      <c r="G369" s="19"/>
      <c r="H369" s="13"/>
      <c r="I369" s="19"/>
      <c r="J369" s="13"/>
      <c r="K369" s="19"/>
      <c r="L369" s="13"/>
      <c r="M369" s="19"/>
      <c r="N369" s="13"/>
      <c r="O369" s="19"/>
      <c r="P369" s="13"/>
      <c r="Q369" s="19"/>
      <c r="R369" s="13"/>
      <c r="S369" s="19"/>
      <c r="T369" s="13"/>
      <c r="U369" s="19"/>
      <c r="V369" s="13"/>
      <c r="W369" s="19"/>
      <c r="X369" s="13"/>
      <c r="Y369" s="19"/>
      <c r="Z369" s="13"/>
      <c r="AA369" s="19"/>
      <c r="AB369" s="13"/>
      <c r="AC369" s="19"/>
      <c r="AD369" s="13"/>
      <c r="AE369" s="19"/>
      <c r="AF369" s="13"/>
      <c r="AG369" s="19"/>
      <c r="AH369" s="13"/>
      <c r="AI369" s="19"/>
      <c r="AJ369" s="13"/>
      <c r="AK369" s="19"/>
      <c r="AL369" s="13"/>
      <c r="AM369" s="19"/>
      <c r="AN369" s="13"/>
      <c r="AO369" s="19"/>
      <c r="AP369" s="13"/>
      <c r="AQ369" s="19"/>
      <c r="AR369" s="13"/>
      <c r="AS369" s="614"/>
      <c r="AT369" s="460"/>
      <c r="AU369" s="783"/>
      <c r="AV369" s="460"/>
    </row>
    <row r="370" spans="1:48">
      <c r="A370" s="14"/>
      <c r="B370" s="15"/>
      <c r="C370" s="16"/>
      <c r="D370" s="17"/>
      <c r="E370" s="12"/>
      <c r="F370" s="18"/>
      <c r="G370" s="19"/>
      <c r="H370" s="13"/>
      <c r="I370" s="19"/>
      <c r="J370" s="13"/>
      <c r="K370" s="19"/>
      <c r="L370" s="13"/>
      <c r="M370" s="19"/>
      <c r="N370" s="13"/>
      <c r="O370" s="19"/>
      <c r="P370" s="13"/>
      <c r="Q370" s="19"/>
      <c r="R370" s="13"/>
      <c r="S370" s="19"/>
      <c r="T370" s="13"/>
      <c r="U370" s="19"/>
      <c r="V370" s="13"/>
      <c r="W370" s="19"/>
      <c r="X370" s="13"/>
      <c r="Y370" s="19"/>
      <c r="Z370" s="13"/>
      <c r="AA370" s="19"/>
      <c r="AB370" s="13"/>
      <c r="AC370" s="19"/>
      <c r="AD370" s="13"/>
      <c r="AE370" s="19"/>
      <c r="AF370" s="13"/>
      <c r="AG370" s="19"/>
      <c r="AH370" s="13"/>
      <c r="AI370" s="19"/>
      <c r="AJ370" s="13"/>
      <c r="AK370" s="19"/>
      <c r="AL370" s="13"/>
      <c r="AM370" s="19"/>
      <c r="AN370" s="13"/>
      <c r="AO370" s="19"/>
      <c r="AP370" s="13"/>
      <c r="AQ370" s="19"/>
      <c r="AR370" s="13"/>
      <c r="AS370" s="614"/>
      <c r="AT370" s="460"/>
      <c r="AU370" s="783"/>
      <c r="AV370" s="460"/>
    </row>
    <row r="371" spans="1:48">
      <c r="A371" s="14"/>
      <c r="B371" s="15"/>
      <c r="C371" s="16"/>
      <c r="D371" s="17"/>
      <c r="E371" s="12"/>
      <c r="F371" s="18"/>
      <c r="G371" s="19"/>
      <c r="H371" s="13"/>
      <c r="I371" s="19"/>
      <c r="J371" s="13"/>
      <c r="K371" s="19"/>
      <c r="L371" s="13"/>
      <c r="M371" s="19"/>
      <c r="N371" s="13"/>
      <c r="O371" s="19"/>
      <c r="P371" s="13"/>
      <c r="Q371" s="19"/>
      <c r="R371" s="13"/>
      <c r="S371" s="19"/>
      <c r="T371" s="13"/>
      <c r="U371" s="19"/>
      <c r="V371" s="13"/>
      <c r="W371" s="19"/>
      <c r="X371" s="13"/>
      <c r="Y371" s="19"/>
      <c r="Z371" s="13"/>
      <c r="AA371" s="19"/>
      <c r="AB371" s="13"/>
      <c r="AC371" s="19"/>
      <c r="AD371" s="13"/>
      <c r="AE371" s="19"/>
      <c r="AF371" s="13"/>
      <c r="AG371" s="19"/>
      <c r="AH371" s="13"/>
      <c r="AI371" s="19"/>
      <c r="AJ371" s="13"/>
      <c r="AK371" s="19"/>
      <c r="AL371" s="13"/>
      <c r="AM371" s="19"/>
      <c r="AN371" s="13"/>
      <c r="AO371" s="19"/>
      <c r="AP371" s="13"/>
      <c r="AQ371" s="19"/>
      <c r="AR371" s="13"/>
      <c r="AS371" s="614"/>
      <c r="AT371" s="460"/>
      <c r="AU371" s="783"/>
      <c r="AV371" s="460"/>
    </row>
    <row r="372" spans="1:48">
      <c r="A372" s="14"/>
      <c r="B372" s="15"/>
      <c r="C372" s="16"/>
      <c r="D372" s="17"/>
      <c r="E372" s="12"/>
      <c r="F372" s="18"/>
      <c r="G372" s="19"/>
      <c r="H372" s="13"/>
      <c r="I372" s="19"/>
      <c r="J372" s="13"/>
      <c r="K372" s="19"/>
      <c r="L372" s="13"/>
      <c r="M372" s="19"/>
      <c r="N372" s="13"/>
      <c r="O372" s="19"/>
      <c r="P372" s="13"/>
      <c r="Q372" s="19"/>
      <c r="R372" s="13"/>
      <c r="S372" s="19"/>
      <c r="T372" s="13"/>
      <c r="U372" s="19"/>
      <c r="V372" s="13"/>
      <c r="W372" s="19"/>
      <c r="X372" s="13"/>
      <c r="Y372" s="19"/>
      <c r="Z372" s="13"/>
      <c r="AA372" s="19"/>
      <c r="AB372" s="13"/>
      <c r="AC372" s="19"/>
      <c r="AD372" s="13"/>
      <c r="AE372" s="19"/>
      <c r="AF372" s="13"/>
      <c r="AG372" s="19"/>
      <c r="AH372" s="13"/>
      <c r="AI372" s="19"/>
      <c r="AJ372" s="13"/>
      <c r="AK372" s="19"/>
      <c r="AL372" s="13"/>
      <c r="AM372" s="19"/>
      <c r="AN372" s="13"/>
      <c r="AO372" s="19"/>
      <c r="AP372" s="13"/>
      <c r="AQ372" s="19"/>
      <c r="AR372" s="13"/>
      <c r="AS372" s="614"/>
      <c r="AT372" s="460"/>
      <c r="AU372" s="783"/>
      <c r="AV372" s="460"/>
    </row>
    <row r="373" spans="1:48">
      <c r="A373" s="14"/>
      <c r="B373" s="15"/>
      <c r="C373" s="16"/>
      <c r="D373" s="17"/>
      <c r="E373" s="12"/>
      <c r="F373" s="18"/>
      <c r="G373" s="19"/>
      <c r="H373" s="13"/>
      <c r="I373" s="19"/>
      <c r="J373" s="13"/>
      <c r="K373" s="19"/>
      <c r="L373" s="13"/>
      <c r="M373" s="19"/>
      <c r="N373" s="13"/>
      <c r="O373" s="19"/>
      <c r="P373" s="13"/>
      <c r="Q373" s="19"/>
      <c r="R373" s="13"/>
      <c r="S373" s="19"/>
      <c r="T373" s="13"/>
      <c r="U373" s="19"/>
      <c r="V373" s="13"/>
      <c r="W373" s="19"/>
      <c r="X373" s="13"/>
      <c r="Y373" s="19"/>
      <c r="Z373" s="13"/>
      <c r="AA373" s="19"/>
      <c r="AB373" s="13"/>
      <c r="AC373" s="19"/>
      <c r="AD373" s="13"/>
      <c r="AE373" s="19"/>
      <c r="AF373" s="13"/>
      <c r="AG373" s="19"/>
      <c r="AH373" s="13"/>
      <c r="AI373" s="19"/>
      <c r="AJ373" s="13"/>
      <c r="AK373" s="19"/>
      <c r="AL373" s="13"/>
      <c r="AM373" s="19"/>
      <c r="AN373" s="13"/>
      <c r="AO373" s="19"/>
      <c r="AP373" s="13"/>
      <c r="AQ373" s="19"/>
      <c r="AR373" s="13"/>
      <c r="AS373" s="614"/>
      <c r="AT373" s="460"/>
      <c r="AU373" s="783"/>
      <c r="AV373" s="460"/>
    </row>
    <row r="374" spans="1:48">
      <c r="A374" s="14"/>
      <c r="B374" s="15"/>
      <c r="C374" s="16"/>
      <c r="D374" s="17"/>
      <c r="E374" s="12"/>
      <c r="F374" s="18"/>
      <c r="G374" s="19"/>
      <c r="H374" s="13"/>
      <c r="I374" s="19"/>
      <c r="J374" s="13"/>
      <c r="K374" s="19"/>
      <c r="L374" s="13"/>
      <c r="M374" s="19"/>
      <c r="N374" s="13"/>
      <c r="O374" s="19"/>
      <c r="P374" s="13"/>
      <c r="Q374" s="19"/>
      <c r="R374" s="13"/>
      <c r="S374" s="19"/>
      <c r="T374" s="13"/>
      <c r="U374" s="19"/>
      <c r="V374" s="13"/>
      <c r="W374" s="19"/>
      <c r="X374" s="13"/>
      <c r="Y374" s="19"/>
      <c r="Z374" s="13"/>
      <c r="AA374" s="19"/>
      <c r="AB374" s="13"/>
      <c r="AC374" s="19"/>
      <c r="AD374" s="13"/>
      <c r="AE374" s="19"/>
      <c r="AF374" s="13"/>
      <c r="AG374" s="19"/>
      <c r="AH374" s="13"/>
      <c r="AI374" s="19"/>
      <c r="AJ374" s="13"/>
      <c r="AK374" s="19"/>
      <c r="AL374" s="13"/>
      <c r="AM374" s="19"/>
      <c r="AN374" s="13"/>
      <c r="AO374" s="19"/>
      <c r="AP374" s="13"/>
      <c r="AQ374" s="19"/>
      <c r="AR374" s="13"/>
      <c r="AS374" s="614"/>
      <c r="AT374" s="460"/>
      <c r="AU374" s="783"/>
      <c r="AV374" s="460"/>
    </row>
    <row r="375" spans="1:48">
      <c r="A375" s="14"/>
      <c r="B375" s="15"/>
      <c r="C375" s="16"/>
      <c r="D375" s="17"/>
      <c r="E375" s="12"/>
      <c r="F375" s="18"/>
      <c r="G375" s="19"/>
      <c r="H375" s="13"/>
      <c r="I375" s="19"/>
      <c r="J375" s="13"/>
      <c r="K375" s="19"/>
      <c r="L375" s="13"/>
      <c r="M375" s="19"/>
      <c r="N375" s="13"/>
      <c r="O375" s="19"/>
      <c r="P375" s="13"/>
      <c r="Q375" s="19"/>
      <c r="R375" s="13"/>
      <c r="S375" s="19"/>
      <c r="T375" s="13"/>
      <c r="U375" s="19"/>
      <c r="V375" s="13"/>
      <c r="W375" s="19"/>
      <c r="X375" s="13"/>
      <c r="Y375" s="19"/>
      <c r="Z375" s="13"/>
      <c r="AA375" s="19"/>
      <c r="AB375" s="13"/>
      <c r="AC375" s="19"/>
      <c r="AD375" s="13"/>
      <c r="AE375" s="19"/>
      <c r="AF375" s="13"/>
      <c r="AG375" s="19"/>
      <c r="AH375" s="13"/>
      <c r="AI375" s="19"/>
      <c r="AJ375" s="13"/>
      <c r="AK375" s="19"/>
      <c r="AL375" s="13"/>
      <c r="AM375" s="19"/>
      <c r="AN375" s="13"/>
      <c r="AO375" s="19"/>
      <c r="AP375" s="13"/>
      <c r="AQ375" s="19"/>
      <c r="AR375" s="13"/>
      <c r="AS375" s="614"/>
      <c r="AT375" s="460"/>
      <c r="AU375" s="783"/>
      <c r="AV375" s="460"/>
    </row>
    <row r="376" spans="1:48">
      <c r="A376" s="14"/>
      <c r="B376" s="15"/>
      <c r="C376" s="16"/>
      <c r="D376" s="17"/>
      <c r="E376" s="12"/>
      <c r="F376" s="18"/>
      <c r="G376" s="19"/>
      <c r="H376" s="13"/>
      <c r="I376" s="19"/>
      <c r="J376" s="13"/>
      <c r="K376" s="19"/>
      <c r="L376" s="13"/>
      <c r="M376" s="19"/>
      <c r="N376" s="13"/>
      <c r="O376" s="19"/>
      <c r="P376" s="13"/>
      <c r="Q376" s="19"/>
      <c r="R376" s="13"/>
      <c r="S376" s="19"/>
      <c r="T376" s="13"/>
      <c r="U376" s="19"/>
      <c r="V376" s="13"/>
      <c r="W376" s="19"/>
      <c r="X376" s="13"/>
      <c r="Y376" s="19"/>
      <c r="Z376" s="13"/>
      <c r="AA376" s="19"/>
      <c r="AB376" s="13"/>
      <c r="AC376" s="19"/>
      <c r="AD376" s="13"/>
      <c r="AE376" s="19"/>
      <c r="AF376" s="13"/>
      <c r="AG376" s="19"/>
      <c r="AH376" s="13"/>
      <c r="AI376" s="19"/>
      <c r="AJ376" s="13"/>
      <c r="AK376" s="19"/>
      <c r="AL376" s="13"/>
      <c r="AM376" s="19"/>
      <c r="AN376" s="13"/>
      <c r="AO376" s="19"/>
      <c r="AP376" s="13"/>
      <c r="AQ376" s="19"/>
      <c r="AR376" s="13"/>
      <c r="AS376" s="614"/>
      <c r="AT376" s="460"/>
      <c r="AU376" s="783"/>
      <c r="AV376" s="460"/>
    </row>
    <row r="377" spans="1:48">
      <c r="A377" s="14"/>
      <c r="B377" s="15"/>
      <c r="C377" s="16"/>
      <c r="D377" s="17"/>
      <c r="E377" s="12"/>
      <c r="F377" s="18"/>
      <c r="G377" s="19"/>
      <c r="H377" s="13"/>
      <c r="I377" s="19"/>
      <c r="J377" s="13"/>
      <c r="K377" s="19"/>
      <c r="L377" s="13"/>
      <c r="M377" s="19"/>
      <c r="N377" s="13"/>
      <c r="O377" s="19"/>
      <c r="P377" s="13"/>
      <c r="Q377" s="19"/>
      <c r="R377" s="13"/>
      <c r="S377" s="19"/>
      <c r="T377" s="13"/>
      <c r="U377" s="19"/>
      <c r="V377" s="13"/>
      <c r="W377" s="19"/>
      <c r="X377" s="13"/>
      <c r="Y377" s="19"/>
      <c r="Z377" s="13"/>
      <c r="AA377" s="19"/>
      <c r="AB377" s="13"/>
      <c r="AC377" s="19"/>
      <c r="AD377" s="13"/>
      <c r="AE377" s="19"/>
      <c r="AF377" s="13"/>
      <c r="AG377" s="19"/>
      <c r="AH377" s="13"/>
      <c r="AI377" s="19"/>
      <c r="AJ377" s="13"/>
      <c r="AK377" s="19"/>
      <c r="AL377" s="13"/>
      <c r="AM377" s="19"/>
      <c r="AN377" s="13"/>
      <c r="AO377" s="19"/>
      <c r="AP377" s="13"/>
      <c r="AQ377" s="19"/>
      <c r="AR377" s="13"/>
      <c r="AS377" s="614"/>
      <c r="AT377" s="460"/>
      <c r="AU377" s="783"/>
      <c r="AV377" s="460"/>
    </row>
    <row r="378" spans="1:48">
      <c r="A378" s="14"/>
      <c r="B378" s="15"/>
      <c r="C378" s="16"/>
      <c r="D378" s="17"/>
      <c r="E378" s="12"/>
      <c r="F378" s="18"/>
      <c r="G378" s="19"/>
      <c r="H378" s="13"/>
      <c r="I378" s="19"/>
      <c r="J378" s="13"/>
      <c r="K378" s="19"/>
      <c r="L378" s="13"/>
      <c r="M378" s="19"/>
      <c r="N378" s="13"/>
      <c r="O378" s="19"/>
      <c r="P378" s="13"/>
      <c r="Q378" s="19"/>
      <c r="R378" s="13"/>
      <c r="S378" s="19"/>
      <c r="T378" s="13"/>
      <c r="U378" s="19"/>
      <c r="V378" s="13"/>
      <c r="W378" s="19"/>
      <c r="X378" s="13"/>
      <c r="Y378" s="19"/>
      <c r="Z378" s="13"/>
      <c r="AA378" s="19"/>
      <c r="AB378" s="13"/>
      <c r="AC378" s="19"/>
      <c r="AD378" s="13"/>
      <c r="AE378" s="19"/>
      <c r="AF378" s="13"/>
      <c r="AG378" s="19"/>
      <c r="AH378" s="13"/>
      <c r="AI378" s="19"/>
      <c r="AJ378" s="13"/>
      <c r="AK378" s="19"/>
      <c r="AL378" s="13"/>
      <c r="AM378" s="19"/>
      <c r="AN378" s="13"/>
      <c r="AO378" s="19"/>
      <c r="AP378" s="13"/>
      <c r="AQ378" s="19"/>
      <c r="AR378" s="13"/>
      <c r="AS378" s="614"/>
      <c r="AT378" s="460"/>
      <c r="AU378" s="783"/>
      <c r="AV378" s="460"/>
    </row>
    <row r="379" spans="1:48">
      <c r="A379" s="14"/>
      <c r="B379" s="15"/>
      <c r="C379" s="16"/>
      <c r="D379" s="17"/>
      <c r="E379" s="12"/>
      <c r="F379" s="18"/>
      <c r="G379" s="19"/>
      <c r="H379" s="13"/>
      <c r="I379" s="19"/>
      <c r="J379" s="13"/>
      <c r="K379" s="19"/>
      <c r="L379" s="13"/>
      <c r="M379" s="19"/>
      <c r="N379" s="13"/>
      <c r="O379" s="19"/>
      <c r="P379" s="13"/>
      <c r="Q379" s="19"/>
      <c r="R379" s="13"/>
      <c r="S379" s="19"/>
      <c r="T379" s="13"/>
      <c r="U379" s="19"/>
      <c r="V379" s="13"/>
      <c r="W379" s="19"/>
      <c r="X379" s="13"/>
      <c r="Y379" s="19"/>
      <c r="Z379" s="13"/>
      <c r="AA379" s="19"/>
      <c r="AB379" s="13"/>
      <c r="AC379" s="19"/>
      <c r="AD379" s="13"/>
      <c r="AE379" s="19"/>
      <c r="AF379" s="13"/>
      <c r="AG379" s="19"/>
      <c r="AH379" s="13"/>
      <c r="AI379" s="19"/>
      <c r="AJ379" s="13"/>
      <c r="AK379" s="19"/>
      <c r="AL379" s="13"/>
      <c r="AM379" s="19"/>
      <c r="AN379" s="13"/>
      <c r="AO379" s="19"/>
      <c r="AP379" s="13"/>
      <c r="AQ379" s="19"/>
      <c r="AR379" s="13"/>
      <c r="AS379" s="614"/>
      <c r="AT379" s="460"/>
      <c r="AU379" s="783"/>
      <c r="AV379" s="460"/>
    </row>
    <row r="380" spans="1:48">
      <c r="A380" s="14"/>
      <c r="B380" s="15"/>
      <c r="C380" s="16"/>
      <c r="D380" s="17"/>
      <c r="E380" s="12"/>
      <c r="F380" s="18"/>
      <c r="G380" s="19"/>
      <c r="H380" s="13"/>
      <c r="I380" s="19"/>
      <c r="J380" s="13"/>
      <c r="K380" s="19"/>
      <c r="L380" s="13"/>
      <c r="M380" s="19"/>
      <c r="N380" s="13"/>
      <c r="O380" s="19"/>
      <c r="P380" s="13"/>
      <c r="Q380" s="19"/>
      <c r="R380" s="13"/>
      <c r="S380" s="19"/>
      <c r="T380" s="13"/>
      <c r="U380" s="19"/>
      <c r="V380" s="13"/>
      <c r="W380" s="19"/>
      <c r="X380" s="13"/>
      <c r="Y380" s="19"/>
      <c r="Z380" s="13"/>
      <c r="AA380" s="19"/>
      <c r="AB380" s="13"/>
      <c r="AC380" s="19"/>
      <c r="AD380" s="13"/>
      <c r="AE380" s="19"/>
      <c r="AF380" s="13"/>
      <c r="AG380" s="19"/>
      <c r="AH380" s="13"/>
      <c r="AI380" s="19"/>
      <c r="AJ380" s="13"/>
      <c r="AK380" s="19"/>
      <c r="AL380" s="13"/>
      <c r="AM380" s="19"/>
      <c r="AN380" s="13"/>
      <c r="AO380" s="19"/>
      <c r="AP380" s="13"/>
      <c r="AQ380" s="19"/>
      <c r="AR380" s="13"/>
      <c r="AS380" s="614"/>
      <c r="AT380" s="460"/>
      <c r="AU380" s="783"/>
      <c r="AV380" s="460"/>
    </row>
    <row r="381" spans="1:48">
      <c r="A381" s="14"/>
      <c r="B381" s="15"/>
      <c r="C381" s="16"/>
      <c r="D381" s="17"/>
      <c r="E381" s="12"/>
      <c r="F381" s="18"/>
      <c r="G381" s="19"/>
      <c r="H381" s="13"/>
      <c r="I381" s="19"/>
      <c r="J381" s="13"/>
      <c r="K381" s="19"/>
      <c r="L381" s="13"/>
      <c r="M381" s="19"/>
      <c r="N381" s="13"/>
      <c r="O381" s="19"/>
      <c r="P381" s="13"/>
      <c r="Q381" s="19"/>
      <c r="R381" s="13"/>
      <c r="S381" s="19"/>
      <c r="T381" s="13"/>
      <c r="U381" s="19"/>
      <c r="V381" s="13"/>
      <c r="W381" s="19"/>
      <c r="X381" s="13"/>
      <c r="Y381" s="19"/>
      <c r="Z381" s="13"/>
      <c r="AA381" s="19"/>
      <c r="AB381" s="13"/>
      <c r="AC381" s="19"/>
      <c r="AD381" s="13"/>
      <c r="AE381" s="19"/>
      <c r="AF381" s="13"/>
      <c r="AG381" s="19"/>
      <c r="AH381" s="13"/>
      <c r="AI381" s="19"/>
      <c r="AJ381" s="13"/>
      <c r="AK381" s="19"/>
      <c r="AL381" s="13"/>
      <c r="AM381" s="19"/>
      <c r="AN381" s="13"/>
      <c r="AO381" s="19"/>
      <c r="AP381" s="13"/>
      <c r="AQ381" s="19"/>
      <c r="AR381" s="13"/>
      <c r="AS381" s="614"/>
      <c r="AT381" s="460"/>
      <c r="AU381" s="783"/>
      <c r="AV381" s="460"/>
    </row>
    <row r="382" spans="1:48">
      <c r="A382" s="14"/>
      <c r="B382" s="15"/>
      <c r="C382" s="16"/>
      <c r="D382" s="17"/>
      <c r="E382" s="12"/>
      <c r="F382" s="18"/>
      <c r="G382" s="19"/>
      <c r="H382" s="13"/>
      <c r="I382" s="19"/>
      <c r="J382" s="13"/>
      <c r="K382" s="19"/>
      <c r="L382" s="13"/>
      <c r="M382" s="19"/>
      <c r="N382" s="13"/>
      <c r="O382" s="19"/>
      <c r="P382" s="13"/>
      <c r="Q382" s="19"/>
      <c r="R382" s="13"/>
      <c r="S382" s="19"/>
      <c r="T382" s="13"/>
      <c r="U382" s="19"/>
      <c r="V382" s="13"/>
      <c r="W382" s="19"/>
      <c r="X382" s="13"/>
      <c r="Y382" s="19"/>
      <c r="Z382" s="13"/>
      <c r="AA382" s="19"/>
      <c r="AB382" s="13"/>
      <c r="AC382" s="19"/>
      <c r="AD382" s="13"/>
      <c r="AE382" s="19"/>
      <c r="AF382" s="13"/>
      <c r="AG382" s="19"/>
      <c r="AH382" s="13"/>
      <c r="AI382" s="19"/>
      <c r="AJ382" s="13"/>
      <c r="AK382" s="19"/>
      <c r="AL382" s="13"/>
      <c r="AM382" s="19"/>
      <c r="AN382" s="13"/>
      <c r="AO382" s="19"/>
      <c r="AP382" s="13"/>
      <c r="AQ382" s="19"/>
      <c r="AR382" s="13"/>
      <c r="AS382" s="614"/>
      <c r="AT382" s="460"/>
      <c r="AU382" s="783"/>
      <c r="AV382" s="460"/>
    </row>
    <row r="383" spans="1:48">
      <c r="A383" s="14"/>
      <c r="B383" s="15"/>
      <c r="C383" s="16"/>
      <c r="D383" s="17"/>
      <c r="E383" s="12"/>
      <c r="F383" s="18"/>
      <c r="G383" s="19"/>
      <c r="H383" s="13"/>
      <c r="I383" s="19"/>
      <c r="J383" s="13"/>
      <c r="K383" s="19"/>
      <c r="L383" s="13"/>
      <c r="M383" s="19"/>
      <c r="N383" s="13"/>
      <c r="O383" s="19"/>
      <c r="P383" s="13"/>
      <c r="Q383" s="19"/>
      <c r="R383" s="13"/>
      <c r="S383" s="19"/>
      <c r="T383" s="13"/>
      <c r="U383" s="19"/>
      <c r="V383" s="13"/>
      <c r="W383" s="19"/>
      <c r="X383" s="13"/>
      <c r="Y383" s="19"/>
      <c r="Z383" s="13"/>
      <c r="AA383" s="19"/>
      <c r="AB383" s="13"/>
      <c r="AC383" s="19"/>
      <c r="AD383" s="13"/>
      <c r="AE383" s="19"/>
      <c r="AF383" s="13"/>
      <c r="AG383" s="19"/>
      <c r="AH383" s="13"/>
      <c r="AI383" s="19"/>
      <c r="AJ383" s="13"/>
      <c r="AK383" s="19"/>
      <c r="AL383" s="13"/>
      <c r="AM383" s="19"/>
      <c r="AN383" s="13"/>
      <c r="AO383" s="19"/>
      <c r="AP383" s="13"/>
      <c r="AQ383" s="19"/>
      <c r="AR383" s="13"/>
      <c r="AS383" s="614"/>
      <c r="AT383" s="460"/>
      <c r="AU383" s="783"/>
      <c r="AV383" s="460"/>
    </row>
    <row r="384" spans="1:48">
      <c r="A384" s="14"/>
      <c r="B384" s="15"/>
      <c r="C384" s="16"/>
      <c r="D384" s="17"/>
      <c r="E384" s="12"/>
      <c r="F384" s="18"/>
      <c r="G384" s="19"/>
      <c r="H384" s="13"/>
      <c r="I384" s="19"/>
      <c r="J384" s="13"/>
      <c r="K384" s="19"/>
      <c r="L384" s="13"/>
      <c r="M384" s="19"/>
      <c r="N384" s="13"/>
      <c r="O384" s="19"/>
      <c r="P384" s="13"/>
      <c r="Q384" s="19"/>
      <c r="R384" s="13"/>
      <c r="S384" s="19"/>
      <c r="T384" s="13"/>
      <c r="U384" s="19"/>
      <c r="V384" s="13"/>
      <c r="W384" s="19"/>
      <c r="X384" s="13"/>
      <c r="Y384" s="19"/>
      <c r="Z384" s="13"/>
      <c r="AA384" s="19"/>
      <c r="AB384" s="13"/>
      <c r="AC384" s="19"/>
      <c r="AD384" s="13"/>
      <c r="AE384" s="19"/>
      <c r="AF384" s="13"/>
      <c r="AG384" s="19"/>
      <c r="AH384" s="13"/>
      <c r="AI384" s="19"/>
      <c r="AJ384" s="13"/>
      <c r="AK384" s="19"/>
      <c r="AL384" s="13"/>
      <c r="AM384" s="19"/>
      <c r="AN384" s="13"/>
      <c r="AO384" s="19"/>
      <c r="AP384" s="13"/>
      <c r="AQ384" s="19"/>
      <c r="AR384" s="13"/>
      <c r="AS384" s="614"/>
      <c r="AT384" s="460"/>
      <c r="AU384" s="783"/>
      <c r="AV384" s="460"/>
    </row>
    <row r="385" spans="1:48">
      <c r="A385" s="14"/>
      <c r="B385" s="15"/>
      <c r="C385" s="16"/>
      <c r="D385" s="17"/>
      <c r="E385" s="12"/>
      <c r="F385" s="18"/>
      <c r="G385" s="19"/>
      <c r="H385" s="13"/>
      <c r="I385" s="19"/>
      <c r="J385" s="13"/>
      <c r="K385" s="19"/>
      <c r="L385" s="13"/>
      <c r="M385" s="19"/>
      <c r="N385" s="13"/>
      <c r="O385" s="19"/>
      <c r="P385" s="13"/>
      <c r="Q385" s="19"/>
      <c r="R385" s="13"/>
      <c r="S385" s="19"/>
      <c r="T385" s="13"/>
      <c r="U385" s="19"/>
      <c r="V385" s="13"/>
      <c r="W385" s="19"/>
      <c r="X385" s="13"/>
      <c r="Y385" s="19"/>
      <c r="Z385" s="13"/>
      <c r="AA385" s="19"/>
      <c r="AB385" s="13"/>
      <c r="AC385" s="19"/>
      <c r="AD385" s="13"/>
      <c r="AE385" s="19"/>
      <c r="AF385" s="13"/>
      <c r="AG385" s="19"/>
      <c r="AH385" s="13"/>
      <c r="AI385" s="19"/>
      <c r="AJ385" s="13"/>
      <c r="AK385" s="19"/>
      <c r="AL385" s="13"/>
      <c r="AM385" s="19"/>
      <c r="AN385" s="13"/>
      <c r="AO385" s="19"/>
      <c r="AP385" s="13"/>
      <c r="AQ385" s="19"/>
      <c r="AR385" s="13"/>
      <c r="AS385" s="614"/>
      <c r="AT385" s="460"/>
      <c r="AU385" s="783"/>
      <c r="AV385" s="460"/>
    </row>
    <row r="386" spans="1:48">
      <c r="A386" s="14"/>
      <c r="B386" s="15"/>
      <c r="C386" s="16"/>
      <c r="D386" s="17"/>
      <c r="E386" s="12"/>
      <c r="F386" s="18"/>
      <c r="G386" s="19"/>
      <c r="H386" s="13"/>
      <c r="I386" s="19"/>
      <c r="J386" s="13"/>
      <c r="K386" s="19"/>
      <c r="L386" s="13"/>
      <c r="M386" s="19"/>
      <c r="N386" s="13"/>
      <c r="O386" s="19"/>
      <c r="P386" s="13"/>
      <c r="Q386" s="19"/>
      <c r="R386" s="13"/>
      <c r="S386" s="19"/>
      <c r="T386" s="13"/>
      <c r="U386" s="19"/>
      <c r="V386" s="13"/>
      <c r="W386" s="19"/>
      <c r="X386" s="13"/>
      <c r="Y386" s="19"/>
      <c r="Z386" s="13"/>
      <c r="AA386" s="19"/>
      <c r="AB386" s="13"/>
      <c r="AC386" s="19"/>
      <c r="AD386" s="13"/>
      <c r="AE386" s="19"/>
      <c r="AF386" s="13"/>
      <c r="AG386" s="19"/>
      <c r="AH386" s="13"/>
      <c r="AI386" s="19"/>
      <c r="AJ386" s="13"/>
      <c r="AK386" s="19"/>
      <c r="AL386" s="13"/>
      <c r="AM386" s="19"/>
      <c r="AN386" s="13"/>
      <c r="AO386" s="19"/>
      <c r="AP386" s="13"/>
      <c r="AQ386" s="19"/>
      <c r="AR386" s="13"/>
      <c r="AS386" s="614"/>
      <c r="AT386" s="460"/>
      <c r="AU386" s="783"/>
      <c r="AV386" s="460"/>
    </row>
    <row r="387" spans="1:48">
      <c r="A387" s="14"/>
      <c r="B387" s="15"/>
      <c r="C387" s="16"/>
      <c r="D387" s="17"/>
      <c r="E387" s="12"/>
      <c r="F387" s="18"/>
      <c r="G387" s="19"/>
      <c r="H387" s="13"/>
      <c r="I387" s="19"/>
      <c r="J387" s="13"/>
      <c r="K387" s="19"/>
      <c r="L387" s="13"/>
      <c r="M387" s="19"/>
      <c r="N387" s="13"/>
      <c r="O387" s="19"/>
      <c r="P387" s="13"/>
      <c r="Q387" s="19"/>
      <c r="R387" s="13"/>
      <c r="S387" s="19"/>
      <c r="T387" s="13"/>
      <c r="U387" s="19"/>
      <c r="V387" s="13"/>
      <c r="W387" s="19"/>
      <c r="X387" s="13"/>
      <c r="Y387" s="19"/>
      <c r="Z387" s="13"/>
      <c r="AA387" s="19"/>
      <c r="AB387" s="13"/>
      <c r="AC387" s="19"/>
      <c r="AD387" s="13"/>
      <c r="AE387" s="19"/>
      <c r="AF387" s="13"/>
      <c r="AG387" s="19"/>
      <c r="AH387" s="13"/>
      <c r="AI387" s="19"/>
      <c r="AJ387" s="13"/>
      <c r="AK387" s="19"/>
      <c r="AL387" s="13"/>
      <c r="AM387" s="19"/>
      <c r="AN387" s="13"/>
      <c r="AO387" s="19"/>
      <c r="AP387" s="13"/>
      <c r="AQ387" s="19"/>
      <c r="AR387" s="13"/>
      <c r="AS387" s="614"/>
      <c r="AT387" s="460"/>
      <c r="AU387" s="783"/>
      <c r="AV387" s="460"/>
    </row>
    <row r="388" spans="1:48">
      <c r="A388" s="14"/>
      <c r="B388" s="15"/>
      <c r="C388" s="16"/>
      <c r="D388" s="17"/>
      <c r="E388" s="12"/>
      <c r="F388" s="18"/>
      <c r="G388" s="19"/>
      <c r="H388" s="13"/>
      <c r="I388" s="19"/>
      <c r="J388" s="13"/>
      <c r="K388" s="19"/>
      <c r="L388" s="13"/>
      <c r="M388" s="19"/>
      <c r="N388" s="13"/>
      <c r="O388" s="19"/>
      <c r="P388" s="13"/>
      <c r="Q388" s="19"/>
      <c r="R388" s="13"/>
      <c r="S388" s="19"/>
      <c r="T388" s="13"/>
      <c r="U388" s="19"/>
      <c r="V388" s="13"/>
      <c r="W388" s="19"/>
      <c r="X388" s="13"/>
      <c r="Y388" s="19"/>
      <c r="Z388" s="13"/>
      <c r="AA388" s="19"/>
      <c r="AB388" s="13"/>
      <c r="AC388" s="19"/>
      <c r="AD388" s="13"/>
      <c r="AE388" s="19"/>
      <c r="AF388" s="13"/>
      <c r="AG388" s="19"/>
      <c r="AH388" s="13"/>
      <c r="AI388" s="19"/>
      <c r="AJ388" s="13"/>
      <c r="AK388" s="19"/>
      <c r="AL388" s="13"/>
      <c r="AM388" s="19"/>
      <c r="AN388" s="13"/>
      <c r="AO388" s="19"/>
      <c r="AP388" s="13"/>
      <c r="AQ388" s="19"/>
      <c r="AR388" s="13"/>
      <c r="AS388" s="614"/>
      <c r="AT388" s="460"/>
      <c r="AU388" s="783"/>
      <c r="AV388" s="460"/>
    </row>
    <row r="389" spans="1:48">
      <c r="A389" s="14"/>
      <c r="B389" s="15"/>
      <c r="C389" s="16"/>
      <c r="D389" s="17"/>
      <c r="E389" s="12"/>
      <c r="F389" s="18"/>
      <c r="G389" s="19"/>
      <c r="H389" s="13"/>
      <c r="I389" s="19"/>
      <c r="J389" s="13"/>
      <c r="K389" s="19"/>
      <c r="L389" s="13"/>
      <c r="M389" s="19"/>
      <c r="N389" s="13"/>
      <c r="O389" s="19"/>
      <c r="P389" s="13"/>
      <c r="Q389" s="19"/>
      <c r="R389" s="13"/>
      <c r="S389" s="19"/>
      <c r="T389" s="13"/>
      <c r="U389" s="19"/>
      <c r="V389" s="13"/>
      <c r="W389" s="19"/>
      <c r="X389" s="13"/>
      <c r="Y389" s="19"/>
      <c r="Z389" s="13"/>
      <c r="AA389" s="19"/>
      <c r="AB389" s="13"/>
      <c r="AC389" s="19"/>
      <c r="AD389" s="13"/>
      <c r="AE389" s="19"/>
      <c r="AF389" s="13"/>
      <c r="AG389" s="19"/>
      <c r="AH389" s="13"/>
      <c r="AI389" s="19"/>
      <c r="AJ389" s="13"/>
      <c r="AK389" s="19"/>
      <c r="AL389" s="13"/>
      <c r="AM389" s="19"/>
      <c r="AN389" s="13"/>
      <c r="AO389" s="19"/>
      <c r="AP389" s="13"/>
      <c r="AQ389" s="19"/>
      <c r="AR389" s="13"/>
      <c r="AS389" s="614"/>
      <c r="AT389" s="460"/>
      <c r="AU389" s="783"/>
      <c r="AV389" s="460"/>
    </row>
    <row r="390" spans="1:48">
      <c r="A390" s="14"/>
      <c r="B390" s="15"/>
      <c r="C390" s="16"/>
      <c r="D390" s="17"/>
      <c r="E390" s="12"/>
      <c r="F390" s="18"/>
      <c r="G390" s="19"/>
      <c r="H390" s="13"/>
      <c r="I390" s="19"/>
      <c r="J390" s="13"/>
      <c r="K390" s="19"/>
      <c r="L390" s="13"/>
      <c r="M390" s="19"/>
      <c r="N390" s="13"/>
      <c r="O390" s="19"/>
      <c r="P390" s="13"/>
      <c r="Q390" s="19"/>
      <c r="R390" s="13"/>
      <c r="S390" s="19"/>
      <c r="T390" s="13"/>
      <c r="U390" s="19"/>
      <c r="V390" s="13"/>
      <c r="W390" s="19"/>
      <c r="X390" s="13"/>
      <c r="Y390" s="19"/>
      <c r="Z390" s="13"/>
      <c r="AA390" s="19"/>
      <c r="AB390" s="13"/>
      <c r="AC390" s="19"/>
      <c r="AD390" s="13"/>
      <c r="AE390" s="19"/>
      <c r="AF390" s="13"/>
      <c r="AG390" s="19"/>
      <c r="AH390" s="13"/>
      <c r="AI390" s="19"/>
      <c r="AJ390" s="13"/>
      <c r="AK390" s="19"/>
      <c r="AL390" s="13"/>
      <c r="AM390" s="19"/>
      <c r="AN390" s="13"/>
      <c r="AO390" s="19"/>
      <c r="AP390" s="13"/>
      <c r="AQ390" s="19"/>
      <c r="AR390" s="13"/>
      <c r="AS390" s="614"/>
      <c r="AT390" s="460"/>
      <c r="AU390" s="783"/>
      <c r="AV390" s="460"/>
    </row>
    <row r="391" spans="1:48">
      <c r="A391" s="14"/>
      <c r="B391" s="15"/>
      <c r="C391" s="16"/>
      <c r="D391" s="17"/>
      <c r="E391" s="12"/>
      <c r="F391" s="18"/>
      <c r="G391" s="19"/>
      <c r="H391" s="13"/>
      <c r="I391" s="19"/>
      <c r="J391" s="13"/>
      <c r="K391" s="19"/>
      <c r="L391" s="13"/>
      <c r="M391" s="19"/>
      <c r="N391" s="13"/>
      <c r="O391" s="19"/>
      <c r="P391" s="13"/>
      <c r="Q391" s="19"/>
      <c r="R391" s="13"/>
      <c r="S391" s="19"/>
      <c r="T391" s="13"/>
      <c r="U391" s="19"/>
      <c r="V391" s="13"/>
      <c r="W391" s="19"/>
      <c r="X391" s="13"/>
      <c r="Y391" s="19"/>
      <c r="Z391" s="13"/>
      <c r="AA391" s="19"/>
      <c r="AB391" s="13"/>
      <c r="AC391" s="19"/>
      <c r="AD391" s="13"/>
      <c r="AE391" s="19"/>
      <c r="AF391" s="13"/>
      <c r="AG391" s="19"/>
      <c r="AH391" s="13"/>
      <c r="AI391" s="19"/>
      <c r="AJ391" s="13"/>
      <c r="AK391" s="19"/>
      <c r="AL391" s="13"/>
      <c r="AM391" s="19"/>
      <c r="AN391" s="13"/>
      <c r="AO391" s="19"/>
      <c r="AP391" s="13"/>
      <c r="AQ391" s="19"/>
      <c r="AR391" s="13"/>
      <c r="AS391" s="614"/>
      <c r="AT391" s="460"/>
      <c r="AU391" s="783"/>
      <c r="AV391" s="460"/>
    </row>
    <row r="392" spans="1:48">
      <c r="A392" s="14"/>
      <c r="B392" s="15"/>
      <c r="C392" s="16"/>
      <c r="D392" s="17"/>
      <c r="E392" s="12"/>
      <c r="F392" s="18"/>
      <c r="G392" s="19"/>
      <c r="H392" s="13"/>
      <c r="I392" s="19"/>
      <c r="J392" s="13"/>
      <c r="K392" s="19"/>
      <c r="L392" s="13"/>
      <c r="M392" s="19"/>
      <c r="N392" s="13"/>
      <c r="O392" s="19"/>
      <c r="P392" s="13"/>
      <c r="Q392" s="19"/>
      <c r="R392" s="13"/>
      <c r="S392" s="19"/>
      <c r="T392" s="13"/>
      <c r="U392" s="19"/>
      <c r="V392" s="13"/>
      <c r="W392" s="19"/>
      <c r="X392" s="13"/>
      <c r="Y392" s="19"/>
      <c r="Z392" s="13"/>
      <c r="AA392" s="19"/>
      <c r="AB392" s="13"/>
      <c r="AC392" s="19"/>
      <c r="AD392" s="13"/>
      <c r="AE392" s="19"/>
      <c r="AF392" s="13"/>
      <c r="AG392" s="19"/>
      <c r="AH392" s="13"/>
      <c r="AI392" s="19"/>
      <c r="AJ392" s="13"/>
      <c r="AK392" s="19"/>
      <c r="AL392" s="13"/>
      <c r="AM392" s="19"/>
      <c r="AN392" s="13"/>
      <c r="AO392" s="19"/>
      <c r="AP392" s="13"/>
      <c r="AQ392" s="19"/>
      <c r="AR392" s="13"/>
      <c r="AS392" s="614"/>
      <c r="AT392" s="460"/>
      <c r="AU392" s="783"/>
      <c r="AV392" s="460"/>
    </row>
    <row r="393" spans="1:48">
      <c r="A393" s="14"/>
      <c r="B393" s="15"/>
      <c r="C393" s="16"/>
      <c r="D393" s="17"/>
      <c r="E393" s="12"/>
      <c r="F393" s="18"/>
      <c r="G393" s="19"/>
      <c r="H393" s="13"/>
      <c r="I393" s="19"/>
      <c r="J393" s="13"/>
      <c r="K393" s="19"/>
      <c r="L393" s="13"/>
      <c r="M393" s="19"/>
      <c r="N393" s="13"/>
      <c r="O393" s="19"/>
      <c r="P393" s="13"/>
      <c r="Q393" s="19"/>
      <c r="R393" s="13"/>
      <c r="S393" s="19"/>
      <c r="T393" s="13"/>
      <c r="U393" s="19"/>
      <c r="V393" s="13"/>
      <c r="W393" s="19"/>
      <c r="X393" s="13"/>
      <c r="Y393" s="19"/>
      <c r="Z393" s="13"/>
      <c r="AA393" s="19"/>
      <c r="AB393" s="13"/>
      <c r="AC393" s="19"/>
      <c r="AD393" s="13"/>
      <c r="AE393" s="19"/>
      <c r="AF393" s="13"/>
      <c r="AG393" s="19"/>
      <c r="AH393" s="13"/>
      <c r="AI393" s="19"/>
      <c r="AJ393" s="13"/>
      <c r="AK393" s="19"/>
      <c r="AL393" s="13"/>
      <c r="AM393" s="19"/>
      <c r="AN393" s="13"/>
      <c r="AO393" s="19"/>
      <c r="AP393" s="13"/>
      <c r="AQ393" s="19"/>
      <c r="AR393" s="13"/>
      <c r="AS393" s="614"/>
      <c r="AT393" s="460"/>
      <c r="AU393" s="783"/>
      <c r="AV393" s="460"/>
    </row>
    <row r="394" spans="1:48">
      <c r="A394" s="14"/>
      <c r="B394" s="15"/>
      <c r="C394" s="16"/>
      <c r="D394" s="17"/>
      <c r="E394" s="12"/>
      <c r="F394" s="18"/>
      <c r="G394" s="19"/>
      <c r="H394" s="13"/>
      <c r="I394" s="19"/>
      <c r="J394" s="13"/>
      <c r="K394" s="19"/>
      <c r="L394" s="13"/>
      <c r="M394" s="19"/>
      <c r="N394" s="13"/>
      <c r="O394" s="19"/>
      <c r="P394" s="13"/>
      <c r="Q394" s="19"/>
      <c r="R394" s="13"/>
      <c r="S394" s="19"/>
      <c r="T394" s="13"/>
      <c r="U394" s="19"/>
      <c r="V394" s="13"/>
      <c r="W394" s="19"/>
      <c r="X394" s="13"/>
      <c r="Y394" s="19"/>
      <c r="Z394" s="13"/>
      <c r="AA394" s="19"/>
      <c r="AB394" s="13"/>
      <c r="AC394" s="19"/>
      <c r="AD394" s="13"/>
      <c r="AE394" s="19"/>
      <c r="AF394" s="13"/>
      <c r="AG394" s="19"/>
      <c r="AH394" s="13"/>
      <c r="AI394" s="19"/>
      <c r="AJ394" s="13"/>
      <c r="AK394" s="19"/>
      <c r="AL394" s="13"/>
      <c r="AM394" s="19"/>
      <c r="AN394" s="13"/>
      <c r="AO394" s="19"/>
      <c r="AP394" s="13"/>
      <c r="AQ394" s="19"/>
      <c r="AR394" s="13"/>
      <c r="AS394" s="614"/>
      <c r="AT394" s="460"/>
      <c r="AU394" s="783"/>
      <c r="AV394" s="460"/>
    </row>
    <row r="395" spans="1:48">
      <c r="A395" s="14"/>
      <c r="B395" s="15"/>
      <c r="C395" s="16"/>
      <c r="D395" s="17"/>
      <c r="E395" s="12"/>
      <c r="F395" s="18"/>
      <c r="G395" s="19"/>
      <c r="H395" s="13"/>
      <c r="I395" s="19"/>
      <c r="J395" s="13"/>
      <c r="K395" s="19"/>
      <c r="L395" s="13"/>
      <c r="M395" s="19"/>
      <c r="N395" s="13"/>
      <c r="O395" s="19"/>
      <c r="P395" s="13"/>
      <c r="Q395" s="19"/>
      <c r="R395" s="13"/>
      <c r="S395" s="19"/>
      <c r="T395" s="13"/>
      <c r="U395" s="19"/>
      <c r="V395" s="13"/>
      <c r="W395" s="19"/>
      <c r="X395" s="13"/>
      <c r="Y395" s="19"/>
      <c r="Z395" s="13"/>
      <c r="AA395" s="19"/>
      <c r="AB395" s="13"/>
      <c r="AC395" s="19"/>
      <c r="AD395" s="13"/>
      <c r="AE395" s="19"/>
      <c r="AF395" s="13"/>
      <c r="AG395" s="19"/>
      <c r="AH395" s="13"/>
      <c r="AI395" s="19"/>
      <c r="AJ395" s="13"/>
      <c r="AK395" s="19"/>
      <c r="AL395" s="13"/>
      <c r="AM395" s="19"/>
      <c r="AN395" s="13"/>
      <c r="AO395" s="19"/>
      <c r="AP395" s="13"/>
      <c r="AQ395" s="19"/>
      <c r="AR395" s="13"/>
      <c r="AS395" s="614"/>
      <c r="AT395" s="460"/>
      <c r="AU395" s="783"/>
      <c r="AV395" s="460"/>
    </row>
    <row r="396" spans="1:48">
      <c r="A396" s="14"/>
      <c r="B396" s="15"/>
      <c r="C396" s="16"/>
      <c r="D396" s="17"/>
      <c r="E396" s="12"/>
      <c r="F396" s="18"/>
      <c r="G396" s="19"/>
      <c r="H396" s="13"/>
      <c r="I396" s="19"/>
      <c r="J396" s="13"/>
      <c r="K396" s="19"/>
      <c r="L396" s="13"/>
      <c r="M396" s="19"/>
      <c r="N396" s="13"/>
      <c r="O396" s="19"/>
      <c r="P396" s="13"/>
      <c r="Q396" s="19"/>
      <c r="R396" s="13"/>
      <c r="S396" s="19"/>
      <c r="T396" s="13"/>
      <c r="U396" s="19"/>
      <c r="V396" s="13"/>
      <c r="W396" s="19"/>
      <c r="X396" s="13"/>
      <c r="Y396" s="19"/>
      <c r="Z396" s="13"/>
      <c r="AA396" s="19"/>
      <c r="AB396" s="13"/>
      <c r="AC396" s="19"/>
      <c r="AD396" s="13"/>
      <c r="AE396" s="19"/>
      <c r="AF396" s="13"/>
      <c r="AG396" s="19"/>
      <c r="AH396" s="13"/>
      <c r="AI396" s="19"/>
      <c r="AJ396" s="13"/>
      <c r="AK396" s="19"/>
      <c r="AL396" s="13"/>
      <c r="AM396" s="19"/>
      <c r="AN396" s="13"/>
      <c r="AO396" s="19"/>
      <c r="AP396" s="13"/>
      <c r="AQ396" s="19"/>
      <c r="AR396" s="13"/>
      <c r="AS396" s="614"/>
      <c r="AT396" s="460"/>
      <c r="AU396" s="783"/>
      <c r="AV396" s="460"/>
    </row>
    <row r="397" spans="1:48">
      <c r="A397" s="14"/>
      <c r="B397" s="15"/>
      <c r="C397" s="16"/>
      <c r="D397" s="17"/>
      <c r="E397" s="12"/>
      <c r="F397" s="18"/>
      <c r="G397" s="19"/>
      <c r="H397" s="13"/>
      <c r="I397" s="19"/>
      <c r="J397" s="13"/>
      <c r="K397" s="19"/>
      <c r="L397" s="13"/>
      <c r="M397" s="19"/>
      <c r="N397" s="13"/>
      <c r="O397" s="19"/>
      <c r="P397" s="13"/>
      <c r="Q397" s="19"/>
      <c r="R397" s="13"/>
      <c r="S397" s="19"/>
      <c r="T397" s="13"/>
      <c r="U397" s="19"/>
      <c r="V397" s="13"/>
      <c r="W397" s="19"/>
      <c r="X397" s="13"/>
      <c r="Y397" s="19"/>
      <c r="Z397" s="13"/>
      <c r="AA397" s="19"/>
      <c r="AB397" s="13"/>
      <c r="AC397" s="19"/>
      <c r="AD397" s="13"/>
      <c r="AE397" s="19"/>
      <c r="AF397" s="13"/>
      <c r="AG397" s="19"/>
      <c r="AH397" s="13"/>
      <c r="AI397" s="19"/>
      <c r="AJ397" s="13"/>
      <c r="AK397" s="19"/>
      <c r="AL397" s="13"/>
      <c r="AM397" s="19"/>
      <c r="AN397" s="13"/>
      <c r="AO397" s="19"/>
      <c r="AP397" s="13"/>
      <c r="AQ397" s="19"/>
      <c r="AR397" s="13"/>
      <c r="AS397" s="614"/>
      <c r="AT397" s="460"/>
      <c r="AU397" s="783"/>
      <c r="AV397" s="460"/>
    </row>
    <row r="398" spans="1:48">
      <c r="A398" s="14"/>
      <c r="B398" s="15"/>
      <c r="C398" s="16"/>
      <c r="D398" s="17"/>
      <c r="E398" s="12"/>
      <c r="F398" s="18"/>
      <c r="G398" s="19"/>
      <c r="H398" s="13"/>
      <c r="I398" s="19"/>
      <c r="J398" s="13"/>
      <c r="K398" s="19"/>
      <c r="L398" s="13"/>
      <c r="M398" s="19"/>
      <c r="N398" s="13"/>
      <c r="O398" s="19"/>
      <c r="P398" s="13"/>
      <c r="Q398" s="19"/>
      <c r="R398" s="13"/>
      <c r="S398" s="19"/>
      <c r="T398" s="13"/>
      <c r="U398" s="19"/>
      <c r="V398" s="13"/>
      <c r="W398" s="19"/>
      <c r="X398" s="13"/>
      <c r="Y398" s="19"/>
      <c r="Z398" s="13"/>
      <c r="AA398" s="19"/>
      <c r="AB398" s="13"/>
      <c r="AC398" s="19"/>
      <c r="AD398" s="13"/>
      <c r="AE398" s="19"/>
      <c r="AF398" s="13"/>
      <c r="AG398" s="19"/>
      <c r="AH398" s="13"/>
      <c r="AI398" s="19"/>
      <c r="AJ398" s="13"/>
      <c r="AK398" s="19"/>
      <c r="AL398" s="13"/>
      <c r="AM398" s="19"/>
      <c r="AN398" s="13"/>
      <c r="AO398" s="19"/>
      <c r="AP398" s="13"/>
      <c r="AQ398" s="19"/>
      <c r="AR398" s="13"/>
      <c r="AS398" s="614"/>
      <c r="AT398" s="460"/>
      <c r="AU398" s="783"/>
      <c r="AV398" s="460"/>
    </row>
    <row r="399" spans="1:48">
      <c r="A399" s="14"/>
      <c r="B399" s="15"/>
      <c r="C399" s="16"/>
      <c r="D399" s="17"/>
      <c r="E399" s="12"/>
      <c r="F399" s="18"/>
      <c r="G399" s="19"/>
      <c r="H399" s="13"/>
      <c r="I399" s="19"/>
      <c r="J399" s="13"/>
      <c r="K399" s="19"/>
      <c r="L399" s="13"/>
      <c r="M399" s="19"/>
      <c r="N399" s="13"/>
      <c r="O399" s="19"/>
      <c r="P399" s="13"/>
      <c r="Q399" s="19"/>
      <c r="R399" s="13"/>
      <c r="S399" s="19"/>
      <c r="T399" s="13"/>
      <c r="U399" s="19"/>
      <c r="V399" s="13"/>
      <c r="W399" s="19"/>
      <c r="X399" s="13"/>
      <c r="Y399" s="19"/>
      <c r="Z399" s="13"/>
      <c r="AA399" s="19"/>
      <c r="AB399" s="13"/>
      <c r="AC399" s="19"/>
      <c r="AD399" s="13"/>
      <c r="AE399" s="19"/>
      <c r="AF399" s="13"/>
      <c r="AG399" s="19"/>
      <c r="AH399" s="13"/>
      <c r="AI399" s="19"/>
      <c r="AJ399" s="13"/>
      <c r="AK399" s="19"/>
      <c r="AL399" s="13"/>
      <c r="AM399" s="19"/>
      <c r="AN399" s="13"/>
      <c r="AO399" s="19"/>
      <c r="AP399" s="13"/>
      <c r="AQ399" s="19"/>
      <c r="AR399" s="13"/>
      <c r="AS399" s="614"/>
      <c r="AT399" s="460"/>
      <c r="AU399" s="783"/>
      <c r="AV399" s="460"/>
    </row>
    <row r="400" spans="1:48">
      <c r="A400" s="14"/>
      <c r="B400" s="15"/>
      <c r="C400" s="16"/>
      <c r="D400" s="17"/>
      <c r="E400" s="12"/>
      <c r="F400" s="18"/>
      <c r="G400" s="19"/>
      <c r="H400" s="13"/>
      <c r="I400" s="19"/>
      <c r="J400" s="13"/>
      <c r="K400" s="19"/>
      <c r="L400" s="13"/>
      <c r="M400" s="19"/>
      <c r="N400" s="13"/>
      <c r="O400" s="19"/>
      <c r="P400" s="13"/>
      <c r="Q400" s="19"/>
      <c r="R400" s="13"/>
      <c r="S400" s="19"/>
      <c r="T400" s="13"/>
      <c r="U400" s="19"/>
      <c r="V400" s="13"/>
      <c r="W400" s="19"/>
      <c r="X400" s="13"/>
      <c r="Y400" s="19"/>
      <c r="Z400" s="13"/>
      <c r="AA400" s="19"/>
      <c r="AB400" s="13"/>
      <c r="AC400" s="19"/>
      <c r="AD400" s="13"/>
      <c r="AE400" s="19"/>
      <c r="AF400" s="13"/>
      <c r="AG400" s="19"/>
      <c r="AH400" s="13"/>
      <c r="AI400" s="19"/>
      <c r="AJ400" s="13"/>
      <c r="AK400" s="19"/>
      <c r="AL400" s="13"/>
      <c r="AM400" s="19"/>
      <c r="AN400" s="13"/>
      <c r="AO400" s="19"/>
      <c r="AP400" s="13"/>
      <c r="AQ400" s="19"/>
      <c r="AR400" s="13"/>
      <c r="AS400" s="614"/>
      <c r="AT400" s="460"/>
      <c r="AU400" s="783"/>
      <c r="AV400" s="460"/>
    </row>
    <row r="401" spans="1:48">
      <c r="A401" s="14"/>
      <c r="B401" s="15"/>
      <c r="C401" s="16"/>
      <c r="D401" s="17"/>
      <c r="E401" s="12"/>
      <c r="F401" s="18"/>
      <c r="G401" s="19"/>
      <c r="H401" s="13"/>
      <c r="I401" s="19"/>
      <c r="J401" s="13"/>
      <c r="K401" s="19"/>
      <c r="L401" s="13"/>
      <c r="M401" s="19"/>
      <c r="N401" s="13"/>
      <c r="O401" s="19"/>
      <c r="P401" s="13"/>
      <c r="Q401" s="19"/>
      <c r="R401" s="13"/>
      <c r="S401" s="19"/>
      <c r="T401" s="13"/>
      <c r="U401" s="19"/>
      <c r="V401" s="13"/>
      <c r="W401" s="19"/>
      <c r="X401" s="13"/>
      <c r="Y401" s="19"/>
      <c r="Z401" s="13"/>
      <c r="AA401" s="19"/>
      <c r="AB401" s="13"/>
      <c r="AC401" s="19"/>
      <c r="AD401" s="13"/>
      <c r="AE401" s="19"/>
      <c r="AF401" s="13"/>
      <c r="AG401" s="19"/>
      <c r="AH401" s="13"/>
      <c r="AI401" s="19"/>
      <c r="AJ401" s="13"/>
      <c r="AK401" s="19"/>
      <c r="AL401" s="13"/>
      <c r="AM401" s="19"/>
      <c r="AN401" s="13"/>
      <c r="AO401" s="19"/>
      <c r="AP401" s="13"/>
      <c r="AQ401" s="19"/>
      <c r="AR401" s="13"/>
      <c r="AS401" s="614"/>
      <c r="AT401" s="460"/>
      <c r="AU401" s="783"/>
      <c r="AV401" s="460"/>
    </row>
    <row r="402" spans="1:48">
      <c r="A402" s="14"/>
      <c r="B402" s="15"/>
      <c r="C402" s="16"/>
      <c r="D402" s="17"/>
      <c r="E402" s="12"/>
      <c r="F402" s="18"/>
      <c r="G402" s="19"/>
      <c r="H402" s="13"/>
      <c r="I402" s="19"/>
      <c r="J402" s="13"/>
      <c r="K402" s="19"/>
      <c r="L402" s="13"/>
      <c r="M402" s="19"/>
      <c r="N402" s="13"/>
      <c r="O402" s="19"/>
      <c r="P402" s="13"/>
      <c r="Q402" s="19"/>
      <c r="R402" s="13"/>
      <c r="S402" s="19"/>
      <c r="T402" s="13"/>
      <c r="U402" s="19"/>
      <c r="V402" s="13"/>
      <c r="W402" s="19"/>
      <c r="X402" s="13"/>
      <c r="Y402" s="19"/>
      <c r="Z402" s="13"/>
      <c r="AA402" s="19"/>
      <c r="AB402" s="13"/>
      <c r="AC402" s="19"/>
      <c r="AD402" s="13"/>
      <c r="AE402" s="19"/>
      <c r="AF402" s="13"/>
      <c r="AG402" s="19"/>
      <c r="AH402" s="13"/>
      <c r="AI402" s="19"/>
      <c r="AJ402" s="13"/>
      <c r="AK402" s="19"/>
      <c r="AL402" s="13"/>
      <c r="AM402" s="19"/>
      <c r="AN402" s="13"/>
      <c r="AO402" s="19"/>
      <c r="AP402" s="13"/>
      <c r="AQ402" s="19"/>
      <c r="AR402" s="13"/>
      <c r="AS402" s="614"/>
      <c r="AT402" s="460"/>
      <c r="AU402" s="783"/>
      <c r="AV402" s="460"/>
    </row>
    <row r="403" spans="1:48">
      <c r="A403" s="14"/>
      <c r="B403" s="15"/>
      <c r="C403" s="16"/>
      <c r="D403" s="17"/>
      <c r="E403" s="12"/>
      <c r="F403" s="18"/>
      <c r="G403" s="19"/>
      <c r="H403" s="13"/>
      <c r="I403" s="19"/>
      <c r="J403" s="13"/>
      <c r="K403" s="19"/>
      <c r="L403" s="13"/>
      <c r="M403" s="19"/>
      <c r="N403" s="13"/>
      <c r="O403" s="19"/>
      <c r="P403" s="13"/>
      <c r="Q403" s="19"/>
      <c r="R403" s="13"/>
      <c r="S403" s="19"/>
      <c r="T403" s="13"/>
      <c r="U403" s="19"/>
      <c r="V403" s="13"/>
      <c r="W403" s="19"/>
      <c r="X403" s="13"/>
      <c r="Y403" s="19"/>
      <c r="Z403" s="13"/>
      <c r="AA403" s="19"/>
      <c r="AB403" s="13"/>
      <c r="AC403" s="19"/>
      <c r="AD403" s="13"/>
      <c r="AE403" s="19"/>
      <c r="AF403" s="13"/>
      <c r="AG403" s="19"/>
      <c r="AH403" s="13"/>
      <c r="AI403" s="19"/>
      <c r="AJ403" s="13"/>
      <c r="AK403" s="19"/>
      <c r="AL403" s="13"/>
      <c r="AM403" s="19"/>
      <c r="AN403" s="13"/>
      <c r="AO403" s="19"/>
      <c r="AP403" s="13"/>
      <c r="AQ403" s="19"/>
      <c r="AR403" s="13"/>
      <c r="AS403" s="614"/>
      <c r="AT403" s="460"/>
      <c r="AU403" s="783"/>
      <c r="AV403" s="460"/>
    </row>
    <row r="404" spans="1:48">
      <c r="A404" s="14"/>
      <c r="B404" s="15"/>
      <c r="C404" s="16"/>
      <c r="D404" s="17"/>
      <c r="E404" s="12"/>
      <c r="F404" s="18"/>
      <c r="G404" s="19"/>
      <c r="H404" s="13"/>
      <c r="I404" s="19"/>
      <c r="J404" s="13"/>
      <c r="K404" s="19"/>
      <c r="L404" s="13"/>
      <c r="M404" s="19"/>
      <c r="N404" s="13"/>
      <c r="O404" s="19"/>
      <c r="P404" s="13"/>
      <c r="Q404" s="19"/>
      <c r="R404" s="13"/>
      <c r="S404" s="19"/>
      <c r="T404" s="13"/>
      <c r="U404" s="19"/>
      <c r="V404" s="13"/>
      <c r="W404" s="19"/>
      <c r="X404" s="13"/>
      <c r="Y404" s="19"/>
      <c r="Z404" s="13"/>
      <c r="AA404" s="19"/>
      <c r="AB404" s="13"/>
      <c r="AC404" s="19"/>
      <c r="AD404" s="13"/>
      <c r="AE404" s="19"/>
      <c r="AF404" s="13"/>
      <c r="AG404" s="19"/>
      <c r="AH404" s="13"/>
      <c r="AI404" s="19"/>
      <c r="AJ404" s="13"/>
      <c r="AK404" s="19"/>
      <c r="AL404" s="13"/>
      <c r="AM404" s="19"/>
      <c r="AN404" s="13"/>
      <c r="AO404" s="19"/>
      <c r="AP404" s="13"/>
      <c r="AQ404" s="19"/>
      <c r="AR404" s="13"/>
      <c r="AS404" s="614"/>
      <c r="AT404" s="460"/>
      <c r="AU404" s="783"/>
      <c r="AV404" s="460"/>
    </row>
    <row r="405" spans="1:48">
      <c r="A405" s="14"/>
      <c r="B405" s="15"/>
      <c r="C405" s="16"/>
      <c r="D405" s="17"/>
      <c r="E405" s="12"/>
      <c r="F405" s="18"/>
      <c r="G405" s="19"/>
      <c r="H405" s="13"/>
      <c r="I405" s="19"/>
      <c r="J405" s="13"/>
      <c r="K405" s="19"/>
      <c r="L405" s="13"/>
      <c r="M405" s="19"/>
      <c r="N405" s="13"/>
      <c r="O405" s="19"/>
      <c r="P405" s="13"/>
      <c r="Q405" s="19"/>
      <c r="R405" s="13"/>
      <c r="S405" s="19"/>
      <c r="T405" s="13"/>
      <c r="U405" s="19"/>
      <c r="V405" s="13"/>
      <c r="W405" s="19"/>
      <c r="X405" s="13"/>
      <c r="Y405" s="19"/>
      <c r="Z405" s="13"/>
      <c r="AA405" s="19"/>
      <c r="AB405" s="13"/>
      <c r="AC405" s="19"/>
      <c r="AD405" s="13"/>
      <c r="AE405" s="19"/>
      <c r="AF405" s="13"/>
      <c r="AG405" s="19"/>
      <c r="AH405" s="13"/>
      <c r="AI405" s="19"/>
      <c r="AJ405" s="13"/>
      <c r="AK405" s="19"/>
      <c r="AL405" s="13"/>
      <c r="AM405" s="19"/>
      <c r="AN405" s="13"/>
      <c r="AO405" s="19"/>
      <c r="AP405" s="13"/>
      <c r="AQ405" s="19"/>
      <c r="AR405" s="13"/>
      <c r="AS405" s="614"/>
      <c r="AT405" s="460"/>
      <c r="AU405" s="783"/>
      <c r="AV405" s="460"/>
    </row>
    <row r="406" spans="1:48">
      <c r="A406" s="14"/>
      <c r="B406" s="15"/>
      <c r="C406" s="16"/>
      <c r="D406" s="17"/>
      <c r="E406" s="12"/>
      <c r="F406" s="18"/>
      <c r="G406" s="19"/>
      <c r="H406" s="13"/>
      <c r="I406" s="19"/>
      <c r="J406" s="13"/>
      <c r="K406" s="19"/>
      <c r="L406" s="13"/>
      <c r="M406" s="19"/>
      <c r="N406" s="13"/>
      <c r="O406" s="19"/>
      <c r="P406" s="13"/>
      <c r="Q406" s="19"/>
      <c r="R406" s="13"/>
      <c r="S406" s="19"/>
      <c r="T406" s="13"/>
      <c r="U406" s="19"/>
      <c r="V406" s="13"/>
      <c r="W406" s="19"/>
      <c r="X406" s="13"/>
      <c r="Y406" s="19"/>
      <c r="Z406" s="13"/>
      <c r="AA406" s="19"/>
      <c r="AB406" s="13"/>
      <c r="AC406" s="19"/>
      <c r="AD406" s="13"/>
      <c r="AE406" s="19"/>
      <c r="AF406" s="13"/>
      <c r="AG406" s="19"/>
      <c r="AH406" s="13"/>
      <c r="AI406" s="19"/>
      <c r="AJ406" s="13"/>
      <c r="AK406" s="19"/>
      <c r="AL406" s="13"/>
      <c r="AM406" s="19"/>
      <c r="AN406" s="13"/>
      <c r="AO406" s="19"/>
      <c r="AP406" s="13"/>
      <c r="AQ406" s="19"/>
      <c r="AR406" s="13"/>
      <c r="AS406" s="614"/>
      <c r="AT406" s="460"/>
      <c r="AU406" s="783"/>
      <c r="AV406" s="460"/>
    </row>
    <row r="407" spans="1:48">
      <c r="A407" s="14"/>
      <c r="B407" s="15"/>
      <c r="C407" s="16"/>
      <c r="D407" s="17"/>
      <c r="E407" s="12"/>
      <c r="F407" s="18"/>
      <c r="G407" s="19"/>
      <c r="H407" s="13"/>
      <c r="I407" s="19"/>
      <c r="J407" s="13"/>
      <c r="K407" s="19"/>
      <c r="L407" s="13"/>
      <c r="M407" s="19"/>
      <c r="N407" s="13"/>
      <c r="O407" s="19"/>
      <c r="P407" s="13"/>
      <c r="Q407" s="19"/>
      <c r="R407" s="13"/>
      <c r="S407" s="19"/>
      <c r="T407" s="13"/>
      <c r="U407" s="19"/>
      <c r="V407" s="13"/>
      <c r="W407" s="19"/>
      <c r="X407" s="13"/>
      <c r="Y407" s="19"/>
      <c r="Z407" s="13"/>
      <c r="AA407" s="19"/>
      <c r="AB407" s="13"/>
      <c r="AC407" s="19"/>
      <c r="AD407" s="13"/>
      <c r="AE407" s="19"/>
      <c r="AF407" s="13"/>
      <c r="AG407" s="19"/>
      <c r="AH407" s="13"/>
      <c r="AI407" s="19"/>
      <c r="AJ407" s="13"/>
      <c r="AK407" s="19"/>
      <c r="AL407" s="13"/>
      <c r="AM407" s="19"/>
      <c r="AN407" s="13"/>
      <c r="AO407" s="19"/>
      <c r="AP407" s="13"/>
      <c r="AQ407" s="19"/>
      <c r="AR407" s="13"/>
      <c r="AS407" s="614"/>
      <c r="AT407" s="460"/>
      <c r="AU407" s="783"/>
      <c r="AV407" s="460"/>
    </row>
    <row r="408" spans="1:48">
      <c r="A408" s="14"/>
      <c r="B408" s="15"/>
      <c r="C408" s="16"/>
      <c r="D408" s="17"/>
      <c r="E408" s="12"/>
      <c r="F408" s="18"/>
      <c r="G408" s="19"/>
      <c r="H408" s="13"/>
      <c r="I408" s="19"/>
      <c r="J408" s="13"/>
      <c r="K408" s="19"/>
      <c r="L408" s="13"/>
      <c r="M408" s="19"/>
      <c r="N408" s="13"/>
      <c r="O408" s="19"/>
      <c r="P408" s="13"/>
      <c r="Q408" s="19"/>
      <c r="R408" s="13"/>
      <c r="S408" s="19"/>
      <c r="T408" s="13"/>
      <c r="U408" s="19"/>
      <c r="V408" s="13"/>
      <c r="W408" s="19"/>
      <c r="X408" s="13"/>
      <c r="Y408" s="19"/>
      <c r="Z408" s="13"/>
      <c r="AA408" s="19"/>
      <c r="AB408" s="13"/>
      <c r="AC408" s="19"/>
      <c r="AD408" s="13"/>
      <c r="AE408" s="19"/>
      <c r="AF408" s="13"/>
      <c r="AG408" s="19"/>
      <c r="AH408" s="13"/>
      <c r="AI408" s="19"/>
      <c r="AJ408" s="13"/>
      <c r="AK408" s="19"/>
      <c r="AL408" s="13"/>
      <c r="AM408" s="19"/>
      <c r="AN408" s="13"/>
      <c r="AO408" s="19"/>
      <c r="AP408" s="13"/>
      <c r="AQ408" s="19"/>
      <c r="AR408" s="13"/>
      <c r="AS408" s="614"/>
      <c r="AT408" s="460"/>
      <c r="AU408" s="783"/>
      <c r="AV408" s="460"/>
    </row>
    <row r="409" spans="1:48">
      <c r="A409" s="14"/>
      <c r="B409" s="15"/>
      <c r="C409" s="16"/>
      <c r="D409" s="17"/>
      <c r="E409" s="12"/>
      <c r="F409" s="18"/>
      <c r="G409" s="19"/>
      <c r="H409" s="13"/>
      <c r="I409" s="19"/>
      <c r="J409" s="13"/>
      <c r="K409" s="19"/>
      <c r="L409" s="13"/>
      <c r="M409" s="19"/>
      <c r="N409" s="13"/>
      <c r="O409" s="19"/>
      <c r="P409" s="13"/>
      <c r="Q409" s="19"/>
      <c r="R409" s="13"/>
      <c r="S409" s="19"/>
      <c r="T409" s="13"/>
      <c r="U409" s="19"/>
      <c r="V409" s="13"/>
      <c r="W409" s="19"/>
      <c r="X409" s="13"/>
      <c r="Y409" s="19"/>
      <c r="Z409" s="13"/>
      <c r="AA409" s="19"/>
      <c r="AB409" s="13"/>
      <c r="AC409" s="19"/>
      <c r="AD409" s="13"/>
      <c r="AE409" s="19"/>
      <c r="AF409" s="13"/>
      <c r="AG409" s="19"/>
      <c r="AH409" s="13"/>
      <c r="AI409" s="19"/>
      <c r="AJ409" s="13"/>
      <c r="AK409" s="19"/>
      <c r="AL409" s="13"/>
      <c r="AM409" s="19"/>
      <c r="AN409" s="13"/>
      <c r="AO409" s="19"/>
      <c r="AP409" s="13"/>
      <c r="AQ409" s="19"/>
      <c r="AR409" s="13"/>
      <c r="AS409" s="614"/>
      <c r="AT409" s="460"/>
      <c r="AU409" s="783"/>
      <c r="AV409" s="460"/>
    </row>
    <row r="410" spans="1:48">
      <c r="A410" s="14"/>
      <c r="B410" s="15"/>
      <c r="C410" s="16"/>
      <c r="D410" s="17"/>
      <c r="E410" s="12"/>
      <c r="F410" s="18"/>
      <c r="G410" s="19"/>
      <c r="H410" s="13"/>
      <c r="I410" s="19"/>
      <c r="J410" s="13"/>
      <c r="K410" s="19"/>
      <c r="L410" s="13"/>
      <c r="M410" s="19"/>
      <c r="N410" s="13"/>
      <c r="O410" s="19"/>
      <c r="P410" s="13"/>
      <c r="Q410" s="19"/>
      <c r="R410" s="13"/>
      <c r="S410" s="19"/>
      <c r="T410" s="13"/>
      <c r="U410" s="19"/>
      <c r="V410" s="13"/>
      <c r="W410" s="19"/>
      <c r="X410" s="13"/>
      <c r="Y410" s="19"/>
      <c r="Z410" s="13"/>
      <c r="AA410" s="19"/>
      <c r="AB410" s="13"/>
      <c r="AC410" s="19"/>
      <c r="AD410" s="13"/>
      <c r="AE410" s="19"/>
      <c r="AF410" s="13"/>
      <c r="AG410" s="19"/>
      <c r="AH410" s="13"/>
      <c r="AI410" s="19"/>
      <c r="AJ410" s="13"/>
      <c r="AK410" s="19"/>
      <c r="AL410" s="13"/>
      <c r="AM410" s="19"/>
      <c r="AN410" s="13"/>
      <c r="AO410" s="19"/>
      <c r="AP410" s="13"/>
      <c r="AQ410" s="19"/>
      <c r="AR410" s="13"/>
      <c r="AS410" s="614"/>
      <c r="AT410" s="460"/>
      <c r="AU410" s="783"/>
      <c r="AV410" s="460"/>
    </row>
    <row r="411" spans="1:48">
      <c r="A411" s="14"/>
      <c r="B411" s="15"/>
      <c r="C411" s="16"/>
      <c r="D411" s="17"/>
      <c r="E411" s="12"/>
      <c r="F411" s="18"/>
      <c r="G411" s="19"/>
      <c r="H411" s="13"/>
      <c r="I411" s="19"/>
      <c r="J411" s="13"/>
      <c r="K411" s="19"/>
      <c r="L411" s="13"/>
      <c r="M411" s="19"/>
      <c r="N411" s="13"/>
      <c r="O411" s="19"/>
      <c r="P411" s="13"/>
      <c r="Q411" s="19"/>
      <c r="R411" s="13"/>
      <c r="S411" s="19"/>
      <c r="T411" s="13"/>
      <c r="U411" s="19"/>
      <c r="V411" s="13"/>
      <c r="W411" s="19"/>
      <c r="X411" s="13"/>
      <c r="Y411" s="19"/>
      <c r="Z411" s="13"/>
      <c r="AA411" s="19"/>
      <c r="AB411" s="13"/>
      <c r="AC411" s="19"/>
      <c r="AD411" s="13"/>
      <c r="AE411" s="19"/>
      <c r="AF411" s="13"/>
      <c r="AG411" s="19"/>
      <c r="AH411" s="13"/>
      <c r="AI411" s="19"/>
      <c r="AJ411" s="13"/>
      <c r="AK411" s="19"/>
      <c r="AL411" s="13"/>
      <c r="AM411" s="19"/>
      <c r="AN411" s="13"/>
      <c r="AO411" s="19"/>
      <c r="AP411" s="13"/>
      <c r="AQ411" s="19"/>
      <c r="AR411" s="13"/>
      <c r="AS411" s="614"/>
      <c r="AT411" s="460"/>
      <c r="AU411" s="783"/>
      <c r="AV411" s="460"/>
    </row>
    <row r="412" spans="1:48">
      <c r="A412" s="14"/>
      <c r="B412" s="15"/>
      <c r="C412" s="16"/>
      <c r="D412" s="17"/>
      <c r="E412" s="12"/>
      <c r="F412" s="18"/>
      <c r="G412" s="19"/>
      <c r="H412" s="13"/>
      <c r="I412" s="19"/>
      <c r="J412" s="13"/>
      <c r="K412" s="19"/>
      <c r="L412" s="13"/>
      <c r="M412" s="19"/>
      <c r="N412" s="13"/>
      <c r="O412" s="19"/>
      <c r="P412" s="13"/>
      <c r="Q412" s="19"/>
      <c r="R412" s="13"/>
      <c r="S412" s="19"/>
      <c r="T412" s="13"/>
      <c r="U412" s="19"/>
      <c r="V412" s="13"/>
      <c r="W412" s="19"/>
      <c r="X412" s="13"/>
      <c r="Y412" s="19"/>
      <c r="Z412" s="13"/>
      <c r="AA412" s="19"/>
      <c r="AB412" s="13"/>
      <c r="AC412" s="19"/>
      <c r="AD412" s="13"/>
      <c r="AE412" s="19"/>
      <c r="AF412" s="13"/>
      <c r="AG412" s="19"/>
      <c r="AH412" s="13"/>
      <c r="AI412" s="19"/>
      <c r="AJ412" s="13"/>
      <c r="AK412" s="19"/>
      <c r="AL412" s="13"/>
      <c r="AM412" s="19"/>
      <c r="AN412" s="13"/>
      <c r="AO412" s="19"/>
      <c r="AP412" s="13"/>
      <c r="AQ412" s="19"/>
      <c r="AR412" s="13"/>
      <c r="AS412" s="614"/>
      <c r="AT412" s="460"/>
      <c r="AU412" s="783"/>
      <c r="AV412" s="460"/>
    </row>
    <row r="413" spans="1:48">
      <c r="A413" s="14"/>
      <c r="B413" s="15"/>
      <c r="C413" s="16"/>
      <c r="D413" s="17"/>
      <c r="E413" s="12"/>
      <c r="F413" s="18"/>
      <c r="G413" s="19"/>
      <c r="H413" s="13"/>
      <c r="I413" s="19"/>
      <c r="J413" s="13"/>
      <c r="K413" s="19"/>
      <c r="L413" s="13"/>
      <c r="M413" s="19"/>
      <c r="N413" s="13"/>
      <c r="O413" s="19"/>
      <c r="P413" s="13"/>
      <c r="Q413" s="19"/>
      <c r="R413" s="13"/>
      <c r="S413" s="19"/>
      <c r="T413" s="13"/>
      <c r="U413" s="19"/>
      <c r="V413" s="13"/>
      <c r="W413" s="19"/>
      <c r="X413" s="13"/>
      <c r="Y413" s="19"/>
      <c r="Z413" s="13"/>
      <c r="AA413" s="19"/>
      <c r="AB413" s="13"/>
      <c r="AC413" s="19"/>
      <c r="AD413" s="13"/>
      <c r="AE413" s="19"/>
      <c r="AF413" s="13"/>
      <c r="AG413" s="19"/>
      <c r="AH413" s="13"/>
      <c r="AI413" s="19"/>
      <c r="AJ413" s="13"/>
      <c r="AK413" s="19"/>
      <c r="AL413" s="13"/>
      <c r="AM413" s="19"/>
      <c r="AN413" s="13"/>
      <c r="AO413" s="19"/>
      <c r="AP413" s="13"/>
      <c r="AQ413" s="19"/>
      <c r="AR413" s="13"/>
      <c r="AS413" s="614"/>
      <c r="AT413" s="460"/>
      <c r="AU413" s="783"/>
      <c r="AV413" s="460"/>
    </row>
    <row r="414" spans="1:48">
      <c r="A414" s="14"/>
      <c r="B414" s="15"/>
      <c r="C414" s="16"/>
      <c r="D414" s="17"/>
      <c r="E414" s="12"/>
      <c r="F414" s="18"/>
      <c r="G414" s="19"/>
      <c r="H414" s="13"/>
      <c r="I414" s="19"/>
      <c r="J414" s="13"/>
      <c r="K414" s="19"/>
      <c r="L414" s="13"/>
      <c r="M414" s="19"/>
      <c r="N414" s="13"/>
      <c r="O414" s="19"/>
      <c r="P414" s="13"/>
      <c r="Q414" s="19"/>
      <c r="R414" s="13"/>
      <c r="S414" s="19"/>
      <c r="T414" s="13"/>
      <c r="U414" s="19"/>
      <c r="V414" s="13"/>
      <c r="W414" s="19"/>
      <c r="X414" s="13"/>
      <c r="Y414" s="19"/>
      <c r="Z414" s="13"/>
      <c r="AA414" s="19"/>
      <c r="AB414" s="13"/>
      <c r="AC414" s="19"/>
      <c r="AD414" s="13"/>
      <c r="AE414" s="19"/>
      <c r="AF414" s="13"/>
      <c r="AG414" s="19"/>
      <c r="AH414" s="13"/>
      <c r="AI414" s="19"/>
      <c r="AJ414" s="13"/>
      <c r="AK414" s="19"/>
      <c r="AL414" s="13"/>
      <c r="AM414" s="19"/>
      <c r="AN414" s="13"/>
      <c r="AO414" s="19"/>
      <c r="AP414" s="13"/>
      <c r="AQ414" s="19"/>
      <c r="AR414" s="13"/>
      <c r="AS414" s="614"/>
      <c r="AT414" s="460"/>
      <c r="AU414" s="783"/>
      <c r="AV414" s="460"/>
    </row>
    <row r="415" spans="1:48">
      <c r="A415" s="14"/>
      <c r="B415" s="15"/>
      <c r="C415" s="16"/>
      <c r="D415" s="17"/>
      <c r="E415" s="12"/>
      <c r="F415" s="18"/>
      <c r="G415" s="19"/>
      <c r="H415" s="13"/>
      <c r="I415" s="19"/>
      <c r="J415" s="13"/>
      <c r="K415" s="19"/>
      <c r="L415" s="13"/>
      <c r="M415" s="19"/>
      <c r="N415" s="13"/>
      <c r="O415" s="19"/>
      <c r="P415" s="13"/>
      <c r="Q415" s="19"/>
      <c r="R415" s="13"/>
      <c r="S415" s="19"/>
      <c r="T415" s="13"/>
      <c r="U415" s="19"/>
      <c r="V415" s="13"/>
      <c r="W415" s="19"/>
      <c r="X415" s="13"/>
      <c r="Y415" s="19"/>
      <c r="Z415" s="13"/>
      <c r="AA415" s="19"/>
      <c r="AB415" s="13"/>
      <c r="AC415" s="19"/>
      <c r="AD415" s="13"/>
      <c r="AE415" s="19"/>
      <c r="AF415" s="13"/>
      <c r="AG415" s="19"/>
      <c r="AH415" s="13"/>
      <c r="AI415" s="19"/>
      <c r="AJ415" s="13"/>
      <c r="AK415" s="19"/>
      <c r="AL415" s="13"/>
      <c r="AM415" s="19"/>
      <c r="AN415" s="13"/>
      <c r="AO415" s="19"/>
      <c r="AP415" s="13"/>
      <c r="AQ415" s="19"/>
      <c r="AR415" s="13"/>
      <c r="AS415" s="614"/>
      <c r="AT415" s="460"/>
      <c r="AU415" s="783"/>
      <c r="AV415" s="460"/>
    </row>
    <row r="416" spans="1:48">
      <c r="A416" s="14"/>
      <c r="B416" s="15"/>
      <c r="C416" s="16"/>
      <c r="D416" s="17"/>
      <c r="E416" s="12"/>
      <c r="F416" s="18"/>
      <c r="G416" s="19"/>
      <c r="H416" s="13"/>
      <c r="I416" s="19"/>
      <c r="J416" s="13"/>
      <c r="K416" s="19"/>
      <c r="L416" s="13"/>
      <c r="M416" s="19"/>
      <c r="N416" s="13"/>
      <c r="O416" s="19"/>
      <c r="P416" s="13"/>
      <c r="Q416" s="19"/>
      <c r="R416" s="13"/>
      <c r="S416" s="19"/>
      <c r="T416" s="13"/>
      <c r="U416" s="19"/>
      <c r="V416" s="13"/>
      <c r="W416" s="19"/>
      <c r="X416" s="13"/>
      <c r="Y416" s="19"/>
      <c r="Z416" s="13"/>
      <c r="AA416" s="19"/>
      <c r="AB416" s="13"/>
      <c r="AC416" s="19"/>
      <c r="AD416" s="13"/>
      <c r="AE416" s="19"/>
      <c r="AF416" s="13"/>
      <c r="AG416" s="19"/>
      <c r="AH416" s="13"/>
      <c r="AI416" s="19"/>
      <c r="AJ416" s="13"/>
      <c r="AK416" s="19"/>
      <c r="AL416" s="13"/>
      <c r="AM416" s="19"/>
      <c r="AN416" s="13"/>
      <c r="AO416" s="19"/>
      <c r="AP416" s="13"/>
      <c r="AQ416" s="19"/>
      <c r="AR416" s="13"/>
      <c r="AS416" s="614"/>
      <c r="AT416" s="460"/>
      <c r="AU416" s="783"/>
      <c r="AV416" s="460"/>
    </row>
    <row r="417" spans="1:48">
      <c r="A417" s="14"/>
      <c r="B417" s="15"/>
      <c r="C417" s="16"/>
      <c r="D417" s="17"/>
      <c r="E417" s="12"/>
      <c r="F417" s="18"/>
      <c r="G417" s="19"/>
      <c r="H417" s="13"/>
      <c r="I417" s="19"/>
      <c r="J417" s="13"/>
      <c r="K417" s="19"/>
      <c r="L417" s="13"/>
      <c r="M417" s="19"/>
      <c r="N417" s="13"/>
      <c r="O417" s="19"/>
      <c r="P417" s="13"/>
      <c r="Q417" s="19"/>
      <c r="R417" s="13"/>
      <c r="S417" s="19"/>
      <c r="T417" s="13"/>
      <c r="U417" s="19"/>
      <c r="V417" s="13"/>
      <c r="W417" s="19"/>
      <c r="X417" s="13"/>
      <c r="Y417" s="19"/>
      <c r="Z417" s="13"/>
      <c r="AA417" s="19"/>
      <c r="AB417" s="13"/>
      <c r="AC417" s="19"/>
      <c r="AD417" s="13"/>
      <c r="AE417" s="19"/>
      <c r="AF417" s="13"/>
      <c r="AG417" s="19"/>
      <c r="AH417" s="13"/>
      <c r="AI417" s="19"/>
      <c r="AJ417" s="13"/>
      <c r="AK417" s="19"/>
      <c r="AL417" s="13"/>
      <c r="AM417" s="19"/>
      <c r="AN417" s="13"/>
      <c r="AO417" s="19"/>
      <c r="AP417" s="13"/>
      <c r="AQ417" s="19"/>
      <c r="AR417" s="13"/>
      <c r="AS417" s="614"/>
      <c r="AT417" s="460"/>
      <c r="AU417" s="783"/>
      <c r="AV417" s="460"/>
    </row>
    <row r="418" spans="1:48">
      <c r="A418" s="14"/>
      <c r="B418" s="15"/>
      <c r="C418" s="16"/>
      <c r="D418" s="17"/>
      <c r="E418" s="12"/>
      <c r="F418" s="18"/>
      <c r="G418" s="19"/>
      <c r="H418" s="13"/>
      <c r="I418" s="19"/>
      <c r="J418" s="13"/>
      <c r="K418" s="19"/>
      <c r="L418" s="13"/>
      <c r="M418" s="19"/>
      <c r="N418" s="13"/>
      <c r="O418" s="19"/>
      <c r="P418" s="13"/>
      <c r="Q418" s="19"/>
      <c r="R418" s="13"/>
      <c r="S418" s="19"/>
      <c r="T418" s="13"/>
      <c r="U418" s="19"/>
      <c r="V418" s="13"/>
      <c r="W418" s="19"/>
      <c r="X418" s="13"/>
      <c r="Y418" s="19"/>
      <c r="Z418" s="13"/>
      <c r="AA418" s="19"/>
      <c r="AB418" s="13"/>
      <c r="AC418" s="19"/>
      <c r="AD418" s="13"/>
      <c r="AE418" s="19"/>
      <c r="AF418" s="13"/>
      <c r="AG418" s="19"/>
      <c r="AH418" s="13"/>
      <c r="AI418" s="19"/>
      <c r="AJ418" s="13"/>
      <c r="AK418" s="19"/>
      <c r="AL418" s="13"/>
      <c r="AM418" s="19"/>
      <c r="AN418" s="13"/>
      <c r="AO418" s="19"/>
      <c r="AP418" s="13"/>
      <c r="AQ418" s="19"/>
      <c r="AR418" s="13"/>
      <c r="AS418" s="614"/>
      <c r="AT418" s="460"/>
      <c r="AU418" s="783"/>
      <c r="AV418" s="460"/>
    </row>
    <row r="419" spans="1:48">
      <c r="A419" s="14"/>
      <c r="B419" s="15"/>
      <c r="C419" s="16"/>
      <c r="D419" s="17"/>
      <c r="E419" s="12"/>
      <c r="F419" s="18"/>
      <c r="G419" s="19"/>
      <c r="H419" s="13"/>
      <c r="I419" s="19"/>
      <c r="J419" s="13"/>
      <c r="K419" s="19"/>
      <c r="L419" s="13"/>
      <c r="M419" s="19"/>
      <c r="N419" s="13"/>
      <c r="O419" s="19"/>
      <c r="P419" s="13"/>
      <c r="Q419" s="19"/>
      <c r="R419" s="13"/>
      <c r="S419" s="19"/>
      <c r="T419" s="13"/>
      <c r="U419" s="19"/>
      <c r="V419" s="13"/>
      <c r="W419" s="19"/>
      <c r="X419" s="13"/>
      <c r="Y419" s="19"/>
      <c r="Z419" s="13"/>
      <c r="AA419" s="19"/>
      <c r="AB419" s="13"/>
      <c r="AC419" s="19"/>
      <c r="AD419" s="13"/>
      <c r="AE419" s="19"/>
      <c r="AF419" s="13"/>
      <c r="AG419" s="19"/>
      <c r="AH419" s="13"/>
      <c r="AI419" s="19"/>
      <c r="AJ419" s="13"/>
      <c r="AK419" s="19"/>
      <c r="AL419" s="13"/>
      <c r="AM419" s="19"/>
      <c r="AN419" s="13"/>
      <c r="AO419" s="19"/>
      <c r="AP419" s="13"/>
      <c r="AQ419" s="19"/>
      <c r="AR419" s="13"/>
      <c r="AS419" s="614"/>
      <c r="AT419" s="460"/>
      <c r="AU419" s="783"/>
      <c r="AV419" s="460"/>
    </row>
    <row r="420" spans="1:48">
      <c r="A420" s="14"/>
      <c r="B420" s="15"/>
      <c r="C420" s="16"/>
      <c r="D420" s="17"/>
      <c r="E420" s="12"/>
      <c r="F420" s="18"/>
      <c r="G420" s="19"/>
      <c r="H420" s="13"/>
      <c r="I420" s="19"/>
      <c r="J420" s="13"/>
      <c r="K420" s="19"/>
      <c r="L420" s="13"/>
      <c r="M420" s="19"/>
      <c r="N420" s="13"/>
      <c r="O420" s="19"/>
      <c r="P420" s="13"/>
      <c r="Q420" s="19"/>
      <c r="R420" s="13"/>
      <c r="S420" s="19"/>
      <c r="T420" s="13"/>
      <c r="U420" s="19"/>
      <c r="V420" s="13"/>
      <c r="W420" s="19"/>
      <c r="X420" s="13"/>
      <c r="Y420" s="19"/>
      <c r="Z420" s="13"/>
      <c r="AA420" s="19"/>
      <c r="AB420" s="13"/>
      <c r="AC420" s="19"/>
      <c r="AD420" s="13"/>
      <c r="AE420" s="19"/>
      <c r="AF420" s="13"/>
      <c r="AG420" s="19"/>
      <c r="AH420" s="13"/>
      <c r="AI420" s="19"/>
      <c r="AJ420" s="13"/>
      <c r="AK420" s="19"/>
      <c r="AL420" s="13"/>
      <c r="AM420" s="19"/>
      <c r="AN420" s="13"/>
      <c r="AO420" s="19"/>
      <c r="AP420" s="13"/>
      <c r="AQ420" s="19"/>
      <c r="AR420" s="13"/>
      <c r="AS420" s="614"/>
      <c r="AT420" s="460"/>
      <c r="AU420" s="783"/>
      <c r="AV420" s="460"/>
    </row>
    <row r="421" spans="1:48">
      <c r="A421" s="14"/>
      <c r="B421" s="15"/>
      <c r="C421" s="16"/>
      <c r="D421" s="17"/>
      <c r="E421" s="12"/>
      <c r="F421" s="18"/>
      <c r="G421" s="19"/>
      <c r="H421" s="13"/>
      <c r="I421" s="19"/>
      <c r="J421" s="13"/>
      <c r="K421" s="19"/>
      <c r="L421" s="13"/>
      <c r="M421" s="19"/>
      <c r="N421" s="13"/>
      <c r="O421" s="19"/>
      <c r="P421" s="13"/>
      <c r="Q421" s="19"/>
      <c r="R421" s="13"/>
      <c r="S421" s="19"/>
      <c r="T421" s="13"/>
      <c r="U421" s="19"/>
      <c r="V421" s="13"/>
      <c r="W421" s="19"/>
      <c r="X421" s="13"/>
      <c r="Y421" s="19"/>
      <c r="Z421" s="13"/>
      <c r="AA421" s="19"/>
      <c r="AB421" s="13"/>
      <c r="AC421" s="19"/>
      <c r="AD421" s="13"/>
      <c r="AE421" s="19"/>
      <c r="AF421" s="13"/>
      <c r="AG421" s="19"/>
      <c r="AH421" s="13"/>
      <c r="AI421" s="19"/>
      <c r="AJ421" s="13"/>
      <c r="AK421" s="19"/>
      <c r="AL421" s="13"/>
      <c r="AM421" s="19"/>
      <c r="AN421" s="13"/>
      <c r="AO421" s="19"/>
      <c r="AP421" s="13"/>
      <c r="AQ421" s="19"/>
      <c r="AR421" s="13"/>
      <c r="AS421" s="614"/>
      <c r="AT421" s="460"/>
      <c r="AU421" s="783"/>
      <c r="AV421" s="460"/>
    </row>
    <row r="422" spans="1:48">
      <c r="A422" s="14"/>
      <c r="B422" s="15"/>
      <c r="C422" s="16"/>
      <c r="D422" s="17"/>
      <c r="E422" s="12"/>
      <c r="F422" s="18"/>
      <c r="G422" s="19"/>
      <c r="H422" s="13"/>
      <c r="I422" s="19"/>
      <c r="J422" s="13"/>
      <c r="K422" s="19"/>
      <c r="L422" s="13"/>
      <c r="M422" s="19"/>
      <c r="N422" s="13"/>
      <c r="O422" s="19"/>
      <c r="P422" s="13"/>
      <c r="Q422" s="19"/>
      <c r="R422" s="13"/>
      <c r="S422" s="19"/>
      <c r="T422" s="13"/>
      <c r="U422" s="19"/>
      <c r="V422" s="13"/>
      <c r="W422" s="19"/>
      <c r="X422" s="13"/>
      <c r="Y422" s="19"/>
      <c r="Z422" s="13"/>
      <c r="AA422" s="19"/>
      <c r="AB422" s="13"/>
      <c r="AC422" s="19"/>
      <c r="AD422" s="13"/>
      <c r="AE422" s="19"/>
      <c r="AF422" s="13"/>
      <c r="AG422" s="19"/>
      <c r="AH422" s="13"/>
      <c r="AI422" s="19"/>
      <c r="AJ422" s="13"/>
      <c r="AK422" s="19"/>
      <c r="AL422" s="13"/>
      <c r="AM422" s="19"/>
      <c r="AN422" s="13"/>
      <c r="AO422" s="19"/>
      <c r="AP422" s="13"/>
      <c r="AQ422" s="19"/>
      <c r="AR422" s="13"/>
      <c r="AS422" s="614"/>
      <c r="AT422" s="460"/>
      <c r="AU422" s="783"/>
      <c r="AV422" s="460"/>
    </row>
    <row r="423" spans="1:48">
      <c r="A423" s="14"/>
      <c r="B423" s="15"/>
      <c r="C423" s="16"/>
      <c r="D423" s="17"/>
      <c r="E423" s="12"/>
      <c r="F423" s="18"/>
      <c r="G423" s="19"/>
      <c r="H423" s="13"/>
      <c r="I423" s="19"/>
      <c r="J423" s="13"/>
      <c r="K423" s="19"/>
      <c r="L423" s="13"/>
      <c r="M423" s="19"/>
      <c r="N423" s="13"/>
      <c r="O423" s="19"/>
      <c r="P423" s="13"/>
      <c r="Q423" s="19"/>
      <c r="R423" s="13"/>
      <c r="S423" s="19"/>
      <c r="T423" s="13"/>
      <c r="U423" s="19"/>
      <c r="V423" s="13"/>
      <c r="W423" s="19"/>
      <c r="X423" s="13"/>
      <c r="Y423" s="19"/>
      <c r="Z423" s="13"/>
      <c r="AA423" s="19"/>
      <c r="AB423" s="13"/>
      <c r="AC423" s="19"/>
      <c r="AD423" s="13"/>
      <c r="AE423" s="19"/>
      <c r="AF423" s="13"/>
      <c r="AG423" s="19"/>
      <c r="AH423" s="13"/>
      <c r="AI423" s="19"/>
      <c r="AJ423" s="13"/>
      <c r="AK423" s="19"/>
      <c r="AL423" s="13"/>
      <c r="AM423" s="19"/>
      <c r="AN423" s="13"/>
      <c r="AO423" s="19"/>
      <c r="AP423" s="13"/>
      <c r="AQ423" s="19"/>
      <c r="AR423" s="13"/>
      <c r="AS423" s="614"/>
      <c r="AT423" s="460"/>
      <c r="AU423" s="783"/>
      <c r="AV423" s="460"/>
    </row>
    <row r="424" spans="1:48">
      <c r="A424" s="14"/>
      <c r="B424" s="15"/>
      <c r="C424" s="16"/>
      <c r="D424" s="17"/>
      <c r="E424" s="12"/>
      <c r="F424" s="18"/>
      <c r="G424" s="19"/>
      <c r="H424" s="13"/>
      <c r="I424" s="19"/>
      <c r="J424" s="13"/>
      <c r="K424" s="19"/>
      <c r="L424" s="13"/>
      <c r="M424" s="19"/>
      <c r="N424" s="13"/>
      <c r="O424" s="19"/>
      <c r="P424" s="13"/>
      <c r="Q424" s="19"/>
      <c r="R424" s="13"/>
      <c r="S424" s="19"/>
      <c r="T424" s="13"/>
      <c r="U424" s="19"/>
      <c r="V424" s="13"/>
      <c r="W424" s="19"/>
      <c r="X424" s="13"/>
      <c r="Y424" s="19"/>
      <c r="Z424" s="13"/>
      <c r="AA424" s="19"/>
      <c r="AB424" s="13"/>
      <c r="AC424" s="19"/>
      <c r="AD424" s="13"/>
      <c r="AE424" s="19"/>
      <c r="AF424" s="13"/>
      <c r="AG424" s="19"/>
      <c r="AH424" s="13"/>
      <c r="AI424" s="19"/>
      <c r="AJ424" s="13"/>
      <c r="AK424" s="19"/>
      <c r="AL424" s="13"/>
      <c r="AM424" s="19"/>
      <c r="AN424" s="13"/>
      <c r="AO424" s="19"/>
      <c r="AP424" s="13"/>
      <c r="AQ424" s="19"/>
      <c r="AR424" s="13"/>
      <c r="AS424" s="614"/>
      <c r="AT424" s="460"/>
      <c r="AU424" s="783"/>
      <c r="AV424" s="460"/>
    </row>
    <row r="425" spans="1:48">
      <c r="A425" s="14"/>
      <c r="B425" s="15"/>
      <c r="C425" s="16"/>
      <c r="D425" s="17"/>
      <c r="E425" s="12"/>
      <c r="F425" s="18"/>
      <c r="G425" s="19"/>
      <c r="H425" s="13"/>
      <c r="I425" s="19"/>
      <c r="J425" s="13"/>
      <c r="K425" s="19"/>
      <c r="L425" s="13"/>
      <c r="M425" s="19"/>
      <c r="N425" s="13"/>
      <c r="O425" s="19"/>
      <c r="P425" s="13"/>
      <c r="Q425" s="19"/>
      <c r="R425" s="13"/>
      <c r="S425" s="19"/>
      <c r="T425" s="13"/>
      <c r="U425" s="19"/>
      <c r="V425" s="13"/>
      <c r="W425" s="19"/>
      <c r="X425" s="13"/>
      <c r="Y425" s="19"/>
      <c r="Z425" s="13"/>
      <c r="AA425" s="19"/>
      <c r="AB425" s="13"/>
      <c r="AC425" s="19"/>
      <c r="AD425" s="13"/>
      <c r="AE425" s="19"/>
      <c r="AF425" s="13"/>
      <c r="AG425" s="19"/>
      <c r="AH425" s="13"/>
      <c r="AI425" s="19"/>
      <c r="AJ425" s="13"/>
      <c r="AK425" s="19"/>
      <c r="AL425" s="13"/>
      <c r="AM425" s="19"/>
      <c r="AN425" s="13"/>
      <c r="AO425" s="19"/>
      <c r="AP425" s="13"/>
      <c r="AQ425" s="19"/>
      <c r="AR425" s="13"/>
      <c r="AS425" s="614"/>
      <c r="AT425" s="460"/>
      <c r="AU425" s="783"/>
      <c r="AV425" s="460"/>
    </row>
    <row r="426" spans="1:48">
      <c r="A426" s="14"/>
      <c r="B426" s="15"/>
      <c r="C426" s="16"/>
      <c r="D426" s="17"/>
      <c r="E426" s="12"/>
      <c r="F426" s="18"/>
      <c r="G426" s="19"/>
      <c r="H426" s="13"/>
      <c r="I426" s="19"/>
      <c r="J426" s="13"/>
      <c r="K426" s="19"/>
      <c r="L426" s="13"/>
      <c r="M426" s="19"/>
      <c r="N426" s="13"/>
      <c r="O426" s="19"/>
      <c r="P426" s="13"/>
      <c r="Q426" s="19"/>
      <c r="R426" s="13"/>
      <c r="S426" s="19"/>
      <c r="T426" s="13"/>
      <c r="U426" s="19"/>
      <c r="V426" s="13"/>
      <c r="W426" s="19"/>
      <c r="X426" s="13"/>
      <c r="Y426" s="19"/>
      <c r="Z426" s="13"/>
      <c r="AA426" s="19"/>
      <c r="AB426" s="13"/>
      <c r="AC426" s="19"/>
      <c r="AD426" s="13"/>
      <c r="AE426" s="19"/>
      <c r="AF426" s="13"/>
      <c r="AG426" s="19"/>
      <c r="AH426" s="13"/>
      <c r="AI426" s="19"/>
      <c r="AJ426" s="13"/>
      <c r="AK426" s="19"/>
      <c r="AL426" s="13"/>
      <c r="AM426" s="19"/>
      <c r="AN426" s="13"/>
      <c r="AO426" s="19"/>
      <c r="AP426" s="13"/>
      <c r="AQ426" s="19"/>
      <c r="AR426" s="13"/>
      <c r="AS426" s="614"/>
      <c r="AT426" s="460"/>
      <c r="AU426" s="783"/>
      <c r="AV426" s="460"/>
    </row>
    <row r="427" spans="1:48">
      <c r="A427" s="14"/>
      <c r="B427" s="15"/>
      <c r="C427" s="16"/>
      <c r="D427" s="17"/>
      <c r="E427" s="12"/>
      <c r="F427" s="18"/>
      <c r="G427" s="19"/>
      <c r="H427" s="13"/>
      <c r="I427" s="19"/>
      <c r="J427" s="13"/>
      <c r="K427" s="19"/>
      <c r="L427" s="13"/>
      <c r="M427" s="19"/>
      <c r="N427" s="13"/>
      <c r="O427" s="19"/>
      <c r="P427" s="13"/>
      <c r="Q427" s="19"/>
      <c r="R427" s="13"/>
      <c r="S427" s="19"/>
      <c r="T427" s="13"/>
      <c r="U427" s="19"/>
      <c r="V427" s="13"/>
      <c r="W427" s="19"/>
      <c r="X427" s="13"/>
      <c r="Y427" s="19"/>
      <c r="Z427" s="13"/>
      <c r="AA427" s="19"/>
      <c r="AB427" s="13"/>
      <c r="AC427" s="19"/>
      <c r="AD427" s="13"/>
      <c r="AE427" s="19"/>
      <c r="AF427" s="13"/>
      <c r="AG427" s="19"/>
      <c r="AH427" s="13"/>
      <c r="AI427" s="19"/>
      <c r="AJ427" s="13"/>
      <c r="AK427" s="19"/>
      <c r="AL427" s="13"/>
      <c r="AM427" s="19"/>
      <c r="AN427" s="13"/>
      <c r="AO427" s="19"/>
      <c r="AP427" s="13"/>
      <c r="AQ427" s="19"/>
      <c r="AR427" s="13"/>
      <c r="AS427" s="614"/>
      <c r="AT427" s="460"/>
      <c r="AU427" s="783"/>
      <c r="AV427" s="460"/>
    </row>
    <row r="428" spans="1:48">
      <c r="A428" s="14"/>
      <c r="B428" s="15"/>
      <c r="C428" s="16"/>
      <c r="D428" s="17"/>
      <c r="E428" s="12"/>
      <c r="F428" s="18"/>
      <c r="G428" s="19"/>
      <c r="H428" s="13"/>
      <c r="I428" s="19"/>
      <c r="J428" s="13"/>
      <c r="K428" s="19"/>
      <c r="L428" s="13"/>
      <c r="M428" s="19"/>
      <c r="N428" s="13"/>
      <c r="O428" s="19"/>
      <c r="P428" s="13"/>
      <c r="Q428" s="19"/>
      <c r="R428" s="13"/>
      <c r="S428" s="19"/>
      <c r="T428" s="13"/>
      <c r="U428" s="19"/>
      <c r="V428" s="13"/>
      <c r="W428" s="19"/>
      <c r="X428" s="13"/>
      <c r="Y428" s="19"/>
      <c r="Z428" s="13"/>
      <c r="AA428" s="19"/>
      <c r="AB428" s="13"/>
      <c r="AC428" s="19"/>
      <c r="AD428" s="13"/>
      <c r="AE428" s="19"/>
      <c r="AF428" s="13"/>
      <c r="AG428" s="19"/>
      <c r="AH428" s="13"/>
      <c r="AI428" s="19"/>
      <c r="AJ428" s="13"/>
      <c r="AK428" s="19"/>
      <c r="AL428" s="13"/>
      <c r="AM428" s="19"/>
      <c r="AN428" s="13"/>
      <c r="AO428" s="19"/>
      <c r="AP428" s="13"/>
      <c r="AQ428" s="19"/>
      <c r="AR428" s="13"/>
      <c r="AS428" s="614"/>
      <c r="AT428" s="460"/>
      <c r="AU428" s="783"/>
      <c r="AV428" s="460"/>
    </row>
    <row r="429" spans="1:48">
      <c r="A429" s="14"/>
      <c r="B429" s="15"/>
      <c r="C429" s="16"/>
      <c r="D429" s="17"/>
      <c r="E429" s="12"/>
      <c r="F429" s="18"/>
      <c r="G429" s="19"/>
      <c r="H429" s="13"/>
      <c r="I429" s="19"/>
      <c r="J429" s="13"/>
      <c r="K429" s="19"/>
      <c r="L429" s="13"/>
      <c r="M429" s="19"/>
      <c r="N429" s="13"/>
      <c r="O429" s="19"/>
      <c r="P429" s="13"/>
      <c r="Q429" s="19"/>
      <c r="R429" s="13"/>
      <c r="S429" s="19"/>
      <c r="T429" s="13"/>
      <c r="U429" s="19"/>
      <c r="V429" s="13"/>
      <c r="W429" s="19"/>
      <c r="X429" s="13"/>
      <c r="Y429" s="19"/>
      <c r="Z429" s="13"/>
      <c r="AA429" s="19"/>
      <c r="AB429" s="13"/>
      <c r="AC429" s="19"/>
      <c r="AD429" s="13"/>
      <c r="AE429" s="19"/>
      <c r="AF429" s="13"/>
      <c r="AG429" s="19"/>
      <c r="AH429" s="13"/>
      <c r="AI429" s="19"/>
      <c r="AJ429" s="13"/>
      <c r="AK429" s="19"/>
      <c r="AL429" s="13"/>
      <c r="AM429" s="19"/>
      <c r="AN429" s="13"/>
      <c r="AO429" s="19"/>
      <c r="AP429" s="13"/>
      <c r="AQ429" s="19"/>
      <c r="AR429" s="13"/>
      <c r="AS429" s="614"/>
      <c r="AT429" s="460"/>
      <c r="AU429" s="783"/>
      <c r="AV429" s="460"/>
    </row>
    <row r="430" spans="1:48">
      <c r="A430" s="14"/>
      <c r="B430" s="15"/>
      <c r="C430" s="16"/>
      <c r="D430" s="17"/>
      <c r="E430" s="12"/>
      <c r="F430" s="18"/>
      <c r="G430" s="19"/>
      <c r="H430" s="13"/>
      <c r="I430" s="19"/>
      <c r="J430" s="13"/>
      <c r="K430" s="19"/>
      <c r="L430" s="13"/>
      <c r="M430" s="19"/>
      <c r="N430" s="13"/>
      <c r="O430" s="19"/>
      <c r="P430" s="13"/>
      <c r="Q430" s="19"/>
      <c r="R430" s="13"/>
      <c r="S430" s="19"/>
      <c r="T430" s="13"/>
      <c r="U430" s="19"/>
      <c r="V430" s="13"/>
      <c r="W430" s="19"/>
      <c r="X430" s="13"/>
      <c r="Y430" s="19"/>
      <c r="Z430" s="13"/>
      <c r="AA430" s="19"/>
      <c r="AB430" s="13"/>
      <c r="AC430" s="19"/>
      <c r="AD430" s="13"/>
      <c r="AE430" s="19"/>
      <c r="AF430" s="13"/>
      <c r="AG430" s="19"/>
      <c r="AH430" s="13"/>
      <c r="AI430" s="19"/>
      <c r="AJ430" s="13"/>
      <c r="AK430" s="19"/>
      <c r="AL430" s="13"/>
      <c r="AM430" s="19"/>
      <c r="AN430" s="13"/>
      <c r="AO430" s="19"/>
      <c r="AP430" s="13"/>
      <c r="AQ430" s="19"/>
      <c r="AR430" s="13"/>
      <c r="AS430" s="614"/>
      <c r="AT430" s="460"/>
      <c r="AU430" s="783"/>
      <c r="AV430" s="460"/>
    </row>
    <row r="431" spans="1:48">
      <c r="A431" s="14"/>
      <c r="B431" s="15"/>
      <c r="C431" s="16"/>
      <c r="D431" s="17"/>
      <c r="E431" s="12"/>
      <c r="F431" s="18"/>
      <c r="G431" s="19"/>
      <c r="H431" s="13"/>
      <c r="I431" s="19"/>
      <c r="J431" s="13"/>
      <c r="K431" s="19"/>
      <c r="L431" s="13"/>
      <c r="M431" s="19"/>
      <c r="N431" s="13"/>
      <c r="O431" s="19"/>
      <c r="P431" s="13"/>
      <c r="Q431" s="19"/>
      <c r="R431" s="13"/>
      <c r="S431" s="19"/>
      <c r="T431" s="13"/>
      <c r="U431" s="19"/>
      <c r="V431" s="13"/>
      <c r="W431" s="19"/>
      <c r="X431" s="13"/>
      <c r="Y431" s="19"/>
      <c r="Z431" s="13"/>
      <c r="AA431" s="19"/>
      <c r="AB431" s="13"/>
      <c r="AC431" s="19"/>
      <c r="AD431" s="13"/>
      <c r="AE431" s="19"/>
      <c r="AF431" s="13"/>
      <c r="AG431" s="19"/>
      <c r="AH431" s="13"/>
      <c r="AI431" s="19"/>
      <c r="AJ431" s="13"/>
      <c r="AK431" s="19"/>
      <c r="AL431" s="13"/>
      <c r="AM431" s="19"/>
      <c r="AN431" s="13"/>
      <c r="AO431" s="19"/>
      <c r="AP431" s="13"/>
      <c r="AQ431" s="19"/>
      <c r="AR431" s="13"/>
      <c r="AS431" s="614"/>
      <c r="AT431" s="460"/>
      <c r="AU431" s="783"/>
      <c r="AV431" s="460"/>
    </row>
    <row r="432" spans="1:48">
      <c r="A432" s="14"/>
      <c r="B432" s="15"/>
      <c r="C432" s="16"/>
      <c r="D432" s="17"/>
      <c r="E432" s="12"/>
      <c r="F432" s="18"/>
      <c r="G432" s="19"/>
      <c r="H432" s="13"/>
      <c r="I432" s="19"/>
      <c r="J432" s="13"/>
      <c r="K432" s="19"/>
      <c r="L432" s="13"/>
      <c r="M432" s="19"/>
      <c r="N432" s="13"/>
      <c r="O432" s="19"/>
      <c r="P432" s="13"/>
      <c r="Q432" s="19"/>
      <c r="R432" s="13"/>
      <c r="S432" s="19"/>
      <c r="T432" s="13"/>
      <c r="U432" s="19"/>
      <c r="V432" s="13"/>
      <c r="W432" s="19"/>
      <c r="X432" s="13"/>
      <c r="Y432" s="19"/>
      <c r="Z432" s="13"/>
      <c r="AA432" s="19"/>
      <c r="AB432" s="13"/>
      <c r="AC432" s="19"/>
      <c r="AD432" s="13"/>
      <c r="AE432" s="19"/>
      <c r="AF432" s="13"/>
      <c r="AG432" s="19"/>
      <c r="AH432" s="13"/>
      <c r="AI432" s="19"/>
      <c r="AJ432" s="13"/>
      <c r="AK432" s="19"/>
      <c r="AL432" s="13"/>
      <c r="AM432" s="19"/>
      <c r="AN432" s="13"/>
      <c r="AO432" s="19"/>
      <c r="AP432" s="13"/>
      <c r="AQ432" s="19"/>
      <c r="AR432" s="13"/>
      <c r="AS432" s="614"/>
      <c r="AT432" s="460"/>
      <c r="AU432" s="783"/>
      <c r="AV432" s="460"/>
    </row>
    <row r="433" spans="1:48">
      <c r="A433" s="14"/>
      <c r="B433" s="15"/>
      <c r="C433" s="16"/>
      <c r="D433" s="17"/>
      <c r="E433" s="12"/>
      <c r="F433" s="18"/>
      <c r="G433" s="19"/>
      <c r="H433" s="13"/>
      <c r="I433" s="19"/>
      <c r="J433" s="13"/>
      <c r="K433" s="19"/>
      <c r="L433" s="13"/>
      <c r="M433" s="19"/>
      <c r="N433" s="13"/>
      <c r="O433" s="19"/>
      <c r="P433" s="13"/>
      <c r="Q433" s="19"/>
      <c r="R433" s="13"/>
      <c r="S433" s="19"/>
      <c r="T433" s="13"/>
      <c r="U433" s="19"/>
      <c r="V433" s="13"/>
      <c r="W433" s="19"/>
      <c r="X433" s="13"/>
      <c r="Y433" s="19"/>
      <c r="Z433" s="13"/>
      <c r="AA433" s="19"/>
      <c r="AB433" s="13"/>
      <c r="AC433" s="19"/>
      <c r="AD433" s="13"/>
      <c r="AE433" s="19"/>
      <c r="AF433" s="13"/>
      <c r="AG433" s="19"/>
      <c r="AH433" s="13"/>
      <c r="AI433" s="19"/>
      <c r="AJ433" s="13"/>
      <c r="AK433" s="19"/>
      <c r="AL433" s="13"/>
      <c r="AM433" s="19"/>
      <c r="AN433" s="13"/>
      <c r="AO433" s="19"/>
      <c r="AP433" s="13"/>
      <c r="AQ433" s="19"/>
      <c r="AR433" s="13"/>
      <c r="AS433" s="614"/>
      <c r="AT433" s="460"/>
      <c r="AU433" s="783"/>
      <c r="AV433" s="460"/>
    </row>
    <row r="434" spans="1:48">
      <c r="A434" s="14"/>
      <c r="B434" s="15"/>
      <c r="C434" s="16"/>
      <c r="D434" s="17"/>
      <c r="E434" s="12"/>
      <c r="F434" s="18"/>
      <c r="G434" s="19"/>
      <c r="H434" s="13"/>
      <c r="I434" s="19"/>
      <c r="J434" s="13"/>
      <c r="K434" s="19"/>
      <c r="L434" s="13"/>
      <c r="M434" s="19"/>
      <c r="N434" s="13"/>
      <c r="O434" s="19"/>
      <c r="P434" s="13"/>
      <c r="Q434" s="19"/>
      <c r="R434" s="13"/>
      <c r="S434" s="19"/>
      <c r="T434" s="13"/>
      <c r="U434" s="19"/>
      <c r="V434" s="13"/>
      <c r="W434" s="19"/>
      <c r="X434" s="13"/>
      <c r="Y434" s="19"/>
      <c r="Z434" s="13"/>
      <c r="AA434" s="19"/>
      <c r="AB434" s="13"/>
      <c r="AC434" s="19"/>
      <c r="AD434" s="13"/>
      <c r="AE434" s="19"/>
      <c r="AF434" s="13"/>
      <c r="AG434" s="19"/>
      <c r="AH434" s="13"/>
      <c r="AI434" s="19"/>
      <c r="AJ434" s="13"/>
      <c r="AK434" s="19"/>
      <c r="AL434" s="13"/>
      <c r="AM434" s="19"/>
      <c r="AN434" s="13"/>
      <c r="AO434" s="19"/>
      <c r="AP434" s="13"/>
      <c r="AQ434" s="19"/>
      <c r="AR434" s="13"/>
      <c r="AS434" s="614"/>
      <c r="AT434" s="460"/>
      <c r="AU434" s="783"/>
      <c r="AV434" s="460"/>
    </row>
    <row r="435" spans="1:48">
      <c r="A435" s="14"/>
      <c r="B435" s="15"/>
      <c r="C435" s="16"/>
      <c r="D435" s="17"/>
      <c r="E435" s="12"/>
      <c r="F435" s="18"/>
      <c r="G435" s="19"/>
      <c r="H435" s="13"/>
      <c r="I435" s="19"/>
      <c r="J435" s="13"/>
      <c r="K435" s="19"/>
      <c r="L435" s="13"/>
      <c r="M435" s="19"/>
      <c r="N435" s="13"/>
      <c r="O435" s="19"/>
      <c r="P435" s="13"/>
      <c r="Q435" s="19"/>
      <c r="R435" s="13"/>
      <c r="S435" s="19"/>
      <c r="T435" s="13"/>
      <c r="U435" s="19"/>
      <c r="V435" s="13"/>
      <c r="W435" s="19"/>
      <c r="X435" s="13"/>
      <c r="Y435" s="19"/>
      <c r="Z435" s="13"/>
      <c r="AA435" s="19"/>
      <c r="AB435" s="13"/>
      <c r="AC435" s="19"/>
      <c r="AD435" s="13"/>
      <c r="AE435" s="19"/>
      <c r="AF435" s="13"/>
      <c r="AG435" s="19"/>
      <c r="AH435" s="13"/>
      <c r="AI435" s="19"/>
      <c r="AJ435" s="13"/>
      <c r="AK435" s="19"/>
      <c r="AL435" s="13"/>
      <c r="AM435" s="19"/>
      <c r="AN435" s="13"/>
      <c r="AO435" s="19"/>
      <c r="AP435" s="13"/>
      <c r="AQ435" s="19"/>
      <c r="AR435" s="13"/>
      <c r="AS435" s="614"/>
      <c r="AT435" s="460"/>
      <c r="AU435" s="783"/>
      <c r="AV435" s="460"/>
    </row>
    <row r="436" spans="1:48">
      <c r="A436" s="14"/>
      <c r="B436" s="15"/>
      <c r="C436" s="16"/>
      <c r="D436" s="17"/>
      <c r="E436" s="12"/>
      <c r="F436" s="18"/>
      <c r="G436" s="19"/>
      <c r="H436" s="13"/>
      <c r="I436" s="19"/>
      <c r="J436" s="13"/>
      <c r="K436" s="19"/>
      <c r="L436" s="13"/>
      <c r="M436" s="19"/>
      <c r="N436" s="13"/>
      <c r="O436" s="19"/>
      <c r="P436" s="13"/>
      <c r="Q436" s="19"/>
      <c r="R436" s="13"/>
      <c r="S436" s="19"/>
      <c r="T436" s="13"/>
      <c r="U436" s="19"/>
      <c r="V436" s="13"/>
      <c r="W436" s="19"/>
      <c r="X436" s="13"/>
      <c r="Y436" s="19"/>
      <c r="Z436" s="13"/>
      <c r="AA436" s="19"/>
      <c r="AB436" s="13"/>
      <c r="AC436" s="19"/>
      <c r="AD436" s="13"/>
      <c r="AE436" s="19"/>
      <c r="AF436" s="13"/>
      <c r="AG436" s="19"/>
      <c r="AH436" s="13"/>
      <c r="AI436" s="19"/>
      <c r="AJ436" s="13"/>
      <c r="AK436" s="19"/>
      <c r="AL436" s="13"/>
      <c r="AM436" s="19"/>
      <c r="AN436" s="13"/>
      <c r="AO436" s="19"/>
      <c r="AP436" s="13"/>
      <c r="AQ436" s="19"/>
      <c r="AR436" s="13"/>
      <c r="AS436" s="614"/>
      <c r="AT436" s="460"/>
      <c r="AU436" s="783"/>
      <c r="AV436" s="460"/>
    </row>
    <row r="437" spans="1:48">
      <c r="A437" s="14"/>
      <c r="B437" s="15"/>
      <c r="C437" s="16"/>
      <c r="D437" s="17"/>
      <c r="E437" s="12"/>
      <c r="F437" s="18"/>
      <c r="G437" s="19"/>
      <c r="H437" s="13"/>
      <c r="I437" s="19"/>
      <c r="J437" s="13"/>
      <c r="K437" s="19"/>
      <c r="L437" s="13"/>
      <c r="M437" s="19"/>
      <c r="N437" s="13"/>
      <c r="O437" s="19"/>
      <c r="P437" s="13"/>
      <c r="Q437" s="19"/>
      <c r="R437" s="13"/>
      <c r="S437" s="19"/>
      <c r="T437" s="13"/>
      <c r="U437" s="19"/>
      <c r="V437" s="13"/>
      <c r="W437" s="19"/>
      <c r="X437" s="13"/>
      <c r="Y437" s="19"/>
      <c r="Z437" s="13"/>
      <c r="AA437" s="19"/>
      <c r="AB437" s="13"/>
      <c r="AC437" s="19"/>
      <c r="AD437" s="13"/>
      <c r="AE437" s="19"/>
      <c r="AF437" s="13"/>
      <c r="AG437" s="19"/>
      <c r="AH437" s="13"/>
      <c r="AI437" s="19"/>
      <c r="AJ437" s="13"/>
      <c r="AK437" s="19"/>
      <c r="AL437" s="13"/>
      <c r="AM437" s="19"/>
      <c r="AN437" s="13"/>
      <c r="AO437" s="19"/>
      <c r="AP437" s="13"/>
      <c r="AQ437" s="19"/>
      <c r="AR437" s="13"/>
      <c r="AS437" s="614"/>
      <c r="AT437" s="460"/>
      <c r="AU437" s="783"/>
      <c r="AV437" s="460"/>
    </row>
    <row r="438" spans="1:48">
      <c r="A438" s="14"/>
      <c r="B438" s="15"/>
      <c r="C438" s="16"/>
      <c r="D438" s="17"/>
      <c r="E438" s="12"/>
      <c r="F438" s="18"/>
      <c r="G438" s="19"/>
      <c r="H438" s="13"/>
      <c r="I438" s="19"/>
      <c r="J438" s="13"/>
      <c r="K438" s="19"/>
      <c r="L438" s="13"/>
      <c r="M438" s="19"/>
      <c r="N438" s="13"/>
      <c r="O438" s="19"/>
      <c r="P438" s="13"/>
      <c r="Q438" s="19"/>
      <c r="R438" s="13"/>
      <c r="S438" s="19"/>
      <c r="T438" s="13"/>
      <c r="U438" s="19"/>
      <c r="V438" s="13"/>
      <c r="W438" s="19"/>
      <c r="X438" s="13"/>
      <c r="Y438" s="19"/>
      <c r="Z438" s="13"/>
      <c r="AA438" s="19"/>
      <c r="AB438" s="13"/>
      <c r="AC438" s="19"/>
      <c r="AD438" s="13"/>
      <c r="AE438" s="19"/>
      <c r="AF438" s="13"/>
      <c r="AG438" s="19"/>
      <c r="AH438" s="13"/>
      <c r="AI438" s="19"/>
      <c r="AJ438" s="13"/>
      <c r="AK438" s="19"/>
      <c r="AL438" s="13"/>
      <c r="AM438" s="19"/>
      <c r="AN438" s="13"/>
      <c r="AO438" s="19"/>
      <c r="AP438" s="13"/>
      <c r="AQ438" s="19"/>
      <c r="AR438" s="13"/>
      <c r="AS438" s="614"/>
      <c r="AT438" s="460"/>
      <c r="AU438" s="783"/>
      <c r="AV438" s="460"/>
    </row>
    <row r="439" spans="1:48">
      <c r="A439" s="14"/>
      <c r="B439" s="15"/>
      <c r="C439" s="16"/>
      <c r="D439" s="17"/>
      <c r="E439" s="12"/>
      <c r="F439" s="18"/>
      <c r="G439" s="19"/>
      <c r="H439" s="13"/>
      <c r="I439" s="19"/>
      <c r="J439" s="13"/>
      <c r="K439" s="19"/>
      <c r="L439" s="13"/>
      <c r="M439" s="19"/>
      <c r="N439" s="13"/>
      <c r="O439" s="19"/>
      <c r="P439" s="13"/>
      <c r="Q439" s="19"/>
      <c r="R439" s="13"/>
      <c r="S439" s="19"/>
      <c r="T439" s="13"/>
      <c r="U439" s="19"/>
      <c r="V439" s="13"/>
      <c r="W439" s="19"/>
      <c r="X439" s="13"/>
      <c r="Y439" s="19"/>
      <c r="Z439" s="13"/>
      <c r="AA439" s="19"/>
      <c r="AB439" s="13"/>
      <c r="AC439" s="19"/>
      <c r="AD439" s="13"/>
      <c r="AE439" s="19"/>
      <c r="AF439" s="13"/>
      <c r="AG439" s="19"/>
      <c r="AH439" s="13"/>
      <c r="AI439" s="19"/>
      <c r="AJ439" s="13"/>
      <c r="AK439" s="19"/>
      <c r="AL439" s="13"/>
      <c r="AM439" s="19"/>
      <c r="AN439" s="13"/>
      <c r="AO439" s="19"/>
      <c r="AP439" s="13"/>
      <c r="AQ439" s="19"/>
      <c r="AR439" s="13"/>
      <c r="AS439" s="614"/>
      <c r="AT439" s="460"/>
      <c r="AU439" s="783"/>
      <c r="AV439" s="460"/>
    </row>
    <row r="440" spans="1:48">
      <c r="A440" s="14"/>
      <c r="B440" s="15"/>
      <c r="C440" s="16"/>
      <c r="D440" s="17"/>
      <c r="E440" s="12"/>
      <c r="F440" s="18"/>
      <c r="G440" s="19"/>
      <c r="H440" s="13"/>
      <c r="I440" s="19"/>
      <c r="J440" s="13"/>
      <c r="K440" s="19"/>
      <c r="L440" s="13"/>
      <c r="M440" s="19"/>
      <c r="N440" s="13"/>
      <c r="O440" s="19"/>
      <c r="P440" s="13"/>
      <c r="Q440" s="19"/>
      <c r="R440" s="13"/>
      <c r="S440" s="19"/>
      <c r="T440" s="13"/>
      <c r="U440" s="19"/>
      <c r="V440" s="13"/>
      <c r="W440" s="19"/>
      <c r="X440" s="13"/>
      <c r="Y440" s="19"/>
      <c r="Z440" s="13"/>
      <c r="AA440" s="19"/>
      <c r="AB440" s="13"/>
      <c r="AC440" s="19"/>
      <c r="AD440" s="13"/>
      <c r="AE440" s="19"/>
      <c r="AF440" s="13"/>
      <c r="AG440" s="19"/>
      <c r="AH440" s="13"/>
      <c r="AI440" s="19"/>
      <c r="AJ440" s="13"/>
      <c r="AK440" s="19"/>
      <c r="AL440" s="13"/>
      <c r="AM440" s="19"/>
      <c r="AN440" s="13"/>
      <c r="AO440" s="19"/>
      <c r="AP440" s="13"/>
      <c r="AQ440" s="19"/>
      <c r="AR440" s="13"/>
      <c r="AS440" s="614"/>
      <c r="AT440" s="460"/>
      <c r="AU440" s="783"/>
      <c r="AV440" s="460"/>
    </row>
    <row r="441" spans="1:48">
      <c r="A441" s="14"/>
      <c r="B441" s="15"/>
      <c r="C441" s="16"/>
      <c r="D441" s="17"/>
      <c r="E441" s="12"/>
      <c r="F441" s="18"/>
      <c r="G441" s="19"/>
      <c r="H441" s="13"/>
      <c r="I441" s="19"/>
      <c r="J441" s="13"/>
      <c r="K441" s="19"/>
      <c r="L441" s="13"/>
      <c r="M441" s="19"/>
      <c r="N441" s="13"/>
      <c r="O441" s="19"/>
      <c r="P441" s="13"/>
      <c r="Q441" s="19"/>
      <c r="R441" s="13"/>
      <c r="S441" s="19"/>
      <c r="T441" s="13"/>
      <c r="U441" s="19"/>
      <c r="V441" s="13"/>
      <c r="W441" s="19"/>
      <c r="X441" s="13"/>
      <c r="Y441" s="19"/>
      <c r="Z441" s="13"/>
      <c r="AA441" s="19"/>
      <c r="AB441" s="13"/>
      <c r="AC441" s="19"/>
      <c r="AD441" s="13"/>
      <c r="AE441" s="19"/>
      <c r="AF441" s="13"/>
      <c r="AG441" s="19"/>
      <c r="AH441" s="13"/>
      <c r="AI441" s="19"/>
      <c r="AJ441" s="13"/>
      <c r="AK441" s="19"/>
      <c r="AL441" s="13"/>
      <c r="AM441" s="19"/>
      <c r="AN441" s="13"/>
      <c r="AO441" s="19"/>
      <c r="AP441" s="13"/>
      <c r="AQ441" s="19"/>
      <c r="AR441" s="13"/>
      <c r="AS441" s="614"/>
      <c r="AT441" s="460"/>
      <c r="AU441" s="783"/>
      <c r="AV441" s="460"/>
    </row>
    <row r="442" spans="1:48">
      <c r="A442" s="14"/>
      <c r="B442" s="15"/>
      <c r="C442" s="16"/>
      <c r="D442" s="17"/>
      <c r="E442" s="12"/>
      <c r="F442" s="18"/>
      <c r="G442" s="19"/>
      <c r="H442" s="13"/>
      <c r="I442" s="19"/>
      <c r="J442" s="13"/>
      <c r="K442" s="19"/>
      <c r="L442" s="13"/>
      <c r="M442" s="19"/>
      <c r="N442" s="13"/>
      <c r="O442" s="19"/>
      <c r="P442" s="13"/>
      <c r="Q442" s="19"/>
      <c r="R442" s="13"/>
      <c r="S442" s="19"/>
      <c r="T442" s="13"/>
      <c r="U442" s="19"/>
      <c r="V442" s="13"/>
      <c r="W442" s="19"/>
      <c r="X442" s="13"/>
      <c r="Y442" s="19"/>
      <c r="Z442" s="13"/>
      <c r="AA442" s="19"/>
      <c r="AB442" s="13"/>
      <c r="AC442" s="19"/>
      <c r="AD442" s="13"/>
      <c r="AE442" s="19"/>
      <c r="AF442" s="13"/>
      <c r="AG442" s="19"/>
      <c r="AH442" s="13"/>
      <c r="AI442" s="19"/>
      <c r="AJ442" s="13"/>
      <c r="AK442" s="19"/>
      <c r="AL442" s="13"/>
      <c r="AM442" s="19"/>
      <c r="AN442" s="13"/>
      <c r="AO442" s="19"/>
      <c r="AP442" s="13"/>
      <c r="AQ442" s="19"/>
      <c r="AR442" s="13"/>
      <c r="AS442" s="614"/>
      <c r="AT442" s="460"/>
      <c r="AU442" s="783"/>
      <c r="AV442" s="460"/>
    </row>
    <row r="443" spans="1:48">
      <c r="A443" s="14"/>
      <c r="B443" s="15"/>
      <c r="C443" s="16"/>
      <c r="D443" s="17"/>
      <c r="E443" s="12"/>
      <c r="F443" s="18"/>
      <c r="G443" s="19"/>
      <c r="H443" s="13"/>
      <c r="I443" s="19"/>
      <c r="J443" s="13"/>
      <c r="K443" s="19"/>
      <c r="L443" s="13"/>
      <c r="M443" s="19"/>
      <c r="N443" s="13"/>
      <c r="O443" s="19"/>
      <c r="P443" s="13"/>
      <c r="Q443" s="19"/>
      <c r="R443" s="13"/>
      <c r="S443" s="19"/>
      <c r="T443" s="13"/>
      <c r="U443" s="19"/>
      <c r="V443" s="13"/>
      <c r="W443" s="19"/>
      <c r="X443" s="13"/>
      <c r="Y443" s="19"/>
      <c r="Z443" s="13"/>
      <c r="AA443" s="19"/>
      <c r="AB443" s="13"/>
      <c r="AC443" s="19"/>
      <c r="AD443" s="13"/>
      <c r="AE443" s="19"/>
      <c r="AF443" s="13"/>
      <c r="AG443" s="19"/>
      <c r="AH443" s="13"/>
      <c r="AI443" s="19"/>
      <c r="AJ443" s="13"/>
      <c r="AK443" s="19"/>
      <c r="AL443" s="13"/>
      <c r="AM443" s="19"/>
      <c r="AN443" s="13"/>
      <c r="AO443" s="19"/>
      <c r="AP443" s="13"/>
      <c r="AQ443" s="19"/>
      <c r="AR443" s="13"/>
      <c r="AS443" s="614"/>
      <c r="AT443" s="460"/>
      <c r="AU443" s="783"/>
      <c r="AV443" s="460"/>
    </row>
    <row r="444" spans="1:48">
      <c r="A444" s="14"/>
      <c r="B444" s="15"/>
      <c r="C444" s="16"/>
      <c r="D444" s="17"/>
      <c r="E444" s="12"/>
      <c r="F444" s="18"/>
      <c r="G444" s="19"/>
      <c r="H444" s="13"/>
      <c r="I444" s="19"/>
      <c r="J444" s="13"/>
      <c r="K444" s="19"/>
      <c r="L444" s="13"/>
      <c r="M444" s="19"/>
      <c r="N444" s="13"/>
      <c r="O444" s="19"/>
      <c r="P444" s="13"/>
      <c r="Q444" s="19"/>
      <c r="R444" s="13"/>
      <c r="S444" s="19"/>
      <c r="T444" s="13"/>
      <c r="U444" s="19"/>
      <c r="V444" s="13"/>
      <c r="W444" s="19"/>
      <c r="X444" s="13"/>
      <c r="Y444" s="19"/>
      <c r="Z444" s="13"/>
      <c r="AA444" s="19"/>
      <c r="AB444" s="13"/>
      <c r="AC444" s="19"/>
      <c r="AD444" s="13"/>
      <c r="AE444" s="19"/>
      <c r="AF444" s="13"/>
      <c r="AG444" s="19"/>
      <c r="AH444" s="13"/>
      <c r="AI444" s="19"/>
      <c r="AJ444" s="13"/>
      <c r="AK444" s="19"/>
      <c r="AL444" s="13"/>
      <c r="AM444" s="19"/>
      <c r="AN444" s="13"/>
      <c r="AO444" s="19"/>
      <c r="AP444" s="13"/>
      <c r="AQ444" s="19"/>
      <c r="AR444" s="13"/>
      <c r="AS444" s="614"/>
      <c r="AT444" s="460"/>
      <c r="AU444" s="783"/>
      <c r="AV444" s="460"/>
    </row>
    <row r="445" spans="1:48">
      <c r="A445" s="14"/>
      <c r="B445" s="15"/>
      <c r="C445" s="16"/>
      <c r="D445" s="17"/>
      <c r="E445" s="12"/>
      <c r="F445" s="18"/>
      <c r="G445" s="19"/>
      <c r="H445" s="13"/>
      <c r="I445" s="19"/>
      <c r="J445" s="13"/>
      <c r="K445" s="19"/>
      <c r="L445" s="13"/>
      <c r="M445" s="19"/>
      <c r="N445" s="13"/>
      <c r="O445" s="19"/>
      <c r="P445" s="13"/>
      <c r="Q445" s="19"/>
      <c r="R445" s="13"/>
      <c r="S445" s="19"/>
      <c r="T445" s="13"/>
      <c r="U445" s="19"/>
      <c r="V445" s="13"/>
      <c r="W445" s="19"/>
      <c r="X445" s="13"/>
      <c r="Y445" s="19"/>
      <c r="Z445" s="13"/>
      <c r="AA445" s="19"/>
      <c r="AB445" s="13"/>
      <c r="AC445" s="19"/>
      <c r="AD445" s="13"/>
      <c r="AE445" s="19"/>
      <c r="AF445" s="13"/>
      <c r="AG445" s="19"/>
      <c r="AH445" s="13"/>
      <c r="AI445" s="19"/>
      <c r="AJ445" s="13"/>
      <c r="AK445" s="19"/>
      <c r="AL445" s="13"/>
      <c r="AM445" s="19"/>
      <c r="AN445" s="13"/>
      <c r="AO445" s="19"/>
      <c r="AP445" s="13"/>
      <c r="AQ445" s="19"/>
      <c r="AR445" s="13"/>
      <c r="AS445" s="614"/>
      <c r="AT445" s="460"/>
      <c r="AU445" s="783"/>
      <c r="AV445" s="460"/>
    </row>
    <row r="446" spans="1:48">
      <c r="A446" s="14"/>
      <c r="B446" s="15"/>
      <c r="C446" s="16"/>
      <c r="D446" s="17"/>
      <c r="E446" s="12"/>
      <c r="F446" s="18"/>
      <c r="G446" s="19"/>
      <c r="H446" s="13"/>
      <c r="I446" s="19"/>
      <c r="J446" s="13"/>
      <c r="K446" s="19"/>
      <c r="L446" s="13"/>
      <c r="M446" s="19"/>
      <c r="N446" s="13"/>
      <c r="O446" s="19"/>
      <c r="P446" s="13"/>
      <c r="Q446" s="19"/>
      <c r="R446" s="13"/>
      <c r="S446" s="19"/>
      <c r="T446" s="13"/>
      <c r="U446" s="19"/>
      <c r="V446" s="13"/>
      <c r="W446" s="19"/>
      <c r="X446" s="13"/>
      <c r="Y446" s="19"/>
      <c r="Z446" s="13"/>
      <c r="AA446" s="19"/>
      <c r="AB446" s="13"/>
      <c r="AC446" s="19"/>
      <c r="AD446" s="13"/>
      <c r="AE446" s="19"/>
      <c r="AF446" s="13"/>
      <c r="AG446" s="19"/>
      <c r="AH446" s="13"/>
      <c r="AI446" s="19"/>
      <c r="AJ446" s="13"/>
      <c r="AK446" s="19"/>
      <c r="AL446" s="13"/>
      <c r="AM446" s="19"/>
      <c r="AN446" s="13"/>
      <c r="AO446" s="19"/>
      <c r="AP446" s="13"/>
      <c r="AQ446" s="19"/>
      <c r="AR446" s="13"/>
      <c r="AS446" s="614"/>
      <c r="AT446" s="460"/>
      <c r="AU446" s="783"/>
      <c r="AV446" s="460"/>
    </row>
    <row r="447" spans="1:48">
      <c r="A447" s="14"/>
      <c r="B447" s="15"/>
      <c r="C447" s="16"/>
      <c r="D447" s="17"/>
      <c r="E447" s="12"/>
      <c r="F447" s="18"/>
      <c r="G447" s="19"/>
      <c r="H447" s="13"/>
      <c r="I447" s="19"/>
      <c r="J447" s="13"/>
      <c r="K447" s="19"/>
      <c r="L447" s="13"/>
      <c r="M447" s="19"/>
      <c r="N447" s="13"/>
      <c r="O447" s="19"/>
      <c r="P447" s="13"/>
      <c r="Q447" s="19"/>
      <c r="R447" s="13"/>
      <c r="S447" s="19"/>
      <c r="T447" s="13"/>
      <c r="U447" s="19"/>
      <c r="V447" s="13"/>
      <c r="W447" s="19"/>
      <c r="X447" s="13"/>
      <c r="Y447" s="19"/>
      <c r="Z447" s="13"/>
      <c r="AA447" s="19"/>
      <c r="AB447" s="13"/>
      <c r="AC447" s="19"/>
      <c r="AD447" s="13"/>
      <c r="AE447" s="19"/>
      <c r="AF447" s="13"/>
      <c r="AG447" s="19"/>
      <c r="AH447" s="13"/>
      <c r="AI447" s="19"/>
      <c r="AJ447" s="13"/>
      <c r="AK447" s="19"/>
      <c r="AL447" s="13"/>
      <c r="AM447" s="19"/>
      <c r="AN447" s="13"/>
      <c r="AO447" s="19"/>
      <c r="AP447" s="13"/>
      <c r="AQ447" s="19"/>
      <c r="AR447" s="13"/>
      <c r="AS447" s="614"/>
      <c r="AT447" s="460"/>
      <c r="AU447" s="783"/>
      <c r="AV447" s="460"/>
    </row>
    <row r="448" spans="1:48">
      <c r="A448" s="14"/>
      <c r="B448" s="15"/>
      <c r="C448" s="16"/>
      <c r="D448" s="17"/>
      <c r="E448" s="12"/>
      <c r="F448" s="18"/>
      <c r="G448" s="19"/>
      <c r="H448" s="13"/>
      <c r="I448" s="19"/>
      <c r="J448" s="13"/>
      <c r="K448" s="19"/>
      <c r="L448" s="13"/>
      <c r="M448" s="19"/>
      <c r="N448" s="13"/>
      <c r="O448" s="19"/>
      <c r="P448" s="13"/>
      <c r="Q448" s="19"/>
      <c r="R448" s="13"/>
      <c r="S448" s="19"/>
      <c r="T448" s="13"/>
      <c r="U448" s="19"/>
      <c r="V448" s="13"/>
      <c r="W448" s="19"/>
      <c r="X448" s="13"/>
      <c r="Y448" s="19"/>
      <c r="Z448" s="13"/>
      <c r="AA448" s="19"/>
      <c r="AB448" s="13"/>
      <c r="AC448" s="19"/>
      <c r="AD448" s="13"/>
      <c r="AE448" s="19"/>
      <c r="AF448" s="13"/>
      <c r="AG448" s="19"/>
      <c r="AH448" s="13"/>
      <c r="AI448" s="19"/>
      <c r="AJ448" s="13"/>
      <c r="AK448" s="19"/>
      <c r="AL448" s="13"/>
      <c r="AM448" s="19"/>
      <c r="AN448" s="13"/>
      <c r="AO448" s="19"/>
      <c r="AP448" s="13"/>
      <c r="AQ448" s="19"/>
      <c r="AR448" s="13"/>
      <c r="AS448" s="614"/>
      <c r="AT448" s="460"/>
      <c r="AU448" s="783"/>
      <c r="AV448" s="460"/>
    </row>
    <row r="449" spans="1:48">
      <c r="A449" s="14"/>
      <c r="B449" s="15"/>
      <c r="C449" s="16"/>
      <c r="D449" s="17"/>
      <c r="E449" s="12"/>
      <c r="F449" s="18"/>
      <c r="G449" s="19"/>
      <c r="H449" s="13"/>
      <c r="I449" s="19"/>
      <c r="J449" s="13"/>
      <c r="K449" s="19"/>
      <c r="L449" s="13"/>
      <c r="M449" s="19"/>
      <c r="N449" s="13"/>
      <c r="O449" s="19"/>
      <c r="P449" s="13"/>
      <c r="Q449" s="19"/>
      <c r="R449" s="13"/>
      <c r="S449" s="19"/>
      <c r="T449" s="13"/>
      <c r="U449" s="19"/>
      <c r="V449" s="13"/>
      <c r="W449" s="19"/>
      <c r="X449" s="13"/>
      <c r="Y449" s="19"/>
      <c r="Z449" s="13"/>
      <c r="AA449" s="19"/>
      <c r="AB449" s="13"/>
      <c r="AC449" s="19"/>
      <c r="AD449" s="13"/>
      <c r="AE449" s="19"/>
      <c r="AF449" s="13"/>
      <c r="AG449" s="19"/>
      <c r="AH449" s="13"/>
      <c r="AI449" s="19"/>
      <c r="AJ449" s="13"/>
      <c r="AK449" s="19"/>
      <c r="AL449" s="13"/>
      <c r="AM449" s="19"/>
      <c r="AN449" s="13"/>
      <c r="AO449" s="19"/>
      <c r="AP449" s="13"/>
      <c r="AQ449" s="19"/>
      <c r="AR449" s="13"/>
      <c r="AS449" s="614"/>
      <c r="AT449" s="460"/>
      <c r="AU449" s="783"/>
      <c r="AV449" s="460"/>
    </row>
    <row r="450" spans="1:48">
      <c r="A450" s="14"/>
      <c r="B450" s="15"/>
      <c r="C450" s="16"/>
      <c r="D450" s="17"/>
      <c r="E450" s="12"/>
      <c r="F450" s="18"/>
      <c r="G450" s="19"/>
      <c r="H450" s="13"/>
      <c r="I450" s="19"/>
      <c r="J450" s="13"/>
      <c r="K450" s="19"/>
      <c r="L450" s="13"/>
      <c r="M450" s="19"/>
      <c r="N450" s="13"/>
      <c r="O450" s="19"/>
      <c r="P450" s="13"/>
      <c r="Q450" s="19"/>
      <c r="R450" s="13"/>
      <c r="S450" s="19"/>
      <c r="T450" s="13"/>
      <c r="U450" s="19"/>
      <c r="V450" s="13"/>
      <c r="W450" s="19"/>
      <c r="X450" s="13"/>
      <c r="Y450" s="19"/>
      <c r="Z450" s="13"/>
      <c r="AA450" s="19"/>
      <c r="AB450" s="13"/>
      <c r="AC450" s="19"/>
      <c r="AD450" s="13"/>
      <c r="AE450" s="19"/>
      <c r="AF450" s="13"/>
      <c r="AG450" s="19"/>
      <c r="AH450" s="13"/>
      <c r="AI450" s="19"/>
      <c r="AJ450" s="13"/>
      <c r="AK450" s="19"/>
      <c r="AL450" s="13"/>
      <c r="AM450" s="19"/>
      <c r="AN450" s="13"/>
      <c r="AO450" s="19"/>
      <c r="AP450" s="13"/>
      <c r="AQ450" s="19"/>
      <c r="AR450" s="13"/>
      <c r="AS450" s="614"/>
      <c r="AT450" s="460"/>
      <c r="AU450" s="783"/>
      <c r="AV450" s="460"/>
    </row>
    <row r="451" spans="1:48">
      <c r="A451" s="14"/>
      <c r="B451" s="15"/>
      <c r="C451" s="16"/>
      <c r="D451" s="17"/>
      <c r="E451" s="12"/>
      <c r="F451" s="18"/>
      <c r="G451" s="19"/>
      <c r="H451" s="13"/>
      <c r="I451" s="19"/>
      <c r="J451" s="13"/>
      <c r="K451" s="19"/>
      <c r="L451" s="13"/>
      <c r="M451" s="19"/>
      <c r="N451" s="13"/>
      <c r="O451" s="19"/>
      <c r="P451" s="13"/>
      <c r="Q451" s="19"/>
      <c r="R451" s="13"/>
      <c r="S451" s="19"/>
      <c r="T451" s="13"/>
      <c r="U451" s="19"/>
      <c r="V451" s="13"/>
      <c r="W451" s="19"/>
      <c r="X451" s="13"/>
      <c r="Y451" s="19"/>
      <c r="Z451" s="13"/>
      <c r="AA451" s="19"/>
      <c r="AB451" s="13"/>
      <c r="AC451" s="19"/>
      <c r="AD451" s="13"/>
      <c r="AE451" s="19"/>
      <c r="AF451" s="13"/>
      <c r="AG451" s="19"/>
      <c r="AH451" s="13"/>
      <c r="AI451" s="19"/>
      <c r="AJ451" s="13"/>
      <c r="AK451" s="19"/>
      <c r="AL451" s="13"/>
      <c r="AM451" s="19"/>
      <c r="AN451" s="13"/>
      <c r="AO451" s="19"/>
      <c r="AP451" s="13"/>
      <c r="AQ451" s="19"/>
      <c r="AR451" s="13"/>
      <c r="AS451" s="614"/>
      <c r="AT451" s="460"/>
      <c r="AU451" s="783"/>
      <c r="AV451" s="460"/>
    </row>
    <row r="452" spans="1:48">
      <c r="A452" s="14"/>
      <c r="B452" s="15"/>
      <c r="C452" s="16"/>
      <c r="D452" s="17"/>
      <c r="E452" s="12"/>
      <c r="F452" s="18"/>
      <c r="G452" s="19"/>
      <c r="H452" s="13"/>
      <c r="I452" s="19"/>
      <c r="J452" s="13"/>
      <c r="K452" s="19"/>
      <c r="L452" s="13"/>
      <c r="M452" s="19"/>
      <c r="N452" s="13"/>
      <c r="O452" s="19"/>
      <c r="P452" s="13"/>
      <c r="Q452" s="19"/>
      <c r="R452" s="13"/>
      <c r="S452" s="19"/>
      <c r="T452" s="13"/>
      <c r="U452" s="19"/>
      <c r="V452" s="13"/>
      <c r="W452" s="19"/>
      <c r="X452" s="13"/>
      <c r="Y452" s="19"/>
      <c r="Z452" s="13"/>
      <c r="AA452" s="19"/>
      <c r="AB452" s="13"/>
      <c r="AC452" s="19"/>
      <c r="AD452" s="13"/>
      <c r="AE452" s="19"/>
      <c r="AF452" s="13"/>
      <c r="AG452" s="19"/>
      <c r="AH452" s="13"/>
      <c r="AI452" s="19"/>
      <c r="AJ452" s="13"/>
      <c r="AK452" s="19"/>
      <c r="AL452" s="13"/>
      <c r="AM452" s="19"/>
      <c r="AN452" s="13"/>
      <c r="AO452" s="19"/>
      <c r="AP452" s="13"/>
      <c r="AQ452" s="19"/>
      <c r="AR452" s="13"/>
      <c r="AS452" s="614"/>
      <c r="AT452" s="460"/>
      <c r="AU452" s="783"/>
      <c r="AV452" s="460"/>
    </row>
    <row r="453" spans="1:48">
      <c r="A453" s="14"/>
      <c r="B453" s="15"/>
      <c r="C453" s="16"/>
      <c r="D453" s="17"/>
      <c r="E453" s="12"/>
      <c r="F453" s="18"/>
      <c r="G453" s="19"/>
      <c r="H453" s="13"/>
      <c r="I453" s="19"/>
      <c r="J453" s="13"/>
      <c r="K453" s="19"/>
      <c r="L453" s="13"/>
      <c r="M453" s="19"/>
      <c r="N453" s="13"/>
      <c r="O453" s="19"/>
      <c r="P453" s="13"/>
      <c r="Q453" s="19"/>
      <c r="R453" s="13"/>
      <c r="S453" s="19"/>
      <c r="T453" s="13"/>
      <c r="U453" s="19"/>
      <c r="V453" s="13"/>
      <c r="W453" s="19"/>
      <c r="X453" s="13"/>
      <c r="Y453" s="19"/>
      <c r="Z453" s="13"/>
      <c r="AA453" s="19"/>
      <c r="AB453" s="13"/>
      <c r="AC453" s="19"/>
      <c r="AD453" s="13"/>
      <c r="AE453" s="19"/>
      <c r="AF453" s="13"/>
      <c r="AG453" s="19"/>
      <c r="AH453" s="13"/>
      <c r="AI453" s="19"/>
      <c r="AJ453" s="13"/>
      <c r="AK453" s="19"/>
      <c r="AL453" s="13"/>
      <c r="AM453" s="19"/>
      <c r="AN453" s="13"/>
      <c r="AO453" s="19"/>
      <c r="AP453" s="13"/>
      <c r="AQ453" s="19"/>
      <c r="AR453" s="13"/>
      <c r="AS453" s="614"/>
      <c r="AT453" s="460"/>
      <c r="AU453" s="783"/>
      <c r="AV453" s="460"/>
    </row>
    <row r="454" spans="1:48">
      <c r="A454" s="14"/>
      <c r="B454" s="15"/>
      <c r="C454" s="16"/>
      <c r="D454" s="17"/>
      <c r="E454" s="12"/>
      <c r="F454" s="18"/>
      <c r="G454" s="19"/>
      <c r="H454" s="13"/>
      <c r="I454" s="19"/>
      <c r="J454" s="13"/>
      <c r="K454" s="19"/>
      <c r="L454" s="13"/>
      <c r="M454" s="19"/>
      <c r="N454" s="13"/>
      <c r="O454" s="19"/>
      <c r="P454" s="13"/>
      <c r="Q454" s="19"/>
      <c r="R454" s="13"/>
      <c r="S454" s="19"/>
      <c r="T454" s="13"/>
      <c r="U454" s="19"/>
      <c r="V454" s="13"/>
      <c r="W454" s="19"/>
      <c r="X454" s="13"/>
      <c r="Y454" s="19"/>
      <c r="Z454" s="13"/>
      <c r="AA454" s="19"/>
      <c r="AB454" s="13"/>
      <c r="AC454" s="19"/>
      <c r="AD454" s="13"/>
      <c r="AE454" s="19"/>
      <c r="AF454" s="13"/>
      <c r="AG454" s="19"/>
      <c r="AH454" s="13"/>
      <c r="AI454" s="19"/>
      <c r="AJ454" s="13"/>
      <c r="AK454" s="19"/>
      <c r="AL454" s="13"/>
      <c r="AM454" s="19"/>
      <c r="AN454" s="13"/>
      <c r="AO454" s="19"/>
      <c r="AP454" s="13"/>
      <c r="AQ454" s="19"/>
      <c r="AR454" s="13"/>
      <c r="AS454" s="614"/>
      <c r="AT454" s="460"/>
      <c r="AU454" s="783"/>
      <c r="AV454" s="460"/>
    </row>
    <row r="455" spans="1:48">
      <c r="A455" s="14"/>
      <c r="B455" s="15"/>
      <c r="C455" s="16"/>
      <c r="D455" s="17"/>
      <c r="E455" s="12"/>
      <c r="F455" s="18"/>
      <c r="G455" s="19"/>
      <c r="H455" s="13"/>
      <c r="I455" s="19"/>
      <c r="J455" s="13"/>
      <c r="K455" s="19"/>
      <c r="L455" s="13"/>
      <c r="M455" s="19"/>
      <c r="N455" s="13"/>
      <c r="O455" s="19"/>
      <c r="P455" s="13"/>
      <c r="Q455" s="19"/>
      <c r="R455" s="13"/>
      <c r="S455" s="19"/>
      <c r="T455" s="13"/>
      <c r="U455" s="19"/>
      <c r="V455" s="13"/>
      <c r="W455" s="19"/>
      <c r="X455" s="13"/>
      <c r="Y455" s="19"/>
      <c r="Z455" s="13"/>
      <c r="AA455" s="19"/>
      <c r="AB455" s="13"/>
      <c r="AC455" s="19"/>
      <c r="AD455" s="13"/>
      <c r="AE455" s="19"/>
      <c r="AF455" s="13"/>
      <c r="AG455" s="19"/>
      <c r="AH455" s="13"/>
      <c r="AI455" s="19"/>
      <c r="AJ455" s="13"/>
      <c r="AK455" s="19"/>
      <c r="AL455" s="13"/>
      <c r="AM455" s="19"/>
      <c r="AN455" s="13"/>
      <c r="AO455" s="19"/>
      <c r="AP455" s="13"/>
      <c r="AQ455" s="19"/>
      <c r="AR455" s="13"/>
      <c r="AS455" s="614"/>
      <c r="AT455" s="460"/>
      <c r="AU455" s="783"/>
      <c r="AV455" s="460"/>
    </row>
    <row r="456" spans="1:48">
      <c r="A456" s="14"/>
      <c r="B456" s="15"/>
      <c r="C456" s="16"/>
      <c r="D456" s="17"/>
      <c r="E456" s="12"/>
      <c r="F456" s="18"/>
      <c r="G456" s="19"/>
      <c r="H456" s="13"/>
      <c r="I456" s="19"/>
      <c r="J456" s="13"/>
      <c r="K456" s="19"/>
      <c r="L456" s="13"/>
      <c r="M456" s="19"/>
      <c r="N456" s="13"/>
      <c r="O456" s="19"/>
      <c r="P456" s="13"/>
      <c r="Q456" s="19"/>
      <c r="R456" s="13"/>
      <c r="S456" s="19"/>
      <c r="T456" s="13"/>
      <c r="U456" s="19"/>
      <c r="V456" s="13"/>
      <c r="W456" s="19"/>
      <c r="X456" s="13"/>
      <c r="Y456" s="19"/>
      <c r="Z456" s="13"/>
      <c r="AA456" s="19"/>
      <c r="AB456" s="13"/>
      <c r="AC456" s="19"/>
      <c r="AD456" s="13"/>
      <c r="AE456" s="19"/>
      <c r="AF456" s="13"/>
      <c r="AG456" s="19"/>
      <c r="AH456" s="13"/>
      <c r="AI456" s="19"/>
      <c r="AJ456" s="13"/>
      <c r="AK456" s="19"/>
      <c r="AL456" s="13"/>
      <c r="AM456" s="19"/>
      <c r="AN456" s="13"/>
      <c r="AO456" s="19"/>
      <c r="AP456" s="13"/>
      <c r="AQ456" s="19"/>
      <c r="AR456" s="13"/>
      <c r="AS456" s="614"/>
      <c r="AT456" s="460"/>
      <c r="AU456" s="783"/>
      <c r="AV456" s="460"/>
    </row>
    <row r="457" spans="1:48">
      <c r="A457" s="14"/>
      <c r="B457" s="15"/>
      <c r="C457" s="16"/>
      <c r="D457" s="17"/>
      <c r="E457" s="12"/>
      <c r="F457" s="18"/>
      <c r="G457" s="19"/>
      <c r="H457" s="13"/>
      <c r="I457" s="19"/>
      <c r="J457" s="13"/>
      <c r="K457" s="19"/>
      <c r="L457" s="13"/>
      <c r="M457" s="19"/>
      <c r="N457" s="13"/>
      <c r="O457" s="19"/>
      <c r="P457" s="13"/>
      <c r="Q457" s="19"/>
      <c r="R457" s="13"/>
      <c r="S457" s="19"/>
      <c r="T457" s="13"/>
      <c r="U457" s="19"/>
      <c r="V457" s="13"/>
      <c r="W457" s="19"/>
      <c r="X457" s="13"/>
      <c r="Y457" s="19"/>
      <c r="Z457" s="13"/>
      <c r="AA457" s="19"/>
      <c r="AB457" s="13"/>
      <c r="AC457" s="19"/>
      <c r="AD457" s="13"/>
      <c r="AE457" s="19"/>
      <c r="AF457" s="13"/>
      <c r="AG457" s="19"/>
      <c r="AH457" s="13"/>
      <c r="AI457" s="19"/>
      <c r="AJ457" s="13"/>
      <c r="AK457" s="19"/>
      <c r="AL457" s="13"/>
      <c r="AM457" s="19"/>
      <c r="AN457" s="13"/>
      <c r="AO457" s="19"/>
      <c r="AP457" s="13"/>
      <c r="AQ457" s="19"/>
      <c r="AR457" s="13"/>
      <c r="AS457" s="614"/>
      <c r="AT457" s="460"/>
      <c r="AU457" s="783"/>
      <c r="AV457" s="460"/>
    </row>
    <row r="458" spans="1:48">
      <c r="A458" s="14"/>
      <c r="B458" s="15"/>
      <c r="C458" s="16"/>
      <c r="D458" s="17"/>
      <c r="E458" s="12"/>
      <c r="F458" s="18"/>
      <c r="G458" s="19"/>
      <c r="H458" s="13"/>
      <c r="I458" s="19"/>
      <c r="J458" s="13"/>
      <c r="K458" s="19"/>
      <c r="L458" s="13"/>
      <c r="M458" s="19"/>
      <c r="N458" s="13"/>
      <c r="O458" s="19"/>
      <c r="P458" s="13"/>
      <c r="Q458" s="19"/>
      <c r="R458" s="13"/>
      <c r="S458" s="19"/>
      <c r="T458" s="13"/>
      <c r="U458" s="19"/>
      <c r="V458" s="13"/>
      <c r="W458" s="19"/>
      <c r="X458" s="13"/>
      <c r="Y458" s="19"/>
      <c r="Z458" s="13"/>
      <c r="AA458" s="19"/>
      <c r="AB458" s="13"/>
      <c r="AC458" s="19"/>
      <c r="AD458" s="13"/>
      <c r="AE458" s="19"/>
      <c r="AF458" s="13"/>
      <c r="AG458" s="19"/>
      <c r="AH458" s="13"/>
      <c r="AI458" s="19"/>
      <c r="AJ458" s="13"/>
      <c r="AK458" s="19"/>
      <c r="AL458" s="13"/>
      <c r="AM458" s="19"/>
      <c r="AN458" s="13"/>
      <c r="AO458" s="19"/>
      <c r="AP458" s="13"/>
      <c r="AQ458" s="19"/>
      <c r="AR458" s="13"/>
      <c r="AS458" s="614"/>
      <c r="AT458" s="460"/>
      <c r="AU458" s="783"/>
      <c r="AV458" s="460"/>
    </row>
    <row r="459" spans="1:48">
      <c r="A459" s="14"/>
      <c r="B459" s="15"/>
      <c r="C459" s="16"/>
      <c r="D459" s="17"/>
      <c r="E459" s="12"/>
      <c r="F459" s="18"/>
      <c r="G459" s="19"/>
      <c r="H459" s="13"/>
      <c r="I459" s="19"/>
      <c r="J459" s="13"/>
      <c r="K459" s="19"/>
      <c r="L459" s="13"/>
      <c r="M459" s="19"/>
      <c r="N459" s="13"/>
      <c r="O459" s="19"/>
      <c r="P459" s="13"/>
      <c r="Q459" s="19"/>
      <c r="R459" s="13"/>
      <c r="S459" s="19"/>
      <c r="T459" s="13"/>
      <c r="U459" s="19"/>
      <c r="V459" s="13"/>
      <c r="W459" s="19"/>
      <c r="X459" s="13"/>
      <c r="Y459" s="19"/>
      <c r="Z459" s="13"/>
      <c r="AA459" s="19"/>
      <c r="AB459" s="13"/>
      <c r="AC459" s="19"/>
      <c r="AD459" s="13"/>
      <c r="AE459" s="19"/>
      <c r="AF459" s="13"/>
      <c r="AG459" s="19"/>
      <c r="AH459" s="13"/>
      <c r="AI459" s="19"/>
      <c r="AJ459" s="13"/>
      <c r="AK459" s="19"/>
      <c r="AL459" s="13"/>
      <c r="AM459" s="19"/>
      <c r="AN459" s="13"/>
      <c r="AO459" s="19"/>
      <c r="AP459" s="13"/>
      <c r="AQ459" s="19"/>
      <c r="AR459" s="13"/>
      <c r="AS459" s="614"/>
      <c r="AT459" s="460"/>
      <c r="AU459" s="783"/>
      <c r="AV459" s="460"/>
    </row>
    <row r="460" spans="1:48">
      <c r="A460" s="14"/>
      <c r="B460" s="15"/>
      <c r="C460" s="16"/>
      <c r="D460" s="17"/>
      <c r="E460" s="12"/>
      <c r="F460" s="18"/>
      <c r="G460" s="19"/>
      <c r="H460" s="13"/>
      <c r="I460" s="19"/>
      <c r="J460" s="13"/>
      <c r="K460" s="19"/>
      <c r="L460" s="13"/>
      <c r="M460" s="19"/>
      <c r="N460" s="13"/>
      <c r="O460" s="19"/>
      <c r="P460" s="13"/>
      <c r="Q460" s="19"/>
      <c r="R460" s="13"/>
      <c r="S460" s="19"/>
      <c r="T460" s="13"/>
      <c r="U460" s="19"/>
      <c r="V460" s="13"/>
      <c r="W460" s="19"/>
      <c r="X460" s="13"/>
      <c r="Y460" s="19"/>
      <c r="Z460" s="13"/>
      <c r="AA460" s="19"/>
      <c r="AB460" s="13"/>
      <c r="AC460" s="19"/>
      <c r="AD460" s="13"/>
      <c r="AE460" s="19"/>
      <c r="AF460" s="13"/>
      <c r="AG460" s="19"/>
      <c r="AH460" s="13"/>
      <c r="AI460" s="19"/>
      <c r="AJ460" s="13"/>
      <c r="AK460" s="19"/>
      <c r="AL460" s="13"/>
      <c r="AM460" s="19"/>
      <c r="AN460" s="13"/>
      <c r="AO460" s="19"/>
      <c r="AP460" s="13"/>
      <c r="AQ460" s="19"/>
      <c r="AR460" s="13"/>
      <c r="AS460" s="614"/>
      <c r="AT460" s="460"/>
      <c r="AU460" s="783"/>
      <c r="AV460" s="460"/>
    </row>
    <row r="461" spans="1:48">
      <c r="A461" s="14"/>
      <c r="B461" s="15"/>
      <c r="C461" s="16"/>
      <c r="D461" s="17"/>
      <c r="E461" s="12"/>
      <c r="F461" s="18"/>
      <c r="G461" s="19"/>
      <c r="H461" s="13"/>
      <c r="I461" s="19"/>
      <c r="J461" s="13"/>
      <c r="K461" s="19"/>
      <c r="L461" s="13"/>
      <c r="M461" s="19"/>
      <c r="N461" s="13"/>
      <c r="O461" s="19"/>
      <c r="P461" s="13"/>
      <c r="Q461" s="19"/>
      <c r="R461" s="13"/>
      <c r="S461" s="19"/>
      <c r="T461" s="13"/>
      <c r="U461" s="19"/>
      <c r="V461" s="13"/>
      <c r="W461" s="19"/>
      <c r="X461" s="13"/>
      <c r="Y461" s="19"/>
      <c r="Z461" s="13"/>
      <c r="AA461" s="19"/>
      <c r="AB461" s="13"/>
      <c r="AC461" s="19"/>
      <c r="AD461" s="13"/>
      <c r="AE461" s="19"/>
      <c r="AF461" s="13"/>
      <c r="AG461" s="19"/>
      <c r="AH461" s="13"/>
      <c r="AI461" s="19"/>
      <c r="AJ461" s="13"/>
      <c r="AK461" s="19"/>
      <c r="AL461" s="13"/>
      <c r="AM461" s="19"/>
      <c r="AN461" s="13"/>
      <c r="AO461" s="19"/>
      <c r="AP461" s="13"/>
      <c r="AQ461" s="19"/>
      <c r="AR461" s="13"/>
      <c r="AS461" s="614"/>
      <c r="AT461" s="460"/>
      <c r="AU461" s="783"/>
      <c r="AV461" s="460"/>
    </row>
    <row r="462" spans="1:48">
      <c r="A462" s="14"/>
      <c r="B462" s="15"/>
      <c r="C462" s="16"/>
      <c r="D462" s="17"/>
      <c r="E462" s="12"/>
      <c r="F462" s="18"/>
      <c r="G462" s="19"/>
      <c r="H462" s="13"/>
      <c r="I462" s="19"/>
      <c r="J462" s="13"/>
      <c r="K462" s="19"/>
      <c r="L462" s="13"/>
      <c r="M462" s="19"/>
      <c r="N462" s="13"/>
      <c r="O462" s="19"/>
      <c r="P462" s="13"/>
      <c r="Q462" s="19"/>
      <c r="R462" s="13"/>
      <c r="S462" s="19"/>
      <c r="T462" s="13"/>
      <c r="U462" s="19"/>
      <c r="V462" s="13"/>
      <c r="W462" s="19"/>
      <c r="X462" s="13"/>
      <c r="Y462" s="19"/>
      <c r="Z462" s="13"/>
      <c r="AA462" s="19"/>
      <c r="AB462" s="13"/>
      <c r="AC462" s="19"/>
      <c r="AD462" s="13"/>
      <c r="AE462" s="19"/>
      <c r="AF462" s="13"/>
      <c r="AG462" s="19"/>
      <c r="AH462" s="13"/>
      <c r="AI462" s="19"/>
      <c r="AJ462" s="13"/>
      <c r="AK462" s="19"/>
      <c r="AL462" s="13"/>
      <c r="AM462" s="19"/>
      <c r="AN462" s="13"/>
      <c r="AO462" s="19"/>
      <c r="AP462" s="13"/>
      <c r="AQ462" s="19"/>
      <c r="AR462" s="13"/>
      <c r="AS462" s="614"/>
      <c r="AT462" s="460"/>
      <c r="AU462" s="783"/>
      <c r="AV462" s="460"/>
    </row>
    <row r="463" spans="1:48">
      <c r="A463" s="14"/>
      <c r="B463" s="15"/>
      <c r="C463" s="16"/>
      <c r="D463" s="17"/>
      <c r="E463" s="12"/>
      <c r="F463" s="18"/>
      <c r="G463" s="19"/>
      <c r="H463" s="13"/>
      <c r="I463" s="19"/>
      <c r="J463" s="13"/>
      <c r="K463" s="19"/>
      <c r="L463" s="13"/>
      <c r="M463" s="19"/>
      <c r="N463" s="13"/>
      <c r="O463" s="19"/>
      <c r="P463" s="13"/>
      <c r="Q463" s="19"/>
      <c r="R463" s="13"/>
      <c r="S463" s="19"/>
      <c r="T463" s="13"/>
      <c r="U463" s="19"/>
      <c r="V463" s="13"/>
      <c r="W463" s="19"/>
      <c r="X463" s="13"/>
      <c r="Y463" s="19"/>
      <c r="Z463" s="13"/>
      <c r="AA463" s="19"/>
      <c r="AB463" s="13"/>
      <c r="AC463" s="19"/>
      <c r="AD463" s="13"/>
      <c r="AE463" s="19"/>
      <c r="AF463" s="13"/>
      <c r="AG463" s="19"/>
      <c r="AH463" s="13"/>
      <c r="AI463" s="19"/>
      <c r="AJ463" s="13"/>
      <c r="AK463" s="19"/>
      <c r="AL463" s="13"/>
      <c r="AM463" s="19"/>
      <c r="AN463" s="13"/>
      <c r="AO463" s="19"/>
      <c r="AP463" s="13"/>
      <c r="AQ463" s="19"/>
      <c r="AR463" s="13"/>
      <c r="AS463" s="614"/>
      <c r="AT463" s="460"/>
      <c r="AU463" s="783"/>
      <c r="AV463" s="460"/>
    </row>
    <row r="464" spans="1:48">
      <c r="A464" s="14"/>
      <c r="B464" s="15"/>
      <c r="C464" s="16"/>
      <c r="D464" s="17"/>
      <c r="E464" s="12"/>
      <c r="F464" s="18"/>
      <c r="G464" s="19"/>
      <c r="H464" s="13"/>
      <c r="I464" s="19"/>
      <c r="J464" s="13"/>
      <c r="K464" s="19"/>
      <c r="L464" s="13"/>
      <c r="M464" s="19"/>
      <c r="N464" s="13"/>
      <c r="O464" s="19"/>
      <c r="P464" s="13"/>
      <c r="Q464" s="19"/>
      <c r="R464" s="13"/>
      <c r="S464" s="19"/>
      <c r="T464" s="13"/>
      <c r="U464" s="19"/>
      <c r="V464" s="13"/>
      <c r="W464" s="19"/>
      <c r="X464" s="13"/>
      <c r="Y464" s="19"/>
      <c r="Z464" s="13"/>
      <c r="AA464" s="19"/>
      <c r="AB464" s="13"/>
      <c r="AC464" s="19"/>
      <c r="AD464" s="13"/>
      <c r="AE464" s="19"/>
      <c r="AF464" s="13"/>
      <c r="AG464" s="19"/>
      <c r="AH464" s="13"/>
      <c r="AI464" s="19"/>
      <c r="AJ464" s="13"/>
      <c r="AK464" s="19"/>
      <c r="AL464" s="13"/>
      <c r="AM464" s="19"/>
      <c r="AN464" s="13"/>
      <c r="AO464" s="19"/>
      <c r="AP464" s="13"/>
      <c r="AQ464" s="19"/>
      <c r="AR464" s="13"/>
      <c r="AS464" s="614"/>
      <c r="AT464" s="460"/>
      <c r="AU464" s="783"/>
      <c r="AV464" s="460"/>
    </row>
    <row r="465" spans="1:48">
      <c r="A465" s="14"/>
      <c r="B465" s="15"/>
      <c r="C465" s="16"/>
      <c r="D465" s="17"/>
      <c r="E465" s="12"/>
      <c r="F465" s="18"/>
      <c r="G465" s="19"/>
      <c r="H465" s="13"/>
      <c r="I465" s="19"/>
      <c r="J465" s="13"/>
      <c r="K465" s="19"/>
      <c r="L465" s="13"/>
      <c r="M465" s="19"/>
      <c r="N465" s="13"/>
      <c r="O465" s="19"/>
      <c r="P465" s="13"/>
      <c r="Q465" s="19"/>
      <c r="R465" s="13"/>
      <c r="S465" s="19"/>
      <c r="T465" s="13"/>
      <c r="U465" s="19"/>
      <c r="V465" s="13"/>
      <c r="W465" s="19"/>
      <c r="X465" s="13"/>
      <c r="Y465" s="19"/>
      <c r="Z465" s="13"/>
      <c r="AA465" s="19"/>
      <c r="AB465" s="13"/>
      <c r="AC465" s="19"/>
      <c r="AD465" s="13"/>
      <c r="AE465" s="19"/>
      <c r="AF465" s="13"/>
      <c r="AG465" s="19"/>
      <c r="AH465" s="13"/>
      <c r="AI465" s="19"/>
      <c r="AJ465" s="13"/>
      <c r="AK465" s="19"/>
      <c r="AL465" s="13"/>
      <c r="AM465" s="19"/>
      <c r="AN465" s="13"/>
      <c r="AO465" s="19"/>
      <c r="AP465" s="13"/>
      <c r="AQ465" s="19"/>
      <c r="AR465" s="13"/>
      <c r="AS465" s="614"/>
      <c r="AT465" s="460"/>
      <c r="AU465" s="783"/>
      <c r="AV465" s="460"/>
    </row>
    <row r="466" spans="1:48">
      <c r="A466" s="14"/>
      <c r="B466" s="15"/>
      <c r="C466" s="16"/>
      <c r="D466" s="17"/>
      <c r="E466" s="12"/>
      <c r="F466" s="18"/>
      <c r="G466" s="19"/>
      <c r="H466" s="13"/>
      <c r="I466" s="19"/>
      <c r="J466" s="13"/>
      <c r="K466" s="19"/>
      <c r="L466" s="13"/>
      <c r="M466" s="19"/>
      <c r="N466" s="13"/>
      <c r="O466" s="19"/>
      <c r="P466" s="13"/>
      <c r="Q466" s="19"/>
      <c r="R466" s="13"/>
      <c r="S466" s="19"/>
      <c r="T466" s="13"/>
      <c r="U466" s="19"/>
      <c r="V466" s="13"/>
      <c r="W466" s="19"/>
      <c r="X466" s="13"/>
      <c r="Y466" s="19"/>
      <c r="Z466" s="13"/>
      <c r="AA466" s="19"/>
      <c r="AB466" s="13"/>
      <c r="AC466" s="19"/>
      <c r="AD466" s="13"/>
      <c r="AE466" s="19"/>
      <c r="AF466" s="13"/>
      <c r="AG466" s="19"/>
      <c r="AH466" s="13"/>
      <c r="AI466" s="19"/>
      <c r="AJ466" s="13"/>
      <c r="AK466" s="19"/>
      <c r="AL466" s="13"/>
      <c r="AM466" s="19"/>
      <c r="AN466" s="13"/>
      <c r="AO466" s="19"/>
      <c r="AP466" s="13"/>
      <c r="AQ466" s="19"/>
      <c r="AR466" s="13"/>
      <c r="AS466" s="614"/>
      <c r="AT466" s="460"/>
      <c r="AU466" s="783"/>
      <c r="AV466" s="460"/>
    </row>
    <row r="467" spans="1:48">
      <c r="A467" s="14"/>
      <c r="B467" s="15"/>
      <c r="C467" s="16"/>
      <c r="D467" s="17"/>
      <c r="E467" s="12"/>
      <c r="F467" s="18"/>
      <c r="G467" s="19"/>
      <c r="H467" s="13"/>
      <c r="I467" s="19"/>
      <c r="J467" s="13"/>
      <c r="K467" s="19"/>
      <c r="L467" s="13"/>
      <c r="M467" s="19"/>
      <c r="N467" s="13"/>
      <c r="O467" s="19"/>
      <c r="P467" s="13"/>
      <c r="Q467" s="19"/>
      <c r="R467" s="13"/>
      <c r="S467" s="19"/>
      <c r="T467" s="13"/>
      <c r="U467" s="19"/>
      <c r="V467" s="13"/>
      <c r="W467" s="19"/>
      <c r="X467" s="13"/>
      <c r="Y467" s="19"/>
      <c r="Z467" s="13"/>
      <c r="AA467" s="19"/>
      <c r="AB467" s="13"/>
      <c r="AC467" s="19"/>
      <c r="AD467" s="13"/>
      <c r="AE467" s="19"/>
      <c r="AF467" s="13"/>
      <c r="AG467" s="19"/>
      <c r="AH467" s="13"/>
      <c r="AI467" s="19"/>
      <c r="AJ467" s="13"/>
      <c r="AK467" s="19"/>
      <c r="AL467" s="13"/>
      <c r="AM467" s="19"/>
      <c r="AN467" s="13"/>
      <c r="AO467" s="19"/>
      <c r="AP467" s="13"/>
      <c r="AQ467" s="19"/>
      <c r="AR467" s="13"/>
      <c r="AS467" s="614"/>
      <c r="AT467" s="460"/>
      <c r="AU467" s="783"/>
      <c r="AV467" s="460"/>
    </row>
    <row r="468" spans="1:48">
      <c r="A468" s="14"/>
      <c r="B468" s="15"/>
      <c r="C468" s="16"/>
      <c r="D468" s="17"/>
      <c r="E468" s="12"/>
      <c r="F468" s="18"/>
      <c r="G468" s="19"/>
      <c r="H468" s="13"/>
      <c r="I468" s="19"/>
      <c r="J468" s="13"/>
      <c r="K468" s="19"/>
      <c r="L468" s="13"/>
      <c r="M468" s="19"/>
      <c r="N468" s="13"/>
      <c r="O468" s="19"/>
      <c r="P468" s="13"/>
      <c r="Q468" s="19"/>
      <c r="R468" s="13"/>
      <c r="S468" s="19"/>
      <c r="T468" s="13"/>
      <c r="U468" s="19"/>
      <c r="V468" s="13"/>
      <c r="W468" s="19"/>
      <c r="X468" s="13"/>
      <c r="Y468" s="19"/>
      <c r="Z468" s="13"/>
      <c r="AA468" s="19"/>
      <c r="AB468" s="13"/>
      <c r="AC468" s="19"/>
      <c r="AD468" s="13"/>
      <c r="AE468" s="19"/>
      <c r="AF468" s="13"/>
      <c r="AG468" s="19"/>
      <c r="AH468" s="13"/>
      <c r="AI468" s="19"/>
      <c r="AJ468" s="13"/>
      <c r="AK468" s="19"/>
      <c r="AL468" s="13"/>
      <c r="AM468" s="19"/>
      <c r="AN468" s="13"/>
      <c r="AO468" s="19"/>
      <c r="AP468" s="13"/>
      <c r="AQ468" s="19"/>
      <c r="AR468" s="13"/>
      <c r="AS468" s="614"/>
      <c r="AT468" s="460"/>
      <c r="AU468" s="783"/>
      <c r="AV468" s="460"/>
    </row>
    <row r="469" spans="1:48">
      <c r="A469" s="14"/>
      <c r="B469" s="15"/>
      <c r="C469" s="16"/>
      <c r="D469" s="17"/>
      <c r="E469" s="12"/>
      <c r="F469" s="18"/>
      <c r="G469" s="19"/>
      <c r="H469" s="13"/>
      <c r="I469" s="19"/>
      <c r="J469" s="13"/>
      <c r="K469" s="19"/>
      <c r="L469" s="13"/>
      <c r="M469" s="19"/>
      <c r="N469" s="13"/>
      <c r="O469" s="19"/>
      <c r="P469" s="13"/>
      <c r="Q469" s="19"/>
      <c r="R469" s="13"/>
      <c r="S469" s="19"/>
      <c r="T469" s="13"/>
      <c r="U469" s="19"/>
      <c r="V469" s="13"/>
      <c r="W469" s="19"/>
      <c r="X469" s="13"/>
      <c r="Y469" s="19"/>
      <c r="Z469" s="13"/>
      <c r="AA469" s="19"/>
      <c r="AB469" s="13"/>
      <c r="AC469" s="19"/>
      <c r="AD469" s="13"/>
      <c r="AE469" s="19"/>
      <c r="AF469" s="13"/>
      <c r="AG469" s="19"/>
      <c r="AH469" s="13"/>
      <c r="AI469" s="19"/>
      <c r="AJ469" s="13"/>
      <c r="AK469" s="19"/>
      <c r="AL469" s="13"/>
      <c r="AM469" s="19"/>
      <c r="AN469" s="13"/>
      <c r="AO469" s="19"/>
      <c r="AP469" s="13"/>
      <c r="AQ469" s="19"/>
      <c r="AR469" s="13"/>
      <c r="AS469" s="614"/>
      <c r="AT469" s="460"/>
      <c r="AU469" s="783"/>
      <c r="AV469" s="460"/>
    </row>
    <row r="470" spans="1:48">
      <c r="A470" s="14"/>
      <c r="B470" s="15"/>
      <c r="C470" s="16"/>
      <c r="D470" s="17"/>
      <c r="E470" s="12"/>
      <c r="F470" s="18"/>
      <c r="G470" s="19"/>
      <c r="H470" s="13"/>
      <c r="I470" s="19"/>
      <c r="J470" s="13"/>
      <c r="K470" s="19"/>
      <c r="L470" s="13"/>
      <c r="M470" s="19"/>
      <c r="N470" s="13"/>
      <c r="O470" s="19"/>
      <c r="P470" s="13"/>
      <c r="Q470" s="19"/>
      <c r="R470" s="13"/>
      <c r="S470" s="19"/>
      <c r="T470" s="13"/>
      <c r="U470" s="19"/>
      <c r="V470" s="13"/>
      <c r="W470" s="19"/>
      <c r="X470" s="13"/>
      <c r="Y470" s="19"/>
      <c r="Z470" s="13"/>
      <c r="AA470" s="19"/>
      <c r="AB470" s="13"/>
      <c r="AC470" s="19"/>
      <c r="AD470" s="13"/>
      <c r="AE470" s="19"/>
      <c r="AF470" s="13"/>
      <c r="AG470" s="19"/>
      <c r="AH470" s="13"/>
      <c r="AI470" s="19"/>
      <c r="AJ470" s="13"/>
      <c r="AK470" s="19"/>
      <c r="AL470" s="13"/>
      <c r="AM470" s="19"/>
      <c r="AN470" s="13"/>
      <c r="AO470" s="19"/>
      <c r="AP470" s="13"/>
      <c r="AQ470" s="19"/>
      <c r="AR470" s="13"/>
      <c r="AS470" s="614"/>
      <c r="AT470" s="460"/>
      <c r="AU470" s="783"/>
      <c r="AV470" s="460"/>
    </row>
    <row r="471" spans="1:48">
      <c r="A471" s="14"/>
      <c r="B471" s="15"/>
      <c r="C471" s="16"/>
      <c r="D471" s="17"/>
      <c r="E471" s="12"/>
      <c r="F471" s="18"/>
      <c r="G471" s="19"/>
      <c r="H471" s="13"/>
      <c r="I471" s="19"/>
      <c r="J471" s="13"/>
      <c r="K471" s="19"/>
      <c r="L471" s="13"/>
      <c r="M471" s="19"/>
      <c r="N471" s="13"/>
      <c r="O471" s="19"/>
      <c r="P471" s="13"/>
      <c r="Q471" s="19"/>
      <c r="R471" s="13"/>
      <c r="S471" s="19"/>
      <c r="T471" s="13"/>
      <c r="U471" s="19"/>
      <c r="V471" s="13"/>
      <c r="W471" s="19"/>
      <c r="X471" s="13"/>
      <c r="Y471" s="19"/>
      <c r="Z471" s="13"/>
      <c r="AA471" s="19"/>
      <c r="AB471" s="13"/>
      <c r="AC471" s="19"/>
      <c r="AD471" s="13"/>
      <c r="AE471" s="19"/>
      <c r="AF471" s="13"/>
      <c r="AG471" s="19"/>
      <c r="AH471" s="13"/>
      <c r="AI471" s="19"/>
      <c r="AJ471" s="13"/>
      <c r="AK471" s="19"/>
      <c r="AL471" s="13"/>
      <c r="AM471" s="19"/>
      <c r="AN471" s="13"/>
      <c r="AO471" s="19"/>
      <c r="AP471" s="13"/>
      <c r="AQ471" s="19"/>
      <c r="AR471" s="13"/>
      <c r="AS471" s="614"/>
      <c r="AT471" s="460"/>
      <c r="AU471" s="783"/>
      <c r="AV471" s="460"/>
    </row>
    <row r="472" spans="1:48">
      <c r="A472" s="14"/>
      <c r="B472" s="15"/>
      <c r="C472" s="16"/>
      <c r="D472" s="17"/>
      <c r="E472" s="12"/>
      <c r="F472" s="18"/>
      <c r="G472" s="19"/>
      <c r="H472" s="13"/>
      <c r="I472" s="19"/>
      <c r="J472" s="13"/>
      <c r="K472" s="19"/>
      <c r="L472" s="13"/>
      <c r="M472" s="19"/>
      <c r="N472" s="13"/>
      <c r="O472" s="19"/>
      <c r="P472" s="13"/>
      <c r="Q472" s="19"/>
      <c r="R472" s="13"/>
      <c r="S472" s="19"/>
      <c r="T472" s="13"/>
      <c r="U472" s="19"/>
      <c r="V472" s="13"/>
      <c r="W472" s="19"/>
      <c r="X472" s="13"/>
      <c r="Y472" s="19"/>
      <c r="Z472" s="13"/>
      <c r="AA472" s="19"/>
      <c r="AB472" s="13"/>
      <c r="AC472" s="19"/>
      <c r="AD472" s="13"/>
      <c r="AE472" s="19"/>
      <c r="AF472" s="13"/>
      <c r="AG472" s="19"/>
      <c r="AH472" s="13"/>
      <c r="AI472" s="19"/>
      <c r="AJ472" s="13"/>
      <c r="AK472" s="19"/>
      <c r="AL472" s="13"/>
      <c r="AM472" s="19"/>
      <c r="AN472" s="13"/>
      <c r="AO472" s="19"/>
      <c r="AP472" s="13"/>
      <c r="AQ472" s="19"/>
      <c r="AR472" s="13"/>
      <c r="AS472" s="614"/>
      <c r="AT472" s="460"/>
      <c r="AU472" s="783"/>
      <c r="AV472" s="460"/>
    </row>
    <row r="473" spans="1:48">
      <c r="A473" s="14"/>
      <c r="B473" s="15"/>
      <c r="C473" s="16"/>
      <c r="D473" s="17"/>
      <c r="E473" s="12"/>
      <c r="F473" s="18"/>
      <c r="G473" s="19"/>
      <c r="H473" s="13"/>
      <c r="I473" s="19"/>
      <c r="J473" s="13"/>
      <c r="K473" s="19"/>
      <c r="L473" s="13"/>
      <c r="M473" s="19"/>
      <c r="N473" s="13"/>
      <c r="O473" s="19"/>
      <c r="P473" s="13"/>
      <c r="Q473" s="19"/>
      <c r="R473" s="13"/>
      <c r="S473" s="19"/>
      <c r="T473" s="13"/>
      <c r="U473" s="19"/>
      <c r="V473" s="13"/>
      <c r="W473" s="19"/>
      <c r="X473" s="13"/>
      <c r="Y473" s="19"/>
      <c r="Z473" s="13"/>
      <c r="AA473" s="19"/>
      <c r="AB473" s="13"/>
      <c r="AC473" s="19"/>
      <c r="AD473" s="13"/>
      <c r="AE473" s="19"/>
      <c r="AF473" s="13"/>
      <c r="AG473" s="19"/>
      <c r="AH473" s="13"/>
      <c r="AI473" s="19"/>
      <c r="AJ473" s="13"/>
      <c r="AK473" s="19"/>
      <c r="AL473" s="13"/>
      <c r="AM473" s="19"/>
      <c r="AN473" s="13"/>
      <c r="AO473" s="19"/>
      <c r="AP473" s="13"/>
      <c r="AQ473" s="19"/>
      <c r="AR473" s="13"/>
      <c r="AS473" s="614"/>
      <c r="AT473" s="460"/>
      <c r="AU473" s="783"/>
      <c r="AV473" s="460"/>
    </row>
    <row r="474" spans="1:48">
      <c r="A474" s="14"/>
      <c r="B474" s="15"/>
      <c r="C474" s="16"/>
      <c r="D474" s="17"/>
      <c r="E474" s="12"/>
      <c r="F474" s="18"/>
      <c r="G474" s="19"/>
      <c r="H474" s="13"/>
      <c r="I474" s="19"/>
      <c r="J474" s="13"/>
      <c r="K474" s="19"/>
      <c r="L474" s="13"/>
      <c r="M474" s="19"/>
      <c r="N474" s="13"/>
      <c r="O474" s="19"/>
      <c r="P474" s="13"/>
      <c r="Q474" s="19"/>
      <c r="R474" s="13"/>
      <c r="S474" s="19"/>
      <c r="T474" s="13"/>
      <c r="U474" s="19"/>
      <c r="V474" s="13"/>
      <c r="W474" s="19"/>
      <c r="X474" s="13"/>
      <c r="Y474" s="19"/>
      <c r="Z474" s="13"/>
      <c r="AA474" s="19"/>
      <c r="AB474" s="13"/>
      <c r="AC474" s="19"/>
      <c r="AD474" s="13"/>
      <c r="AE474" s="19"/>
      <c r="AF474" s="13"/>
      <c r="AG474" s="19"/>
      <c r="AH474" s="13"/>
      <c r="AI474" s="19"/>
      <c r="AJ474" s="13"/>
      <c r="AK474" s="19"/>
      <c r="AL474" s="13"/>
      <c r="AM474" s="19"/>
      <c r="AN474" s="13"/>
      <c r="AO474" s="19"/>
      <c r="AP474" s="13"/>
      <c r="AQ474" s="19"/>
      <c r="AR474" s="13"/>
      <c r="AS474" s="614"/>
      <c r="AT474" s="460"/>
      <c r="AU474" s="783"/>
      <c r="AV474" s="460"/>
    </row>
    <row r="475" spans="1:48">
      <c r="A475" s="14"/>
      <c r="B475" s="15"/>
      <c r="C475" s="16"/>
      <c r="D475" s="17"/>
      <c r="E475" s="12"/>
      <c r="F475" s="18"/>
      <c r="G475" s="19"/>
      <c r="H475" s="13"/>
      <c r="I475" s="19"/>
      <c r="J475" s="13"/>
      <c r="K475" s="19"/>
      <c r="L475" s="13"/>
      <c r="M475" s="19"/>
      <c r="N475" s="13"/>
      <c r="O475" s="19"/>
      <c r="P475" s="13"/>
      <c r="Q475" s="19"/>
      <c r="R475" s="13"/>
      <c r="S475" s="19"/>
      <c r="T475" s="13"/>
      <c r="U475" s="19"/>
      <c r="V475" s="13"/>
      <c r="W475" s="19"/>
      <c r="X475" s="13"/>
      <c r="Y475" s="19"/>
      <c r="Z475" s="13"/>
      <c r="AA475" s="19"/>
      <c r="AB475" s="13"/>
      <c r="AC475" s="19"/>
      <c r="AD475" s="13"/>
      <c r="AE475" s="19"/>
      <c r="AF475" s="13"/>
      <c r="AG475" s="19"/>
      <c r="AH475" s="13"/>
      <c r="AI475" s="19"/>
      <c r="AJ475" s="13"/>
      <c r="AK475" s="19"/>
      <c r="AL475" s="13"/>
      <c r="AM475" s="19"/>
      <c r="AN475" s="13"/>
      <c r="AO475" s="19"/>
      <c r="AP475" s="13"/>
      <c r="AQ475" s="19"/>
      <c r="AR475" s="13"/>
      <c r="AS475" s="614"/>
      <c r="AT475" s="460"/>
      <c r="AU475" s="783"/>
      <c r="AV475" s="460"/>
    </row>
    <row r="476" spans="1:48">
      <c r="A476" s="14"/>
      <c r="B476" s="15"/>
      <c r="C476" s="16"/>
      <c r="D476" s="17"/>
      <c r="E476" s="12"/>
      <c r="F476" s="18"/>
      <c r="G476" s="19"/>
      <c r="H476" s="13"/>
      <c r="I476" s="19"/>
      <c r="J476" s="13"/>
      <c r="K476" s="19"/>
      <c r="L476" s="13"/>
      <c r="M476" s="19"/>
      <c r="N476" s="13"/>
      <c r="O476" s="19"/>
      <c r="P476" s="13"/>
      <c r="Q476" s="19"/>
      <c r="R476" s="13"/>
      <c r="S476" s="19"/>
      <c r="T476" s="13"/>
      <c r="U476" s="19"/>
      <c r="V476" s="13"/>
      <c r="W476" s="19"/>
      <c r="X476" s="13"/>
      <c r="Y476" s="19"/>
      <c r="Z476" s="13"/>
      <c r="AA476" s="19"/>
      <c r="AB476" s="13"/>
      <c r="AC476" s="19"/>
      <c r="AD476" s="13"/>
      <c r="AE476" s="19"/>
      <c r="AF476" s="13"/>
      <c r="AG476" s="19"/>
      <c r="AH476" s="13"/>
      <c r="AI476" s="19"/>
      <c r="AJ476" s="13"/>
      <c r="AK476" s="19"/>
      <c r="AL476" s="13"/>
      <c r="AM476" s="19"/>
      <c r="AN476" s="13"/>
      <c r="AO476" s="19"/>
      <c r="AP476" s="13"/>
      <c r="AQ476" s="19"/>
      <c r="AR476" s="13"/>
      <c r="AS476" s="614"/>
      <c r="AT476" s="460"/>
      <c r="AU476" s="783"/>
      <c r="AV476" s="460"/>
    </row>
    <row r="477" spans="1:48">
      <c r="A477" s="14"/>
      <c r="B477" s="15"/>
      <c r="C477" s="16"/>
      <c r="D477" s="17"/>
      <c r="E477" s="12"/>
      <c r="F477" s="18"/>
      <c r="G477" s="19"/>
      <c r="H477" s="13"/>
      <c r="I477" s="19"/>
      <c r="J477" s="13"/>
      <c r="K477" s="19"/>
      <c r="L477" s="13"/>
      <c r="M477" s="19"/>
      <c r="N477" s="13"/>
      <c r="O477" s="19"/>
      <c r="P477" s="13"/>
      <c r="Q477" s="19"/>
      <c r="R477" s="13"/>
      <c r="S477" s="19"/>
      <c r="T477" s="13"/>
      <c r="U477" s="19"/>
      <c r="V477" s="13"/>
      <c r="W477" s="19"/>
      <c r="X477" s="13"/>
      <c r="Y477" s="19"/>
      <c r="Z477" s="13"/>
      <c r="AA477" s="19"/>
      <c r="AB477" s="13"/>
      <c r="AC477" s="19"/>
      <c r="AD477" s="13"/>
      <c r="AE477" s="19"/>
      <c r="AF477" s="13"/>
      <c r="AG477" s="19"/>
      <c r="AH477" s="13"/>
      <c r="AI477" s="19"/>
      <c r="AJ477" s="13"/>
      <c r="AK477" s="19"/>
      <c r="AL477" s="13"/>
      <c r="AM477" s="19"/>
      <c r="AN477" s="13"/>
      <c r="AO477" s="19"/>
      <c r="AP477" s="13"/>
      <c r="AQ477" s="19"/>
      <c r="AR477" s="13"/>
      <c r="AS477" s="614"/>
      <c r="AT477" s="460"/>
      <c r="AU477" s="783"/>
      <c r="AV477" s="460"/>
    </row>
    <row r="478" spans="1:48">
      <c r="A478" s="14"/>
      <c r="B478" s="15"/>
      <c r="C478" s="16"/>
      <c r="D478" s="17"/>
      <c r="E478" s="12"/>
      <c r="F478" s="18"/>
      <c r="G478" s="19"/>
      <c r="H478" s="13"/>
      <c r="I478" s="19"/>
      <c r="J478" s="13"/>
      <c r="K478" s="19"/>
      <c r="L478" s="13"/>
      <c r="M478" s="19"/>
      <c r="N478" s="13"/>
      <c r="O478" s="19"/>
      <c r="P478" s="13"/>
      <c r="Q478" s="19"/>
      <c r="R478" s="13"/>
      <c r="S478" s="19"/>
      <c r="T478" s="13"/>
      <c r="U478" s="19"/>
      <c r="V478" s="13"/>
      <c r="W478" s="19"/>
      <c r="X478" s="13"/>
      <c r="Y478" s="19"/>
      <c r="Z478" s="13"/>
      <c r="AA478" s="19"/>
      <c r="AB478" s="13"/>
      <c r="AC478" s="19"/>
      <c r="AD478" s="13"/>
      <c r="AE478" s="19"/>
      <c r="AF478" s="13"/>
      <c r="AG478" s="19"/>
      <c r="AH478" s="13"/>
      <c r="AI478" s="19"/>
      <c r="AJ478" s="13"/>
      <c r="AK478" s="19"/>
      <c r="AL478" s="13"/>
      <c r="AM478" s="19"/>
      <c r="AN478" s="13"/>
      <c r="AO478" s="19"/>
      <c r="AP478" s="13"/>
      <c r="AQ478" s="19"/>
      <c r="AR478" s="13"/>
      <c r="AS478" s="614"/>
      <c r="AT478" s="460"/>
      <c r="AU478" s="783"/>
      <c r="AV478" s="460"/>
    </row>
    <row r="479" spans="1:48">
      <c r="A479" s="14"/>
      <c r="B479" s="15"/>
      <c r="C479" s="16"/>
      <c r="D479" s="17"/>
      <c r="E479" s="12"/>
      <c r="F479" s="18"/>
      <c r="G479" s="19"/>
      <c r="H479" s="13"/>
      <c r="I479" s="19"/>
      <c r="J479" s="13"/>
      <c r="K479" s="19"/>
      <c r="L479" s="13"/>
      <c r="M479" s="19"/>
      <c r="N479" s="13"/>
      <c r="O479" s="19"/>
      <c r="P479" s="13"/>
      <c r="Q479" s="19"/>
      <c r="R479" s="13"/>
      <c r="S479" s="19"/>
      <c r="T479" s="13"/>
      <c r="U479" s="19"/>
      <c r="V479" s="13"/>
      <c r="W479" s="19"/>
      <c r="X479" s="13"/>
      <c r="Y479" s="19"/>
      <c r="Z479" s="13"/>
      <c r="AA479" s="19"/>
      <c r="AB479" s="13"/>
      <c r="AC479" s="19"/>
      <c r="AD479" s="13"/>
      <c r="AE479" s="19"/>
      <c r="AF479" s="13"/>
      <c r="AG479" s="19"/>
      <c r="AH479" s="13"/>
      <c r="AI479" s="19"/>
      <c r="AJ479" s="13"/>
      <c r="AK479" s="19"/>
      <c r="AL479" s="13"/>
      <c r="AM479" s="19"/>
      <c r="AN479" s="13"/>
      <c r="AO479" s="19"/>
      <c r="AP479" s="13"/>
      <c r="AQ479" s="19"/>
      <c r="AR479" s="13"/>
      <c r="AS479" s="614"/>
      <c r="AT479" s="460"/>
      <c r="AU479" s="783"/>
      <c r="AV479" s="460"/>
    </row>
    <row r="480" spans="1:48">
      <c r="A480" s="14"/>
      <c r="B480" s="15"/>
      <c r="C480" s="16"/>
      <c r="D480" s="17"/>
      <c r="E480" s="12"/>
      <c r="F480" s="18"/>
      <c r="G480" s="19"/>
      <c r="H480" s="13"/>
      <c r="I480" s="19"/>
      <c r="J480" s="13"/>
      <c r="K480" s="19"/>
      <c r="L480" s="13"/>
      <c r="M480" s="19"/>
      <c r="N480" s="13"/>
      <c r="O480" s="19"/>
      <c r="P480" s="13"/>
      <c r="Q480" s="19"/>
      <c r="R480" s="13"/>
      <c r="S480" s="19"/>
      <c r="T480" s="13"/>
      <c r="U480" s="19"/>
      <c r="V480" s="13"/>
      <c r="W480" s="19"/>
      <c r="X480" s="13"/>
      <c r="Y480" s="19"/>
      <c r="Z480" s="13"/>
      <c r="AA480" s="19"/>
      <c r="AB480" s="13"/>
      <c r="AC480" s="19"/>
      <c r="AD480" s="13"/>
      <c r="AE480" s="19"/>
      <c r="AF480" s="13"/>
      <c r="AG480" s="19"/>
      <c r="AH480" s="13"/>
      <c r="AI480" s="19"/>
      <c r="AJ480" s="13"/>
      <c r="AK480" s="19"/>
      <c r="AL480" s="13"/>
      <c r="AM480" s="19"/>
      <c r="AN480" s="13"/>
      <c r="AO480" s="19"/>
      <c r="AP480" s="13"/>
      <c r="AQ480" s="19"/>
      <c r="AR480" s="13"/>
      <c r="AS480" s="614"/>
      <c r="AT480" s="460"/>
      <c r="AU480" s="783"/>
      <c r="AV480" s="460"/>
    </row>
    <row r="481" spans="1:48">
      <c r="A481" s="14"/>
      <c r="B481" s="15"/>
      <c r="C481" s="16"/>
      <c r="D481" s="17"/>
      <c r="E481" s="12"/>
      <c r="F481" s="18"/>
      <c r="G481" s="19"/>
      <c r="H481" s="13"/>
      <c r="I481" s="19"/>
      <c r="J481" s="13"/>
      <c r="K481" s="19"/>
      <c r="L481" s="13"/>
      <c r="M481" s="19"/>
      <c r="N481" s="13"/>
      <c r="O481" s="19"/>
      <c r="P481" s="13"/>
      <c r="Q481" s="19"/>
      <c r="R481" s="13"/>
      <c r="S481" s="19"/>
      <c r="T481" s="13"/>
      <c r="U481" s="19"/>
      <c r="V481" s="13"/>
      <c r="W481" s="19"/>
      <c r="X481" s="13"/>
      <c r="Y481" s="19"/>
      <c r="Z481" s="13"/>
      <c r="AA481" s="19"/>
      <c r="AB481" s="13"/>
      <c r="AC481" s="19"/>
      <c r="AD481" s="13"/>
      <c r="AE481" s="19"/>
      <c r="AF481" s="13"/>
      <c r="AG481" s="19"/>
      <c r="AH481" s="13"/>
      <c r="AI481" s="19"/>
      <c r="AJ481" s="13"/>
      <c r="AK481" s="19"/>
      <c r="AL481" s="13"/>
      <c r="AM481" s="19"/>
      <c r="AN481" s="13"/>
      <c r="AO481" s="19"/>
      <c r="AP481" s="13"/>
      <c r="AQ481" s="19"/>
      <c r="AR481" s="13"/>
      <c r="AS481" s="614"/>
      <c r="AT481" s="460"/>
      <c r="AU481" s="783"/>
      <c r="AV481" s="460"/>
    </row>
    <row r="482" spans="1:48">
      <c r="A482" s="14"/>
      <c r="B482" s="15"/>
      <c r="C482" s="16"/>
      <c r="D482" s="17"/>
      <c r="E482" s="12"/>
      <c r="F482" s="18"/>
      <c r="G482" s="19"/>
      <c r="H482" s="13"/>
      <c r="I482" s="19"/>
      <c r="J482" s="13"/>
      <c r="K482" s="19"/>
      <c r="L482" s="13"/>
      <c r="M482" s="19"/>
      <c r="N482" s="13"/>
      <c r="O482" s="19"/>
      <c r="P482" s="13"/>
      <c r="Q482" s="19"/>
      <c r="R482" s="13"/>
      <c r="S482" s="19"/>
      <c r="T482" s="13"/>
      <c r="U482" s="19"/>
      <c r="V482" s="13"/>
      <c r="W482" s="19"/>
      <c r="X482" s="13"/>
      <c r="Y482" s="19"/>
      <c r="Z482" s="13"/>
      <c r="AA482" s="19"/>
      <c r="AB482" s="13"/>
      <c r="AC482" s="19"/>
      <c r="AD482" s="13"/>
      <c r="AE482" s="19"/>
      <c r="AF482" s="13"/>
      <c r="AG482" s="19"/>
      <c r="AH482" s="13"/>
      <c r="AI482" s="19"/>
      <c r="AJ482" s="13"/>
      <c r="AK482" s="19"/>
      <c r="AL482" s="13"/>
      <c r="AM482" s="19"/>
      <c r="AN482" s="13"/>
      <c r="AO482" s="19"/>
      <c r="AP482" s="13"/>
      <c r="AQ482" s="19"/>
      <c r="AR482" s="13"/>
      <c r="AS482" s="614"/>
      <c r="AT482" s="460"/>
      <c r="AU482" s="783"/>
      <c r="AV482" s="460"/>
    </row>
    <row r="483" spans="1:48">
      <c r="A483" s="14"/>
      <c r="B483" s="15"/>
      <c r="C483" s="16"/>
      <c r="D483" s="17"/>
      <c r="E483" s="12"/>
      <c r="F483" s="18"/>
      <c r="G483" s="19"/>
      <c r="H483" s="13"/>
      <c r="I483" s="19"/>
      <c r="J483" s="13"/>
      <c r="K483" s="19"/>
      <c r="L483" s="13"/>
      <c r="M483" s="19"/>
      <c r="N483" s="13"/>
      <c r="O483" s="19"/>
      <c r="P483" s="13"/>
      <c r="Q483" s="19"/>
      <c r="R483" s="13"/>
      <c r="S483" s="19"/>
      <c r="T483" s="13"/>
      <c r="U483" s="19"/>
      <c r="V483" s="13"/>
      <c r="W483" s="19"/>
      <c r="X483" s="13"/>
      <c r="Y483" s="19"/>
      <c r="Z483" s="13"/>
      <c r="AA483" s="19"/>
      <c r="AB483" s="13"/>
      <c r="AC483" s="19"/>
      <c r="AD483" s="13"/>
      <c r="AE483" s="19"/>
      <c r="AF483" s="13"/>
      <c r="AG483" s="19"/>
      <c r="AH483" s="13"/>
      <c r="AI483" s="19"/>
      <c r="AJ483" s="13"/>
      <c r="AK483" s="19"/>
      <c r="AL483" s="13"/>
      <c r="AM483" s="19"/>
      <c r="AN483" s="13"/>
      <c r="AO483" s="19"/>
      <c r="AP483" s="13"/>
      <c r="AQ483" s="19"/>
      <c r="AR483" s="13"/>
      <c r="AS483" s="614"/>
      <c r="AT483" s="460"/>
      <c r="AU483" s="783"/>
      <c r="AV483" s="460"/>
    </row>
    <row r="484" spans="1:48">
      <c r="A484" s="14"/>
      <c r="B484" s="15"/>
      <c r="C484" s="16"/>
      <c r="D484" s="17"/>
      <c r="E484" s="12"/>
      <c r="F484" s="18"/>
      <c r="G484" s="19"/>
      <c r="H484" s="13"/>
      <c r="I484" s="19"/>
      <c r="J484" s="13"/>
      <c r="K484" s="19"/>
      <c r="L484" s="13"/>
      <c r="M484" s="19"/>
      <c r="N484" s="13"/>
      <c r="O484" s="19"/>
      <c r="P484" s="13"/>
      <c r="Q484" s="19"/>
      <c r="R484" s="13"/>
      <c r="S484" s="19"/>
      <c r="T484" s="13"/>
      <c r="U484" s="19"/>
      <c r="V484" s="13"/>
      <c r="W484" s="19"/>
      <c r="X484" s="13"/>
      <c r="Y484" s="19"/>
      <c r="Z484" s="13"/>
      <c r="AA484" s="19"/>
      <c r="AB484" s="13"/>
      <c r="AC484" s="19"/>
      <c r="AD484" s="13"/>
      <c r="AE484" s="19"/>
      <c r="AF484" s="13"/>
      <c r="AG484" s="19"/>
      <c r="AH484" s="13"/>
      <c r="AI484" s="19"/>
      <c r="AJ484" s="13"/>
      <c r="AK484" s="19"/>
      <c r="AL484" s="13"/>
      <c r="AM484" s="19"/>
      <c r="AN484" s="13"/>
      <c r="AO484" s="19"/>
      <c r="AP484" s="13"/>
      <c r="AQ484" s="19"/>
      <c r="AR484" s="13"/>
      <c r="AS484" s="614"/>
      <c r="AT484" s="460"/>
      <c r="AU484" s="783"/>
      <c r="AV484" s="460"/>
    </row>
    <row r="485" spans="1:48">
      <c r="A485" s="14"/>
      <c r="B485" s="15"/>
      <c r="C485" s="16"/>
      <c r="D485" s="17"/>
      <c r="E485" s="12"/>
      <c r="F485" s="18"/>
      <c r="G485" s="19"/>
      <c r="H485" s="13"/>
      <c r="I485" s="19"/>
      <c r="J485" s="13"/>
      <c r="K485" s="19"/>
      <c r="L485" s="13"/>
      <c r="M485" s="19"/>
      <c r="N485" s="13"/>
      <c r="O485" s="19"/>
      <c r="P485" s="13"/>
      <c r="Q485" s="19"/>
      <c r="R485" s="13"/>
      <c r="S485" s="19"/>
      <c r="T485" s="13"/>
      <c r="U485" s="19"/>
      <c r="V485" s="13"/>
      <c r="W485" s="19"/>
      <c r="X485" s="13"/>
      <c r="Y485" s="19"/>
      <c r="Z485" s="13"/>
      <c r="AA485" s="19"/>
      <c r="AB485" s="13"/>
      <c r="AC485" s="19"/>
      <c r="AD485" s="13"/>
      <c r="AE485" s="19"/>
      <c r="AF485" s="13"/>
      <c r="AG485" s="19"/>
      <c r="AH485" s="13"/>
      <c r="AI485" s="19"/>
      <c r="AJ485" s="13"/>
      <c r="AK485" s="19"/>
      <c r="AL485" s="13"/>
      <c r="AM485" s="19"/>
      <c r="AN485" s="13"/>
      <c r="AO485" s="19"/>
      <c r="AP485" s="13"/>
      <c r="AQ485" s="19"/>
      <c r="AR485" s="13"/>
      <c r="AS485" s="614"/>
      <c r="AT485" s="460"/>
      <c r="AU485" s="783"/>
      <c r="AV485" s="460"/>
    </row>
    <row r="486" spans="1:48">
      <c r="A486" s="14"/>
      <c r="B486" s="15"/>
      <c r="C486" s="16"/>
      <c r="D486" s="17"/>
      <c r="E486" s="12"/>
      <c r="F486" s="18"/>
      <c r="G486" s="19"/>
      <c r="H486" s="13"/>
      <c r="I486" s="19"/>
      <c r="J486" s="13"/>
      <c r="K486" s="19"/>
      <c r="L486" s="13"/>
      <c r="M486" s="19"/>
      <c r="N486" s="13"/>
      <c r="O486" s="19"/>
      <c r="P486" s="13"/>
      <c r="Q486" s="19"/>
      <c r="R486" s="13"/>
      <c r="S486" s="19"/>
      <c r="T486" s="13"/>
      <c r="U486" s="19"/>
      <c r="V486" s="13"/>
      <c r="W486" s="19"/>
      <c r="X486" s="13"/>
      <c r="Y486" s="19"/>
      <c r="Z486" s="13"/>
      <c r="AA486" s="19"/>
      <c r="AB486" s="13"/>
      <c r="AC486" s="19"/>
      <c r="AD486" s="13"/>
      <c r="AE486" s="19"/>
      <c r="AF486" s="13"/>
      <c r="AG486" s="19"/>
      <c r="AH486" s="13"/>
      <c r="AI486" s="19"/>
      <c r="AJ486" s="13"/>
      <c r="AK486" s="19"/>
      <c r="AL486" s="13"/>
      <c r="AM486" s="19"/>
      <c r="AN486" s="13"/>
      <c r="AO486" s="19"/>
      <c r="AP486" s="13"/>
      <c r="AQ486" s="19"/>
      <c r="AR486" s="13"/>
      <c r="AS486" s="614"/>
      <c r="AT486" s="460"/>
      <c r="AU486" s="783"/>
      <c r="AV486" s="460"/>
    </row>
    <row r="487" spans="1:48">
      <c r="A487" s="14"/>
      <c r="B487" s="15"/>
      <c r="C487" s="16"/>
      <c r="D487" s="17"/>
      <c r="E487" s="12"/>
      <c r="F487" s="18"/>
      <c r="G487" s="19"/>
      <c r="H487" s="13"/>
      <c r="I487" s="19"/>
      <c r="J487" s="13"/>
      <c r="K487" s="19"/>
      <c r="L487" s="13"/>
      <c r="M487" s="19"/>
      <c r="N487" s="13"/>
      <c r="O487" s="19"/>
      <c r="P487" s="13"/>
      <c r="Q487" s="19"/>
      <c r="R487" s="13"/>
      <c r="S487" s="19"/>
      <c r="T487" s="13"/>
      <c r="U487" s="19"/>
      <c r="V487" s="13"/>
      <c r="W487" s="19"/>
      <c r="X487" s="13"/>
      <c r="Y487" s="19"/>
      <c r="Z487" s="13"/>
      <c r="AA487" s="19"/>
      <c r="AB487" s="13"/>
      <c r="AC487" s="19"/>
      <c r="AD487" s="13"/>
      <c r="AE487" s="19"/>
      <c r="AF487" s="13"/>
      <c r="AG487" s="19"/>
      <c r="AH487" s="13"/>
      <c r="AI487" s="19"/>
      <c r="AJ487" s="13"/>
      <c r="AK487" s="19"/>
      <c r="AL487" s="13"/>
      <c r="AM487" s="19"/>
      <c r="AN487" s="13"/>
      <c r="AO487" s="19"/>
      <c r="AP487" s="13"/>
      <c r="AQ487" s="19"/>
      <c r="AR487" s="13"/>
      <c r="AS487" s="614"/>
      <c r="AT487" s="460"/>
      <c r="AU487" s="783"/>
      <c r="AV487" s="460"/>
    </row>
    <row r="488" spans="1:48">
      <c r="A488" s="14"/>
      <c r="B488" s="15"/>
      <c r="C488" s="16"/>
      <c r="D488" s="17"/>
      <c r="E488" s="12"/>
      <c r="F488" s="18"/>
      <c r="G488" s="19"/>
      <c r="H488" s="13"/>
      <c r="I488" s="19"/>
      <c r="J488" s="13"/>
      <c r="K488" s="19"/>
      <c r="L488" s="13"/>
      <c r="M488" s="19"/>
      <c r="N488" s="13"/>
      <c r="O488" s="19"/>
      <c r="P488" s="13"/>
      <c r="Q488" s="19"/>
      <c r="R488" s="13"/>
      <c r="S488" s="19"/>
      <c r="T488" s="13"/>
      <c r="U488" s="19"/>
      <c r="V488" s="13"/>
      <c r="W488" s="19"/>
      <c r="X488" s="13"/>
      <c r="Y488" s="19"/>
      <c r="Z488" s="13"/>
      <c r="AA488" s="19"/>
      <c r="AB488" s="13"/>
      <c r="AC488" s="19"/>
      <c r="AD488" s="13"/>
      <c r="AE488" s="19"/>
      <c r="AF488" s="13"/>
      <c r="AG488" s="19"/>
      <c r="AH488" s="13"/>
      <c r="AI488" s="19"/>
      <c r="AJ488" s="13"/>
      <c r="AK488" s="19"/>
      <c r="AL488" s="13"/>
      <c r="AM488" s="19"/>
      <c r="AN488" s="13"/>
      <c r="AO488" s="19"/>
      <c r="AP488" s="13"/>
      <c r="AQ488" s="19"/>
      <c r="AR488" s="13"/>
      <c r="AS488" s="614"/>
      <c r="AT488" s="460"/>
      <c r="AU488" s="783"/>
      <c r="AV488" s="460"/>
    </row>
    <row r="489" spans="1:48">
      <c r="A489" s="14"/>
      <c r="B489" s="15"/>
      <c r="C489" s="16"/>
      <c r="D489" s="17"/>
      <c r="E489" s="12"/>
      <c r="F489" s="18"/>
      <c r="G489" s="19"/>
      <c r="H489" s="13"/>
      <c r="I489" s="19"/>
      <c r="J489" s="13"/>
      <c r="K489" s="19"/>
      <c r="L489" s="13"/>
      <c r="M489" s="19"/>
      <c r="N489" s="13"/>
      <c r="O489" s="19"/>
      <c r="P489" s="13"/>
      <c r="Q489" s="19"/>
      <c r="R489" s="13"/>
      <c r="S489" s="19"/>
      <c r="T489" s="13"/>
      <c r="U489" s="19"/>
      <c r="V489" s="13"/>
      <c r="W489" s="19"/>
      <c r="X489" s="13"/>
      <c r="Y489" s="19"/>
      <c r="Z489" s="13"/>
      <c r="AA489" s="19"/>
      <c r="AB489" s="13"/>
      <c r="AC489" s="19"/>
      <c r="AD489" s="13"/>
      <c r="AE489" s="19"/>
      <c r="AF489" s="13"/>
      <c r="AG489" s="19"/>
      <c r="AH489" s="13"/>
      <c r="AI489" s="19"/>
      <c r="AJ489" s="13"/>
      <c r="AK489" s="19"/>
      <c r="AL489" s="13"/>
      <c r="AM489" s="19"/>
      <c r="AN489" s="13"/>
      <c r="AO489" s="19"/>
      <c r="AP489" s="13"/>
      <c r="AQ489" s="19"/>
      <c r="AR489" s="13"/>
      <c r="AS489" s="614"/>
      <c r="AT489" s="460"/>
      <c r="AU489" s="783"/>
      <c r="AV489" s="460"/>
    </row>
    <row r="490" spans="1:48">
      <c r="A490" s="14"/>
      <c r="B490" s="15"/>
      <c r="C490" s="16"/>
      <c r="D490" s="17"/>
      <c r="E490" s="12"/>
      <c r="F490" s="18"/>
      <c r="G490" s="19"/>
      <c r="H490" s="13"/>
      <c r="I490" s="19"/>
      <c r="J490" s="13"/>
      <c r="K490" s="19"/>
      <c r="L490" s="13"/>
      <c r="M490" s="19"/>
      <c r="N490" s="13"/>
      <c r="O490" s="19"/>
      <c r="P490" s="13"/>
      <c r="Q490" s="19"/>
      <c r="R490" s="13"/>
      <c r="S490" s="19"/>
      <c r="T490" s="13"/>
      <c r="U490" s="19"/>
      <c r="V490" s="13"/>
      <c r="W490" s="19"/>
      <c r="X490" s="13"/>
      <c r="Y490" s="19"/>
      <c r="Z490" s="13"/>
      <c r="AA490" s="19"/>
      <c r="AB490" s="13"/>
      <c r="AC490" s="19"/>
      <c r="AD490" s="13"/>
      <c r="AE490" s="19"/>
      <c r="AF490" s="13"/>
      <c r="AG490" s="19"/>
      <c r="AH490" s="13"/>
      <c r="AI490" s="19"/>
      <c r="AJ490" s="13"/>
      <c r="AK490" s="19"/>
      <c r="AL490" s="13"/>
      <c r="AM490" s="19"/>
      <c r="AN490" s="13"/>
      <c r="AO490" s="19"/>
      <c r="AP490" s="13"/>
      <c r="AQ490" s="19"/>
      <c r="AR490" s="13"/>
      <c r="AS490" s="614"/>
      <c r="AT490" s="460"/>
      <c r="AU490" s="783"/>
      <c r="AV490" s="460"/>
    </row>
    <row r="491" spans="1:48">
      <c r="A491" s="14"/>
      <c r="B491" s="15"/>
      <c r="C491" s="16"/>
      <c r="D491" s="17"/>
      <c r="E491" s="12"/>
      <c r="F491" s="18"/>
      <c r="G491" s="19"/>
      <c r="H491" s="13"/>
      <c r="I491" s="19"/>
      <c r="J491" s="13"/>
      <c r="K491" s="19"/>
      <c r="L491" s="13"/>
      <c r="M491" s="19"/>
      <c r="N491" s="13"/>
      <c r="O491" s="19"/>
      <c r="P491" s="13"/>
      <c r="Q491" s="19"/>
      <c r="R491" s="13"/>
      <c r="S491" s="19"/>
      <c r="T491" s="13"/>
      <c r="U491" s="19"/>
      <c r="V491" s="13"/>
      <c r="W491" s="19"/>
      <c r="X491" s="13"/>
      <c r="Y491" s="19"/>
      <c r="Z491" s="13"/>
      <c r="AA491" s="19"/>
      <c r="AB491" s="13"/>
      <c r="AC491" s="19"/>
      <c r="AD491" s="13"/>
      <c r="AE491" s="19"/>
      <c r="AF491" s="13"/>
      <c r="AG491" s="19"/>
      <c r="AH491" s="13"/>
      <c r="AI491" s="19"/>
      <c r="AJ491" s="13"/>
      <c r="AK491" s="19"/>
      <c r="AL491" s="13"/>
      <c r="AM491" s="19"/>
      <c r="AN491" s="13"/>
      <c r="AO491" s="19"/>
      <c r="AP491" s="13"/>
      <c r="AQ491" s="19"/>
      <c r="AR491" s="13"/>
      <c r="AS491" s="614"/>
      <c r="AT491" s="460"/>
      <c r="AU491" s="783"/>
      <c r="AV491" s="460"/>
    </row>
    <row r="492" spans="1:48">
      <c r="A492" s="14"/>
      <c r="B492" s="15"/>
      <c r="C492" s="16"/>
      <c r="D492" s="17"/>
      <c r="E492" s="12"/>
      <c r="F492" s="18"/>
      <c r="G492" s="19"/>
      <c r="H492" s="13"/>
      <c r="I492" s="19"/>
      <c r="J492" s="13"/>
      <c r="K492" s="19"/>
      <c r="L492" s="13"/>
      <c r="M492" s="19"/>
      <c r="N492" s="13"/>
      <c r="O492" s="19"/>
      <c r="P492" s="13"/>
      <c r="Q492" s="19"/>
      <c r="R492" s="13"/>
      <c r="S492" s="19"/>
      <c r="T492" s="13"/>
      <c r="U492" s="19"/>
      <c r="V492" s="13"/>
      <c r="W492" s="19"/>
      <c r="X492" s="13"/>
      <c r="Y492" s="19"/>
      <c r="Z492" s="13"/>
      <c r="AA492" s="19"/>
      <c r="AB492" s="13"/>
      <c r="AC492" s="19"/>
      <c r="AD492" s="13"/>
      <c r="AE492" s="19"/>
      <c r="AF492" s="13"/>
      <c r="AG492" s="19"/>
      <c r="AH492" s="13"/>
      <c r="AI492" s="19"/>
      <c r="AJ492" s="13"/>
      <c r="AK492" s="19"/>
      <c r="AL492" s="13"/>
      <c r="AM492" s="19"/>
      <c r="AN492" s="13"/>
      <c r="AO492" s="19"/>
      <c r="AP492" s="13"/>
      <c r="AQ492" s="19"/>
      <c r="AR492" s="13"/>
      <c r="AS492" s="614"/>
      <c r="AT492" s="460"/>
      <c r="AU492" s="783"/>
      <c r="AV492" s="460"/>
    </row>
    <row r="493" spans="1:48">
      <c r="A493" s="14"/>
      <c r="B493" s="15"/>
      <c r="C493" s="16"/>
      <c r="D493" s="17"/>
      <c r="E493" s="12"/>
      <c r="F493" s="18"/>
      <c r="G493" s="19"/>
      <c r="H493" s="13"/>
      <c r="I493" s="19"/>
      <c r="J493" s="13"/>
      <c r="K493" s="19"/>
      <c r="L493" s="13"/>
      <c r="M493" s="19"/>
      <c r="N493" s="13"/>
      <c r="O493" s="19"/>
      <c r="P493" s="13"/>
      <c r="Q493" s="19"/>
      <c r="R493" s="13"/>
      <c r="S493" s="19"/>
      <c r="T493" s="13"/>
      <c r="U493" s="19"/>
      <c r="V493" s="13"/>
      <c r="W493" s="19"/>
      <c r="X493" s="13"/>
      <c r="Y493" s="19"/>
      <c r="Z493" s="13"/>
      <c r="AA493" s="19"/>
      <c r="AB493" s="13"/>
      <c r="AC493" s="19"/>
      <c r="AD493" s="13"/>
      <c r="AE493" s="19"/>
      <c r="AF493" s="13"/>
      <c r="AG493" s="19"/>
      <c r="AH493" s="13"/>
      <c r="AI493" s="19"/>
      <c r="AJ493" s="13"/>
      <c r="AK493" s="19"/>
      <c r="AL493" s="13"/>
      <c r="AM493" s="19"/>
      <c r="AN493" s="13"/>
      <c r="AO493" s="19"/>
      <c r="AP493" s="13"/>
      <c r="AQ493" s="19"/>
      <c r="AR493" s="13"/>
      <c r="AS493" s="614"/>
      <c r="AT493" s="460"/>
      <c r="AU493" s="783"/>
      <c r="AV493" s="460"/>
    </row>
    <row r="494" spans="1:48">
      <c r="A494" s="14"/>
      <c r="B494" s="15"/>
      <c r="C494" s="16"/>
      <c r="D494" s="17"/>
      <c r="E494" s="12"/>
      <c r="F494" s="18"/>
      <c r="G494" s="19"/>
      <c r="H494" s="13"/>
      <c r="I494" s="19"/>
      <c r="J494" s="13"/>
      <c r="K494" s="19"/>
      <c r="L494" s="13"/>
      <c r="M494" s="19"/>
      <c r="N494" s="13"/>
      <c r="O494" s="19"/>
      <c r="P494" s="13"/>
      <c r="Q494" s="19"/>
      <c r="R494" s="13"/>
      <c r="S494" s="19"/>
      <c r="T494" s="13"/>
      <c r="U494" s="19"/>
      <c r="V494" s="13"/>
      <c r="W494" s="19"/>
      <c r="X494" s="13"/>
      <c r="Y494" s="19"/>
      <c r="Z494" s="13"/>
      <c r="AA494" s="19"/>
      <c r="AB494" s="13"/>
      <c r="AC494" s="19"/>
      <c r="AD494" s="13"/>
      <c r="AE494" s="19"/>
      <c r="AF494" s="13"/>
      <c r="AG494" s="19"/>
      <c r="AH494" s="13"/>
      <c r="AI494" s="19"/>
      <c r="AJ494" s="13"/>
      <c r="AK494" s="19"/>
      <c r="AL494" s="13"/>
      <c r="AM494" s="19"/>
      <c r="AN494" s="13"/>
      <c r="AO494" s="19"/>
      <c r="AP494" s="13"/>
      <c r="AQ494" s="19"/>
      <c r="AR494" s="13"/>
      <c r="AS494" s="614"/>
      <c r="AT494" s="460"/>
      <c r="AU494" s="783"/>
      <c r="AV494" s="460"/>
    </row>
    <row r="495" spans="1:48">
      <c r="A495" s="14"/>
      <c r="B495" s="15"/>
      <c r="C495" s="16"/>
      <c r="D495" s="17"/>
      <c r="E495" s="12"/>
      <c r="F495" s="18"/>
      <c r="G495" s="19"/>
      <c r="H495" s="13"/>
      <c r="I495" s="19"/>
      <c r="J495" s="13"/>
      <c r="K495" s="19"/>
      <c r="L495" s="13"/>
      <c r="M495" s="19"/>
      <c r="N495" s="13"/>
      <c r="O495" s="19"/>
      <c r="P495" s="13"/>
      <c r="Q495" s="19"/>
      <c r="R495" s="13"/>
      <c r="S495" s="19"/>
      <c r="T495" s="13"/>
      <c r="U495" s="19"/>
      <c r="V495" s="13"/>
      <c r="W495" s="19"/>
      <c r="X495" s="13"/>
      <c r="Y495" s="19"/>
      <c r="Z495" s="13"/>
      <c r="AA495" s="19"/>
      <c r="AB495" s="13"/>
      <c r="AC495" s="19"/>
      <c r="AD495" s="13"/>
      <c r="AE495" s="19"/>
      <c r="AF495" s="13"/>
      <c r="AG495" s="19"/>
      <c r="AH495" s="13"/>
      <c r="AI495" s="19"/>
      <c r="AJ495" s="13"/>
      <c r="AK495" s="19"/>
      <c r="AL495" s="13"/>
      <c r="AM495" s="19"/>
      <c r="AN495" s="13"/>
      <c r="AO495" s="19"/>
      <c r="AP495" s="13"/>
      <c r="AQ495" s="19"/>
      <c r="AR495" s="13"/>
      <c r="AS495" s="614"/>
      <c r="AT495" s="460"/>
      <c r="AU495" s="783"/>
      <c r="AV495" s="460"/>
    </row>
    <row r="496" spans="1:48">
      <c r="A496" s="14"/>
      <c r="B496" s="15"/>
      <c r="C496" s="16"/>
      <c r="D496" s="17"/>
      <c r="E496" s="12"/>
      <c r="F496" s="18"/>
      <c r="G496" s="19"/>
      <c r="H496" s="13"/>
      <c r="I496" s="19"/>
      <c r="J496" s="13"/>
      <c r="K496" s="19"/>
      <c r="L496" s="13"/>
      <c r="M496" s="19"/>
      <c r="N496" s="13"/>
      <c r="O496" s="19"/>
      <c r="P496" s="13"/>
      <c r="Q496" s="19"/>
      <c r="R496" s="13"/>
      <c r="S496" s="19"/>
      <c r="T496" s="13"/>
      <c r="U496" s="19"/>
      <c r="V496" s="13"/>
      <c r="W496" s="19"/>
      <c r="X496" s="13"/>
      <c r="Y496" s="19"/>
      <c r="Z496" s="13"/>
      <c r="AA496" s="19"/>
      <c r="AB496" s="13"/>
      <c r="AC496" s="19"/>
      <c r="AD496" s="13"/>
      <c r="AE496" s="19"/>
      <c r="AF496" s="13"/>
      <c r="AG496" s="19"/>
      <c r="AH496" s="13"/>
      <c r="AI496" s="19"/>
      <c r="AJ496" s="13"/>
      <c r="AK496" s="19"/>
      <c r="AL496" s="13"/>
      <c r="AM496" s="19"/>
      <c r="AN496" s="13"/>
      <c r="AO496" s="19"/>
      <c r="AP496" s="13"/>
      <c r="AQ496" s="19"/>
      <c r="AR496" s="13"/>
      <c r="AS496" s="614"/>
      <c r="AT496" s="460"/>
      <c r="AU496" s="783"/>
      <c r="AV496" s="460"/>
    </row>
    <row r="497" spans="1:48">
      <c r="A497" s="14"/>
      <c r="B497" s="15"/>
      <c r="C497" s="16"/>
      <c r="D497" s="20"/>
      <c r="E497" s="12"/>
      <c r="F497" s="18"/>
      <c r="G497" s="19"/>
      <c r="H497" s="13"/>
      <c r="I497" s="19"/>
      <c r="J497" s="13"/>
      <c r="K497" s="19"/>
      <c r="L497" s="13"/>
      <c r="M497" s="19"/>
      <c r="N497" s="13"/>
      <c r="O497" s="19"/>
      <c r="P497" s="13"/>
      <c r="Q497" s="19"/>
      <c r="R497" s="13"/>
      <c r="S497" s="19"/>
      <c r="T497" s="13"/>
      <c r="U497" s="19"/>
      <c r="V497" s="13"/>
      <c r="W497" s="19"/>
      <c r="X497" s="13"/>
      <c r="Y497" s="19"/>
      <c r="Z497" s="13"/>
      <c r="AA497" s="19"/>
      <c r="AB497" s="13"/>
      <c r="AC497" s="19"/>
      <c r="AD497" s="13"/>
      <c r="AE497" s="19"/>
      <c r="AF497" s="13"/>
      <c r="AG497" s="19"/>
      <c r="AH497" s="13"/>
      <c r="AI497" s="19"/>
      <c r="AJ497" s="13"/>
      <c r="AK497" s="19"/>
      <c r="AL497" s="13"/>
      <c r="AM497" s="19"/>
      <c r="AN497" s="13"/>
      <c r="AO497" s="19"/>
      <c r="AP497" s="13"/>
      <c r="AQ497" s="19"/>
      <c r="AR497" s="13"/>
      <c r="AS497" s="614"/>
      <c r="AT497" s="460"/>
      <c r="AU497" s="783"/>
      <c r="AV497" s="460"/>
    </row>
    <row r="498" spans="1:48">
      <c r="A498" s="14"/>
      <c r="B498" s="15"/>
      <c r="C498" s="16"/>
      <c r="D498" s="20"/>
      <c r="E498" s="12"/>
      <c r="F498" s="18"/>
      <c r="G498" s="19"/>
      <c r="H498" s="13"/>
      <c r="I498" s="19"/>
      <c r="J498" s="13"/>
      <c r="K498" s="19"/>
      <c r="L498" s="13"/>
      <c r="M498" s="19"/>
      <c r="N498" s="13"/>
      <c r="O498" s="19"/>
      <c r="P498" s="13"/>
      <c r="Q498" s="19"/>
      <c r="R498" s="13"/>
      <c r="S498" s="19"/>
      <c r="T498" s="13"/>
      <c r="U498" s="19"/>
      <c r="V498" s="13"/>
      <c r="W498" s="19"/>
      <c r="X498" s="13"/>
      <c r="Y498" s="19"/>
      <c r="Z498" s="13"/>
      <c r="AA498" s="19"/>
      <c r="AB498" s="13"/>
      <c r="AC498" s="19"/>
      <c r="AD498" s="13"/>
      <c r="AE498" s="19"/>
      <c r="AF498" s="13"/>
      <c r="AG498" s="19"/>
      <c r="AH498" s="13"/>
      <c r="AI498" s="19"/>
      <c r="AJ498" s="13"/>
      <c r="AK498" s="19"/>
      <c r="AL498" s="13"/>
      <c r="AM498" s="19"/>
      <c r="AN498" s="13"/>
      <c r="AO498" s="19"/>
      <c r="AP498" s="13"/>
      <c r="AQ498" s="19"/>
      <c r="AR498" s="13"/>
      <c r="AS498" s="614"/>
      <c r="AT498" s="460"/>
      <c r="AU498" s="783"/>
      <c r="AV498" s="460"/>
    </row>
    <row r="499" spans="1:48" ht="13.5" thickBot="1">
      <c r="A499" s="21"/>
      <c r="B499" s="22"/>
      <c r="C499" s="23"/>
      <c r="D499" s="24"/>
      <c r="E499" s="37"/>
      <c r="F499" s="25"/>
      <c r="G499" s="26"/>
      <c r="H499" s="27"/>
      <c r="I499" s="26"/>
      <c r="J499" s="27"/>
      <c r="K499" s="26"/>
      <c r="L499" s="27"/>
      <c r="M499" s="26"/>
      <c r="N499" s="27"/>
      <c r="O499" s="26"/>
      <c r="P499" s="27"/>
      <c r="Q499" s="26"/>
      <c r="R499" s="27"/>
      <c r="S499" s="26"/>
      <c r="T499" s="27"/>
      <c r="U499" s="26"/>
      <c r="V499" s="27"/>
      <c r="W499" s="26"/>
      <c r="X499" s="27"/>
      <c r="Y499" s="26"/>
      <c r="Z499" s="27"/>
      <c r="AA499" s="26"/>
      <c r="AB499" s="27"/>
      <c r="AC499" s="26"/>
      <c r="AD499" s="27"/>
      <c r="AE499" s="26"/>
      <c r="AF499" s="27"/>
      <c r="AG499" s="26"/>
      <c r="AH499" s="27"/>
      <c r="AI499" s="26"/>
      <c r="AJ499" s="27"/>
      <c r="AK499" s="26"/>
      <c r="AL499" s="27"/>
      <c r="AM499" s="26"/>
      <c r="AN499" s="27"/>
      <c r="AO499" s="26"/>
      <c r="AP499" s="27"/>
      <c r="AQ499" s="26"/>
      <c r="AR499" s="27"/>
      <c r="AS499" s="571"/>
      <c r="AT499" s="572"/>
      <c r="AU499" s="571"/>
      <c r="AV499" s="572"/>
    </row>
  </sheetData>
  <sheetProtection sheet="1" objects="1" scenarios="1" formatCells="0" formatColumns="0" formatRows="0" insertColumns="0" insertRows="0" insertHyperlinks="0" deleteColumns="0" deleteRows="0" sort="0" autoFilter="0" pivotTables="0"/>
  <sortState ref="A5:WWY7">
    <sortCondition ref="F5:F7"/>
  </sortState>
  <dataConsolidate/>
  <mergeCells count="22">
    <mergeCell ref="AU1:AV1"/>
    <mergeCell ref="AS1:AT1"/>
    <mergeCell ref="AO1:AP1"/>
    <mergeCell ref="AQ1:AR1"/>
    <mergeCell ref="AC1:AD1"/>
    <mergeCell ref="AE1:AF1"/>
    <mergeCell ref="AG1:AH1"/>
    <mergeCell ref="AI1:AJ1"/>
    <mergeCell ref="AK1:AL1"/>
    <mergeCell ref="AM1:AN1"/>
    <mergeCell ref="AA1:AB1"/>
    <mergeCell ref="G1:H1"/>
    <mergeCell ref="E3:F3"/>
    <mergeCell ref="I1:J1"/>
    <mergeCell ref="K1:L1"/>
    <mergeCell ref="M1:N1"/>
    <mergeCell ref="O1:P1"/>
    <mergeCell ref="Q1:R1"/>
    <mergeCell ref="S1:T1"/>
    <mergeCell ref="U1:V1"/>
    <mergeCell ref="W1:X1"/>
    <mergeCell ref="Y1:Z1"/>
  </mergeCells>
  <phoneticPr fontId="14" type="noConversion"/>
  <conditionalFormatting sqref="A1">
    <cfRule type="cellIs" dxfId="10226" priority="22" stopIfTrue="1" operator="equal">
      <formula>"NOK"</formula>
    </cfRule>
  </conditionalFormatting>
  <conditionalFormatting sqref="G5:G499">
    <cfRule type="cellIs" dxfId="10225" priority="21" stopIfTrue="1" operator="notEqual">
      <formula>H5</formula>
    </cfRule>
  </conditionalFormatting>
  <conditionalFormatting sqref="I5:I499">
    <cfRule type="cellIs" dxfId="10224" priority="20" stopIfTrue="1" operator="notEqual">
      <formula>J5</formula>
    </cfRule>
  </conditionalFormatting>
  <conditionalFormatting sqref="K5:K499">
    <cfRule type="cellIs" dxfId="10223" priority="19" stopIfTrue="1" operator="notEqual">
      <formula>L5</formula>
    </cfRule>
  </conditionalFormatting>
  <conditionalFormatting sqref="M5:M499">
    <cfRule type="cellIs" dxfId="10222" priority="18" stopIfTrue="1" operator="notEqual">
      <formula>N5</formula>
    </cfRule>
  </conditionalFormatting>
  <conditionalFormatting sqref="O5:O499">
    <cfRule type="cellIs" dxfId="10221" priority="17" stopIfTrue="1" operator="notEqual">
      <formula>P5</formula>
    </cfRule>
  </conditionalFormatting>
  <conditionalFormatting sqref="Q5:Q499">
    <cfRule type="cellIs" dxfId="10220" priority="16" stopIfTrue="1" operator="notEqual">
      <formula>R5</formula>
    </cfRule>
  </conditionalFormatting>
  <conditionalFormatting sqref="S5:S499">
    <cfRule type="cellIs" dxfId="10219" priority="15" stopIfTrue="1" operator="notEqual">
      <formula>T5</formula>
    </cfRule>
  </conditionalFormatting>
  <conditionalFormatting sqref="U5:U499">
    <cfRule type="cellIs" dxfId="10218" priority="14" stopIfTrue="1" operator="notEqual">
      <formula>V5</formula>
    </cfRule>
  </conditionalFormatting>
  <conditionalFormatting sqref="W5:W499">
    <cfRule type="cellIs" dxfId="10217" priority="13" stopIfTrue="1" operator="notEqual">
      <formula>X5</formula>
    </cfRule>
  </conditionalFormatting>
  <conditionalFormatting sqref="Y5:Y499">
    <cfRule type="cellIs" dxfId="10216" priority="12" stopIfTrue="1" operator="notEqual">
      <formula>Z5</formula>
    </cfRule>
  </conditionalFormatting>
  <conditionalFormatting sqref="AA5:AA499">
    <cfRule type="cellIs" dxfId="10215" priority="11" stopIfTrue="1" operator="notEqual">
      <formula>AB5</formula>
    </cfRule>
  </conditionalFormatting>
  <conditionalFormatting sqref="AC5:AC499">
    <cfRule type="cellIs" dxfId="10214" priority="10" stopIfTrue="1" operator="notEqual">
      <formula>AD5</formula>
    </cfRule>
  </conditionalFormatting>
  <conditionalFormatting sqref="AE5:AE499">
    <cfRule type="cellIs" dxfId="10213" priority="9" stopIfTrue="1" operator="notEqual">
      <formula>AF5</formula>
    </cfRule>
  </conditionalFormatting>
  <conditionalFormatting sqref="AG5:AG499">
    <cfRule type="cellIs" dxfId="10212" priority="8" stopIfTrue="1" operator="notEqual">
      <formula>AH5</formula>
    </cfRule>
  </conditionalFormatting>
  <conditionalFormatting sqref="AI5:AI499">
    <cfRule type="cellIs" dxfId="10211" priority="7" stopIfTrue="1" operator="notEqual">
      <formula>AJ5</formula>
    </cfRule>
  </conditionalFormatting>
  <conditionalFormatting sqref="AK5:AK499">
    <cfRule type="cellIs" dxfId="10210" priority="6" stopIfTrue="1" operator="notEqual">
      <formula>AL5</formula>
    </cfRule>
  </conditionalFormatting>
  <conditionalFormatting sqref="AM5:AM499">
    <cfRule type="cellIs" dxfId="10209" priority="5" stopIfTrue="1" operator="notEqual">
      <formula>AN5</formula>
    </cfRule>
  </conditionalFormatting>
  <conditionalFormatting sqref="AO5:AO499">
    <cfRule type="cellIs" dxfId="10208" priority="4" stopIfTrue="1" operator="notEqual">
      <formula>AP5</formula>
    </cfRule>
  </conditionalFormatting>
  <conditionalFormatting sqref="AQ5:AQ499">
    <cfRule type="cellIs" dxfId="10207" priority="3" stopIfTrue="1" operator="notEqual">
      <formula>AR5</formula>
    </cfRule>
  </conditionalFormatting>
  <conditionalFormatting sqref="AS5:AS499">
    <cfRule type="cellIs" dxfId="10206" priority="2" stopIfTrue="1" operator="notEqual">
      <formula>AT5</formula>
    </cfRule>
  </conditionalFormatting>
  <conditionalFormatting sqref="AU5:AU499">
    <cfRule type="cellIs" dxfId="10205" priority="1" stopIfTrue="1" operator="notEqual">
      <formula>AV5</formula>
    </cfRule>
  </conditionalFormatting>
  <dataValidations count="1">
    <dataValidation type="list" allowBlank="1" showInputMessage="1" showErrorMessage="1" sqref="AS1">
      <formula1>DesalterVariablesList</formula1>
    </dataValidation>
  </dataValidations>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sheetPr codeName="Sheet61">
    <tabColor rgb="FF92D050"/>
  </sheetPr>
  <dimension ref="A1:P415"/>
  <sheetViews>
    <sheetView showGridLines="0" zoomScale="85" zoomScaleNormal="85" workbookViewId="0">
      <pane xSplit="6" ySplit="4" topLeftCell="G5" activePane="bottomRight" state="frozenSplit"/>
      <selection pane="topRight" activeCell="F1" sqref="F1"/>
      <selection pane="bottomLeft" activeCell="A5" sqref="A5"/>
      <selection pane="bottomRight" activeCell="F1" sqref="F1"/>
    </sheetView>
  </sheetViews>
  <sheetFormatPr defaultRowHeight="12.75"/>
  <cols>
    <col min="1" max="1" width="24.5" style="28" customWidth="1"/>
    <col min="2" max="2" width="7.125" style="28" customWidth="1"/>
    <col min="3" max="3" width="8.875" style="29"/>
    <col min="4" max="4" width="25.25" style="28" customWidth="1"/>
    <col min="5" max="5" width="16.625" style="28" customWidth="1"/>
    <col min="6" max="6" width="22.5" style="30" bestFit="1" customWidth="1"/>
    <col min="7" max="7" width="8.625" style="31" customWidth="1"/>
    <col min="8" max="8" width="8.625" style="32" customWidth="1"/>
    <col min="9" max="9" width="17.875" style="31" bestFit="1" customWidth="1"/>
    <col min="10" max="10" width="14.75" style="32" bestFit="1" customWidth="1"/>
    <col min="11" max="11" width="17.875" style="31" bestFit="1" customWidth="1"/>
    <col min="12" max="12" width="9" style="32" bestFit="1" customWidth="1"/>
    <col min="13" max="13" width="8.625" style="31" customWidth="1"/>
    <col min="14" max="14" width="8.625" style="32" customWidth="1"/>
    <col min="15" max="15" width="1.25" style="6" customWidth="1"/>
    <col min="16" max="16" width="21.375" style="6" customWidth="1"/>
    <col min="17" max="262" width="8.875" style="6"/>
    <col min="263" max="263" width="12" style="6" customWidth="1"/>
    <col min="264" max="264" width="7.125" style="6" customWidth="1"/>
    <col min="265" max="265" width="8.875" style="6"/>
    <col min="266" max="266" width="16" style="6" customWidth="1"/>
    <col min="267" max="267" width="13.75" style="6" customWidth="1"/>
    <col min="268" max="269" width="9.75" style="6" customWidth="1"/>
    <col min="270" max="518" width="8.875" style="6"/>
    <col min="519" max="519" width="12" style="6" customWidth="1"/>
    <col min="520" max="520" width="7.125" style="6" customWidth="1"/>
    <col min="521" max="521" width="8.875" style="6"/>
    <col min="522" max="522" width="16" style="6" customWidth="1"/>
    <col min="523" max="523" width="13.75" style="6" customWidth="1"/>
    <col min="524" max="525" width="9.75" style="6" customWidth="1"/>
    <col min="526" max="774" width="8.875" style="6"/>
    <col min="775" max="775" width="12" style="6" customWidth="1"/>
    <col min="776" max="776" width="7.125" style="6" customWidth="1"/>
    <col min="777" max="777" width="8.875" style="6"/>
    <col min="778" max="778" width="16" style="6" customWidth="1"/>
    <col min="779" max="779" width="13.75" style="6" customWidth="1"/>
    <col min="780" max="781" width="9.75" style="6" customWidth="1"/>
    <col min="782" max="1030" width="8.875" style="6"/>
    <col min="1031" max="1031" width="12" style="6" customWidth="1"/>
    <col min="1032" max="1032" width="7.125" style="6" customWidth="1"/>
    <col min="1033" max="1033" width="8.875" style="6"/>
    <col min="1034" max="1034" width="16" style="6" customWidth="1"/>
    <col min="1035" max="1035" width="13.75" style="6" customWidth="1"/>
    <col min="1036" max="1037" width="9.75" style="6" customWidth="1"/>
    <col min="1038" max="1286" width="8.875" style="6"/>
    <col min="1287" max="1287" width="12" style="6" customWidth="1"/>
    <col min="1288" max="1288" width="7.125" style="6" customWidth="1"/>
    <col min="1289" max="1289" width="8.875" style="6"/>
    <col min="1290" max="1290" width="16" style="6" customWidth="1"/>
    <col min="1291" max="1291" width="13.75" style="6" customWidth="1"/>
    <col min="1292" max="1293" width="9.75" style="6" customWidth="1"/>
    <col min="1294" max="1542" width="8.875" style="6"/>
    <col min="1543" max="1543" width="12" style="6" customWidth="1"/>
    <col min="1544" max="1544" width="7.125" style="6" customWidth="1"/>
    <col min="1545" max="1545" width="8.875" style="6"/>
    <col min="1546" max="1546" width="16" style="6" customWidth="1"/>
    <col min="1547" max="1547" width="13.75" style="6" customWidth="1"/>
    <col min="1548" max="1549" width="9.75" style="6" customWidth="1"/>
    <col min="1550" max="1798" width="8.875" style="6"/>
    <col min="1799" max="1799" width="12" style="6" customWidth="1"/>
    <col min="1800" max="1800" width="7.125" style="6" customWidth="1"/>
    <col min="1801" max="1801" width="8.875" style="6"/>
    <col min="1802" max="1802" width="16" style="6" customWidth="1"/>
    <col min="1803" max="1803" width="13.75" style="6" customWidth="1"/>
    <col min="1804" max="1805" width="9.75" style="6" customWidth="1"/>
    <col min="1806" max="2054" width="8.875" style="6"/>
    <col min="2055" max="2055" width="12" style="6" customWidth="1"/>
    <col min="2056" max="2056" width="7.125" style="6" customWidth="1"/>
    <col min="2057" max="2057" width="8.875" style="6"/>
    <col min="2058" max="2058" width="16" style="6" customWidth="1"/>
    <col min="2059" max="2059" width="13.75" style="6" customWidth="1"/>
    <col min="2060" max="2061" width="9.75" style="6" customWidth="1"/>
    <col min="2062" max="2310" width="8.875" style="6"/>
    <col min="2311" max="2311" width="12" style="6" customWidth="1"/>
    <col min="2312" max="2312" width="7.125" style="6" customWidth="1"/>
    <col min="2313" max="2313" width="8.875" style="6"/>
    <col min="2314" max="2314" width="16" style="6" customWidth="1"/>
    <col min="2315" max="2315" width="13.75" style="6" customWidth="1"/>
    <col min="2316" max="2317" width="9.75" style="6" customWidth="1"/>
    <col min="2318" max="2566" width="8.875" style="6"/>
    <col min="2567" max="2567" width="12" style="6" customWidth="1"/>
    <col min="2568" max="2568" width="7.125" style="6" customWidth="1"/>
    <col min="2569" max="2569" width="8.875" style="6"/>
    <col min="2570" max="2570" width="16" style="6" customWidth="1"/>
    <col min="2571" max="2571" width="13.75" style="6" customWidth="1"/>
    <col min="2572" max="2573" width="9.75" style="6" customWidth="1"/>
    <col min="2574" max="2822" width="8.875" style="6"/>
    <col min="2823" max="2823" width="12" style="6" customWidth="1"/>
    <col min="2824" max="2824" width="7.125" style="6" customWidth="1"/>
    <col min="2825" max="2825" width="8.875" style="6"/>
    <col min="2826" max="2826" width="16" style="6" customWidth="1"/>
    <col min="2827" max="2827" width="13.75" style="6" customWidth="1"/>
    <col min="2828" max="2829" width="9.75" style="6" customWidth="1"/>
    <col min="2830" max="3078" width="8.875" style="6"/>
    <col min="3079" max="3079" width="12" style="6" customWidth="1"/>
    <col min="3080" max="3080" width="7.125" style="6" customWidth="1"/>
    <col min="3081" max="3081" width="8.875" style="6"/>
    <col min="3082" max="3082" width="16" style="6" customWidth="1"/>
    <col min="3083" max="3083" width="13.75" style="6" customWidth="1"/>
    <col min="3084" max="3085" width="9.75" style="6" customWidth="1"/>
    <col min="3086" max="3334" width="8.875" style="6"/>
    <col min="3335" max="3335" width="12" style="6" customWidth="1"/>
    <col min="3336" max="3336" width="7.125" style="6" customWidth="1"/>
    <col min="3337" max="3337" width="8.875" style="6"/>
    <col min="3338" max="3338" width="16" style="6" customWidth="1"/>
    <col min="3339" max="3339" width="13.75" style="6" customWidth="1"/>
    <col min="3340" max="3341" width="9.75" style="6" customWidth="1"/>
    <col min="3342" max="3590" width="8.875" style="6"/>
    <col min="3591" max="3591" width="12" style="6" customWidth="1"/>
    <col min="3592" max="3592" width="7.125" style="6" customWidth="1"/>
    <col min="3593" max="3593" width="8.875" style="6"/>
    <col min="3594" max="3594" width="16" style="6" customWidth="1"/>
    <col min="3595" max="3595" width="13.75" style="6" customWidth="1"/>
    <col min="3596" max="3597" width="9.75" style="6" customWidth="1"/>
    <col min="3598" max="3846" width="8.875" style="6"/>
    <col min="3847" max="3847" width="12" style="6" customWidth="1"/>
    <col min="3848" max="3848" width="7.125" style="6" customWidth="1"/>
    <col min="3849" max="3849" width="8.875" style="6"/>
    <col min="3850" max="3850" width="16" style="6" customWidth="1"/>
    <col min="3851" max="3851" width="13.75" style="6" customWidth="1"/>
    <col min="3852" max="3853" width="9.75" style="6" customWidth="1"/>
    <col min="3854" max="4102" width="8.875" style="6"/>
    <col min="4103" max="4103" width="12" style="6" customWidth="1"/>
    <col min="4104" max="4104" width="7.125" style="6" customWidth="1"/>
    <col min="4105" max="4105" width="8.875" style="6"/>
    <col min="4106" max="4106" width="16" style="6" customWidth="1"/>
    <col min="4107" max="4107" width="13.75" style="6" customWidth="1"/>
    <col min="4108" max="4109" width="9.75" style="6" customWidth="1"/>
    <col min="4110" max="4358" width="8.875" style="6"/>
    <col min="4359" max="4359" width="12" style="6" customWidth="1"/>
    <col min="4360" max="4360" width="7.125" style="6" customWidth="1"/>
    <col min="4361" max="4361" width="8.875" style="6"/>
    <col min="4362" max="4362" width="16" style="6" customWidth="1"/>
    <col min="4363" max="4363" width="13.75" style="6" customWidth="1"/>
    <col min="4364" max="4365" width="9.75" style="6" customWidth="1"/>
    <col min="4366" max="4614" width="8.875" style="6"/>
    <col min="4615" max="4615" width="12" style="6" customWidth="1"/>
    <col min="4616" max="4616" width="7.125" style="6" customWidth="1"/>
    <col min="4617" max="4617" width="8.875" style="6"/>
    <col min="4618" max="4618" width="16" style="6" customWidth="1"/>
    <col min="4619" max="4619" width="13.75" style="6" customWidth="1"/>
    <col min="4620" max="4621" width="9.75" style="6" customWidth="1"/>
    <col min="4622" max="4870" width="8.875" style="6"/>
    <col min="4871" max="4871" width="12" style="6" customWidth="1"/>
    <col min="4872" max="4872" width="7.125" style="6" customWidth="1"/>
    <col min="4873" max="4873" width="8.875" style="6"/>
    <col min="4874" max="4874" width="16" style="6" customWidth="1"/>
    <col min="4875" max="4875" width="13.75" style="6" customWidth="1"/>
    <col min="4876" max="4877" width="9.75" style="6" customWidth="1"/>
    <col min="4878" max="5126" width="8.875" style="6"/>
    <col min="5127" max="5127" width="12" style="6" customWidth="1"/>
    <col min="5128" max="5128" width="7.125" style="6" customWidth="1"/>
    <col min="5129" max="5129" width="8.875" style="6"/>
    <col min="5130" max="5130" width="16" style="6" customWidth="1"/>
    <col min="5131" max="5131" width="13.75" style="6" customWidth="1"/>
    <col min="5132" max="5133" width="9.75" style="6" customWidth="1"/>
    <col min="5134" max="5382" width="8.875" style="6"/>
    <col min="5383" max="5383" width="12" style="6" customWidth="1"/>
    <col min="5384" max="5384" width="7.125" style="6" customWidth="1"/>
    <col min="5385" max="5385" width="8.875" style="6"/>
    <col min="5386" max="5386" width="16" style="6" customWidth="1"/>
    <col min="5387" max="5387" width="13.75" style="6" customWidth="1"/>
    <col min="5388" max="5389" width="9.75" style="6" customWidth="1"/>
    <col min="5390" max="5638" width="8.875" style="6"/>
    <col min="5639" max="5639" width="12" style="6" customWidth="1"/>
    <col min="5640" max="5640" width="7.125" style="6" customWidth="1"/>
    <col min="5641" max="5641" width="8.875" style="6"/>
    <col min="5642" max="5642" width="16" style="6" customWidth="1"/>
    <col min="5643" max="5643" width="13.75" style="6" customWidth="1"/>
    <col min="5644" max="5645" width="9.75" style="6" customWidth="1"/>
    <col min="5646" max="5894" width="8.875" style="6"/>
    <col min="5895" max="5895" width="12" style="6" customWidth="1"/>
    <col min="5896" max="5896" width="7.125" style="6" customWidth="1"/>
    <col min="5897" max="5897" width="8.875" style="6"/>
    <col min="5898" max="5898" width="16" style="6" customWidth="1"/>
    <col min="5899" max="5899" width="13.75" style="6" customWidth="1"/>
    <col min="5900" max="5901" width="9.75" style="6" customWidth="1"/>
    <col min="5902" max="6150" width="8.875" style="6"/>
    <col min="6151" max="6151" width="12" style="6" customWidth="1"/>
    <col min="6152" max="6152" width="7.125" style="6" customWidth="1"/>
    <col min="6153" max="6153" width="8.875" style="6"/>
    <col min="6154" max="6154" width="16" style="6" customWidth="1"/>
    <col min="6155" max="6155" width="13.75" style="6" customWidth="1"/>
    <col min="6156" max="6157" width="9.75" style="6" customWidth="1"/>
    <col min="6158" max="6406" width="8.875" style="6"/>
    <col min="6407" max="6407" width="12" style="6" customWidth="1"/>
    <col min="6408" max="6408" width="7.125" style="6" customWidth="1"/>
    <col min="6409" max="6409" width="8.875" style="6"/>
    <col min="6410" max="6410" width="16" style="6" customWidth="1"/>
    <col min="6411" max="6411" width="13.75" style="6" customWidth="1"/>
    <col min="6412" max="6413" width="9.75" style="6" customWidth="1"/>
    <col min="6414" max="6662" width="8.875" style="6"/>
    <col min="6663" max="6663" width="12" style="6" customWidth="1"/>
    <col min="6664" max="6664" width="7.125" style="6" customWidth="1"/>
    <col min="6665" max="6665" width="8.875" style="6"/>
    <col min="6666" max="6666" width="16" style="6" customWidth="1"/>
    <col min="6667" max="6667" width="13.75" style="6" customWidth="1"/>
    <col min="6668" max="6669" width="9.75" style="6" customWidth="1"/>
    <col min="6670" max="6918" width="8.875" style="6"/>
    <col min="6919" max="6919" width="12" style="6" customWidth="1"/>
    <col min="6920" max="6920" width="7.125" style="6" customWidth="1"/>
    <col min="6921" max="6921" width="8.875" style="6"/>
    <col min="6922" max="6922" width="16" style="6" customWidth="1"/>
    <col min="6923" max="6923" width="13.75" style="6" customWidth="1"/>
    <col min="6924" max="6925" width="9.75" style="6" customWidth="1"/>
    <col min="6926" max="7174" width="8.875" style="6"/>
    <col min="7175" max="7175" width="12" style="6" customWidth="1"/>
    <col min="7176" max="7176" width="7.125" style="6" customWidth="1"/>
    <col min="7177" max="7177" width="8.875" style="6"/>
    <col min="7178" max="7178" width="16" style="6" customWidth="1"/>
    <col min="7179" max="7179" width="13.75" style="6" customWidth="1"/>
    <col min="7180" max="7181" width="9.75" style="6" customWidth="1"/>
    <col min="7182" max="7430" width="8.875" style="6"/>
    <col min="7431" max="7431" width="12" style="6" customWidth="1"/>
    <col min="7432" max="7432" width="7.125" style="6" customWidth="1"/>
    <col min="7433" max="7433" width="8.875" style="6"/>
    <col min="7434" max="7434" width="16" style="6" customWidth="1"/>
    <col min="7435" max="7435" width="13.75" style="6" customWidth="1"/>
    <col min="7436" max="7437" width="9.75" style="6" customWidth="1"/>
    <col min="7438" max="7686" width="8.875" style="6"/>
    <col min="7687" max="7687" width="12" style="6" customWidth="1"/>
    <col min="7688" max="7688" width="7.125" style="6" customWidth="1"/>
    <col min="7689" max="7689" width="8.875" style="6"/>
    <col min="7690" max="7690" width="16" style="6" customWidth="1"/>
    <col min="7691" max="7691" width="13.75" style="6" customWidth="1"/>
    <col min="7692" max="7693" width="9.75" style="6" customWidth="1"/>
    <col min="7694" max="7942" width="8.875" style="6"/>
    <col min="7943" max="7943" width="12" style="6" customWidth="1"/>
    <col min="7944" max="7944" width="7.125" style="6" customWidth="1"/>
    <col min="7945" max="7945" width="8.875" style="6"/>
    <col min="7946" max="7946" width="16" style="6" customWidth="1"/>
    <col min="7947" max="7947" width="13.75" style="6" customWidth="1"/>
    <col min="7948" max="7949" width="9.75" style="6" customWidth="1"/>
    <col min="7950" max="8198" width="8.875" style="6"/>
    <col min="8199" max="8199" width="12" style="6" customWidth="1"/>
    <col min="8200" max="8200" width="7.125" style="6" customWidth="1"/>
    <col min="8201" max="8201" width="8.875" style="6"/>
    <col min="8202" max="8202" width="16" style="6" customWidth="1"/>
    <col min="8203" max="8203" width="13.75" style="6" customWidth="1"/>
    <col min="8204" max="8205" width="9.75" style="6" customWidth="1"/>
    <col min="8206" max="8454" width="8.875" style="6"/>
    <col min="8455" max="8455" width="12" style="6" customWidth="1"/>
    <col min="8456" max="8456" width="7.125" style="6" customWidth="1"/>
    <col min="8457" max="8457" width="8.875" style="6"/>
    <col min="8458" max="8458" width="16" style="6" customWidth="1"/>
    <col min="8459" max="8459" width="13.75" style="6" customWidth="1"/>
    <col min="8460" max="8461" width="9.75" style="6" customWidth="1"/>
    <col min="8462" max="8710" width="8.875" style="6"/>
    <col min="8711" max="8711" width="12" style="6" customWidth="1"/>
    <col min="8712" max="8712" width="7.125" style="6" customWidth="1"/>
    <col min="8713" max="8713" width="8.875" style="6"/>
    <col min="8714" max="8714" width="16" style="6" customWidth="1"/>
    <col min="8715" max="8715" width="13.75" style="6" customWidth="1"/>
    <col min="8716" max="8717" width="9.75" style="6" customWidth="1"/>
    <col min="8718" max="8966" width="8.875" style="6"/>
    <col min="8967" max="8967" width="12" style="6" customWidth="1"/>
    <col min="8968" max="8968" width="7.125" style="6" customWidth="1"/>
    <col min="8969" max="8969" width="8.875" style="6"/>
    <col min="8970" max="8970" width="16" style="6" customWidth="1"/>
    <col min="8971" max="8971" width="13.75" style="6" customWidth="1"/>
    <col min="8972" max="8973" width="9.75" style="6" customWidth="1"/>
    <col min="8974" max="9222" width="8.875" style="6"/>
    <col min="9223" max="9223" width="12" style="6" customWidth="1"/>
    <col min="9224" max="9224" width="7.125" style="6" customWidth="1"/>
    <col min="9225" max="9225" width="8.875" style="6"/>
    <col min="9226" max="9226" width="16" style="6" customWidth="1"/>
    <col min="9227" max="9227" width="13.75" style="6" customWidth="1"/>
    <col min="9228" max="9229" width="9.75" style="6" customWidth="1"/>
    <col min="9230" max="9478" width="8.875" style="6"/>
    <col min="9479" max="9479" width="12" style="6" customWidth="1"/>
    <col min="9480" max="9480" width="7.125" style="6" customWidth="1"/>
    <col min="9481" max="9481" width="8.875" style="6"/>
    <col min="9482" max="9482" width="16" style="6" customWidth="1"/>
    <col min="9483" max="9483" width="13.75" style="6" customWidth="1"/>
    <col min="9484" max="9485" width="9.75" style="6" customWidth="1"/>
    <col min="9486" max="9734" width="8.875" style="6"/>
    <col min="9735" max="9735" width="12" style="6" customWidth="1"/>
    <col min="9736" max="9736" width="7.125" style="6" customWidth="1"/>
    <col min="9737" max="9737" width="8.875" style="6"/>
    <col min="9738" max="9738" width="16" style="6" customWidth="1"/>
    <col min="9739" max="9739" width="13.75" style="6" customWidth="1"/>
    <col min="9740" max="9741" width="9.75" style="6" customWidth="1"/>
    <col min="9742" max="9990" width="8.875" style="6"/>
    <col min="9991" max="9991" width="12" style="6" customWidth="1"/>
    <col min="9992" max="9992" width="7.125" style="6" customWidth="1"/>
    <col min="9993" max="9993" width="8.875" style="6"/>
    <col min="9994" max="9994" width="16" style="6" customWidth="1"/>
    <col min="9995" max="9995" width="13.75" style="6" customWidth="1"/>
    <col min="9996" max="9997" width="9.75" style="6" customWidth="1"/>
    <col min="9998" max="10246" width="8.875" style="6"/>
    <col min="10247" max="10247" width="12" style="6" customWidth="1"/>
    <col min="10248" max="10248" width="7.125" style="6" customWidth="1"/>
    <col min="10249" max="10249" width="8.875" style="6"/>
    <col min="10250" max="10250" width="16" style="6" customWidth="1"/>
    <col min="10251" max="10251" width="13.75" style="6" customWidth="1"/>
    <col min="10252" max="10253" width="9.75" style="6" customWidth="1"/>
    <col min="10254" max="10502" width="8.875" style="6"/>
    <col min="10503" max="10503" width="12" style="6" customWidth="1"/>
    <col min="10504" max="10504" width="7.125" style="6" customWidth="1"/>
    <col min="10505" max="10505" width="8.875" style="6"/>
    <col min="10506" max="10506" width="16" style="6" customWidth="1"/>
    <col min="10507" max="10507" width="13.75" style="6" customWidth="1"/>
    <col min="10508" max="10509" width="9.75" style="6" customWidth="1"/>
    <col min="10510" max="10758" width="8.875" style="6"/>
    <col min="10759" max="10759" width="12" style="6" customWidth="1"/>
    <col min="10760" max="10760" width="7.125" style="6" customWidth="1"/>
    <col min="10761" max="10761" width="8.875" style="6"/>
    <col min="10762" max="10762" width="16" style="6" customWidth="1"/>
    <col min="10763" max="10763" width="13.75" style="6" customWidth="1"/>
    <col min="10764" max="10765" width="9.75" style="6" customWidth="1"/>
    <col min="10766" max="11014" width="8.875" style="6"/>
    <col min="11015" max="11015" width="12" style="6" customWidth="1"/>
    <col min="11016" max="11016" width="7.125" style="6" customWidth="1"/>
    <col min="11017" max="11017" width="8.875" style="6"/>
    <col min="11018" max="11018" width="16" style="6" customWidth="1"/>
    <col min="11019" max="11019" width="13.75" style="6" customWidth="1"/>
    <col min="11020" max="11021" width="9.75" style="6" customWidth="1"/>
    <col min="11022" max="11270" width="8.875" style="6"/>
    <col min="11271" max="11271" width="12" style="6" customWidth="1"/>
    <col min="11272" max="11272" width="7.125" style="6" customWidth="1"/>
    <col min="11273" max="11273" width="8.875" style="6"/>
    <col min="11274" max="11274" width="16" style="6" customWidth="1"/>
    <col min="11275" max="11275" width="13.75" style="6" customWidth="1"/>
    <col min="11276" max="11277" width="9.75" style="6" customWidth="1"/>
    <col min="11278" max="11526" width="8.875" style="6"/>
    <col min="11527" max="11527" width="12" style="6" customWidth="1"/>
    <col min="11528" max="11528" width="7.125" style="6" customWidth="1"/>
    <col min="11529" max="11529" width="8.875" style="6"/>
    <col min="11530" max="11530" width="16" style="6" customWidth="1"/>
    <col min="11531" max="11531" width="13.75" style="6" customWidth="1"/>
    <col min="11532" max="11533" width="9.75" style="6" customWidth="1"/>
    <col min="11534" max="11782" width="8.875" style="6"/>
    <col min="11783" max="11783" width="12" style="6" customWidth="1"/>
    <col min="11784" max="11784" width="7.125" style="6" customWidth="1"/>
    <col min="11785" max="11785" width="8.875" style="6"/>
    <col min="11786" max="11786" width="16" style="6" customWidth="1"/>
    <col min="11787" max="11787" width="13.75" style="6" customWidth="1"/>
    <col min="11788" max="11789" width="9.75" style="6" customWidth="1"/>
    <col min="11790" max="12038" width="8.875" style="6"/>
    <col min="12039" max="12039" width="12" style="6" customWidth="1"/>
    <col min="12040" max="12040" width="7.125" style="6" customWidth="1"/>
    <col min="12041" max="12041" width="8.875" style="6"/>
    <col min="12042" max="12042" width="16" style="6" customWidth="1"/>
    <col min="12043" max="12043" width="13.75" style="6" customWidth="1"/>
    <col min="12044" max="12045" width="9.75" style="6" customWidth="1"/>
    <col min="12046" max="12294" width="8.875" style="6"/>
    <col min="12295" max="12295" width="12" style="6" customWidth="1"/>
    <col min="12296" max="12296" width="7.125" style="6" customWidth="1"/>
    <col min="12297" max="12297" width="8.875" style="6"/>
    <col min="12298" max="12298" width="16" style="6" customWidth="1"/>
    <col min="12299" max="12299" width="13.75" style="6" customWidth="1"/>
    <col min="12300" max="12301" width="9.75" style="6" customWidth="1"/>
    <col min="12302" max="12550" width="8.875" style="6"/>
    <col min="12551" max="12551" width="12" style="6" customWidth="1"/>
    <col min="12552" max="12552" width="7.125" style="6" customWidth="1"/>
    <col min="12553" max="12553" width="8.875" style="6"/>
    <col min="12554" max="12554" width="16" style="6" customWidth="1"/>
    <col min="12555" max="12555" width="13.75" style="6" customWidth="1"/>
    <col min="12556" max="12557" width="9.75" style="6" customWidth="1"/>
    <col min="12558" max="12806" width="8.875" style="6"/>
    <col min="12807" max="12807" width="12" style="6" customWidth="1"/>
    <col min="12808" max="12808" width="7.125" style="6" customWidth="1"/>
    <col min="12809" max="12809" width="8.875" style="6"/>
    <col min="12810" max="12810" width="16" style="6" customWidth="1"/>
    <col min="12811" max="12811" width="13.75" style="6" customWidth="1"/>
    <col min="12812" max="12813" width="9.75" style="6" customWidth="1"/>
    <col min="12814" max="13062" width="8.875" style="6"/>
    <col min="13063" max="13063" width="12" style="6" customWidth="1"/>
    <col min="13064" max="13064" width="7.125" style="6" customWidth="1"/>
    <col min="13065" max="13065" width="8.875" style="6"/>
    <col min="13066" max="13066" width="16" style="6" customWidth="1"/>
    <col min="13067" max="13067" width="13.75" style="6" customWidth="1"/>
    <col min="13068" max="13069" width="9.75" style="6" customWidth="1"/>
    <col min="13070" max="13318" width="8.875" style="6"/>
    <col min="13319" max="13319" width="12" style="6" customWidth="1"/>
    <col min="13320" max="13320" width="7.125" style="6" customWidth="1"/>
    <col min="13321" max="13321" width="8.875" style="6"/>
    <col min="13322" max="13322" width="16" style="6" customWidth="1"/>
    <col min="13323" max="13323" width="13.75" style="6" customWidth="1"/>
    <col min="13324" max="13325" width="9.75" style="6" customWidth="1"/>
    <col min="13326" max="13574" width="8.875" style="6"/>
    <col min="13575" max="13575" width="12" style="6" customWidth="1"/>
    <col min="13576" max="13576" width="7.125" style="6" customWidth="1"/>
    <col min="13577" max="13577" width="8.875" style="6"/>
    <col min="13578" max="13578" width="16" style="6" customWidth="1"/>
    <col min="13579" max="13579" width="13.75" style="6" customWidth="1"/>
    <col min="13580" max="13581" width="9.75" style="6" customWidth="1"/>
    <col min="13582" max="13830" width="8.875" style="6"/>
    <col min="13831" max="13831" width="12" style="6" customWidth="1"/>
    <col min="13832" max="13832" width="7.125" style="6" customWidth="1"/>
    <col min="13833" max="13833" width="8.875" style="6"/>
    <col min="13834" max="13834" width="16" style="6" customWidth="1"/>
    <col min="13835" max="13835" width="13.75" style="6" customWidth="1"/>
    <col min="13836" max="13837" width="9.75" style="6" customWidth="1"/>
    <col min="13838" max="14086" width="8.875" style="6"/>
    <col min="14087" max="14087" width="12" style="6" customWidth="1"/>
    <col min="14088" max="14088" width="7.125" style="6" customWidth="1"/>
    <col min="14089" max="14089" width="8.875" style="6"/>
    <col min="14090" max="14090" width="16" style="6" customWidth="1"/>
    <col min="14091" max="14091" width="13.75" style="6" customWidth="1"/>
    <col min="14092" max="14093" width="9.75" style="6" customWidth="1"/>
    <col min="14094" max="14342" width="8.875" style="6"/>
    <col min="14343" max="14343" width="12" style="6" customWidth="1"/>
    <col min="14344" max="14344" width="7.125" style="6" customWidth="1"/>
    <col min="14345" max="14345" width="8.875" style="6"/>
    <col min="14346" max="14346" width="16" style="6" customWidth="1"/>
    <col min="14347" max="14347" width="13.75" style="6" customWidth="1"/>
    <col min="14348" max="14349" width="9.75" style="6" customWidth="1"/>
    <col min="14350" max="14598" width="8.875" style="6"/>
    <col min="14599" max="14599" width="12" style="6" customWidth="1"/>
    <col min="14600" max="14600" width="7.125" style="6" customWidth="1"/>
    <col min="14601" max="14601" width="8.875" style="6"/>
    <col min="14602" max="14602" width="16" style="6" customWidth="1"/>
    <col min="14603" max="14603" width="13.75" style="6" customWidth="1"/>
    <col min="14604" max="14605" width="9.75" style="6" customWidth="1"/>
    <col min="14606" max="14854" width="8.875" style="6"/>
    <col min="14855" max="14855" width="12" style="6" customWidth="1"/>
    <col min="14856" max="14856" width="7.125" style="6" customWidth="1"/>
    <col min="14857" max="14857" width="8.875" style="6"/>
    <col min="14858" max="14858" width="16" style="6" customWidth="1"/>
    <col min="14859" max="14859" width="13.75" style="6" customWidth="1"/>
    <col min="14860" max="14861" width="9.75" style="6" customWidth="1"/>
    <col min="14862" max="15110" width="8.875" style="6"/>
    <col min="15111" max="15111" width="12" style="6" customWidth="1"/>
    <col min="15112" max="15112" width="7.125" style="6" customWidth="1"/>
    <col min="15113" max="15113" width="8.875" style="6"/>
    <col min="15114" max="15114" width="16" style="6" customWidth="1"/>
    <col min="15115" max="15115" width="13.75" style="6" customWidth="1"/>
    <col min="15116" max="15117" width="9.75" style="6" customWidth="1"/>
    <col min="15118" max="15366" width="8.875" style="6"/>
    <col min="15367" max="15367" width="12" style="6" customWidth="1"/>
    <col min="15368" max="15368" width="7.125" style="6" customWidth="1"/>
    <col min="15369" max="15369" width="8.875" style="6"/>
    <col min="15370" max="15370" width="16" style="6" customWidth="1"/>
    <col min="15371" max="15371" width="13.75" style="6" customWidth="1"/>
    <col min="15372" max="15373" width="9.75" style="6" customWidth="1"/>
    <col min="15374" max="15622" width="8.875" style="6"/>
    <col min="15623" max="15623" width="12" style="6" customWidth="1"/>
    <col min="15624" max="15624" width="7.125" style="6" customWidth="1"/>
    <col min="15625" max="15625" width="8.875" style="6"/>
    <col min="15626" max="15626" width="16" style="6" customWidth="1"/>
    <col min="15627" max="15627" width="13.75" style="6" customWidth="1"/>
    <col min="15628" max="15629" width="9.75" style="6" customWidth="1"/>
    <col min="15630" max="15878" width="8.875" style="6"/>
    <col min="15879" max="15879" width="12" style="6" customWidth="1"/>
    <col min="15880" max="15880" width="7.125" style="6" customWidth="1"/>
    <col min="15881" max="15881" width="8.875" style="6"/>
    <col min="15882" max="15882" width="16" style="6" customWidth="1"/>
    <col min="15883" max="15883" width="13.75" style="6" customWidth="1"/>
    <col min="15884" max="15885" width="9.75" style="6" customWidth="1"/>
    <col min="15886" max="16134" width="8.875" style="6"/>
    <col min="16135" max="16135" width="12" style="6" customWidth="1"/>
    <col min="16136" max="16136" width="7.125" style="6" customWidth="1"/>
    <col min="16137" max="16137" width="8.875" style="6"/>
    <col min="16138" max="16138" width="16" style="6" customWidth="1"/>
    <col min="16139" max="16139" width="13.75" style="6" customWidth="1"/>
    <col min="16140" max="16141" width="9.75" style="6" customWidth="1"/>
    <col min="16142" max="16384" width="8.875" style="6"/>
  </cols>
  <sheetData>
    <row r="1" spans="1:16" s="2" customFormat="1" ht="23.25" customHeight="1" thickBot="1">
      <c r="A1" s="1" t="e">
        <f>IF(SUM(2:2)=0,"OK","NOK")</f>
        <v>#DIV/0!</v>
      </c>
      <c r="F1" s="43" t="s">
        <v>272</v>
      </c>
      <c r="G1" s="1085" t="s">
        <v>275</v>
      </c>
      <c r="H1" s="1086"/>
      <c r="I1" s="1085" t="s">
        <v>277</v>
      </c>
      <c r="J1" s="1086"/>
      <c r="K1" s="1085" t="s">
        <v>278</v>
      </c>
      <c r="L1" s="1086"/>
      <c r="M1" s="1085"/>
      <c r="N1" s="1086"/>
      <c r="O1" s="44"/>
      <c r="P1" s="48" t="s">
        <v>10</v>
      </c>
    </row>
    <row r="2" spans="1:16" ht="13.5" thickBot="1">
      <c r="A2" s="3"/>
      <c r="B2" s="3"/>
      <c r="C2" s="3"/>
      <c r="D2" s="3"/>
      <c r="E2" s="3"/>
      <c r="F2" s="2"/>
      <c r="G2" s="4" t="s">
        <v>0</v>
      </c>
      <c r="H2" s="5" t="e">
        <f>SUMX2MY2(G5:G4916,H5:H4916)</f>
        <v>#DIV/0!</v>
      </c>
      <c r="I2" s="4" t="s">
        <v>0</v>
      </c>
      <c r="J2" s="5">
        <f>SUMX2MY2(I5:I4916,J5:J4916)</f>
        <v>0</v>
      </c>
      <c r="K2" s="4" t="s">
        <v>0</v>
      </c>
      <c r="L2" s="5">
        <f>SUMX2MY2(K5:K4916,L5:L4916)</f>
        <v>0</v>
      </c>
      <c r="M2" s="4" t="s">
        <v>0</v>
      </c>
      <c r="N2" s="5" t="e">
        <f>SUMX2MY2(M5:M4916,N5:N4916)</f>
        <v>#DIV/0!</v>
      </c>
    </row>
    <row r="3" spans="1:16" ht="27.75" customHeight="1">
      <c r="A3" s="35" t="s">
        <v>1</v>
      </c>
      <c r="B3" s="36" t="s">
        <v>2</v>
      </c>
      <c r="C3" s="36" t="s">
        <v>3</v>
      </c>
      <c r="D3" s="36" t="s">
        <v>4</v>
      </c>
      <c r="E3" s="1087" t="s">
        <v>7</v>
      </c>
      <c r="F3" s="1088"/>
      <c r="G3" s="7" t="s">
        <v>5</v>
      </c>
      <c r="H3" s="8" t="s">
        <v>6</v>
      </c>
      <c r="I3" s="7" t="s">
        <v>5</v>
      </c>
      <c r="J3" s="8" t="s">
        <v>6</v>
      </c>
      <c r="K3" s="7" t="s">
        <v>5</v>
      </c>
      <c r="L3" s="8" t="s">
        <v>6</v>
      </c>
      <c r="M3" s="7" t="s">
        <v>5</v>
      </c>
      <c r="N3" s="8" t="s">
        <v>6</v>
      </c>
    </row>
    <row r="4" spans="1:16" ht="15.75" customHeight="1" thickBot="1">
      <c r="A4" s="34"/>
      <c r="B4" s="33"/>
      <c r="C4" s="33"/>
      <c r="D4" s="33"/>
      <c r="E4" s="41" t="s">
        <v>9</v>
      </c>
      <c r="F4" s="42" t="s">
        <v>8</v>
      </c>
      <c r="G4" s="38">
        <v>0</v>
      </c>
      <c r="H4" s="39">
        <v>0</v>
      </c>
      <c r="I4" s="38">
        <v>0</v>
      </c>
      <c r="J4" s="39">
        <v>0</v>
      </c>
      <c r="K4" s="38">
        <v>0</v>
      </c>
      <c r="L4" s="39">
        <v>0</v>
      </c>
      <c r="M4" s="38">
        <v>0</v>
      </c>
      <c r="N4" s="39">
        <v>0</v>
      </c>
    </row>
    <row r="5" spans="1:16">
      <c r="A5" s="14" t="s">
        <v>4911</v>
      </c>
      <c r="B5" s="15"/>
      <c r="C5" s="16"/>
      <c r="D5" s="773" t="s">
        <v>10397</v>
      </c>
      <c r="E5" s="12"/>
      <c r="F5" s="18" t="s">
        <v>4906</v>
      </c>
      <c r="G5" s="19" t="b">
        <v>0</v>
      </c>
      <c r="H5" s="13"/>
      <c r="I5" s="19">
        <v>351325</v>
      </c>
      <c r="J5" s="13">
        <f>2.5*100000+101325</f>
        <v>351325</v>
      </c>
      <c r="K5" s="19">
        <v>300.77209018680901</v>
      </c>
      <c r="L5" s="13"/>
      <c r="M5" s="19"/>
      <c r="N5" s="13"/>
    </row>
    <row r="6" spans="1:16">
      <c r="A6" s="14" t="s">
        <v>4911</v>
      </c>
      <c r="B6" s="15"/>
      <c r="C6" s="16"/>
      <c r="D6" s="773" t="s">
        <v>10398</v>
      </c>
      <c r="E6" s="12"/>
      <c r="F6" s="18" t="s">
        <v>4908</v>
      </c>
      <c r="G6" s="19" t="b">
        <v>0</v>
      </c>
      <c r="H6" s="13"/>
      <c r="I6" s="19">
        <v>491325</v>
      </c>
      <c r="J6" s="13">
        <f>3.9*100000+101325</f>
        <v>491325</v>
      </c>
      <c r="K6" s="19">
        <v>293.14999999999998</v>
      </c>
      <c r="L6" s="13">
        <f>273.15+20</f>
        <v>293.14999999999998</v>
      </c>
      <c r="M6" s="19"/>
      <c r="N6" s="13"/>
    </row>
    <row r="7" spans="1:16">
      <c r="A7" s="14" t="s">
        <v>4911</v>
      </c>
      <c r="B7" s="10"/>
      <c r="C7" s="11"/>
      <c r="D7" s="773" t="s">
        <v>10399</v>
      </c>
      <c r="E7" s="12"/>
      <c r="F7" s="18" t="s">
        <v>4905</v>
      </c>
      <c r="G7" s="19" t="b">
        <v>0</v>
      </c>
      <c r="H7" s="13"/>
      <c r="I7" s="19">
        <v>451325</v>
      </c>
      <c r="J7" s="13">
        <f>3.5*100000+101325</f>
        <v>451325</v>
      </c>
      <c r="K7" s="19">
        <v>299.14999999999998</v>
      </c>
      <c r="L7" s="13"/>
      <c r="M7" s="19"/>
      <c r="N7" s="13"/>
    </row>
    <row r="8" spans="1:16">
      <c r="A8" s="9" t="s">
        <v>4911</v>
      </c>
      <c r="B8" s="10"/>
      <c r="C8" s="11"/>
      <c r="D8" s="773" t="s">
        <v>10400</v>
      </c>
      <c r="E8" s="12"/>
      <c r="F8" s="18" t="s">
        <v>4904</v>
      </c>
      <c r="G8" s="497" t="b">
        <v>0</v>
      </c>
      <c r="H8" s="13"/>
      <c r="I8" s="497">
        <v>4501325</v>
      </c>
      <c r="J8" s="460">
        <f>44*100000+101325</f>
        <v>4501325</v>
      </c>
      <c r="K8" s="497">
        <v>308.14999999999998</v>
      </c>
      <c r="L8" s="13">
        <f>273.15+35</f>
        <v>308.14999999999998</v>
      </c>
      <c r="M8" s="19"/>
      <c r="N8" s="13"/>
    </row>
    <row r="9" spans="1:16">
      <c r="A9" s="9" t="s">
        <v>4911</v>
      </c>
      <c r="B9" s="15"/>
      <c r="C9" s="16"/>
      <c r="D9" s="773" t="s">
        <v>10401</v>
      </c>
      <c r="E9" s="12"/>
      <c r="F9" s="18" t="s">
        <v>4907</v>
      </c>
      <c r="G9" s="497" t="b">
        <v>0</v>
      </c>
      <c r="H9" s="13"/>
      <c r="I9" s="497">
        <v>251325</v>
      </c>
      <c r="J9" s="460">
        <f>1.5*100000+101325</f>
        <v>251325</v>
      </c>
      <c r="K9" s="497">
        <v>311.14999999999998</v>
      </c>
      <c r="L9" s="13">
        <f>273.15+38</f>
        <v>311.14999999999998</v>
      </c>
      <c r="M9" s="19"/>
      <c r="N9" s="13"/>
    </row>
    <row r="10" spans="1:16">
      <c r="A10" s="14" t="s">
        <v>4911</v>
      </c>
      <c r="B10" s="15"/>
      <c r="C10" s="16"/>
      <c r="D10" s="773" t="s">
        <v>10402</v>
      </c>
      <c r="E10" s="12"/>
      <c r="F10" s="465" t="s">
        <v>10382</v>
      </c>
      <c r="G10" s="783" t="b">
        <v>0</v>
      </c>
      <c r="H10" s="13"/>
      <c r="I10" s="783">
        <v>4501325</v>
      </c>
      <c r="J10" s="460">
        <f>44*100000+101325</f>
        <v>4501325</v>
      </c>
      <c r="K10" s="783">
        <v>303.14999999999998</v>
      </c>
      <c r="L10" s="13">
        <f>273.15+30</f>
        <v>303.14999999999998</v>
      </c>
      <c r="M10" s="19"/>
      <c r="N10" s="13"/>
    </row>
    <row r="11" spans="1:16">
      <c r="A11" s="14" t="s">
        <v>4911</v>
      </c>
      <c r="B11" s="15"/>
      <c r="C11" s="16"/>
      <c r="D11" s="773" t="s">
        <v>10403</v>
      </c>
      <c r="E11" s="12"/>
      <c r="F11" s="18" t="s">
        <v>4909</v>
      </c>
      <c r="G11" s="497" t="b">
        <v>0</v>
      </c>
      <c r="H11" s="13"/>
      <c r="I11" s="497">
        <v>251325</v>
      </c>
      <c r="J11" s="460">
        <f>1.5*100000+101325</f>
        <v>251325</v>
      </c>
      <c r="K11" s="497">
        <v>308.14999999999998</v>
      </c>
      <c r="L11" s="13">
        <f>273.15+35</f>
        <v>308.14999999999998</v>
      </c>
      <c r="M11" s="19"/>
      <c r="N11" s="13"/>
    </row>
    <row r="12" spans="1:16">
      <c r="A12" s="14" t="s">
        <v>4911</v>
      </c>
      <c r="B12" s="15"/>
      <c r="C12" s="16"/>
      <c r="D12" s="773" t="s">
        <v>10404</v>
      </c>
      <c r="E12" s="12"/>
      <c r="F12" s="18" t="s">
        <v>4913</v>
      </c>
      <c r="G12" s="497" t="b">
        <v>0</v>
      </c>
      <c r="H12" s="13"/>
      <c r="I12" s="497">
        <v>8901325</v>
      </c>
      <c r="J12" s="13">
        <f>88*100000+101325</f>
        <v>8901325</v>
      </c>
      <c r="K12" s="497">
        <v>326.14999999999998</v>
      </c>
      <c r="L12" s="13">
        <f>273.15+53</f>
        <v>326.14999999999998</v>
      </c>
      <c r="M12" s="19"/>
      <c r="N12" s="13"/>
    </row>
    <row r="13" spans="1:16">
      <c r="A13" s="756" t="s">
        <v>4911</v>
      </c>
      <c r="B13" s="15"/>
      <c r="C13" s="16"/>
      <c r="D13" s="773" t="s">
        <v>10405</v>
      </c>
      <c r="E13" s="12"/>
      <c r="F13" s="465" t="s">
        <v>10383</v>
      </c>
      <c r="G13" s="783" t="b">
        <v>0</v>
      </c>
      <c r="H13" s="13"/>
      <c r="I13" s="783">
        <v>3351325</v>
      </c>
      <c r="J13" s="13">
        <f>32.5*100000+101325</f>
        <v>3351325</v>
      </c>
      <c r="K13" s="783">
        <v>291.14999999999998</v>
      </c>
      <c r="L13" s="13">
        <f>273.15+18</f>
        <v>291.14999999999998</v>
      </c>
      <c r="M13" s="19"/>
      <c r="N13" s="13"/>
    </row>
    <row r="14" spans="1:16">
      <c r="A14" s="14" t="s">
        <v>4911</v>
      </c>
      <c r="B14" s="15"/>
      <c r="C14" s="16"/>
      <c r="D14" s="773" t="s">
        <v>10406</v>
      </c>
      <c r="E14" s="12"/>
      <c r="F14" s="786" t="s">
        <v>4953</v>
      </c>
      <c r="G14" s="787" t="b">
        <v>0</v>
      </c>
      <c r="H14" s="788"/>
      <c r="I14" s="787">
        <v>2601325</v>
      </c>
      <c r="J14" s="788">
        <f>25*100000+101325</f>
        <v>2601325</v>
      </c>
      <c r="K14" s="19">
        <v>324.715865750977</v>
      </c>
      <c r="L14" s="13"/>
      <c r="M14" s="19"/>
      <c r="N14" s="13"/>
    </row>
    <row r="15" spans="1:16">
      <c r="A15" s="14" t="s">
        <v>4911</v>
      </c>
      <c r="B15" s="15"/>
      <c r="C15" s="16"/>
      <c r="D15" s="17" t="s">
        <v>5387</v>
      </c>
      <c r="E15" s="12"/>
      <c r="F15" s="18" t="s">
        <v>5386</v>
      </c>
      <c r="G15" s="19" t="b">
        <v>0</v>
      </c>
      <c r="H15" s="13"/>
      <c r="I15" s="19">
        <v>451325</v>
      </c>
      <c r="J15" s="13">
        <f>3.5*100000+101325</f>
        <v>451325</v>
      </c>
      <c r="K15" s="19">
        <v>300.403593883143</v>
      </c>
      <c r="L15" s="13"/>
      <c r="M15" s="19"/>
      <c r="N15" s="13"/>
    </row>
    <row r="16" spans="1:16">
      <c r="A16" s="14" t="s">
        <v>4911</v>
      </c>
      <c r="B16" s="15"/>
      <c r="C16" s="16"/>
      <c r="D16" s="17" t="s">
        <v>5398</v>
      </c>
      <c r="E16" s="12"/>
      <c r="F16" s="18" t="s">
        <v>5396</v>
      </c>
      <c r="G16" s="19" t="b">
        <v>0</v>
      </c>
      <c r="H16" s="13"/>
      <c r="I16" s="19">
        <v>2001325</v>
      </c>
      <c r="J16" s="13">
        <f>19*100000+101325</f>
        <v>2001325</v>
      </c>
      <c r="K16" s="19">
        <v>316.16060994088201</v>
      </c>
      <c r="L16" s="13"/>
      <c r="M16" s="19"/>
      <c r="N16" s="13"/>
    </row>
    <row r="17" spans="1:14">
      <c r="A17" s="756" t="s">
        <v>4911</v>
      </c>
      <c r="B17" s="15"/>
      <c r="C17" s="16"/>
      <c r="D17" s="773" t="s">
        <v>10392</v>
      </c>
      <c r="E17" s="12"/>
      <c r="F17" s="465" t="s">
        <v>10384</v>
      </c>
      <c r="G17" s="19" t="b">
        <v>0</v>
      </c>
      <c r="H17" s="13"/>
      <c r="I17" s="19">
        <v>451325</v>
      </c>
      <c r="J17" s="460">
        <f>3.5*100000+101325</f>
        <v>451325</v>
      </c>
      <c r="K17" s="19">
        <v>300.40339643314599</v>
      </c>
      <c r="L17" s="13"/>
      <c r="M17" s="19"/>
      <c r="N17" s="13"/>
    </row>
    <row r="18" spans="1:14">
      <c r="A18" s="756" t="s">
        <v>4911</v>
      </c>
      <c r="B18" s="15"/>
      <c r="C18" s="16"/>
      <c r="D18" s="773" t="s">
        <v>10393</v>
      </c>
      <c r="E18" s="12"/>
      <c r="F18" s="465" t="s">
        <v>10385</v>
      </c>
      <c r="G18" s="19" t="b">
        <v>0</v>
      </c>
      <c r="H18" s="13"/>
      <c r="I18" s="19">
        <v>461325</v>
      </c>
      <c r="J18" s="460">
        <f>3.6*100000+101325</f>
        <v>461325</v>
      </c>
      <c r="K18" s="19">
        <v>312.60243492711999</v>
      </c>
      <c r="L18" s="13"/>
      <c r="M18" s="19"/>
      <c r="N18" s="13"/>
    </row>
    <row r="19" spans="1:14">
      <c r="A19" s="756" t="s">
        <v>4911</v>
      </c>
      <c r="B19" s="15"/>
      <c r="C19" s="16"/>
      <c r="D19" s="773" t="s">
        <v>10394</v>
      </c>
      <c r="E19" s="12"/>
      <c r="F19" s="465" t="s">
        <v>5989</v>
      </c>
      <c r="G19" s="19" t="b">
        <v>0</v>
      </c>
      <c r="H19" s="13"/>
      <c r="I19" s="19">
        <v>701325</v>
      </c>
      <c r="J19" s="460">
        <f>6*100000+101325</f>
        <v>701325</v>
      </c>
      <c r="K19" s="19">
        <v>312.48698512984498</v>
      </c>
      <c r="L19" s="13"/>
      <c r="M19" s="19"/>
      <c r="N19" s="13"/>
    </row>
    <row r="20" spans="1:14">
      <c r="A20" s="756" t="s">
        <v>4911</v>
      </c>
      <c r="B20" s="15"/>
      <c r="C20" s="16"/>
      <c r="D20" s="773" t="s">
        <v>10391</v>
      </c>
      <c r="E20" s="12"/>
      <c r="F20" s="465" t="s">
        <v>10386</v>
      </c>
      <c r="G20" s="19" t="b">
        <v>0</v>
      </c>
      <c r="H20" s="13"/>
      <c r="I20" s="19">
        <v>491325</v>
      </c>
      <c r="J20" s="460">
        <f>3.9*100000+101325</f>
        <v>491325</v>
      </c>
      <c r="K20" s="19">
        <v>314.14338369396199</v>
      </c>
      <c r="L20" s="13"/>
      <c r="M20" s="19"/>
      <c r="N20" s="13"/>
    </row>
    <row r="21" spans="1:14">
      <c r="A21" s="756" t="s">
        <v>4911</v>
      </c>
      <c r="B21" s="15"/>
      <c r="C21" s="16"/>
      <c r="D21" s="773" t="s">
        <v>10389</v>
      </c>
      <c r="E21" s="12"/>
      <c r="F21" s="465" t="s">
        <v>10387</v>
      </c>
      <c r="G21" s="19" t="b">
        <v>0</v>
      </c>
      <c r="H21" s="13"/>
      <c r="I21" s="19">
        <v>541325</v>
      </c>
      <c r="J21" s="460">
        <f>4.4*100000+101325</f>
        <v>541325</v>
      </c>
      <c r="K21" s="19">
        <v>314.119244222362</v>
      </c>
      <c r="L21" s="13"/>
      <c r="M21" s="19"/>
      <c r="N21" s="13"/>
    </row>
    <row r="22" spans="1:14">
      <c r="A22" s="756" t="s">
        <v>4911</v>
      </c>
      <c r="B22" s="15"/>
      <c r="C22" s="16"/>
      <c r="D22" s="773" t="s">
        <v>10395</v>
      </c>
      <c r="E22" s="12"/>
      <c r="F22" s="465" t="s">
        <v>5990</v>
      </c>
      <c r="G22" s="19" t="b">
        <v>0</v>
      </c>
      <c r="H22" s="13"/>
      <c r="I22" s="19">
        <v>471325</v>
      </c>
      <c r="J22" s="460">
        <f>3.7*100000+101325</f>
        <v>471325</v>
      </c>
      <c r="K22" s="19">
        <v>311.46771101263602</v>
      </c>
      <c r="L22" s="13"/>
      <c r="M22" s="19"/>
      <c r="N22" s="13"/>
    </row>
    <row r="23" spans="1:14">
      <c r="A23" s="756" t="s">
        <v>4911</v>
      </c>
      <c r="B23" s="15"/>
      <c r="C23" s="16"/>
      <c r="D23" s="773" t="s">
        <v>10390</v>
      </c>
      <c r="E23" s="12"/>
      <c r="F23" s="465" t="s">
        <v>10388</v>
      </c>
      <c r="G23" s="19" t="b">
        <v>0</v>
      </c>
      <c r="H23" s="13"/>
      <c r="I23" s="19">
        <v>591325</v>
      </c>
      <c r="J23" s="460">
        <f>4.9*100000+101325</f>
        <v>591325</v>
      </c>
      <c r="K23" s="19">
        <v>358.91241753258299</v>
      </c>
      <c r="L23" s="13"/>
      <c r="M23" s="19"/>
      <c r="N23" s="13"/>
    </row>
    <row r="24" spans="1:14">
      <c r="A24" s="756" t="s">
        <v>4911</v>
      </c>
      <c r="B24" s="15"/>
      <c r="C24" s="16"/>
      <c r="D24" s="773" t="s">
        <v>10407</v>
      </c>
      <c r="E24" s="12"/>
      <c r="F24" s="465" t="s">
        <v>10396</v>
      </c>
      <c r="G24" s="19" t="b">
        <v>0</v>
      </c>
      <c r="H24" s="13"/>
      <c r="I24" s="19">
        <v>301325</v>
      </c>
      <c r="J24" s="460">
        <f>2*100000+101325</f>
        <v>301325</v>
      </c>
      <c r="K24" s="19">
        <v>288.87086152006498</v>
      </c>
      <c r="L24" s="13"/>
      <c r="M24" s="19"/>
      <c r="N24" s="13"/>
    </row>
    <row r="25" spans="1:14">
      <c r="A25" s="14"/>
      <c r="B25" s="15"/>
      <c r="C25" s="16"/>
      <c r="D25" s="17"/>
      <c r="E25" s="12"/>
      <c r="F25" s="18"/>
      <c r="G25" s="19"/>
      <c r="H25" s="13"/>
      <c r="I25" s="19"/>
      <c r="J25" s="13"/>
      <c r="K25" s="19"/>
      <c r="L25" s="13"/>
      <c r="M25" s="19"/>
      <c r="N25" s="13"/>
    </row>
    <row r="26" spans="1:14">
      <c r="A26" s="14"/>
      <c r="B26" s="15"/>
      <c r="C26" s="16"/>
      <c r="D26" s="17"/>
      <c r="E26" s="12"/>
      <c r="F26" s="18"/>
      <c r="G26" s="19"/>
      <c r="H26" s="13"/>
      <c r="I26" s="19"/>
      <c r="J26" s="13"/>
      <c r="K26" s="19"/>
      <c r="L26" s="13"/>
      <c r="M26" s="19"/>
      <c r="N26" s="13"/>
    </row>
    <row r="27" spans="1:14">
      <c r="A27" s="14"/>
      <c r="B27" s="15"/>
      <c r="C27" s="16"/>
      <c r="D27" s="17"/>
      <c r="E27" s="12"/>
      <c r="F27" s="18"/>
      <c r="G27" s="19"/>
      <c r="H27" s="13"/>
      <c r="I27" s="19"/>
      <c r="J27" s="13"/>
      <c r="K27" s="19"/>
      <c r="L27" s="13"/>
      <c r="M27" s="19"/>
      <c r="N27" s="13"/>
    </row>
    <row r="28" spans="1:14">
      <c r="A28" s="14"/>
      <c r="B28" s="15"/>
      <c r="C28" s="16"/>
      <c r="D28" s="17"/>
      <c r="E28" s="12"/>
      <c r="F28" s="18"/>
      <c r="G28" s="19"/>
      <c r="H28" s="13"/>
      <c r="I28" s="19"/>
      <c r="J28" s="13"/>
      <c r="K28" s="19"/>
      <c r="L28" s="13"/>
      <c r="M28" s="19"/>
      <c r="N28" s="13"/>
    </row>
    <row r="29" spans="1:14">
      <c r="A29" s="14"/>
      <c r="B29" s="15"/>
      <c r="C29" s="16"/>
      <c r="D29" s="17"/>
      <c r="E29" s="12"/>
      <c r="F29" s="18"/>
      <c r="G29" s="19"/>
      <c r="H29" s="13"/>
      <c r="I29" s="19"/>
      <c r="J29" s="13"/>
      <c r="K29" s="19"/>
      <c r="L29" s="13"/>
      <c r="M29" s="19"/>
      <c r="N29" s="13"/>
    </row>
    <row r="30" spans="1:14">
      <c r="A30" s="14"/>
      <c r="B30" s="15"/>
      <c r="C30" s="16"/>
      <c r="D30" s="17"/>
      <c r="E30" s="12"/>
      <c r="F30" s="18"/>
      <c r="G30" s="19"/>
      <c r="H30" s="13"/>
      <c r="I30" s="19"/>
      <c r="J30" s="13"/>
      <c r="K30" s="19"/>
      <c r="L30" s="13"/>
      <c r="M30" s="19"/>
      <c r="N30" s="13"/>
    </row>
    <row r="31" spans="1:14">
      <c r="A31" s="14"/>
      <c r="B31" s="15"/>
      <c r="C31" s="16"/>
      <c r="D31" s="17"/>
      <c r="E31" s="12"/>
      <c r="F31" s="18"/>
      <c r="G31" s="19"/>
      <c r="H31" s="13"/>
      <c r="I31" s="19"/>
      <c r="J31" s="13"/>
      <c r="K31" s="19"/>
      <c r="L31" s="13"/>
      <c r="M31" s="19"/>
      <c r="N31" s="13"/>
    </row>
    <row r="32" spans="1:14">
      <c r="A32" s="14"/>
      <c r="B32" s="15"/>
      <c r="C32" s="16"/>
      <c r="D32" s="17"/>
      <c r="E32" s="12"/>
      <c r="F32" s="18"/>
      <c r="G32" s="19"/>
      <c r="H32" s="13"/>
      <c r="I32" s="19"/>
      <c r="J32" s="13"/>
      <c r="K32" s="19"/>
      <c r="L32" s="13"/>
      <c r="M32" s="19"/>
      <c r="N32" s="13"/>
    </row>
    <row r="33" spans="1:14">
      <c r="A33" s="14"/>
      <c r="B33" s="15"/>
      <c r="C33" s="16"/>
      <c r="D33" s="17"/>
      <c r="E33" s="12"/>
      <c r="F33" s="18"/>
      <c r="G33" s="19"/>
      <c r="H33" s="13"/>
      <c r="I33" s="19"/>
      <c r="J33" s="13"/>
      <c r="K33" s="19"/>
      <c r="L33" s="13"/>
      <c r="M33" s="19"/>
      <c r="N33" s="13"/>
    </row>
    <row r="34" spans="1:14">
      <c r="A34" s="14"/>
      <c r="B34" s="15"/>
      <c r="C34" s="16"/>
      <c r="D34" s="17"/>
      <c r="E34" s="12"/>
      <c r="F34" s="18"/>
      <c r="G34" s="19"/>
      <c r="H34" s="13"/>
      <c r="I34" s="19"/>
      <c r="J34" s="13"/>
      <c r="K34" s="19"/>
      <c r="L34" s="13"/>
      <c r="M34" s="19"/>
      <c r="N34" s="13"/>
    </row>
    <row r="35" spans="1:14">
      <c r="A35" s="14"/>
      <c r="B35" s="15"/>
      <c r="C35" s="16"/>
      <c r="D35" s="17"/>
      <c r="E35" s="12"/>
      <c r="F35" s="18"/>
      <c r="G35" s="19"/>
      <c r="H35" s="13"/>
      <c r="I35" s="19"/>
      <c r="J35" s="13"/>
      <c r="K35" s="19"/>
      <c r="L35" s="13"/>
      <c r="M35" s="19"/>
      <c r="N35" s="13"/>
    </row>
    <row r="36" spans="1:14">
      <c r="A36" s="14"/>
      <c r="B36" s="15"/>
      <c r="C36" s="16"/>
      <c r="D36" s="17"/>
      <c r="E36" s="12"/>
      <c r="F36" s="18"/>
      <c r="G36" s="19"/>
      <c r="H36" s="13"/>
      <c r="I36" s="19"/>
      <c r="J36" s="13"/>
      <c r="K36" s="19"/>
      <c r="L36" s="13"/>
      <c r="M36" s="19"/>
      <c r="N36" s="13"/>
    </row>
    <row r="37" spans="1:14">
      <c r="A37" s="14"/>
      <c r="B37" s="15"/>
      <c r="C37" s="16"/>
      <c r="D37" s="17"/>
      <c r="E37" s="12"/>
      <c r="F37" s="18"/>
      <c r="G37" s="19"/>
      <c r="H37" s="13"/>
      <c r="I37" s="19"/>
      <c r="J37" s="13"/>
      <c r="K37" s="19"/>
      <c r="L37" s="13"/>
      <c r="M37" s="19"/>
      <c r="N37" s="13"/>
    </row>
    <row r="38" spans="1:14">
      <c r="A38" s="14"/>
      <c r="B38" s="15"/>
      <c r="C38" s="16"/>
      <c r="D38" s="17"/>
      <c r="E38" s="12"/>
      <c r="F38" s="18"/>
      <c r="G38" s="19"/>
      <c r="H38" s="13"/>
      <c r="I38" s="19"/>
      <c r="J38" s="13"/>
      <c r="K38" s="19"/>
      <c r="L38" s="13"/>
      <c r="M38" s="19"/>
      <c r="N38" s="13"/>
    </row>
    <row r="39" spans="1:14">
      <c r="A39" s="14"/>
      <c r="B39" s="15"/>
      <c r="C39" s="16"/>
      <c r="D39" s="17"/>
      <c r="E39" s="12"/>
      <c r="F39" s="18"/>
      <c r="G39" s="19"/>
      <c r="H39" s="13"/>
      <c r="I39" s="19"/>
      <c r="J39" s="13"/>
      <c r="K39" s="19"/>
      <c r="L39" s="13"/>
      <c r="M39" s="19"/>
      <c r="N39" s="13"/>
    </row>
    <row r="40" spans="1:14">
      <c r="A40" s="14"/>
      <c r="B40" s="15"/>
      <c r="C40" s="16"/>
      <c r="D40" s="17"/>
      <c r="E40" s="12"/>
      <c r="F40" s="18"/>
      <c r="G40" s="19"/>
      <c r="H40" s="13"/>
      <c r="I40" s="19"/>
      <c r="J40" s="13"/>
      <c r="K40" s="19"/>
      <c r="L40" s="13"/>
      <c r="M40" s="19"/>
      <c r="N40" s="13"/>
    </row>
    <row r="41" spans="1:14">
      <c r="A41" s="14"/>
      <c r="B41" s="15"/>
      <c r="C41" s="16"/>
      <c r="D41" s="17"/>
      <c r="E41" s="12"/>
      <c r="F41" s="18"/>
      <c r="G41" s="19"/>
      <c r="H41" s="13"/>
      <c r="I41" s="19"/>
      <c r="J41" s="13"/>
      <c r="K41" s="19"/>
      <c r="L41" s="13"/>
      <c r="M41" s="19"/>
      <c r="N41" s="13"/>
    </row>
    <row r="42" spans="1:14">
      <c r="A42" s="14"/>
      <c r="B42" s="15"/>
      <c r="C42" s="16"/>
      <c r="D42" s="17"/>
      <c r="E42" s="12"/>
      <c r="F42" s="18"/>
      <c r="G42" s="19"/>
      <c r="H42" s="13"/>
      <c r="I42" s="19"/>
      <c r="J42" s="13"/>
      <c r="K42" s="19"/>
      <c r="L42" s="13"/>
      <c r="M42" s="19"/>
      <c r="N42" s="13"/>
    </row>
    <row r="43" spans="1:14">
      <c r="A43" s="14"/>
      <c r="B43" s="15"/>
      <c r="C43" s="16"/>
      <c r="D43" s="17"/>
      <c r="E43" s="12"/>
      <c r="F43" s="18"/>
      <c r="G43" s="19"/>
      <c r="H43" s="13"/>
      <c r="I43" s="19"/>
      <c r="J43" s="13"/>
      <c r="K43" s="19"/>
      <c r="L43" s="13"/>
      <c r="M43" s="19"/>
      <c r="N43" s="13"/>
    </row>
    <row r="44" spans="1:14">
      <c r="A44" s="14"/>
      <c r="B44" s="15"/>
      <c r="C44" s="16"/>
      <c r="D44" s="17"/>
      <c r="E44" s="12"/>
      <c r="F44" s="18"/>
      <c r="G44" s="19"/>
      <c r="H44" s="13"/>
      <c r="I44" s="19"/>
      <c r="J44" s="13"/>
      <c r="K44" s="19"/>
      <c r="L44" s="13"/>
      <c r="M44" s="19"/>
      <c r="N44" s="13"/>
    </row>
    <row r="45" spans="1:14">
      <c r="A45" s="14"/>
      <c r="B45" s="15"/>
      <c r="C45" s="16"/>
      <c r="D45" s="17"/>
      <c r="E45" s="12"/>
      <c r="F45" s="18"/>
      <c r="G45" s="19"/>
      <c r="H45" s="13"/>
      <c r="I45" s="19"/>
      <c r="J45" s="13"/>
      <c r="K45" s="19"/>
      <c r="L45" s="13"/>
      <c r="M45" s="19"/>
      <c r="N45" s="13"/>
    </row>
    <row r="46" spans="1:14">
      <c r="A46" s="14"/>
      <c r="B46" s="15"/>
      <c r="C46" s="16"/>
      <c r="D46" s="17"/>
      <c r="E46" s="12"/>
      <c r="F46" s="18"/>
      <c r="G46" s="19"/>
      <c r="H46" s="13"/>
      <c r="I46" s="19"/>
      <c r="J46" s="13"/>
      <c r="K46" s="19"/>
      <c r="L46" s="13"/>
      <c r="M46" s="19"/>
      <c r="N46" s="13"/>
    </row>
    <row r="47" spans="1:14">
      <c r="A47" s="14"/>
      <c r="B47" s="15"/>
      <c r="C47" s="16"/>
      <c r="D47" s="17"/>
      <c r="E47" s="12"/>
      <c r="F47" s="18"/>
      <c r="G47" s="19"/>
      <c r="H47" s="13"/>
      <c r="I47" s="19"/>
      <c r="J47" s="13"/>
      <c r="K47" s="19"/>
      <c r="L47" s="13"/>
      <c r="M47" s="19"/>
      <c r="N47" s="13"/>
    </row>
    <row r="48" spans="1:14">
      <c r="A48" s="14"/>
      <c r="B48" s="15"/>
      <c r="C48" s="16"/>
      <c r="D48" s="17"/>
      <c r="E48" s="12"/>
      <c r="F48" s="18"/>
      <c r="G48" s="19"/>
      <c r="H48" s="13"/>
      <c r="I48" s="19"/>
      <c r="J48" s="13"/>
      <c r="K48" s="19"/>
      <c r="L48" s="13"/>
      <c r="M48" s="19"/>
      <c r="N48" s="13"/>
    </row>
    <row r="49" spans="1:14">
      <c r="A49" s="14"/>
      <c r="B49" s="15"/>
      <c r="C49" s="16"/>
      <c r="D49" s="17"/>
      <c r="E49" s="12"/>
      <c r="F49" s="18"/>
      <c r="G49" s="19"/>
      <c r="H49" s="13"/>
      <c r="I49" s="19"/>
      <c r="J49" s="13"/>
      <c r="K49" s="19"/>
      <c r="L49" s="13"/>
      <c r="M49" s="19"/>
      <c r="N49" s="13"/>
    </row>
    <row r="50" spans="1:14">
      <c r="A50" s="14"/>
      <c r="B50" s="15"/>
      <c r="C50" s="16"/>
      <c r="D50" s="17"/>
      <c r="E50" s="12"/>
      <c r="F50" s="18"/>
      <c r="G50" s="19"/>
      <c r="H50" s="13"/>
      <c r="I50" s="19"/>
      <c r="J50" s="13"/>
      <c r="K50" s="19"/>
      <c r="L50" s="13"/>
      <c r="M50" s="19"/>
      <c r="N50" s="13"/>
    </row>
    <row r="51" spans="1:14">
      <c r="A51" s="14"/>
      <c r="B51" s="15"/>
      <c r="C51" s="16"/>
      <c r="D51" s="17"/>
      <c r="E51" s="12"/>
      <c r="F51" s="18"/>
      <c r="G51" s="19"/>
      <c r="H51" s="13"/>
      <c r="I51" s="19"/>
      <c r="J51" s="13"/>
      <c r="K51" s="19"/>
      <c r="L51" s="13"/>
      <c r="M51" s="19"/>
      <c r="N51" s="13"/>
    </row>
    <row r="52" spans="1:14">
      <c r="A52" s="14"/>
      <c r="B52" s="15"/>
      <c r="C52" s="16"/>
      <c r="D52" s="17"/>
      <c r="E52" s="12"/>
      <c r="F52" s="18"/>
      <c r="G52" s="19"/>
      <c r="H52" s="13"/>
      <c r="I52" s="19"/>
      <c r="J52" s="13"/>
      <c r="K52" s="19"/>
      <c r="L52" s="13"/>
      <c r="M52" s="19"/>
      <c r="N52" s="13"/>
    </row>
    <row r="53" spans="1:14">
      <c r="A53" s="14"/>
      <c r="B53" s="15"/>
      <c r="C53" s="16"/>
      <c r="D53" s="17"/>
      <c r="E53" s="12"/>
      <c r="F53" s="18"/>
      <c r="G53" s="19"/>
      <c r="H53" s="13"/>
      <c r="I53" s="19"/>
      <c r="J53" s="13"/>
      <c r="K53" s="19"/>
      <c r="L53" s="13"/>
      <c r="M53" s="19"/>
      <c r="N53" s="13"/>
    </row>
    <row r="54" spans="1:14">
      <c r="A54" s="14"/>
      <c r="B54" s="15"/>
      <c r="C54" s="16"/>
      <c r="D54" s="17"/>
      <c r="E54" s="12"/>
      <c r="F54" s="18"/>
      <c r="G54" s="19"/>
      <c r="H54" s="13"/>
      <c r="I54" s="19"/>
      <c r="J54" s="13"/>
      <c r="K54" s="19"/>
      <c r="L54" s="13"/>
      <c r="M54" s="19"/>
      <c r="N54" s="13"/>
    </row>
    <row r="55" spans="1:14">
      <c r="A55" s="14"/>
      <c r="B55" s="15"/>
      <c r="C55" s="16"/>
      <c r="D55" s="17"/>
      <c r="E55" s="12"/>
      <c r="F55" s="18"/>
      <c r="G55" s="19"/>
      <c r="H55" s="13"/>
      <c r="I55" s="19"/>
      <c r="J55" s="13"/>
      <c r="K55" s="19"/>
      <c r="L55" s="13"/>
      <c r="M55" s="19"/>
      <c r="N55" s="13"/>
    </row>
    <row r="56" spans="1:14">
      <c r="A56" s="14"/>
      <c r="B56" s="15"/>
      <c r="C56" s="16"/>
      <c r="D56" s="17"/>
      <c r="E56" s="12"/>
      <c r="F56" s="18"/>
      <c r="G56" s="19"/>
      <c r="H56" s="13"/>
      <c r="I56" s="19"/>
      <c r="J56" s="13"/>
      <c r="K56" s="19"/>
      <c r="L56" s="13"/>
      <c r="M56" s="19"/>
      <c r="N56" s="13"/>
    </row>
    <row r="57" spans="1:14">
      <c r="A57" s="14"/>
      <c r="B57" s="15"/>
      <c r="C57" s="16"/>
      <c r="D57" s="17"/>
      <c r="E57" s="12"/>
      <c r="F57" s="18"/>
      <c r="G57" s="19"/>
      <c r="H57" s="13"/>
      <c r="I57" s="19"/>
      <c r="J57" s="13"/>
      <c r="K57" s="19"/>
      <c r="L57" s="13"/>
      <c r="M57" s="19"/>
      <c r="N57" s="13"/>
    </row>
    <row r="58" spans="1:14">
      <c r="A58" s="14"/>
      <c r="B58" s="15"/>
      <c r="C58" s="16"/>
      <c r="D58" s="17"/>
      <c r="E58" s="12"/>
      <c r="F58" s="18"/>
      <c r="G58" s="19"/>
      <c r="H58" s="13"/>
      <c r="I58" s="19"/>
      <c r="J58" s="13"/>
      <c r="K58" s="19"/>
      <c r="L58" s="13"/>
      <c r="M58" s="19"/>
      <c r="N58" s="13"/>
    </row>
    <row r="59" spans="1:14">
      <c r="A59" s="14"/>
      <c r="B59" s="15"/>
      <c r="C59" s="16"/>
      <c r="D59" s="17"/>
      <c r="E59" s="12"/>
      <c r="F59" s="18"/>
      <c r="G59" s="19"/>
      <c r="H59" s="13"/>
      <c r="I59" s="19"/>
      <c r="J59" s="13"/>
      <c r="K59" s="19"/>
      <c r="L59" s="13"/>
      <c r="M59" s="19"/>
      <c r="N59" s="13"/>
    </row>
    <row r="60" spans="1:14">
      <c r="A60" s="14"/>
      <c r="B60" s="15"/>
      <c r="C60" s="16"/>
      <c r="D60" s="17"/>
      <c r="E60" s="12"/>
      <c r="F60" s="18"/>
      <c r="G60" s="19"/>
      <c r="H60" s="13"/>
      <c r="I60" s="19"/>
      <c r="J60" s="13"/>
      <c r="K60" s="19"/>
      <c r="L60" s="13"/>
      <c r="M60" s="19"/>
      <c r="N60" s="13"/>
    </row>
    <row r="61" spans="1:14">
      <c r="A61" s="14"/>
      <c r="B61" s="15"/>
      <c r="C61" s="16"/>
      <c r="D61" s="17"/>
      <c r="E61" s="12"/>
      <c r="F61" s="18"/>
      <c r="G61" s="19"/>
      <c r="H61" s="13"/>
      <c r="I61" s="19"/>
      <c r="J61" s="13"/>
      <c r="K61" s="19"/>
      <c r="L61" s="13"/>
      <c r="M61" s="19"/>
      <c r="N61" s="13"/>
    </row>
    <row r="62" spans="1:14">
      <c r="A62" s="14"/>
      <c r="B62" s="15"/>
      <c r="C62" s="16"/>
      <c r="D62" s="17"/>
      <c r="E62" s="12"/>
      <c r="F62" s="18"/>
      <c r="G62" s="19"/>
      <c r="H62" s="13"/>
      <c r="I62" s="19"/>
      <c r="J62" s="13"/>
      <c r="K62" s="19"/>
      <c r="L62" s="13"/>
      <c r="M62" s="19"/>
      <c r="N62" s="13"/>
    </row>
    <row r="63" spans="1:14">
      <c r="A63" s="14"/>
      <c r="B63" s="15"/>
      <c r="C63" s="16"/>
      <c r="D63" s="17"/>
      <c r="E63" s="12"/>
      <c r="F63" s="18"/>
      <c r="G63" s="19"/>
      <c r="H63" s="13"/>
      <c r="I63" s="19"/>
      <c r="J63" s="13"/>
      <c r="K63" s="19"/>
      <c r="L63" s="13"/>
      <c r="M63" s="19"/>
      <c r="N63" s="13"/>
    </row>
    <row r="64" spans="1:14">
      <c r="A64" s="14"/>
      <c r="B64" s="15"/>
      <c r="C64" s="16"/>
      <c r="D64" s="17"/>
      <c r="E64" s="12"/>
      <c r="F64" s="18"/>
      <c r="G64" s="19"/>
      <c r="H64" s="13"/>
      <c r="I64" s="19"/>
      <c r="J64" s="13"/>
      <c r="K64" s="19"/>
      <c r="L64" s="13"/>
      <c r="M64" s="19"/>
      <c r="N64" s="13"/>
    </row>
    <row r="65" spans="1:14">
      <c r="A65" s="14"/>
      <c r="B65" s="15"/>
      <c r="C65" s="16"/>
      <c r="D65" s="17"/>
      <c r="E65" s="12"/>
      <c r="F65" s="18"/>
      <c r="G65" s="19"/>
      <c r="H65" s="13"/>
      <c r="I65" s="19"/>
      <c r="J65" s="13"/>
      <c r="K65" s="19"/>
      <c r="L65" s="13"/>
      <c r="M65" s="19"/>
      <c r="N65" s="13"/>
    </row>
    <row r="66" spans="1:14">
      <c r="A66" s="14"/>
      <c r="B66" s="15"/>
      <c r="C66" s="16"/>
      <c r="D66" s="17"/>
      <c r="E66" s="12"/>
      <c r="F66" s="18"/>
      <c r="G66" s="19"/>
      <c r="H66" s="13"/>
      <c r="I66" s="19"/>
      <c r="J66" s="13"/>
      <c r="K66" s="19"/>
      <c r="L66" s="13"/>
      <c r="M66" s="19"/>
      <c r="N66" s="13"/>
    </row>
    <row r="67" spans="1:14">
      <c r="A67" s="14"/>
      <c r="B67" s="15"/>
      <c r="C67" s="16"/>
      <c r="D67" s="17"/>
      <c r="E67" s="12"/>
      <c r="F67" s="18"/>
      <c r="G67" s="19"/>
      <c r="H67" s="13"/>
      <c r="I67" s="19"/>
      <c r="J67" s="13"/>
      <c r="K67" s="19"/>
      <c r="L67" s="13"/>
      <c r="M67" s="19"/>
      <c r="N67" s="13"/>
    </row>
    <row r="68" spans="1:14">
      <c r="A68" s="14"/>
      <c r="B68" s="15"/>
      <c r="C68" s="16"/>
      <c r="D68" s="17"/>
      <c r="E68" s="12"/>
      <c r="F68" s="18"/>
      <c r="G68" s="19"/>
      <c r="H68" s="13"/>
      <c r="I68" s="19"/>
      <c r="J68" s="13"/>
      <c r="K68" s="19"/>
      <c r="L68" s="13"/>
      <c r="M68" s="19"/>
      <c r="N68" s="13"/>
    </row>
    <row r="69" spans="1:14">
      <c r="A69" s="14"/>
      <c r="B69" s="15"/>
      <c r="C69" s="16"/>
      <c r="D69" s="17"/>
      <c r="E69" s="12"/>
      <c r="F69" s="18"/>
      <c r="G69" s="19"/>
      <c r="H69" s="13"/>
      <c r="I69" s="19"/>
      <c r="J69" s="13"/>
      <c r="K69" s="19"/>
      <c r="L69" s="13"/>
      <c r="M69" s="19"/>
      <c r="N69" s="13"/>
    </row>
    <row r="70" spans="1:14">
      <c r="A70" s="14"/>
      <c r="B70" s="15"/>
      <c r="C70" s="16"/>
      <c r="D70" s="17"/>
      <c r="E70" s="12"/>
      <c r="F70" s="18"/>
      <c r="G70" s="19"/>
      <c r="H70" s="13"/>
      <c r="I70" s="19"/>
      <c r="J70" s="13"/>
      <c r="K70" s="19"/>
      <c r="L70" s="13"/>
      <c r="M70" s="19"/>
      <c r="N70" s="13"/>
    </row>
    <row r="71" spans="1:14">
      <c r="A71" s="14"/>
      <c r="B71" s="15"/>
      <c r="C71" s="16"/>
      <c r="D71" s="17"/>
      <c r="E71" s="12"/>
      <c r="F71" s="18"/>
      <c r="G71" s="19"/>
      <c r="H71" s="13"/>
      <c r="I71" s="19"/>
      <c r="J71" s="13"/>
      <c r="K71" s="19"/>
      <c r="L71" s="13"/>
      <c r="M71" s="19"/>
      <c r="N71" s="13"/>
    </row>
    <row r="72" spans="1:14">
      <c r="A72" s="14"/>
      <c r="B72" s="15"/>
      <c r="C72" s="16"/>
      <c r="D72" s="17"/>
      <c r="E72" s="12"/>
      <c r="F72" s="18"/>
      <c r="G72" s="19"/>
      <c r="H72" s="13"/>
      <c r="I72" s="19"/>
      <c r="J72" s="13"/>
      <c r="K72" s="19"/>
      <c r="L72" s="13"/>
      <c r="M72" s="19"/>
      <c r="N72" s="13"/>
    </row>
    <row r="73" spans="1:14">
      <c r="A73" s="14"/>
      <c r="B73" s="15"/>
      <c r="C73" s="16"/>
      <c r="D73" s="17"/>
      <c r="E73" s="12"/>
      <c r="F73" s="18"/>
      <c r="G73" s="19"/>
      <c r="H73" s="13"/>
      <c r="I73" s="19"/>
      <c r="J73" s="13"/>
      <c r="K73" s="19"/>
      <c r="L73" s="13"/>
      <c r="M73" s="19"/>
      <c r="N73" s="13"/>
    </row>
    <row r="74" spans="1:14">
      <c r="A74" s="14"/>
      <c r="B74" s="15"/>
      <c r="C74" s="16"/>
      <c r="D74" s="17"/>
      <c r="E74" s="12"/>
      <c r="F74" s="18"/>
      <c r="G74" s="19"/>
      <c r="H74" s="13"/>
      <c r="I74" s="19"/>
      <c r="J74" s="13"/>
      <c r="K74" s="19"/>
      <c r="L74" s="13"/>
      <c r="M74" s="19"/>
      <c r="N74" s="13"/>
    </row>
    <row r="75" spans="1:14">
      <c r="A75" s="14"/>
      <c r="B75" s="15"/>
      <c r="C75" s="16"/>
      <c r="D75" s="17"/>
      <c r="E75" s="12"/>
      <c r="F75" s="18"/>
      <c r="G75" s="19"/>
      <c r="H75" s="13"/>
      <c r="I75" s="19"/>
      <c r="J75" s="13"/>
      <c r="K75" s="19"/>
      <c r="L75" s="13"/>
      <c r="M75" s="19"/>
      <c r="N75" s="13"/>
    </row>
    <row r="76" spans="1:14">
      <c r="A76" s="14"/>
      <c r="B76" s="15"/>
      <c r="C76" s="16"/>
      <c r="D76" s="17"/>
      <c r="E76" s="12"/>
      <c r="F76" s="18"/>
      <c r="G76" s="19"/>
      <c r="H76" s="13"/>
      <c r="I76" s="19"/>
      <c r="J76" s="13"/>
      <c r="K76" s="19"/>
      <c r="L76" s="13"/>
      <c r="M76" s="19"/>
      <c r="N76" s="13"/>
    </row>
    <row r="77" spans="1:14">
      <c r="A77" s="14"/>
      <c r="B77" s="15"/>
      <c r="C77" s="16"/>
      <c r="D77" s="17"/>
      <c r="E77" s="12"/>
      <c r="F77" s="18"/>
      <c r="G77" s="19"/>
      <c r="H77" s="13"/>
      <c r="I77" s="19"/>
      <c r="J77" s="13"/>
      <c r="K77" s="19"/>
      <c r="L77" s="13"/>
      <c r="M77" s="19"/>
      <c r="N77" s="13"/>
    </row>
    <row r="78" spans="1:14">
      <c r="A78" s="14"/>
      <c r="B78" s="15"/>
      <c r="C78" s="16"/>
      <c r="D78" s="17"/>
      <c r="E78" s="12"/>
      <c r="F78" s="18"/>
      <c r="G78" s="19"/>
      <c r="H78" s="13"/>
      <c r="I78" s="19"/>
      <c r="J78" s="13"/>
      <c r="K78" s="19"/>
      <c r="L78" s="13"/>
      <c r="M78" s="19"/>
      <c r="N78" s="13"/>
    </row>
    <row r="79" spans="1:14">
      <c r="A79" s="14"/>
      <c r="B79" s="15"/>
      <c r="C79" s="16"/>
      <c r="D79" s="17"/>
      <c r="E79" s="12"/>
      <c r="F79" s="18"/>
      <c r="G79" s="19"/>
      <c r="H79" s="13"/>
      <c r="I79" s="19"/>
      <c r="J79" s="13"/>
      <c r="K79" s="19"/>
      <c r="L79" s="13"/>
      <c r="M79" s="19"/>
      <c r="N79" s="13"/>
    </row>
    <row r="80" spans="1:14">
      <c r="A80" s="14"/>
      <c r="B80" s="15"/>
      <c r="C80" s="16"/>
      <c r="D80" s="17"/>
      <c r="E80" s="12"/>
      <c r="F80" s="18"/>
      <c r="G80" s="19"/>
      <c r="H80" s="13"/>
      <c r="I80" s="19"/>
      <c r="J80" s="13"/>
      <c r="K80" s="19"/>
      <c r="L80" s="13"/>
      <c r="M80" s="19"/>
      <c r="N80" s="13"/>
    </row>
    <row r="81" spans="1:14">
      <c r="A81" s="14"/>
      <c r="B81" s="15"/>
      <c r="C81" s="16"/>
      <c r="D81" s="17"/>
      <c r="E81" s="12"/>
      <c r="F81" s="18"/>
      <c r="G81" s="19"/>
      <c r="H81" s="13"/>
      <c r="I81" s="19"/>
      <c r="J81" s="13"/>
      <c r="K81" s="19"/>
      <c r="L81" s="13"/>
      <c r="M81" s="19"/>
      <c r="N81" s="13"/>
    </row>
    <row r="82" spans="1:14">
      <c r="A82" s="14"/>
      <c r="B82" s="15"/>
      <c r="C82" s="16"/>
      <c r="D82" s="17"/>
      <c r="E82" s="12"/>
      <c r="F82" s="18"/>
      <c r="G82" s="19"/>
      <c r="H82" s="13"/>
      <c r="I82" s="19"/>
      <c r="J82" s="13"/>
      <c r="K82" s="19"/>
      <c r="L82" s="13"/>
      <c r="M82" s="19"/>
      <c r="N82" s="13"/>
    </row>
    <row r="83" spans="1:14">
      <c r="A83" s="14"/>
      <c r="B83" s="15"/>
      <c r="C83" s="16"/>
      <c r="D83" s="17"/>
      <c r="E83" s="12"/>
      <c r="F83" s="18"/>
      <c r="G83" s="19"/>
      <c r="H83" s="13"/>
      <c r="I83" s="19"/>
      <c r="J83" s="13"/>
      <c r="K83" s="19"/>
      <c r="L83" s="13"/>
      <c r="M83" s="19"/>
      <c r="N83" s="13"/>
    </row>
    <row r="84" spans="1:14">
      <c r="A84" s="14"/>
      <c r="B84" s="15"/>
      <c r="C84" s="16"/>
      <c r="D84" s="17"/>
      <c r="E84" s="12"/>
      <c r="F84" s="18"/>
      <c r="G84" s="19"/>
      <c r="H84" s="13"/>
      <c r="I84" s="19"/>
      <c r="J84" s="13"/>
      <c r="K84" s="19"/>
      <c r="L84" s="13"/>
      <c r="M84" s="19"/>
      <c r="N84" s="13"/>
    </row>
    <row r="85" spans="1:14">
      <c r="A85" s="14"/>
      <c r="B85" s="15"/>
      <c r="C85" s="16"/>
      <c r="D85" s="17"/>
      <c r="E85" s="12"/>
      <c r="F85" s="18"/>
      <c r="G85" s="19"/>
      <c r="H85" s="13"/>
      <c r="I85" s="19"/>
      <c r="J85" s="13"/>
      <c r="K85" s="19"/>
      <c r="L85" s="13"/>
      <c r="M85" s="19"/>
      <c r="N85" s="13"/>
    </row>
    <row r="86" spans="1:14">
      <c r="A86" s="14"/>
      <c r="B86" s="15"/>
      <c r="C86" s="16"/>
      <c r="D86" s="17"/>
      <c r="E86" s="12"/>
      <c r="F86" s="18"/>
      <c r="G86" s="19"/>
      <c r="H86" s="13"/>
      <c r="I86" s="19"/>
      <c r="J86" s="13"/>
      <c r="K86" s="19"/>
      <c r="L86" s="13"/>
      <c r="M86" s="19"/>
      <c r="N86" s="13"/>
    </row>
    <row r="87" spans="1:14">
      <c r="A87" s="14"/>
      <c r="B87" s="15"/>
      <c r="C87" s="16"/>
      <c r="D87" s="17"/>
      <c r="E87" s="12"/>
      <c r="F87" s="18"/>
      <c r="G87" s="19"/>
      <c r="H87" s="13"/>
      <c r="I87" s="19"/>
      <c r="J87" s="13"/>
      <c r="K87" s="19"/>
      <c r="L87" s="13"/>
      <c r="M87" s="19"/>
      <c r="N87" s="13"/>
    </row>
    <row r="88" spans="1:14">
      <c r="A88" s="14"/>
      <c r="B88" s="15"/>
      <c r="C88" s="16"/>
      <c r="D88" s="17"/>
      <c r="E88" s="12"/>
      <c r="F88" s="18"/>
      <c r="G88" s="19"/>
      <c r="H88" s="13"/>
      <c r="I88" s="19"/>
      <c r="J88" s="13"/>
      <c r="K88" s="19"/>
      <c r="L88" s="13"/>
      <c r="M88" s="19"/>
      <c r="N88" s="13"/>
    </row>
    <row r="89" spans="1:14">
      <c r="A89" s="14"/>
      <c r="B89" s="15"/>
      <c r="C89" s="16"/>
      <c r="D89" s="17"/>
      <c r="E89" s="12"/>
      <c r="F89" s="18"/>
      <c r="G89" s="19"/>
      <c r="H89" s="13"/>
      <c r="I89" s="19"/>
      <c r="J89" s="13"/>
      <c r="K89" s="19"/>
      <c r="L89" s="13"/>
      <c r="M89" s="19"/>
      <c r="N89" s="13"/>
    </row>
    <row r="90" spans="1:14">
      <c r="A90" s="14"/>
      <c r="B90" s="15"/>
      <c r="C90" s="16"/>
      <c r="D90" s="17"/>
      <c r="E90" s="12"/>
      <c r="F90" s="18"/>
      <c r="G90" s="19"/>
      <c r="H90" s="13"/>
      <c r="I90" s="19"/>
      <c r="J90" s="13"/>
      <c r="K90" s="19"/>
      <c r="L90" s="13"/>
      <c r="M90" s="19"/>
      <c r="N90" s="13"/>
    </row>
    <row r="91" spans="1:14">
      <c r="A91" s="14"/>
      <c r="B91" s="15"/>
      <c r="C91" s="16"/>
      <c r="D91" s="17"/>
      <c r="E91" s="12"/>
      <c r="F91" s="18"/>
      <c r="G91" s="19"/>
      <c r="H91" s="13"/>
      <c r="I91" s="19"/>
      <c r="J91" s="13"/>
      <c r="K91" s="19"/>
      <c r="L91" s="13"/>
      <c r="M91" s="19"/>
      <c r="N91" s="13"/>
    </row>
    <row r="92" spans="1:14">
      <c r="A92" s="14"/>
      <c r="B92" s="15"/>
      <c r="C92" s="16"/>
      <c r="D92" s="17"/>
      <c r="E92" s="12"/>
      <c r="F92" s="18"/>
      <c r="G92" s="19"/>
      <c r="H92" s="13"/>
      <c r="I92" s="19"/>
      <c r="J92" s="13"/>
      <c r="K92" s="19"/>
      <c r="L92" s="13"/>
      <c r="M92" s="19"/>
      <c r="N92" s="13"/>
    </row>
    <row r="93" spans="1:14">
      <c r="A93" s="14"/>
      <c r="B93" s="15"/>
      <c r="C93" s="16"/>
      <c r="D93" s="17"/>
      <c r="E93" s="12"/>
      <c r="F93" s="18"/>
      <c r="G93" s="19"/>
      <c r="H93" s="13"/>
      <c r="I93" s="19"/>
      <c r="J93" s="13"/>
      <c r="K93" s="19"/>
      <c r="L93" s="13"/>
      <c r="M93" s="19"/>
      <c r="N93" s="13"/>
    </row>
    <row r="94" spans="1:14">
      <c r="A94" s="14"/>
      <c r="B94" s="15"/>
      <c r="C94" s="16"/>
      <c r="D94" s="17"/>
      <c r="E94" s="12"/>
      <c r="F94" s="18"/>
      <c r="G94" s="19"/>
      <c r="H94" s="13"/>
      <c r="I94" s="19"/>
      <c r="J94" s="13"/>
      <c r="K94" s="19"/>
      <c r="L94" s="13"/>
      <c r="M94" s="19"/>
      <c r="N94" s="13"/>
    </row>
    <row r="95" spans="1:14">
      <c r="A95" s="14"/>
      <c r="B95" s="15"/>
      <c r="C95" s="16"/>
      <c r="D95" s="17"/>
      <c r="E95" s="12"/>
      <c r="F95" s="18"/>
      <c r="G95" s="19"/>
      <c r="H95" s="13"/>
      <c r="I95" s="19"/>
      <c r="J95" s="13"/>
      <c r="K95" s="19"/>
      <c r="L95" s="13"/>
      <c r="M95" s="19"/>
      <c r="N95" s="13"/>
    </row>
    <row r="96" spans="1:14">
      <c r="A96" s="14"/>
      <c r="B96" s="15"/>
      <c r="C96" s="16"/>
      <c r="D96" s="17"/>
      <c r="E96" s="12"/>
      <c r="F96" s="18"/>
      <c r="G96" s="19"/>
      <c r="H96" s="13"/>
      <c r="I96" s="19"/>
      <c r="J96" s="13"/>
      <c r="K96" s="19"/>
      <c r="L96" s="13"/>
      <c r="M96" s="19"/>
      <c r="N96" s="13"/>
    </row>
    <row r="97" spans="1:14">
      <c r="A97" s="14"/>
      <c r="B97" s="15"/>
      <c r="C97" s="16"/>
      <c r="D97" s="17"/>
      <c r="E97" s="12"/>
      <c r="F97" s="18"/>
      <c r="G97" s="19"/>
      <c r="H97" s="13"/>
      <c r="I97" s="19"/>
      <c r="J97" s="13"/>
      <c r="K97" s="19"/>
      <c r="L97" s="13"/>
      <c r="M97" s="19"/>
      <c r="N97" s="13"/>
    </row>
    <row r="98" spans="1:14">
      <c r="A98" s="14"/>
      <c r="B98" s="15"/>
      <c r="C98" s="16"/>
      <c r="D98" s="17"/>
      <c r="E98" s="12"/>
      <c r="F98" s="18"/>
      <c r="G98" s="19"/>
      <c r="H98" s="13"/>
      <c r="I98" s="19"/>
      <c r="J98" s="13"/>
      <c r="K98" s="19"/>
      <c r="L98" s="13"/>
      <c r="M98" s="19"/>
      <c r="N98" s="13"/>
    </row>
    <row r="99" spans="1:14">
      <c r="A99" s="14"/>
      <c r="B99" s="15"/>
      <c r="C99" s="16"/>
      <c r="D99" s="17"/>
      <c r="E99" s="12"/>
      <c r="F99" s="18"/>
      <c r="G99" s="19"/>
      <c r="H99" s="13"/>
      <c r="I99" s="19"/>
      <c r="J99" s="13"/>
      <c r="K99" s="19"/>
      <c r="L99" s="13"/>
      <c r="M99" s="19"/>
      <c r="N99" s="13"/>
    </row>
    <row r="100" spans="1:14">
      <c r="A100" s="14"/>
      <c r="B100" s="15"/>
      <c r="C100" s="16"/>
      <c r="D100" s="17"/>
      <c r="E100" s="12"/>
      <c r="F100" s="18"/>
      <c r="G100" s="19"/>
      <c r="H100" s="13"/>
      <c r="I100" s="19"/>
      <c r="J100" s="13"/>
      <c r="K100" s="19"/>
      <c r="L100" s="13"/>
      <c r="M100" s="19"/>
      <c r="N100" s="13"/>
    </row>
    <row r="101" spans="1:14">
      <c r="A101" s="14"/>
      <c r="B101" s="15"/>
      <c r="C101" s="16"/>
      <c r="D101" s="17"/>
      <c r="E101" s="12"/>
      <c r="F101" s="18"/>
      <c r="G101" s="19"/>
      <c r="H101" s="13"/>
      <c r="I101" s="19"/>
      <c r="J101" s="13"/>
      <c r="K101" s="19"/>
      <c r="L101" s="13"/>
      <c r="M101" s="19"/>
      <c r="N101" s="13"/>
    </row>
    <row r="102" spans="1:14">
      <c r="A102" s="14"/>
      <c r="B102" s="15"/>
      <c r="C102" s="16"/>
      <c r="D102" s="17"/>
      <c r="E102" s="12"/>
      <c r="F102" s="18"/>
      <c r="G102" s="19"/>
      <c r="H102" s="13"/>
      <c r="I102" s="19"/>
      <c r="J102" s="13"/>
      <c r="K102" s="19"/>
      <c r="L102" s="13"/>
      <c r="M102" s="19"/>
      <c r="N102" s="13"/>
    </row>
    <row r="103" spans="1:14">
      <c r="A103" s="14"/>
      <c r="B103" s="15"/>
      <c r="C103" s="16"/>
      <c r="D103" s="17"/>
      <c r="E103" s="12"/>
      <c r="F103" s="18"/>
      <c r="G103" s="19"/>
      <c r="H103" s="13"/>
      <c r="I103" s="19"/>
      <c r="J103" s="13"/>
      <c r="K103" s="19"/>
      <c r="L103" s="13"/>
      <c r="M103" s="19"/>
      <c r="N103" s="13"/>
    </row>
    <row r="104" spans="1:14">
      <c r="A104" s="14"/>
      <c r="B104" s="15"/>
      <c r="C104" s="16"/>
      <c r="D104" s="17"/>
      <c r="E104" s="12"/>
      <c r="F104" s="18"/>
      <c r="G104" s="19"/>
      <c r="H104" s="13"/>
      <c r="I104" s="19"/>
      <c r="J104" s="13"/>
      <c r="K104" s="19"/>
      <c r="L104" s="13"/>
      <c r="M104" s="19"/>
      <c r="N104" s="13"/>
    </row>
    <row r="105" spans="1:14">
      <c r="A105" s="14"/>
      <c r="B105" s="15"/>
      <c r="C105" s="16"/>
      <c r="D105" s="17"/>
      <c r="E105" s="12"/>
      <c r="F105" s="18"/>
      <c r="G105" s="19"/>
      <c r="H105" s="13"/>
      <c r="I105" s="19"/>
      <c r="J105" s="13"/>
      <c r="K105" s="19"/>
      <c r="L105" s="13"/>
      <c r="M105" s="19"/>
      <c r="N105" s="13"/>
    </row>
    <row r="106" spans="1:14">
      <c r="A106" s="14"/>
      <c r="B106" s="15"/>
      <c r="C106" s="16"/>
      <c r="D106" s="17"/>
      <c r="E106" s="12"/>
      <c r="F106" s="18"/>
      <c r="G106" s="19"/>
      <c r="H106" s="13"/>
      <c r="I106" s="19"/>
      <c r="J106" s="13"/>
      <c r="K106" s="19"/>
      <c r="L106" s="13"/>
      <c r="M106" s="19"/>
      <c r="N106" s="13"/>
    </row>
    <row r="107" spans="1:14">
      <c r="A107" s="14"/>
      <c r="B107" s="15"/>
      <c r="C107" s="16"/>
      <c r="D107" s="17"/>
      <c r="E107" s="12"/>
      <c r="F107" s="18"/>
      <c r="G107" s="19"/>
      <c r="H107" s="13"/>
      <c r="I107" s="19"/>
      <c r="J107" s="13"/>
      <c r="K107" s="19"/>
      <c r="L107" s="13"/>
      <c r="M107" s="19"/>
      <c r="N107" s="13"/>
    </row>
    <row r="108" spans="1:14">
      <c r="A108" s="14"/>
      <c r="B108" s="15"/>
      <c r="C108" s="16"/>
      <c r="D108" s="17"/>
      <c r="E108" s="12"/>
      <c r="F108" s="18"/>
      <c r="G108" s="19"/>
      <c r="H108" s="13"/>
      <c r="I108" s="19"/>
      <c r="J108" s="13"/>
      <c r="K108" s="19"/>
      <c r="L108" s="13"/>
      <c r="M108" s="19"/>
      <c r="N108" s="13"/>
    </row>
    <row r="109" spans="1:14">
      <c r="A109" s="14"/>
      <c r="B109" s="15"/>
      <c r="C109" s="16"/>
      <c r="D109" s="17"/>
      <c r="E109" s="12"/>
      <c r="F109" s="18"/>
      <c r="G109" s="19"/>
      <c r="H109" s="13"/>
      <c r="I109" s="19"/>
      <c r="J109" s="13"/>
      <c r="K109" s="19"/>
      <c r="L109" s="13"/>
      <c r="M109" s="19"/>
      <c r="N109" s="13"/>
    </row>
    <row r="110" spans="1:14">
      <c r="A110" s="14"/>
      <c r="B110" s="15"/>
      <c r="C110" s="16"/>
      <c r="D110" s="17"/>
      <c r="E110" s="12"/>
      <c r="F110" s="18"/>
      <c r="G110" s="19"/>
      <c r="H110" s="13"/>
      <c r="I110" s="19"/>
      <c r="J110" s="13"/>
      <c r="K110" s="19"/>
      <c r="L110" s="13"/>
      <c r="M110" s="19"/>
      <c r="N110" s="13"/>
    </row>
    <row r="111" spans="1:14">
      <c r="A111" s="14"/>
      <c r="B111" s="15"/>
      <c r="C111" s="16"/>
      <c r="D111" s="17"/>
      <c r="E111" s="12"/>
      <c r="F111" s="18"/>
      <c r="G111" s="19"/>
      <c r="H111" s="13"/>
      <c r="I111" s="19"/>
      <c r="J111" s="13"/>
      <c r="K111" s="19"/>
      <c r="L111" s="13"/>
      <c r="M111" s="19"/>
      <c r="N111" s="13"/>
    </row>
    <row r="112" spans="1:14">
      <c r="A112" s="14"/>
      <c r="B112" s="15"/>
      <c r="C112" s="16"/>
      <c r="D112" s="17"/>
      <c r="E112" s="12"/>
      <c r="F112" s="18"/>
      <c r="G112" s="19"/>
      <c r="H112" s="13"/>
      <c r="I112" s="19"/>
      <c r="J112" s="13"/>
      <c r="K112" s="19"/>
      <c r="L112" s="13"/>
      <c r="M112" s="19"/>
      <c r="N112" s="13"/>
    </row>
    <row r="113" spans="1:14">
      <c r="A113" s="14"/>
      <c r="B113" s="15"/>
      <c r="C113" s="16"/>
      <c r="D113" s="17"/>
      <c r="E113" s="12"/>
      <c r="F113" s="18"/>
      <c r="G113" s="19"/>
      <c r="H113" s="13"/>
      <c r="I113" s="19"/>
      <c r="J113" s="13"/>
      <c r="K113" s="19"/>
      <c r="L113" s="13"/>
      <c r="M113" s="19"/>
      <c r="N113" s="13"/>
    </row>
    <row r="114" spans="1:14">
      <c r="A114" s="14"/>
      <c r="B114" s="15"/>
      <c r="C114" s="16"/>
      <c r="D114" s="17"/>
      <c r="E114" s="12"/>
      <c r="F114" s="18"/>
      <c r="G114" s="19"/>
      <c r="H114" s="13"/>
      <c r="I114" s="19"/>
      <c r="J114" s="13"/>
      <c r="K114" s="19"/>
      <c r="L114" s="13"/>
      <c r="M114" s="19"/>
      <c r="N114" s="13"/>
    </row>
    <row r="115" spans="1:14">
      <c r="A115" s="14"/>
      <c r="B115" s="15"/>
      <c r="C115" s="16"/>
      <c r="D115" s="17"/>
      <c r="E115" s="12"/>
      <c r="F115" s="18"/>
      <c r="G115" s="19"/>
      <c r="H115" s="13"/>
      <c r="I115" s="19"/>
      <c r="J115" s="13"/>
      <c r="K115" s="19"/>
      <c r="L115" s="13"/>
      <c r="M115" s="19"/>
      <c r="N115" s="13"/>
    </row>
    <row r="116" spans="1:14">
      <c r="A116" s="14"/>
      <c r="B116" s="15"/>
      <c r="C116" s="16"/>
      <c r="D116" s="17"/>
      <c r="E116" s="12"/>
      <c r="F116" s="18"/>
      <c r="G116" s="19"/>
      <c r="H116" s="13"/>
      <c r="I116" s="19"/>
      <c r="J116" s="13"/>
      <c r="K116" s="19"/>
      <c r="L116" s="13"/>
      <c r="M116" s="19"/>
      <c r="N116" s="13"/>
    </row>
    <row r="117" spans="1:14">
      <c r="A117" s="14"/>
      <c r="B117" s="15"/>
      <c r="C117" s="16"/>
      <c r="D117" s="17"/>
      <c r="E117" s="12"/>
      <c r="F117" s="18"/>
      <c r="G117" s="19"/>
      <c r="H117" s="13"/>
      <c r="I117" s="19"/>
      <c r="J117" s="13"/>
      <c r="K117" s="19"/>
      <c r="L117" s="13"/>
      <c r="M117" s="19"/>
      <c r="N117" s="13"/>
    </row>
    <row r="118" spans="1:14">
      <c r="A118" s="14"/>
      <c r="B118" s="15"/>
      <c r="C118" s="16"/>
      <c r="D118" s="17"/>
      <c r="E118" s="12"/>
      <c r="F118" s="18"/>
      <c r="G118" s="19"/>
      <c r="H118" s="13"/>
      <c r="I118" s="19"/>
      <c r="J118" s="13"/>
      <c r="K118" s="19"/>
      <c r="L118" s="13"/>
      <c r="M118" s="19"/>
      <c r="N118" s="13"/>
    </row>
    <row r="119" spans="1:14">
      <c r="A119" s="14"/>
      <c r="B119" s="15"/>
      <c r="C119" s="16"/>
      <c r="D119" s="17"/>
      <c r="E119" s="12"/>
      <c r="F119" s="18"/>
      <c r="G119" s="19"/>
      <c r="H119" s="13"/>
      <c r="I119" s="19"/>
      <c r="J119" s="13"/>
      <c r="K119" s="19"/>
      <c r="L119" s="13"/>
      <c r="M119" s="19"/>
      <c r="N119" s="13"/>
    </row>
    <row r="120" spans="1:14">
      <c r="A120" s="14"/>
      <c r="B120" s="15"/>
      <c r="C120" s="16"/>
      <c r="D120" s="17"/>
      <c r="E120" s="12"/>
      <c r="F120" s="18"/>
      <c r="G120" s="19"/>
      <c r="H120" s="13"/>
      <c r="I120" s="19"/>
      <c r="J120" s="13"/>
      <c r="K120" s="19"/>
      <c r="L120" s="13"/>
      <c r="M120" s="19"/>
      <c r="N120" s="13"/>
    </row>
    <row r="121" spans="1:14">
      <c r="A121" s="14"/>
      <c r="B121" s="15"/>
      <c r="C121" s="16"/>
      <c r="D121" s="17"/>
      <c r="E121" s="12"/>
      <c r="F121" s="18"/>
      <c r="G121" s="19"/>
      <c r="H121" s="13"/>
      <c r="I121" s="19"/>
      <c r="J121" s="13"/>
      <c r="K121" s="19"/>
      <c r="L121" s="13"/>
      <c r="M121" s="19"/>
      <c r="N121" s="13"/>
    </row>
    <row r="122" spans="1:14">
      <c r="A122" s="14"/>
      <c r="B122" s="15"/>
      <c r="C122" s="16"/>
      <c r="D122" s="17"/>
      <c r="E122" s="12"/>
      <c r="F122" s="18"/>
      <c r="G122" s="19"/>
      <c r="H122" s="13"/>
      <c r="I122" s="19"/>
      <c r="J122" s="13"/>
      <c r="K122" s="19"/>
      <c r="L122" s="13"/>
      <c r="M122" s="19"/>
      <c r="N122" s="13"/>
    </row>
    <row r="123" spans="1:14">
      <c r="A123" s="14"/>
      <c r="B123" s="15"/>
      <c r="C123" s="16"/>
      <c r="D123" s="17"/>
      <c r="E123" s="12"/>
      <c r="F123" s="18"/>
      <c r="G123" s="19"/>
      <c r="H123" s="13"/>
      <c r="I123" s="19"/>
      <c r="J123" s="13"/>
      <c r="K123" s="19"/>
      <c r="L123" s="13"/>
      <c r="M123" s="19"/>
      <c r="N123" s="13"/>
    </row>
    <row r="124" spans="1:14">
      <c r="A124" s="14"/>
      <c r="B124" s="15"/>
      <c r="C124" s="16"/>
      <c r="D124" s="17"/>
      <c r="E124" s="12"/>
      <c r="F124" s="18"/>
      <c r="G124" s="19"/>
      <c r="H124" s="13"/>
      <c r="I124" s="19"/>
      <c r="J124" s="13"/>
      <c r="K124" s="19"/>
      <c r="L124" s="13"/>
      <c r="M124" s="19"/>
      <c r="N124" s="13"/>
    </row>
    <row r="125" spans="1:14">
      <c r="A125" s="14"/>
      <c r="B125" s="15"/>
      <c r="C125" s="16"/>
      <c r="D125" s="17"/>
      <c r="E125" s="12"/>
      <c r="F125" s="18"/>
      <c r="G125" s="19"/>
      <c r="H125" s="13"/>
      <c r="I125" s="19"/>
      <c r="J125" s="13"/>
      <c r="K125" s="19"/>
      <c r="L125" s="13"/>
      <c r="M125" s="19"/>
      <c r="N125" s="13"/>
    </row>
    <row r="126" spans="1:14">
      <c r="A126" s="14"/>
      <c r="B126" s="15"/>
      <c r="C126" s="16"/>
      <c r="D126" s="17"/>
      <c r="E126" s="12"/>
      <c r="F126" s="18"/>
      <c r="G126" s="19"/>
      <c r="H126" s="13"/>
      <c r="I126" s="19"/>
      <c r="J126" s="13"/>
      <c r="K126" s="19"/>
      <c r="L126" s="13"/>
      <c r="M126" s="19"/>
      <c r="N126" s="13"/>
    </row>
    <row r="127" spans="1:14">
      <c r="A127" s="14"/>
      <c r="B127" s="15"/>
      <c r="C127" s="16"/>
      <c r="D127" s="17"/>
      <c r="E127" s="12"/>
      <c r="F127" s="18"/>
      <c r="G127" s="19"/>
      <c r="H127" s="13"/>
      <c r="I127" s="19"/>
      <c r="J127" s="13"/>
      <c r="K127" s="19"/>
      <c r="L127" s="13"/>
      <c r="M127" s="19"/>
      <c r="N127" s="13"/>
    </row>
    <row r="128" spans="1:14">
      <c r="A128" s="14"/>
      <c r="B128" s="15"/>
      <c r="C128" s="16"/>
      <c r="D128" s="17"/>
      <c r="E128" s="12"/>
      <c r="F128" s="18"/>
      <c r="G128" s="19"/>
      <c r="H128" s="13"/>
      <c r="I128" s="19"/>
      <c r="J128" s="13"/>
      <c r="K128" s="19"/>
      <c r="L128" s="13"/>
      <c r="M128" s="19"/>
      <c r="N128" s="13"/>
    </row>
    <row r="129" spans="1:14">
      <c r="A129" s="14"/>
      <c r="B129" s="15"/>
      <c r="C129" s="16"/>
      <c r="D129" s="17"/>
      <c r="E129" s="12"/>
      <c r="F129" s="18"/>
      <c r="G129" s="19"/>
      <c r="H129" s="13"/>
      <c r="I129" s="19"/>
      <c r="J129" s="13"/>
      <c r="K129" s="19"/>
      <c r="L129" s="13"/>
      <c r="M129" s="19"/>
      <c r="N129" s="13"/>
    </row>
    <row r="130" spans="1:14">
      <c r="A130" s="14"/>
      <c r="B130" s="15"/>
      <c r="C130" s="16"/>
      <c r="D130" s="17"/>
      <c r="E130" s="12"/>
      <c r="F130" s="18"/>
      <c r="G130" s="19"/>
      <c r="H130" s="13"/>
      <c r="I130" s="19"/>
      <c r="J130" s="13"/>
      <c r="K130" s="19"/>
      <c r="L130" s="13"/>
      <c r="M130" s="19"/>
      <c r="N130" s="13"/>
    </row>
    <row r="131" spans="1:14">
      <c r="A131" s="14"/>
      <c r="B131" s="15"/>
      <c r="C131" s="16"/>
      <c r="D131" s="17"/>
      <c r="E131" s="12"/>
      <c r="F131" s="18"/>
      <c r="G131" s="19"/>
      <c r="H131" s="13"/>
      <c r="I131" s="19"/>
      <c r="J131" s="13"/>
      <c r="K131" s="19"/>
      <c r="L131" s="13"/>
      <c r="M131" s="19"/>
      <c r="N131" s="13"/>
    </row>
    <row r="132" spans="1:14">
      <c r="A132" s="14"/>
      <c r="B132" s="15"/>
      <c r="C132" s="16"/>
      <c r="D132" s="17"/>
      <c r="E132" s="12"/>
      <c r="F132" s="18"/>
      <c r="G132" s="19"/>
      <c r="H132" s="13"/>
      <c r="I132" s="19"/>
      <c r="J132" s="13"/>
      <c r="K132" s="19"/>
      <c r="L132" s="13"/>
      <c r="M132" s="19"/>
      <c r="N132" s="13"/>
    </row>
    <row r="133" spans="1:14">
      <c r="A133" s="14"/>
      <c r="B133" s="15"/>
      <c r="C133" s="16"/>
      <c r="D133" s="17"/>
      <c r="E133" s="12"/>
      <c r="F133" s="18"/>
      <c r="G133" s="19"/>
      <c r="H133" s="13"/>
      <c r="I133" s="19"/>
      <c r="J133" s="13"/>
      <c r="K133" s="19"/>
      <c r="L133" s="13"/>
      <c r="M133" s="19"/>
      <c r="N133" s="13"/>
    </row>
    <row r="134" spans="1:14">
      <c r="A134" s="14"/>
      <c r="B134" s="15"/>
      <c r="C134" s="16"/>
      <c r="D134" s="17"/>
      <c r="E134" s="12"/>
      <c r="F134" s="18"/>
      <c r="G134" s="19"/>
      <c r="H134" s="13"/>
      <c r="I134" s="19"/>
      <c r="J134" s="13"/>
      <c r="K134" s="19"/>
      <c r="L134" s="13"/>
      <c r="M134" s="19"/>
      <c r="N134" s="13"/>
    </row>
    <row r="135" spans="1:14">
      <c r="A135" s="14"/>
      <c r="B135" s="15"/>
      <c r="C135" s="16"/>
      <c r="D135" s="17"/>
      <c r="E135" s="12"/>
      <c r="F135" s="18"/>
      <c r="G135" s="19"/>
      <c r="H135" s="13"/>
      <c r="I135" s="19"/>
      <c r="J135" s="13"/>
      <c r="K135" s="19"/>
      <c r="L135" s="13"/>
      <c r="M135" s="19"/>
      <c r="N135" s="13"/>
    </row>
    <row r="136" spans="1:14">
      <c r="A136" s="14"/>
      <c r="B136" s="15"/>
      <c r="C136" s="16"/>
      <c r="D136" s="17"/>
      <c r="E136" s="12"/>
      <c r="F136" s="18"/>
      <c r="G136" s="19"/>
      <c r="H136" s="13"/>
      <c r="I136" s="19"/>
      <c r="J136" s="13"/>
      <c r="K136" s="19"/>
      <c r="L136" s="13"/>
      <c r="M136" s="19"/>
      <c r="N136" s="13"/>
    </row>
    <row r="137" spans="1:14">
      <c r="A137" s="14"/>
      <c r="B137" s="15"/>
      <c r="C137" s="16"/>
      <c r="D137" s="17"/>
      <c r="E137" s="12"/>
      <c r="F137" s="18"/>
      <c r="G137" s="19"/>
      <c r="H137" s="13"/>
      <c r="I137" s="19"/>
      <c r="J137" s="13"/>
      <c r="K137" s="19"/>
      <c r="L137" s="13"/>
      <c r="M137" s="19"/>
      <c r="N137" s="13"/>
    </row>
    <row r="138" spans="1:14">
      <c r="A138" s="14"/>
      <c r="B138" s="15"/>
      <c r="C138" s="16"/>
      <c r="D138" s="17"/>
      <c r="E138" s="12"/>
      <c r="F138" s="18"/>
      <c r="G138" s="19"/>
      <c r="H138" s="13"/>
      <c r="I138" s="19"/>
      <c r="J138" s="13"/>
      <c r="K138" s="19"/>
      <c r="L138" s="13"/>
      <c r="M138" s="19"/>
      <c r="N138" s="13"/>
    </row>
    <row r="139" spans="1:14">
      <c r="A139" s="14"/>
      <c r="B139" s="15"/>
      <c r="C139" s="16"/>
      <c r="D139" s="17"/>
      <c r="E139" s="12"/>
      <c r="F139" s="18"/>
      <c r="G139" s="19"/>
      <c r="H139" s="13"/>
      <c r="I139" s="19"/>
      <c r="J139" s="13"/>
      <c r="K139" s="19"/>
      <c r="L139" s="13"/>
      <c r="M139" s="19"/>
      <c r="N139" s="13"/>
    </row>
    <row r="140" spans="1:14">
      <c r="A140" s="14"/>
      <c r="B140" s="15"/>
      <c r="C140" s="16"/>
      <c r="D140" s="17"/>
      <c r="E140" s="12"/>
      <c r="F140" s="18"/>
      <c r="G140" s="19"/>
      <c r="H140" s="13"/>
      <c r="I140" s="19"/>
      <c r="J140" s="13"/>
      <c r="K140" s="19"/>
      <c r="L140" s="13"/>
      <c r="M140" s="19"/>
      <c r="N140" s="13"/>
    </row>
    <row r="141" spans="1:14">
      <c r="A141" s="14"/>
      <c r="B141" s="15"/>
      <c r="C141" s="16"/>
      <c r="D141" s="17"/>
      <c r="E141" s="12"/>
      <c r="F141" s="18"/>
      <c r="G141" s="19"/>
      <c r="H141" s="13"/>
      <c r="I141" s="19"/>
      <c r="J141" s="13"/>
      <c r="K141" s="19"/>
      <c r="L141" s="13"/>
      <c r="M141" s="19"/>
      <c r="N141" s="13"/>
    </row>
    <row r="142" spans="1:14">
      <c r="A142" s="14"/>
      <c r="B142" s="15"/>
      <c r="C142" s="16"/>
      <c r="D142" s="17"/>
      <c r="E142" s="12"/>
      <c r="F142" s="18"/>
      <c r="G142" s="19"/>
      <c r="H142" s="13"/>
      <c r="I142" s="19"/>
      <c r="J142" s="13"/>
      <c r="K142" s="19"/>
      <c r="L142" s="13"/>
      <c r="M142" s="19"/>
      <c r="N142" s="13"/>
    </row>
    <row r="143" spans="1:14">
      <c r="A143" s="14"/>
      <c r="B143" s="15"/>
      <c r="C143" s="16"/>
      <c r="D143" s="17"/>
      <c r="E143" s="12"/>
      <c r="F143" s="18"/>
      <c r="G143" s="19"/>
      <c r="H143" s="13"/>
      <c r="I143" s="19"/>
      <c r="J143" s="13"/>
      <c r="K143" s="19"/>
      <c r="L143" s="13"/>
      <c r="M143" s="19"/>
      <c r="N143" s="13"/>
    </row>
    <row r="144" spans="1:14">
      <c r="A144" s="14"/>
      <c r="B144" s="15"/>
      <c r="C144" s="16"/>
      <c r="D144" s="17"/>
      <c r="E144" s="12"/>
      <c r="F144" s="18"/>
      <c r="G144" s="19"/>
      <c r="H144" s="13"/>
      <c r="I144" s="19"/>
      <c r="J144" s="13"/>
      <c r="K144" s="19"/>
      <c r="L144" s="13"/>
      <c r="M144" s="19"/>
      <c r="N144" s="13"/>
    </row>
    <row r="145" spans="1:14">
      <c r="A145" s="14"/>
      <c r="B145" s="15"/>
      <c r="C145" s="16"/>
      <c r="D145" s="17"/>
      <c r="E145" s="12"/>
      <c r="F145" s="18"/>
      <c r="G145" s="19"/>
      <c r="H145" s="13"/>
      <c r="I145" s="19"/>
      <c r="J145" s="13"/>
      <c r="K145" s="19"/>
      <c r="L145" s="13"/>
      <c r="M145" s="19"/>
      <c r="N145" s="13"/>
    </row>
    <row r="146" spans="1:14">
      <c r="A146" s="14"/>
      <c r="B146" s="15"/>
      <c r="C146" s="16"/>
      <c r="D146" s="17"/>
      <c r="E146" s="12"/>
      <c r="F146" s="18"/>
      <c r="G146" s="19"/>
      <c r="H146" s="13"/>
      <c r="I146" s="19"/>
      <c r="J146" s="13"/>
      <c r="K146" s="19"/>
      <c r="L146" s="13"/>
      <c r="M146" s="19"/>
      <c r="N146" s="13"/>
    </row>
    <row r="147" spans="1:14">
      <c r="A147" s="14"/>
      <c r="B147" s="15"/>
      <c r="C147" s="16"/>
      <c r="D147" s="17"/>
      <c r="E147" s="12"/>
      <c r="F147" s="18"/>
      <c r="G147" s="19"/>
      <c r="H147" s="13"/>
      <c r="I147" s="19"/>
      <c r="J147" s="13"/>
      <c r="K147" s="19"/>
      <c r="L147" s="13"/>
      <c r="M147" s="19"/>
      <c r="N147" s="13"/>
    </row>
    <row r="148" spans="1:14">
      <c r="A148" s="14"/>
      <c r="B148" s="15"/>
      <c r="C148" s="16"/>
      <c r="D148" s="17"/>
      <c r="E148" s="12"/>
      <c r="F148" s="18"/>
      <c r="G148" s="19"/>
      <c r="H148" s="13"/>
      <c r="I148" s="19"/>
      <c r="J148" s="13"/>
      <c r="K148" s="19"/>
      <c r="L148" s="13"/>
      <c r="M148" s="19"/>
      <c r="N148" s="13"/>
    </row>
    <row r="149" spans="1:14">
      <c r="A149" s="14"/>
      <c r="B149" s="15"/>
      <c r="C149" s="16"/>
      <c r="D149" s="17"/>
      <c r="E149" s="12"/>
      <c r="F149" s="18"/>
      <c r="G149" s="19"/>
      <c r="H149" s="13"/>
      <c r="I149" s="19"/>
      <c r="J149" s="13"/>
      <c r="K149" s="19"/>
      <c r="L149" s="13"/>
      <c r="M149" s="19"/>
      <c r="N149" s="13"/>
    </row>
    <row r="150" spans="1:14">
      <c r="A150" s="14"/>
      <c r="B150" s="15"/>
      <c r="C150" s="16"/>
      <c r="D150" s="17"/>
      <c r="E150" s="12"/>
      <c r="F150" s="18"/>
      <c r="G150" s="19"/>
      <c r="H150" s="13"/>
      <c r="I150" s="19"/>
      <c r="J150" s="13"/>
      <c r="K150" s="19"/>
      <c r="L150" s="13"/>
      <c r="M150" s="19"/>
      <c r="N150" s="13"/>
    </row>
    <row r="151" spans="1:14">
      <c r="A151" s="14"/>
      <c r="B151" s="15"/>
      <c r="C151" s="16"/>
      <c r="D151" s="17"/>
      <c r="E151" s="12"/>
      <c r="F151" s="18"/>
      <c r="G151" s="19"/>
      <c r="H151" s="13"/>
      <c r="I151" s="19"/>
      <c r="J151" s="13"/>
      <c r="K151" s="19"/>
      <c r="L151" s="13"/>
      <c r="M151" s="19"/>
      <c r="N151" s="13"/>
    </row>
    <row r="152" spans="1:14">
      <c r="A152" s="14"/>
      <c r="B152" s="15"/>
      <c r="C152" s="16"/>
      <c r="D152" s="17"/>
      <c r="E152" s="12"/>
      <c r="F152" s="18"/>
      <c r="G152" s="19"/>
      <c r="H152" s="13"/>
      <c r="I152" s="19"/>
      <c r="J152" s="13"/>
      <c r="K152" s="19"/>
      <c r="L152" s="13"/>
      <c r="M152" s="19"/>
      <c r="N152" s="13"/>
    </row>
    <row r="153" spans="1:14">
      <c r="A153" s="14"/>
      <c r="B153" s="15"/>
      <c r="C153" s="16"/>
      <c r="D153" s="17"/>
      <c r="E153" s="12"/>
      <c r="F153" s="18"/>
      <c r="G153" s="19"/>
      <c r="H153" s="13"/>
      <c r="I153" s="19"/>
      <c r="J153" s="13"/>
      <c r="K153" s="19"/>
      <c r="L153" s="13"/>
      <c r="M153" s="19"/>
      <c r="N153" s="13"/>
    </row>
    <row r="154" spans="1:14">
      <c r="A154" s="14"/>
      <c r="B154" s="15"/>
      <c r="C154" s="16"/>
      <c r="D154" s="17"/>
      <c r="E154" s="12"/>
      <c r="F154" s="18"/>
      <c r="G154" s="19"/>
      <c r="H154" s="13"/>
      <c r="I154" s="19"/>
      <c r="J154" s="13"/>
      <c r="K154" s="19"/>
      <c r="L154" s="13"/>
      <c r="M154" s="19"/>
      <c r="N154" s="13"/>
    </row>
    <row r="155" spans="1:14">
      <c r="A155" s="14"/>
      <c r="B155" s="15"/>
      <c r="C155" s="16"/>
      <c r="D155" s="17"/>
      <c r="E155" s="12"/>
      <c r="F155" s="18"/>
      <c r="G155" s="19"/>
      <c r="H155" s="13"/>
      <c r="I155" s="19"/>
      <c r="J155" s="13"/>
      <c r="K155" s="19"/>
      <c r="L155" s="13"/>
      <c r="M155" s="19"/>
      <c r="N155" s="13"/>
    </row>
    <row r="156" spans="1:14">
      <c r="A156" s="14"/>
      <c r="B156" s="15"/>
      <c r="C156" s="16"/>
      <c r="D156" s="17"/>
      <c r="E156" s="12"/>
      <c r="F156" s="18"/>
      <c r="G156" s="19"/>
      <c r="H156" s="13"/>
      <c r="I156" s="19"/>
      <c r="J156" s="13"/>
      <c r="K156" s="19"/>
      <c r="L156" s="13"/>
      <c r="M156" s="19"/>
      <c r="N156" s="13"/>
    </row>
    <row r="157" spans="1:14">
      <c r="A157" s="14"/>
      <c r="B157" s="15"/>
      <c r="C157" s="16"/>
      <c r="D157" s="17"/>
      <c r="E157" s="12"/>
      <c r="F157" s="18"/>
      <c r="G157" s="19"/>
      <c r="H157" s="13"/>
      <c r="I157" s="19"/>
      <c r="J157" s="13"/>
      <c r="K157" s="19"/>
      <c r="L157" s="13"/>
      <c r="M157" s="19"/>
      <c r="N157" s="13"/>
    </row>
    <row r="158" spans="1:14">
      <c r="A158" s="14"/>
      <c r="B158" s="15"/>
      <c r="C158" s="16"/>
      <c r="D158" s="17"/>
      <c r="E158" s="12"/>
      <c r="F158" s="18"/>
      <c r="G158" s="19"/>
      <c r="H158" s="13"/>
      <c r="I158" s="19"/>
      <c r="J158" s="13"/>
      <c r="K158" s="19"/>
      <c r="L158" s="13"/>
      <c r="M158" s="19"/>
      <c r="N158" s="13"/>
    </row>
    <row r="159" spans="1:14">
      <c r="A159" s="14"/>
      <c r="B159" s="15"/>
      <c r="C159" s="16"/>
      <c r="D159" s="17"/>
      <c r="E159" s="12"/>
      <c r="F159" s="18"/>
      <c r="G159" s="19"/>
      <c r="H159" s="13"/>
      <c r="I159" s="19"/>
      <c r="J159" s="13"/>
      <c r="K159" s="19"/>
      <c r="L159" s="13"/>
      <c r="M159" s="19"/>
      <c r="N159" s="13"/>
    </row>
    <row r="160" spans="1:14">
      <c r="A160" s="14"/>
      <c r="B160" s="15"/>
      <c r="C160" s="16"/>
      <c r="D160" s="17"/>
      <c r="E160" s="12"/>
      <c r="F160" s="18"/>
      <c r="G160" s="19"/>
      <c r="H160" s="13"/>
      <c r="I160" s="19"/>
      <c r="J160" s="13"/>
      <c r="K160" s="19"/>
      <c r="L160" s="13"/>
      <c r="M160" s="19"/>
      <c r="N160" s="13"/>
    </row>
    <row r="161" spans="1:14">
      <c r="A161" s="14"/>
      <c r="B161" s="15"/>
      <c r="C161" s="16"/>
      <c r="D161" s="17"/>
      <c r="E161" s="12"/>
      <c r="F161" s="18"/>
      <c r="G161" s="19"/>
      <c r="H161" s="13"/>
      <c r="I161" s="19"/>
      <c r="J161" s="13"/>
      <c r="K161" s="19"/>
      <c r="L161" s="13"/>
      <c r="M161" s="19"/>
      <c r="N161" s="13"/>
    </row>
    <row r="162" spans="1:14">
      <c r="A162" s="14"/>
      <c r="B162" s="15"/>
      <c r="C162" s="16"/>
      <c r="D162" s="17"/>
      <c r="E162" s="12"/>
      <c r="F162" s="18"/>
      <c r="G162" s="19"/>
      <c r="H162" s="13"/>
      <c r="I162" s="19"/>
      <c r="J162" s="13"/>
      <c r="K162" s="19"/>
      <c r="L162" s="13"/>
      <c r="M162" s="19"/>
      <c r="N162" s="13"/>
    </row>
    <row r="163" spans="1:14">
      <c r="A163" s="14"/>
      <c r="B163" s="15"/>
      <c r="C163" s="16"/>
      <c r="D163" s="17"/>
      <c r="E163" s="12"/>
      <c r="F163" s="18"/>
      <c r="G163" s="19"/>
      <c r="H163" s="13"/>
      <c r="I163" s="19"/>
      <c r="J163" s="13"/>
      <c r="K163" s="19"/>
      <c r="L163" s="13"/>
      <c r="M163" s="19"/>
      <c r="N163" s="13"/>
    </row>
    <row r="164" spans="1:14">
      <c r="A164" s="14"/>
      <c r="B164" s="15"/>
      <c r="C164" s="16"/>
      <c r="D164" s="17"/>
      <c r="E164" s="12"/>
      <c r="F164" s="18"/>
      <c r="G164" s="19"/>
      <c r="H164" s="13"/>
      <c r="I164" s="19"/>
      <c r="J164" s="13"/>
      <c r="K164" s="19"/>
      <c r="L164" s="13"/>
      <c r="M164" s="19"/>
      <c r="N164" s="13"/>
    </row>
    <row r="165" spans="1:14">
      <c r="A165" s="14"/>
      <c r="B165" s="15"/>
      <c r="C165" s="16"/>
      <c r="D165" s="17"/>
      <c r="E165" s="12"/>
      <c r="F165" s="18"/>
      <c r="G165" s="19"/>
      <c r="H165" s="13"/>
      <c r="I165" s="19"/>
      <c r="J165" s="13"/>
      <c r="K165" s="19"/>
      <c r="L165" s="13"/>
      <c r="M165" s="19"/>
      <c r="N165" s="13"/>
    </row>
    <row r="166" spans="1:14">
      <c r="A166" s="14"/>
      <c r="B166" s="15"/>
      <c r="C166" s="16"/>
      <c r="D166" s="17"/>
      <c r="E166" s="12"/>
      <c r="F166" s="18"/>
      <c r="G166" s="19"/>
      <c r="H166" s="13"/>
      <c r="I166" s="19"/>
      <c r="J166" s="13"/>
      <c r="K166" s="19"/>
      <c r="L166" s="13"/>
      <c r="M166" s="19"/>
      <c r="N166" s="13"/>
    </row>
    <row r="167" spans="1:14">
      <c r="A167" s="14"/>
      <c r="B167" s="15"/>
      <c r="C167" s="16"/>
      <c r="D167" s="17"/>
      <c r="E167" s="12"/>
      <c r="F167" s="18"/>
      <c r="G167" s="19"/>
      <c r="H167" s="13"/>
      <c r="I167" s="19"/>
      <c r="J167" s="13"/>
      <c r="K167" s="19"/>
      <c r="L167" s="13"/>
      <c r="M167" s="19"/>
      <c r="N167" s="13"/>
    </row>
    <row r="168" spans="1:14">
      <c r="A168" s="14"/>
      <c r="B168" s="15"/>
      <c r="C168" s="16"/>
      <c r="D168" s="17"/>
      <c r="E168" s="12"/>
      <c r="F168" s="18"/>
      <c r="G168" s="19"/>
      <c r="H168" s="13"/>
      <c r="I168" s="19"/>
      <c r="J168" s="13"/>
      <c r="K168" s="19"/>
      <c r="L168" s="13"/>
      <c r="M168" s="19"/>
      <c r="N168" s="13"/>
    </row>
    <row r="169" spans="1:14">
      <c r="A169" s="14"/>
      <c r="B169" s="15"/>
      <c r="C169" s="16"/>
      <c r="D169" s="17"/>
      <c r="E169" s="12"/>
      <c r="F169" s="18"/>
      <c r="G169" s="19"/>
      <c r="H169" s="13"/>
      <c r="I169" s="19"/>
      <c r="J169" s="13"/>
      <c r="K169" s="19"/>
      <c r="L169" s="13"/>
      <c r="M169" s="19"/>
      <c r="N169" s="13"/>
    </row>
    <row r="170" spans="1:14">
      <c r="A170" s="14"/>
      <c r="B170" s="15"/>
      <c r="C170" s="16"/>
      <c r="D170" s="17"/>
      <c r="E170" s="12"/>
      <c r="F170" s="18"/>
      <c r="G170" s="19"/>
      <c r="H170" s="13"/>
      <c r="I170" s="19"/>
      <c r="J170" s="13"/>
      <c r="K170" s="19"/>
      <c r="L170" s="13"/>
      <c r="M170" s="19"/>
      <c r="N170" s="13"/>
    </row>
    <row r="171" spans="1:14">
      <c r="A171" s="14"/>
      <c r="B171" s="15"/>
      <c r="C171" s="16"/>
      <c r="D171" s="17"/>
      <c r="E171" s="12"/>
      <c r="F171" s="18"/>
      <c r="G171" s="19"/>
      <c r="H171" s="13"/>
      <c r="I171" s="19"/>
      <c r="J171" s="13"/>
      <c r="K171" s="19"/>
      <c r="L171" s="13"/>
      <c r="M171" s="19"/>
      <c r="N171" s="13"/>
    </row>
    <row r="172" spans="1:14">
      <c r="A172" s="14"/>
      <c r="B172" s="15"/>
      <c r="C172" s="16"/>
      <c r="D172" s="17"/>
      <c r="E172" s="12"/>
      <c r="F172" s="18"/>
      <c r="G172" s="19"/>
      <c r="H172" s="13"/>
      <c r="I172" s="19"/>
      <c r="J172" s="13"/>
      <c r="K172" s="19"/>
      <c r="L172" s="13"/>
      <c r="M172" s="19"/>
      <c r="N172" s="13"/>
    </row>
    <row r="173" spans="1:14">
      <c r="A173" s="14"/>
      <c r="B173" s="15"/>
      <c r="C173" s="16"/>
      <c r="D173" s="17"/>
      <c r="E173" s="12"/>
      <c r="F173" s="18"/>
      <c r="G173" s="19"/>
      <c r="H173" s="13"/>
      <c r="I173" s="19"/>
      <c r="J173" s="13"/>
      <c r="K173" s="19"/>
      <c r="L173" s="13"/>
      <c r="M173" s="19"/>
      <c r="N173" s="13"/>
    </row>
    <row r="174" spans="1:14">
      <c r="A174" s="14"/>
      <c r="B174" s="15"/>
      <c r="C174" s="16"/>
      <c r="D174" s="17"/>
      <c r="E174" s="12"/>
      <c r="F174" s="18"/>
      <c r="G174" s="19"/>
      <c r="H174" s="13"/>
      <c r="I174" s="19"/>
      <c r="J174" s="13"/>
      <c r="K174" s="19"/>
      <c r="L174" s="13"/>
      <c r="M174" s="19"/>
      <c r="N174" s="13"/>
    </row>
    <row r="175" spans="1:14">
      <c r="A175" s="14"/>
      <c r="B175" s="15"/>
      <c r="C175" s="16"/>
      <c r="D175" s="17"/>
      <c r="E175" s="12"/>
      <c r="F175" s="18"/>
      <c r="G175" s="19"/>
      <c r="H175" s="13"/>
      <c r="I175" s="19"/>
      <c r="J175" s="13"/>
      <c r="K175" s="19"/>
      <c r="L175" s="13"/>
      <c r="M175" s="19"/>
      <c r="N175" s="13"/>
    </row>
    <row r="176" spans="1:14">
      <c r="A176" s="14"/>
      <c r="B176" s="15"/>
      <c r="C176" s="16"/>
      <c r="D176" s="17"/>
      <c r="E176" s="12"/>
      <c r="F176" s="18"/>
      <c r="G176" s="19"/>
      <c r="H176" s="13"/>
      <c r="I176" s="19"/>
      <c r="J176" s="13"/>
      <c r="K176" s="19"/>
      <c r="L176" s="13"/>
      <c r="M176" s="19"/>
      <c r="N176" s="13"/>
    </row>
    <row r="177" spans="1:14">
      <c r="A177" s="14"/>
      <c r="B177" s="15"/>
      <c r="C177" s="16"/>
      <c r="D177" s="17"/>
      <c r="E177" s="12"/>
      <c r="F177" s="18"/>
      <c r="G177" s="19"/>
      <c r="H177" s="13"/>
      <c r="I177" s="19"/>
      <c r="J177" s="13"/>
      <c r="K177" s="19"/>
      <c r="L177" s="13"/>
      <c r="M177" s="19"/>
      <c r="N177" s="13"/>
    </row>
    <row r="178" spans="1:14">
      <c r="A178" s="14"/>
      <c r="B178" s="15"/>
      <c r="C178" s="16"/>
      <c r="D178" s="17"/>
      <c r="E178" s="12"/>
      <c r="F178" s="18"/>
      <c r="G178" s="19"/>
      <c r="H178" s="13"/>
      <c r="I178" s="19"/>
      <c r="J178" s="13"/>
      <c r="K178" s="19"/>
      <c r="L178" s="13"/>
      <c r="M178" s="19"/>
      <c r="N178" s="13"/>
    </row>
    <row r="179" spans="1:14">
      <c r="A179" s="14"/>
      <c r="B179" s="15"/>
      <c r="C179" s="16"/>
      <c r="D179" s="17"/>
      <c r="E179" s="12"/>
      <c r="F179" s="18"/>
      <c r="G179" s="19"/>
      <c r="H179" s="13"/>
      <c r="I179" s="19"/>
      <c r="J179" s="13"/>
      <c r="K179" s="19"/>
      <c r="L179" s="13"/>
      <c r="M179" s="19"/>
      <c r="N179" s="13"/>
    </row>
    <row r="180" spans="1:14">
      <c r="A180" s="14"/>
      <c r="B180" s="15"/>
      <c r="C180" s="16"/>
      <c r="D180" s="17"/>
      <c r="E180" s="12"/>
      <c r="F180" s="18"/>
      <c r="G180" s="19"/>
      <c r="H180" s="13"/>
      <c r="I180" s="19"/>
      <c r="J180" s="13"/>
      <c r="K180" s="19"/>
      <c r="L180" s="13"/>
      <c r="M180" s="19"/>
      <c r="N180" s="13"/>
    </row>
    <row r="181" spans="1:14">
      <c r="A181" s="14"/>
      <c r="B181" s="15"/>
      <c r="C181" s="16"/>
      <c r="D181" s="17"/>
      <c r="E181" s="12"/>
      <c r="F181" s="18"/>
      <c r="G181" s="19"/>
      <c r="H181" s="13"/>
      <c r="I181" s="19"/>
      <c r="J181" s="13"/>
      <c r="K181" s="19"/>
      <c r="L181" s="13"/>
      <c r="M181" s="19"/>
      <c r="N181" s="13"/>
    </row>
    <row r="182" spans="1:14">
      <c r="A182" s="14"/>
      <c r="B182" s="15"/>
      <c r="C182" s="16"/>
      <c r="D182" s="17"/>
      <c r="E182" s="12"/>
      <c r="F182" s="18"/>
      <c r="G182" s="19"/>
      <c r="H182" s="13"/>
      <c r="I182" s="19"/>
      <c r="J182" s="13"/>
      <c r="K182" s="19"/>
      <c r="L182" s="13"/>
      <c r="M182" s="19"/>
      <c r="N182" s="13"/>
    </row>
    <row r="183" spans="1:14">
      <c r="A183" s="14"/>
      <c r="B183" s="15"/>
      <c r="C183" s="16"/>
      <c r="D183" s="17"/>
      <c r="E183" s="12"/>
      <c r="F183" s="18"/>
      <c r="G183" s="19"/>
      <c r="H183" s="13"/>
      <c r="I183" s="19"/>
      <c r="J183" s="13"/>
      <c r="K183" s="19"/>
      <c r="L183" s="13"/>
      <c r="M183" s="19"/>
      <c r="N183" s="13"/>
    </row>
    <row r="184" spans="1:14">
      <c r="A184" s="14"/>
      <c r="B184" s="15"/>
      <c r="C184" s="16"/>
      <c r="D184" s="17"/>
      <c r="E184" s="12"/>
      <c r="F184" s="18"/>
      <c r="G184" s="19"/>
      <c r="H184" s="13"/>
      <c r="I184" s="19"/>
      <c r="J184" s="13"/>
      <c r="K184" s="19"/>
      <c r="L184" s="13"/>
      <c r="M184" s="19"/>
      <c r="N184" s="13"/>
    </row>
    <row r="185" spans="1:14">
      <c r="A185" s="14"/>
      <c r="B185" s="15"/>
      <c r="C185" s="16"/>
      <c r="D185" s="17"/>
      <c r="E185" s="12"/>
      <c r="F185" s="18"/>
      <c r="G185" s="19"/>
      <c r="H185" s="13"/>
      <c r="I185" s="19"/>
      <c r="J185" s="13"/>
      <c r="K185" s="19"/>
      <c r="L185" s="13"/>
      <c r="M185" s="19"/>
      <c r="N185" s="13"/>
    </row>
    <row r="186" spans="1:14">
      <c r="A186" s="14"/>
      <c r="B186" s="15"/>
      <c r="C186" s="16"/>
      <c r="D186" s="17"/>
      <c r="E186" s="12"/>
      <c r="F186" s="18"/>
      <c r="G186" s="19"/>
      <c r="H186" s="13"/>
      <c r="I186" s="19"/>
      <c r="J186" s="13"/>
      <c r="K186" s="19"/>
      <c r="L186" s="13"/>
      <c r="M186" s="19"/>
      <c r="N186" s="13"/>
    </row>
    <row r="187" spans="1:14">
      <c r="A187" s="14"/>
      <c r="B187" s="15"/>
      <c r="C187" s="16"/>
      <c r="D187" s="17"/>
      <c r="E187" s="12"/>
      <c r="F187" s="18"/>
      <c r="G187" s="19"/>
      <c r="H187" s="13"/>
      <c r="I187" s="19"/>
      <c r="J187" s="13"/>
      <c r="K187" s="19"/>
      <c r="L187" s="13"/>
      <c r="M187" s="19"/>
      <c r="N187" s="13"/>
    </row>
    <row r="188" spans="1:14">
      <c r="A188" s="14"/>
      <c r="B188" s="15"/>
      <c r="C188" s="16"/>
      <c r="D188" s="17"/>
      <c r="E188" s="12"/>
      <c r="F188" s="18"/>
      <c r="G188" s="19"/>
      <c r="H188" s="13"/>
      <c r="I188" s="19"/>
      <c r="J188" s="13"/>
      <c r="K188" s="19"/>
      <c r="L188" s="13"/>
      <c r="M188" s="19"/>
      <c r="N188" s="13"/>
    </row>
    <row r="189" spans="1:14">
      <c r="A189" s="14"/>
      <c r="B189" s="15"/>
      <c r="C189" s="16"/>
      <c r="D189" s="17"/>
      <c r="E189" s="12"/>
      <c r="F189" s="18"/>
      <c r="G189" s="19"/>
      <c r="H189" s="13"/>
      <c r="I189" s="19"/>
      <c r="J189" s="13"/>
      <c r="K189" s="19"/>
      <c r="L189" s="13"/>
      <c r="M189" s="19"/>
      <c r="N189" s="13"/>
    </row>
    <row r="190" spans="1:14">
      <c r="A190" s="14"/>
      <c r="B190" s="15"/>
      <c r="C190" s="16"/>
      <c r="D190" s="17"/>
      <c r="E190" s="12"/>
      <c r="F190" s="18"/>
      <c r="G190" s="19"/>
      <c r="H190" s="13"/>
      <c r="I190" s="19"/>
      <c r="J190" s="13"/>
      <c r="K190" s="19"/>
      <c r="L190" s="13"/>
      <c r="M190" s="19"/>
      <c r="N190" s="13"/>
    </row>
    <row r="191" spans="1:14">
      <c r="A191" s="14"/>
      <c r="B191" s="15"/>
      <c r="C191" s="16"/>
      <c r="D191" s="17"/>
      <c r="E191" s="12"/>
      <c r="F191" s="18"/>
      <c r="G191" s="19"/>
      <c r="H191" s="13"/>
      <c r="I191" s="19"/>
      <c r="J191" s="13"/>
      <c r="K191" s="19"/>
      <c r="L191" s="13"/>
      <c r="M191" s="19"/>
      <c r="N191" s="13"/>
    </row>
    <row r="192" spans="1:14">
      <c r="A192" s="14"/>
      <c r="B192" s="15"/>
      <c r="C192" s="16"/>
      <c r="D192" s="17"/>
      <c r="E192" s="12"/>
      <c r="F192" s="18"/>
      <c r="G192" s="19"/>
      <c r="H192" s="13"/>
      <c r="I192" s="19"/>
      <c r="J192" s="13"/>
      <c r="K192" s="19"/>
      <c r="L192" s="13"/>
      <c r="M192" s="19"/>
      <c r="N192" s="13"/>
    </row>
    <row r="193" spans="1:14">
      <c r="A193" s="14"/>
      <c r="B193" s="15"/>
      <c r="C193" s="16"/>
      <c r="D193" s="17"/>
      <c r="E193" s="12"/>
      <c r="F193" s="18"/>
      <c r="G193" s="19"/>
      <c r="H193" s="13"/>
      <c r="I193" s="19"/>
      <c r="J193" s="13"/>
      <c r="K193" s="19"/>
      <c r="L193" s="13"/>
      <c r="M193" s="19"/>
      <c r="N193" s="13"/>
    </row>
    <row r="194" spans="1:14">
      <c r="A194" s="14"/>
      <c r="B194" s="15"/>
      <c r="C194" s="16"/>
      <c r="D194" s="17"/>
      <c r="E194" s="12"/>
      <c r="F194" s="18"/>
      <c r="G194" s="19"/>
      <c r="H194" s="13"/>
      <c r="I194" s="19"/>
      <c r="J194" s="13"/>
      <c r="K194" s="19"/>
      <c r="L194" s="13"/>
      <c r="M194" s="19"/>
      <c r="N194" s="13"/>
    </row>
    <row r="195" spans="1:14">
      <c r="A195" s="14"/>
      <c r="B195" s="15"/>
      <c r="C195" s="16"/>
      <c r="D195" s="17"/>
      <c r="E195" s="12"/>
      <c r="F195" s="18"/>
      <c r="G195" s="19"/>
      <c r="H195" s="13"/>
      <c r="I195" s="19"/>
      <c r="J195" s="13"/>
      <c r="K195" s="19"/>
      <c r="L195" s="13"/>
      <c r="M195" s="19"/>
      <c r="N195" s="13"/>
    </row>
    <row r="196" spans="1:14">
      <c r="A196" s="14"/>
      <c r="B196" s="15"/>
      <c r="C196" s="16"/>
      <c r="D196" s="17"/>
      <c r="E196" s="12"/>
      <c r="F196" s="18"/>
      <c r="G196" s="19"/>
      <c r="H196" s="13"/>
      <c r="I196" s="19"/>
      <c r="J196" s="13"/>
      <c r="K196" s="19"/>
      <c r="L196" s="13"/>
      <c r="M196" s="19"/>
      <c r="N196" s="13"/>
    </row>
    <row r="197" spans="1:14">
      <c r="A197" s="14"/>
      <c r="B197" s="15"/>
      <c r="C197" s="16"/>
      <c r="D197" s="17"/>
      <c r="E197" s="12"/>
      <c r="F197" s="18"/>
      <c r="G197" s="19"/>
      <c r="H197" s="13"/>
      <c r="I197" s="19"/>
      <c r="J197" s="13"/>
      <c r="K197" s="19"/>
      <c r="L197" s="13"/>
      <c r="M197" s="19"/>
      <c r="N197" s="13"/>
    </row>
    <row r="198" spans="1:14">
      <c r="A198" s="14"/>
      <c r="B198" s="15"/>
      <c r="C198" s="16"/>
      <c r="D198" s="17"/>
      <c r="E198" s="12"/>
      <c r="F198" s="18"/>
      <c r="G198" s="19"/>
      <c r="H198" s="13"/>
      <c r="I198" s="19"/>
      <c r="J198" s="13"/>
      <c r="K198" s="19"/>
      <c r="L198" s="13"/>
      <c r="M198" s="19"/>
      <c r="N198" s="13"/>
    </row>
    <row r="199" spans="1:14">
      <c r="A199" s="14"/>
      <c r="B199" s="15"/>
      <c r="C199" s="16"/>
      <c r="D199" s="17"/>
      <c r="E199" s="12"/>
      <c r="F199" s="18"/>
      <c r="G199" s="19"/>
      <c r="H199" s="13"/>
      <c r="I199" s="19"/>
      <c r="J199" s="13"/>
      <c r="K199" s="19"/>
      <c r="L199" s="13"/>
      <c r="M199" s="19"/>
      <c r="N199" s="13"/>
    </row>
    <row r="200" spans="1:14">
      <c r="A200" s="14"/>
      <c r="B200" s="15"/>
      <c r="C200" s="16"/>
      <c r="D200" s="17"/>
      <c r="E200" s="12"/>
      <c r="F200" s="18"/>
      <c r="G200" s="19"/>
      <c r="H200" s="13"/>
      <c r="I200" s="19"/>
      <c r="J200" s="13"/>
      <c r="K200" s="19"/>
      <c r="L200" s="13"/>
      <c r="M200" s="19"/>
      <c r="N200" s="13"/>
    </row>
    <row r="201" spans="1:14">
      <c r="A201" s="14"/>
      <c r="B201" s="15"/>
      <c r="C201" s="16"/>
      <c r="D201" s="17"/>
      <c r="E201" s="12"/>
      <c r="F201" s="18"/>
      <c r="G201" s="19"/>
      <c r="H201" s="13"/>
      <c r="I201" s="19"/>
      <c r="J201" s="13"/>
      <c r="K201" s="19"/>
      <c r="L201" s="13"/>
      <c r="M201" s="19"/>
      <c r="N201" s="13"/>
    </row>
    <row r="202" spans="1:14">
      <c r="A202" s="14"/>
      <c r="B202" s="15"/>
      <c r="C202" s="16"/>
      <c r="D202" s="17"/>
      <c r="E202" s="12"/>
      <c r="F202" s="18"/>
      <c r="G202" s="19"/>
      <c r="H202" s="13"/>
      <c r="I202" s="19"/>
      <c r="J202" s="13"/>
      <c r="K202" s="19"/>
      <c r="L202" s="13"/>
      <c r="M202" s="19"/>
      <c r="N202" s="13"/>
    </row>
    <row r="203" spans="1:14">
      <c r="A203" s="14"/>
      <c r="B203" s="15"/>
      <c r="C203" s="16"/>
      <c r="D203" s="17"/>
      <c r="E203" s="12"/>
      <c r="F203" s="18"/>
      <c r="G203" s="19"/>
      <c r="H203" s="13"/>
      <c r="I203" s="19"/>
      <c r="J203" s="13"/>
      <c r="K203" s="19"/>
      <c r="L203" s="13"/>
      <c r="M203" s="19"/>
      <c r="N203" s="13"/>
    </row>
    <row r="204" spans="1:14">
      <c r="A204" s="14"/>
      <c r="B204" s="15"/>
      <c r="C204" s="16"/>
      <c r="D204" s="17"/>
      <c r="E204" s="12"/>
      <c r="F204" s="18"/>
      <c r="G204" s="19"/>
      <c r="H204" s="13"/>
      <c r="I204" s="19"/>
      <c r="J204" s="13"/>
      <c r="K204" s="19"/>
      <c r="L204" s="13"/>
      <c r="M204" s="19"/>
      <c r="N204" s="13"/>
    </row>
    <row r="205" spans="1:14">
      <c r="A205" s="14"/>
      <c r="B205" s="15"/>
      <c r="C205" s="16"/>
      <c r="D205" s="17"/>
      <c r="E205" s="12"/>
      <c r="F205" s="18"/>
      <c r="G205" s="19"/>
      <c r="H205" s="13"/>
      <c r="I205" s="19"/>
      <c r="J205" s="13"/>
      <c r="K205" s="19"/>
      <c r="L205" s="13"/>
      <c r="M205" s="19"/>
      <c r="N205" s="13"/>
    </row>
    <row r="206" spans="1:14">
      <c r="A206" s="14"/>
      <c r="B206" s="15"/>
      <c r="C206" s="16"/>
      <c r="D206" s="17"/>
      <c r="E206" s="12"/>
      <c r="F206" s="18"/>
      <c r="G206" s="19"/>
      <c r="H206" s="13"/>
      <c r="I206" s="19"/>
      <c r="J206" s="13"/>
      <c r="K206" s="19"/>
      <c r="L206" s="13"/>
      <c r="M206" s="19"/>
      <c r="N206" s="13"/>
    </row>
    <row r="207" spans="1:14">
      <c r="A207" s="14"/>
      <c r="B207" s="15"/>
      <c r="C207" s="16"/>
      <c r="D207" s="17"/>
      <c r="E207" s="12"/>
      <c r="F207" s="18"/>
      <c r="G207" s="19"/>
      <c r="H207" s="13"/>
      <c r="I207" s="19"/>
      <c r="J207" s="13"/>
      <c r="K207" s="19"/>
      <c r="L207" s="13"/>
      <c r="M207" s="19"/>
      <c r="N207" s="13"/>
    </row>
    <row r="208" spans="1:14">
      <c r="A208" s="14"/>
      <c r="B208" s="15"/>
      <c r="C208" s="16"/>
      <c r="D208" s="17"/>
      <c r="E208" s="12"/>
      <c r="F208" s="18"/>
      <c r="G208" s="19"/>
      <c r="H208" s="13"/>
      <c r="I208" s="19"/>
      <c r="J208" s="13"/>
      <c r="K208" s="19"/>
      <c r="L208" s="13"/>
      <c r="M208" s="19"/>
      <c r="N208" s="13"/>
    </row>
    <row r="209" spans="1:14">
      <c r="A209" s="14"/>
      <c r="B209" s="15"/>
      <c r="C209" s="16"/>
      <c r="D209" s="17"/>
      <c r="E209" s="12"/>
      <c r="F209" s="18"/>
      <c r="G209" s="19"/>
      <c r="H209" s="13"/>
      <c r="I209" s="19"/>
      <c r="J209" s="13"/>
      <c r="K209" s="19"/>
      <c r="L209" s="13"/>
      <c r="M209" s="19"/>
      <c r="N209" s="13"/>
    </row>
    <row r="210" spans="1:14">
      <c r="A210" s="14"/>
      <c r="B210" s="15"/>
      <c r="C210" s="16"/>
      <c r="D210" s="17"/>
      <c r="E210" s="12"/>
      <c r="F210" s="18"/>
      <c r="G210" s="19"/>
      <c r="H210" s="13"/>
      <c r="I210" s="19"/>
      <c r="J210" s="13"/>
      <c r="K210" s="19"/>
      <c r="L210" s="13"/>
      <c r="M210" s="19"/>
      <c r="N210" s="13"/>
    </row>
    <row r="211" spans="1:14">
      <c r="A211" s="14"/>
      <c r="B211" s="15"/>
      <c r="C211" s="16"/>
      <c r="D211" s="17"/>
      <c r="E211" s="12"/>
      <c r="F211" s="18"/>
      <c r="G211" s="19"/>
      <c r="H211" s="13"/>
      <c r="I211" s="19"/>
      <c r="J211" s="13"/>
      <c r="K211" s="19"/>
      <c r="L211" s="13"/>
      <c r="M211" s="19"/>
      <c r="N211" s="13"/>
    </row>
    <row r="212" spans="1:14">
      <c r="A212" s="14"/>
      <c r="B212" s="15"/>
      <c r="C212" s="16"/>
      <c r="D212" s="17"/>
      <c r="E212" s="12"/>
      <c r="F212" s="18"/>
      <c r="G212" s="19"/>
      <c r="H212" s="13"/>
      <c r="I212" s="19"/>
      <c r="J212" s="13"/>
      <c r="K212" s="19"/>
      <c r="L212" s="13"/>
      <c r="M212" s="19"/>
      <c r="N212" s="13"/>
    </row>
    <row r="213" spans="1:14">
      <c r="A213" s="14"/>
      <c r="B213" s="15"/>
      <c r="C213" s="16"/>
      <c r="D213" s="17"/>
      <c r="E213" s="12"/>
      <c r="F213" s="18"/>
      <c r="G213" s="19"/>
      <c r="H213" s="13"/>
      <c r="I213" s="19"/>
      <c r="J213" s="13"/>
      <c r="K213" s="19"/>
      <c r="L213" s="13"/>
      <c r="M213" s="19"/>
      <c r="N213" s="13"/>
    </row>
    <row r="214" spans="1:14">
      <c r="A214" s="14"/>
      <c r="B214" s="15"/>
      <c r="C214" s="16"/>
      <c r="D214" s="17"/>
      <c r="E214" s="12"/>
      <c r="F214" s="18"/>
      <c r="G214" s="19"/>
      <c r="H214" s="13"/>
      <c r="I214" s="19"/>
      <c r="J214" s="13"/>
      <c r="K214" s="19"/>
      <c r="L214" s="13"/>
      <c r="M214" s="19"/>
      <c r="N214" s="13"/>
    </row>
    <row r="215" spans="1:14">
      <c r="A215" s="14"/>
      <c r="B215" s="15"/>
      <c r="C215" s="16"/>
      <c r="D215" s="17"/>
      <c r="E215" s="12"/>
      <c r="F215" s="18"/>
      <c r="G215" s="19"/>
      <c r="H215" s="13"/>
      <c r="I215" s="19"/>
      <c r="J215" s="13"/>
      <c r="K215" s="19"/>
      <c r="L215" s="13"/>
      <c r="M215" s="19"/>
      <c r="N215" s="13"/>
    </row>
    <row r="216" spans="1:14">
      <c r="A216" s="14"/>
      <c r="B216" s="15"/>
      <c r="C216" s="16"/>
      <c r="D216" s="17"/>
      <c r="E216" s="12"/>
      <c r="F216" s="18"/>
      <c r="G216" s="19"/>
      <c r="H216" s="13"/>
      <c r="I216" s="19"/>
      <c r="J216" s="13"/>
      <c r="K216" s="19"/>
      <c r="L216" s="13"/>
      <c r="M216" s="19"/>
      <c r="N216" s="13"/>
    </row>
    <row r="217" spans="1:14">
      <c r="A217" s="14"/>
      <c r="B217" s="15"/>
      <c r="C217" s="16"/>
      <c r="D217" s="17"/>
      <c r="E217" s="12"/>
      <c r="F217" s="18"/>
      <c r="G217" s="19"/>
      <c r="H217" s="13"/>
      <c r="I217" s="19"/>
      <c r="J217" s="13"/>
      <c r="K217" s="19"/>
      <c r="L217" s="13"/>
      <c r="M217" s="19"/>
      <c r="N217" s="13"/>
    </row>
    <row r="218" spans="1:14">
      <c r="A218" s="14"/>
      <c r="B218" s="15"/>
      <c r="C218" s="16"/>
      <c r="D218" s="17"/>
      <c r="E218" s="12"/>
      <c r="F218" s="18"/>
      <c r="G218" s="19"/>
      <c r="H218" s="13"/>
      <c r="I218" s="19"/>
      <c r="J218" s="13"/>
      <c r="K218" s="19"/>
      <c r="L218" s="13"/>
      <c r="M218" s="19"/>
      <c r="N218" s="13"/>
    </row>
    <row r="219" spans="1:14">
      <c r="A219" s="14"/>
      <c r="B219" s="15"/>
      <c r="C219" s="16"/>
      <c r="D219" s="17"/>
      <c r="E219" s="12"/>
      <c r="F219" s="18"/>
      <c r="G219" s="19"/>
      <c r="H219" s="13"/>
      <c r="I219" s="19"/>
      <c r="J219" s="13"/>
      <c r="K219" s="19"/>
      <c r="L219" s="13"/>
      <c r="M219" s="19"/>
      <c r="N219" s="13"/>
    </row>
    <row r="220" spans="1:14">
      <c r="A220" s="14"/>
      <c r="B220" s="15"/>
      <c r="C220" s="16"/>
      <c r="D220" s="17"/>
      <c r="E220" s="12"/>
      <c r="F220" s="18"/>
      <c r="G220" s="19"/>
      <c r="H220" s="13"/>
      <c r="I220" s="19"/>
      <c r="J220" s="13"/>
      <c r="K220" s="19"/>
      <c r="L220" s="13"/>
      <c r="M220" s="19"/>
      <c r="N220" s="13"/>
    </row>
    <row r="221" spans="1:14">
      <c r="A221" s="14"/>
      <c r="B221" s="15"/>
      <c r="C221" s="16"/>
      <c r="D221" s="17"/>
      <c r="E221" s="12"/>
      <c r="F221" s="18"/>
      <c r="G221" s="19"/>
      <c r="H221" s="13"/>
      <c r="I221" s="19"/>
      <c r="J221" s="13"/>
      <c r="K221" s="19"/>
      <c r="L221" s="13"/>
      <c r="M221" s="19"/>
      <c r="N221" s="13"/>
    </row>
    <row r="222" spans="1:14">
      <c r="A222" s="14"/>
      <c r="B222" s="15"/>
      <c r="C222" s="16"/>
      <c r="D222" s="17"/>
      <c r="E222" s="12"/>
      <c r="F222" s="18"/>
      <c r="G222" s="19"/>
      <c r="H222" s="13"/>
      <c r="I222" s="19"/>
      <c r="J222" s="13"/>
      <c r="K222" s="19"/>
      <c r="L222" s="13"/>
      <c r="M222" s="19"/>
      <c r="N222" s="13"/>
    </row>
    <row r="223" spans="1:14">
      <c r="A223" s="14"/>
      <c r="B223" s="15"/>
      <c r="C223" s="16"/>
      <c r="D223" s="17"/>
      <c r="E223" s="12"/>
      <c r="F223" s="18"/>
      <c r="G223" s="19"/>
      <c r="H223" s="13"/>
      <c r="I223" s="19"/>
      <c r="J223" s="13"/>
      <c r="K223" s="19"/>
      <c r="L223" s="13"/>
      <c r="M223" s="19"/>
      <c r="N223" s="13"/>
    </row>
    <row r="224" spans="1:14">
      <c r="A224" s="14"/>
      <c r="B224" s="15"/>
      <c r="C224" s="16"/>
      <c r="D224" s="17"/>
      <c r="E224" s="12"/>
      <c r="F224" s="18"/>
      <c r="G224" s="19"/>
      <c r="H224" s="13"/>
      <c r="I224" s="19"/>
      <c r="J224" s="13"/>
      <c r="K224" s="19"/>
      <c r="L224" s="13"/>
      <c r="M224" s="19"/>
      <c r="N224" s="13"/>
    </row>
    <row r="225" spans="1:14">
      <c r="A225" s="14"/>
      <c r="B225" s="15"/>
      <c r="C225" s="16"/>
      <c r="D225" s="17"/>
      <c r="E225" s="12"/>
      <c r="F225" s="18"/>
      <c r="G225" s="19"/>
      <c r="H225" s="13"/>
      <c r="I225" s="19"/>
      <c r="J225" s="13"/>
      <c r="K225" s="19"/>
      <c r="L225" s="13"/>
      <c r="M225" s="19"/>
      <c r="N225" s="13"/>
    </row>
    <row r="226" spans="1:14">
      <c r="A226" s="14"/>
      <c r="B226" s="15"/>
      <c r="C226" s="16"/>
      <c r="D226" s="17"/>
      <c r="E226" s="12"/>
      <c r="F226" s="18"/>
      <c r="G226" s="19"/>
      <c r="H226" s="13"/>
      <c r="I226" s="19"/>
      <c r="J226" s="13"/>
      <c r="K226" s="19"/>
      <c r="L226" s="13"/>
      <c r="M226" s="19"/>
      <c r="N226" s="13"/>
    </row>
    <row r="227" spans="1:14">
      <c r="A227" s="14"/>
      <c r="B227" s="15"/>
      <c r="C227" s="16"/>
      <c r="D227" s="17"/>
      <c r="E227" s="12"/>
      <c r="F227" s="18"/>
      <c r="G227" s="19"/>
      <c r="H227" s="13"/>
      <c r="I227" s="19"/>
      <c r="J227" s="13"/>
      <c r="K227" s="19"/>
      <c r="L227" s="13"/>
      <c r="M227" s="19"/>
      <c r="N227" s="13"/>
    </row>
    <row r="228" spans="1:14">
      <c r="A228" s="14"/>
      <c r="B228" s="15"/>
      <c r="C228" s="16"/>
      <c r="D228" s="17"/>
      <c r="E228" s="12"/>
      <c r="F228" s="18"/>
      <c r="G228" s="19"/>
      <c r="H228" s="13"/>
      <c r="I228" s="19"/>
      <c r="J228" s="13"/>
      <c r="K228" s="19"/>
      <c r="L228" s="13"/>
      <c r="M228" s="19"/>
      <c r="N228" s="13"/>
    </row>
    <row r="229" spans="1:14">
      <c r="A229" s="14"/>
      <c r="B229" s="15"/>
      <c r="C229" s="16"/>
      <c r="D229" s="17"/>
      <c r="E229" s="12"/>
      <c r="F229" s="18"/>
      <c r="G229" s="19"/>
      <c r="H229" s="13"/>
      <c r="I229" s="19"/>
      <c r="J229" s="13"/>
      <c r="K229" s="19"/>
      <c r="L229" s="13"/>
      <c r="M229" s="19"/>
      <c r="N229" s="13"/>
    </row>
    <row r="230" spans="1:14">
      <c r="A230" s="14"/>
      <c r="B230" s="15"/>
      <c r="C230" s="16"/>
      <c r="D230" s="17"/>
      <c r="E230" s="12"/>
      <c r="F230" s="18"/>
      <c r="G230" s="19"/>
      <c r="H230" s="13"/>
      <c r="I230" s="19"/>
      <c r="J230" s="13"/>
      <c r="K230" s="19"/>
      <c r="L230" s="13"/>
      <c r="M230" s="19"/>
      <c r="N230" s="13"/>
    </row>
    <row r="231" spans="1:14">
      <c r="A231" s="14"/>
      <c r="B231" s="15"/>
      <c r="C231" s="16"/>
      <c r="D231" s="17"/>
      <c r="E231" s="12"/>
      <c r="F231" s="18"/>
      <c r="G231" s="19"/>
      <c r="H231" s="13"/>
      <c r="I231" s="19"/>
      <c r="J231" s="13"/>
      <c r="K231" s="19"/>
      <c r="L231" s="13"/>
      <c r="M231" s="19"/>
      <c r="N231" s="13"/>
    </row>
    <row r="232" spans="1:14">
      <c r="A232" s="14"/>
      <c r="B232" s="15"/>
      <c r="C232" s="16"/>
      <c r="D232" s="17"/>
      <c r="E232" s="12"/>
      <c r="F232" s="18"/>
      <c r="G232" s="19"/>
      <c r="H232" s="13"/>
      <c r="I232" s="19"/>
      <c r="J232" s="13"/>
      <c r="K232" s="19"/>
      <c r="L232" s="13"/>
      <c r="M232" s="19"/>
      <c r="N232" s="13"/>
    </row>
    <row r="233" spans="1:14">
      <c r="A233" s="14"/>
      <c r="B233" s="15"/>
      <c r="C233" s="16"/>
      <c r="D233" s="17"/>
      <c r="E233" s="12"/>
      <c r="F233" s="18"/>
      <c r="G233" s="19"/>
      <c r="H233" s="13"/>
      <c r="I233" s="19"/>
      <c r="J233" s="13"/>
      <c r="K233" s="19"/>
      <c r="L233" s="13"/>
      <c r="M233" s="19"/>
      <c r="N233" s="13"/>
    </row>
    <row r="234" spans="1:14">
      <c r="A234" s="14"/>
      <c r="B234" s="15"/>
      <c r="C234" s="16"/>
      <c r="D234" s="17"/>
      <c r="E234" s="12"/>
      <c r="F234" s="18"/>
      <c r="G234" s="19"/>
      <c r="H234" s="13"/>
      <c r="I234" s="19"/>
      <c r="J234" s="13"/>
      <c r="K234" s="19"/>
      <c r="L234" s="13"/>
      <c r="M234" s="19"/>
      <c r="N234" s="13"/>
    </row>
    <row r="235" spans="1:14">
      <c r="A235" s="14"/>
      <c r="B235" s="15"/>
      <c r="C235" s="16"/>
      <c r="D235" s="17"/>
      <c r="E235" s="12"/>
      <c r="F235" s="18"/>
      <c r="G235" s="19"/>
      <c r="H235" s="13"/>
      <c r="I235" s="19"/>
      <c r="J235" s="13"/>
      <c r="K235" s="19"/>
      <c r="L235" s="13"/>
      <c r="M235" s="19"/>
      <c r="N235" s="13"/>
    </row>
    <row r="236" spans="1:14">
      <c r="A236" s="14"/>
      <c r="B236" s="15"/>
      <c r="C236" s="16"/>
      <c r="D236" s="17"/>
      <c r="E236" s="12"/>
      <c r="F236" s="18"/>
      <c r="G236" s="19"/>
      <c r="H236" s="13"/>
      <c r="I236" s="19"/>
      <c r="J236" s="13"/>
      <c r="K236" s="19"/>
      <c r="L236" s="13"/>
      <c r="M236" s="19"/>
      <c r="N236" s="13"/>
    </row>
    <row r="237" spans="1:14">
      <c r="A237" s="14"/>
      <c r="B237" s="15"/>
      <c r="C237" s="16"/>
      <c r="D237" s="17"/>
      <c r="E237" s="12"/>
      <c r="F237" s="18"/>
      <c r="G237" s="19"/>
      <c r="H237" s="13"/>
      <c r="I237" s="19"/>
      <c r="J237" s="13"/>
      <c r="K237" s="19"/>
      <c r="L237" s="13"/>
      <c r="M237" s="19"/>
      <c r="N237" s="13"/>
    </row>
    <row r="238" spans="1:14">
      <c r="A238" s="14"/>
      <c r="B238" s="15"/>
      <c r="C238" s="16"/>
      <c r="D238" s="17"/>
      <c r="E238" s="12"/>
      <c r="F238" s="18"/>
      <c r="G238" s="19"/>
      <c r="H238" s="13"/>
      <c r="I238" s="19"/>
      <c r="J238" s="13"/>
      <c r="K238" s="19"/>
      <c r="L238" s="13"/>
      <c r="M238" s="19"/>
      <c r="N238" s="13"/>
    </row>
    <row r="239" spans="1:14">
      <c r="A239" s="14"/>
      <c r="B239" s="15"/>
      <c r="C239" s="16"/>
      <c r="D239" s="17"/>
      <c r="E239" s="12"/>
      <c r="F239" s="18"/>
      <c r="G239" s="19"/>
      <c r="H239" s="13"/>
      <c r="I239" s="19"/>
      <c r="J239" s="13"/>
      <c r="K239" s="19"/>
      <c r="L239" s="13"/>
      <c r="M239" s="19"/>
      <c r="N239" s="13"/>
    </row>
    <row r="240" spans="1:14">
      <c r="A240" s="14"/>
      <c r="B240" s="15"/>
      <c r="C240" s="16"/>
      <c r="D240" s="17"/>
      <c r="E240" s="12"/>
      <c r="F240" s="18"/>
      <c r="G240" s="19"/>
      <c r="H240" s="13"/>
      <c r="I240" s="19"/>
      <c r="J240" s="13"/>
      <c r="K240" s="19"/>
      <c r="L240" s="13"/>
      <c r="M240" s="19"/>
      <c r="N240" s="13"/>
    </row>
    <row r="241" spans="1:14">
      <c r="A241" s="14"/>
      <c r="B241" s="15"/>
      <c r="C241" s="16"/>
      <c r="D241" s="17"/>
      <c r="E241" s="12"/>
      <c r="F241" s="18"/>
      <c r="G241" s="19"/>
      <c r="H241" s="13"/>
      <c r="I241" s="19"/>
      <c r="J241" s="13"/>
      <c r="K241" s="19"/>
      <c r="L241" s="13"/>
      <c r="M241" s="19"/>
      <c r="N241" s="13"/>
    </row>
    <row r="242" spans="1:14">
      <c r="A242" s="14"/>
      <c r="B242" s="15"/>
      <c r="C242" s="16"/>
      <c r="D242" s="17"/>
      <c r="E242" s="12"/>
      <c r="F242" s="18"/>
      <c r="G242" s="19"/>
      <c r="H242" s="13"/>
      <c r="I242" s="19"/>
      <c r="J242" s="13"/>
      <c r="K242" s="19"/>
      <c r="L242" s="13"/>
      <c r="M242" s="19"/>
      <c r="N242" s="13"/>
    </row>
    <row r="243" spans="1:14">
      <c r="A243" s="14"/>
      <c r="B243" s="15"/>
      <c r="C243" s="16"/>
      <c r="D243" s="17"/>
      <c r="E243" s="12"/>
      <c r="F243" s="18"/>
      <c r="G243" s="19"/>
      <c r="H243" s="13"/>
      <c r="I243" s="19"/>
      <c r="J243" s="13"/>
      <c r="K243" s="19"/>
      <c r="L243" s="13"/>
      <c r="M243" s="19"/>
      <c r="N243" s="13"/>
    </row>
    <row r="244" spans="1:14">
      <c r="A244" s="14"/>
      <c r="B244" s="15"/>
      <c r="C244" s="16"/>
      <c r="D244" s="17"/>
      <c r="E244" s="12"/>
      <c r="F244" s="18"/>
      <c r="G244" s="19"/>
      <c r="H244" s="13"/>
      <c r="I244" s="19"/>
      <c r="J244" s="13"/>
      <c r="K244" s="19"/>
      <c r="L244" s="13"/>
      <c r="M244" s="19"/>
      <c r="N244" s="13"/>
    </row>
    <row r="245" spans="1:14">
      <c r="A245" s="14"/>
      <c r="B245" s="15"/>
      <c r="C245" s="16"/>
      <c r="D245" s="17"/>
      <c r="E245" s="12"/>
      <c r="F245" s="18"/>
      <c r="G245" s="19"/>
      <c r="H245" s="13"/>
      <c r="I245" s="19"/>
      <c r="J245" s="13"/>
      <c r="K245" s="19"/>
      <c r="L245" s="13"/>
      <c r="M245" s="19"/>
      <c r="N245" s="13"/>
    </row>
    <row r="246" spans="1:14">
      <c r="A246" s="14"/>
      <c r="B246" s="15"/>
      <c r="C246" s="16"/>
      <c r="D246" s="17"/>
      <c r="E246" s="12"/>
      <c r="F246" s="18"/>
      <c r="G246" s="19"/>
      <c r="H246" s="13"/>
      <c r="I246" s="19"/>
      <c r="J246" s="13"/>
      <c r="K246" s="19"/>
      <c r="L246" s="13"/>
      <c r="M246" s="19"/>
      <c r="N246" s="13"/>
    </row>
    <row r="247" spans="1:14">
      <c r="A247" s="14"/>
      <c r="B247" s="15"/>
      <c r="C247" s="16"/>
      <c r="D247" s="17"/>
      <c r="E247" s="12"/>
      <c r="F247" s="18"/>
      <c r="G247" s="19"/>
      <c r="H247" s="13"/>
      <c r="I247" s="19"/>
      <c r="J247" s="13"/>
      <c r="K247" s="19"/>
      <c r="L247" s="13"/>
      <c r="M247" s="19"/>
      <c r="N247" s="13"/>
    </row>
    <row r="248" spans="1:14">
      <c r="A248" s="14"/>
      <c r="B248" s="15"/>
      <c r="C248" s="16"/>
      <c r="D248" s="17"/>
      <c r="E248" s="12"/>
      <c r="F248" s="18"/>
      <c r="G248" s="19"/>
      <c r="H248" s="13"/>
      <c r="I248" s="19"/>
      <c r="J248" s="13"/>
      <c r="K248" s="19"/>
      <c r="L248" s="13"/>
      <c r="M248" s="19"/>
      <c r="N248" s="13"/>
    </row>
    <row r="249" spans="1:14">
      <c r="A249" s="14"/>
      <c r="B249" s="15"/>
      <c r="C249" s="16"/>
      <c r="D249" s="17"/>
      <c r="E249" s="12"/>
      <c r="F249" s="18"/>
      <c r="G249" s="19"/>
      <c r="H249" s="13"/>
      <c r="I249" s="19"/>
      <c r="J249" s="13"/>
      <c r="K249" s="19"/>
      <c r="L249" s="13"/>
      <c r="M249" s="19"/>
      <c r="N249" s="13"/>
    </row>
    <row r="250" spans="1:14">
      <c r="A250" s="14"/>
      <c r="B250" s="15"/>
      <c r="C250" s="16"/>
      <c r="D250" s="17"/>
      <c r="E250" s="12"/>
      <c r="F250" s="18"/>
      <c r="G250" s="19"/>
      <c r="H250" s="13"/>
      <c r="I250" s="19"/>
      <c r="J250" s="13"/>
      <c r="K250" s="19"/>
      <c r="L250" s="13"/>
      <c r="M250" s="19"/>
      <c r="N250" s="13"/>
    </row>
    <row r="251" spans="1:14">
      <c r="A251" s="14"/>
      <c r="B251" s="15"/>
      <c r="C251" s="16"/>
      <c r="D251" s="17"/>
      <c r="E251" s="12"/>
      <c r="F251" s="18"/>
      <c r="G251" s="19"/>
      <c r="H251" s="13"/>
      <c r="I251" s="19"/>
      <c r="J251" s="13"/>
      <c r="K251" s="19"/>
      <c r="L251" s="13"/>
      <c r="M251" s="19"/>
      <c r="N251" s="13"/>
    </row>
    <row r="252" spans="1:14">
      <c r="A252" s="14"/>
      <c r="B252" s="15"/>
      <c r="C252" s="16"/>
      <c r="D252" s="17"/>
      <c r="E252" s="12"/>
      <c r="F252" s="18"/>
      <c r="G252" s="19"/>
      <c r="H252" s="13"/>
      <c r="I252" s="19"/>
      <c r="J252" s="13"/>
      <c r="K252" s="19"/>
      <c r="L252" s="13"/>
      <c r="M252" s="19"/>
      <c r="N252" s="13"/>
    </row>
    <row r="253" spans="1:14">
      <c r="A253" s="14"/>
      <c r="B253" s="15"/>
      <c r="C253" s="16"/>
      <c r="D253" s="17"/>
      <c r="E253" s="12"/>
      <c r="F253" s="18"/>
      <c r="G253" s="19"/>
      <c r="H253" s="13"/>
      <c r="I253" s="19"/>
      <c r="J253" s="13"/>
      <c r="K253" s="19"/>
      <c r="L253" s="13"/>
      <c r="M253" s="19"/>
      <c r="N253" s="13"/>
    </row>
    <row r="254" spans="1:14">
      <c r="A254" s="14"/>
      <c r="B254" s="15"/>
      <c r="C254" s="16"/>
      <c r="D254" s="17"/>
      <c r="E254" s="12"/>
      <c r="F254" s="18"/>
      <c r="G254" s="19"/>
      <c r="H254" s="13"/>
      <c r="I254" s="19"/>
      <c r="J254" s="13"/>
      <c r="K254" s="19"/>
      <c r="L254" s="13"/>
      <c r="M254" s="19"/>
      <c r="N254" s="13"/>
    </row>
    <row r="255" spans="1:14">
      <c r="A255" s="14"/>
      <c r="B255" s="15"/>
      <c r="C255" s="16"/>
      <c r="D255" s="17"/>
      <c r="E255" s="12"/>
      <c r="F255" s="18"/>
      <c r="G255" s="19"/>
      <c r="H255" s="13"/>
      <c r="I255" s="19"/>
      <c r="J255" s="13"/>
      <c r="K255" s="19"/>
      <c r="L255" s="13"/>
      <c r="M255" s="19"/>
      <c r="N255" s="13"/>
    </row>
    <row r="256" spans="1:14">
      <c r="A256" s="14"/>
      <c r="B256" s="15"/>
      <c r="C256" s="16"/>
      <c r="D256" s="17"/>
      <c r="E256" s="12"/>
      <c r="F256" s="18"/>
      <c r="G256" s="19"/>
      <c r="H256" s="13"/>
      <c r="I256" s="19"/>
      <c r="J256" s="13"/>
      <c r="K256" s="19"/>
      <c r="L256" s="13"/>
      <c r="M256" s="19"/>
      <c r="N256" s="13"/>
    </row>
    <row r="257" spans="1:14">
      <c r="A257" s="14"/>
      <c r="B257" s="15"/>
      <c r="C257" s="16"/>
      <c r="D257" s="17"/>
      <c r="E257" s="12"/>
      <c r="F257" s="18"/>
      <c r="G257" s="19"/>
      <c r="H257" s="13"/>
      <c r="I257" s="19"/>
      <c r="J257" s="13"/>
      <c r="K257" s="19"/>
      <c r="L257" s="13"/>
      <c r="M257" s="19"/>
      <c r="N257" s="13"/>
    </row>
    <row r="258" spans="1:14">
      <c r="A258" s="14"/>
      <c r="B258" s="15"/>
      <c r="C258" s="16"/>
      <c r="D258" s="17"/>
      <c r="E258" s="12"/>
      <c r="F258" s="18"/>
      <c r="G258" s="19"/>
      <c r="H258" s="13"/>
      <c r="I258" s="19"/>
      <c r="J258" s="13"/>
      <c r="K258" s="19"/>
      <c r="L258" s="13"/>
      <c r="M258" s="19"/>
      <c r="N258" s="13"/>
    </row>
    <row r="259" spans="1:14">
      <c r="A259" s="14"/>
      <c r="B259" s="15"/>
      <c r="C259" s="16"/>
      <c r="D259" s="17"/>
      <c r="E259" s="12"/>
      <c r="F259" s="18"/>
      <c r="G259" s="19"/>
      <c r="H259" s="13"/>
      <c r="I259" s="19"/>
      <c r="J259" s="13"/>
      <c r="K259" s="19"/>
      <c r="L259" s="13"/>
      <c r="M259" s="19"/>
      <c r="N259" s="13"/>
    </row>
    <row r="260" spans="1:14">
      <c r="A260" s="14"/>
      <c r="B260" s="15"/>
      <c r="C260" s="16"/>
      <c r="D260" s="17"/>
      <c r="E260" s="12"/>
      <c r="F260" s="18"/>
      <c r="G260" s="19"/>
      <c r="H260" s="13"/>
      <c r="I260" s="19"/>
      <c r="J260" s="13"/>
      <c r="K260" s="19"/>
      <c r="L260" s="13"/>
      <c r="M260" s="19"/>
      <c r="N260" s="13"/>
    </row>
    <row r="261" spans="1:14">
      <c r="A261" s="14"/>
      <c r="B261" s="15"/>
      <c r="C261" s="16"/>
      <c r="D261" s="17"/>
      <c r="E261" s="12"/>
      <c r="F261" s="18"/>
      <c r="G261" s="19"/>
      <c r="H261" s="13"/>
      <c r="I261" s="19"/>
      <c r="J261" s="13"/>
      <c r="K261" s="19"/>
      <c r="L261" s="13"/>
      <c r="M261" s="19"/>
      <c r="N261" s="13"/>
    </row>
    <row r="262" spans="1:14">
      <c r="A262" s="14"/>
      <c r="B262" s="15"/>
      <c r="C262" s="16"/>
      <c r="D262" s="17"/>
      <c r="E262" s="12"/>
      <c r="F262" s="18"/>
      <c r="G262" s="19"/>
      <c r="H262" s="13"/>
      <c r="I262" s="19"/>
      <c r="J262" s="13"/>
      <c r="K262" s="19"/>
      <c r="L262" s="13"/>
      <c r="M262" s="19"/>
      <c r="N262" s="13"/>
    </row>
    <row r="263" spans="1:14">
      <c r="A263" s="14"/>
      <c r="B263" s="15"/>
      <c r="C263" s="16"/>
      <c r="D263" s="17"/>
      <c r="E263" s="12"/>
      <c r="F263" s="18"/>
      <c r="G263" s="19"/>
      <c r="H263" s="13"/>
      <c r="I263" s="19"/>
      <c r="J263" s="13"/>
      <c r="K263" s="19"/>
      <c r="L263" s="13"/>
      <c r="M263" s="19"/>
      <c r="N263" s="13"/>
    </row>
    <row r="264" spans="1:14">
      <c r="A264" s="14"/>
      <c r="B264" s="15"/>
      <c r="C264" s="16"/>
      <c r="D264" s="17"/>
      <c r="E264" s="12"/>
      <c r="F264" s="18"/>
      <c r="G264" s="19"/>
      <c r="H264" s="13"/>
      <c r="I264" s="19"/>
      <c r="J264" s="13"/>
      <c r="K264" s="19"/>
      <c r="L264" s="13"/>
      <c r="M264" s="19"/>
      <c r="N264" s="13"/>
    </row>
    <row r="265" spans="1:14">
      <c r="A265" s="14"/>
      <c r="B265" s="15"/>
      <c r="C265" s="16"/>
      <c r="D265" s="17"/>
      <c r="E265" s="12"/>
      <c r="F265" s="18"/>
      <c r="G265" s="19"/>
      <c r="H265" s="13"/>
      <c r="I265" s="19"/>
      <c r="J265" s="13"/>
      <c r="K265" s="19"/>
      <c r="L265" s="13"/>
      <c r="M265" s="19"/>
      <c r="N265" s="13"/>
    </row>
    <row r="266" spans="1:14">
      <c r="A266" s="14"/>
      <c r="B266" s="15"/>
      <c r="C266" s="16"/>
      <c r="D266" s="17"/>
      <c r="E266" s="12"/>
      <c r="F266" s="18"/>
      <c r="G266" s="19"/>
      <c r="H266" s="13"/>
      <c r="I266" s="19"/>
      <c r="J266" s="13"/>
      <c r="K266" s="19"/>
      <c r="L266" s="13"/>
      <c r="M266" s="19"/>
      <c r="N266" s="13"/>
    </row>
    <row r="267" spans="1:14">
      <c r="A267" s="14"/>
      <c r="B267" s="15"/>
      <c r="C267" s="16"/>
      <c r="D267" s="17"/>
      <c r="E267" s="12"/>
      <c r="F267" s="18"/>
      <c r="G267" s="19"/>
      <c r="H267" s="13"/>
      <c r="I267" s="19"/>
      <c r="J267" s="13"/>
      <c r="K267" s="19"/>
      <c r="L267" s="13"/>
      <c r="M267" s="19"/>
      <c r="N267" s="13"/>
    </row>
    <row r="268" spans="1:14">
      <c r="A268" s="14"/>
      <c r="B268" s="15"/>
      <c r="C268" s="16"/>
      <c r="D268" s="17"/>
      <c r="E268" s="12"/>
      <c r="F268" s="18"/>
      <c r="G268" s="19"/>
      <c r="H268" s="13"/>
      <c r="I268" s="19"/>
      <c r="J268" s="13"/>
      <c r="K268" s="19"/>
      <c r="L268" s="13"/>
      <c r="M268" s="19"/>
      <c r="N268" s="13"/>
    </row>
    <row r="269" spans="1:14">
      <c r="A269" s="14"/>
      <c r="B269" s="15"/>
      <c r="C269" s="16"/>
      <c r="D269" s="17"/>
      <c r="E269" s="12"/>
      <c r="F269" s="18"/>
      <c r="G269" s="19"/>
      <c r="H269" s="13"/>
      <c r="I269" s="19"/>
      <c r="J269" s="13"/>
      <c r="K269" s="19"/>
      <c r="L269" s="13"/>
      <c r="M269" s="19"/>
      <c r="N269" s="13"/>
    </row>
    <row r="270" spans="1:14">
      <c r="A270" s="14"/>
      <c r="B270" s="15"/>
      <c r="C270" s="16"/>
      <c r="D270" s="17"/>
      <c r="E270" s="12"/>
      <c r="F270" s="18"/>
      <c r="G270" s="19"/>
      <c r="H270" s="13"/>
      <c r="I270" s="19"/>
      <c r="J270" s="13"/>
      <c r="K270" s="19"/>
      <c r="L270" s="13"/>
      <c r="M270" s="19"/>
      <c r="N270" s="13"/>
    </row>
    <row r="271" spans="1:14">
      <c r="A271" s="14"/>
      <c r="B271" s="15"/>
      <c r="C271" s="16"/>
      <c r="D271" s="17"/>
      <c r="E271" s="12"/>
      <c r="F271" s="18"/>
      <c r="G271" s="19"/>
      <c r="H271" s="13"/>
      <c r="I271" s="19"/>
      <c r="J271" s="13"/>
      <c r="K271" s="19"/>
      <c r="L271" s="13"/>
      <c r="M271" s="19"/>
      <c r="N271" s="13"/>
    </row>
    <row r="272" spans="1:14">
      <c r="A272" s="14"/>
      <c r="B272" s="15"/>
      <c r="C272" s="16"/>
      <c r="D272" s="17"/>
      <c r="E272" s="12"/>
      <c r="F272" s="18"/>
      <c r="G272" s="19"/>
      <c r="H272" s="13"/>
      <c r="I272" s="19"/>
      <c r="J272" s="13"/>
      <c r="K272" s="19"/>
      <c r="L272" s="13"/>
      <c r="M272" s="19"/>
      <c r="N272" s="13"/>
    </row>
    <row r="273" spans="1:14">
      <c r="A273" s="14"/>
      <c r="B273" s="15"/>
      <c r="C273" s="16"/>
      <c r="D273" s="17"/>
      <c r="E273" s="12"/>
      <c r="F273" s="18"/>
      <c r="G273" s="19"/>
      <c r="H273" s="13"/>
      <c r="I273" s="19"/>
      <c r="J273" s="13"/>
      <c r="K273" s="19"/>
      <c r="L273" s="13"/>
      <c r="M273" s="19"/>
      <c r="N273" s="13"/>
    </row>
    <row r="274" spans="1:14">
      <c r="A274" s="14"/>
      <c r="B274" s="15"/>
      <c r="C274" s="16"/>
      <c r="D274" s="17"/>
      <c r="E274" s="12"/>
      <c r="F274" s="18"/>
      <c r="G274" s="19"/>
      <c r="H274" s="13"/>
      <c r="I274" s="19"/>
      <c r="J274" s="13"/>
      <c r="K274" s="19"/>
      <c r="L274" s="13"/>
      <c r="M274" s="19"/>
      <c r="N274" s="13"/>
    </row>
    <row r="275" spans="1:14">
      <c r="A275" s="14"/>
      <c r="B275" s="15"/>
      <c r="C275" s="16"/>
      <c r="D275" s="17"/>
      <c r="E275" s="12"/>
      <c r="F275" s="18"/>
      <c r="G275" s="19"/>
      <c r="H275" s="13"/>
      <c r="I275" s="19"/>
      <c r="J275" s="13"/>
      <c r="K275" s="19"/>
      <c r="L275" s="13"/>
      <c r="M275" s="19"/>
      <c r="N275" s="13"/>
    </row>
    <row r="276" spans="1:14">
      <c r="A276" s="14"/>
      <c r="B276" s="15"/>
      <c r="C276" s="16"/>
      <c r="D276" s="17"/>
      <c r="E276" s="12"/>
      <c r="F276" s="18"/>
      <c r="G276" s="19"/>
      <c r="H276" s="13"/>
      <c r="I276" s="19"/>
      <c r="J276" s="13"/>
      <c r="K276" s="19"/>
      <c r="L276" s="13"/>
      <c r="M276" s="19"/>
      <c r="N276" s="13"/>
    </row>
    <row r="277" spans="1:14">
      <c r="A277" s="14"/>
      <c r="B277" s="15"/>
      <c r="C277" s="16"/>
      <c r="D277" s="17"/>
      <c r="E277" s="12"/>
      <c r="F277" s="18"/>
      <c r="G277" s="19"/>
      <c r="H277" s="13"/>
      <c r="I277" s="19"/>
      <c r="J277" s="13"/>
      <c r="K277" s="19"/>
      <c r="L277" s="13"/>
      <c r="M277" s="19"/>
      <c r="N277" s="13"/>
    </row>
    <row r="278" spans="1:14">
      <c r="A278" s="14"/>
      <c r="B278" s="15"/>
      <c r="C278" s="16"/>
      <c r="D278" s="17"/>
      <c r="E278" s="12"/>
      <c r="F278" s="18"/>
      <c r="G278" s="19"/>
      <c r="H278" s="13"/>
      <c r="I278" s="19"/>
      <c r="J278" s="13"/>
      <c r="K278" s="19"/>
      <c r="L278" s="13"/>
      <c r="M278" s="19"/>
      <c r="N278" s="13"/>
    </row>
    <row r="279" spans="1:14">
      <c r="A279" s="14"/>
      <c r="B279" s="15"/>
      <c r="C279" s="16"/>
      <c r="D279" s="17"/>
      <c r="E279" s="12"/>
      <c r="F279" s="18"/>
      <c r="G279" s="19"/>
      <c r="H279" s="13"/>
      <c r="I279" s="19"/>
      <c r="J279" s="13"/>
      <c r="K279" s="19"/>
      <c r="L279" s="13"/>
      <c r="M279" s="19"/>
      <c r="N279" s="13"/>
    </row>
    <row r="280" spans="1:14">
      <c r="A280" s="14"/>
      <c r="B280" s="15"/>
      <c r="C280" s="16"/>
      <c r="D280" s="17"/>
      <c r="E280" s="12"/>
      <c r="F280" s="18"/>
      <c r="G280" s="19"/>
      <c r="H280" s="13"/>
      <c r="I280" s="19"/>
      <c r="J280" s="13"/>
      <c r="K280" s="19"/>
      <c r="L280" s="13"/>
      <c r="M280" s="19"/>
      <c r="N280" s="13"/>
    </row>
    <row r="281" spans="1:14">
      <c r="A281" s="14"/>
      <c r="B281" s="15"/>
      <c r="C281" s="16"/>
      <c r="D281" s="17"/>
      <c r="E281" s="12"/>
      <c r="F281" s="18"/>
      <c r="G281" s="19"/>
      <c r="H281" s="13"/>
      <c r="I281" s="19"/>
      <c r="J281" s="13"/>
      <c r="K281" s="19"/>
      <c r="L281" s="13"/>
      <c r="M281" s="19"/>
      <c r="N281" s="13"/>
    </row>
    <row r="282" spans="1:14">
      <c r="A282" s="14"/>
      <c r="B282" s="15"/>
      <c r="C282" s="16"/>
      <c r="D282" s="17"/>
      <c r="E282" s="12"/>
      <c r="F282" s="18"/>
      <c r="G282" s="19"/>
      <c r="H282" s="13"/>
      <c r="I282" s="19"/>
      <c r="J282" s="13"/>
      <c r="K282" s="19"/>
      <c r="L282" s="13"/>
      <c r="M282" s="19"/>
      <c r="N282" s="13"/>
    </row>
    <row r="283" spans="1:14">
      <c r="A283" s="14"/>
      <c r="B283" s="15"/>
      <c r="C283" s="16"/>
      <c r="D283" s="17"/>
      <c r="E283" s="12"/>
      <c r="F283" s="18"/>
      <c r="G283" s="19"/>
      <c r="H283" s="13"/>
      <c r="I283" s="19"/>
      <c r="J283" s="13"/>
      <c r="K283" s="19"/>
      <c r="L283" s="13"/>
      <c r="M283" s="19"/>
      <c r="N283" s="13"/>
    </row>
    <row r="284" spans="1:14">
      <c r="A284" s="14"/>
      <c r="B284" s="15"/>
      <c r="C284" s="16"/>
      <c r="D284" s="17"/>
      <c r="E284" s="12"/>
      <c r="F284" s="18"/>
      <c r="G284" s="19"/>
      <c r="H284" s="13"/>
      <c r="I284" s="19"/>
      <c r="J284" s="13"/>
      <c r="K284" s="19"/>
      <c r="L284" s="13"/>
      <c r="M284" s="19"/>
      <c r="N284" s="13"/>
    </row>
    <row r="285" spans="1:14">
      <c r="A285" s="14"/>
      <c r="B285" s="15"/>
      <c r="C285" s="16"/>
      <c r="D285" s="17"/>
      <c r="E285" s="12"/>
      <c r="F285" s="18"/>
      <c r="G285" s="19"/>
      <c r="H285" s="13"/>
      <c r="I285" s="19"/>
      <c r="J285" s="13"/>
      <c r="K285" s="19"/>
      <c r="L285" s="13"/>
      <c r="M285" s="19"/>
      <c r="N285" s="13"/>
    </row>
    <row r="286" spans="1:14">
      <c r="A286" s="14"/>
      <c r="B286" s="15"/>
      <c r="C286" s="16"/>
      <c r="D286" s="17"/>
      <c r="E286" s="12"/>
      <c r="F286" s="18"/>
      <c r="G286" s="19"/>
      <c r="H286" s="13"/>
      <c r="I286" s="19"/>
      <c r="J286" s="13"/>
      <c r="K286" s="19"/>
      <c r="L286" s="13"/>
      <c r="M286" s="19"/>
      <c r="N286" s="13"/>
    </row>
    <row r="287" spans="1:14">
      <c r="A287" s="14"/>
      <c r="B287" s="15"/>
      <c r="C287" s="16"/>
      <c r="D287" s="17"/>
      <c r="E287" s="12"/>
      <c r="F287" s="18"/>
      <c r="G287" s="19"/>
      <c r="H287" s="13"/>
      <c r="I287" s="19"/>
      <c r="J287" s="13"/>
      <c r="K287" s="19"/>
      <c r="L287" s="13"/>
      <c r="M287" s="19"/>
      <c r="N287" s="13"/>
    </row>
    <row r="288" spans="1:14">
      <c r="A288" s="14"/>
      <c r="B288" s="15"/>
      <c r="C288" s="16"/>
      <c r="D288" s="17"/>
      <c r="E288" s="12"/>
      <c r="F288" s="18"/>
      <c r="G288" s="19"/>
      <c r="H288" s="13"/>
      <c r="I288" s="19"/>
      <c r="J288" s="13"/>
      <c r="K288" s="19"/>
      <c r="L288" s="13"/>
      <c r="M288" s="19"/>
      <c r="N288" s="13"/>
    </row>
    <row r="289" spans="1:14">
      <c r="A289" s="14"/>
      <c r="B289" s="15"/>
      <c r="C289" s="16"/>
      <c r="D289" s="17"/>
      <c r="E289" s="12"/>
      <c r="F289" s="18"/>
      <c r="G289" s="19"/>
      <c r="H289" s="13"/>
      <c r="I289" s="19"/>
      <c r="J289" s="13"/>
      <c r="K289" s="19"/>
      <c r="L289" s="13"/>
      <c r="M289" s="19"/>
      <c r="N289" s="13"/>
    </row>
    <row r="290" spans="1:14">
      <c r="A290" s="14"/>
      <c r="B290" s="15"/>
      <c r="C290" s="16"/>
      <c r="D290" s="17"/>
      <c r="E290" s="12"/>
      <c r="F290" s="18"/>
      <c r="G290" s="19"/>
      <c r="H290" s="13"/>
      <c r="I290" s="19"/>
      <c r="J290" s="13"/>
      <c r="K290" s="19"/>
      <c r="L290" s="13"/>
      <c r="M290" s="19"/>
      <c r="N290" s="13"/>
    </row>
    <row r="291" spans="1:14">
      <c r="A291" s="14"/>
      <c r="B291" s="15"/>
      <c r="C291" s="16"/>
      <c r="D291" s="17"/>
      <c r="E291" s="12"/>
      <c r="F291" s="18"/>
      <c r="G291" s="19"/>
      <c r="H291" s="13"/>
      <c r="I291" s="19"/>
      <c r="J291" s="13"/>
      <c r="K291" s="19"/>
      <c r="L291" s="13"/>
      <c r="M291" s="19"/>
      <c r="N291" s="13"/>
    </row>
    <row r="292" spans="1:14">
      <c r="A292" s="14"/>
      <c r="B292" s="15"/>
      <c r="C292" s="16"/>
      <c r="D292" s="17"/>
      <c r="E292" s="12"/>
      <c r="F292" s="18"/>
      <c r="G292" s="19"/>
      <c r="H292" s="13"/>
      <c r="I292" s="19"/>
      <c r="J292" s="13"/>
      <c r="K292" s="19"/>
      <c r="L292" s="13"/>
      <c r="M292" s="19"/>
      <c r="N292" s="13"/>
    </row>
    <row r="293" spans="1:14">
      <c r="A293" s="14"/>
      <c r="B293" s="15"/>
      <c r="C293" s="16"/>
      <c r="D293" s="17"/>
      <c r="E293" s="12"/>
      <c r="F293" s="18"/>
      <c r="G293" s="19"/>
      <c r="H293" s="13"/>
      <c r="I293" s="19"/>
      <c r="J293" s="13"/>
      <c r="K293" s="19"/>
      <c r="L293" s="13"/>
      <c r="M293" s="19"/>
      <c r="N293" s="13"/>
    </row>
    <row r="294" spans="1:14">
      <c r="A294" s="14"/>
      <c r="B294" s="15"/>
      <c r="C294" s="16"/>
      <c r="D294" s="17"/>
      <c r="E294" s="12"/>
      <c r="F294" s="18"/>
      <c r="G294" s="19"/>
      <c r="H294" s="13"/>
      <c r="I294" s="19"/>
      <c r="J294" s="13"/>
      <c r="K294" s="19"/>
      <c r="L294" s="13"/>
      <c r="M294" s="19"/>
      <c r="N294" s="13"/>
    </row>
    <row r="295" spans="1:14">
      <c r="A295" s="14"/>
      <c r="B295" s="15"/>
      <c r="C295" s="16"/>
      <c r="D295" s="17"/>
      <c r="E295" s="12"/>
      <c r="F295" s="18"/>
      <c r="G295" s="19"/>
      <c r="H295" s="13"/>
      <c r="I295" s="19"/>
      <c r="J295" s="13"/>
      <c r="K295" s="19"/>
      <c r="L295" s="13"/>
      <c r="M295" s="19"/>
      <c r="N295" s="13"/>
    </row>
    <row r="296" spans="1:14">
      <c r="A296" s="14"/>
      <c r="B296" s="15"/>
      <c r="C296" s="16"/>
      <c r="D296" s="17"/>
      <c r="E296" s="12"/>
      <c r="F296" s="18"/>
      <c r="G296" s="19"/>
      <c r="H296" s="13"/>
      <c r="I296" s="19"/>
      <c r="J296" s="13"/>
      <c r="K296" s="19"/>
      <c r="L296" s="13"/>
      <c r="M296" s="19"/>
      <c r="N296" s="13"/>
    </row>
    <row r="297" spans="1:14">
      <c r="A297" s="14"/>
      <c r="B297" s="15"/>
      <c r="C297" s="16"/>
      <c r="D297" s="17"/>
      <c r="E297" s="12"/>
      <c r="F297" s="18"/>
      <c r="G297" s="19"/>
      <c r="H297" s="13"/>
      <c r="I297" s="19"/>
      <c r="J297" s="13"/>
      <c r="K297" s="19"/>
      <c r="L297" s="13"/>
      <c r="M297" s="19"/>
      <c r="N297" s="13"/>
    </row>
    <row r="298" spans="1:14">
      <c r="A298" s="14"/>
      <c r="B298" s="15"/>
      <c r="C298" s="16"/>
      <c r="D298" s="17"/>
      <c r="E298" s="12"/>
      <c r="F298" s="18"/>
      <c r="G298" s="19"/>
      <c r="H298" s="13"/>
      <c r="I298" s="19"/>
      <c r="J298" s="13"/>
      <c r="K298" s="19"/>
      <c r="L298" s="13"/>
      <c r="M298" s="19"/>
      <c r="N298" s="13"/>
    </row>
    <row r="299" spans="1:14">
      <c r="A299" s="14"/>
      <c r="B299" s="15"/>
      <c r="C299" s="16"/>
      <c r="D299" s="17"/>
      <c r="E299" s="12"/>
      <c r="F299" s="18"/>
      <c r="G299" s="19"/>
      <c r="H299" s="13"/>
      <c r="I299" s="19"/>
      <c r="J299" s="13"/>
      <c r="K299" s="19"/>
      <c r="L299" s="13"/>
      <c r="M299" s="19"/>
      <c r="N299" s="13"/>
    </row>
    <row r="300" spans="1:14">
      <c r="A300" s="14"/>
      <c r="B300" s="15"/>
      <c r="C300" s="16"/>
      <c r="D300" s="17"/>
      <c r="E300" s="12"/>
      <c r="F300" s="18"/>
      <c r="G300" s="19"/>
      <c r="H300" s="13"/>
      <c r="I300" s="19"/>
      <c r="J300" s="13"/>
      <c r="K300" s="19"/>
      <c r="L300" s="13"/>
      <c r="M300" s="19"/>
      <c r="N300" s="13"/>
    </row>
    <row r="301" spans="1:14">
      <c r="A301" s="14"/>
      <c r="B301" s="15"/>
      <c r="C301" s="16"/>
      <c r="D301" s="17"/>
      <c r="E301" s="12"/>
      <c r="F301" s="18"/>
      <c r="G301" s="19"/>
      <c r="H301" s="13"/>
      <c r="I301" s="19"/>
      <c r="J301" s="13"/>
      <c r="K301" s="19"/>
      <c r="L301" s="13"/>
      <c r="M301" s="19"/>
      <c r="N301" s="13"/>
    </row>
    <row r="302" spans="1:14">
      <c r="A302" s="14"/>
      <c r="B302" s="15"/>
      <c r="C302" s="16"/>
      <c r="D302" s="17"/>
      <c r="E302" s="12"/>
      <c r="F302" s="18"/>
      <c r="G302" s="19"/>
      <c r="H302" s="13"/>
      <c r="I302" s="19"/>
      <c r="J302" s="13"/>
      <c r="K302" s="19"/>
      <c r="L302" s="13"/>
      <c r="M302" s="19"/>
      <c r="N302" s="13"/>
    </row>
    <row r="303" spans="1:14">
      <c r="A303" s="14"/>
      <c r="B303" s="15"/>
      <c r="C303" s="16"/>
      <c r="D303" s="17"/>
      <c r="E303" s="12"/>
      <c r="F303" s="18"/>
      <c r="G303" s="19"/>
      <c r="H303" s="13"/>
      <c r="I303" s="19"/>
      <c r="J303" s="13"/>
      <c r="K303" s="19"/>
      <c r="L303" s="13"/>
      <c r="M303" s="19"/>
      <c r="N303" s="13"/>
    </row>
    <row r="304" spans="1:14">
      <c r="A304" s="14"/>
      <c r="B304" s="15"/>
      <c r="C304" s="16"/>
      <c r="D304" s="17"/>
      <c r="E304" s="12"/>
      <c r="F304" s="18"/>
      <c r="G304" s="19"/>
      <c r="H304" s="13"/>
      <c r="I304" s="19"/>
      <c r="J304" s="13"/>
      <c r="K304" s="19"/>
      <c r="L304" s="13"/>
      <c r="M304" s="19"/>
      <c r="N304" s="13"/>
    </row>
    <row r="305" spans="1:14">
      <c r="A305" s="14"/>
      <c r="B305" s="15"/>
      <c r="C305" s="16"/>
      <c r="D305" s="17"/>
      <c r="E305" s="12"/>
      <c r="F305" s="18"/>
      <c r="G305" s="19"/>
      <c r="H305" s="13"/>
      <c r="I305" s="19"/>
      <c r="J305" s="13"/>
      <c r="K305" s="19"/>
      <c r="L305" s="13"/>
      <c r="M305" s="19"/>
      <c r="N305" s="13"/>
    </row>
    <row r="306" spans="1:14">
      <c r="A306" s="14"/>
      <c r="B306" s="15"/>
      <c r="C306" s="16"/>
      <c r="D306" s="17"/>
      <c r="E306" s="12"/>
      <c r="F306" s="18"/>
      <c r="G306" s="19"/>
      <c r="H306" s="13"/>
      <c r="I306" s="19"/>
      <c r="J306" s="13"/>
      <c r="K306" s="19"/>
      <c r="L306" s="13"/>
      <c r="M306" s="19"/>
      <c r="N306" s="13"/>
    </row>
    <row r="307" spans="1:14">
      <c r="A307" s="14"/>
      <c r="B307" s="15"/>
      <c r="C307" s="16"/>
      <c r="D307" s="17"/>
      <c r="E307" s="12"/>
      <c r="F307" s="18"/>
      <c r="G307" s="19"/>
      <c r="H307" s="13"/>
      <c r="I307" s="19"/>
      <c r="J307" s="13"/>
      <c r="K307" s="19"/>
      <c r="L307" s="13"/>
      <c r="M307" s="19"/>
      <c r="N307" s="13"/>
    </row>
    <row r="308" spans="1:14">
      <c r="A308" s="14"/>
      <c r="B308" s="15"/>
      <c r="C308" s="16"/>
      <c r="D308" s="17"/>
      <c r="E308" s="12"/>
      <c r="F308" s="18"/>
      <c r="G308" s="19"/>
      <c r="H308" s="13"/>
      <c r="I308" s="19"/>
      <c r="J308" s="13"/>
      <c r="K308" s="19"/>
      <c r="L308" s="13"/>
      <c r="M308" s="19"/>
      <c r="N308" s="13"/>
    </row>
    <row r="309" spans="1:14">
      <c r="A309" s="14"/>
      <c r="B309" s="15"/>
      <c r="C309" s="16"/>
      <c r="D309" s="17"/>
      <c r="E309" s="12"/>
      <c r="F309" s="18"/>
      <c r="G309" s="19"/>
      <c r="H309" s="13"/>
      <c r="I309" s="19"/>
      <c r="J309" s="13"/>
      <c r="K309" s="19"/>
      <c r="L309" s="13"/>
      <c r="M309" s="19"/>
      <c r="N309" s="13"/>
    </row>
    <row r="310" spans="1:14">
      <c r="A310" s="14"/>
      <c r="B310" s="15"/>
      <c r="C310" s="16"/>
      <c r="D310" s="17"/>
      <c r="E310" s="12"/>
      <c r="F310" s="18"/>
      <c r="G310" s="19"/>
      <c r="H310" s="13"/>
      <c r="I310" s="19"/>
      <c r="J310" s="13"/>
      <c r="K310" s="19"/>
      <c r="L310" s="13"/>
      <c r="M310" s="19"/>
      <c r="N310" s="13"/>
    </row>
    <row r="311" spans="1:14">
      <c r="A311" s="14"/>
      <c r="B311" s="15"/>
      <c r="C311" s="16"/>
      <c r="D311" s="17"/>
      <c r="E311" s="12"/>
      <c r="F311" s="18"/>
      <c r="G311" s="19"/>
      <c r="H311" s="13"/>
      <c r="I311" s="19"/>
      <c r="J311" s="13"/>
      <c r="K311" s="19"/>
      <c r="L311" s="13"/>
      <c r="M311" s="19"/>
      <c r="N311" s="13"/>
    </row>
    <row r="312" spans="1:14">
      <c r="A312" s="14"/>
      <c r="B312" s="15"/>
      <c r="C312" s="16"/>
      <c r="D312" s="17"/>
      <c r="E312" s="12"/>
      <c r="F312" s="18"/>
      <c r="G312" s="19"/>
      <c r="H312" s="13"/>
      <c r="I312" s="19"/>
      <c r="J312" s="13"/>
      <c r="K312" s="19"/>
      <c r="L312" s="13"/>
      <c r="M312" s="19"/>
      <c r="N312" s="13"/>
    </row>
    <row r="313" spans="1:14">
      <c r="A313" s="14"/>
      <c r="B313" s="15"/>
      <c r="C313" s="16"/>
      <c r="D313" s="17"/>
      <c r="E313" s="12"/>
      <c r="F313" s="18"/>
      <c r="G313" s="19"/>
      <c r="H313" s="13"/>
      <c r="I313" s="19"/>
      <c r="J313" s="13"/>
      <c r="K313" s="19"/>
      <c r="L313" s="13"/>
      <c r="M313" s="19"/>
      <c r="N313" s="13"/>
    </row>
    <row r="314" spans="1:14">
      <c r="A314" s="14"/>
      <c r="B314" s="15"/>
      <c r="C314" s="16"/>
      <c r="D314" s="17"/>
      <c r="E314" s="12"/>
      <c r="F314" s="18"/>
      <c r="G314" s="19"/>
      <c r="H314" s="13"/>
      <c r="I314" s="19"/>
      <c r="J314" s="13"/>
      <c r="K314" s="19"/>
      <c r="L314" s="13"/>
      <c r="M314" s="19"/>
      <c r="N314" s="13"/>
    </row>
    <row r="315" spans="1:14">
      <c r="A315" s="14"/>
      <c r="B315" s="15"/>
      <c r="C315" s="16"/>
      <c r="D315" s="17"/>
      <c r="E315" s="12"/>
      <c r="F315" s="18"/>
      <c r="G315" s="19"/>
      <c r="H315" s="13"/>
      <c r="I315" s="19"/>
      <c r="J315" s="13"/>
      <c r="K315" s="19"/>
      <c r="L315" s="13"/>
      <c r="M315" s="19"/>
      <c r="N315" s="13"/>
    </row>
    <row r="316" spans="1:14">
      <c r="A316" s="14"/>
      <c r="B316" s="15"/>
      <c r="C316" s="16"/>
      <c r="D316" s="17"/>
      <c r="E316" s="12"/>
      <c r="F316" s="18"/>
      <c r="G316" s="19"/>
      <c r="H316" s="13"/>
      <c r="I316" s="19"/>
      <c r="J316" s="13"/>
      <c r="K316" s="19"/>
      <c r="L316" s="13"/>
      <c r="M316" s="19"/>
      <c r="N316" s="13"/>
    </row>
    <row r="317" spans="1:14">
      <c r="A317" s="14"/>
      <c r="B317" s="15"/>
      <c r="C317" s="16"/>
      <c r="D317" s="17"/>
      <c r="E317" s="12"/>
      <c r="F317" s="18"/>
      <c r="G317" s="19"/>
      <c r="H317" s="13"/>
      <c r="I317" s="19"/>
      <c r="J317" s="13"/>
      <c r="K317" s="19"/>
      <c r="L317" s="13"/>
      <c r="M317" s="19"/>
      <c r="N317" s="13"/>
    </row>
    <row r="318" spans="1:14">
      <c r="A318" s="14"/>
      <c r="B318" s="15"/>
      <c r="C318" s="16"/>
      <c r="D318" s="17"/>
      <c r="E318" s="12"/>
      <c r="F318" s="18"/>
      <c r="G318" s="19"/>
      <c r="H318" s="13"/>
      <c r="I318" s="19"/>
      <c r="J318" s="13"/>
      <c r="K318" s="19"/>
      <c r="L318" s="13"/>
      <c r="M318" s="19"/>
      <c r="N318" s="13"/>
    </row>
    <row r="319" spans="1:14">
      <c r="A319" s="14"/>
      <c r="B319" s="15"/>
      <c r="C319" s="16"/>
      <c r="D319" s="17"/>
      <c r="E319" s="12"/>
      <c r="F319" s="18"/>
      <c r="G319" s="19"/>
      <c r="H319" s="13"/>
      <c r="I319" s="19"/>
      <c r="J319" s="13"/>
      <c r="K319" s="19"/>
      <c r="L319" s="13"/>
      <c r="M319" s="19"/>
      <c r="N319" s="13"/>
    </row>
    <row r="320" spans="1:14">
      <c r="A320" s="14"/>
      <c r="B320" s="15"/>
      <c r="C320" s="16"/>
      <c r="D320" s="17"/>
      <c r="E320" s="12"/>
      <c r="F320" s="18"/>
      <c r="G320" s="19"/>
      <c r="H320" s="13"/>
      <c r="I320" s="19"/>
      <c r="J320" s="13"/>
      <c r="K320" s="19"/>
      <c r="L320" s="13"/>
      <c r="M320" s="19"/>
      <c r="N320" s="13"/>
    </row>
    <row r="321" spans="1:14">
      <c r="A321" s="14"/>
      <c r="B321" s="15"/>
      <c r="C321" s="16"/>
      <c r="D321" s="17"/>
      <c r="E321" s="12"/>
      <c r="F321" s="18"/>
      <c r="G321" s="19"/>
      <c r="H321" s="13"/>
      <c r="I321" s="19"/>
      <c r="J321" s="13"/>
      <c r="K321" s="19"/>
      <c r="L321" s="13"/>
      <c r="M321" s="19"/>
      <c r="N321" s="13"/>
    </row>
    <row r="322" spans="1:14">
      <c r="A322" s="14"/>
      <c r="B322" s="15"/>
      <c r="C322" s="16"/>
      <c r="D322" s="17"/>
      <c r="E322" s="12"/>
      <c r="F322" s="18"/>
      <c r="G322" s="19"/>
      <c r="H322" s="13"/>
      <c r="I322" s="19"/>
      <c r="J322" s="13"/>
      <c r="K322" s="19"/>
      <c r="L322" s="13"/>
      <c r="M322" s="19"/>
      <c r="N322" s="13"/>
    </row>
    <row r="323" spans="1:14">
      <c r="A323" s="14"/>
      <c r="B323" s="15"/>
      <c r="C323" s="16"/>
      <c r="D323" s="17"/>
      <c r="E323" s="12"/>
      <c r="F323" s="18"/>
      <c r="G323" s="19"/>
      <c r="H323" s="13"/>
      <c r="I323" s="19"/>
      <c r="J323" s="13"/>
      <c r="K323" s="19"/>
      <c r="L323" s="13"/>
      <c r="M323" s="19"/>
      <c r="N323" s="13"/>
    </row>
    <row r="324" spans="1:14">
      <c r="A324" s="14"/>
      <c r="B324" s="15"/>
      <c r="C324" s="16"/>
      <c r="D324" s="17"/>
      <c r="E324" s="12"/>
      <c r="F324" s="18"/>
      <c r="G324" s="19"/>
      <c r="H324" s="13"/>
      <c r="I324" s="19"/>
      <c r="J324" s="13"/>
      <c r="K324" s="19"/>
      <c r="L324" s="13"/>
      <c r="M324" s="19"/>
      <c r="N324" s="13"/>
    </row>
    <row r="325" spans="1:14">
      <c r="A325" s="14"/>
      <c r="B325" s="15"/>
      <c r="C325" s="16"/>
      <c r="D325" s="17"/>
      <c r="E325" s="12"/>
      <c r="F325" s="18"/>
      <c r="G325" s="19"/>
      <c r="H325" s="13"/>
      <c r="I325" s="19"/>
      <c r="J325" s="13"/>
      <c r="K325" s="19"/>
      <c r="L325" s="13"/>
      <c r="M325" s="19"/>
      <c r="N325" s="13"/>
    </row>
    <row r="326" spans="1:14">
      <c r="A326" s="14"/>
      <c r="B326" s="15"/>
      <c r="C326" s="16"/>
      <c r="D326" s="17"/>
      <c r="E326" s="12"/>
      <c r="F326" s="18"/>
      <c r="G326" s="19"/>
      <c r="H326" s="13"/>
      <c r="I326" s="19"/>
      <c r="J326" s="13"/>
      <c r="K326" s="19"/>
      <c r="L326" s="13"/>
      <c r="M326" s="19"/>
      <c r="N326" s="13"/>
    </row>
    <row r="327" spans="1:14">
      <c r="A327" s="14"/>
      <c r="B327" s="15"/>
      <c r="C327" s="16"/>
      <c r="D327" s="17"/>
      <c r="E327" s="12"/>
      <c r="F327" s="18"/>
      <c r="G327" s="19"/>
      <c r="H327" s="13"/>
      <c r="I327" s="19"/>
      <c r="J327" s="13"/>
      <c r="K327" s="19"/>
      <c r="L327" s="13"/>
      <c r="M327" s="19"/>
      <c r="N327" s="13"/>
    </row>
    <row r="328" spans="1:14">
      <c r="A328" s="14"/>
      <c r="B328" s="15"/>
      <c r="C328" s="16"/>
      <c r="D328" s="17"/>
      <c r="E328" s="12"/>
      <c r="F328" s="18"/>
      <c r="G328" s="19"/>
      <c r="H328" s="13"/>
      <c r="I328" s="19"/>
      <c r="J328" s="13"/>
      <c r="K328" s="19"/>
      <c r="L328" s="13"/>
      <c r="M328" s="19"/>
      <c r="N328" s="13"/>
    </row>
    <row r="329" spans="1:14">
      <c r="A329" s="14"/>
      <c r="B329" s="15"/>
      <c r="C329" s="16"/>
      <c r="D329" s="17"/>
      <c r="E329" s="12"/>
      <c r="F329" s="18"/>
      <c r="G329" s="19"/>
      <c r="H329" s="13"/>
      <c r="I329" s="19"/>
      <c r="J329" s="13"/>
      <c r="K329" s="19"/>
      <c r="L329" s="13"/>
      <c r="M329" s="19"/>
      <c r="N329" s="13"/>
    </row>
    <row r="330" spans="1:14">
      <c r="A330" s="14"/>
      <c r="B330" s="15"/>
      <c r="C330" s="16"/>
      <c r="D330" s="17"/>
      <c r="E330" s="12"/>
      <c r="F330" s="18"/>
      <c r="G330" s="19"/>
      <c r="H330" s="13"/>
      <c r="I330" s="19"/>
      <c r="J330" s="13"/>
      <c r="K330" s="19"/>
      <c r="L330" s="13"/>
      <c r="M330" s="19"/>
      <c r="N330" s="13"/>
    </row>
    <row r="331" spans="1:14">
      <c r="A331" s="14"/>
      <c r="B331" s="15"/>
      <c r="C331" s="16"/>
      <c r="D331" s="17"/>
      <c r="E331" s="12"/>
      <c r="F331" s="18"/>
      <c r="G331" s="19"/>
      <c r="H331" s="13"/>
      <c r="I331" s="19"/>
      <c r="J331" s="13"/>
      <c r="K331" s="19"/>
      <c r="L331" s="13"/>
      <c r="M331" s="19"/>
      <c r="N331" s="13"/>
    </row>
    <row r="332" spans="1:14">
      <c r="A332" s="14"/>
      <c r="B332" s="15"/>
      <c r="C332" s="16"/>
      <c r="D332" s="17"/>
      <c r="E332" s="12"/>
      <c r="F332" s="18"/>
      <c r="G332" s="19"/>
      <c r="H332" s="13"/>
      <c r="I332" s="19"/>
      <c r="J332" s="13"/>
      <c r="K332" s="19"/>
      <c r="L332" s="13"/>
      <c r="M332" s="19"/>
      <c r="N332" s="13"/>
    </row>
    <row r="333" spans="1:14">
      <c r="A333" s="14"/>
      <c r="B333" s="15"/>
      <c r="C333" s="16"/>
      <c r="D333" s="17"/>
      <c r="E333" s="12"/>
      <c r="F333" s="18"/>
      <c r="G333" s="19"/>
      <c r="H333" s="13"/>
      <c r="I333" s="19"/>
      <c r="J333" s="13"/>
      <c r="K333" s="19"/>
      <c r="L333" s="13"/>
      <c r="M333" s="19"/>
      <c r="N333" s="13"/>
    </row>
    <row r="334" spans="1:14">
      <c r="A334" s="14"/>
      <c r="B334" s="15"/>
      <c r="C334" s="16"/>
      <c r="D334" s="17"/>
      <c r="E334" s="12"/>
      <c r="F334" s="18"/>
      <c r="G334" s="19"/>
      <c r="H334" s="13"/>
      <c r="I334" s="19"/>
      <c r="J334" s="13"/>
      <c r="K334" s="19"/>
      <c r="L334" s="13"/>
      <c r="M334" s="19"/>
      <c r="N334" s="13"/>
    </row>
    <row r="335" spans="1:14">
      <c r="A335" s="14"/>
      <c r="B335" s="15"/>
      <c r="C335" s="16"/>
      <c r="D335" s="17"/>
      <c r="E335" s="12"/>
      <c r="F335" s="18"/>
      <c r="G335" s="19"/>
      <c r="H335" s="13"/>
      <c r="I335" s="19"/>
      <c r="J335" s="13"/>
      <c r="K335" s="19"/>
      <c r="L335" s="13"/>
      <c r="M335" s="19"/>
      <c r="N335" s="13"/>
    </row>
    <row r="336" spans="1:14">
      <c r="A336" s="14"/>
      <c r="B336" s="15"/>
      <c r="C336" s="16"/>
      <c r="D336" s="17"/>
      <c r="E336" s="12"/>
      <c r="F336" s="18"/>
      <c r="G336" s="19"/>
      <c r="H336" s="13"/>
      <c r="I336" s="19"/>
      <c r="J336" s="13"/>
      <c r="K336" s="19"/>
      <c r="L336" s="13"/>
      <c r="M336" s="19"/>
      <c r="N336" s="13"/>
    </row>
    <row r="337" spans="1:14">
      <c r="A337" s="14"/>
      <c r="B337" s="15"/>
      <c r="C337" s="16"/>
      <c r="D337" s="17"/>
      <c r="E337" s="12"/>
      <c r="F337" s="18"/>
      <c r="G337" s="19"/>
      <c r="H337" s="13"/>
      <c r="I337" s="19"/>
      <c r="J337" s="13"/>
      <c r="K337" s="19"/>
      <c r="L337" s="13"/>
      <c r="M337" s="19"/>
      <c r="N337" s="13"/>
    </row>
    <row r="338" spans="1:14">
      <c r="A338" s="14"/>
      <c r="B338" s="15"/>
      <c r="C338" s="16"/>
      <c r="D338" s="17"/>
      <c r="E338" s="12"/>
      <c r="F338" s="18"/>
      <c r="G338" s="19"/>
      <c r="H338" s="13"/>
      <c r="I338" s="19"/>
      <c r="J338" s="13"/>
      <c r="K338" s="19"/>
      <c r="L338" s="13"/>
      <c r="M338" s="19"/>
      <c r="N338" s="13"/>
    </row>
    <row r="339" spans="1:14">
      <c r="A339" s="14"/>
      <c r="B339" s="15"/>
      <c r="C339" s="16"/>
      <c r="D339" s="17"/>
      <c r="E339" s="12"/>
      <c r="F339" s="18"/>
      <c r="G339" s="19"/>
      <c r="H339" s="13"/>
      <c r="I339" s="19"/>
      <c r="J339" s="13"/>
      <c r="K339" s="19"/>
      <c r="L339" s="13"/>
      <c r="M339" s="19"/>
      <c r="N339" s="13"/>
    </row>
    <row r="340" spans="1:14">
      <c r="A340" s="14"/>
      <c r="B340" s="15"/>
      <c r="C340" s="16"/>
      <c r="D340" s="17"/>
      <c r="E340" s="12"/>
      <c r="F340" s="18"/>
      <c r="G340" s="19"/>
      <c r="H340" s="13"/>
      <c r="I340" s="19"/>
      <c r="J340" s="13"/>
      <c r="K340" s="19"/>
      <c r="L340" s="13"/>
      <c r="M340" s="19"/>
      <c r="N340" s="13"/>
    </row>
    <row r="341" spans="1:14">
      <c r="A341" s="14"/>
      <c r="B341" s="15"/>
      <c r="C341" s="16"/>
      <c r="D341" s="17"/>
      <c r="E341" s="12"/>
      <c r="F341" s="18"/>
      <c r="G341" s="19"/>
      <c r="H341" s="13"/>
      <c r="I341" s="19"/>
      <c r="J341" s="13"/>
      <c r="K341" s="19"/>
      <c r="L341" s="13"/>
      <c r="M341" s="19"/>
      <c r="N341" s="13"/>
    </row>
    <row r="342" spans="1:14">
      <c r="A342" s="14"/>
      <c r="B342" s="15"/>
      <c r="C342" s="16"/>
      <c r="D342" s="17"/>
      <c r="E342" s="12"/>
      <c r="F342" s="18"/>
      <c r="G342" s="19"/>
      <c r="H342" s="13"/>
      <c r="I342" s="19"/>
      <c r="J342" s="13"/>
      <c r="K342" s="19"/>
      <c r="L342" s="13"/>
      <c r="M342" s="19"/>
      <c r="N342" s="13"/>
    </row>
    <row r="343" spans="1:14">
      <c r="A343" s="14"/>
      <c r="B343" s="15"/>
      <c r="C343" s="16"/>
      <c r="D343" s="17"/>
      <c r="E343" s="12"/>
      <c r="F343" s="18"/>
      <c r="G343" s="19"/>
      <c r="H343" s="13"/>
      <c r="I343" s="19"/>
      <c r="J343" s="13"/>
      <c r="K343" s="19"/>
      <c r="L343" s="13"/>
      <c r="M343" s="19"/>
      <c r="N343" s="13"/>
    </row>
    <row r="344" spans="1:14">
      <c r="A344" s="14"/>
      <c r="B344" s="15"/>
      <c r="C344" s="16"/>
      <c r="D344" s="17"/>
      <c r="E344" s="12"/>
      <c r="F344" s="18"/>
      <c r="G344" s="19"/>
      <c r="H344" s="13"/>
      <c r="I344" s="19"/>
      <c r="J344" s="13"/>
      <c r="K344" s="19"/>
      <c r="L344" s="13"/>
      <c r="M344" s="19"/>
      <c r="N344" s="13"/>
    </row>
    <row r="345" spans="1:14">
      <c r="A345" s="14"/>
      <c r="B345" s="15"/>
      <c r="C345" s="16"/>
      <c r="D345" s="17"/>
      <c r="E345" s="12"/>
      <c r="F345" s="18"/>
      <c r="G345" s="19"/>
      <c r="H345" s="13"/>
      <c r="I345" s="19"/>
      <c r="J345" s="13"/>
      <c r="K345" s="19"/>
      <c r="L345" s="13"/>
      <c r="M345" s="19"/>
      <c r="N345" s="13"/>
    </row>
    <row r="346" spans="1:14">
      <c r="A346" s="14"/>
      <c r="B346" s="15"/>
      <c r="C346" s="16"/>
      <c r="D346" s="17"/>
      <c r="E346" s="12"/>
      <c r="F346" s="18"/>
      <c r="G346" s="19"/>
      <c r="H346" s="13"/>
      <c r="I346" s="19"/>
      <c r="J346" s="13"/>
      <c r="K346" s="19"/>
      <c r="L346" s="13"/>
      <c r="M346" s="19"/>
      <c r="N346" s="13"/>
    </row>
    <row r="347" spans="1:14">
      <c r="A347" s="14"/>
      <c r="B347" s="15"/>
      <c r="C347" s="16"/>
      <c r="D347" s="17"/>
      <c r="E347" s="12"/>
      <c r="F347" s="18"/>
      <c r="G347" s="19"/>
      <c r="H347" s="13"/>
      <c r="I347" s="19"/>
      <c r="J347" s="13"/>
      <c r="K347" s="19"/>
      <c r="L347" s="13"/>
      <c r="M347" s="19"/>
      <c r="N347" s="13"/>
    </row>
    <row r="348" spans="1:14">
      <c r="A348" s="14"/>
      <c r="B348" s="15"/>
      <c r="C348" s="16"/>
      <c r="D348" s="17"/>
      <c r="E348" s="12"/>
      <c r="F348" s="18"/>
      <c r="G348" s="19"/>
      <c r="H348" s="13"/>
      <c r="I348" s="19"/>
      <c r="J348" s="13"/>
      <c r="K348" s="19"/>
      <c r="L348" s="13"/>
      <c r="M348" s="19"/>
      <c r="N348" s="13"/>
    </row>
    <row r="349" spans="1:14">
      <c r="A349" s="14"/>
      <c r="B349" s="15"/>
      <c r="C349" s="16"/>
      <c r="D349" s="17"/>
      <c r="E349" s="12"/>
      <c r="F349" s="18"/>
      <c r="G349" s="19"/>
      <c r="H349" s="13"/>
      <c r="I349" s="19"/>
      <c r="J349" s="13"/>
      <c r="K349" s="19"/>
      <c r="L349" s="13"/>
      <c r="M349" s="19"/>
      <c r="N349" s="13"/>
    </row>
    <row r="350" spans="1:14">
      <c r="A350" s="14"/>
      <c r="B350" s="15"/>
      <c r="C350" s="16"/>
      <c r="D350" s="17"/>
      <c r="E350" s="12"/>
      <c r="F350" s="18"/>
      <c r="G350" s="19"/>
      <c r="H350" s="13"/>
      <c r="I350" s="19"/>
      <c r="J350" s="13"/>
      <c r="K350" s="19"/>
      <c r="L350" s="13"/>
      <c r="M350" s="19"/>
      <c r="N350" s="13"/>
    </row>
    <row r="351" spans="1:14">
      <c r="A351" s="14"/>
      <c r="B351" s="15"/>
      <c r="C351" s="16"/>
      <c r="D351" s="17"/>
      <c r="E351" s="12"/>
      <c r="F351" s="18"/>
      <c r="G351" s="19"/>
      <c r="H351" s="13"/>
      <c r="I351" s="19"/>
      <c r="J351" s="13"/>
      <c r="K351" s="19"/>
      <c r="L351" s="13"/>
      <c r="M351" s="19"/>
      <c r="N351" s="13"/>
    </row>
    <row r="352" spans="1:14">
      <c r="A352" s="14"/>
      <c r="B352" s="15"/>
      <c r="C352" s="16"/>
      <c r="D352" s="17"/>
      <c r="E352" s="12"/>
      <c r="F352" s="18"/>
      <c r="G352" s="19"/>
      <c r="H352" s="13"/>
      <c r="I352" s="19"/>
      <c r="J352" s="13"/>
      <c r="K352" s="19"/>
      <c r="L352" s="13"/>
      <c r="M352" s="19"/>
      <c r="N352" s="13"/>
    </row>
    <row r="353" spans="1:14">
      <c r="A353" s="14"/>
      <c r="B353" s="15"/>
      <c r="C353" s="16"/>
      <c r="D353" s="17"/>
      <c r="E353" s="12"/>
      <c r="F353" s="18"/>
      <c r="G353" s="19"/>
      <c r="H353" s="13"/>
      <c r="I353" s="19"/>
      <c r="J353" s="13"/>
      <c r="K353" s="19"/>
      <c r="L353" s="13"/>
      <c r="M353" s="19"/>
      <c r="N353" s="13"/>
    </row>
    <row r="354" spans="1:14">
      <c r="A354" s="14"/>
      <c r="B354" s="15"/>
      <c r="C354" s="16"/>
      <c r="D354" s="17"/>
      <c r="E354" s="12"/>
      <c r="F354" s="18"/>
      <c r="G354" s="19"/>
      <c r="H354" s="13"/>
      <c r="I354" s="19"/>
      <c r="J354" s="13"/>
      <c r="K354" s="19"/>
      <c r="L354" s="13"/>
      <c r="M354" s="19"/>
      <c r="N354" s="13"/>
    </row>
    <row r="355" spans="1:14">
      <c r="A355" s="14"/>
      <c r="B355" s="15"/>
      <c r="C355" s="16"/>
      <c r="D355" s="17"/>
      <c r="E355" s="12"/>
      <c r="F355" s="18"/>
      <c r="G355" s="19"/>
      <c r="H355" s="13"/>
      <c r="I355" s="19"/>
      <c r="J355" s="13"/>
      <c r="K355" s="19"/>
      <c r="L355" s="13"/>
      <c r="M355" s="19"/>
      <c r="N355" s="13"/>
    </row>
    <row r="356" spans="1:14">
      <c r="A356" s="14"/>
      <c r="B356" s="15"/>
      <c r="C356" s="16"/>
      <c r="D356" s="17"/>
      <c r="E356" s="12"/>
      <c r="F356" s="18"/>
      <c r="G356" s="19"/>
      <c r="H356" s="13"/>
      <c r="I356" s="19"/>
      <c r="J356" s="13"/>
      <c r="K356" s="19"/>
      <c r="L356" s="13"/>
      <c r="M356" s="19"/>
      <c r="N356" s="13"/>
    </row>
    <row r="357" spans="1:14">
      <c r="A357" s="14"/>
      <c r="B357" s="15"/>
      <c r="C357" s="16"/>
      <c r="D357" s="17"/>
      <c r="E357" s="12"/>
      <c r="F357" s="18"/>
      <c r="G357" s="19"/>
      <c r="H357" s="13"/>
      <c r="I357" s="19"/>
      <c r="J357" s="13"/>
      <c r="K357" s="19"/>
      <c r="L357" s="13"/>
      <c r="M357" s="19"/>
      <c r="N357" s="13"/>
    </row>
    <row r="358" spans="1:14">
      <c r="A358" s="14"/>
      <c r="B358" s="15"/>
      <c r="C358" s="16"/>
      <c r="D358" s="17"/>
      <c r="E358" s="12"/>
      <c r="F358" s="18"/>
      <c r="G358" s="19"/>
      <c r="H358" s="13"/>
      <c r="I358" s="19"/>
      <c r="J358" s="13"/>
      <c r="K358" s="19"/>
      <c r="L358" s="13"/>
      <c r="M358" s="19"/>
      <c r="N358" s="13"/>
    </row>
    <row r="359" spans="1:14">
      <c r="A359" s="14"/>
      <c r="B359" s="15"/>
      <c r="C359" s="16"/>
      <c r="D359" s="17"/>
      <c r="E359" s="12"/>
      <c r="F359" s="18"/>
      <c r="G359" s="19"/>
      <c r="H359" s="13"/>
      <c r="I359" s="19"/>
      <c r="J359" s="13"/>
      <c r="K359" s="19"/>
      <c r="L359" s="13"/>
      <c r="M359" s="19"/>
      <c r="N359" s="13"/>
    </row>
    <row r="360" spans="1:14">
      <c r="A360" s="14"/>
      <c r="B360" s="15"/>
      <c r="C360" s="16"/>
      <c r="D360" s="17"/>
      <c r="E360" s="12"/>
      <c r="F360" s="18"/>
      <c r="G360" s="19"/>
      <c r="H360" s="13"/>
      <c r="I360" s="19"/>
      <c r="J360" s="13"/>
      <c r="K360" s="19"/>
      <c r="L360" s="13"/>
      <c r="M360" s="19"/>
      <c r="N360" s="13"/>
    </row>
    <row r="361" spans="1:14">
      <c r="A361" s="14"/>
      <c r="B361" s="15"/>
      <c r="C361" s="16"/>
      <c r="D361" s="17"/>
      <c r="E361" s="12"/>
      <c r="F361" s="18"/>
      <c r="G361" s="19"/>
      <c r="H361" s="13"/>
      <c r="I361" s="19"/>
      <c r="J361" s="13"/>
      <c r="K361" s="19"/>
      <c r="L361" s="13"/>
      <c r="M361" s="19"/>
      <c r="N361" s="13"/>
    </row>
    <row r="362" spans="1:14">
      <c r="A362" s="14"/>
      <c r="B362" s="15"/>
      <c r="C362" s="16"/>
      <c r="D362" s="17"/>
      <c r="E362" s="12"/>
      <c r="F362" s="18"/>
      <c r="G362" s="19"/>
      <c r="H362" s="13"/>
      <c r="I362" s="19"/>
      <c r="J362" s="13"/>
      <c r="K362" s="19"/>
      <c r="L362" s="13"/>
      <c r="M362" s="19"/>
      <c r="N362" s="13"/>
    </row>
    <row r="363" spans="1:14">
      <c r="A363" s="14"/>
      <c r="B363" s="15"/>
      <c r="C363" s="16"/>
      <c r="D363" s="17"/>
      <c r="E363" s="12"/>
      <c r="F363" s="18"/>
      <c r="G363" s="19"/>
      <c r="H363" s="13"/>
      <c r="I363" s="19"/>
      <c r="J363" s="13"/>
      <c r="K363" s="19"/>
      <c r="L363" s="13"/>
      <c r="M363" s="19"/>
      <c r="N363" s="13"/>
    </row>
    <row r="364" spans="1:14">
      <c r="A364" s="14"/>
      <c r="B364" s="15"/>
      <c r="C364" s="16"/>
      <c r="D364" s="17"/>
      <c r="E364" s="12"/>
      <c r="F364" s="18"/>
      <c r="G364" s="19"/>
      <c r="H364" s="13"/>
      <c r="I364" s="19"/>
      <c r="J364" s="13"/>
      <c r="K364" s="19"/>
      <c r="L364" s="13"/>
      <c r="M364" s="19"/>
      <c r="N364" s="13"/>
    </row>
    <row r="365" spans="1:14">
      <c r="A365" s="14"/>
      <c r="B365" s="15"/>
      <c r="C365" s="16"/>
      <c r="D365" s="17"/>
      <c r="E365" s="12"/>
      <c r="F365" s="18"/>
      <c r="G365" s="19"/>
      <c r="H365" s="13"/>
      <c r="I365" s="19"/>
      <c r="J365" s="13"/>
      <c r="K365" s="19"/>
      <c r="L365" s="13"/>
      <c r="M365" s="19"/>
      <c r="N365" s="13"/>
    </row>
    <row r="366" spans="1:14">
      <c r="A366" s="14"/>
      <c r="B366" s="15"/>
      <c r="C366" s="16"/>
      <c r="D366" s="17"/>
      <c r="E366" s="12"/>
      <c r="F366" s="18"/>
      <c r="G366" s="19"/>
      <c r="H366" s="13"/>
      <c r="I366" s="19"/>
      <c r="J366" s="13"/>
      <c r="K366" s="19"/>
      <c r="L366" s="13"/>
      <c r="M366" s="19"/>
      <c r="N366" s="13"/>
    </row>
    <row r="367" spans="1:14">
      <c r="A367" s="14"/>
      <c r="B367" s="15"/>
      <c r="C367" s="16"/>
      <c r="D367" s="17"/>
      <c r="E367" s="12"/>
      <c r="F367" s="18"/>
      <c r="G367" s="19"/>
      <c r="H367" s="13"/>
      <c r="I367" s="19"/>
      <c r="J367" s="13"/>
      <c r="K367" s="19"/>
      <c r="L367" s="13"/>
      <c r="M367" s="19"/>
      <c r="N367" s="13"/>
    </row>
    <row r="368" spans="1:14">
      <c r="A368" s="14"/>
      <c r="B368" s="15"/>
      <c r="C368" s="16"/>
      <c r="D368" s="17"/>
      <c r="E368" s="12"/>
      <c r="F368" s="18"/>
      <c r="G368" s="19"/>
      <c r="H368" s="13"/>
      <c r="I368" s="19"/>
      <c r="J368" s="13"/>
      <c r="K368" s="19"/>
      <c r="L368" s="13"/>
      <c r="M368" s="19"/>
      <c r="N368" s="13"/>
    </row>
    <row r="369" spans="1:14">
      <c r="A369" s="14"/>
      <c r="B369" s="15"/>
      <c r="C369" s="16"/>
      <c r="D369" s="17"/>
      <c r="E369" s="12"/>
      <c r="F369" s="18"/>
      <c r="G369" s="19"/>
      <c r="H369" s="13"/>
      <c r="I369" s="19"/>
      <c r="J369" s="13"/>
      <c r="K369" s="19"/>
      <c r="L369" s="13"/>
      <c r="M369" s="19"/>
      <c r="N369" s="13"/>
    </row>
    <row r="370" spans="1:14">
      <c r="A370" s="14"/>
      <c r="B370" s="15"/>
      <c r="C370" s="16"/>
      <c r="D370" s="17"/>
      <c r="E370" s="12"/>
      <c r="F370" s="18"/>
      <c r="G370" s="19"/>
      <c r="H370" s="13"/>
      <c r="I370" s="19"/>
      <c r="J370" s="13"/>
      <c r="K370" s="19"/>
      <c r="L370" s="13"/>
      <c r="M370" s="19"/>
      <c r="N370" s="13"/>
    </row>
    <row r="371" spans="1:14">
      <c r="A371" s="14"/>
      <c r="B371" s="15"/>
      <c r="C371" s="16"/>
      <c r="D371" s="17"/>
      <c r="E371" s="12"/>
      <c r="F371" s="18"/>
      <c r="G371" s="19"/>
      <c r="H371" s="13"/>
      <c r="I371" s="19"/>
      <c r="J371" s="13"/>
      <c r="K371" s="19"/>
      <c r="L371" s="13"/>
      <c r="M371" s="19"/>
      <c r="N371" s="13"/>
    </row>
    <row r="372" spans="1:14">
      <c r="A372" s="14"/>
      <c r="B372" s="15"/>
      <c r="C372" s="16"/>
      <c r="D372" s="17"/>
      <c r="E372" s="12"/>
      <c r="F372" s="18"/>
      <c r="G372" s="19"/>
      <c r="H372" s="13"/>
      <c r="I372" s="19"/>
      <c r="J372" s="13"/>
      <c r="K372" s="19"/>
      <c r="L372" s="13"/>
      <c r="M372" s="19"/>
      <c r="N372" s="13"/>
    </row>
    <row r="373" spans="1:14">
      <c r="A373" s="14"/>
      <c r="B373" s="15"/>
      <c r="C373" s="16"/>
      <c r="D373" s="17"/>
      <c r="E373" s="12"/>
      <c r="F373" s="18"/>
      <c r="G373" s="19"/>
      <c r="H373" s="13"/>
      <c r="I373" s="19"/>
      <c r="J373" s="13"/>
      <c r="K373" s="19"/>
      <c r="L373" s="13"/>
      <c r="M373" s="19"/>
      <c r="N373" s="13"/>
    </row>
    <row r="374" spans="1:14">
      <c r="A374" s="14"/>
      <c r="B374" s="15"/>
      <c r="C374" s="16"/>
      <c r="D374" s="17"/>
      <c r="E374" s="12"/>
      <c r="F374" s="18"/>
      <c r="G374" s="19"/>
      <c r="H374" s="13"/>
      <c r="I374" s="19"/>
      <c r="J374" s="13"/>
      <c r="K374" s="19"/>
      <c r="L374" s="13"/>
      <c r="M374" s="19"/>
      <c r="N374" s="13"/>
    </row>
    <row r="375" spans="1:14">
      <c r="A375" s="14"/>
      <c r="B375" s="15"/>
      <c r="C375" s="16"/>
      <c r="D375" s="17"/>
      <c r="E375" s="12"/>
      <c r="F375" s="18"/>
      <c r="G375" s="19"/>
      <c r="H375" s="13"/>
      <c r="I375" s="19"/>
      <c r="J375" s="13"/>
      <c r="K375" s="19"/>
      <c r="L375" s="13"/>
      <c r="M375" s="19"/>
      <c r="N375" s="13"/>
    </row>
    <row r="376" spans="1:14">
      <c r="A376" s="14"/>
      <c r="B376" s="15"/>
      <c r="C376" s="16"/>
      <c r="D376" s="17"/>
      <c r="E376" s="12"/>
      <c r="F376" s="18"/>
      <c r="G376" s="19"/>
      <c r="H376" s="13"/>
      <c r="I376" s="19"/>
      <c r="J376" s="13"/>
      <c r="K376" s="19"/>
      <c r="L376" s="13"/>
      <c r="M376" s="19"/>
      <c r="N376" s="13"/>
    </row>
    <row r="377" spans="1:14">
      <c r="A377" s="14"/>
      <c r="B377" s="15"/>
      <c r="C377" s="16"/>
      <c r="D377" s="17"/>
      <c r="E377" s="12"/>
      <c r="F377" s="18"/>
      <c r="G377" s="19"/>
      <c r="H377" s="13"/>
      <c r="I377" s="19"/>
      <c r="J377" s="13"/>
      <c r="K377" s="19"/>
      <c r="L377" s="13"/>
      <c r="M377" s="19"/>
      <c r="N377" s="13"/>
    </row>
    <row r="378" spans="1:14">
      <c r="A378" s="14"/>
      <c r="B378" s="15"/>
      <c r="C378" s="16"/>
      <c r="D378" s="17"/>
      <c r="E378" s="12"/>
      <c r="F378" s="18"/>
      <c r="G378" s="19"/>
      <c r="H378" s="13"/>
      <c r="I378" s="19"/>
      <c r="J378" s="13"/>
      <c r="K378" s="19"/>
      <c r="L378" s="13"/>
      <c r="M378" s="19"/>
      <c r="N378" s="13"/>
    </row>
    <row r="379" spans="1:14">
      <c r="A379" s="14"/>
      <c r="B379" s="15"/>
      <c r="C379" s="16"/>
      <c r="D379" s="17"/>
      <c r="E379" s="12"/>
      <c r="F379" s="18"/>
      <c r="G379" s="19"/>
      <c r="H379" s="13"/>
      <c r="I379" s="19"/>
      <c r="J379" s="13"/>
      <c r="K379" s="19"/>
      <c r="L379" s="13"/>
      <c r="M379" s="19"/>
      <c r="N379" s="13"/>
    </row>
    <row r="380" spans="1:14">
      <c r="A380" s="14"/>
      <c r="B380" s="15"/>
      <c r="C380" s="16"/>
      <c r="D380" s="17"/>
      <c r="E380" s="12"/>
      <c r="F380" s="18"/>
      <c r="G380" s="19"/>
      <c r="H380" s="13"/>
      <c r="I380" s="19"/>
      <c r="J380" s="13"/>
      <c r="K380" s="19"/>
      <c r="L380" s="13"/>
      <c r="M380" s="19"/>
      <c r="N380" s="13"/>
    </row>
    <row r="381" spans="1:14">
      <c r="A381" s="14"/>
      <c r="B381" s="15"/>
      <c r="C381" s="16"/>
      <c r="D381" s="17"/>
      <c r="E381" s="12"/>
      <c r="F381" s="18"/>
      <c r="G381" s="19"/>
      <c r="H381" s="13"/>
      <c r="I381" s="19"/>
      <c r="J381" s="13"/>
      <c r="K381" s="19"/>
      <c r="L381" s="13"/>
      <c r="M381" s="19"/>
      <c r="N381" s="13"/>
    </row>
    <row r="382" spans="1:14">
      <c r="A382" s="14"/>
      <c r="B382" s="15"/>
      <c r="C382" s="16"/>
      <c r="D382" s="17"/>
      <c r="E382" s="12"/>
      <c r="F382" s="18"/>
      <c r="G382" s="19"/>
      <c r="H382" s="13"/>
      <c r="I382" s="19"/>
      <c r="J382" s="13"/>
      <c r="K382" s="19"/>
      <c r="L382" s="13"/>
      <c r="M382" s="19"/>
      <c r="N382" s="13"/>
    </row>
    <row r="383" spans="1:14">
      <c r="A383" s="14"/>
      <c r="B383" s="15"/>
      <c r="C383" s="16"/>
      <c r="D383" s="17"/>
      <c r="E383" s="12"/>
      <c r="F383" s="18"/>
      <c r="G383" s="19"/>
      <c r="H383" s="13"/>
      <c r="I383" s="19"/>
      <c r="J383" s="13"/>
      <c r="K383" s="19"/>
      <c r="L383" s="13"/>
      <c r="M383" s="19"/>
      <c r="N383" s="13"/>
    </row>
    <row r="384" spans="1:14">
      <c r="A384" s="14"/>
      <c r="B384" s="15"/>
      <c r="C384" s="16"/>
      <c r="D384" s="17"/>
      <c r="E384" s="12"/>
      <c r="F384" s="18"/>
      <c r="G384" s="19"/>
      <c r="H384" s="13"/>
      <c r="I384" s="19"/>
      <c r="J384" s="13"/>
      <c r="K384" s="19"/>
      <c r="L384" s="13"/>
      <c r="M384" s="19"/>
      <c r="N384" s="13"/>
    </row>
    <row r="385" spans="1:14">
      <c r="A385" s="14"/>
      <c r="B385" s="15"/>
      <c r="C385" s="16"/>
      <c r="D385" s="17"/>
      <c r="E385" s="12"/>
      <c r="F385" s="18"/>
      <c r="G385" s="19"/>
      <c r="H385" s="13"/>
      <c r="I385" s="19"/>
      <c r="J385" s="13"/>
      <c r="K385" s="19"/>
      <c r="L385" s="13"/>
      <c r="M385" s="19"/>
      <c r="N385" s="13"/>
    </row>
    <row r="386" spans="1:14">
      <c r="A386" s="14"/>
      <c r="B386" s="15"/>
      <c r="C386" s="16"/>
      <c r="D386" s="17"/>
      <c r="E386" s="12"/>
      <c r="F386" s="18"/>
      <c r="G386" s="19"/>
      <c r="H386" s="13"/>
      <c r="I386" s="19"/>
      <c r="J386" s="13"/>
      <c r="K386" s="19"/>
      <c r="L386" s="13"/>
      <c r="M386" s="19"/>
      <c r="N386" s="13"/>
    </row>
    <row r="387" spans="1:14">
      <c r="A387" s="14"/>
      <c r="B387" s="15"/>
      <c r="C387" s="16"/>
      <c r="D387" s="17"/>
      <c r="E387" s="12"/>
      <c r="F387" s="18"/>
      <c r="G387" s="19"/>
      <c r="H387" s="13"/>
      <c r="I387" s="19"/>
      <c r="J387" s="13"/>
      <c r="K387" s="19"/>
      <c r="L387" s="13"/>
      <c r="M387" s="19"/>
      <c r="N387" s="13"/>
    </row>
    <row r="388" spans="1:14">
      <c r="A388" s="14"/>
      <c r="B388" s="15"/>
      <c r="C388" s="16"/>
      <c r="D388" s="17"/>
      <c r="E388" s="12"/>
      <c r="F388" s="18"/>
      <c r="G388" s="19"/>
      <c r="H388" s="13"/>
      <c r="I388" s="19"/>
      <c r="J388" s="13"/>
      <c r="K388" s="19"/>
      <c r="L388" s="13"/>
      <c r="M388" s="19"/>
      <c r="N388" s="13"/>
    </row>
    <row r="389" spans="1:14">
      <c r="A389" s="14"/>
      <c r="B389" s="15"/>
      <c r="C389" s="16"/>
      <c r="D389" s="17"/>
      <c r="E389" s="12"/>
      <c r="F389" s="18"/>
      <c r="G389" s="19"/>
      <c r="H389" s="13"/>
      <c r="I389" s="19"/>
      <c r="J389" s="13"/>
      <c r="K389" s="19"/>
      <c r="L389" s="13"/>
      <c r="M389" s="19"/>
      <c r="N389" s="13"/>
    </row>
    <row r="390" spans="1:14">
      <c r="A390" s="14"/>
      <c r="B390" s="15"/>
      <c r="C390" s="16"/>
      <c r="D390" s="17"/>
      <c r="E390" s="12"/>
      <c r="F390" s="18"/>
      <c r="G390" s="19"/>
      <c r="H390" s="13"/>
      <c r="I390" s="19"/>
      <c r="J390" s="13"/>
      <c r="K390" s="19"/>
      <c r="L390" s="13"/>
      <c r="M390" s="19"/>
      <c r="N390" s="13"/>
    </row>
    <row r="391" spans="1:14">
      <c r="A391" s="14"/>
      <c r="B391" s="15"/>
      <c r="C391" s="16"/>
      <c r="D391" s="17"/>
      <c r="E391" s="12"/>
      <c r="F391" s="18"/>
      <c r="G391" s="19"/>
      <c r="H391" s="13"/>
      <c r="I391" s="19"/>
      <c r="J391" s="13"/>
      <c r="K391" s="19"/>
      <c r="L391" s="13"/>
      <c r="M391" s="19"/>
      <c r="N391" s="13"/>
    </row>
    <row r="392" spans="1:14">
      <c r="A392" s="14"/>
      <c r="B392" s="15"/>
      <c r="C392" s="16"/>
      <c r="D392" s="17"/>
      <c r="E392" s="12"/>
      <c r="F392" s="18"/>
      <c r="G392" s="19"/>
      <c r="H392" s="13"/>
      <c r="I392" s="19"/>
      <c r="J392" s="13"/>
      <c r="K392" s="19"/>
      <c r="L392" s="13"/>
      <c r="M392" s="19"/>
      <c r="N392" s="13"/>
    </row>
    <row r="393" spans="1:14">
      <c r="A393" s="14"/>
      <c r="B393" s="15"/>
      <c r="C393" s="16"/>
      <c r="D393" s="17"/>
      <c r="E393" s="12"/>
      <c r="F393" s="18"/>
      <c r="G393" s="19"/>
      <c r="H393" s="13"/>
      <c r="I393" s="19"/>
      <c r="J393" s="13"/>
      <c r="K393" s="19"/>
      <c r="L393" s="13"/>
      <c r="M393" s="19"/>
      <c r="N393" s="13"/>
    </row>
    <row r="394" spans="1:14">
      <c r="A394" s="14"/>
      <c r="B394" s="15"/>
      <c r="C394" s="16"/>
      <c r="D394" s="17"/>
      <c r="E394" s="12"/>
      <c r="F394" s="18"/>
      <c r="G394" s="19"/>
      <c r="H394" s="13"/>
      <c r="I394" s="19"/>
      <c r="J394" s="13"/>
      <c r="K394" s="19"/>
      <c r="L394" s="13"/>
      <c r="M394" s="19"/>
      <c r="N394" s="13"/>
    </row>
    <row r="395" spans="1:14">
      <c r="A395" s="14"/>
      <c r="B395" s="15"/>
      <c r="C395" s="16"/>
      <c r="D395" s="17"/>
      <c r="E395" s="12"/>
      <c r="F395" s="18"/>
      <c r="G395" s="19"/>
      <c r="H395" s="13"/>
      <c r="I395" s="19"/>
      <c r="J395" s="13"/>
      <c r="K395" s="19"/>
      <c r="L395" s="13"/>
      <c r="M395" s="19"/>
      <c r="N395" s="13"/>
    </row>
    <row r="396" spans="1:14">
      <c r="A396" s="14"/>
      <c r="B396" s="15"/>
      <c r="C396" s="16"/>
      <c r="D396" s="17"/>
      <c r="E396" s="12"/>
      <c r="F396" s="18"/>
      <c r="G396" s="19"/>
      <c r="H396" s="13"/>
      <c r="I396" s="19"/>
      <c r="J396" s="13"/>
      <c r="K396" s="19"/>
      <c r="L396" s="13"/>
      <c r="M396" s="19"/>
      <c r="N396" s="13"/>
    </row>
    <row r="397" spans="1:14">
      <c r="A397" s="14"/>
      <c r="B397" s="15"/>
      <c r="C397" s="16"/>
      <c r="D397" s="17"/>
      <c r="E397" s="12"/>
      <c r="F397" s="18"/>
      <c r="G397" s="19"/>
      <c r="H397" s="13"/>
      <c r="I397" s="19"/>
      <c r="J397" s="13"/>
      <c r="K397" s="19"/>
      <c r="L397" s="13"/>
      <c r="M397" s="19"/>
      <c r="N397" s="13"/>
    </row>
    <row r="398" spans="1:14">
      <c r="A398" s="14"/>
      <c r="B398" s="15"/>
      <c r="C398" s="16"/>
      <c r="D398" s="17"/>
      <c r="E398" s="12"/>
      <c r="F398" s="18"/>
      <c r="G398" s="19"/>
      <c r="H398" s="13"/>
      <c r="I398" s="19"/>
      <c r="J398" s="13"/>
      <c r="K398" s="19"/>
      <c r="L398" s="13"/>
      <c r="M398" s="19"/>
      <c r="N398" s="13"/>
    </row>
    <row r="399" spans="1:14">
      <c r="A399" s="14"/>
      <c r="B399" s="15"/>
      <c r="C399" s="16"/>
      <c r="D399" s="17"/>
      <c r="E399" s="12"/>
      <c r="F399" s="18"/>
      <c r="G399" s="19"/>
      <c r="H399" s="13"/>
      <c r="I399" s="19"/>
      <c r="J399" s="13"/>
      <c r="K399" s="19"/>
      <c r="L399" s="13"/>
      <c r="M399" s="19"/>
      <c r="N399" s="13"/>
    </row>
    <row r="400" spans="1:14">
      <c r="A400" s="14"/>
      <c r="B400" s="15"/>
      <c r="C400" s="16"/>
      <c r="D400" s="17"/>
      <c r="E400" s="12"/>
      <c r="F400" s="18"/>
      <c r="G400" s="19"/>
      <c r="H400" s="13"/>
      <c r="I400" s="19"/>
      <c r="J400" s="13"/>
      <c r="K400" s="19"/>
      <c r="L400" s="13"/>
      <c r="M400" s="19"/>
      <c r="N400" s="13"/>
    </row>
    <row r="401" spans="1:14">
      <c r="A401" s="14"/>
      <c r="B401" s="15"/>
      <c r="C401" s="16"/>
      <c r="D401" s="17"/>
      <c r="E401" s="12"/>
      <c r="F401" s="18"/>
      <c r="G401" s="19"/>
      <c r="H401" s="13"/>
      <c r="I401" s="19"/>
      <c r="J401" s="13"/>
      <c r="K401" s="19"/>
      <c r="L401" s="13"/>
      <c r="M401" s="19"/>
      <c r="N401" s="13"/>
    </row>
    <row r="402" spans="1:14">
      <c r="A402" s="14"/>
      <c r="B402" s="15"/>
      <c r="C402" s="16"/>
      <c r="D402" s="17"/>
      <c r="E402" s="12"/>
      <c r="F402" s="18"/>
      <c r="G402" s="19"/>
      <c r="H402" s="13"/>
      <c r="I402" s="19"/>
      <c r="J402" s="13"/>
      <c r="K402" s="19"/>
      <c r="L402" s="13"/>
      <c r="M402" s="19"/>
      <c r="N402" s="13"/>
    </row>
    <row r="403" spans="1:14">
      <c r="A403" s="14"/>
      <c r="B403" s="15"/>
      <c r="C403" s="16"/>
      <c r="D403" s="17"/>
      <c r="E403" s="12"/>
      <c r="F403" s="18"/>
      <c r="G403" s="19"/>
      <c r="H403" s="13"/>
      <c r="I403" s="19"/>
      <c r="J403" s="13"/>
      <c r="K403" s="19"/>
      <c r="L403" s="13"/>
      <c r="M403" s="19"/>
      <c r="N403" s="13"/>
    </row>
    <row r="404" spans="1:14">
      <c r="A404" s="14"/>
      <c r="B404" s="15"/>
      <c r="C404" s="16"/>
      <c r="D404" s="17"/>
      <c r="E404" s="12"/>
      <c r="F404" s="18"/>
      <c r="G404" s="19"/>
      <c r="H404" s="13"/>
      <c r="I404" s="19"/>
      <c r="J404" s="13"/>
      <c r="K404" s="19"/>
      <c r="L404" s="13"/>
      <c r="M404" s="19"/>
      <c r="N404" s="13"/>
    </row>
    <row r="405" spans="1:14">
      <c r="A405" s="14"/>
      <c r="B405" s="15"/>
      <c r="C405" s="16"/>
      <c r="D405" s="17"/>
      <c r="E405" s="12"/>
      <c r="F405" s="18"/>
      <c r="G405" s="19"/>
      <c r="H405" s="13"/>
      <c r="I405" s="19"/>
      <c r="J405" s="13"/>
      <c r="K405" s="19"/>
      <c r="L405" s="13"/>
      <c r="M405" s="19"/>
      <c r="N405" s="13"/>
    </row>
    <row r="406" spans="1:14">
      <c r="A406" s="14"/>
      <c r="B406" s="15"/>
      <c r="C406" s="16"/>
      <c r="D406" s="17"/>
      <c r="E406" s="12"/>
      <c r="F406" s="18"/>
      <c r="G406" s="19"/>
      <c r="H406" s="13"/>
      <c r="I406" s="19"/>
      <c r="J406" s="13"/>
      <c r="K406" s="19"/>
      <c r="L406" s="13"/>
      <c r="M406" s="19"/>
      <c r="N406" s="13"/>
    </row>
    <row r="407" spans="1:14">
      <c r="A407" s="14"/>
      <c r="B407" s="15"/>
      <c r="C407" s="16"/>
      <c r="D407" s="17"/>
      <c r="E407" s="12"/>
      <c r="F407" s="18"/>
      <c r="G407" s="19"/>
      <c r="H407" s="13"/>
      <c r="I407" s="19"/>
      <c r="J407" s="13"/>
      <c r="K407" s="19"/>
      <c r="L407" s="13"/>
      <c r="M407" s="19"/>
      <c r="N407" s="13"/>
    </row>
    <row r="408" spans="1:14">
      <c r="A408" s="14"/>
      <c r="B408" s="15"/>
      <c r="C408" s="16"/>
      <c r="D408" s="17"/>
      <c r="E408" s="12"/>
      <c r="F408" s="18"/>
      <c r="G408" s="19"/>
      <c r="H408" s="13"/>
      <c r="I408" s="19"/>
      <c r="J408" s="13"/>
      <c r="K408" s="19"/>
      <c r="L408" s="13"/>
      <c r="M408" s="19"/>
      <c r="N408" s="13"/>
    </row>
    <row r="409" spans="1:14">
      <c r="A409" s="14"/>
      <c r="B409" s="15"/>
      <c r="C409" s="16"/>
      <c r="D409" s="17"/>
      <c r="E409" s="12"/>
      <c r="F409" s="18"/>
      <c r="G409" s="19"/>
      <c r="H409" s="13"/>
      <c r="I409" s="19"/>
      <c r="J409" s="13"/>
      <c r="K409" s="19"/>
      <c r="L409" s="13"/>
      <c r="M409" s="19"/>
      <c r="N409" s="13"/>
    </row>
    <row r="410" spans="1:14">
      <c r="A410" s="14"/>
      <c r="B410" s="15"/>
      <c r="C410" s="16"/>
      <c r="D410" s="17"/>
      <c r="E410" s="12"/>
      <c r="F410" s="18"/>
      <c r="G410" s="19"/>
      <c r="H410" s="13"/>
      <c r="I410" s="19"/>
      <c r="J410" s="13"/>
      <c r="K410" s="19"/>
      <c r="L410" s="13"/>
      <c r="M410" s="19"/>
      <c r="N410" s="13"/>
    </row>
    <row r="411" spans="1:14">
      <c r="A411" s="14"/>
      <c r="B411" s="15"/>
      <c r="C411" s="16"/>
      <c r="D411" s="17"/>
      <c r="E411" s="12"/>
      <c r="F411" s="18"/>
      <c r="G411" s="19"/>
      <c r="H411" s="13"/>
      <c r="I411" s="19"/>
      <c r="J411" s="13"/>
      <c r="K411" s="19"/>
      <c r="L411" s="13"/>
      <c r="M411" s="19"/>
      <c r="N411" s="13"/>
    </row>
    <row r="412" spans="1:14">
      <c r="A412" s="14"/>
      <c r="B412" s="15"/>
      <c r="C412" s="16"/>
      <c r="D412" s="17"/>
      <c r="E412" s="12"/>
      <c r="F412" s="18"/>
      <c r="G412" s="19"/>
      <c r="H412" s="13"/>
      <c r="I412" s="19"/>
      <c r="J412" s="13"/>
      <c r="K412" s="19"/>
      <c r="L412" s="13"/>
      <c r="M412" s="19"/>
      <c r="N412" s="13"/>
    </row>
    <row r="413" spans="1:14">
      <c r="A413" s="14"/>
      <c r="B413" s="15"/>
      <c r="C413" s="16"/>
      <c r="D413" s="20"/>
      <c r="E413" s="12"/>
      <c r="F413" s="18"/>
      <c r="G413" s="19"/>
      <c r="H413" s="13"/>
      <c r="I413" s="19"/>
      <c r="J413" s="13"/>
      <c r="K413" s="19"/>
      <c r="L413" s="13"/>
      <c r="M413" s="19"/>
      <c r="N413" s="13"/>
    </row>
    <row r="414" spans="1:14">
      <c r="A414" s="14"/>
      <c r="B414" s="15"/>
      <c r="C414" s="16"/>
      <c r="D414" s="20"/>
      <c r="E414" s="12"/>
      <c r="F414" s="18"/>
      <c r="G414" s="19"/>
      <c r="H414" s="13"/>
      <c r="I414" s="19"/>
      <c r="J414" s="13"/>
      <c r="K414" s="19"/>
      <c r="L414" s="13"/>
      <c r="M414" s="19"/>
      <c r="N414" s="13"/>
    </row>
    <row r="415" spans="1:14" ht="13.5" thickBot="1">
      <c r="A415" s="21"/>
      <c r="B415" s="22"/>
      <c r="C415" s="23"/>
      <c r="D415" s="24"/>
      <c r="E415" s="37"/>
      <c r="F415" s="25"/>
      <c r="G415" s="26"/>
      <c r="H415" s="27"/>
      <c r="I415" s="26"/>
      <c r="J415" s="27"/>
      <c r="K415" s="26"/>
      <c r="L415" s="27"/>
      <c r="M415" s="26"/>
      <c r="N415" s="27"/>
    </row>
  </sheetData>
  <sheetProtection sheet="1" objects="1" scenarios="1" formatCells="0" formatColumns="0" formatRows="0" insertColumns="0" insertRows="0" insertHyperlinks="0" deleteColumns="0" deleteRows="0" sort="0" autoFilter="0" pivotTables="0"/>
  <sortState ref="A34:P57">
    <sortCondition ref="E34:E57"/>
  </sortState>
  <dataConsolidate/>
  <mergeCells count="5">
    <mergeCell ref="G1:H1"/>
    <mergeCell ref="E3:F3"/>
    <mergeCell ref="I1:J1"/>
    <mergeCell ref="K1:L1"/>
    <mergeCell ref="M1:N1"/>
  </mergeCells>
  <phoneticPr fontId="14" type="noConversion"/>
  <conditionalFormatting sqref="A1">
    <cfRule type="cellIs" dxfId="10204" priority="6" stopIfTrue="1" operator="equal">
      <formula>"NOK"</formula>
    </cfRule>
  </conditionalFormatting>
  <conditionalFormatting sqref="G5:G415 I5:I415 K5:K415 M5:M415">
    <cfRule type="cellIs" dxfId="10203" priority="5" stopIfTrue="1" operator="notEqual">
      <formula>H5</formula>
    </cfRule>
  </conditionalFormatting>
  <dataValidations count="1">
    <dataValidation type="list" allowBlank="1" showInputMessage="1" showErrorMessage="1" sqref="G1 M1 K1 I1">
      <formula1>BatteryLimitVariablesList</formula1>
    </dataValidation>
  </dataValidations>
  <pageMargins left="0.75" right="0.75" top="1" bottom="1" header="0.5" footer="0.5"/>
  <pageSetup paperSize="9"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sheetPr codeName="Sheet57">
    <tabColor rgb="FF92D050"/>
  </sheetPr>
  <dimension ref="A1:R305"/>
  <sheetViews>
    <sheetView showGridLines="0" zoomScale="85" zoomScaleNormal="85" workbookViewId="0">
      <pane xSplit="6" ySplit="4" topLeftCell="G5" activePane="bottomRight" state="frozenSplit"/>
      <selection pane="topRight" activeCell="F1" sqref="F1"/>
      <selection pane="bottomLeft" activeCell="A5" sqref="A5"/>
      <selection pane="bottomRight" activeCell="F1" sqref="F1"/>
    </sheetView>
  </sheetViews>
  <sheetFormatPr defaultRowHeight="12.75"/>
  <cols>
    <col min="1" max="1" width="12" style="28" customWidth="1"/>
    <col min="2" max="2" width="7.125" style="28" customWidth="1"/>
    <col min="3" max="3" width="9" style="29"/>
    <col min="4" max="4" width="16" style="28" customWidth="1"/>
    <col min="5" max="5" width="16.625" style="28" customWidth="1"/>
    <col min="6" max="6" width="16.625" style="30" customWidth="1"/>
    <col min="7" max="7" width="9.75" style="31" customWidth="1"/>
    <col min="8" max="8" width="9.75" style="32" customWidth="1"/>
    <col min="9" max="9" width="9.75" style="31" customWidth="1"/>
    <col min="10" max="10" width="9.75" style="32" customWidth="1"/>
    <col min="11" max="11" width="9.75" style="31" customWidth="1"/>
    <col min="12" max="12" width="9.75" style="32" customWidth="1"/>
    <col min="13" max="13" width="9.75" style="31" customWidth="1"/>
    <col min="14" max="14" width="9.75" style="32" customWidth="1"/>
    <col min="15" max="15" width="9.75" style="31" customWidth="1"/>
    <col min="16" max="16" width="9.75" style="32" customWidth="1"/>
    <col min="17" max="17" width="1.25" style="6" customWidth="1"/>
    <col min="18" max="18" width="21.375" style="6" customWidth="1"/>
    <col min="19" max="264" width="9" style="6"/>
    <col min="265" max="265" width="12" style="6" customWidth="1"/>
    <col min="266" max="266" width="7.125" style="6" customWidth="1"/>
    <col min="267" max="267" width="9" style="6"/>
    <col min="268" max="268" width="16" style="6" customWidth="1"/>
    <col min="269" max="269" width="13.75" style="6" customWidth="1"/>
    <col min="270" max="271" width="9.75" style="6" customWidth="1"/>
    <col min="272" max="520" width="9" style="6"/>
    <col min="521" max="521" width="12" style="6" customWidth="1"/>
    <col min="522" max="522" width="7.125" style="6" customWidth="1"/>
    <col min="523" max="523" width="9" style="6"/>
    <col min="524" max="524" width="16" style="6" customWidth="1"/>
    <col min="525" max="525" width="13.75" style="6" customWidth="1"/>
    <col min="526" max="527" width="9.75" style="6" customWidth="1"/>
    <col min="528" max="776" width="9" style="6"/>
    <col min="777" max="777" width="12" style="6" customWidth="1"/>
    <col min="778" max="778" width="7.125" style="6" customWidth="1"/>
    <col min="779" max="779" width="9" style="6"/>
    <col min="780" max="780" width="16" style="6" customWidth="1"/>
    <col min="781" max="781" width="13.75" style="6" customWidth="1"/>
    <col min="782" max="783" width="9.75" style="6" customWidth="1"/>
    <col min="784" max="1032" width="9" style="6"/>
    <col min="1033" max="1033" width="12" style="6" customWidth="1"/>
    <col min="1034" max="1034" width="7.125" style="6" customWidth="1"/>
    <col min="1035" max="1035" width="9" style="6"/>
    <col min="1036" max="1036" width="16" style="6" customWidth="1"/>
    <col min="1037" max="1037" width="13.75" style="6" customWidth="1"/>
    <col min="1038" max="1039" width="9.75" style="6" customWidth="1"/>
    <col min="1040" max="1288" width="9" style="6"/>
    <col min="1289" max="1289" width="12" style="6" customWidth="1"/>
    <col min="1290" max="1290" width="7.125" style="6" customWidth="1"/>
    <col min="1291" max="1291" width="9" style="6"/>
    <col min="1292" max="1292" width="16" style="6" customWidth="1"/>
    <col min="1293" max="1293" width="13.75" style="6" customWidth="1"/>
    <col min="1294" max="1295" width="9.75" style="6" customWidth="1"/>
    <col min="1296" max="1544" width="9" style="6"/>
    <col min="1545" max="1545" width="12" style="6" customWidth="1"/>
    <col min="1546" max="1546" width="7.125" style="6" customWidth="1"/>
    <col min="1547" max="1547" width="9" style="6"/>
    <col min="1548" max="1548" width="16" style="6" customWidth="1"/>
    <col min="1549" max="1549" width="13.75" style="6" customWidth="1"/>
    <col min="1550" max="1551" width="9.75" style="6" customWidth="1"/>
    <col min="1552" max="1800" width="9" style="6"/>
    <col min="1801" max="1801" width="12" style="6" customWidth="1"/>
    <col min="1802" max="1802" width="7.125" style="6" customWidth="1"/>
    <col min="1803" max="1803" width="9" style="6"/>
    <col min="1804" max="1804" width="16" style="6" customWidth="1"/>
    <col min="1805" max="1805" width="13.75" style="6" customWidth="1"/>
    <col min="1806" max="1807" width="9.75" style="6" customWidth="1"/>
    <col min="1808" max="2056" width="9" style="6"/>
    <col min="2057" max="2057" width="12" style="6" customWidth="1"/>
    <col min="2058" max="2058" width="7.125" style="6" customWidth="1"/>
    <col min="2059" max="2059" width="9" style="6"/>
    <col min="2060" max="2060" width="16" style="6" customWidth="1"/>
    <col min="2061" max="2061" width="13.75" style="6" customWidth="1"/>
    <col min="2062" max="2063" width="9.75" style="6" customWidth="1"/>
    <col min="2064" max="2312" width="9" style="6"/>
    <col min="2313" max="2313" width="12" style="6" customWidth="1"/>
    <col min="2314" max="2314" width="7.125" style="6" customWidth="1"/>
    <col min="2315" max="2315" width="9" style="6"/>
    <col min="2316" max="2316" width="16" style="6" customWidth="1"/>
    <col min="2317" max="2317" width="13.75" style="6" customWidth="1"/>
    <col min="2318" max="2319" width="9.75" style="6" customWidth="1"/>
    <col min="2320" max="2568" width="9" style="6"/>
    <col min="2569" max="2569" width="12" style="6" customWidth="1"/>
    <col min="2570" max="2570" width="7.125" style="6" customWidth="1"/>
    <col min="2571" max="2571" width="9" style="6"/>
    <col min="2572" max="2572" width="16" style="6" customWidth="1"/>
    <col min="2573" max="2573" width="13.75" style="6" customWidth="1"/>
    <col min="2574" max="2575" width="9.75" style="6" customWidth="1"/>
    <col min="2576" max="2824" width="9" style="6"/>
    <col min="2825" max="2825" width="12" style="6" customWidth="1"/>
    <col min="2826" max="2826" width="7.125" style="6" customWidth="1"/>
    <col min="2827" max="2827" width="9" style="6"/>
    <col min="2828" max="2828" width="16" style="6" customWidth="1"/>
    <col min="2829" max="2829" width="13.75" style="6" customWidth="1"/>
    <col min="2830" max="2831" width="9.75" style="6" customWidth="1"/>
    <col min="2832" max="3080" width="9" style="6"/>
    <col min="3081" max="3081" width="12" style="6" customWidth="1"/>
    <col min="3082" max="3082" width="7.125" style="6" customWidth="1"/>
    <col min="3083" max="3083" width="9" style="6"/>
    <col min="3084" max="3084" width="16" style="6" customWidth="1"/>
    <col min="3085" max="3085" width="13.75" style="6" customWidth="1"/>
    <col min="3086" max="3087" width="9.75" style="6" customWidth="1"/>
    <col min="3088" max="3336" width="9" style="6"/>
    <col min="3337" max="3337" width="12" style="6" customWidth="1"/>
    <col min="3338" max="3338" width="7.125" style="6" customWidth="1"/>
    <col min="3339" max="3339" width="9" style="6"/>
    <col min="3340" max="3340" width="16" style="6" customWidth="1"/>
    <col min="3341" max="3341" width="13.75" style="6" customWidth="1"/>
    <col min="3342" max="3343" width="9.75" style="6" customWidth="1"/>
    <col min="3344" max="3592" width="9" style="6"/>
    <col min="3593" max="3593" width="12" style="6" customWidth="1"/>
    <col min="3594" max="3594" width="7.125" style="6" customWidth="1"/>
    <col min="3595" max="3595" width="9" style="6"/>
    <col min="3596" max="3596" width="16" style="6" customWidth="1"/>
    <col min="3597" max="3597" width="13.75" style="6" customWidth="1"/>
    <col min="3598" max="3599" width="9.75" style="6" customWidth="1"/>
    <col min="3600" max="3848" width="9" style="6"/>
    <col min="3849" max="3849" width="12" style="6" customWidth="1"/>
    <col min="3850" max="3850" width="7.125" style="6" customWidth="1"/>
    <col min="3851" max="3851" width="9" style="6"/>
    <col min="3852" max="3852" width="16" style="6" customWidth="1"/>
    <col min="3853" max="3853" width="13.75" style="6" customWidth="1"/>
    <col min="3854" max="3855" width="9.75" style="6" customWidth="1"/>
    <col min="3856" max="4104" width="9" style="6"/>
    <col min="4105" max="4105" width="12" style="6" customWidth="1"/>
    <col min="4106" max="4106" width="7.125" style="6" customWidth="1"/>
    <col min="4107" max="4107" width="9" style="6"/>
    <col min="4108" max="4108" width="16" style="6" customWidth="1"/>
    <col min="4109" max="4109" width="13.75" style="6" customWidth="1"/>
    <col min="4110" max="4111" width="9.75" style="6" customWidth="1"/>
    <col min="4112" max="4360" width="9" style="6"/>
    <col min="4361" max="4361" width="12" style="6" customWidth="1"/>
    <col min="4362" max="4362" width="7.125" style="6" customWidth="1"/>
    <col min="4363" max="4363" width="9" style="6"/>
    <col min="4364" max="4364" width="16" style="6" customWidth="1"/>
    <col min="4365" max="4365" width="13.75" style="6" customWidth="1"/>
    <col min="4366" max="4367" width="9.75" style="6" customWidth="1"/>
    <col min="4368" max="4616" width="9" style="6"/>
    <col min="4617" max="4617" width="12" style="6" customWidth="1"/>
    <col min="4618" max="4618" width="7.125" style="6" customWidth="1"/>
    <col min="4619" max="4619" width="9" style="6"/>
    <col min="4620" max="4620" width="16" style="6" customWidth="1"/>
    <col min="4621" max="4621" width="13.75" style="6" customWidth="1"/>
    <col min="4622" max="4623" width="9.75" style="6" customWidth="1"/>
    <col min="4624" max="4872" width="9" style="6"/>
    <col min="4873" max="4873" width="12" style="6" customWidth="1"/>
    <col min="4874" max="4874" width="7.125" style="6" customWidth="1"/>
    <col min="4875" max="4875" width="9" style="6"/>
    <col min="4876" max="4876" width="16" style="6" customWidth="1"/>
    <col min="4877" max="4877" width="13.75" style="6" customWidth="1"/>
    <col min="4878" max="4879" width="9.75" style="6" customWidth="1"/>
    <col min="4880" max="5128" width="9" style="6"/>
    <col min="5129" max="5129" width="12" style="6" customWidth="1"/>
    <col min="5130" max="5130" width="7.125" style="6" customWidth="1"/>
    <col min="5131" max="5131" width="9" style="6"/>
    <col min="5132" max="5132" width="16" style="6" customWidth="1"/>
    <col min="5133" max="5133" width="13.75" style="6" customWidth="1"/>
    <col min="5134" max="5135" width="9.75" style="6" customWidth="1"/>
    <col min="5136" max="5384" width="9" style="6"/>
    <col min="5385" max="5385" width="12" style="6" customWidth="1"/>
    <col min="5386" max="5386" width="7.125" style="6" customWidth="1"/>
    <col min="5387" max="5387" width="9" style="6"/>
    <col min="5388" max="5388" width="16" style="6" customWidth="1"/>
    <col min="5389" max="5389" width="13.75" style="6" customWidth="1"/>
    <col min="5390" max="5391" width="9.75" style="6" customWidth="1"/>
    <col min="5392" max="5640" width="9" style="6"/>
    <col min="5641" max="5641" width="12" style="6" customWidth="1"/>
    <col min="5642" max="5642" width="7.125" style="6" customWidth="1"/>
    <col min="5643" max="5643" width="9" style="6"/>
    <col min="5644" max="5644" width="16" style="6" customWidth="1"/>
    <col min="5645" max="5645" width="13.75" style="6" customWidth="1"/>
    <col min="5646" max="5647" width="9.75" style="6" customWidth="1"/>
    <col min="5648" max="5896" width="9" style="6"/>
    <col min="5897" max="5897" width="12" style="6" customWidth="1"/>
    <col min="5898" max="5898" width="7.125" style="6" customWidth="1"/>
    <col min="5899" max="5899" width="9" style="6"/>
    <col min="5900" max="5900" width="16" style="6" customWidth="1"/>
    <col min="5901" max="5901" width="13.75" style="6" customWidth="1"/>
    <col min="5902" max="5903" width="9.75" style="6" customWidth="1"/>
    <col min="5904" max="6152" width="9" style="6"/>
    <col min="6153" max="6153" width="12" style="6" customWidth="1"/>
    <col min="6154" max="6154" width="7.125" style="6" customWidth="1"/>
    <col min="6155" max="6155" width="9" style="6"/>
    <col min="6156" max="6156" width="16" style="6" customWidth="1"/>
    <col min="6157" max="6157" width="13.75" style="6" customWidth="1"/>
    <col min="6158" max="6159" width="9.75" style="6" customWidth="1"/>
    <col min="6160" max="6408" width="9" style="6"/>
    <col min="6409" max="6409" width="12" style="6" customWidth="1"/>
    <col min="6410" max="6410" width="7.125" style="6" customWidth="1"/>
    <col min="6411" max="6411" width="9" style="6"/>
    <col min="6412" max="6412" width="16" style="6" customWidth="1"/>
    <col min="6413" max="6413" width="13.75" style="6" customWidth="1"/>
    <col min="6414" max="6415" width="9.75" style="6" customWidth="1"/>
    <col min="6416" max="6664" width="9" style="6"/>
    <col min="6665" max="6665" width="12" style="6" customWidth="1"/>
    <col min="6666" max="6666" width="7.125" style="6" customWidth="1"/>
    <col min="6667" max="6667" width="9" style="6"/>
    <col min="6668" max="6668" width="16" style="6" customWidth="1"/>
    <col min="6669" max="6669" width="13.75" style="6" customWidth="1"/>
    <col min="6670" max="6671" width="9.75" style="6" customWidth="1"/>
    <col min="6672" max="6920" width="9" style="6"/>
    <col min="6921" max="6921" width="12" style="6" customWidth="1"/>
    <col min="6922" max="6922" width="7.125" style="6" customWidth="1"/>
    <col min="6923" max="6923" width="9" style="6"/>
    <col min="6924" max="6924" width="16" style="6" customWidth="1"/>
    <col min="6925" max="6925" width="13.75" style="6" customWidth="1"/>
    <col min="6926" max="6927" width="9.75" style="6" customWidth="1"/>
    <col min="6928" max="7176" width="9" style="6"/>
    <col min="7177" max="7177" width="12" style="6" customWidth="1"/>
    <col min="7178" max="7178" width="7.125" style="6" customWidth="1"/>
    <col min="7179" max="7179" width="9" style="6"/>
    <col min="7180" max="7180" width="16" style="6" customWidth="1"/>
    <col min="7181" max="7181" width="13.75" style="6" customWidth="1"/>
    <col min="7182" max="7183" width="9.75" style="6" customWidth="1"/>
    <col min="7184" max="7432" width="9" style="6"/>
    <col min="7433" max="7433" width="12" style="6" customWidth="1"/>
    <col min="7434" max="7434" width="7.125" style="6" customWidth="1"/>
    <col min="7435" max="7435" width="9" style="6"/>
    <col min="7436" max="7436" width="16" style="6" customWidth="1"/>
    <col min="7437" max="7437" width="13.75" style="6" customWidth="1"/>
    <col min="7438" max="7439" width="9.75" style="6" customWidth="1"/>
    <col min="7440" max="7688" width="9" style="6"/>
    <col min="7689" max="7689" width="12" style="6" customWidth="1"/>
    <col min="7690" max="7690" width="7.125" style="6" customWidth="1"/>
    <col min="7691" max="7691" width="9" style="6"/>
    <col min="7692" max="7692" width="16" style="6" customWidth="1"/>
    <col min="7693" max="7693" width="13.75" style="6" customWidth="1"/>
    <col min="7694" max="7695" width="9.75" style="6" customWidth="1"/>
    <col min="7696" max="7944" width="9" style="6"/>
    <col min="7945" max="7945" width="12" style="6" customWidth="1"/>
    <col min="7946" max="7946" width="7.125" style="6" customWidth="1"/>
    <col min="7947" max="7947" width="9" style="6"/>
    <col min="7948" max="7948" width="16" style="6" customWidth="1"/>
    <col min="7949" max="7949" width="13.75" style="6" customWidth="1"/>
    <col min="7950" max="7951" width="9.75" style="6" customWidth="1"/>
    <col min="7952" max="8200" width="9" style="6"/>
    <col min="8201" max="8201" width="12" style="6" customWidth="1"/>
    <col min="8202" max="8202" width="7.125" style="6" customWidth="1"/>
    <col min="8203" max="8203" width="9" style="6"/>
    <col min="8204" max="8204" width="16" style="6" customWidth="1"/>
    <col min="8205" max="8205" width="13.75" style="6" customWidth="1"/>
    <col min="8206" max="8207" width="9.75" style="6" customWidth="1"/>
    <col min="8208" max="8456" width="9" style="6"/>
    <col min="8457" max="8457" width="12" style="6" customWidth="1"/>
    <col min="8458" max="8458" width="7.125" style="6" customWidth="1"/>
    <col min="8459" max="8459" width="9" style="6"/>
    <col min="8460" max="8460" width="16" style="6" customWidth="1"/>
    <col min="8461" max="8461" width="13.75" style="6" customWidth="1"/>
    <col min="8462" max="8463" width="9.75" style="6" customWidth="1"/>
    <col min="8464" max="8712" width="9" style="6"/>
    <col min="8713" max="8713" width="12" style="6" customWidth="1"/>
    <col min="8714" max="8714" width="7.125" style="6" customWidth="1"/>
    <col min="8715" max="8715" width="9" style="6"/>
    <col min="8716" max="8716" width="16" style="6" customWidth="1"/>
    <col min="8717" max="8717" width="13.75" style="6" customWidth="1"/>
    <col min="8718" max="8719" width="9.75" style="6" customWidth="1"/>
    <col min="8720" max="8968" width="9" style="6"/>
    <col min="8969" max="8969" width="12" style="6" customWidth="1"/>
    <col min="8970" max="8970" width="7.125" style="6" customWidth="1"/>
    <col min="8971" max="8971" width="9" style="6"/>
    <col min="8972" max="8972" width="16" style="6" customWidth="1"/>
    <col min="8973" max="8973" width="13.75" style="6" customWidth="1"/>
    <col min="8974" max="8975" width="9.75" style="6" customWidth="1"/>
    <col min="8976" max="9224" width="9" style="6"/>
    <col min="9225" max="9225" width="12" style="6" customWidth="1"/>
    <col min="9226" max="9226" width="7.125" style="6" customWidth="1"/>
    <col min="9227" max="9227" width="9" style="6"/>
    <col min="9228" max="9228" width="16" style="6" customWidth="1"/>
    <col min="9229" max="9229" width="13.75" style="6" customWidth="1"/>
    <col min="9230" max="9231" width="9.75" style="6" customWidth="1"/>
    <col min="9232" max="9480" width="9" style="6"/>
    <col min="9481" max="9481" width="12" style="6" customWidth="1"/>
    <col min="9482" max="9482" width="7.125" style="6" customWidth="1"/>
    <col min="9483" max="9483" width="9" style="6"/>
    <col min="9484" max="9484" width="16" style="6" customWidth="1"/>
    <col min="9485" max="9485" width="13.75" style="6" customWidth="1"/>
    <col min="9486" max="9487" width="9.75" style="6" customWidth="1"/>
    <col min="9488" max="9736" width="9" style="6"/>
    <col min="9737" max="9737" width="12" style="6" customWidth="1"/>
    <col min="9738" max="9738" width="7.125" style="6" customWidth="1"/>
    <col min="9739" max="9739" width="9" style="6"/>
    <col min="9740" max="9740" width="16" style="6" customWidth="1"/>
    <col min="9741" max="9741" width="13.75" style="6" customWidth="1"/>
    <col min="9742" max="9743" width="9.75" style="6" customWidth="1"/>
    <col min="9744" max="9992" width="9" style="6"/>
    <col min="9993" max="9993" width="12" style="6" customWidth="1"/>
    <col min="9994" max="9994" width="7.125" style="6" customWidth="1"/>
    <col min="9995" max="9995" width="9" style="6"/>
    <col min="9996" max="9996" width="16" style="6" customWidth="1"/>
    <col min="9997" max="9997" width="13.75" style="6" customWidth="1"/>
    <col min="9998" max="9999" width="9.75" style="6" customWidth="1"/>
    <col min="10000" max="10248" width="9" style="6"/>
    <col min="10249" max="10249" width="12" style="6" customWidth="1"/>
    <col min="10250" max="10250" width="7.125" style="6" customWidth="1"/>
    <col min="10251" max="10251" width="9" style="6"/>
    <col min="10252" max="10252" width="16" style="6" customWidth="1"/>
    <col min="10253" max="10253" width="13.75" style="6" customWidth="1"/>
    <col min="10254" max="10255" width="9.75" style="6" customWidth="1"/>
    <col min="10256" max="10504" width="9" style="6"/>
    <col min="10505" max="10505" width="12" style="6" customWidth="1"/>
    <col min="10506" max="10506" width="7.125" style="6" customWidth="1"/>
    <col min="10507" max="10507" width="9" style="6"/>
    <col min="10508" max="10508" width="16" style="6" customWidth="1"/>
    <col min="10509" max="10509" width="13.75" style="6" customWidth="1"/>
    <col min="10510" max="10511" width="9.75" style="6" customWidth="1"/>
    <col min="10512" max="10760" width="9" style="6"/>
    <col min="10761" max="10761" width="12" style="6" customWidth="1"/>
    <col min="10762" max="10762" width="7.125" style="6" customWidth="1"/>
    <col min="10763" max="10763" width="9" style="6"/>
    <col min="10764" max="10764" width="16" style="6" customWidth="1"/>
    <col min="10765" max="10765" width="13.75" style="6" customWidth="1"/>
    <col min="10766" max="10767" width="9.75" style="6" customWidth="1"/>
    <col min="10768" max="11016" width="9" style="6"/>
    <col min="11017" max="11017" width="12" style="6" customWidth="1"/>
    <col min="11018" max="11018" width="7.125" style="6" customWidth="1"/>
    <col min="11019" max="11019" width="9" style="6"/>
    <col min="11020" max="11020" width="16" style="6" customWidth="1"/>
    <col min="11021" max="11021" width="13.75" style="6" customWidth="1"/>
    <col min="11022" max="11023" width="9.75" style="6" customWidth="1"/>
    <col min="11024" max="11272" width="9" style="6"/>
    <col min="11273" max="11273" width="12" style="6" customWidth="1"/>
    <col min="11274" max="11274" width="7.125" style="6" customWidth="1"/>
    <col min="11275" max="11275" width="9" style="6"/>
    <col min="11276" max="11276" width="16" style="6" customWidth="1"/>
    <col min="11277" max="11277" width="13.75" style="6" customWidth="1"/>
    <col min="11278" max="11279" width="9.75" style="6" customWidth="1"/>
    <col min="11280" max="11528" width="9" style="6"/>
    <col min="11529" max="11529" width="12" style="6" customWidth="1"/>
    <col min="11530" max="11530" width="7.125" style="6" customWidth="1"/>
    <col min="11531" max="11531" width="9" style="6"/>
    <col min="11532" max="11532" width="16" style="6" customWidth="1"/>
    <col min="11533" max="11533" width="13.75" style="6" customWidth="1"/>
    <col min="11534" max="11535" width="9.75" style="6" customWidth="1"/>
    <col min="11536" max="11784" width="9" style="6"/>
    <col min="11785" max="11785" width="12" style="6" customWidth="1"/>
    <col min="11786" max="11786" width="7.125" style="6" customWidth="1"/>
    <col min="11787" max="11787" width="9" style="6"/>
    <col min="11788" max="11788" width="16" style="6" customWidth="1"/>
    <col min="11789" max="11789" width="13.75" style="6" customWidth="1"/>
    <col min="11790" max="11791" width="9.75" style="6" customWidth="1"/>
    <col min="11792" max="12040" width="9" style="6"/>
    <col min="12041" max="12041" width="12" style="6" customWidth="1"/>
    <col min="12042" max="12042" width="7.125" style="6" customWidth="1"/>
    <col min="12043" max="12043" width="9" style="6"/>
    <col min="12044" max="12044" width="16" style="6" customWidth="1"/>
    <col min="12045" max="12045" width="13.75" style="6" customWidth="1"/>
    <col min="12046" max="12047" width="9.75" style="6" customWidth="1"/>
    <col min="12048" max="12296" width="9" style="6"/>
    <col min="12297" max="12297" width="12" style="6" customWidth="1"/>
    <col min="12298" max="12298" width="7.125" style="6" customWidth="1"/>
    <col min="12299" max="12299" width="9" style="6"/>
    <col min="12300" max="12300" width="16" style="6" customWidth="1"/>
    <col min="12301" max="12301" width="13.75" style="6" customWidth="1"/>
    <col min="12302" max="12303" width="9.75" style="6" customWidth="1"/>
    <col min="12304" max="12552" width="9" style="6"/>
    <col min="12553" max="12553" width="12" style="6" customWidth="1"/>
    <col min="12554" max="12554" width="7.125" style="6" customWidth="1"/>
    <col min="12555" max="12555" width="9" style="6"/>
    <col min="12556" max="12556" width="16" style="6" customWidth="1"/>
    <col min="12557" max="12557" width="13.75" style="6" customWidth="1"/>
    <col min="12558" max="12559" width="9.75" style="6" customWidth="1"/>
    <col min="12560" max="12808" width="9" style="6"/>
    <col min="12809" max="12809" width="12" style="6" customWidth="1"/>
    <col min="12810" max="12810" width="7.125" style="6" customWidth="1"/>
    <col min="12811" max="12811" width="9" style="6"/>
    <col min="12812" max="12812" width="16" style="6" customWidth="1"/>
    <col min="12813" max="12813" width="13.75" style="6" customWidth="1"/>
    <col min="12814" max="12815" width="9.75" style="6" customWidth="1"/>
    <col min="12816" max="13064" width="9" style="6"/>
    <col min="13065" max="13065" width="12" style="6" customWidth="1"/>
    <col min="13066" max="13066" width="7.125" style="6" customWidth="1"/>
    <col min="13067" max="13067" width="9" style="6"/>
    <col min="13068" max="13068" width="16" style="6" customWidth="1"/>
    <col min="13069" max="13069" width="13.75" style="6" customWidth="1"/>
    <col min="13070" max="13071" width="9.75" style="6" customWidth="1"/>
    <col min="13072" max="13320" width="9" style="6"/>
    <col min="13321" max="13321" width="12" style="6" customWidth="1"/>
    <col min="13322" max="13322" width="7.125" style="6" customWidth="1"/>
    <col min="13323" max="13323" width="9" style="6"/>
    <col min="13324" max="13324" width="16" style="6" customWidth="1"/>
    <col min="13325" max="13325" width="13.75" style="6" customWidth="1"/>
    <col min="13326" max="13327" width="9.75" style="6" customWidth="1"/>
    <col min="13328" max="13576" width="9" style="6"/>
    <col min="13577" max="13577" width="12" style="6" customWidth="1"/>
    <col min="13578" max="13578" width="7.125" style="6" customWidth="1"/>
    <col min="13579" max="13579" width="9" style="6"/>
    <col min="13580" max="13580" width="16" style="6" customWidth="1"/>
    <col min="13581" max="13581" width="13.75" style="6" customWidth="1"/>
    <col min="13582" max="13583" width="9.75" style="6" customWidth="1"/>
    <col min="13584" max="13832" width="9" style="6"/>
    <col min="13833" max="13833" width="12" style="6" customWidth="1"/>
    <col min="13834" max="13834" width="7.125" style="6" customWidth="1"/>
    <col min="13835" max="13835" width="9" style="6"/>
    <col min="13836" max="13836" width="16" style="6" customWidth="1"/>
    <col min="13837" max="13837" width="13.75" style="6" customWidth="1"/>
    <col min="13838" max="13839" width="9.75" style="6" customWidth="1"/>
    <col min="13840" max="14088" width="9" style="6"/>
    <col min="14089" max="14089" width="12" style="6" customWidth="1"/>
    <col min="14090" max="14090" width="7.125" style="6" customWidth="1"/>
    <col min="14091" max="14091" width="9" style="6"/>
    <col min="14092" max="14092" width="16" style="6" customWidth="1"/>
    <col min="14093" max="14093" width="13.75" style="6" customWidth="1"/>
    <col min="14094" max="14095" width="9.75" style="6" customWidth="1"/>
    <col min="14096" max="14344" width="9" style="6"/>
    <col min="14345" max="14345" width="12" style="6" customWidth="1"/>
    <col min="14346" max="14346" width="7.125" style="6" customWidth="1"/>
    <col min="14347" max="14347" width="9" style="6"/>
    <col min="14348" max="14348" width="16" style="6" customWidth="1"/>
    <col min="14349" max="14349" width="13.75" style="6" customWidth="1"/>
    <col min="14350" max="14351" width="9.75" style="6" customWidth="1"/>
    <col min="14352" max="14600" width="9" style="6"/>
    <col min="14601" max="14601" width="12" style="6" customWidth="1"/>
    <col min="14602" max="14602" width="7.125" style="6" customWidth="1"/>
    <col min="14603" max="14603" width="9" style="6"/>
    <col min="14604" max="14604" width="16" style="6" customWidth="1"/>
    <col min="14605" max="14605" width="13.75" style="6" customWidth="1"/>
    <col min="14606" max="14607" width="9.75" style="6" customWidth="1"/>
    <col min="14608" max="14856" width="9" style="6"/>
    <col min="14857" max="14857" width="12" style="6" customWidth="1"/>
    <col min="14858" max="14858" width="7.125" style="6" customWidth="1"/>
    <col min="14859" max="14859" width="9" style="6"/>
    <col min="14860" max="14860" width="16" style="6" customWidth="1"/>
    <col min="14861" max="14861" width="13.75" style="6" customWidth="1"/>
    <col min="14862" max="14863" width="9.75" style="6" customWidth="1"/>
    <col min="14864" max="15112" width="9" style="6"/>
    <col min="15113" max="15113" width="12" style="6" customWidth="1"/>
    <col min="15114" max="15114" width="7.125" style="6" customWidth="1"/>
    <col min="15115" max="15115" width="9" style="6"/>
    <col min="15116" max="15116" width="16" style="6" customWidth="1"/>
    <col min="15117" max="15117" width="13.75" style="6" customWidth="1"/>
    <col min="15118" max="15119" width="9.75" style="6" customWidth="1"/>
    <col min="15120" max="15368" width="9" style="6"/>
    <col min="15369" max="15369" width="12" style="6" customWidth="1"/>
    <col min="15370" max="15370" width="7.125" style="6" customWidth="1"/>
    <col min="15371" max="15371" width="9" style="6"/>
    <col min="15372" max="15372" width="16" style="6" customWidth="1"/>
    <col min="15373" max="15373" width="13.75" style="6" customWidth="1"/>
    <col min="15374" max="15375" width="9.75" style="6" customWidth="1"/>
    <col min="15376" max="15624" width="9" style="6"/>
    <col min="15625" max="15625" width="12" style="6" customWidth="1"/>
    <col min="15626" max="15626" width="7.125" style="6" customWidth="1"/>
    <col min="15627" max="15627" width="9" style="6"/>
    <col min="15628" max="15628" width="16" style="6" customWidth="1"/>
    <col min="15629" max="15629" width="13.75" style="6" customWidth="1"/>
    <col min="15630" max="15631" width="9.75" style="6" customWidth="1"/>
    <col min="15632" max="15880" width="9" style="6"/>
    <col min="15881" max="15881" width="12" style="6" customWidth="1"/>
    <col min="15882" max="15882" width="7.125" style="6" customWidth="1"/>
    <col min="15883" max="15883" width="9" style="6"/>
    <col min="15884" max="15884" width="16" style="6" customWidth="1"/>
    <col min="15885" max="15885" width="13.75" style="6" customWidth="1"/>
    <col min="15886" max="15887" width="9.75" style="6" customWidth="1"/>
    <col min="15888" max="16136" width="9" style="6"/>
    <col min="16137" max="16137" width="12" style="6" customWidth="1"/>
    <col min="16138" max="16138" width="7.125" style="6" customWidth="1"/>
    <col min="16139" max="16139" width="9" style="6"/>
    <col min="16140" max="16140" width="16" style="6" customWidth="1"/>
    <col min="16141" max="16141" width="13.75" style="6" customWidth="1"/>
    <col min="16142" max="16143" width="9.75" style="6" customWidth="1"/>
    <col min="16144" max="16384" width="9" style="6"/>
  </cols>
  <sheetData>
    <row r="1" spans="1:18" s="2" customFormat="1" ht="23.25" customHeight="1" thickBot="1">
      <c r="A1" s="1" t="e">
        <f>IF(SUM(2:2)=0,"OK","NOK")</f>
        <v>#DIV/0!</v>
      </c>
      <c r="F1" s="43" t="s">
        <v>411</v>
      </c>
      <c r="G1" s="1085" t="s">
        <v>355</v>
      </c>
      <c r="H1" s="1086"/>
      <c r="I1" s="1085" t="s">
        <v>356</v>
      </c>
      <c r="J1" s="1086"/>
      <c r="K1" s="1085" t="s">
        <v>365</v>
      </c>
      <c r="L1" s="1086"/>
      <c r="M1" s="1085" t="s">
        <v>367</v>
      </c>
      <c r="N1" s="1086"/>
      <c r="O1" s="1085"/>
      <c r="P1" s="1086"/>
      <c r="Q1" s="44"/>
      <c r="R1" s="48" t="s">
        <v>10</v>
      </c>
    </row>
    <row r="2" spans="1:18" ht="13.5" thickBot="1">
      <c r="A2" s="3"/>
      <c r="B2" s="3"/>
      <c r="C2" s="3"/>
      <c r="D2" s="3"/>
      <c r="E2" s="3"/>
      <c r="F2" s="2"/>
      <c r="G2" s="4" t="s">
        <v>0</v>
      </c>
      <c r="H2" s="5">
        <f>SUMX2MY2(G5:G4773,H5:H4773)</f>
        <v>1.5794657248768829E-15</v>
      </c>
      <c r="I2" s="4" t="s">
        <v>0</v>
      </c>
      <c r="J2" s="5">
        <f>SUMX2MY2(I5:I4773,J5:J4773)</f>
        <v>0</v>
      </c>
      <c r="K2" s="4" t="s">
        <v>0</v>
      </c>
      <c r="L2" s="5">
        <f>SUMX2MY2(K5:K4773,L5:L4773)</f>
        <v>0</v>
      </c>
      <c r="M2" s="4" t="s">
        <v>0</v>
      </c>
      <c r="N2" s="5" t="e">
        <f>SUMX2MY2(M5:M4773,N5:N4773)</f>
        <v>#DIV/0!</v>
      </c>
      <c r="O2" s="4" t="s">
        <v>0</v>
      </c>
      <c r="P2" s="5" t="e">
        <f>SUMX2MY2(O5:O4773,P5:P4773)</f>
        <v>#DIV/0!</v>
      </c>
    </row>
    <row r="3" spans="1:18" ht="27.75" customHeight="1">
      <c r="A3" s="35" t="s">
        <v>1</v>
      </c>
      <c r="B3" s="36" t="s">
        <v>2</v>
      </c>
      <c r="C3" s="36" t="s">
        <v>3</v>
      </c>
      <c r="D3" s="36" t="s">
        <v>4</v>
      </c>
      <c r="E3" s="1087" t="s">
        <v>7</v>
      </c>
      <c r="F3" s="1088"/>
      <c r="G3" s="7" t="s">
        <v>5</v>
      </c>
      <c r="H3" s="8" t="s">
        <v>6</v>
      </c>
      <c r="I3" s="7" t="s">
        <v>5</v>
      </c>
      <c r="J3" s="8" t="s">
        <v>6</v>
      </c>
      <c r="K3" s="7" t="s">
        <v>5</v>
      </c>
      <c r="L3" s="8" t="s">
        <v>6</v>
      </c>
      <c r="M3" s="7" t="s">
        <v>5</v>
      </c>
      <c r="N3" s="8" t="s">
        <v>6</v>
      </c>
      <c r="O3" s="7" t="s">
        <v>5</v>
      </c>
      <c r="P3" s="8" t="s">
        <v>6</v>
      </c>
    </row>
    <row r="4" spans="1:18" ht="15.75" customHeight="1" thickBot="1">
      <c r="A4" s="34"/>
      <c r="B4" s="33"/>
      <c r="C4" s="33"/>
      <c r="D4" s="33"/>
      <c r="E4" s="41" t="s">
        <v>9</v>
      </c>
      <c r="F4" s="42" t="s">
        <v>8</v>
      </c>
      <c r="G4" s="38">
        <v>0</v>
      </c>
      <c r="H4" s="39">
        <v>0</v>
      </c>
      <c r="I4" s="38">
        <v>0</v>
      </c>
      <c r="J4" s="39">
        <v>0</v>
      </c>
      <c r="K4" s="38">
        <v>0</v>
      </c>
      <c r="L4" s="39">
        <v>0</v>
      </c>
      <c r="M4" s="38">
        <v>0</v>
      </c>
      <c r="N4" s="39">
        <v>0</v>
      </c>
      <c r="O4" s="38">
        <v>0</v>
      </c>
      <c r="P4" s="39">
        <v>0</v>
      </c>
    </row>
    <row r="5" spans="1:18" s="753" customFormat="1">
      <c r="A5" s="756"/>
      <c r="B5" s="757"/>
      <c r="C5" s="758"/>
      <c r="D5" s="773" t="s">
        <v>5471</v>
      </c>
      <c r="E5" s="782"/>
      <c r="F5" s="774" t="s">
        <v>5472</v>
      </c>
      <c r="G5" s="783">
        <v>0.35560000000000003</v>
      </c>
      <c r="H5" s="772">
        <f>D5*0.0254</f>
        <v>0.35559999999999997</v>
      </c>
      <c r="I5" s="783">
        <v>2</v>
      </c>
      <c r="J5" s="772"/>
      <c r="K5" s="783">
        <v>293.14999999999998</v>
      </c>
      <c r="L5" s="772">
        <v>293.14999999999998</v>
      </c>
      <c r="M5" s="783">
        <v>1</v>
      </c>
      <c r="N5" s="772"/>
      <c r="O5" s="783"/>
      <c r="P5" s="772"/>
    </row>
    <row r="6" spans="1:18" s="753" customFormat="1">
      <c r="A6" s="756"/>
      <c r="B6" s="757"/>
      <c r="C6" s="758"/>
      <c r="D6" s="773">
        <v>6</v>
      </c>
      <c r="E6" s="782"/>
      <c r="F6" s="774" t="s">
        <v>5473</v>
      </c>
      <c r="G6" s="783">
        <v>0.15240000000000001</v>
      </c>
      <c r="H6" s="772">
        <f t="shared" ref="H6:H33" si="0">D6*0.0254</f>
        <v>0.15239999999999998</v>
      </c>
      <c r="I6" s="783">
        <v>2</v>
      </c>
      <c r="J6" s="772"/>
      <c r="K6" s="783">
        <v>293.14999999999998</v>
      </c>
      <c r="L6" s="772">
        <v>293.14999999999998</v>
      </c>
      <c r="M6" s="783">
        <v>1</v>
      </c>
      <c r="N6" s="772"/>
      <c r="O6" s="783"/>
      <c r="P6" s="772"/>
    </row>
    <row r="7" spans="1:18" s="753" customFormat="1">
      <c r="A7" s="756"/>
      <c r="B7" s="757"/>
      <c r="C7" s="758"/>
      <c r="D7" s="773" t="s">
        <v>5474</v>
      </c>
      <c r="E7" s="782"/>
      <c r="F7" s="774" t="s">
        <v>5475</v>
      </c>
      <c r="G7" s="783">
        <v>0.20319999999999999</v>
      </c>
      <c r="H7" s="772">
        <f t="shared" si="0"/>
        <v>0.20319999999999999</v>
      </c>
      <c r="I7" s="783">
        <v>2</v>
      </c>
      <c r="J7" s="772"/>
      <c r="K7" s="783">
        <v>293.14999999999998</v>
      </c>
      <c r="L7" s="772">
        <v>293.14999999999998</v>
      </c>
      <c r="M7" s="783">
        <v>1</v>
      </c>
      <c r="N7" s="772"/>
      <c r="O7" s="783"/>
      <c r="P7" s="772"/>
    </row>
    <row r="8" spans="1:18" s="753" customFormat="1">
      <c r="A8" s="756"/>
      <c r="B8" s="757"/>
      <c r="C8" s="758"/>
      <c r="D8" s="773" t="s">
        <v>5474</v>
      </c>
      <c r="E8" s="782"/>
      <c r="F8" s="774" t="s">
        <v>5476</v>
      </c>
      <c r="G8" s="783">
        <v>0.20319999999999999</v>
      </c>
      <c r="H8" s="772">
        <f t="shared" si="0"/>
        <v>0.20319999999999999</v>
      </c>
      <c r="I8" s="783">
        <v>2</v>
      </c>
      <c r="J8" s="772"/>
      <c r="K8" s="783">
        <v>293.14999999999998</v>
      </c>
      <c r="L8" s="772">
        <v>293.14999999999998</v>
      </c>
      <c r="M8" s="783">
        <v>1</v>
      </c>
      <c r="N8" s="772"/>
      <c r="O8" s="783"/>
      <c r="P8" s="772"/>
    </row>
    <row r="9" spans="1:18" s="753" customFormat="1">
      <c r="A9" s="756"/>
      <c r="B9" s="757"/>
      <c r="C9" s="758"/>
      <c r="D9" s="773">
        <v>6</v>
      </c>
      <c r="E9" s="782"/>
      <c r="F9" s="774" t="s">
        <v>5477</v>
      </c>
      <c r="G9" s="783">
        <v>0.15240000000000001</v>
      </c>
      <c r="H9" s="772">
        <f t="shared" si="0"/>
        <v>0.15239999999999998</v>
      </c>
      <c r="I9" s="783">
        <v>2</v>
      </c>
      <c r="J9" s="772"/>
      <c r="K9" s="783">
        <v>293.14999999999998</v>
      </c>
      <c r="L9" s="772">
        <v>293.14999999999998</v>
      </c>
      <c r="M9" s="783">
        <v>1</v>
      </c>
      <c r="N9" s="772"/>
      <c r="O9" s="783"/>
      <c r="P9" s="772"/>
    </row>
    <row r="10" spans="1:18" s="753" customFormat="1">
      <c r="A10" s="756"/>
      <c r="B10" s="757"/>
      <c r="C10" s="758"/>
      <c r="D10" s="773" t="s">
        <v>5474</v>
      </c>
      <c r="E10" s="782"/>
      <c r="F10" s="774" t="s">
        <v>5478</v>
      </c>
      <c r="G10" s="783">
        <v>0.20319999999999999</v>
      </c>
      <c r="H10" s="772">
        <f t="shared" si="0"/>
        <v>0.20319999999999999</v>
      </c>
      <c r="I10" s="783">
        <v>2</v>
      </c>
      <c r="J10" s="772"/>
      <c r="K10" s="783">
        <v>293.14999999999998</v>
      </c>
      <c r="L10" s="772">
        <v>293.14999999999998</v>
      </c>
      <c r="M10" s="783">
        <v>1</v>
      </c>
      <c r="N10" s="772"/>
      <c r="O10" s="783"/>
      <c r="P10" s="772"/>
    </row>
    <row r="11" spans="1:18" s="753" customFormat="1">
      <c r="A11" s="756"/>
      <c r="B11" s="757"/>
      <c r="C11" s="758"/>
      <c r="D11" s="773" t="s">
        <v>5474</v>
      </c>
      <c r="E11" s="782"/>
      <c r="F11" s="774" t="s">
        <v>5479</v>
      </c>
      <c r="G11" s="783">
        <v>0.20319999999999999</v>
      </c>
      <c r="H11" s="772">
        <f t="shared" si="0"/>
        <v>0.20319999999999999</v>
      </c>
      <c r="I11" s="783">
        <v>2</v>
      </c>
      <c r="J11" s="772"/>
      <c r="K11" s="783">
        <v>293.14999999999998</v>
      </c>
      <c r="L11" s="772">
        <v>293.14999999999998</v>
      </c>
      <c r="M11" s="783">
        <v>1</v>
      </c>
      <c r="N11" s="772"/>
      <c r="O11" s="783"/>
      <c r="P11" s="772"/>
    </row>
    <row r="12" spans="1:18" s="753" customFormat="1">
      <c r="A12" s="756"/>
      <c r="B12" s="757"/>
      <c r="C12" s="758"/>
      <c r="D12" s="773">
        <v>6</v>
      </c>
      <c r="E12" s="782"/>
      <c r="F12" s="774" t="s">
        <v>5480</v>
      </c>
      <c r="G12" s="783">
        <v>0.15240000000000001</v>
      </c>
      <c r="H12" s="772">
        <f t="shared" si="0"/>
        <v>0.15239999999999998</v>
      </c>
      <c r="I12" s="783">
        <v>2</v>
      </c>
      <c r="J12" s="772"/>
      <c r="K12" s="783">
        <v>293.14999999999998</v>
      </c>
      <c r="L12" s="772">
        <v>293.14999999999998</v>
      </c>
      <c r="M12" s="783">
        <v>1</v>
      </c>
      <c r="N12" s="772"/>
      <c r="O12" s="783"/>
      <c r="P12" s="772"/>
    </row>
    <row r="13" spans="1:18" s="753" customFormat="1">
      <c r="A13" s="756"/>
      <c r="B13" s="757"/>
      <c r="C13" s="758"/>
      <c r="D13" s="773" t="s">
        <v>5474</v>
      </c>
      <c r="E13" s="782"/>
      <c r="F13" s="774" t="s">
        <v>5481</v>
      </c>
      <c r="G13" s="783">
        <v>0.20319999999999999</v>
      </c>
      <c r="H13" s="772">
        <f t="shared" si="0"/>
        <v>0.20319999999999999</v>
      </c>
      <c r="I13" s="783">
        <v>2</v>
      </c>
      <c r="J13" s="772"/>
      <c r="K13" s="783">
        <v>293.14999999999998</v>
      </c>
      <c r="L13" s="772">
        <v>293.14999999999998</v>
      </c>
      <c r="M13" s="783">
        <v>1</v>
      </c>
      <c r="N13" s="772"/>
      <c r="O13" s="783"/>
      <c r="P13" s="772"/>
    </row>
    <row r="14" spans="1:18" s="753" customFormat="1">
      <c r="A14" s="756"/>
      <c r="B14" s="757"/>
      <c r="C14" s="758"/>
      <c r="D14" s="773" t="s">
        <v>5474</v>
      </c>
      <c r="E14" s="782"/>
      <c r="F14" s="774" t="s">
        <v>5482</v>
      </c>
      <c r="G14" s="783">
        <v>0.20319999999999999</v>
      </c>
      <c r="H14" s="772">
        <f t="shared" si="0"/>
        <v>0.20319999999999999</v>
      </c>
      <c r="I14" s="783">
        <v>2</v>
      </c>
      <c r="J14" s="772"/>
      <c r="K14" s="783">
        <v>293.14999999999998</v>
      </c>
      <c r="L14" s="772">
        <v>293.14999999999998</v>
      </c>
      <c r="M14" s="783">
        <v>1</v>
      </c>
      <c r="N14" s="772"/>
      <c r="O14" s="783"/>
      <c r="P14" s="772"/>
    </row>
    <row r="15" spans="1:18" s="753" customFormat="1">
      <c r="A15" s="756"/>
      <c r="B15" s="757"/>
      <c r="C15" s="758"/>
      <c r="D15" s="773">
        <v>6</v>
      </c>
      <c r="E15" s="782"/>
      <c r="F15" s="774" t="s">
        <v>5483</v>
      </c>
      <c r="G15" s="783">
        <v>0.15240000000000001</v>
      </c>
      <c r="H15" s="772">
        <f t="shared" si="0"/>
        <v>0.15239999999999998</v>
      </c>
      <c r="I15" s="783">
        <v>2</v>
      </c>
      <c r="J15" s="772"/>
      <c r="K15" s="783">
        <v>293.14999999999998</v>
      </c>
      <c r="L15" s="772">
        <v>293.14999999999998</v>
      </c>
      <c r="M15" s="783">
        <v>1</v>
      </c>
      <c r="N15" s="772"/>
      <c r="O15" s="783"/>
      <c r="P15" s="772"/>
    </row>
    <row r="16" spans="1:18" s="753" customFormat="1">
      <c r="A16" s="756"/>
      <c r="B16" s="757"/>
      <c r="C16" s="758"/>
      <c r="D16" s="773" t="s">
        <v>5474</v>
      </c>
      <c r="E16" s="782"/>
      <c r="F16" s="774" t="s">
        <v>5484</v>
      </c>
      <c r="G16" s="783">
        <v>0.20319999999999999</v>
      </c>
      <c r="H16" s="772">
        <f t="shared" si="0"/>
        <v>0.20319999999999999</v>
      </c>
      <c r="I16" s="783">
        <v>2</v>
      </c>
      <c r="J16" s="772"/>
      <c r="K16" s="783">
        <v>293.14999999999998</v>
      </c>
      <c r="L16" s="772">
        <v>293.14999999999998</v>
      </c>
      <c r="M16" s="783">
        <v>1</v>
      </c>
      <c r="N16" s="772"/>
      <c r="O16" s="783"/>
      <c r="P16" s="772"/>
    </row>
    <row r="17" spans="1:16" s="753" customFormat="1">
      <c r="A17" s="756"/>
      <c r="B17" s="757"/>
      <c r="C17" s="758"/>
      <c r="D17" s="773" t="s">
        <v>5474</v>
      </c>
      <c r="E17" s="782"/>
      <c r="F17" s="774" t="s">
        <v>5485</v>
      </c>
      <c r="G17" s="783">
        <v>0.20319999999999999</v>
      </c>
      <c r="H17" s="772">
        <f t="shared" si="0"/>
        <v>0.20319999999999999</v>
      </c>
      <c r="I17" s="783">
        <v>2</v>
      </c>
      <c r="J17" s="772"/>
      <c r="K17" s="783">
        <v>293.14999999999998</v>
      </c>
      <c r="L17" s="772">
        <v>293.14999999999998</v>
      </c>
      <c r="M17" s="783">
        <v>1</v>
      </c>
      <c r="N17" s="772"/>
      <c r="O17" s="783"/>
      <c r="P17" s="772"/>
    </row>
    <row r="18" spans="1:16" s="753" customFormat="1">
      <c r="A18" s="756"/>
      <c r="B18" s="757"/>
      <c r="C18" s="758"/>
      <c r="D18" s="773">
        <v>6</v>
      </c>
      <c r="E18" s="782"/>
      <c r="F18" s="774" t="s">
        <v>5486</v>
      </c>
      <c r="G18" s="783">
        <v>0.15240000000000001</v>
      </c>
      <c r="H18" s="772">
        <f t="shared" si="0"/>
        <v>0.15239999999999998</v>
      </c>
      <c r="I18" s="783">
        <v>2</v>
      </c>
      <c r="J18" s="772"/>
      <c r="K18" s="783">
        <v>293.14999999999998</v>
      </c>
      <c r="L18" s="772">
        <v>293.14999999999998</v>
      </c>
      <c r="M18" s="783">
        <v>1</v>
      </c>
      <c r="N18" s="772"/>
      <c r="O18" s="783"/>
      <c r="P18" s="772"/>
    </row>
    <row r="19" spans="1:16" s="753" customFormat="1">
      <c r="A19" s="756"/>
      <c r="B19" s="757"/>
      <c r="C19" s="758"/>
      <c r="D19" s="773" t="s">
        <v>5474</v>
      </c>
      <c r="E19" s="782"/>
      <c r="F19" s="774" t="s">
        <v>5487</v>
      </c>
      <c r="G19" s="783">
        <v>0.20319999999999999</v>
      </c>
      <c r="H19" s="772">
        <f t="shared" si="0"/>
        <v>0.20319999999999999</v>
      </c>
      <c r="I19" s="783">
        <v>2</v>
      </c>
      <c r="J19" s="772"/>
      <c r="K19" s="783">
        <v>293.14999999999998</v>
      </c>
      <c r="L19" s="772">
        <v>293.14999999999998</v>
      </c>
      <c r="M19" s="783">
        <v>1</v>
      </c>
      <c r="N19" s="772"/>
      <c r="O19" s="783"/>
      <c r="P19" s="772"/>
    </row>
    <row r="20" spans="1:16" s="753" customFormat="1">
      <c r="A20" s="756"/>
      <c r="B20" s="757"/>
      <c r="C20" s="758"/>
      <c r="D20" s="773" t="s">
        <v>5474</v>
      </c>
      <c r="E20" s="782"/>
      <c r="F20" s="774" t="s">
        <v>5488</v>
      </c>
      <c r="G20" s="783">
        <v>0.20319999999999999</v>
      </c>
      <c r="H20" s="772">
        <f t="shared" si="0"/>
        <v>0.20319999999999999</v>
      </c>
      <c r="I20" s="783">
        <v>2</v>
      </c>
      <c r="J20" s="772"/>
      <c r="K20" s="783">
        <v>293.14999999999998</v>
      </c>
      <c r="L20" s="772">
        <v>293.14999999999998</v>
      </c>
      <c r="M20" s="783">
        <v>1</v>
      </c>
      <c r="N20" s="772"/>
      <c r="O20" s="783"/>
      <c r="P20" s="772"/>
    </row>
    <row r="21" spans="1:16" s="753" customFormat="1">
      <c r="A21" s="756"/>
      <c r="B21" s="757"/>
      <c r="C21" s="758"/>
      <c r="D21" s="773">
        <v>6</v>
      </c>
      <c r="E21" s="782"/>
      <c r="F21" s="774" t="s">
        <v>5489</v>
      </c>
      <c r="G21" s="783">
        <v>0.15240000000000001</v>
      </c>
      <c r="H21" s="772">
        <f t="shared" si="0"/>
        <v>0.15239999999999998</v>
      </c>
      <c r="I21" s="783">
        <v>2</v>
      </c>
      <c r="J21" s="772"/>
      <c r="K21" s="783">
        <v>293.14999999999998</v>
      </c>
      <c r="L21" s="772">
        <v>293.14999999999998</v>
      </c>
      <c r="M21" s="783">
        <v>1</v>
      </c>
      <c r="N21" s="772"/>
      <c r="O21" s="783"/>
      <c r="P21" s="772"/>
    </row>
    <row r="22" spans="1:16" s="753" customFormat="1">
      <c r="A22" s="756"/>
      <c r="B22" s="757"/>
      <c r="C22" s="758"/>
      <c r="D22" s="773" t="s">
        <v>5474</v>
      </c>
      <c r="E22" s="782"/>
      <c r="F22" s="774" t="s">
        <v>5490</v>
      </c>
      <c r="G22" s="783">
        <v>0.20319999999999999</v>
      </c>
      <c r="H22" s="772">
        <f t="shared" si="0"/>
        <v>0.20319999999999999</v>
      </c>
      <c r="I22" s="783">
        <v>2</v>
      </c>
      <c r="J22" s="772"/>
      <c r="K22" s="783">
        <v>293.14999999999998</v>
      </c>
      <c r="L22" s="772">
        <v>293.14999999999998</v>
      </c>
      <c r="M22" s="783">
        <v>1</v>
      </c>
      <c r="N22" s="772"/>
      <c r="O22" s="783"/>
      <c r="P22" s="772"/>
    </row>
    <row r="23" spans="1:16" s="753" customFormat="1">
      <c r="A23" s="756"/>
      <c r="B23" s="757"/>
      <c r="C23" s="758"/>
      <c r="D23" s="773" t="s">
        <v>5474</v>
      </c>
      <c r="E23" s="782"/>
      <c r="F23" s="774" t="s">
        <v>5491</v>
      </c>
      <c r="G23" s="783">
        <v>0.20319999999999999</v>
      </c>
      <c r="H23" s="772">
        <f t="shared" si="0"/>
        <v>0.20319999999999999</v>
      </c>
      <c r="I23" s="783">
        <v>2</v>
      </c>
      <c r="J23" s="772"/>
      <c r="K23" s="783">
        <v>293.14999999999998</v>
      </c>
      <c r="L23" s="772">
        <v>293.14999999999998</v>
      </c>
      <c r="M23" s="783">
        <v>1</v>
      </c>
      <c r="N23" s="772"/>
      <c r="O23" s="783"/>
      <c r="P23" s="772"/>
    </row>
    <row r="24" spans="1:16" s="753" customFormat="1">
      <c r="A24" s="756"/>
      <c r="B24" s="757"/>
      <c r="C24" s="758"/>
      <c r="D24" s="773">
        <v>6</v>
      </c>
      <c r="E24" s="782"/>
      <c r="F24" s="774" t="s">
        <v>5492</v>
      </c>
      <c r="G24" s="783">
        <v>0.15240000000000001</v>
      </c>
      <c r="H24" s="772">
        <f t="shared" si="0"/>
        <v>0.15239999999999998</v>
      </c>
      <c r="I24" s="783">
        <v>2</v>
      </c>
      <c r="J24" s="772"/>
      <c r="K24" s="783">
        <v>293.14999999999998</v>
      </c>
      <c r="L24" s="772">
        <v>293.14999999999998</v>
      </c>
      <c r="M24" s="783">
        <v>1</v>
      </c>
      <c r="N24" s="772"/>
      <c r="O24" s="783"/>
      <c r="P24" s="772"/>
    </row>
    <row r="25" spans="1:16" s="753" customFormat="1">
      <c r="A25" s="756"/>
      <c r="B25" s="757"/>
      <c r="C25" s="758"/>
      <c r="D25" s="773" t="s">
        <v>5474</v>
      </c>
      <c r="E25" s="782"/>
      <c r="F25" s="774" t="s">
        <v>5493</v>
      </c>
      <c r="G25" s="783">
        <v>0.20319999999999999</v>
      </c>
      <c r="H25" s="772">
        <f t="shared" si="0"/>
        <v>0.20319999999999999</v>
      </c>
      <c r="I25" s="783">
        <v>2</v>
      </c>
      <c r="J25" s="772"/>
      <c r="K25" s="783">
        <v>293.14999999999998</v>
      </c>
      <c r="L25" s="772">
        <v>293.14999999999998</v>
      </c>
      <c r="M25" s="783">
        <v>1</v>
      </c>
      <c r="N25" s="772"/>
      <c r="O25" s="783"/>
      <c r="P25" s="772"/>
    </row>
    <row r="26" spans="1:16" s="753" customFormat="1">
      <c r="A26" s="756"/>
      <c r="B26" s="757"/>
      <c r="C26" s="758"/>
      <c r="D26" s="773" t="s">
        <v>5474</v>
      </c>
      <c r="E26" s="782"/>
      <c r="F26" s="774" t="s">
        <v>5494</v>
      </c>
      <c r="G26" s="783">
        <v>0.20319999999999999</v>
      </c>
      <c r="H26" s="772">
        <f t="shared" si="0"/>
        <v>0.20319999999999999</v>
      </c>
      <c r="I26" s="783">
        <v>2</v>
      </c>
      <c r="J26" s="772"/>
      <c r="K26" s="783">
        <v>293.14999999999998</v>
      </c>
      <c r="L26" s="772">
        <v>293.14999999999998</v>
      </c>
      <c r="M26" s="783">
        <v>1</v>
      </c>
      <c r="N26" s="772"/>
      <c r="O26" s="783"/>
      <c r="P26" s="772"/>
    </row>
    <row r="27" spans="1:16" s="753" customFormat="1">
      <c r="A27" s="756"/>
      <c r="B27" s="757"/>
      <c r="C27" s="758"/>
      <c r="D27" s="773">
        <v>6</v>
      </c>
      <c r="E27" s="782"/>
      <c r="F27" s="774" t="s">
        <v>5495</v>
      </c>
      <c r="G27" s="783">
        <v>0.15240000000000001</v>
      </c>
      <c r="H27" s="772">
        <f t="shared" si="0"/>
        <v>0.15239999999999998</v>
      </c>
      <c r="I27" s="783">
        <v>2</v>
      </c>
      <c r="J27" s="772"/>
      <c r="K27" s="783">
        <v>293.14999999999998</v>
      </c>
      <c r="L27" s="772">
        <v>293.14999999999998</v>
      </c>
      <c r="M27" s="783">
        <v>1</v>
      </c>
      <c r="N27" s="772"/>
      <c r="O27" s="783"/>
      <c r="P27" s="772"/>
    </row>
    <row r="28" spans="1:16" s="753" customFormat="1">
      <c r="A28" s="756"/>
      <c r="B28" s="757"/>
      <c r="C28" s="758"/>
      <c r="D28" s="773" t="s">
        <v>5474</v>
      </c>
      <c r="E28" s="782"/>
      <c r="F28" s="774" t="s">
        <v>5496</v>
      </c>
      <c r="G28" s="783">
        <v>0.20319999999999999</v>
      </c>
      <c r="H28" s="772">
        <f t="shared" si="0"/>
        <v>0.20319999999999999</v>
      </c>
      <c r="I28" s="783">
        <v>2</v>
      </c>
      <c r="J28" s="772"/>
      <c r="K28" s="783">
        <v>293.14999999999998</v>
      </c>
      <c r="L28" s="772">
        <v>293.14999999999998</v>
      </c>
      <c r="M28" s="783">
        <v>1</v>
      </c>
      <c r="N28" s="772"/>
      <c r="O28" s="783"/>
      <c r="P28" s="772"/>
    </row>
    <row r="29" spans="1:16" s="753" customFormat="1">
      <c r="A29" s="756"/>
      <c r="B29" s="757"/>
      <c r="C29" s="758"/>
      <c r="D29" s="773" t="s">
        <v>5474</v>
      </c>
      <c r="E29" s="782"/>
      <c r="F29" s="774" t="s">
        <v>5497</v>
      </c>
      <c r="G29" s="783">
        <v>0.20319999999999999</v>
      </c>
      <c r="H29" s="772">
        <f t="shared" si="0"/>
        <v>0.20319999999999999</v>
      </c>
      <c r="I29" s="783">
        <v>2</v>
      </c>
      <c r="J29" s="772"/>
      <c r="K29" s="783">
        <v>293.14999999999998</v>
      </c>
      <c r="L29" s="772">
        <v>293.14999999999998</v>
      </c>
      <c r="M29" s="783">
        <v>1</v>
      </c>
      <c r="N29" s="772"/>
      <c r="O29" s="783"/>
      <c r="P29" s="772"/>
    </row>
    <row r="30" spans="1:16" s="753" customFormat="1">
      <c r="A30" s="756"/>
      <c r="B30" s="757"/>
      <c r="C30" s="758"/>
      <c r="D30" s="773" t="s">
        <v>5498</v>
      </c>
      <c r="E30" s="782"/>
      <c r="F30" s="774" t="s">
        <v>5499</v>
      </c>
      <c r="G30" s="783">
        <v>5.0799999999999998E-2</v>
      </c>
      <c r="H30" s="772">
        <f t="shared" si="0"/>
        <v>5.0799999999999998E-2</v>
      </c>
      <c r="I30" s="783">
        <v>2</v>
      </c>
      <c r="J30" s="772"/>
      <c r="K30" s="783">
        <v>293.14999999999998</v>
      </c>
      <c r="L30" s="772">
        <v>293.14999999999998</v>
      </c>
      <c r="M30" s="783">
        <v>0</v>
      </c>
      <c r="N30" s="772"/>
      <c r="O30" s="783"/>
      <c r="P30" s="772"/>
    </row>
    <row r="31" spans="1:16" s="753" customFormat="1">
      <c r="A31" s="756"/>
      <c r="B31" s="757"/>
      <c r="C31" s="758"/>
      <c r="D31" s="773" t="s">
        <v>5500</v>
      </c>
      <c r="E31" s="782"/>
      <c r="F31" s="774" t="s">
        <v>5501</v>
      </c>
      <c r="G31" s="783">
        <v>0.30480000000000002</v>
      </c>
      <c r="H31" s="772">
        <f t="shared" si="0"/>
        <v>0.30479999999999996</v>
      </c>
      <c r="I31" s="783">
        <v>2</v>
      </c>
      <c r="J31" s="772"/>
      <c r="K31" s="783">
        <v>293.14999999999998</v>
      </c>
      <c r="L31" s="772">
        <v>293.14999999999998</v>
      </c>
      <c r="M31" s="783">
        <v>1</v>
      </c>
      <c r="N31" s="772"/>
      <c r="O31" s="783"/>
      <c r="P31" s="772"/>
    </row>
    <row r="32" spans="1:16" s="753" customFormat="1">
      <c r="A32" s="756"/>
      <c r="B32" s="757"/>
      <c r="C32" s="758"/>
      <c r="D32" s="773" t="s">
        <v>5471</v>
      </c>
      <c r="E32" s="782"/>
      <c r="F32" s="774" t="s">
        <v>5502</v>
      </c>
      <c r="G32" s="783">
        <v>0.35560000000000003</v>
      </c>
      <c r="H32" s="772">
        <f t="shared" si="0"/>
        <v>0.35559999999999997</v>
      </c>
      <c r="I32" s="783">
        <v>2</v>
      </c>
      <c r="J32" s="772"/>
      <c r="K32" s="783">
        <v>293.14999999999998</v>
      </c>
      <c r="L32" s="772">
        <v>293.14999999999998</v>
      </c>
      <c r="M32" s="783">
        <v>1</v>
      </c>
      <c r="N32" s="772"/>
      <c r="O32" s="783"/>
      <c r="P32" s="772"/>
    </row>
    <row r="33" spans="1:16" s="753" customFormat="1">
      <c r="A33" s="756"/>
      <c r="B33" s="757"/>
      <c r="C33" s="758"/>
      <c r="D33" s="773" t="s">
        <v>5503</v>
      </c>
      <c r="E33" s="782"/>
      <c r="F33" s="774" t="s">
        <v>5504</v>
      </c>
      <c r="G33" s="783">
        <v>0.91439999999999999</v>
      </c>
      <c r="H33" s="772">
        <f t="shared" si="0"/>
        <v>0.91439999999999999</v>
      </c>
      <c r="I33" s="783">
        <v>2</v>
      </c>
      <c r="J33" s="772"/>
      <c r="K33" s="783">
        <v>293.14999999999998</v>
      </c>
      <c r="L33" s="772">
        <v>293.14999999999998</v>
      </c>
      <c r="M33" s="783">
        <v>0</v>
      </c>
      <c r="N33" s="772"/>
      <c r="O33" s="783"/>
      <c r="P33" s="772"/>
    </row>
    <row r="34" spans="1:16" s="753" customFormat="1">
      <c r="A34" s="756"/>
      <c r="B34" s="757"/>
      <c r="C34" s="758"/>
      <c r="D34" s="773" t="s">
        <v>5503</v>
      </c>
      <c r="E34" s="782"/>
      <c r="F34" s="774" t="s">
        <v>5983</v>
      </c>
      <c r="G34" s="783">
        <v>0.91439999999999999</v>
      </c>
      <c r="H34" s="772">
        <f>D34*0.0254</f>
        <v>0.91439999999999999</v>
      </c>
      <c r="I34" s="783">
        <v>2</v>
      </c>
      <c r="J34" s="772"/>
      <c r="K34" s="783">
        <v>293.14999999999998</v>
      </c>
      <c r="L34" s="772">
        <v>293.14999999999998</v>
      </c>
      <c r="M34" s="783">
        <v>1</v>
      </c>
      <c r="N34" s="772"/>
      <c r="O34" s="783"/>
      <c r="P34" s="772"/>
    </row>
    <row r="35" spans="1:16" s="753" customFormat="1">
      <c r="A35" s="756"/>
      <c r="B35" s="757"/>
      <c r="C35" s="758"/>
      <c r="D35" s="773" t="s">
        <v>5524</v>
      </c>
      <c r="E35" s="782"/>
      <c r="F35" s="774" t="s">
        <v>5505</v>
      </c>
      <c r="G35" s="783">
        <v>0.254</v>
      </c>
      <c r="H35" s="772">
        <f t="shared" ref="H35:H53" si="1">D35*0.0254</f>
        <v>0.254</v>
      </c>
      <c r="I35" s="783">
        <v>2</v>
      </c>
      <c r="J35" s="772"/>
      <c r="K35" s="783">
        <v>293.14999999999998</v>
      </c>
      <c r="L35" s="772">
        <v>293.14999999999998</v>
      </c>
      <c r="M35" s="783">
        <v>0</v>
      </c>
      <c r="N35" s="772"/>
      <c r="O35" s="783"/>
      <c r="P35" s="772"/>
    </row>
    <row r="36" spans="1:16" s="753" customFormat="1">
      <c r="A36" s="756"/>
      <c r="B36" s="757"/>
      <c r="C36" s="758"/>
      <c r="D36" s="773" t="s">
        <v>5474</v>
      </c>
      <c r="E36" s="782"/>
      <c r="F36" s="774" t="s">
        <v>5506</v>
      </c>
      <c r="G36" s="783">
        <v>0.20319999999999999</v>
      </c>
      <c r="H36" s="772">
        <f t="shared" si="1"/>
        <v>0.20319999999999999</v>
      </c>
      <c r="I36" s="783">
        <v>2</v>
      </c>
      <c r="J36" s="772"/>
      <c r="K36" s="783">
        <v>293.14999999999998</v>
      </c>
      <c r="L36" s="772">
        <v>293.14999999999998</v>
      </c>
      <c r="M36" s="783">
        <v>0</v>
      </c>
      <c r="N36" s="772"/>
      <c r="O36" s="783"/>
      <c r="P36" s="772"/>
    </row>
    <row r="37" spans="1:16" s="753" customFormat="1">
      <c r="A37" s="756"/>
      <c r="B37" s="757"/>
      <c r="C37" s="758"/>
      <c r="D37" s="773" t="s">
        <v>5524</v>
      </c>
      <c r="E37" s="782"/>
      <c r="F37" s="774" t="s">
        <v>5507</v>
      </c>
      <c r="G37" s="783">
        <v>0.254</v>
      </c>
      <c r="H37" s="772">
        <f t="shared" si="1"/>
        <v>0.254</v>
      </c>
      <c r="I37" s="783">
        <v>2</v>
      </c>
      <c r="J37" s="772"/>
      <c r="K37" s="783">
        <v>293.14999999999998</v>
      </c>
      <c r="L37" s="772">
        <v>293.14999999999998</v>
      </c>
      <c r="M37" s="783">
        <v>0</v>
      </c>
      <c r="N37" s="772"/>
      <c r="O37" s="783"/>
      <c r="P37" s="772"/>
    </row>
    <row r="38" spans="1:16" s="753" customFormat="1">
      <c r="A38" s="756"/>
      <c r="B38" s="757"/>
      <c r="C38" s="758"/>
      <c r="D38" s="773" t="s">
        <v>5525</v>
      </c>
      <c r="E38" s="782"/>
      <c r="F38" s="774" t="s">
        <v>5508</v>
      </c>
      <c r="G38" s="783">
        <v>3.8100000000000002E-2</v>
      </c>
      <c r="H38" s="772">
        <f t="shared" si="1"/>
        <v>3.8099999999999995E-2</v>
      </c>
      <c r="I38" s="783">
        <v>2</v>
      </c>
      <c r="J38" s="772"/>
      <c r="K38" s="783">
        <v>293.14999999999998</v>
      </c>
      <c r="L38" s="772">
        <v>293.14999999999998</v>
      </c>
      <c r="M38" s="783">
        <v>0</v>
      </c>
      <c r="N38" s="772"/>
      <c r="O38" s="783"/>
      <c r="P38" s="772"/>
    </row>
    <row r="39" spans="1:16" s="753" customFormat="1">
      <c r="A39" s="756"/>
      <c r="B39" s="757"/>
      <c r="C39" s="758"/>
      <c r="D39" s="773" t="s">
        <v>5525</v>
      </c>
      <c r="E39" s="782"/>
      <c r="F39" s="774" t="s">
        <v>5509</v>
      </c>
      <c r="G39" s="783">
        <v>3.8100000000000002E-2</v>
      </c>
      <c r="H39" s="772">
        <f t="shared" si="1"/>
        <v>3.8099999999999995E-2</v>
      </c>
      <c r="I39" s="783">
        <v>2</v>
      </c>
      <c r="J39" s="772"/>
      <c r="K39" s="783">
        <v>293.14999999999998</v>
      </c>
      <c r="L39" s="772">
        <v>293.14999999999998</v>
      </c>
      <c r="M39" s="783">
        <v>0</v>
      </c>
      <c r="N39" s="772"/>
      <c r="O39" s="783"/>
      <c r="P39" s="772"/>
    </row>
    <row r="40" spans="1:16" s="753" customFormat="1">
      <c r="A40" s="756"/>
      <c r="B40" s="757"/>
      <c r="C40" s="758"/>
      <c r="D40" s="773" t="s">
        <v>5525</v>
      </c>
      <c r="E40" s="782"/>
      <c r="F40" s="774" t="s">
        <v>5510</v>
      </c>
      <c r="G40" s="783">
        <v>3.8100000000000002E-2</v>
      </c>
      <c r="H40" s="772">
        <f t="shared" si="1"/>
        <v>3.8099999999999995E-2</v>
      </c>
      <c r="I40" s="783">
        <v>2</v>
      </c>
      <c r="J40" s="772"/>
      <c r="K40" s="783">
        <v>293.14999999999998</v>
      </c>
      <c r="L40" s="772">
        <v>293.14999999999998</v>
      </c>
      <c r="M40" s="783">
        <v>0</v>
      </c>
      <c r="N40" s="772"/>
      <c r="O40" s="783"/>
      <c r="P40" s="772"/>
    </row>
    <row r="41" spans="1:16" s="753" customFormat="1">
      <c r="A41" s="756"/>
      <c r="B41" s="757"/>
      <c r="C41" s="758"/>
      <c r="D41" s="773" t="s">
        <v>5525</v>
      </c>
      <c r="E41" s="782"/>
      <c r="F41" s="774" t="s">
        <v>5511</v>
      </c>
      <c r="G41" s="783">
        <v>3.8100000000000002E-2</v>
      </c>
      <c r="H41" s="772">
        <f t="shared" si="1"/>
        <v>3.8099999999999995E-2</v>
      </c>
      <c r="I41" s="783">
        <v>2</v>
      </c>
      <c r="J41" s="772"/>
      <c r="K41" s="783">
        <v>293.14999999999998</v>
      </c>
      <c r="L41" s="772">
        <v>293.14999999999998</v>
      </c>
      <c r="M41" s="783">
        <v>0</v>
      </c>
      <c r="N41" s="772"/>
      <c r="O41" s="783"/>
      <c r="P41" s="772"/>
    </row>
    <row r="42" spans="1:16" s="753" customFormat="1">
      <c r="A42" s="756"/>
      <c r="B42" s="757"/>
      <c r="C42" s="758"/>
      <c r="D42" s="773" t="s">
        <v>5525</v>
      </c>
      <c r="E42" s="782"/>
      <c r="F42" s="774" t="s">
        <v>5512</v>
      </c>
      <c r="G42" s="783">
        <v>3.8100000000000002E-2</v>
      </c>
      <c r="H42" s="772">
        <f t="shared" si="1"/>
        <v>3.8099999999999995E-2</v>
      </c>
      <c r="I42" s="783">
        <v>2</v>
      </c>
      <c r="J42" s="772"/>
      <c r="K42" s="783">
        <v>293.14999999999998</v>
      </c>
      <c r="L42" s="772">
        <v>293.14999999999998</v>
      </c>
      <c r="M42" s="783">
        <v>0</v>
      </c>
      <c r="N42" s="772"/>
      <c r="O42" s="783"/>
      <c r="P42" s="772"/>
    </row>
    <row r="43" spans="1:16" s="753" customFormat="1">
      <c r="A43" s="756"/>
      <c r="B43" s="757"/>
      <c r="C43" s="758"/>
      <c r="D43" s="773" t="s">
        <v>5526</v>
      </c>
      <c r="E43" s="782"/>
      <c r="F43" s="774" t="s">
        <v>5513</v>
      </c>
      <c r="G43" s="783">
        <v>0.38100000000000001</v>
      </c>
      <c r="H43" s="772">
        <f t="shared" si="1"/>
        <v>0.38100000000000001</v>
      </c>
      <c r="I43" s="783">
        <v>5</v>
      </c>
      <c r="J43" s="772"/>
      <c r="K43" s="783">
        <v>293.14999999999998</v>
      </c>
      <c r="L43" s="772">
        <v>293.14999999999998</v>
      </c>
      <c r="M43" s="783">
        <v>0</v>
      </c>
      <c r="N43" s="772"/>
      <c r="O43" s="783"/>
      <c r="P43" s="772"/>
    </row>
    <row r="44" spans="1:16" s="753" customFormat="1">
      <c r="A44" s="756"/>
      <c r="B44" s="757"/>
      <c r="C44" s="758"/>
      <c r="D44" s="773" t="s">
        <v>5526</v>
      </c>
      <c r="E44" s="782"/>
      <c r="F44" s="774" t="s">
        <v>5514</v>
      </c>
      <c r="G44" s="783">
        <v>0.38100000000000001</v>
      </c>
      <c r="H44" s="772">
        <f t="shared" si="1"/>
        <v>0.38100000000000001</v>
      </c>
      <c r="I44" s="783">
        <v>5</v>
      </c>
      <c r="J44" s="772"/>
      <c r="K44" s="783">
        <v>293.14999999999998</v>
      </c>
      <c r="L44" s="772">
        <v>293.14999999999998</v>
      </c>
      <c r="M44" s="783">
        <v>1</v>
      </c>
      <c r="N44" s="772"/>
      <c r="O44" s="783"/>
      <c r="P44" s="772"/>
    </row>
    <row r="45" spans="1:16" s="753" customFormat="1">
      <c r="A45" s="756"/>
      <c r="B45" s="757"/>
      <c r="C45" s="758"/>
      <c r="D45" s="773" t="s">
        <v>5526</v>
      </c>
      <c r="E45" s="782"/>
      <c r="F45" s="774" t="s">
        <v>5515</v>
      </c>
      <c r="G45" s="783">
        <v>0.38100000000000001</v>
      </c>
      <c r="H45" s="772">
        <f t="shared" si="1"/>
        <v>0.38100000000000001</v>
      </c>
      <c r="I45" s="783">
        <v>5</v>
      </c>
      <c r="J45" s="772"/>
      <c r="K45" s="783">
        <v>293.14999999999998</v>
      </c>
      <c r="L45" s="772">
        <v>293.14999999999998</v>
      </c>
      <c r="M45" s="783">
        <v>1</v>
      </c>
      <c r="N45" s="772"/>
      <c r="O45" s="783"/>
      <c r="P45" s="772"/>
    </row>
    <row r="46" spans="1:16" s="753" customFormat="1">
      <c r="A46" s="756"/>
      <c r="B46" s="757"/>
      <c r="C46" s="758"/>
      <c r="D46" s="773" t="s">
        <v>5500</v>
      </c>
      <c r="E46" s="782"/>
      <c r="F46" s="774" t="s">
        <v>5516</v>
      </c>
      <c r="G46" s="783">
        <v>0.30480000000000002</v>
      </c>
      <c r="H46" s="772">
        <f t="shared" si="1"/>
        <v>0.30479999999999996</v>
      </c>
      <c r="I46" s="783">
        <v>5</v>
      </c>
      <c r="J46" s="772"/>
      <c r="K46" s="783">
        <v>293.14999999999998</v>
      </c>
      <c r="L46" s="772">
        <v>293.14999999999998</v>
      </c>
      <c r="M46" s="783">
        <v>1</v>
      </c>
      <c r="N46" s="772"/>
      <c r="O46" s="783"/>
      <c r="P46" s="772"/>
    </row>
    <row r="47" spans="1:16" s="753" customFormat="1">
      <c r="A47" s="756"/>
      <c r="B47" s="757"/>
      <c r="C47" s="758"/>
      <c r="D47" s="773" t="s">
        <v>5500</v>
      </c>
      <c r="E47" s="782"/>
      <c r="F47" s="774" t="s">
        <v>5517</v>
      </c>
      <c r="G47" s="783">
        <v>0.30480000000000002</v>
      </c>
      <c r="H47" s="772">
        <f t="shared" si="1"/>
        <v>0.30479999999999996</v>
      </c>
      <c r="I47" s="783">
        <v>5</v>
      </c>
      <c r="J47" s="772"/>
      <c r="K47" s="783">
        <v>293.14999999999998</v>
      </c>
      <c r="L47" s="772">
        <v>293.14999999999998</v>
      </c>
      <c r="M47" s="783">
        <v>1</v>
      </c>
      <c r="N47" s="772"/>
      <c r="O47" s="783"/>
      <c r="P47" s="772"/>
    </row>
    <row r="48" spans="1:16" s="753" customFormat="1">
      <c r="A48" s="756"/>
      <c r="B48" s="757"/>
      <c r="C48" s="758"/>
      <c r="D48" s="773" t="s">
        <v>5500</v>
      </c>
      <c r="E48" s="782"/>
      <c r="F48" s="774" t="s">
        <v>5518</v>
      </c>
      <c r="G48" s="783">
        <v>0.30480000000000002</v>
      </c>
      <c r="H48" s="772">
        <f t="shared" si="1"/>
        <v>0.30479999999999996</v>
      </c>
      <c r="I48" s="783">
        <v>5</v>
      </c>
      <c r="J48" s="772"/>
      <c r="K48" s="783">
        <v>293.14999999999998</v>
      </c>
      <c r="L48" s="772">
        <v>293.14999999999998</v>
      </c>
      <c r="M48" s="783">
        <v>1</v>
      </c>
      <c r="N48" s="772"/>
      <c r="O48" s="783"/>
      <c r="P48" s="772"/>
    </row>
    <row r="49" spans="1:16" s="753" customFormat="1">
      <c r="A49" s="756"/>
      <c r="B49" s="757"/>
      <c r="C49" s="758"/>
      <c r="D49" s="773" t="s">
        <v>5500</v>
      </c>
      <c r="E49" s="782"/>
      <c r="F49" s="774" t="s">
        <v>5519</v>
      </c>
      <c r="G49" s="783">
        <v>0.30480000000000002</v>
      </c>
      <c r="H49" s="772">
        <f t="shared" si="1"/>
        <v>0.30479999999999996</v>
      </c>
      <c r="I49" s="783">
        <v>5</v>
      </c>
      <c r="J49" s="772"/>
      <c r="K49" s="783">
        <v>293.14999999999998</v>
      </c>
      <c r="L49" s="772">
        <v>293.14999999999998</v>
      </c>
      <c r="M49" s="783">
        <v>0</v>
      </c>
      <c r="N49" s="772"/>
      <c r="O49" s="783"/>
      <c r="P49" s="772"/>
    </row>
    <row r="50" spans="1:16" s="753" customFormat="1">
      <c r="A50" s="756"/>
      <c r="B50" s="757"/>
      <c r="C50" s="758"/>
      <c r="D50" s="773" t="s">
        <v>5500</v>
      </c>
      <c r="E50" s="782"/>
      <c r="F50" s="774" t="s">
        <v>5520</v>
      </c>
      <c r="G50" s="783">
        <v>0.30480000000000002</v>
      </c>
      <c r="H50" s="772">
        <f t="shared" si="1"/>
        <v>0.30479999999999996</v>
      </c>
      <c r="I50" s="783">
        <v>5</v>
      </c>
      <c r="J50" s="772"/>
      <c r="K50" s="783">
        <v>293.14999999999998</v>
      </c>
      <c r="L50" s="772">
        <v>293.14999999999998</v>
      </c>
      <c r="M50" s="783">
        <v>0</v>
      </c>
      <c r="N50" s="772"/>
      <c r="O50" s="783"/>
      <c r="P50" s="772"/>
    </row>
    <row r="51" spans="1:16" s="753" customFormat="1">
      <c r="A51" s="756"/>
      <c r="B51" s="757"/>
      <c r="C51" s="758"/>
      <c r="D51" s="773" t="s">
        <v>5529</v>
      </c>
      <c r="E51" s="782"/>
      <c r="F51" s="774" t="s">
        <v>5521</v>
      </c>
      <c r="G51" s="783">
        <v>0.15240000000000001</v>
      </c>
      <c r="H51" s="772">
        <f t="shared" si="1"/>
        <v>0.15239999999999998</v>
      </c>
      <c r="I51" s="783">
        <v>5</v>
      </c>
      <c r="J51" s="772"/>
      <c r="K51" s="783">
        <v>293.14999999999998</v>
      </c>
      <c r="L51" s="772">
        <v>293.14999999999998</v>
      </c>
      <c r="M51" s="783">
        <v>0</v>
      </c>
      <c r="N51" s="772"/>
      <c r="O51" s="783"/>
      <c r="P51" s="772"/>
    </row>
    <row r="52" spans="1:16" s="753" customFormat="1">
      <c r="A52" s="756"/>
      <c r="B52" s="757"/>
      <c r="C52" s="758"/>
      <c r="D52" s="773" t="s">
        <v>5529</v>
      </c>
      <c r="E52" s="782"/>
      <c r="F52" s="774" t="s">
        <v>5522</v>
      </c>
      <c r="G52" s="783">
        <v>0.15240000000000001</v>
      </c>
      <c r="H52" s="772">
        <f t="shared" si="1"/>
        <v>0.15239999999999998</v>
      </c>
      <c r="I52" s="783">
        <v>5</v>
      </c>
      <c r="J52" s="772"/>
      <c r="K52" s="783">
        <v>293.14999999999998</v>
      </c>
      <c r="L52" s="772">
        <v>293.14999999999998</v>
      </c>
      <c r="M52" s="783">
        <v>0</v>
      </c>
      <c r="N52" s="772"/>
      <c r="O52" s="783"/>
      <c r="P52" s="772"/>
    </row>
    <row r="53" spans="1:16" s="753" customFormat="1">
      <c r="A53" s="756"/>
      <c r="B53" s="757"/>
      <c r="C53" s="758"/>
      <c r="D53" s="773" t="s">
        <v>5526</v>
      </c>
      <c r="E53" s="782"/>
      <c r="F53" s="774" t="s">
        <v>5523</v>
      </c>
      <c r="G53" s="783">
        <v>0.38100000000000001</v>
      </c>
      <c r="H53" s="772">
        <f t="shared" si="1"/>
        <v>0.38100000000000001</v>
      </c>
      <c r="I53" s="783">
        <v>5</v>
      </c>
      <c r="J53" s="772"/>
      <c r="K53" s="783">
        <v>293.14999999999998</v>
      </c>
      <c r="L53" s="772">
        <v>293.14999999999998</v>
      </c>
      <c r="M53" s="783">
        <v>1</v>
      </c>
      <c r="N53" s="772"/>
      <c r="O53" s="783"/>
      <c r="P53" s="772"/>
    </row>
    <row r="54" spans="1:16" s="753" customFormat="1">
      <c r="A54" s="756"/>
      <c r="B54" s="757"/>
      <c r="C54" s="758"/>
      <c r="D54" s="773" t="s">
        <v>5526</v>
      </c>
      <c r="E54" s="782"/>
      <c r="F54" s="774" t="s">
        <v>5527</v>
      </c>
      <c r="G54" s="783">
        <v>0.38100000000000001</v>
      </c>
      <c r="H54" s="772">
        <f>D54*0.0254</f>
        <v>0.38100000000000001</v>
      </c>
      <c r="I54" s="783">
        <v>5</v>
      </c>
      <c r="J54" s="772"/>
      <c r="K54" s="783">
        <v>293.14999999999998</v>
      </c>
      <c r="L54" s="772">
        <v>293.14999999999998</v>
      </c>
      <c r="M54" s="783">
        <v>1</v>
      </c>
      <c r="N54" s="772"/>
      <c r="O54" s="783"/>
      <c r="P54" s="772"/>
    </row>
    <row r="55" spans="1:16" s="753" customFormat="1">
      <c r="A55" s="756"/>
      <c r="B55" s="757"/>
      <c r="C55" s="758"/>
      <c r="D55" s="773" t="s">
        <v>5525</v>
      </c>
      <c r="E55" s="782"/>
      <c r="F55" s="774" t="s">
        <v>5649</v>
      </c>
      <c r="G55" s="783">
        <v>3.8100000000000002E-2</v>
      </c>
      <c r="H55" s="772">
        <f>D55*0.0254</f>
        <v>3.8099999999999995E-2</v>
      </c>
      <c r="I55" s="783">
        <v>2</v>
      </c>
      <c r="J55" s="772"/>
      <c r="K55" s="783">
        <v>293.14999999999998</v>
      </c>
      <c r="L55" s="772">
        <v>293.14999999999998</v>
      </c>
      <c r="M55" s="783">
        <v>0</v>
      </c>
      <c r="N55" s="772"/>
      <c r="O55" s="783"/>
      <c r="P55" s="772"/>
    </row>
    <row r="56" spans="1:16" s="753" customFormat="1">
      <c r="A56" s="756"/>
      <c r="B56" s="757"/>
      <c r="C56" s="758"/>
      <c r="D56" s="773" t="s">
        <v>5500</v>
      </c>
      <c r="E56" s="782"/>
      <c r="F56" s="774" t="s">
        <v>5530</v>
      </c>
      <c r="G56" s="783">
        <v>0.30480000000000002</v>
      </c>
      <c r="H56" s="772">
        <f t="shared" ref="H56:H76" si="2">D56*0.0254</f>
        <v>0.30479999999999996</v>
      </c>
      <c r="I56" s="783">
        <v>2</v>
      </c>
      <c r="J56" s="772"/>
      <c r="K56" s="783">
        <v>293.14999999999998</v>
      </c>
      <c r="L56" s="772">
        <v>293.14999999999998</v>
      </c>
      <c r="M56" s="783">
        <v>0</v>
      </c>
      <c r="N56" s="772"/>
      <c r="O56" s="783"/>
      <c r="P56" s="772"/>
    </row>
    <row r="57" spans="1:16" s="753" customFormat="1">
      <c r="A57" s="756"/>
      <c r="B57" s="757"/>
      <c r="C57" s="758"/>
      <c r="D57" s="773" t="s">
        <v>5529</v>
      </c>
      <c r="E57" s="782"/>
      <c r="F57" s="774" t="s">
        <v>5531</v>
      </c>
      <c r="G57" s="783">
        <v>0.15240000000000001</v>
      </c>
      <c r="H57" s="772">
        <f t="shared" si="2"/>
        <v>0.15239999999999998</v>
      </c>
      <c r="I57" s="783">
        <v>2</v>
      </c>
      <c r="J57" s="772"/>
      <c r="K57" s="783">
        <v>293.14999999999998</v>
      </c>
      <c r="L57" s="772">
        <v>293.14999999999998</v>
      </c>
      <c r="M57" s="783">
        <v>0</v>
      </c>
      <c r="N57" s="772"/>
      <c r="O57" s="783"/>
      <c r="P57" s="772"/>
    </row>
    <row r="58" spans="1:16" s="753" customFormat="1">
      <c r="A58" s="756"/>
      <c r="B58" s="757"/>
      <c r="C58" s="758"/>
      <c r="D58" s="773" t="s">
        <v>5529</v>
      </c>
      <c r="E58" s="782"/>
      <c r="F58" s="774" t="s">
        <v>5532</v>
      </c>
      <c r="G58" s="783">
        <v>0.15240000000000001</v>
      </c>
      <c r="H58" s="772">
        <f t="shared" si="2"/>
        <v>0.15239999999999998</v>
      </c>
      <c r="I58" s="783">
        <v>2</v>
      </c>
      <c r="J58" s="772"/>
      <c r="K58" s="783">
        <v>293.14999999999998</v>
      </c>
      <c r="L58" s="772">
        <v>293.14999999999998</v>
      </c>
      <c r="M58" s="783">
        <v>1</v>
      </c>
      <c r="N58" s="772"/>
      <c r="O58" s="783"/>
      <c r="P58" s="772"/>
    </row>
    <row r="59" spans="1:16" s="753" customFormat="1">
      <c r="A59" s="756"/>
      <c r="B59" s="757"/>
      <c r="C59" s="758"/>
      <c r="D59" s="773" t="s">
        <v>5529</v>
      </c>
      <c r="E59" s="782"/>
      <c r="F59" s="774" t="s">
        <v>5533</v>
      </c>
      <c r="G59" s="783">
        <v>0.15240000000000001</v>
      </c>
      <c r="H59" s="772">
        <f t="shared" si="2"/>
        <v>0.15239999999999998</v>
      </c>
      <c r="I59" s="783">
        <v>2</v>
      </c>
      <c r="J59" s="772"/>
      <c r="K59" s="783">
        <v>293.14999999999998</v>
      </c>
      <c r="L59" s="772">
        <v>293.14999999999998</v>
      </c>
      <c r="M59" s="783">
        <v>0</v>
      </c>
      <c r="N59" s="772"/>
      <c r="O59" s="783"/>
      <c r="P59" s="772"/>
    </row>
    <row r="60" spans="1:16" s="753" customFormat="1">
      <c r="A60" s="756"/>
      <c r="B60" s="757"/>
      <c r="C60" s="758"/>
      <c r="D60" s="773" t="s">
        <v>5529</v>
      </c>
      <c r="E60" s="782"/>
      <c r="F60" s="774" t="s">
        <v>5534</v>
      </c>
      <c r="G60" s="783">
        <v>0.15240000000000001</v>
      </c>
      <c r="H60" s="772">
        <f t="shared" si="2"/>
        <v>0.15239999999999998</v>
      </c>
      <c r="I60" s="783">
        <v>2</v>
      </c>
      <c r="J60" s="772"/>
      <c r="K60" s="783">
        <v>293.14999999999998</v>
      </c>
      <c r="L60" s="772">
        <v>293.14999999999998</v>
      </c>
      <c r="M60" s="783">
        <v>1</v>
      </c>
      <c r="N60" s="772"/>
      <c r="O60" s="783"/>
      <c r="P60" s="772"/>
    </row>
    <row r="61" spans="1:16" s="753" customFormat="1">
      <c r="A61" s="756"/>
      <c r="B61" s="757"/>
      <c r="C61" s="758"/>
      <c r="D61" s="773" t="s">
        <v>5529</v>
      </c>
      <c r="E61" s="782"/>
      <c r="F61" s="774" t="s">
        <v>5535</v>
      </c>
      <c r="G61" s="783">
        <v>0.15240000000000001</v>
      </c>
      <c r="H61" s="772">
        <f t="shared" si="2"/>
        <v>0.15239999999999998</v>
      </c>
      <c r="I61" s="783">
        <v>2</v>
      </c>
      <c r="J61" s="772"/>
      <c r="K61" s="783">
        <v>293.14999999999998</v>
      </c>
      <c r="L61" s="772">
        <v>293.14999999999998</v>
      </c>
      <c r="M61" s="783">
        <v>0</v>
      </c>
      <c r="N61" s="772"/>
      <c r="O61" s="783"/>
      <c r="P61" s="772"/>
    </row>
    <row r="62" spans="1:16" s="753" customFormat="1">
      <c r="A62" s="756"/>
      <c r="B62" s="757"/>
      <c r="C62" s="758"/>
      <c r="D62" s="773" t="s">
        <v>5529</v>
      </c>
      <c r="E62" s="782"/>
      <c r="F62" s="774" t="s">
        <v>5536</v>
      </c>
      <c r="G62" s="783">
        <v>0.15240000000000001</v>
      </c>
      <c r="H62" s="772">
        <f t="shared" si="2"/>
        <v>0.15239999999999998</v>
      </c>
      <c r="I62" s="783">
        <v>2</v>
      </c>
      <c r="J62" s="772"/>
      <c r="K62" s="783">
        <v>293.14999999999998</v>
      </c>
      <c r="L62" s="772">
        <v>293.14999999999998</v>
      </c>
      <c r="M62" s="783">
        <v>1</v>
      </c>
      <c r="N62" s="772"/>
      <c r="O62" s="783"/>
      <c r="P62" s="772"/>
    </row>
    <row r="63" spans="1:16" s="753" customFormat="1">
      <c r="A63" s="756"/>
      <c r="B63" s="757"/>
      <c r="C63" s="758"/>
      <c r="D63" s="773" t="s">
        <v>5529</v>
      </c>
      <c r="E63" s="782"/>
      <c r="F63" s="774" t="s">
        <v>5537</v>
      </c>
      <c r="G63" s="783">
        <v>0.15240000000000001</v>
      </c>
      <c r="H63" s="772">
        <f t="shared" si="2"/>
        <v>0.15239999999999998</v>
      </c>
      <c r="I63" s="783">
        <v>2</v>
      </c>
      <c r="J63" s="772"/>
      <c r="K63" s="783">
        <v>293.14999999999998</v>
      </c>
      <c r="L63" s="772">
        <v>293.14999999999998</v>
      </c>
      <c r="M63" s="783">
        <v>0</v>
      </c>
      <c r="N63" s="772"/>
      <c r="O63" s="783"/>
      <c r="P63" s="772"/>
    </row>
    <row r="64" spans="1:16" s="753" customFormat="1">
      <c r="A64" s="756"/>
      <c r="B64" s="757"/>
      <c r="C64" s="758"/>
      <c r="D64" s="773" t="s">
        <v>5529</v>
      </c>
      <c r="E64" s="782"/>
      <c r="F64" s="774" t="s">
        <v>5538</v>
      </c>
      <c r="G64" s="783">
        <v>0.15240000000000001</v>
      </c>
      <c r="H64" s="772">
        <f t="shared" si="2"/>
        <v>0.15239999999999998</v>
      </c>
      <c r="I64" s="783">
        <v>2</v>
      </c>
      <c r="J64" s="772"/>
      <c r="K64" s="783">
        <v>293.14999999999998</v>
      </c>
      <c r="L64" s="772">
        <v>293.14999999999998</v>
      </c>
      <c r="M64" s="783">
        <v>1</v>
      </c>
      <c r="N64" s="772"/>
      <c r="O64" s="783"/>
      <c r="P64" s="772"/>
    </row>
    <row r="65" spans="1:16" s="753" customFormat="1">
      <c r="A65" s="756"/>
      <c r="B65" s="757"/>
      <c r="C65" s="758"/>
      <c r="D65" s="773" t="s">
        <v>5529</v>
      </c>
      <c r="E65" s="782"/>
      <c r="F65" s="774" t="s">
        <v>5539</v>
      </c>
      <c r="G65" s="783">
        <v>0.15240000000000001</v>
      </c>
      <c r="H65" s="772">
        <f t="shared" si="2"/>
        <v>0.15239999999999998</v>
      </c>
      <c r="I65" s="783">
        <v>2</v>
      </c>
      <c r="J65" s="772"/>
      <c r="K65" s="783">
        <v>293.14999999999998</v>
      </c>
      <c r="L65" s="772">
        <v>293.14999999999998</v>
      </c>
      <c r="M65" s="783">
        <v>0</v>
      </c>
      <c r="N65" s="772"/>
      <c r="O65" s="783"/>
      <c r="P65" s="772"/>
    </row>
    <row r="66" spans="1:16" s="753" customFormat="1">
      <c r="A66" s="756"/>
      <c r="B66" s="757"/>
      <c r="C66" s="758"/>
      <c r="D66" s="773" t="s">
        <v>5529</v>
      </c>
      <c r="E66" s="782"/>
      <c r="F66" s="774" t="s">
        <v>5540</v>
      </c>
      <c r="G66" s="783">
        <v>0.15240000000000001</v>
      </c>
      <c r="H66" s="772">
        <f t="shared" si="2"/>
        <v>0.15239999999999998</v>
      </c>
      <c r="I66" s="783">
        <v>2</v>
      </c>
      <c r="J66" s="772"/>
      <c r="K66" s="783">
        <v>293.14999999999998</v>
      </c>
      <c r="L66" s="772">
        <v>293.14999999999998</v>
      </c>
      <c r="M66" s="783">
        <v>1</v>
      </c>
      <c r="N66" s="772"/>
      <c r="O66" s="783"/>
      <c r="P66" s="772"/>
    </row>
    <row r="67" spans="1:16" s="753" customFormat="1">
      <c r="A67" s="756"/>
      <c r="B67" s="757"/>
      <c r="C67" s="758"/>
      <c r="D67" s="773" t="s">
        <v>5529</v>
      </c>
      <c r="E67" s="782"/>
      <c r="F67" s="774" t="s">
        <v>5541</v>
      </c>
      <c r="G67" s="783">
        <v>0.15240000000000001</v>
      </c>
      <c r="H67" s="772">
        <f t="shared" si="2"/>
        <v>0.15239999999999998</v>
      </c>
      <c r="I67" s="783">
        <v>2</v>
      </c>
      <c r="J67" s="772"/>
      <c r="K67" s="783">
        <v>293.14999999999998</v>
      </c>
      <c r="L67" s="772">
        <v>293.14999999999998</v>
      </c>
      <c r="M67" s="783">
        <v>0</v>
      </c>
      <c r="N67" s="772"/>
      <c r="O67" s="783"/>
      <c r="P67" s="772"/>
    </row>
    <row r="68" spans="1:16" s="753" customFormat="1">
      <c r="A68" s="756"/>
      <c r="B68" s="757"/>
      <c r="C68" s="758"/>
      <c r="D68" s="773" t="s">
        <v>5529</v>
      </c>
      <c r="E68" s="782"/>
      <c r="F68" s="774" t="s">
        <v>5542</v>
      </c>
      <c r="G68" s="783">
        <v>0.15240000000000001</v>
      </c>
      <c r="H68" s="772">
        <f t="shared" si="2"/>
        <v>0.15239999999999998</v>
      </c>
      <c r="I68" s="783">
        <v>2</v>
      </c>
      <c r="J68" s="772"/>
      <c r="K68" s="783">
        <v>293.14999999999998</v>
      </c>
      <c r="L68" s="772">
        <v>293.14999999999998</v>
      </c>
      <c r="M68" s="783">
        <v>1</v>
      </c>
      <c r="N68" s="772"/>
      <c r="O68" s="783"/>
      <c r="P68" s="772"/>
    </row>
    <row r="69" spans="1:16" s="753" customFormat="1">
      <c r="A69" s="756"/>
      <c r="B69" s="757"/>
      <c r="C69" s="758"/>
      <c r="D69" s="773" t="s">
        <v>5529</v>
      </c>
      <c r="E69" s="782"/>
      <c r="F69" s="774" t="s">
        <v>5543</v>
      </c>
      <c r="G69" s="783">
        <v>0.15240000000000001</v>
      </c>
      <c r="H69" s="772">
        <f t="shared" si="2"/>
        <v>0.15239999999999998</v>
      </c>
      <c r="I69" s="783">
        <v>2</v>
      </c>
      <c r="J69" s="772"/>
      <c r="K69" s="783">
        <v>293.14999999999998</v>
      </c>
      <c r="L69" s="772">
        <v>293.14999999999998</v>
      </c>
      <c r="M69" s="783">
        <v>0</v>
      </c>
      <c r="N69" s="772"/>
      <c r="O69" s="783"/>
      <c r="P69" s="772"/>
    </row>
    <row r="70" spans="1:16" s="753" customFormat="1">
      <c r="A70" s="756"/>
      <c r="B70" s="757"/>
      <c r="C70" s="758"/>
      <c r="D70" s="773" t="s">
        <v>5529</v>
      </c>
      <c r="E70" s="782"/>
      <c r="F70" s="774" t="s">
        <v>5544</v>
      </c>
      <c r="G70" s="783">
        <v>0.15240000000000001</v>
      </c>
      <c r="H70" s="772">
        <f t="shared" si="2"/>
        <v>0.15239999999999998</v>
      </c>
      <c r="I70" s="783">
        <v>2</v>
      </c>
      <c r="J70" s="772"/>
      <c r="K70" s="783">
        <v>293.14999999999998</v>
      </c>
      <c r="L70" s="772">
        <v>293.14999999999998</v>
      </c>
      <c r="M70" s="783">
        <v>1</v>
      </c>
      <c r="N70" s="772"/>
      <c r="O70" s="783"/>
      <c r="P70" s="772"/>
    </row>
    <row r="71" spans="1:16" s="753" customFormat="1">
      <c r="A71" s="756"/>
      <c r="B71" s="757"/>
      <c r="C71" s="758"/>
      <c r="D71" s="773" t="s">
        <v>5529</v>
      </c>
      <c r="E71" s="782"/>
      <c r="F71" s="774" t="s">
        <v>5545</v>
      </c>
      <c r="G71" s="783">
        <v>0.15240000000000001</v>
      </c>
      <c r="H71" s="772">
        <f t="shared" si="2"/>
        <v>0.15239999999999998</v>
      </c>
      <c r="I71" s="783">
        <v>2</v>
      </c>
      <c r="J71" s="772"/>
      <c r="K71" s="783">
        <v>293.14999999999998</v>
      </c>
      <c r="L71" s="772">
        <v>293.14999999999998</v>
      </c>
      <c r="M71" s="783">
        <v>0</v>
      </c>
      <c r="N71" s="772"/>
      <c r="O71" s="783"/>
      <c r="P71" s="772"/>
    </row>
    <row r="72" spans="1:16" s="753" customFormat="1">
      <c r="A72" s="756"/>
      <c r="B72" s="757"/>
      <c r="C72" s="758"/>
      <c r="D72" s="773" t="s">
        <v>5529</v>
      </c>
      <c r="E72" s="782"/>
      <c r="F72" s="774" t="s">
        <v>5546</v>
      </c>
      <c r="G72" s="783">
        <v>0.15240000000000001</v>
      </c>
      <c r="H72" s="772">
        <f t="shared" si="2"/>
        <v>0.15239999999999998</v>
      </c>
      <c r="I72" s="783">
        <v>2</v>
      </c>
      <c r="J72" s="772"/>
      <c r="K72" s="783">
        <v>293.14999999999998</v>
      </c>
      <c r="L72" s="772">
        <v>293.14999999999998</v>
      </c>
      <c r="M72" s="783">
        <v>1</v>
      </c>
      <c r="N72" s="772"/>
      <c r="O72" s="783"/>
      <c r="P72" s="772"/>
    </row>
    <row r="73" spans="1:16" s="753" customFormat="1">
      <c r="A73" s="756"/>
      <c r="B73" s="757"/>
      <c r="C73" s="758"/>
      <c r="D73" s="773" t="s">
        <v>5551</v>
      </c>
      <c r="E73" s="782"/>
      <c r="F73" s="774" t="s">
        <v>5547</v>
      </c>
      <c r="G73" s="783">
        <v>0.76200000000000001</v>
      </c>
      <c r="H73" s="772">
        <f t="shared" si="2"/>
        <v>0.76200000000000001</v>
      </c>
      <c r="I73" s="783">
        <v>20</v>
      </c>
      <c r="J73" s="772"/>
      <c r="K73" s="783">
        <v>293.14999999999998</v>
      </c>
      <c r="L73" s="772">
        <v>293.14999999999998</v>
      </c>
      <c r="M73" s="783">
        <v>0</v>
      </c>
      <c r="N73" s="772"/>
      <c r="O73" s="783"/>
      <c r="P73" s="772"/>
    </row>
    <row r="74" spans="1:16" s="753" customFormat="1">
      <c r="A74" s="756"/>
      <c r="B74" s="757"/>
      <c r="C74" s="758"/>
      <c r="D74" s="773" t="s">
        <v>5529</v>
      </c>
      <c r="E74" s="782"/>
      <c r="F74" s="774" t="s">
        <v>5548</v>
      </c>
      <c r="G74" s="783">
        <v>0.15240000000000001</v>
      </c>
      <c r="H74" s="772">
        <f t="shared" si="2"/>
        <v>0.15239999999999998</v>
      </c>
      <c r="I74" s="783">
        <v>2</v>
      </c>
      <c r="J74" s="772"/>
      <c r="K74" s="783">
        <v>293.14999999999998</v>
      </c>
      <c r="L74" s="772">
        <v>293.14999999999998</v>
      </c>
      <c r="M74" s="783">
        <v>0</v>
      </c>
      <c r="N74" s="772"/>
      <c r="O74" s="783"/>
      <c r="P74" s="772"/>
    </row>
    <row r="75" spans="1:16" s="753" customFormat="1">
      <c r="A75" s="756"/>
      <c r="B75" s="757"/>
      <c r="C75" s="758"/>
      <c r="D75" s="773" t="s">
        <v>5529</v>
      </c>
      <c r="E75" s="782"/>
      <c r="F75" s="774" t="s">
        <v>5549</v>
      </c>
      <c r="G75" s="783">
        <v>0.15240000000000001</v>
      </c>
      <c r="H75" s="772">
        <f t="shared" si="2"/>
        <v>0.15239999999999998</v>
      </c>
      <c r="I75" s="783">
        <v>2</v>
      </c>
      <c r="J75" s="772"/>
      <c r="K75" s="783">
        <v>293.14999999999998</v>
      </c>
      <c r="L75" s="772">
        <v>293.14999999999998</v>
      </c>
      <c r="M75" s="783">
        <v>0</v>
      </c>
      <c r="N75" s="772"/>
      <c r="O75" s="783"/>
      <c r="P75" s="772"/>
    </row>
    <row r="76" spans="1:16" s="753" customFormat="1">
      <c r="A76" s="756"/>
      <c r="B76" s="757"/>
      <c r="C76" s="758"/>
      <c r="D76" s="773" t="s">
        <v>5529</v>
      </c>
      <c r="E76" s="782"/>
      <c r="F76" s="774" t="s">
        <v>5550</v>
      </c>
      <c r="G76" s="783">
        <v>0.15240000000000001</v>
      </c>
      <c r="H76" s="772">
        <f t="shared" si="2"/>
        <v>0.15239999999999998</v>
      </c>
      <c r="I76" s="783">
        <v>2</v>
      </c>
      <c r="J76" s="772"/>
      <c r="K76" s="783">
        <v>293.14999999999998</v>
      </c>
      <c r="L76" s="772">
        <v>293.14999999999998</v>
      </c>
      <c r="M76" s="783">
        <v>0</v>
      </c>
      <c r="N76" s="772"/>
      <c r="O76" s="783"/>
      <c r="P76" s="772"/>
    </row>
    <row r="77" spans="1:16" s="753" customFormat="1">
      <c r="A77" s="756"/>
      <c r="B77" s="757"/>
      <c r="C77" s="758"/>
      <c r="D77" s="773" t="s">
        <v>5529</v>
      </c>
      <c r="E77" s="782"/>
      <c r="F77" s="774" t="s">
        <v>5552</v>
      </c>
      <c r="G77" s="783">
        <v>0.15240000000000001</v>
      </c>
      <c r="H77" s="772">
        <f t="shared" ref="H77:H87" si="3">D77*0.0254</f>
        <v>0.15239999999999998</v>
      </c>
      <c r="I77" s="783">
        <v>2</v>
      </c>
      <c r="J77" s="772"/>
      <c r="K77" s="783">
        <v>293.14999999999998</v>
      </c>
      <c r="L77" s="772">
        <v>293.14999999999998</v>
      </c>
      <c r="M77" s="783">
        <v>0</v>
      </c>
      <c r="N77" s="772"/>
      <c r="O77" s="783"/>
      <c r="P77" s="772"/>
    </row>
    <row r="78" spans="1:16" s="753" customFormat="1">
      <c r="A78" s="756"/>
      <c r="B78" s="757"/>
      <c r="C78" s="758"/>
      <c r="D78" s="773" t="s">
        <v>5529</v>
      </c>
      <c r="E78" s="782"/>
      <c r="F78" s="774" t="s">
        <v>5553</v>
      </c>
      <c r="G78" s="783">
        <v>0.15240000000000001</v>
      </c>
      <c r="H78" s="772">
        <f t="shared" si="3"/>
        <v>0.15239999999999998</v>
      </c>
      <c r="I78" s="783">
        <v>2</v>
      </c>
      <c r="J78" s="772"/>
      <c r="K78" s="783">
        <v>293.14999999999998</v>
      </c>
      <c r="L78" s="772">
        <v>293.14999999999998</v>
      </c>
      <c r="M78" s="783">
        <v>0</v>
      </c>
      <c r="N78" s="772"/>
      <c r="O78" s="783"/>
      <c r="P78" s="772"/>
    </row>
    <row r="79" spans="1:16" s="753" customFormat="1">
      <c r="A79" s="756"/>
      <c r="B79" s="757"/>
      <c r="C79" s="758"/>
      <c r="D79" s="773" t="s">
        <v>5529</v>
      </c>
      <c r="E79" s="782"/>
      <c r="F79" s="774" t="s">
        <v>5554</v>
      </c>
      <c r="G79" s="783">
        <v>0.15240000000000001</v>
      </c>
      <c r="H79" s="772">
        <f t="shared" si="3"/>
        <v>0.15239999999999998</v>
      </c>
      <c r="I79" s="783">
        <v>2</v>
      </c>
      <c r="J79" s="772"/>
      <c r="K79" s="783">
        <v>293.14999999999998</v>
      </c>
      <c r="L79" s="772">
        <v>293.14999999999998</v>
      </c>
      <c r="M79" s="783">
        <v>0</v>
      </c>
      <c r="N79" s="772"/>
      <c r="O79" s="783"/>
      <c r="P79" s="772"/>
    </row>
    <row r="80" spans="1:16" s="753" customFormat="1">
      <c r="A80" s="756"/>
      <c r="B80" s="757"/>
      <c r="C80" s="758"/>
      <c r="D80" s="773" t="s">
        <v>5529</v>
      </c>
      <c r="E80" s="782"/>
      <c r="F80" s="774" t="s">
        <v>5555</v>
      </c>
      <c r="G80" s="783">
        <v>0.15240000000000001</v>
      </c>
      <c r="H80" s="772">
        <f t="shared" si="3"/>
        <v>0.15239999999999998</v>
      </c>
      <c r="I80" s="783">
        <v>2</v>
      </c>
      <c r="J80" s="772"/>
      <c r="K80" s="783">
        <v>293.14999999999998</v>
      </c>
      <c r="L80" s="772">
        <v>293.14999999999998</v>
      </c>
      <c r="M80" s="783">
        <v>0</v>
      </c>
      <c r="N80" s="772"/>
      <c r="O80" s="783"/>
      <c r="P80" s="772"/>
    </row>
    <row r="81" spans="1:16" s="753" customFormat="1">
      <c r="A81" s="756"/>
      <c r="B81" s="757"/>
      <c r="C81" s="758"/>
      <c r="D81" s="773" t="s">
        <v>5529</v>
      </c>
      <c r="E81" s="782"/>
      <c r="F81" s="774" t="s">
        <v>5556</v>
      </c>
      <c r="G81" s="783">
        <v>0.15240000000000001</v>
      </c>
      <c r="H81" s="772">
        <f t="shared" si="3"/>
        <v>0.15239999999999998</v>
      </c>
      <c r="I81" s="783">
        <v>2</v>
      </c>
      <c r="J81" s="772"/>
      <c r="K81" s="783">
        <v>293.14999999999998</v>
      </c>
      <c r="L81" s="772">
        <v>293.14999999999998</v>
      </c>
      <c r="M81" s="783">
        <v>0</v>
      </c>
      <c r="N81" s="772"/>
      <c r="O81" s="783"/>
      <c r="P81" s="772"/>
    </row>
    <row r="82" spans="1:16" s="753" customFormat="1">
      <c r="A82" s="756"/>
      <c r="B82" s="757"/>
      <c r="C82" s="758"/>
      <c r="D82" s="773" t="s">
        <v>5551</v>
      </c>
      <c r="E82" s="782"/>
      <c r="F82" s="774" t="s">
        <v>5987</v>
      </c>
      <c r="G82" s="783">
        <v>0.76200000000000001</v>
      </c>
      <c r="H82" s="772">
        <f t="shared" si="3"/>
        <v>0.76200000000000001</v>
      </c>
      <c r="I82" s="783">
        <v>2</v>
      </c>
      <c r="J82" s="772"/>
      <c r="K82" s="783">
        <v>293.14999999999998</v>
      </c>
      <c r="L82" s="772">
        <v>293.14999999999998</v>
      </c>
      <c r="M82" s="783">
        <v>1</v>
      </c>
      <c r="N82" s="772"/>
      <c r="O82" s="783"/>
      <c r="P82" s="772"/>
    </row>
    <row r="83" spans="1:16" s="753" customFormat="1">
      <c r="A83" s="756"/>
      <c r="B83" s="757"/>
      <c r="C83" s="758"/>
      <c r="D83" s="773" t="s">
        <v>5529</v>
      </c>
      <c r="E83" s="782"/>
      <c r="F83" s="774" t="s">
        <v>5557</v>
      </c>
      <c r="G83" s="783">
        <v>0.15240000000000001</v>
      </c>
      <c r="H83" s="772">
        <f t="shared" si="3"/>
        <v>0.15239999999999998</v>
      </c>
      <c r="I83" s="783">
        <v>2</v>
      </c>
      <c r="J83" s="772"/>
      <c r="K83" s="783">
        <v>293.14999999999998</v>
      </c>
      <c r="L83" s="772">
        <v>293.14999999999998</v>
      </c>
      <c r="M83" s="783">
        <v>0</v>
      </c>
      <c r="N83" s="772"/>
      <c r="O83" s="783"/>
      <c r="P83" s="772"/>
    </row>
    <row r="84" spans="1:16" s="753" customFormat="1">
      <c r="A84" s="756"/>
      <c r="B84" s="757"/>
      <c r="C84" s="758"/>
      <c r="D84" s="773" t="s">
        <v>5529</v>
      </c>
      <c r="E84" s="782"/>
      <c r="F84" s="774" t="s">
        <v>5558</v>
      </c>
      <c r="G84" s="783">
        <v>0.15240000000000001</v>
      </c>
      <c r="H84" s="772">
        <f t="shared" si="3"/>
        <v>0.15239999999999998</v>
      </c>
      <c r="I84" s="783">
        <v>2</v>
      </c>
      <c r="J84" s="772"/>
      <c r="K84" s="783">
        <v>293.14999999999998</v>
      </c>
      <c r="L84" s="772">
        <v>293.14999999999998</v>
      </c>
      <c r="M84" s="783">
        <v>0</v>
      </c>
      <c r="N84" s="772"/>
      <c r="O84" s="783"/>
      <c r="P84" s="772"/>
    </row>
    <row r="85" spans="1:16" s="753" customFormat="1">
      <c r="A85" s="756"/>
      <c r="B85" s="757"/>
      <c r="C85" s="758"/>
      <c r="D85" s="773" t="s">
        <v>5529</v>
      </c>
      <c r="E85" s="782"/>
      <c r="F85" s="774" t="s">
        <v>5559</v>
      </c>
      <c r="G85" s="783">
        <v>0.15240000000000001</v>
      </c>
      <c r="H85" s="772">
        <f t="shared" si="3"/>
        <v>0.15239999999999998</v>
      </c>
      <c r="I85" s="783">
        <v>2</v>
      </c>
      <c r="J85" s="772"/>
      <c r="K85" s="783">
        <v>293.14999999999998</v>
      </c>
      <c r="L85" s="772">
        <v>293.14999999999998</v>
      </c>
      <c r="M85" s="783">
        <v>0</v>
      </c>
      <c r="N85" s="772"/>
      <c r="O85" s="783"/>
      <c r="P85" s="772"/>
    </row>
    <row r="86" spans="1:16" s="753" customFormat="1">
      <c r="A86" s="756"/>
      <c r="B86" s="757"/>
      <c r="C86" s="758"/>
      <c r="D86" s="773" t="s">
        <v>5498</v>
      </c>
      <c r="E86" s="782"/>
      <c r="F86" s="774" t="s">
        <v>5560</v>
      </c>
      <c r="G86" s="783">
        <v>5.0799999999999998E-2</v>
      </c>
      <c r="H86" s="772">
        <f t="shared" si="3"/>
        <v>5.0799999999999998E-2</v>
      </c>
      <c r="I86" s="783">
        <v>2</v>
      </c>
      <c r="J86" s="772"/>
      <c r="K86" s="783">
        <v>293.14999999999998</v>
      </c>
      <c r="L86" s="772">
        <v>293.14999999999998</v>
      </c>
      <c r="M86" s="783">
        <v>0</v>
      </c>
      <c r="N86" s="772"/>
      <c r="O86" s="783"/>
      <c r="P86" s="772"/>
    </row>
    <row r="87" spans="1:16" s="753" customFormat="1">
      <c r="A87" s="756"/>
      <c r="B87" s="757"/>
      <c r="C87" s="758"/>
      <c r="D87" s="773" t="s">
        <v>5562</v>
      </c>
      <c r="E87" s="782"/>
      <c r="F87" s="774" t="s">
        <v>5561</v>
      </c>
      <c r="G87" s="783">
        <v>0.1016</v>
      </c>
      <c r="H87" s="772">
        <f t="shared" si="3"/>
        <v>0.1016</v>
      </c>
      <c r="I87" s="783">
        <v>2</v>
      </c>
      <c r="J87" s="772"/>
      <c r="K87" s="783">
        <v>293.14999999999998</v>
      </c>
      <c r="L87" s="772">
        <v>293.14999999999998</v>
      </c>
      <c r="M87" s="783">
        <v>0</v>
      </c>
      <c r="N87" s="772"/>
      <c r="O87" s="783"/>
      <c r="P87" s="772"/>
    </row>
    <row r="88" spans="1:16" s="753" customFormat="1">
      <c r="A88" s="756"/>
      <c r="B88" s="757"/>
      <c r="C88" s="758"/>
      <c r="D88" s="773" t="s">
        <v>5498</v>
      </c>
      <c r="E88" s="782"/>
      <c r="F88" s="774" t="s">
        <v>5563</v>
      </c>
      <c r="G88" s="783">
        <v>5.0799999999999998E-2</v>
      </c>
      <c r="H88" s="772">
        <f t="shared" ref="H88:H99" si="4">D88*0.0254</f>
        <v>5.0799999999999998E-2</v>
      </c>
      <c r="I88" s="783">
        <v>2</v>
      </c>
      <c r="J88" s="772"/>
      <c r="K88" s="783">
        <v>293.14999999999998</v>
      </c>
      <c r="L88" s="772">
        <v>293.14999999999998</v>
      </c>
      <c r="M88" s="783">
        <v>0</v>
      </c>
      <c r="N88" s="772"/>
      <c r="O88" s="783"/>
      <c r="P88" s="772"/>
    </row>
    <row r="89" spans="1:16" s="753" customFormat="1">
      <c r="A89" s="756"/>
      <c r="B89" s="757"/>
      <c r="C89" s="758"/>
      <c r="D89" s="773" t="s">
        <v>5525</v>
      </c>
      <c r="E89" s="782"/>
      <c r="F89" s="774" t="s">
        <v>5564</v>
      </c>
      <c r="G89" s="783">
        <v>3.8100000000000002E-2</v>
      </c>
      <c r="H89" s="772">
        <f t="shared" si="4"/>
        <v>3.8099999999999995E-2</v>
      </c>
      <c r="I89" s="783">
        <v>2</v>
      </c>
      <c r="J89" s="772"/>
      <c r="K89" s="783">
        <v>293.14999999999998</v>
      </c>
      <c r="L89" s="772">
        <v>293.14999999999998</v>
      </c>
      <c r="M89" s="783">
        <v>0</v>
      </c>
      <c r="N89" s="772"/>
      <c r="O89" s="783"/>
      <c r="P89" s="772"/>
    </row>
    <row r="90" spans="1:16" s="753" customFormat="1">
      <c r="A90" s="756"/>
      <c r="B90" s="757"/>
      <c r="C90" s="758"/>
      <c r="D90" s="773" t="s">
        <v>5525</v>
      </c>
      <c r="E90" s="782"/>
      <c r="F90" s="774" t="s">
        <v>5565</v>
      </c>
      <c r="G90" s="783">
        <v>3.8100000000000002E-2</v>
      </c>
      <c r="H90" s="772">
        <f t="shared" si="4"/>
        <v>3.8099999999999995E-2</v>
      </c>
      <c r="I90" s="783">
        <v>2</v>
      </c>
      <c r="J90" s="772"/>
      <c r="K90" s="783">
        <v>293.14999999999998</v>
      </c>
      <c r="L90" s="772">
        <v>293.14999999999998</v>
      </c>
      <c r="M90" s="783">
        <v>0</v>
      </c>
      <c r="N90" s="772"/>
      <c r="O90" s="783"/>
      <c r="P90" s="772"/>
    </row>
    <row r="91" spans="1:16" s="753" customFormat="1">
      <c r="A91" s="756"/>
      <c r="B91" s="757"/>
      <c r="C91" s="758"/>
      <c r="D91" s="773" t="s">
        <v>5525</v>
      </c>
      <c r="E91" s="782"/>
      <c r="F91" s="774" t="s">
        <v>5566</v>
      </c>
      <c r="G91" s="783">
        <v>3.8100000000000002E-2</v>
      </c>
      <c r="H91" s="772">
        <f t="shared" si="4"/>
        <v>3.8099999999999995E-2</v>
      </c>
      <c r="I91" s="783">
        <v>2</v>
      </c>
      <c r="J91" s="772"/>
      <c r="K91" s="783">
        <v>293.14999999999998</v>
      </c>
      <c r="L91" s="772">
        <v>293.14999999999998</v>
      </c>
      <c r="M91" s="783">
        <v>0</v>
      </c>
      <c r="N91" s="772"/>
      <c r="O91" s="783"/>
      <c r="P91" s="772"/>
    </row>
    <row r="92" spans="1:16" s="753" customFormat="1">
      <c r="A92" s="756"/>
      <c r="B92" s="757"/>
      <c r="C92" s="758"/>
      <c r="D92" s="773" t="s">
        <v>5525</v>
      </c>
      <c r="E92" s="782"/>
      <c r="F92" s="774" t="s">
        <v>5567</v>
      </c>
      <c r="G92" s="783">
        <v>3.8100000000000002E-2</v>
      </c>
      <c r="H92" s="772">
        <f t="shared" si="4"/>
        <v>3.8099999999999995E-2</v>
      </c>
      <c r="I92" s="783">
        <v>2</v>
      </c>
      <c r="J92" s="772"/>
      <c r="K92" s="783">
        <v>293.14999999999998</v>
      </c>
      <c r="L92" s="772">
        <v>293.14999999999998</v>
      </c>
      <c r="M92" s="783">
        <v>0</v>
      </c>
      <c r="N92" s="772"/>
      <c r="O92" s="783"/>
      <c r="P92" s="772"/>
    </row>
    <row r="93" spans="1:16" s="753" customFormat="1">
      <c r="A93" s="756"/>
      <c r="B93" s="757"/>
      <c r="C93" s="758"/>
      <c r="D93" s="773" t="s">
        <v>5525</v>
      </c>
      <c r="E93" s="782"/>
      <c r="F93" s="774" t="s">
        <v>5568</v>
      </c>
      <c r="G93" s="783">
        <v>3.8100000000000002E-2</v>
      </c>
      <c r="H93" s="772">
        <f t="shared" si="4"/>
        <v>3.8099999999999995E-2</v>
      </c>
      <c r="I93" s="783">
        <v>2</v>
      </c>
      <c r="J93" s="772"/>
      <c r="K93" s="783">
        <v>293.14999999999998</v>
      </c>
      <c r="L93" s="772">
        <v>293.14999999999998</v>
      </c>
      <c r="M93" s="783">
        <v>0</v>
      </c>
      <c r="N93" s="772"/>
      <c r="O93" s="783"/>
      <c r="P93" s="772"/>
    </row>
    <row r="94" spans="1:16" s="753" customFormat="1">
      <c r="A94" s="756"/>
      <c r="B94" s="757"/>
      <c r="C94" s="758"/>
      <c r="D94" s="773" t="s">
        <v>5525</v>
      </c>
      <c r="E94" s="782"/>
      <c r="F94" s="774" t="s">
        <v>5569</v>
      </c>
      <c r="G94" s="783">
        <v>3.8100000000000002E-2</v>
      </c>
      <c r="H94" s="772">
        <f t="shared" si="4"/>
        <v>3.8099999999999995E-2</v>
      </c>
      <c r="I94" s="783">
        <v>2</v>
      </c>
      <c r="J94" s="772"/>
      <c r="K94" s="783">
        <v>293.14999999999998</v>
      </c>
      <c r="L94" s="772">
        <v>293.14999999999998</v>
      </c>
      <c r="M94" s="783">
        <v>0</v>
      </c>
      <c r="N94" s="772"/>
      <c r="O94" s="783"/>
      <c r="P94" s="772"/>
    </row>
    <row r="95" spans="1:16" s="753" customFormat="1">
      <c r="A95" s="756"/>
      <c r="B95" s="757"/>
      <c r="C95" s="758"/>
      <c r="D95" s="773" t="s">
        <v>5525</v>
      </c>
      <c r="E95" s="782"/>
      <c r="F95" s="774" t="s">
        <v>5570</v>
      </c>
      <c r="G95" s="783">
        <v>3.8100000000000002E-2</v>
      </c>
      <c r="H95" s="772">
        <f t="shared" si="4"/>
        <v>3.8099999999999995E-2</v>
      </c>
      <c r="I95" s="783">
        <v>2</v>
      </c>
      <c r="J95" s="772"/>
      <c r="K95" s="783">
        <v>293.14999999999998</v>
      </c>
      <c r="L95" s="772">
        <v>293.14999999999998</v>
      </c>
      <c r="M95" s="783">
        <v>0</v>
      </c>
      <c r="N95" s="772"/>
      <c r="O95" s="783"/>
      <c r="P95" s="772"/>
    </row>
    <row r="96" spans="1:16" s="753" customFormat="1">
      <c r="A96" s="756"/>
      <c r="B96" s="757"/>
      <c r="C96" s="758"/>
      <c r="D96" s="773" t="s">
        <v>5500</v>
      </c>
      <c r="E96" s="782"/>
      <c r="F96" s="774" t="s">
        <v>5571</v>
      </c>
      <c r="G96" s="783">
        <v>0.30480000000000002</v>
      </c>
      <c r="H96" s="772">
        <f t="shared" si="4"/>
        <v>0.30479999999999996</v>
      </c>
      <c r="I96" s="783">
        <v>5</v>
      </c>
      <c r="J96" s="772"/>
      <c r="K96" s="783">
        <v>293.14999999999998</v>
      </c>
      <c r="L96" s="772">
        <v>293.14999999999998</v>
      </c>
      <c r="M96" s="783">
        <v>0</v>
      </c>
      <c r="N96" s="772"/>
      <c r="O96" s="783"/>
      <c r="P96" s="772"/>
    </row>
    <row r="97" spans="1:16" s="753" customFormat="1">
      <c r="A97" s="756"/>
      <c r="B97" s="757"/>
      <c r="C97" s="758"/>
      <c r="D97" s="773" t="s">
        <v>5500</v>
      </c>
      <c r="E97" s="782"/>
      <c r="F97" s="774" t="s">
        <v>5572</v>
      </c>
      <c r="G97" s="783">
        <v>0.30480000000000002</v>
      </c>
      <c r="H97" s="772">
        <f t="shared" si="4"/>
        <v>0.30479999999999996</v>
      </c>
      <c r="I97" s="783">
        <v>2</v>
      </c>
      <c r="J97" s="772"/>
      <c r="K97" s="783">
        <v>293.14999999999998</v>
      </c>
      <c r="L97" s="772">
        <v>293.14999999999998</v>
      </c>
      <c r="M97" s="783">
        <v>1</v>
      </c>
      <c r="N97" s="772"/>
      <c r="O97" s="783"/>
      <c r="P97" s="772"/>
    </row>
    <row r="98" spans="1:16" s="753" customFormat="1">
      <c r="A98" s="756"/>
      <c r="B98" s="757"/>
      <c r="C98" s="758"/>
      <c r="D98" s="773" t="s">
        <v>5500</v>
      </c>
      <c r="E98" s="782"/>
      <c r="F98" s="774" t="s">
        <v>5573</v>
      </c>
      <c r="G98" s="783">
        <v>0.30480000000000002</v>
      </c>
      <c r="H98" s="772">
        <f t="shared" si="4"/>
        <v>0.30479999999999996</v>
      </c>
      <c r="I98" s="783">
        <v>2</v>
      </c>
      <c r="J98" s="772"/>
      <c r="K98" s="783">
        <v>293.14999999999998</v>
      </c>
      <c r="L98" s="772">
        <v>293.14999999999998</v>
      </c>
      <c r="M98" s="783">
        <v>0</v>
      </c>
      <c r="N98" s="772"/>
      <c r="O98" s="783"/>
      <c r="P98" s="772"/>
    </row>
    <row r="99" spans="1:16" s="753" customFormat="1">
      <c r="A99" s="756"/>
      <c r="B99" s="757"/>
      <c r="C99" s="758"/>
      <c r="D99" s="773" t="s">
        <v>5529</v>
      </c>
      <c r="E99" s="782"/>
      <c r="F99" s="774" t="s">
        <v>5574</v>
      </c>
      <c r="G99" s="783">
        <v>0.15240000000000001</v>
      </c>
      <c r="H99" s="772">
        <f t="shared" si="4"/>
        <v>0.15239999999999998</v>
      </c>
      <c r="I99" s="783">
        <v>2</v>
      </c>
      <c r="J99" s="772"/>
      <c r="K99" s="783">
        <v>293.14999999999998</v>
      </c>
      <c r="L99" s="772">
        <v>293.14999999999998</v>
      </c>
      <c r="M99" s="783">
        <v>0</v>
      </c>
      <c r="N99" s="772"/>
      <c r="O99" s="783"/>
      <c r="P99" s="772"/>
    </row>
    <row r="100" spans="1:16" s="753" customFormat="1">
      <c r="A100" s="756"/>
      <c r="B100" s="757"/>
      <c r="C100" s="758"/>
      <c r="D100" s="773" t="s">
        <v>5525</v>
      </c>
      <c r="E100" s="782"/>
      <c r="F100" s="774" t="s">
        <v>5662</v>
      </c>
      <c r="G100" s="783">
        <v>3.8100000000000002E-2</v>
      </c>
      <c r="H100" s="772">
        <f>D100*0.0254</f>
        <v>3.8099999999999995E-2</v>
      </c>
      <c r="I100" s="783">
        <v>2</v>
      </c>
      <c r="J100" s="772"/>
      <c r="K100" s="783">
        <v>293.14999999999998</v>
      </c>
      <c r="L100" s="772">
        <v>293.14999999999998</v>
      </c>
      <c r="M100" s="783">
        <v>0</v>
      </c>
      <c r="N100" s="772"/>
      <c r="O100" s="783"/>
      <c r="P100" s="772"/>
    </row>
    <row r="101" spans="1:16" s="753" customFormat="1">
      <c r="A101" s="756"/>
      <c r="B101" s="757"/>
      <c r="C101" s="758"/>
      <c r="D101" s="773" t="s">
        <v>5524</v>
      </c>
      <c r="E101" s="782"/>
      <c r="F101" s="774" t="s">
        <v>5991</v>
      </c>
      <c r="G101" s="783">
        <v>0.254</v>
      </c>
      <c r="H101" s="772">
        <f>D101*0.0254</f>
        <v>0.254</v>
      </c>
      <c r="I101" s="783">
        <v>5</v>
      </c>
      <c r="J101" s="772"/>
      <c r="K101" s="783">
        <v>293.14999999999998</v>
      </c>
      <c r="L101" s="772">
        <v>293.14999999999998</v>
      </c>
      <c r="M101" s="783">
        <v>0</v>
      </c>
      <c r="N101" s="772"/>
      <c r="O101" s="783"/>
      <c r="P101" s="772"/>
    </row>
    <row r="102" spans="1:16" s="753" customFormat="1">
      <c r="A102" s="756"/>
      <c r="B102" s="757"/>
      <c r="C102" s="758"/>
      <c r="D102" s="773" t="s">
        <v>5524</v>
      </c>
      <c r="E102" s="782"/>
      <c r="F102" s="774" t="s">
        <v>5992</v>
      </c>
      <c r="G102" s="783">
        <v>0.254</v>
      </c>
      <c r="H102" s="772">
        <f t="shared" ref="H102:H112" si="5">D102*0.0254</f>
        <v>0.254</v>
      </c>
      <c r="I102" s="783">
        <v>5</v>
      </c>
      <c r="J102" s="772"/>
      <c r="K102" s="783">
        <v>293.14999999999998</v>
      </c>
      <c r="L102" s="772">
        <v>293.14999999999998</v>
      </c>
      <c r="M102" s="783">
        <v>0</v>
      </c>
      <c r="N102" s="772"/>
      <c r="O102" s="783"/>
      <c r="P102" s="772"/>
    </row>
    <row r="103" spans="1:16" s="753" customFormat="1">
      <c r="A103" s="756"/>
      <c r="B103" s="757"/>
      <c r="C103" s="758"/>
      <c r="D103" s="773" t="s">
        <v>5524</v>
      </c>
      <c r="E103" s="782"/>
      <c r="F103" s="774" t="s">
        <v>5993</v>
      </c>
      <c r="G103" s="783">
        <v>0.254</v>
      </c>
      <c r="H103" s="772">
        <f t="shared" si="5"/>
        <v>0.254</v>
      </c>
      <c r="I103" s="783">
        <v>5</v>
      </c>
      <c r="J103" s="772"/>
      <c r="K103" s="783">
        <v>293.14999999999998</v>
      </c>
      <c r="L103" s="772">
        <v>293.14999999999998</v>
      </c>
      <c r="M103" s="783">
        <v>0</v>
      </c>
      <c r="N103" s="772"/>
      <c r="O103" s="783"/>
      <c r="P103" s="772"/>
    </row>
    <row r="104" spans="1:16" s="753" customFormat="1">
      <c r="A104" s="756"/>
      <c r="B104" s="757"/>
      <c r="C104" s="758"/>
      <c r="D104" s="773" t="s">
        <v>5529</v>
      </c>
      <c r="E104" s="782"/>
      <c r="F104" s="774" t="s">
        <v>5994</v>
      </c>
      <c r="G104" s="783">
        <v>0.15240000000000001</v>
      </c>
      <c r="H104" s="772">
        <f t="shared" si="5"/>
        <v>0.15239999999999998</v>
      </c>
      <c r="I104" s="783">
        <v>5</v>
      </c>
      <c r="J104" s="772"/>
      <c r="K104" s="783">
        <v>293.14999999999998</v>
      </c>
      <c r="L104" s="772">
        <v>293.14999999999998</v>
      </c>
      <c r="M104" s="783">
        <v>0</v>
      </c>
      <c r="N104" s="772"/>
      <c r="O104" s="783"/>
      <c r="P104" s="772"/>
    </row>
    <row r="105" spans="1:16" s="753" customFormat="1">
      <c r="A105" s="756"/>
      <c r="B105" s="757"/>
      <c r="C105" s="758"/>
      <c r="D105" s="773" t="s">
        <v>5524</v>
      </c>
      <c r="E105" s="782"/>
      <c r="F105" s="774" t="s">
        <v>5995</v>
      </c>
      <c r="G105" s="783">
        <v>0.254</v>
      </c>
      <c r="H105" s="772">
        <f t="shared" si="5"/>
        <v>0.254</v>
      </c>
      <c r="I105" s="783">
        <v>5</v>
      </c>
      <c r="J105" s="772"/>
      <c r="K105" s="783">
        <v>293.14999999999998</v>
      </c>
      <c r="L105" s="772">
        <v>293.14999999999998</v>
      </c>
      <c r="M105" s="783">
        <v>0</v>
      </c>
      <c r="N105" s="772"/>
      <c r="O105" s="783"/>
      <c r="P105" s="772"/>
    </row>
    <row r="106" spans="1:16" s="753" customFormat="1">
      <c r="A106" s="756"/>
      <c r="B106" s="757"/>
      <c r="C106" s="758"/>
      <c r="D106" s="773" t="s">
        <v>5529</v>
      </c>
      <c r="E106" s="782"/>
      <c r="F106" s="774" t="s">
        <v>5996</v>
      </c>
      <c r="G106" s="783">
        <v>0.15240000000000001</v>
      </c>
      <c r="H106" s="772">
        <f t="shared" si="5"/>
        <v>0.15239999999999998</v>
      </c>
      <c r="I106" s="783">
        <v>5</v>
      </c>
      <c r="J106" s="772"/>
      <c r="K106" s="783">
        <v>293.14999999999998</v>
      </c>
      <c r="L106" s="772">
        <v>293.14999999999998</v>
      </c>
      <c r="M106" s="783">
        <v>0</v>
      </c>
      <c r="N106" s="772"/>
      <c r="O106" s="783"/>
      <c r="P106" s="772"/>
    </row>
    <row r="107" spans="1:16" s="753" customFormat="1">
      <c r="A107" s="756"/>
      <c r="B107" s="757"/>
      <c r="C107" s="758"/>
      <c r="D107" s="773" t="s">
        <v>5529</v>
      </c>
      <c r="E107" s="782"/>
      <c r="F107" s="774" t="s">
        <v>5997</v>
      </c>
      <c r="G107" s="783">
        <v>0.15240000000000001</v>
      </c>
      <c r="H107" s="772">
        <f t="shared" si="5"/>
        <v>0.15239999999999998</v>
      </c>
      <c r="I107" s="783">
        <v>5</v>
      </c>
      <c r="J107" s="772"/>
      <c r="K107" s="783">
        <v>293.14999999999998</v>
      </c>
      <c r="L107" s="772">
        <v>293.14999999999998</v>
      </c>
      <c r="M107" s="783">
        <v>0</v>
      </c>
      <c r="N107" s="772"/>
      <c r="O107" s="783"/>
      <c r="P107" s="772"/>
    </row>
    <row r="108" spans="1:16" s="753" customFormat="1">
      <c r="A108" s="756"/>
      <c r="B108" s="757"/>
      <c r="C108" s="758"/>
      <c r="D108" s="773" t="s">
        <v>5524</v>
      </c>
      <c r="E108" s="782"/>
      <c r="F108" s="774" t="s">
        <v>5998</v>
      </c>
      <c r="G108" s="783">
        <v>0.254</v>
      </c>
      <c r="H108" s="772">
        <f t="shared" si="5"/>
        <v>0.254</v>
      </c>
      <c r="I108" s="783">
        <v>5</v>
      </c>
      <c r="J108" s="772"/>
      <c r="K108" s="783">
        <v>293.14999999999998</v>
      </c>
      <c r="L108" s="772">
        <v>293.14999999999998</v>
      </c>
      <c r="M108" s="783">
        <v>0</v>
      </c>
      <c r="N108" s="772"/>
      <c r="O108" s="783"/>
      <c r="P108" s="772"/>
    </row>
    <row r="109" spans="1:16" s="753" customFormat="1">
      <c r="A109" s="756"/>
      <c r="B109" s="757"/>
      <c r="C109" s="758"/>
      <c r="D109" s="773" t="s">
        <v>5500</v>
      </c>
      <c r="E109" s="782"/>
      <c r="F109" s="774" t="s">
        <v>5999</v>
      </c>
      <c r="G109" s="783">
        <v>0.30480000000000002</v>
      </c>
      <c r="H109" s="772">
        <f t="shared" si="5"/>
        <v>0.30479999999999996</v>
      </c>
      <c r="I109" s="783">
        <v>5</v>
      </c>
      <c r="J109" s="772"/>
      <c r="K109" s="783">
        <v>293.14999999999998</v>
      </c>
      <c r="L109" s="772">
        <v>293.14999999999998</v>
      </c>
      <c r="M109" s="783">
        <v>0</v>
      </c>
      <c r="N109" s="772"/>
      <c r="O109" s="783"/>
      <c r="P109" s="772"/>
    </row>
    <row r="110" spans="1:16" s="753" customFormat="1">
      <c r="A110" s="756"/>
      <c r="B110" s="757"/>
      <c r="C110" s="758"/>
      <c r="D110" s="773" t="s">
        <v>5524</v>
      </c>
      <c r="E110" s="782"/>
      <c r="F110" s="774" t="s">
        <v>6000</v>
      </c>
      <c r="G110" s="783">
        <v>0.254</v>
      </c>
      <c r="H110" s="772">
        <f t="shared" si="5"/>
        <v>0.254</v>
      </c>
      <c r="I110" s="783">
        <v>5</v>
      </c>
      <c r="J110" s="772"/>
      <c r="K110" s="783">
        <v>293.14999999999998</v>
      </c>
      <c r="L110" s="772">
        <v>293.14999999999998</v>
      </c>
      <c r="M110" s="783">
        <v>0</v>
      </c>
      <c r="N110" s="772"/>
      <c r="O110" s="783"/>
      <c r="P110" s="772"/>
    </row>
    <row r="111" spans="1:16" s="753" customFormat="1">
      <c r="A111" s="756"/>
      <c r="B111" s="757"/>
      <c r="C111" s="758"/>
      <c r="D111" s="773" t="s">
        <v>5529</v>
      </c>
      <c r="E111" s="782"/>
      <c r="F111" s="774" t="s">
        <v>6001</v>
      </c>
      <c r="G111" s="783">
        <v>0.15240000000000001</v>
      </c>
      <c r="H111" s="772">
        <f t="shared" si="5"/>
        <v>0.15239999999999998</v>
      </c>
      <c r="I111" s="783">
        <v>5</v>
      </c>
      <c r="J111" s="772"/>
      <c r="K111" s="783">
        <v>293.14999999999998</v>
      </c>
      <c r="L111" s="772">
        <v>293.14999999999998</v>
      </c>
      <c r="M111" s="783">
        <v>0</v>
      </c>
      <c r="N111" s="772"/>
      <c r="O111" s="783"/>
      <c r="P111" s="772"/>
    </row>
    <row r="112" spans="1:16" s="753" customFormat="1">
      <c r="A112" s="756"/>
      <c r="B112" s="757"/>
      <c r="C112" s="758"/>
      <c r="D112" s="773" t="s">
        <v>5529</v>
      </c>
      <c r="E112" s="782"/>
      <c r="F112" s="774" t="s">
        <v>6002</v>
      </c>
      <c r="G112" s="783">
        <v>0.15240000000000001</v>
      </c>
      <c r="H112" s="772">
        <f t="shared" si="5"/>
        <v>0.15239999999999998</v>
      </c>
      <c r="I112" s="783">
        <v>5</v>
      </c>
      <c r="J112" s="772"/>
      <c r="K112" s="783">
        <v>293.14999999999998</v>
      </c>
      <c r="L112" s="772">
        <v>293.14999999999998</v>
      </c>
      <c r="M112" s="783">
        <v>0</v>
      </c>
      <c r="N112" s="772"/>
      <c r="O112" s="783"/>
      <c r="P112" s="772"/>
    </row>
    <row r="113" spans="1:16" s="753" customFormat="1">
      <c r="A113" s="756"/>
      <c r="B113" s="757"/>
      <c r="C113" s="758"/>
      <c r="D113" s="773" t="s">
        <v>5529</v>
      </c>
      <c r="E113" s="782"/>
      <c r="F113" s="774" t="s">
        <v>6003</v>
      </c>
      <c r="G113" s="783">
        <v>0.15240000000000001</v>
      </c>
      <c r="H113" s="772">
        <f t="shared" ref="H113:H121" si="6">D113*0.0254</f>
        <v>0.15239999999999998</v>
      </c>
      <c r="I113" s="783">
        <v>5</v>
      </c>
      <c r="J113" s="772"/>
      <c r="K113" s="783">
        <v>293.14999999999998</v>
      </c>
      <c r="L113" s="772">
        <v>293.14999999999998</v>
      </c>
      <c r="M113" s="783">
        <v>0</v>
      </c>
      <c r="N113" s="772"/>
      <c r="O113" s="783"/>
      <c r="P113" s="772"/>
    </row>
    <row r="114" spans="1:16" s="753" customFormat="1">
      <c r="A114" s="756"/>
      <c r="B114" s="757"/>
      <c r="C114" s="758"/>
      <c r="D114" s="773" t="s">
        <v>5529</v>
      </c>
      <c r="E114" s="782"/>
      <c r="F114" s="774" t="s">
        <v>6004</v>
      </c>
      <c r="G114" s="783">
        <v>0.15240000000000001</v>
      </c>
      <c r="H114" s="772">
        <f t="shared" si="6"/>
        <v>0.15239999999999998</v>
      </c>
      <c r="I114" s="783">
        <v>5</v>
      </c>
      <c r="J114" s="772"/>
      <c r="K114" s="783">
        <v>293.14999999999998</v>
      </c>
      <c r="L114" s="772">
        <v>293.14999999999998</v>
      </c>
      <c r="M114" s="783">
        <v>0</v>
      </c>
      <c r="N114" s="772"/>
      <c r="O114" s="783"/>
      <c r="P114" s="772"/>
    </row>
    <row r="115" spans="1:16" s="753" customFormat="1">
      <c r="A115" s="756"/>
      <c r="B115" s="757"/>
      <c r="C115" s="758"/>
      <c r="D115" s="773" t="s">
        <v>5529</v>
      </c>
      <c r="E115" s="782"/>
      <c r="F115" s="774" t="s">
        <v>6005</v>
      </c>
      <c r="G115" s="783">
        <v>0.15240000000000001</v>
      </c>
      <c r="H115" s="772">
        <f t="shared" si="6"/>
        <v>0.15239999999999998</v>
      </c>
      <c r="I115" s="783">
        <v>5</v>
      </c>
      <c r="J115" s="772"/>
      <c r="K115" s="783">
        <v>293.14999999999998</v>
      </c>
      <c r="L115" s="772">
        <v>293.14999999999998</v>
      </c>
      <c r="M115" s="783">
        <v>1</v>
      </c>
      <c r="N115" s="772"/>
      <c r="O115" s="783"/>
      <c r="P115" s="772"/>
    </row>
    <row r="116" spans="1:16" s="753" customFormat="1">
      <c r="A116" s="756"/>
      <c r="B116" s="757"/>
      <c r="C116" s="758"/>
      <c r="D116" s="773" t="s">
        <v>5500</v>
      </c>
      <c r="E116" s="782"/>
      <c r="F116" s="774" t="s">
        <v>6006</v>
      </c>
      <c r="G116" s="783">
        <v>0.30480000000000002</v>
      </c>
      <c r="H116" s="772">
        <f t="shared" si="6"/>
        <v>0.30479999999999996</v>
      </c>
      <c r="I116" s="783">
        <v>5</v>
      </c>
      <c r="J116" s="772"/>
      <c r="K116" s="783">
        <v>293.14999999999998</v>
      </c>
      <c r="L116" s="772">
        <v>293.14999999999998</v>
      </c>
      <c r="M116" s="783">
        <v>0</v>
      </c>
      <c r="N116" s="772"/>
      <c r="O116" s="783"/>
      <c r="P116" s="772"/>
    </row>
    <row r="117" spans="1:16" s="753" customFormat="1">
      <c r="A117" s="756"/>
      <c r="B117" s="757"/>
      <c r="C117" s="758"/>
      <c r="D117" s="773" t="s">
        <v>5500</v>
      </c>
      <c r="E117" s="782"/>
      <c r="F117" s="774" t="s">
        <v>6007</v>
      </c>
      <c r="G117" s="783">
        <v>0.30480000000000002</v>
      </c>
      <c r="H117" s="772">
        <f t="shared" si="6"/>
        <v>0.30479999999999996</v>
      </c>
      <c r="I117" s="783">
        <v>5</v>
      </c>
      <c r="J117" s="772"/>
      <c r="K117" s="783">
        <v>293.14999999999998</v>
      </c>
      <c r="L117" s="772">
        <v>293.14999999999998</v>
      </c>
      <c r="M117" s="783">
        <v>0</v>
      </c>
      <c r="N117" s="772"/>
      <c r="O117" s="783"/>
      <c r="P117" s="772"/>
    </row>
    <row r="118" spans="1:16" s="753" customFormat="1">
      <c r="A118" s="756"/>
      <c r="B118" s="757"/>
      <c r="C118" s="758"/>
      <c r="D118" s="773" t="s">
        <v>5500</v>
      </c>
      <c r="E118" s="782"/>
      <c r="F118" s="774" t="s">
        <v>6008</v>
      </c>
      <c r="G118" s="783">
        <v>0.30480000000000002</v>
      </c>
      <c r="H118" s="772">
        <f t="shared" si="6"/>
        <v>0.30479999999999996</v>
      </c>
      <c r="I118" s="783">
        <v>5</v>
      </c>
      <c r="J118" s="772"/>
      <c r="K118" s="783">
        <v>293.14999999999998</v>
      </c>
      <c r="L118" s="772">
        <v>293.14999999999998</v>
      </c>
      <c r="M118" s="783">
        <v>1</v>
      </c>
      <c r="N118" s="772"/>
      <c r="O118" s="783"/>
      <c r="P118" s="772"/>
    </row>
    <row r="119" spans="1:16" s="753" customFormat="1">
      <c r="A119" s="756"/>
      <c r="B119" s="757"/>
      <c r="C119" s="758"/>
      <c r="D119" s="773" t="s">
        <v>5529</v>
      </c>
      <c r="E119" s="782"/>
      <c r="F119" s="774" t="s">
        <v>6009</v>
      </c>
      <c r="G119" s="783">
        <v>0.15240000000000001</v>
      </c>
      <c r="H119" s="772">
        <f t="shared" si="6"/>
        <v>0.15239999999999998</v>
      </c>
      <c r="I119" s="783">
        <v>5</v>
      </c>
      <c r="J119" s="772"/>
      <c r="K119" s="783">
        <v>293.14999999999998</v>
      </c>
      <c r="L119" s="772">
        <v>293.14999999999998</v>
      </c>
      <c r="M119" s="783">
        <v>0</v>
      </c>
      <c r="N119" s="772"/>
      <c r="O119" s="783"/>
      <c r="P119" s="772"/>
    </row>
    <row r="120" spans="1:16" s="753" customFormat="1">
      <c r="A120" s="756"/>
      <c r="B120" s="757"/>
      <c r="C120" s="758"/>
      <c r="D120" s="773" t="s">
        <v>5529</v>
      </c>
      <c r="E120" s="782"/>
      <c r="F120" s="774" t="s">
        <v>6010</v>
      </c>
      <c r="G120" s="783">
        <v>0.15240000000000001</v>
      </c>
      <c r="H120" s="772">
        <f t="shared" si="6"/>
        <v>0.15239999999999998</v>
      </c>
      <c r="I120" s="783">
        <v>5</v>
      </c>
      <c r="J120" s="772"/>
      <c r="K120" s="783">
        <v>293.14999999999998</v>
      </c>
      <c r="L120" s="772">
        <v>293.14999999999998</v>
      </c>
      <c r="M120" s="783">
        <v>0</v>
      </c>
      <c r="N120" s="772"/>
      <c r="O120" s="783"/>
      <c r="P120" s="772"/>
    </row>
    <row r="121" spans="1:16" s="753" customFormat="1">
      <c r="A121" s="756"/>
      <c r="B121" s="757"/>
      <c r="C121" s="758"/>
      <c r="D121" s="773" t="s">
        <v>5529</v>
      </c>
      <c r="E121" s="782"/>
      <c r="F121" s="774" t="s">
        <v>6011</v>
      </c>
      <c r="G121" s="783">
        <v>0.15240000000000001</v>
      </c>
      <c r="H121" s="772">
        <f t="shared" si="6"/>
        <v>0.15239999999999998</v>
      </c>
      <c r="I121" s="783">
        <v>5</v>
      </c>
      <c r="J121" s="772"/>
      <c r="K121" s="783">
        <v>293.14999999999998</v>
      </c>
      <c r="L121" s="772">
        <v>293.14999999999998</v>
      </c>
      <c r="M121" s="783">
        <v>0</v>
      </c>
      <c r="N121" s="772"/>
      <c r="O121" s="783"/>
      <c r="P121" s="772"/>
    </row>
    <row r="122" spans="1:16" s="753" customFormat="1">
      <c r="A122" s="756"/>
      <c r="B122" s="757"/>
      <c r="C122" s="758"/>
      <c r="D122" s="773" t="s">
        <v>5503</v>
      </c>
      <c r="E122" s="782"/>
      <c r="F122" s="774" t="s">
        <v>6013</v>
      </c>
      <c r="G122" s="783">
        <v>0.91439999999999999</v>
      </c>
      <c r="H122" s="772">
        <f>D122*0.0254</f>
        <v>0.91439999999999999</v>
      </c>
      <c r="I122" s="783">
        <v>5</v>
      </c>
      <c r="J122" s="772"/>
      <c r="K122" s="783">
        <v>293.14999999999998</v>
      </c>
      <c r="L122" s="772">
        <v>293.14999999999998</v>
      </c>
      <c r="M122" s="783">
        <v>0</v>
      </c>
      <c r="N122" s="772"/>
      <c r="O122" s="783"/>
      <c r="P122" s="772"/>
    </row>
    <row r="123" spans="1:16" s="753" customFormat="1">
      <c r="A123" s="756"/>
      <c r="B123" s="757"/>
      <c r="C123" s="758"/>
      <c r="D123" s="773" t="s">
        <v>6027</v>
      </c>
      <c r="E123" s="782"/>
      <c r="F123" s="774" t="s">
        <v>6014</v>
      </c>
      <c r="G123" s="783">
        <v>0.40639999999999998</v>
      </c>
      <c r="H123" s="772">
        <f t="shared" ref="H123:H134" si="7">D123*0.0254</f>
        <v>0.40639999999999998</v>
      </c>
      <c r="I123" s="783">
        <v>5</v>
      </c>
      <c r="J123" s="772"/>
      <c r="K123" s="783">
        <v>293.14999999999998</v>
      </c>
      <c r="L123" s="772">
        <v>293.14999999999998</v>
      </c>
      <c r="M123" s="783">
        <v>1</v>
      </c>
      <c r="N123" s="772"/>
      <c r="O123" s="783"/>
      <c r="P123" s="772"/>
    </row>
    <row r="124" spans="1:16" s="753" customFormat="1">
      <c r="A124" s="756"/>
      <c r="B124" s="757"/>
      <c r="C124" s="758"/>
      <c r="D124" s="773" t="s">
        <v>6027</v>
      </c>
      <c r="E124" s="782"/>
      <c r="F124" s="774" t="s">
        <v>6015</v>
      </c>
      <c r="G124" s="783">
        <v>0.40639999999999998</v>
      </c>
      <c r="H124" s="772">
        <f t="shared" si="7"/>
        <v>0.40639999999999998</v>
      </c>
      <c r="I124" s="783">
        <v>5</v>
      </c>
      <c r="J124" s="772"/>
      <c r="K124" s="783">
        <v>293.14999999999998</v>
      </c>
      <c r="L124" s="772">
        <v>293.14999999999998</v>
      </c>
      <c r="M124" s="783">
        <v>0</v>
      </c>
      <c r="N124" s="772"/>
      <c r="O124" s="783"/>
      <c r="P124" s="772"/>
    </row>
    <row r="125" spans="1:16" s="753" customFormat="1">
      <c r="A125" s="756"/>
      <c r="B125" s="757"/>
      <c r="C125" s="758"/>
      <c r="D125" s="773" t="s">
        <v>5471</v>
      </c>
      <c r="E125" s="782"/>
      <c r="F125" s="774" t="s">
        <v>6016</v>
      </c>
      <c r="G125" s="783">
        <v>0.35560000000000003</v>
      </c>
      <c r="H125" s="772">
        <f t="shared" si="7"/>
        <v>0.35559999999999997</v>
      </c>
      <c r="I125" s="783">
        <v>5</v>
      </c>
      <c r="J125" s="772"/>
      <c r="K125" s="783">
        <v>293.14999999999998</v>
      </c>
      <c r="L125" s="772">
        <v>293.14999999999998</v>
      </c>
      <c r="M125" s="783">
        <v>0</v>
      </c>
      <c r="N125" s="772"/>
      <c r="O125" s="783"/>
      <c r="P125" s="772"/>
    </row>
    <row r="126" spans="1:16" s="753" customFormat="1">
      <c r="A126" s="756"/>
      <c r="B126" s="757"/>
      <c r="C126" s="758"/>
      <c r="D126" s="773" t="s">
        <v>5562</v>
      </c>
      <c r="E126" s="782"/>
      <c r="F126" s="774" t="s">
        <v>6017</v>
      </c>
      <c r="G126" s="783">
        <v>0.1016</v>
      </c>
      <c r="H126" s="772">
        <f t="shared" si="7"/>
        <v>0.1016</v>
      </c>
      <c r="I126" s="783">
        <v>5</v>
      </c>
      <c r="J126" s="772"/>
      <c r="K126" s="783">
        <v>293.14999999999998</v>
      </c>
      <c r="L126" s="772">
        <v>293.14999999999998</v>
      </c>
      <c r="M126" s="783">
        <v>0</v>
      </c>
      <c r="N126" s="772"/>
      <c r="O126" s="783"/>
      <c r="P126" s="772"/>
    </row>
    <row r="127" spans="1:16" s="753" customFormat="1">
      <c r="A127" s="756"/>
      <c r="B127" s="757"/>
      <c r="C127" s="758"/>
      <c r="D127" s="773" t="s">
        <v>5562</v>
      </c>
      <c r="E127" s="782"/>
      <c r="F127" s="774" t="s">
        <v>6018</v>
      </c>
      <c r="G127" s="783">
        <v>0.1016</v>
      </c>
      <c r="H127" s="772">
        <f t="shared" si="7"/>
        <v>0.1016</v>
      </c>
      <c r="I127" s="783">
        <v>5</v>
      </c>
      <c r="J127" s="772"/>
      <c r="K127" s="783">
        <v>293.14999999999998</v>
      </c>
      <c r="L127" s="772">
        <v>293.14999999999998</v>
      </c>
      <c r="M127" s="783">
        <v>0</v>
      </c>
      <c r="N127" s="772"/>
      <c r="O127" s="783"/>
      <c r="P127" s="772"/>
    </row>
    <row r="128" spans="1:16" s="753" customFormat="1">
      <c r="A128" s="756"/>
      <c r="B128" s="757"/>
      <c r="C128" s="758"/>
      <c r="D128" s="773" t="s">
        <v>5529</v>
      </c>
      <c r="E128" s="782"/>
      <c r="F128" s="774" t="s">
        <v>6019</v>
      </c>
      <c r="G128" s="783">
        <v>0.15240000000000001</v>
      </c>
      <c r="H128" s="772">
        <f t="shared" si="7"/>
        <v>0.15239999999999998</v>
      </c>
      <c r="I128" s="783">
        <v>5</v>
      </c>
      <c r="J128" s="772"/>
      <c r="K128" s="783">
        <v>293.14999999999998</v>
      </c>
      <c r="L128" s="772">
        <v>293.14999999999998</v>
      </c>
      <c r="M128" s="783">
        <v>0</v>
      </c>
      <c r="N128" s="772"/>
      <c r="O128" s="783"/>
      <c r="P128" s="772"/>
    </row>
    <row r="129" spans="1:16" s="753" customFormat="1">
      <c r="A129" s="756"/>
      <c r="B129" s="757"/>
      <c r="C129" s="758"/>
      <c r="D129" s="773" t="s">
        <v>5529</v>
      </c>
      <c r="E129" s="782"/>
      <c r="F129" s="774" t="s">
        <v>6020</v>
      </c>
      <c r="G129" s="783">
        <v>0.15240000000000001</v>
      </c>
      <c r="H129" s="772">
        <f t="shared" si="7"/>
        <v>0.15239999999999998</v>
      </c>
      <c r="I129" s="783">
        <v>5</v>
      </c>
      <c r="J129" s="772"/>
      <c r="K129" s="783">
        <v>293.14999999999998</v>
      </c>
      <c r="L129" s="772">
        <v>293.14999999999998</v>
      </c>
      <c r="M129" s="783">
        <v>1</v>
      </c>
      <c r="N129" s="772"/>
      <c r="O129" s="783"/>
      <c r="P129" s="772"/>
    </row>
    <row r="130" spans="1:16" s="753" customFormat="1">
      <c r="A130" s="756"/>
      <c r="B130" s="757"/>
      <c r="C130" s="758"/>
      <c r="D130" s="773" t="s">
        <v>5529</v>
      </c>
      <c r="E130" s="782"/>
      <c r="F130" s="774" t="s">
        <v>6021</v>
      </c>
      <c r="G130" s="783">
        <v>0.15240000000000001</v>
      </c>
      <c r="H130" s="772">
        <f t="shared" si="7"/>
        <v>0.15239999999999998</v>
      </c>
      <c r="I130" s="783">
        <v>5</v>
      </c>
      <c r="J130" s="772"/>
      <c r="K130" s="783">
        <v>293.14999999999998</v>
      </c>
      <c r="L130" s="772">
        <v>293.14999999999998</v>
      </c>
      <c r="M130" s="783">
        <v>0</v>
      </c>
      <c r="N130" s="772"/>
      <c r="O130" s="783"/>
      <c r="P130" s="772"/>
    </row>
    <row r="131" spans="1:16" s="753" customFormat="1">
      <c r="A131" s="756"/>
      <c r="B131" s="757"/>
      <c r="C131" s="758"/>
      <c r="D131" s="773" t="s">
        <v>5500</v>
      </c>
      <c r="E131" s="782"/>
      <c r="F131" s="774" t="s">
        <v>6022</v>
      </c>
      <c r="G131" s="783">
        <v>0.30480000000000002</v>
      </c>
      <c r="H131" s="772">
        <f t="shared" si="7"/>
        <v>0.30479999999999996</v>
      </c>
      <c r="I131" s="783">
        <v>5</v>
      </c>
      <c r="J131" s="772"/>
      <c r="K131" s="783">
        <v>293.14999999999998</v>
      </c>
      <c r="L131" s="772">
        <v>293.14999999999998</v>
      </c>
      <c r="M131" s="783">
        <v>0</v>
      </c>
      <c r="N131" s="772"/>
      <c r="O131" s="783"/>
      <c r="P131" s="772"/>
    </row>
    <row r="132" spans="1:16" s="753" customFormat="1">
      <c r="A132" s="756"/>
      <c r="B132" s="757"/>
      <c r="C132" s="758"/>
      <c r="D132" s="773" t="s">
        <v>5500</v>
      </c>
      <c r="E132" s="782"/>
      <c r="F132" s="774" t="s">
        <v>6023</v>
      </c>
      <c r="G132" s="783">
        <v>0.30480000000000002</v>
      </c>
      <c r="H132" s="772">
        <f t="shared" si="7"/>
        <v>0.30479999999999996</v>
      </c>
      <c r="I132" s="783">
        <v>5</v>
      </c>
      <c r="J132" s="772"/>
      <c r="K132" s="783">
        <v>293.14999999999998</v>
      </c>
      <c r="L132" s="772">
        <v>293.14999999999998</v>
      </c>
      <c r="M132" s="783">
        <v>0</v>
      </c>
      <c r="N132" s="772"/>
      <c r="O132" s="783"/>
      <c r="P132" s="772"/>
    </row>
    <row r="133" spans="1:16" s="753" customFormat="1">
      <c r="A133" s="756"/>
      <c r="B133" s="757"/>
      <c r="C133" s="758"/>
      <c r="D133" s="773" t="s">
        <v>5524</v>
      </c>
      <c r="E133" s="782"/>
      <c r="F133" s="774" t="s">
        <v>6024</v>
      </c>
      <c r="G133" s="783">
        <v>0.254</v>
      </c>
      <c r="H133" s="772">
        <f t="shared" si="7"/>
        <v>0.254</v>
      </c>
      <c r="I133" s="783">
        <v>5</v>
      </c>
      <c r="J133" s="772"/>
      <c r="K133" s="783">
        <v>293.14999999999998</v>
      </c>
      <c r="L133" s="772">
        <v>293.14999999999998</v>
      </c>
      <c r="M133" s="783">
        <v>0</v>
      </c>
      <c r="N133" s="772"/>
      <c r="O133" s="783"/>
      <c r="P133" s="772"/>
    </row>
    <row r="134" spans="1:16" s="753" customFormat="1">
      <c r="A134" s="756"/>
      <c r="B134" s="757"/>
      <c r="C134" s="758"/>
      <c r="D134" s="773" t="s">
        <v>5524</v>
      </c>
      <c r="E134" s="782"/>
      <c r="F134" s="774" t="s">
        <v>6025</v>
      </c>
      <c r="G134" s="783">
        <v>0.254</v>
      </c>
      <c r="H134" s="772">
        <f t="shared" si="7"/>
        <v>0.254</v>
      </c>
      <c r="I134" s="783">
        <v>5</v>
      </c>
      <c r="J134" s="772"/>
      <c r="K134" s="783">
        <v>293.14999999999998</v>
      </c>
      <c r="L134" s="772">
        <v>293.14999999999998</v>
      </c>
      <c r="M134" s="783">
        <v>0</v>
      </c>
      <c r="N134" s="772"/>
      <c r="O134" s="783"/>
      <c r="P134" s="772"/>
    </row>
    <row r="135" spans="1:16" s="753" customFormat="1">
      <c r="A135" s="756"/>
      <c r="B135" s="757"/>
      <c r="C135" s="758"/>
      <c r="D135" s="773" t="s">
        <v>5500</v>
      </c>
      <c r="E135" s="782"/>
      <c r="F135" s="774" t="s">
        <v>6026</v>
      </c>
      <c r="G135" s="783">
        <v>0.30480000000000002</v>
      </c>
      <c r="H135" s="772">
        <f>D135*0.0254</f>
        <v>0.30479999999999996</v>
      </c>
      <c r="I135" s="783">
        <v>5</v>
      </c>
      <c r="J135" s="772"/>
      <c r="K135" s="783">
        <v>293.14999999999998</v>
      </c>
      <c r="L135" s="772">
        <v>293.14999999999998</v>
      </c>
      <c r="M135" s="783">
        <v>0</v>
      </c>
      <c r="N135" s="772"/>
      <c r="O135" s="783"/>
      <c r="P135" s="772"/>
    </row>
    <row r="136" spans="1:16" s="436" customFormat="1">
      <c r="A136" s="461"/>
      <c r="B136" s="462"/>
      <c r="C136" s="463"/>
      <c r="D136" s="464" t="s">
        <v>6012</v>
      </c>
      <c r="E136" s="459"/>
      <c r="F136" s="467" t="s">
        <v>7622</v>
      </c>
      <c r="G136" s="466">
        <v>0.20319999999999999</v>
      </c>
      <c r="H136" s="468">
        <f t="shared" ref="H136:H191" si="8">D136*0.0254</f>
        <v>0.20319999999999999</v>
      </c>
      <c r="I136" s="466">
        <v>5</v>
      </c>
      <c r="J136" s="468"/>
      <c r="K136" s="466">
        <v>293.14999999999998</v>
      </c>
      <c r="L136" s="772">
        <v>293.14999999999998</v>
      </c>
      <c r="M136" s="466">
        <v>0</v>
      </c>
      <c r="N136" s="468"/>
      <c r="O136" s="466"/>
      <c r="P136" s="468"/>
    </row>
    <row r="137" spans="1:16" s="753" customFormat="1">
      <c r="A137" s="756"/>
      <c r="B137" s="757"/>
      <c r="C137" s="758"/>
      <c r="D137" s="773" t="s">
        <v>5500</v>
      </c>
      <c r="E137" s="782"/>
      <c r="F137" s="774" t="s">
        <v>7623</v>
      </c>
      <c r="G137" s="783">
        <v>0.30480000000000002</v>
      </c>
      <c r="H137" s="772">
        <f t="shared" si="8"/>
        <v>0.30479999999999996</v>
      </c>
      <c r="I137" s="783">
        <v>5</v>
      </c>
      <c r="J137" s="772"/>
      <c r="K137" s="783">
        <v>293.14999999999998</v>
      </c>
      <c r="L137" s="772">
        <v>293.14999999999998</v>
      </c>
      <c r="M137" s="783">
        <v>0</v>
      </c>
      <c r="N137" s="772"/>
      <c r="O137" s="783"/>
      <c r="P137" s="772"/>
    </row>
    <row r="138" spans="1:16" s="753" customFormat="1">
      <c r="A138" s="756"/>
      <c r="B138" s="757"/>
      <c r="C138" s="758"/>
      <c r="D138" s="773" t="s">
        <v>5498</v>
      </c>
      <c r="E138" s="782"/>
      <c r="F138" s="774" t="s">
        <v>7625</v>
      </c>
      <c r="G138" s="783">
        <v>5.0799999999999998E-2</v>
      </c>
      <c r="H138" s="772">
        <f t="shared" si="8"/>
        <v>5.0799999999999998E-2</v>
      </c>
      <c r="I138" s="783">
        <v>5</v>
      </c>
      <c r="J138" s="772"/>
      <c r="K138" s="783">
        <v>293.14999999999998</v>
      </c>
      <c r="L138" s="772">
        <v>293.14999999999998</v>
      </c>
      <c r="M138" s="783">
        <v>0</v>
      </c>
      <c r="N138" s="772"/>
      <c r="O138" s="783"/>
      <c r="P138" s="772"/>
    </row>
    <row r="139" spans="1:16" s="753" customFormat="1">
      <c r="A139" s="756"/>
      <c r="B139" s="757"/>
      <c r="C139" s="758"/>
      <c r="D139" s="773" t="s">
        <v>5474</v>
      </c>
      <c r="E139" s="782"/>
      <c r="F139" s="774" t="s">
        <v>7626</v>
      </c>
      <c r="G139" s="783">
        <v>0.20319999999999999</v>
      </c>
      <c r="H139" s="772">
        <f t="shared" si="8"/>
        <v>0.20319999999999999</v>
      </c>
      <c r="I139" s="783">
        <v>5</v>
      </c>
      <c r="J139" s="772"/>
      <c r="K139" s="783">
        <v>293.14999999999998</v>
      </c>
      <c r="L139" s="772">
        <v>293.14999999999998</v>
      </c>
      <c r="M139" s="783">
        <v>0</v>
      </c>
      <c r="N139" s="772"/>
      <c r="O139" s="783"/>
      <c r="P139" s="772"/>
    </row>
    <row r="140" spans="1:16" s="753" customFormat="1">
      <c r="A140" s="756"/>
      <c r="B140" s="757"/>
      <c r="C140" s="758"/>
      <c r="D140" s="773">
        <v>18</v>
      </c>
      <c r="E140" s="782"/>
      <c r="F140" s="774" t="s">
        <v>7627</v>
      </c>
      <c r="G140" s="783">
        <v>0.4572</v>
      </c>
      <c r="H140" s="772">
        <f t="shared" si="8"/>
        <v>0.4572</v>
      </c>
      <c r="I140" s="783">
        <v>2</v>
      </c>
      <c r="J140" s="772">
        <v>2</v>
      </c>
      <c r="K140" s="783">
        <v>293.14999999999998</v>
      </c>
      <c r="L140" s="772">
        <v>293.14999999999998</v>
      </c>
      <c r="M140" s="783">
        <v>3</v>
      </c>
      <c r="N140" s="772"/>
      <c r="O140" s="783"/>
      <c r="P140" s="772"/>
    </row>
    <row r="141" spans="1:16" s="753" customFormat="1">
      <c r="A141" s="756"/>
      <c r="B141" s="757"/>
      <c r="C141" s="758"/>
      <c r="D141" s="773">
        <v>18</v>
      </c>
      <c r="E141" s="782"/>
      <c r="F141" s="774" t="s">
        <v>7628</v>
      </c>
      <c r="G141" s="783">
        <v>0.4572</v>
      </c>
      <c r="H141" s="772">
        <f t="shared" si="8"/>
        <v>0.4572</v>
      </c>
      <c r="I141" s="783">
        <v>2</v>
      </c>
      <c r="J141" s="772">
        <f>J140</f>
        <v>2</v>
      </c>
      <c r="K141" s="783">
        <v>293.14999999999998</v>
      </c>
      <c r="L141" s="772">
        <v>293.14999999999998</v>
      </c>
      <c r="M141" s="783">
        <v>3</v>
      </c>
      <c r="N141" s="772"/>
      <c r="O141" s="783"/>
      <c r="P141" s="772"/>
    </row>
    <row r="142" spans="1:16" s="753" customFormat="1">
      <c r="A142" s="756"/>
      <c r="B142" s="757"/>
      <c r="C142" s="758"/>
      <c r="D142" s="773">
        <v>18</v>
      </c>
      <c r="E142" s="782"/>
      <c r="F142" s="774" t="s">
        <v>7629</v>
      </c>
      <c r="G142" s="783">
        <v>0.4572</v>
      </c>
      <c r="H142" s="772">
        <f t="shared" si="8"/>
        <v>0.4572</v>
      </c>
      <c r="I142" s="783">
        <v>2</v>
      </c>
      <c r="J142" s="772">
        <f t="shared" ref="J142:J150" si="9">J141</f>
        <v>2</v>
      </c>
      <c r="K142" s="783">
        <v>293.14999999999998</v>
      </c>
      <c r="L142" s="772">
        <v>293.14999999999998</v>
      </c>
      <c r="M142" s="783">
        <v>3</v>
      </c>
      <c r="N142" s="772"/>
      <c r="O142" s="783"/>
      <c r="P142" s="772"/>
    </row>
    <row r="143" spans="1:16" s="753" customFormat="1">
      <c r="A143" s="756"/>
      <c r="B143" s="757"/>
      <c r="C143" s="758"/>
      <c r="D143" s="773">
        <v>18</v>
      </c>
      <c r="E143" s="782"/>
      <c r="F143" s="774" t="s">
        <v>7630</v>
      </c>
      <c r="G143" s="783">
        <v>0.4572</v>
      </c>
      <c r="H143" s="772">
        <f t="shared" si="8"/>
        <v>0.4572</v>
      </c>
      <c r="I143" s="783">
        <v>2</v>
      </c>
      <c r="J143" s="772">
        <f t="shared" si="9"/>
        <v>2</v>
      </c>
      <c r="K143" s="783">
        <v>293.14999999999998</v>
      </c>
      <c r="L143" s="772">
        <v>293.14999999999998</v>
      </c>
      <c r="M143" s="783">
        <v>3</v>
      </c>
      <c r="N143" s="772"/>
      <c r="O143" s="783"/>
      <c r="P143" s="772"/>
    </row>
    <row r="144" spans="1:16" s="753" customFormat="1">
      <c r="A144" s="756"/>
      <c r="B144" s="757"/>
      <c r="C144" s="758"/>
      <c r="D144" s="773">
        <v>18</v>
      </c>
      <c r="E144" s="782"/>
      <c r="F144" s="774" t="s">
        <v>7631</v>
      </c>
      <c r="G144" s="783">
        <v>0.4572</v>
      </c>
      <c r="H144" s="772">
        <f t="shared" si="8"/>
        <v>0.4572</v>
      </c>
      <c r="I144" s="783">
        <v>2</v>
      </c>
      <c r="J144" s="772">
        <f t="shared" si="9"/>
        <v>2</v>
      </c>
      <c r="K144" s="783">
        <v>293.14999999999998</v>
      </c>
      <c r="L144" s="772">
        <v>293.14999999999998</v>
      </c>
      <c r="M144" s="783">
        <v>3</v>
      </c>
      <c r="N144" s="772"/>
      <c r="O144" s="783"/>
      <c r="P144" s="772"/>
    </row>
    <row r="145" spans="1:16" s="753" customFormat="1">
      <c r="A145" s="756"/>
      <c r="B145" s="757"/>
      <c r="C145" s="758"/>
      <c r="D145" s="773">
        <v>18</v>
      </c>
      <c r="E145" s="782"/>
      <c r="F145" s="774" t="s">
        <v>7632</v>
      </c>
      <c r="G145" s="783">
        <v>0.4572</v>
      </c>
      <c r="H145" s="772">
        <f t="shared" si="8"/>
        <v>0.4572</v>
      </c>
      <c r="I145" s="783">
        <v>2</v>
      </c>
      <c r="J145" s="772">
        <f t="shared" si="9"/>
        <v>2</v>
      </c>
      <c r="K145" s="783">
        <v>293.14999999999998</v>
      </c>
      <c r="L145" s="772">
        <v>293.14999999999998</v>
      </c>
      <c r="M145" s="783">
        <v>3</v>
      </c>
      <c r="N145" s="772"/>
      <c r="O145" s="783"/>
      <c r="P145" s="772"/>
    </row>
    <row r="146" spans="1:16" s="753" customFormat="1">
      <c r="A146" s="756"/>
      <c r="B146" s="757"/>
      <c r="C146" s="758"/>
      <c r="D146" s="773">
        <v>16</v>
      </c>
      <c r="E146" s="782"/>
      <c r="F146" s="774" t="s">
        <v>7633</v>
      </c>
      <c r="G146" s="783">
        <v>0.40639999999999998</v>
      </c>
      <c r="H146" s="772">
        <f t="shared" si="8"/>
        <v>0.40639999999999998</v>
      </c>
      <c r="I146" s="783">
        <v>2</v>
      </c>
      <c r="J146" s="772">
        <f t="shared" si="9"/>
        <v>2</v>
      </c>
      <c r="K146" s="783">
        <v>293.14999999999998</v>
      </c>
      <c r="L146" s="772">
        <v>293.14999999999998</v>
      </c>
      <c r="M146" s="783">
        <v>3</v>
      </c>
      <c r="N146" s="772"/>
      <c r="O146" s="783"/>
      <c r="P146" s="772"/>
    </row>
    <row r="147" spans="1:16" s="753" customFormat="1">
      <c r="A147" s="756"/>
      <c r="B147" s="757"/>
      <c r="C147" s="758"/>
      <c r="D147" s="773">
        <v>16</v>
      </c>
      <c r="E147" s="782"/>
      <c r="F147" s="774" t="s">
        <v>7634</v>
      </c>
      <c r="G147" s="783">
        <v>0.40639999999999998</v>
      </c>
      <c r="H147" s="772">
        <f t="shared" si="8"/>
        <v>0.40639999999999998</v>
      </c>
      <c r="I147" s="783">
        <v>2</v>
      </c>
      <c r="J147" s="772">
        <f t="shared" si="9"/>
        <v>2</v>
      </c>
      <c r="K147" s="783">
        <v>293.14999999999998</v>
      </c>
      <c r="L147" s="772">
        <v>293.14999999999998</v>
      </c>
      <c r="M147" s="783">
        <v>3</v>
      </c>
      <c r="N147" s="772"/>
      <c r="O147" s="783"/>
      <c r="P147" s="772"/>
    </row>
    <row r="148" spans="1:16" s="753" customFormat="1">
      <c r="A148" s="756"/>
      <c r="B148" s="757"/>
      <c r="C148" s="758"/>
      <c r="D148" s="773">
        <v>16</v>
      </c>
      <c r="E148" s="782"/>
      <c r="F148" s="774" t="s">
        <v>7635</v>
      </c>
      <c r="G148" s="783">
        <v>0.40639999999999998</v>
      </c>
      <c r="H148" s="772">
        <f t="shared" si="8"/>
        <v>0.40639999999999998</v>
      </c>
      <c r="I148" s="783">
        <v>2</v>
      </c>
      <c r="J148" s="772">
        <f t="shared" si="9"/>
        <v>2</v>
      </c>
      <c r="K148" s="783">
        <v>293.14999999999998</v>
      </c>
      <c r="L148" s="772">
        <v>293.14999999999998</v>
      </c>
      <c r="M148" s="783">
        <v>3</v>
      </c>
      <c r="N148" s="772"/>
      <c r="O148" s="783"/>
      <c r="P148" s="772"/>
    </row>
    <row r="149" spans="1:16" s="753" customFormat="1">
      <c r="A149" s="756"/>
      <c r="B149" s="757"/>
      <c r="C149" s="758"/>
      <c r="D149" s="773">
        <v>16</v>
      </c>
      <c r="E149" s="782"/>
      <c r="F149" s="774" t="s">
        <v>7636</v>
      </c>
      <c r="G149" s="783">
        <v>0.40639999999999998</v>
      </c>
      <c r="H149" s="772">
        <f t="shared" si="8"/>
        <v>0.40639999999999998</v>
      </c>
      <c r="I149" s="783">
        <v>2</v>
      </c>
      <c r="J149" s="772">
        <f t="shared" si="9"/>
        <v>2</v>
      </c>
      <c r="K149" s="783">
        <v>293.14999999999998</v>
      </c>
      <c r="L149" s="772">
        <v>293.14999999999998</v>
      </c>
      <c r="M149" s="783">
        <v>3</v>
      </c>
      <c r="N149" s="772"/>
      <c r="O149" s="783"/>
      <c r="P149" s="772"/>
    </row>
    <row r="150" spans="1:16" s="753" customFormat="1">
      <c r="A150" s="756"/>
      <c r="B150" s="757"/>
      <c r="C150" s="758"/>
      <c r="D150" s="773">
        <v>16</v>
      </c>
      <c r="E150" s="782"/>
      <c r="F150" s="774" t="s">
        <v>7637</v>
      </c>
      <c r="G150" s="783">
        <v>0.40639999999999998</v>
      </c>
      <c r="H150" s="772">
        <f t="shared" si="8"/>
        <v>0.40639999999999998</v>
      </c>
      <c r="I150" s="783">
        <v>2</v>
      </c>
      <c r="J150" s="772">
        <f t="shared" si="9"/>
        <v>2</v>
      </c>
      <c r="K150" s="783">
        <v>293.14999999999998</v>
      </c>
      <c r="L150" s="772">
        <v>293.14999999999998</v>
      </c>
      <c r="M150" s="783">
        <v>3</v>
      </c>
      <c r="N150" s="772"/>
      <c r="O150" s="783"/>
      <c r="P150" s="772"/>
    </row>
    <row r="151" spans="1:16" s="753" customFormat="1">
      <c r="A151" s="756"/>
      <c r="B151" s="757"/>
      <c r="C151" s="758"/>
      <c r="D151" s="773">
        <v>16</v>
      </c>
      <c r="E151" s="782"/>
      <c r="F151" s="774" t="s">
        <v>7638</v>
      </c>
      <c r="G151" s="783">
        <v>0.40639999999999998</v>
      </c>
      <c r="H151" s="772">
        <f t="shared" si="8"/>
        <v>0.40639999999999998</v>
      </c>
      <c r="I151" s="783">
        <v>5</v>
      </c>
      <c r="J151" s="772"/>
      <c r="K151" s="783">
        <v>293.14999999999998</v>
      </c>
      <c r="L151" s="772">
        <v>293.14999999999998</v>
      </c>
      <c r="M151" s="783">
        <v>1</v>
      </c>
      <c r="N151" s="772"/>
      <c r="O151" s="783"/>
      <c r="P151" s="772"/>
    </row>
    <row r="152" spans="1:16" s="753" customFormat="1">
      <c r="A152" s="756"/>
      <c r="B152" s="757"/>
      <c r="C152" s="758"/>
      <c r="D152" s="773">
        <v>16</v>
      </c>
      <c r="E152" s="782"/>
      <c r="F152" s="774" t="s">
        <v>7639</v>
      </c>
      <c r="G152" s="783">
        <v>0.40639999999999998</v>
      </c>
      <c r="H152" s="772">
        <f t="shared" si="8"/>
        <v>0.40639999999999998</v>
      </c>
      <c r="I152" s="783">
        <v>5</v>
      </c>
      <c r="J152" s="772"/>
      <c r="K152" s="783">
        <v>293.14999999999998</v>
      </c>
      <c r="L152" s="772">
        <v>293.14999999999998</v>
      </c>
      <c r="M152" s="783">
        <v>1</v>
      </c>
      <c r="N152" s="772"/>
      <c r="O152" s="783"/>
      <c r="P152" s="772"/>
    </row>
    <row r="153" spans="1:16" s="753" customFormat="1">
      <c r="A153" s="756"/>
      <c r="B153" s="757"/>
      <c r="C153" s="758"/>
      <c r="D153" s="773">
        <v>16</v>
      </c>
      <c r="E153" s="782"/>
      <c r="F153" s="774" t="s">
        <v>7640</v>
      </c>
      <c r="G153" s="783">
        <v>0.40639999999999998</v>
      </c>
      <c r="H153" s="772">
        <f t="shared" si="8"/>
        <v>0.40639999999999998</v>
      </c>
      <c r="I153" s="783">
        <v>5</v>
      </c>
      <c r="J153" s="772"/>
      <c r="K153" s="783">
        <v>293.14999999999998</v>
      </c>
      <c r="L153" s="772">
        <v>293.14999999999998</v>
      </c>
      <c r="M153" s="783">
        <v>1</v>
      </c>
      <c r="N153" s="772"/>
      <c r="O153" s="783"/>
      <c r="P153" s="772"/>
    </row>
    <row r="154" spans="1:16" s="753" customFormat="1">
      <c r="A154" s="756"/>
      <c r="B154" s="757"/>
      <c r="C154" s="758"/>
      <c r="D154" s="773">
        <v>16</v>
      </c>
      <c r="E154" s="782"/>
      <c r="F154" s="774" t="s">
        <v>7641</v>
      </c>
      <c r="G154" s="783">
        <v>0.40639999999999998</v>
      </c>
      <c r="H154" s="772">
        <f t="shared" si="8"/>
        <v>0.40639999999999998</v>
      </c>
      <c r="I154" s="783">
        <v>5</v>
      </c>
      <c r="J154" s="772"/>
      <c r="K154" s="783">
        <v>293.14999999999998</v>
      </c>
      <c r="L154" s="772">
        <v>293.14999999999998</v>
      </c>
      <c r="M154" s="783">
        <v>1</v>
      </c>
      <c r="N154" s="772"/>
      <c r="O154" s="783"/>
      <c r="P154" s="772"/>
    </row>
    <row r="155" spans="1:16" s="753" customFormat="1">
      <c r="A155" s="756"/>
      <c r="B155" s="757"/>
      <c r="C155" s="758"/>
      <c r="D155" s="773">
        <v>16</v>
      </c>
      <c r="E155" s="782"/>
      <c r="F155" s="774" t="s">
        <v>7642</v>
      </c>
      <c r="G155" s="783">
        <v>0.40639999999999998</v>
      </c>
      <c r="H155" s="772">
        <f t="shared" si="8"/>
        <v>0.40639999999999998</v>
      </c>
      <c r="I155" s="783">
        <v>5</v>
      </c>
      <c r="J155" s="772"/>
      <c r="K155" s="783">
        <v>293.14999999999998</v>
      </c>
      <c r="L155" s="772">
        <v>293.14999999999998</v>
      </c>
      <c r="M155" s="783">
        <v>1</v>
      </c>
      <c r="N155" s="772"/>
      <c r="O155" s="783"/>
      <c r="P155" s="772"/>
    </row>
    <row r="156" spans="1:16" s="753" customFormat="1">
      <c r="A156" s="756"/>
      <c r="B156" s="757"/>
      <c r="C156" s="758"/>
      <c r="D156" s="773" t="s">
        <v>5498</v>
      </c>
      <c r="E156" s="782"/>
      <c r="F156" s="774" t="s">
        <v>7643</v>
      </c>
      <c r="G156" s="783">
        <v>5.0799999999999998E-2</v>
      </c>
      <c r="H156" s="772">
        <f t="shared" si="8"/>
        <v>5.0799999999999998E-2</v>
      </c>
      <c r="I156" s="783">
        <v>5</v>
      </c>
      <c r="J156" s="772"/>
      <c r="K156" s="783">
        <v>293.14999999999998</v>
      </c>
      <c r="L156" s="772">
        <v>293.14999999999998</v>
      </c>
      <c r="M156" s="783">
        <v>1</v>
      </c>
      <c r="N156" s="772"/>
      <c r="O156" s="783"/>
      <c r="P156" s="772"/>
    </row>
    <row r="157" spans="1:16" s="753" customFormat="1">
      <c r="A157" s="756"/>
      <c r="B157" s="757"/>
      <c r="C157" s="758"/>
      <c r="D157" s="773" t="s">
        <v>5529</v>
      </c>
      <c r="E157" s="782"/>
      <c r="F157" s="774" t="s">
        <v>7644</v>
      </c>
      <c r="G157" s="783">
        <v>0.15240000000000001</v>
      </c>
      <c r="H157" s="772">
        <f t="shared" si="8"/>
        <v>0.15239999999999998</v>
      </c>
      <c r="I157" s="783">
        <v>5</v>
      </c>
      <c r="J157" s="772"/>
      <c r="K157" s="783">
        <v>293.14999999999998</v>
      </c>
      <c r="L157" s="772">
        <v>293.14999999999998</v>
      </c>
      <c r="M157" s="783">
        <v>1</v>
      </c>
      <c r="N157" s="772"/>
      <c r="O157" s="783"/>
      <c r="P157" s="772"/>
    </row>
    <row r="158" spans="1:16" s="753" customFormat="1">
      <c r="A158" s="756"/>
      <c r="B158" s="757"/>
      <c r="C158" s="758"/>
      <c r="D158" s="773" t="s">
        <v>5474</v>
      </c>
      <c r="E158" s="782"/>
      <c r="F158" s="774" t="s">
        <v>7645</v>
      </c>
      <c r="G158" s="783">
        <v>0.20319999999999999</v>
      </c>
      <c r="H158" s="772">
        <f t="shared" si="8"/>
        <v>0.20319999999999999</v>
      </c>
      <c r="I158" s="783">
        <v>5</v>
      </c>
      <c r="J158" s="772"/>
      <c r="K158" s="783">
        <v>293.14999999999998</v>
      </c>
      <c r="L158" s="772">
        <v>293.14999999999998</v>
      </c>
      <c r="M158" s="783">
        <v>1</v>
      </c>
      <c r="N158" s="772"/>
      <c r="O158" s="783"/>
      <c r="P158" s="772"/>
    </row>
    <row r="159" spans="1:16" s="753" customFormat="1">
      <c r="A159" s="756"/>
      <c r="B159" s="757"/>
      <c r="C159" s="758"/>
      <c r="D159" s="773" t="s">
        <v>5474</v>
      </c>
      <c r="E159" s="782"/>
      <c r="F159" s="774" t="s">
        <v>7646</v>
      </c>
      <c r="G159" s="783">
        <v>0.20319999999999999</v>
      </c>
      <c r="H159" s="772">
        <f t="shared" si="8"/>
        <v>0.20319999999999999</v>
      </c>
      <c r="I159" s="783">
        <v>5</v>
      </c>
      <c r="J159" s="772"/>
      <c r="K159" s="783">
        <v>293.14999999999998</v>
      </c>
      <c r="L159" s="772">
        <v>293.14999999999998</v>
      </c>
      <c r="M159" s="783">
        <v>1</v>
      </c>
      <c r="N159" s="772"/>
      <c r="O159" s="783"/>
      <c r="P159" s="772"/>
    </row>
    <row r="160" spans="1:16" s="753" customFormat="1">
      <c r="A160" s="756"/>
      <c r="B160" s="757"/>
      <c r="C160" s="758"/>
      <c r="D160" s="773">
        <v>16</v>
      </c>
      <c r="E160" s="782"/>
      <c r="F160" s="774" t="s">
        <v>7647</v>
      </c>
      <c r="G160" s="783">
        <v>0.40639999999999998</v>
      </c>
      <c r="H160" s="772">
        <f t="shared" si="8"/>
        <v>0.40639999999999998</v>
      </c>
      <c r="I160" s="783">
        <v>5</v>
      </c>
      <c r="J160" s="772"/>
      <c r="K160" s="783">
        <v>293.14999999999998</v>
      </c>
      <c r="L160" s="772">
        <v>293.14999999999998</v>
      </c>
      <c r="M160" s="783">
        <v>1</v>
      </c>
      <c r="N160" s="772"/>
      <c r="O160" s="783"/>
      <c r="P160" s="772"/>
    </row>
    <row r="161" spans="1:16" s="753" customFormat="1">
      <c r="A161" s="756"/>
      <c r="B161" s="757"/>
      <c r="C161" s="758"/>
      <c r="D161" s="773">
        <v>4</v>
      </c>
      <c r="E161" s="782"/>
      <c r="F161" s="774" t="s">
        <v>7648</v>
      </c>
      <c r="G161" s="783">
        <v>0.1016</v>
      </c>
      <c r="H161" s="772">
        <f t="shared" si="8"/>
        <v>0.1016</v>
      </c>
      <c r="I161" s="783">
        <v>5</v>
      </c>
      <c r="J161" s="772"/>
      <c r="K161" s="783">
        <v>293.14999999999998</v>
      </c>
      <c r="L161" s="772">
        <v>293.14999999999998</v>
      </c>
      <c r="M161" s="783">
        <v>1</v>
      </c>
      <c r="N161" s="772"/>
      <c r="O161" s="783"/>
      <c r="P161" s="772"/>
    </row>
    <row r="162" spans="1:16" s="753" customFormat="1">
      <c r="A162" s="756"/>
      <c r="B162" s="757"/>
      <c r="C162" s="758"/>
      <c r="D162" s="773">
        <v>8</v>
      </c>
      <c r="E162" s="782"/>
      <c r="F162" s="774" t="s">
        <v>7649</v>
      </c>
      <c r="G162" s="783">
        <v>0.20319999999999999</v>
      </c>
      <c r="H162" s="772">
        <f t="shared" si="8"/>
        <v>0.20319999999999999</v>
      </c>
      <c r="I162" s="783">
        <v>5</v>
      </c>
      <c r="J162" s="772"/>
      <c r="K162" s="783">
        <v>293.14999999999998</v>
      </c>
      <c r="L162" s="772">
        <v>293.14999999999998</v>
      </c>
      <c r="M162" s="783">
        <v>1</v>
      </c>
      <c r="N162" s="772"/>
      <c r="O162" s="783"/>
      <c r="P162" s="772"/>
    </row>
    <row r="163" spans="1:16" s="753" customFormat="1">
      <c r="A163" s="756"/>
      <c r="B163" s="757"/>
      <c r="C163" s="758"/>
      <c r="D163" s="773">
        <v>8</v>
      </c>
      <c r="E163" s="782"/>
      <c r="F163" s="774" t="s">
        <v>7650</v>
      </c>
      <c r="G163" s="783">
        <v>0.20319999999999999</v>
      </c>
      <c r="H163" s="772">
        <f t="shared" si="8"/>
        <v>0.20319999999999999</v>
      </c>
      <c r="I163" s="783">
        <v>5</v>
      </c>
      <c r="J163" s="772"/>
      <c r="K163" s="783">
        <v>293.14999999999998</v>
      </c>
      <c r="L163" s="772">
        <v>293.14999999999998</v>
      </c>
      <c r="M163" s="783">
        <v>1</v>
      </c>
      <c r="N163" s="772"/>
      <c r="O163" s="783"/>
      <c r="P163" s="772"/>
    </row>
    <row r="164" spans="1:16" s="753" customFormat="1">
      <c r="A164" s="756"/>
      <c r="B164" s="757"/>
      <c r="C164" s="758"/>
      <c r="D164" s="773">
        <v>8</v>
      </c>
      <c r="E164" s="782"/>
      <c r="F164" s="774" t="s">
        <v>7651</v>
      </c>
      <c r="G164" s="783">
        <v>0.20319999999999999</v>
      </c>
      <c r="H164" s="772">
        <f t="shared" si="8"/>
        <v>0.20319999999999999</v>
      </c>
      <c r="I164" s="783">
        <v>5</v>
      </c>
      <c r="J164" s="772"/>
      <c r="K164" s="783">
        <v>293.14999999999998</v>
      </c>
      <c r="L164" s="772">
        <v>293.14999999999998</v>
      </c>
      <c r="M164" s="783">
        <v>1</v>
      </c>
      <c r="N164" s="772"/>
      <c r="O164" s="783"/>
      <c r="P164" s="772"/>
    </row>
    <row r="165" spans="1:16" s="753" customFormat="1">
      <c r="A165" s="756"/>
      <c r="B165" s="757"/>
      <c r="C165" s="758"/>
      <c r="D165" s="773">
        <v>12</v>
      </c>
      <c r="E165" s="782"/>
      <c r="F165" s="774" t="s">
        <v>7652</v>
      </c>
      <c r="G165" s="783">
        <v>0.30480000000000002</v>
      </c>
      <c r="H165" s="772">
        <f t="shared" si="8"/>
        <v>0.30479999999999996</v>
      </c>
      <c r="I165" s="783">
        <v>5</v>
      </c>
      <c r="J165" s="772"/>
      <c r="K165" s="783">
        <v>293.14999999999998</v>
      </c>
      <c r="L165" s="772">
        <v>293.14999999999998</v>
      </c>
      <c r="M165" s="783">
        <v>1</v>
      </c>
      <c r="N165" s="772"/>
      <c r="O165" s="783"/>
      <c r="P165" s="772"/>
    </row>
    <row r="166" spans="1:16" s="753" customFormat="1">
      <c r="A166" s="756"/>
      <c r="B166" s="757"/>
      <c r="C166" s="758"/>
      <c r="D166" s="773">
        <v>2</v>
      </c>
      <c r="E166" s="782"/>
      <c r="F166" s="774" t="s">
        <v>7653</v>
      </c>
      <c r="G166" s="783">
        <v>5.0799999999999998E-2</v>
      </c>
      <c r="H166" s="772">
        <f t="shared" si="8"/>
        <v>5.0799999999999998E-2</v>
      </c>
      <c r="I166" s="783">
        <v>5</v>
      </c>
      <c r="J166" s="772"/>
      <c r="K166" s="783">
        <v>293.14999999999998</v>
      </c>
      <c r="L166" s="772">
        <v>293.14999999999998</v>
      </c>
      <c r="M166" s="783">
        <v>1</v>
      </c>
      <c r="N166" s="772"/>
      <c r="O166" s="783"/>
      <c r="P166" s="772"/>
    </row>
    <row r="167" spans="1:16" s="753" customFormat="1">
      <c r="A167" s="756"/>
      <c r="B167" s="757"/>
      <c r="C167" s="758"/>
      <c r="D167" s="773">
        <v>8</v>
      </c>
      <c r="E167" s="782"/>
      <c r="F167" s="774" t="s">
        <v>7654</v>
      </c>
      <c r="G167" s="783">
        <v>0.20319999999999999</v>
      </c>
      <c r="H167" s="772">
        <f t="shared" si="8"/>
        <v>0.20319999999999999</v>
      </c>
      <c r="I167" s="783">
        <v>5</v>
      </c>
      <c r="J167" s="772"/>
      <c r="K167" s="783">
        <v>293.14999999999998</v>
      </c>
      <c r="L167" s="772">
        <v>293.14999999999998</v>
      </c>
      <c r="M167" s="783">
        <v>1</v>
      </c>
      <c r="N167" s="772"/>
      <c r="O167" s="783"/>
      <c r="P167" s="772"/>
    </row>
    <row r="168" spans="1:16" s="753" customFormat="1">
      <c r="A168" s="756"/>
      <c r="B168" s="757"/>
      <c r="C168" s="758"/>
      <c r="D168" s="773">
        <v>10</v>
      </c>
      <c r="E168" s="782"/>
      <c r="F168" s="774" t="s">
        <v>7655</v>
      </c>
      <c r="G168" s="783">
        <v>0.254</v>
      </c>
      <c r="H168" s="772">
        <f t="shared" si="8"/>
        <v>0.254</v>
      </c>
      <c r="I168" s="783">
        <v>5</v>
      </c>
      <c r="J168" s="772"/>
      <c r="K168" s="783">
        <v>293.14999999999998</v>
      </c>
      <c r="L168" s="772">
        <v>293.14999999999998</v>
      </c>
      <c r="M168" s="783">
        <v>1</v>
      </c>
      <c r="N168" s="772"/>
      <c r="O168" s="783"/>
      <c r="P168" s="772"/>
    </row>
    <row r="169" spans="1:16" s="753" customFormat="1">
      <c r="A169" s="756"/>
      <c r="B169" s="757"/>
      <c r="C169" s="758"/>
      <c r="D169" s="773">
        <v>8</v>
      </c>
      <c r="E169" s="782"/>
      <c r="F169" s="774" t="s">
        <v>7656</v>
      </c>
      <c r="G169" s="783">
        <v>0.20319999999999999</v>
      </c>
      <c r="H169" s="772">
        <f t="shared" si="8"/>
        <v>0.20319999999999999</v>
      </c>
      <c r="I169" s="783">
        <v>5</v>
      </c>
      <c r="J169" s="772"/>
      <c r="K169" s="783">
        <v>293.14999999999998</v>
      </c>
      <c r="L169" s="772">
        <v>293.14999999999998</v>
      </c>
      <c r="M169" s="783">
        <v>1</v>
      </c>
      <c r="N169" s="772"/>
      <c r="O169" s="783"/>
      <c r="P169" s="772"/>
    </row>
    <row r="170" spans="1:16" s="753" customFormat="1">
      <c r="A170" s="756"/>
      <c r="B170" s="757"/>
      <c r="C170" s="758"/>
      <c r="D170" s="773">
        <v>2</v>
      </c>
      <c r="E170" s="782"/>
      <c r="F170" s="774" t="s">
        <v>7657</v>
      </c>
      <c r="G170" s="783">
        <v>5.0799999999999998E-2</v>
      </c>
      <c r="H170" s="772">
        <f t="shared" si="8"/>
        <v>5.0799999999999998E-2</v>
      </c>
      <c r="I170" s="783">
        <v>5</v>
      </c>
      <c r="J170" s="772"/>
      <c r="K170" s="783">
        <v>293.14999999999998</v>
      </c>
      <c r="L170" s="772">
        <v>293.14999999999998</v>
      </c>
      <c r="M170" s="783">
        <v>1</v>
      </c>
      <c r="N170" s="772"/>
      <c r="O170" s="783"/>
      <c r="P170" s="772"/>
    </row>
    <row r="171" spans="1:16" s="753" customFormat="1">
      <c r="A171" s="756"/>
      <c r="B171" s="757"/>
      <c r="C171" s="758"/>
      <c r="D171" s="773">
        <v>12</v>
      </c>
      <c r="E171" s="782"/>
      <c r="F171" s="774" t="s">
        <v>7658</v>
      </c>
      <c r="G171" s="783">
        <v>0.30480000000000002</v>
      </c>
      <c r="H171" s="772">
        <f t="shared" si="8"/>
        <v>0.30479999999999996</v>
      </c>
      <c r="I171" s="783">
        <v>5</v>
      </c>
      <c r="J171" s="772"/>
      <c r="K171" s="783">
        <v>293.14999999999998</v>
      </c>
      <c r="L171" s="772">
        <v>293.14999999999998</v>
      </c>
      <c r="M171" s="783">
        <v>1</v>
      </c>
      <c r="N171" s="772"/>
      <c r="O171" s="783"/>
      <c r="P171" s="772"/>
    </row>
    <row r="172" spans="1:16" s="753" customFormat="1">
      <c r="A172" s="756"/>
      <c r="B172" s="757"/>
      <c r="C172" s="758"/>
      <c r="D172" s="773">
        <v>12</v>
      </c>
      <c r="E172" s="782"/>
      <c r="F172" s="774" t="s">
        <v>7659</v>
      </c>
      <c r="G172" s="783">
        <v>0.30480000000000002</v>
      </c>
      <c r="H172" s="772">
        <f t="shared" si="8"/>
        <v>0.30479999999999996</v>
      </c>
      <c r="I172" s="783">
        <v>5</v>
      </c>
      <c r="J172" s="772"/>
      <c r="K172" s="783">
        <v>293.14999999999998</v>
      </c>
      <c r="L172" s="772">
        <v>293.14999999999998</v>
      </c>
      <c r="M172" s="783">
        <v>1</v>
      </c>
      <c r="N172" s="772"/>
      <c r="O172" s="783"/>
      <c r="P172" s="772"/>
    </row>
    <row r="173" spans="1:16" s="753" customFormat="1">
      <c r="A173" s="756"/>
      <c r="B173" s="757"/>
      <c r="C173" s="758"/>
      <c r="D173" s="773">
        <v>16</v>
      </c>
      <c r="E173" s="782"/>
      <c r="F173" s="774" t="s">
        <v>7660</v>
      </c>
      <c r="G173" s="783">
        <v>0.40639999999999998</v>
      </c>
      <c r="H173" s="772">
        <f t="shared" si="8"/>
        <v>0.40639999999999998</v>
      </c>
      <c r="I173" s="783">
        <v>5</v>
      </c>
      <c r="J173" s="772"/>
      <c r="K173" s="783">
        <v>293.14999999999998</v>
      </c>
      <c r="L173" s="772">
        <v>293.14999999999998</v>
      </c>
      <c r="M173" s="783">
        <v>1</v>
      </c>
      <c r="N173" s="772"/>
      <c r="O173" s="783"/>
      <c r="P173" s="772"/>
    </row>
    <row r="174" spans="1:16" s="753" customFormat="1">
      <c r="A174" s="756"/>
      <c r="B174" s="757"/>
      <c r="C174" s="758"/>
      <c r="D174" s="773">
        <v>8</v>
      </c>
      <c r="E174" s="782"/>
      <c r="F174" s="774" t="s">
        <v>7661</v>
      </c>
      <c r="G174" s="783">
        <v>0.20319999999999999</v>
      </c>
      <c r="H174" s="772">
        <f t="shared" si="8"/>
        <v>0.20319999999999999</v>
      </c>
      <c r="I174" s="783">
        <v>5</v>
      </c>
      <c r="J174" s="772"/>
      <c r="K174" s="783">
        <v>293.14999999999998</v>
      </c>
      <c r="L174" s="772">
        <v>293.14999999999998</v>
      </c>
      <c r="M174" s="783">
        <v>1</v>
      </c>
      <c r="N174" s="772"/>
      <c r="O174" s="783"/>
      <c r="P174" s="772"/>
    </row>
    <row r="175" spans="1:16" s="753" customFormat="1">
      <c r="A175" s="756"/>
      <c r="B175" s="757"/>
      <c r="C175" s="758"/>
      <c r="D175" s="773">
        <v>2</v>
      </c>
      <c r="E175" s="782"/>
      <c r="F175" s="774" t="s">
        <v>7662</v>
      </c>
      <c r="G175" s="783">
        <v>5.0799999999999998E-2</v>
      </c>
      <c r="H175" s="772">
        <f t="shared" si="8"/>
        <v>5.0799999999999998E-2</v>
      </c>
      <c r="I175" s="783">
        <v>5</v>
      </c>
      <c r="J175" s="772"/>
      <c r="K175" s="783">
        <v>293.14999999999998</v>
      </c>
      <c r="L175" s="772">
        <v>293.14999999999998</v>
      </c>
      <c r="M175" s="783">
        <v>1</v>
      </c>
      <c r="N175" s="772"/>
      <c r="O175" s="783"/>
      <c r="P175" s="772"/>
    </row>
    <row r="176" spans="1:16" s="753" customFormat="1">
      <c r="A176" s="756"/>
      <c r="B176" s="757"/>
      <c r="C176" s="758"/>
      <c r="D176" s="773">
        <v>3</v>
      </c>
      <c r="E176" s="782"/>
      <c r="F176" s="774" t="s">
        <v>7663</v>
      </c>
      <c r="G176" s="783">
        <v>7.6200000000000004E-2</v>
      </c>
      <c r="H176" s="772">
        <f t="shared" si="8"/>
        <v>7.619999999999999E-2</v>
      </c>
      <c r="I176" s="783">
        <v>5</v>
      </c>
      <c r="J176" s="772"/>
      <c r="K176" s="783">
        <v>293.14999999999998</v>
      </c>
      <c r="L176" s="772">
        <v>293.14999999999998</v>
      </c>
      <c r="M176" s="783">
        <v>1</v>
      </c>
      <c r="N176" s="772"/>
      <c r="O176" s="783"/>
      <c r="P176" s="772"/>
    </row>
    <row r="177" spans="1:16" s="753" customFormat="1">
      <c r="A177" s="756"/>
      <c r="B177" s="757"/>
      <c r="C177" s="758"/>
      <c r="D177" s="773">
        <v>2</v>
      </c>
      <c r="E177" s="782"/>
      <c r="F177" s="774" t="s">
        <v>7664</v>
      </c>
      <c r="G177" s="783">
        <v>5.0799999999999998E-2</v>
      </c>
      <c r="H177" s="772">
        <f t="shared" si="8"/>
        <v>5.0799999999999998E-2</v>
      </c>
      <c r="I177" s="783">
        <v>5</v>
      </c>
      <c r="J177" s="772"/>
      <c r="K177" s="783">
        <v>293.14999999999998</v>
      </c>
      <c r="L177" s="772">
        <v>293.14999999999998</v>
      </c>
      <c r="M177" s="783">
        <v>1</v>
      </c>
      <c r="N177" s="772"/>
      <c r="O177" s="783"/>
      <c r="P177" s="772"/>
    </row>
    <row r="178" spans="1:16" s="753" customFormat="1">
      <c r="A178" s="756"/>
      <c r="B178" s="757"/>
      <c r="C178" s="758"/>
      <c r="D178" s="773">
        <v>10</v>
      </c>
      <c r="E178" s="782"/>
      <c r="F178" s="774" t="s">
        <v>7665</v>
      </c>
      <c r="G178" s="783">
        <v>0.254</v>
      </c>
      <c r="H178" s="772">
        <f t="shared" si="8"/>
        <v>0.254</v>
      </c>
      <c r="I178" s="783">
        <v>5</v>
      </c>
      <c r="J178" s="772"/>
      <c r="K178" s="783">
        <v>293.14999999999998</v>
      </c>
      <c r="L178" s="772">
        <v>293.14999999999998</v>
      </c>
      <c r="M178" s="783">
        <v>1</v>
      </c>
      <c r="N178" s="772"/>
      <c r="O178" s="783"/>
      <c r="P178" s="772"/>
    </row>
    <row r="179" spans="1:16" s="753" customFormat="1">
      <c r="A179" s="756"/>
      <c r="B179" s="757"/>
      <c r="C179" s="758"/>
      <c r="D179" s="773">
        <v>12</v>
      </c>
      <c r="E179" s="782"/>
      <c r="F179" s="774" t="s">
        <v>7666</v>
      </c>
      <c r="G179" s="783">
        <v>0.30480000000000002</v>
      </c>
      <c r="H179" s="772">
        <f t="shared" si="8"/>
        <v>0.30479999999999996</v>
      </c>
      <c r="I179" s="783">
        <v>5</v>
      </c>
      <c r="J179" s="772"/>
      <c r="K179" s="783">
        <v>293.14999999999998</v>
      </c>
      <c r="L179" s="772">
        <v>293.14999999999998</v>
      </c>
      <c r="M179" s="783">
        <v>1</v>
      </c>
      <c r="N179" s="772"/>
      <c r="O179" s="783"/>
      <c r="P179" s="772"/>
    </row>
    <row r="180" spans="1:16" s="753" customFormat="1">
      <c r="A180" s="756"/>
      <c r="B180" s="757"/>
      <c r="C180" s="758"/>
      <c r="D180" s="773">
        <v>2</v>
      </c>
      <c r="E180" s="782"/>
      <c r="F180" s="774" t="s">
        <v>7667</v>
      </c>
      <c r="G180" s="783">
        <v>5.0799999999999998E-2</v>
      </c>
      <c r="H180" s="772">
        <f t="shared" si="8"/>
        <v>5.0799999999999998E-2</v>
      </c>
      <c r="I180" s="783">
        <v>5</v>
      </c>
      <c r="J180" s="772"/>
      <c r="K180" s="783">
        <v>293.14999999999998</v>
      </c>
      <c r="L180" s="772">
        <v>293.14999999999998</v>
      </c>
      <c r="M180" s="783">
        <v>1</v>
      </c>
      <c r="N180" s="772"/>
      <c r="O180" s="783"/>
      <c r="P180" s="772"/>
    </row>
    <row r="181" spans="1:16" s="753" customFormat="1">
      <c r="A181" s="756"/>
      <c r="B181" s="757"/>
      <c r="C181" s="758"/>
      <c r="D181" s="773" t="s">
        <v>7668</v>
      </c>
      <c r="E181" s="782"/>
      <c r="F181" s="774" t="s">
        <v>7669</v>
      </c>
      <c r="G181" s="783">
        <v>0.60960000000000003</v>
      </c>
      <c r="H181" s="772">
        <f t="shared" si="8"/>
        <v>0.60959999999999992</v>
      </c>
      <c r="I181" s="783">
        <v>5</v>
      </c>
      <c r="J181" s="772"/>
      <c r="K181" s="783">
        <v>293.14999999999998</v>
      </c>
      <c r="L181" s="772">
        <v>293.14999999999998</v>
      </c>
      <c r="M181" s="783">
        <v>3</v>
      </c>
      <c r="N181" s="772"/>
      <c r="O181" s="783"/>
      <c r="P181" s="772"/>
    </row>
    <row r="182" spans="1:16" s="753" customFormat="1">
      <c r="A182" s="756"/>
      <c r="B182" s="757"/>
      <c r="C182" s="758"/>
      <c r="D182" s="773" t="s">
        <v>5500</v>
      </c>
      <c r="E182" s="782"/>
      <c r="F182" s="774" t="s">
        <v>7670</v>
      </c>
      <c r="G182" s="783">
        <v>0.30480000000000002</v>
      </c>
      <c r="H182" s="772">
        <f t="shared" si="8"/>
        <v>0.30479999999999996</v>
      </c>
      <c r="I182" s="783">
        <v>5</v>
      </c>
      <c r="J182" s="772"/>
      <c r="K182" s="783">
        <v>293.14999999999998</v>
      </c>
      <c r="L182" s="772">
        <v>293.14999999999998</v>
      </c>
      <c r="M182" s="783">
        <v>3</v>
      </c>
      <c r="N182" s="772"/>
      <c r="O182" s="783"/>
      <c r="P182" s="772"/>
    </row>
    <row r="183" spans="1:16" s="753" customFormat="1">
      <c r="A183" s="756"/>
      <c r="B183" s="757"/>
      <c r="C183" s="758"/>
      <c r="D183" s="773" t="s">
        <v>5500</v>
      </c>
      <c r="E183" s="782"/>
      <c r="F183" s="774" t="s">
        <v>7671</v>
      </c>
      <c r="G183" s="783">
        <v>0.30480000000000002</v>
      </c>
      <c r="H183" s="772">
        <f t="shared" si="8"/>
        <v>0.30479999999999996</v>
      </c>
      <c r="I183" s="783">
        <v>5</v>
      </c>
      <c r="J183" s="772"/>
      <c r="K183" s="783">
        <v>293.14999999999998</v>
      </c>
      <c r="L183" s="772">
        <v>293.14999999999998</v>
      </c>
      <c r="M183" s="783">
        <v>3</v>
      </c>
      <c r="N183" s="772"/>
      <c r="O183" s="783"/>
      <c r="P183" s="772"/>
    </row>
    <row r="184" spans="1:16" s="753" customFormat="1">
      <c r="A184" s="756"/>
      <c r="B184" s="757"/>
      <c r="C184" s="758"/>
      <c r="D184" s="773" t="s">
        <v>5500</v>
      </c>
      <c r="E184" s="782"/>
      <c r="F184" s="774" t="s">
        <v>7672</v>
      </c>
      <c r="G184" s="783">
        <v>0.30480000000000002</v>
      </c>
      <c r="H184" s="772">
        <f t="shared" si="8"/>
        <v>0.30479999999999996</v>
      </c>
      <c r="I184" s="783">
        <v>5</v>
      </c>
      <c r="J184" s="772"/>
      <c r="K184" s="783">
        <v>293.14999999999998</v>
      </c>
      <c r="L184" s="772">
        <v>293.14999999999998</v>
      </c>
      <c r="M184" s="783">
        <v>3</v>
      </c>
      <c r="N184" s="772"/>
      <c r="O184" s="783"/>
      <c r="P184" s="772"/>
    </row>
    <row r="185" spans="1:16" s="753" customFormat="1">
      <c r="A185" s="756"/>
      <c r="B185" s="757"/>
      <c r="C185" s="758"/>
      <c r="D185" s="773" t="s">
        <v>5500</v>
      </c>
      <c r="E185" s="782"/>
      <c r="F185" s="774" t="s">
        <v>7673</v>
      </c>
      <c r="G185" s="783">
        <v>0.30480000000000002</v>
      </c>
      <c r="H185" s="772">
        <f t="shared" si="8"/>
        <v>0.30479999999999996</v>
      </c>
      <c r="I185" s="783">
        <v>5</v>
      </c>
      <c r="J185" s="772"/>
      <c r="K185" s="783">
        <v>293.14999999999998</v>
      </c>
      <c r="L185" s="772">
        <v>293.14999999999998</v>
      </c>
      <c r="M185" s="783">
        <v>3</v>
      </c>
      <c r="N185" s="772"/>
      <c r="O185" s="783"/>
      <c r="P185" s="772"/>
    </row>
    <row r="186" spans="1:16" s="753" customFormat="1">
      <c r="A186" s="756"/>
      <c r="B186" s="757"/>
      <c r="C186" s="758"/>
      <c r="D186" s="773" t="s">
        <v>5474</v>
      </c>
      <c r="E186" s="782"/>
      <c r="F186" s="774" t="s">
        <v>7674</v>
      </c>
      <c r="G186" s="783">
        <v>0.20319999999999999</v>
      </c>
      <c r="H186" s="772">
        <f t="shared" si="8"/>
        <v>0.20319999999999999</v>
      </c>
      <c r="I186" s="783">
        <v>10</v>
      </c>
      <c r="J186" s="772"/>
      <c r="K186" s="783">
        <v>293.14999999999998</v>
      </c>
      <c r="L186" s="772">
        <v>293.14999999999998</v>
      </c>
      <c r="M186" s="783">
        <v>1</v>
      </c>
      <c r="N186" s="772"/>
      <c r="O186" s="783"/>
      <c r="P186" s="772"/>
    </row>
    <row r="187" spans="1:16" s="753" customFormat="1">
      <c r="A187" s="756"/>
      <c r="B187" s="757"/>
      <c r="C187" s="758"/>
      <c r="D187" s="773" t="s">
        <v>6084</v>
      </c>
      <c r="E187" s="782"/>
      <c r="F187" s="774" t="s">
        <v>7675</v>
      </c>
      <c r="G187" s="783">
        <v>0.50800000000000001</v>
      </c>
      <c r="H187" s="772">
        <f t="shared" si="8"/>
        <v>0.50800000000000001</v>
      </c>
      <c r="I187" s="783">
        <v>10</v>
      </c>
      <c r="J187" s="772"/>
      <c r="K187" s="783">
        <v>293.14999999999998</v>
      </c>
      <c r="L187" s="772">
        <v>293.14999999999998</v>
      </c>
      <c r="M187" s="783">
        <v>1</v>
      </c>
      <c r="N187" s="772"/>
      <c r="O187" s="783"/>
      <c r="P187" s="772"/>
    </row>
    <row r="188" spans="1:16" s="753" customFormat="1">
      <c r="A188" s="756"/>
      <c r="B188" s="757"/>
      <c r="C188" s="758"/>
      <c r="D188" s="773" t="s">
        <v>5524</v>
      </c>
      <c r="E188" s="782"/>
      <c r="F188" s="774" t="s">
        <v>7676</v>
      </c>
      <c r="G188" s="783">
        <v>0.254</v>
      </c>
      <c r="H188" s="772">
        <f t="shared" si="8"/>
        <v>0.254</v>
      </c>
      <c r="I188" s="783">
        <v>10</v>
      </c>
      <c r="J188" s="772"/>
      <c r="K188" s="783">
        <v>293.14999999999998</v>
      </c>
      <c r="L188" s="772">
        <v>293.14999999999998</v>
      </c>
      <c r="M188" s="783">
        <v>1</v>
      </c>
      <c r="N188" s="772"/>
      <c r="O188" s="783"/>
      <c r="P188" s="772"/>
    </row>
    <row r="189" spans="1:16" s="753" customFormat="1">
      <c r="A189" s="756"/>
      <c r="B189" s="757"/>
      <c r="C189" s="758"/>
      <c r="D189" s="773" t="s">
        <v>5474</v>
      </c>
      <c r="E189" s="782"/>
      <c r="F189" s="774" t="s">
        <v>7677</v>
      </c>
      <c r="G189" s="783">
        <v>0.20319999999999999</v>
      </c>
      <c r="H189" s="772">
        <f t="shared" si="8"/>
        <v>0.20319999999999999</v>
      </c>
      <c r="I189" s="783">
        <v>10</v>
      </c>
      <c r="J189" s="772"/>
      <c r="K189" s="783">
        <v>293.14999999999998</v>
      </c>
      <c r="L189" s="772">
        <v>293.14999999999998</v>
      </c>
      <c r="M189" s="783">
        <v>1</v>
      </c>
      <c r="N189" s="772"/>
      <c r="O189" s="783"/>
      <c r="P189" s="772"/>
    </row>
    <row r="190" spans="1:16" s="753" customFormat="1">
      <c r="A190" s="756"/>
      <c r="B190" s="757"/>
      <c r="C190" s="758"/>
      <c r="D190" s="773" t="s">
        <v>5474</v>
      </c>
      <c r="E190" s="782"/>
      <c r="F190" s="774" t="s">
        <v>7678</v>
      </c>
      <c r="G190" s="783">
        <v>0.20319999999999999</v>
      </c>
      <c r="H190" s="772">
        <f t="shared" si="8"/>
        <v>0.20319999999999999</v>
      </c>
      <c r="I190" s="783">
        <v>5</v>
      </c>
      <c r="J190" s="772"/>
      <c r="K190" s="783">
        <v>293.14999999999998</v>
      </c>
      <c r="L190" s="772">
        <v>293.14999999999998</v>
      </c>
      <c r="M190" s="783">
        <v>1</v>
      </c>
      <c r="N190" s="772"/>
      <c r="O190" s="783"/>
      <c r="P190" s="772"/>
    </row>
    <row r="191" spans="1:16" s="753" customFormat="1">
      <c r="A191" s="756"/>
      <c r="B191" s="757"/>
      <c r="C191" s="758"/>
      <c r="D191" s="773" t="s">
        <v>5529</v>
      </c>
      <c r="E191" s="782"/>
      <c r="F191" s="774" t="s">
        <v>7679</v>
      </c>
      <c r="G191" s="783">
        <v>0.15240000000000001</v>
      </c>
      <c r="H191" s="772">
        <f t="shared" si="8"/>
        <v>0.15239999999999998</v>
      </c>
      <c r="I191" s="783">
        <v>10</v>
      </c>
      <c r="J191" s="772"/>
      <c r="K191" s="783">
        <v>293.14999999999998</v>
      </c>
      <c r="L191" s="772">
        <v>293.14999999999998</v>
      </c>
      <c r="M191" s="783">
        <v>1</v>
      </c>
      <c r="N191" s="772"/>
      <c r="O191" s="783"/>
      <c r="P191" s="772"/>
    </row>
    <row r="192" spans="1:16" s="753" customFormat="1">
      <c r="A192" s="756"/>
      <c r="B192" s="757"/>
      <c r="C192" s="758"/>
      <c r="D192" s="773" t="s">
        <v>5474</v>
      </c>
      <c r="E192" s="782"/>
      <c r="F192" s="774" t="s">
        <v>7680</v>
      </c>
      <c r="G192" s="783">
        <v>0.20319999999999999</v>
      </c>
      <c r="H192" s="772">
        <f t="shared" ref="H192:H216" si="10">D192*0.0254</f>
        <v>0.20319999999999999</v>
      </c>
      <c r="I192" s="783">
        <v>5</v>
      </c>
      <c r="J192" s="772"/>
      <c r="K192" s="783">
        <v>293.14999999999998</v>
      </c>
      <c r="L192" s="772">
        <v>293.14999999999998</v>
      </c>
      <c r="M192" s="783">
        <v>1</v>
      </c>
      <c r="N192" s="772"/>
      <c r="O192" s="783"/>
      <c r="P192" s="772"/>
    </row>
    <row r="193" spans="1:16" s="753" customFormat="1">
      <c r="A193" s="756"/>
      <c r="B193" s="757"/>
      <c r="C193" s="758"/>
      <c r="D193" s="773" t="s">
        <v>5474</v>
      </c>
      <c r="E193" s="782"/>
      <c r="F193" s="774" t="s">
        <v>7681</v>
      </c>
      <c r="G193" s="783">
        <v>0.20319999999999999</v>
      </c>
      <c r="H193" s="772">
        <f t="shared" si="10"/>
        <v>0.20319999999999999</v>
      </c>
      <c r="I193" s="783">
        <v>5</v>
      </c>
      <c r="J193" s="772"/>
      <c r="K193" s="783">
        <v>293.14999999999998</v>
      </c>
      <c r="L193" s="772">
        <v>293.14999999999998</v>
      </c>
      <c r="M193" s="783">
        <v>1</v>
      </c>
      <c r="N193" s="772"/>
      <c r="O193" s="783"/>
      <c r="P193" s="772"/>
    </row>
    <row r="194" spans="1:16" s="753" customFormat="1">
      <c r="A194" s="756"/>
      <c r="B194" s="757"/>
      <c r="C194" s="758"/>
      <c r="D194" s="773" t="s">
        <v>5524</v>
      </c>
      <c r="E194" s="782"/>
      <c r="F194" s="774" t="s">
        <v>7682</v>
      </c>
      <c r="G194" s="783">
        <v>0.254</v>
      </c>
      <c r="H194" s="772">
        <f t="shared" si="10"/>
        <v>0.254</v>
      </c>
      <c r="I194" s="783">
        <v>5</v>
      </c>
      <c r="J194" s="772"/>
      <c r="K194" s="783">
        <v>293.14999999999998</v>
      </c>
      <c r="L194" s="772">
        <v>293.14999999999998</v>
      </c>
      <c r="M194" s="783">
        <v>1</v>
      </c>
      <c r="N194" s="772"/>
      <c r="O194" s="783"/>
      <c r="P194" s="772"/>
    </row>
    <row r="195" spans="1:16" s="753" customFormat="1">
      <c r="A195" s="756"/>
      <c r="B195" s="757"/>
      <c r="C195" s="758"/>
      <c r="D195" s="773" t="s">
        <v>5524</v>
      </c>
      <c r="E195" s="782"/>
      <c r="F195" s="774" t="s">
        <v>7683</v>
      </c>
      <c r="G195" s="783">
        <v>0.254</v>
      </c>
      <c r="H195" s="772">
        <f t="shared" si="10"/>
        <v>0.254</v>
      </c>
      <c r="I195" s="783">
        <v>5</v>
      </c>
      <c r="J195" s="772"/>
      <c r="K195" s="783">
        <v>293.14999999999998</v>
      </c>
      <c r="L195" s="772">
        <v>293.14999999999998</v>
      </c>
      <c r="M195" s="783">
        <v>1</v>
      </c>
      <c r="N195" s="772"/>
      <c r="O195" s="783"/>
      <c r="P195" s="772"/>
    </row>
    <row r="196" spans="1:16" s="753" customFormat="1">
      <c r="A196" s="756"/>
      <c r="B196" s="757"/>
      <c r="C196" s="758"/>
      <c r="D196" s="773" t="s">
        <v>5500</v>
      </c>
      <c r="E196" s="782"/>
      <c r="F196" s="774" t="s">
        <v>7684</v>
      </c>
      <c r="G196" s="783">
        <v>0.30480000000000002</v>
      </c>
      <c r="H196" s="772">
        <f t="shared" si="10"/>
        <v>0.30479999999999996</v>
      </c>
      <c r="I196" s="783">
        <v>5</v>
      </c>
      <c r="J196" s="772"/>
      <c r="K196" s="783">
        <v>293.14999999999998</v>
      </c>
      <c r="L196" s="772">
        <v>293.14999999999998</v>
      </c>
      <c r="M196" s="783">
        <v>1</v>
      </c>
      <c r="N196" s="772"/>
      <c r="O196" s="783"/>
      <c r="P196" s="772"/>
    </row>
    <row r="197" spans="1:16" s="753" customFormat="1">
      <c r="A197" s="756"/>
      <c r="B197" s="757"/>
      <c r="C197" s="758"/>
      <c r="D197" s="773" t="s">
        <v>5524</v>
      </c>
      <c r="E197" s="782"/>
      <c r="F197" s="774" t="s">
        <v>7685</v>
      </c>
      <c r="G197" s="783">
        <v>0.254</v>
      </c>
      <c r="H197" s="772">
        <f t="shared" si="10"/>
        <v>0.254</v>
      </c>
      <c r="I197" s="783">
        <v>5</v>
      </c>
      <c r="J197" s="772"/>
      <c r="K197" s="783">
        <v>293.14999999999998</v>
      </c>
      <c r="L197" s="772">
        <v>293.14999999999998</v>
      </c>
      <c r="M197" s="783">
        <v>1</v>
      </c>
      <c r="N197" s="772"/>
      <c r="O197" s="783"/>
      <c r="P197" s="772"/>
    </row>
    <row r="198" spans="1:16" s="753" customFormat="1">
      <c r="A198" s="756"/>
      <c r="B198" s="757"/>
      <c r="C198" s="758"/>
      <c r="D198" s="773" t="s">
        <v>5524</v>
      </c>
      <c r="E198" s="782"/>
      <c r="F198" s="774" t="s">
        <v>7686</v>
      </c>
      <c r="G198" s="783">
        <v>0.254</v>
      </c>
      <c r="H198" s="772">
        <f t="shared" si="10"/>
        <v>0.254</v>
      </c>
      <c r="I198" s="783">
        <v>5</v>
      </c>
      <c r="J198" s="772"/>
      <c r="K198" s="783">
        <v>293.14999999999998</v>
      </c>
      <c r="L198" s="772">
        <v>293.14999999999998</v>
      </c>
      <c r="M198" s="783">
        <v>1</v>
      </c>
      <c r="N198" s="772"/>
      <c r="O198" s="783"/>
      <c r="P198" s="772"/>
    </row>
    <row r="199" spans="1:16" s="753" customFormat="1">
      <c r="A199" s="756"/>
      <c r="B199" s="757"/>
      <c r="C199" s="758"/>
      <c r="D199" s="773" t="s">
        <v>5524</v>
      </c>
      <c r="E199" s="782"/>
      <c r="F199" s="774" t="s">
        <v>7687</v>
      </c>
      <c r="G199" s="783">
        <v>0.254</v>
      </c>
      <c r="H199" s="772">
        <f t="shared" si="10"/>
        <v>0.254</v>
      </c>
      <c r="I199" s="783">
        <v>5</v>
      </c>
      <c r="J199" s="772"/>
      <c r="K199" s="783">
        <v>293.14999999999998</v>
      </c>
      <c r="L199" s="772">
        <v>293.14999999999998</v>
      </c>
      <c r="M199" s="783">
        <v>1</v>
      </c>
      <c r="N199" s="772"/>
      <c r="O199" s="783"/>
      <c r="P199" s="772"/>
    </row>
    <row r="200" spans="1:16" s="753" customFormat="1">
      <c r="A200" s="756"/>
      <c r="B200" s="757"/>
      <c r="C200" s="758"/>
      <c r="D200" s="773" t="s">
        <v>5524</v>
      </c>
      <c r="E200" s="782"/>
      <c r="F200" s="774" t="s">
        <v>7688</v>
      </c>
      <c r="G200" s="783">
        <v>0.254</v>
      </c>
      <c r="H200" s="772">
        <f t="shared" si="10"/>
        <v>0.254</v>
      </c>
      <c r="I200" s="783">
        <v>5</v>
      </c>
      <c r="J200" s="772"/>
      <c r="K200" s="783">
        <v>293.14999999999998</v>
      </c>
      <c r="L200" s="772">
        <v>293.14999999999998</v>
      </c>
      <c r="M200" s="783">
        <v>1</v>
      </c>
      <c r="N200" s="772"/>
      <c r="O200" s="783"/>
      <c r="P200" s="772"/>
    </row>
    <row r="201" spans="1:16" s="753" customFormat="1">
      <c r="A201" s="756"/>
      <c r="B201" s="757"/>
      <c r="C201" s="758"/>
      <c r="D201" s="773" t="s">
        <v>5524</v>
      </c>
      <c r="E201" s="782"/>
      <c r="F201" s="774" t="s">
        <v>7689</v>
      </c>
      <c r="G201" s="783">
        <v>0.254</v>
      </c>
      <c r="H201" s="772">
        <f t="shared" si="10"/>
        <v>0.254</v>
      </c>
      <c r="I201" s="783">
        <v>5</v>
      </c>
      <c r="J201" s="772"/>
      <c r="K201" s="783">
        <v>293.14999999999998</v>
      </c>
      <c r="L201" s="772">
        <v>293.14999999999998</v>
      </c>
      <c r="M201" s="783">
        <v>1</v>
      </c>
      <c r="N201" s="772"/>
      <c r="O201" s="783"/>
      <c r="P201" s="772"/>
    </row>
    <row r="202" spans="1:16" s="753" customFormat="1">
      <c r="A202" s="756"/>
      <c r="B202" s="757"/>
      <c r="C202" s="758"/>
      <c r="D202" s="773" t="s">
        <v>5524</v>
      </c>
      <c r="E202" s="782"/>
      <c r="F202" s="774" t="s">
        <v>7690</v>
      </c>
      <c r="G202" s="783">
        <v>0.254</v>
      </c>
      <c r="H202" s="772">
        <f t="shared" si="10"/>
        <v>0.254</v>
      </c>
      <c r="I202" s="783">
        <v>5</v>
      </c>
      <c r="J202" s="772"/>
      <c r="K202" s="783">
        <v>293.14999999999998</v>
      </c>
      <c r="L202" s="772">
        <v>293.14999999999998</v>
      </c>
      <c r="M202" s="783">
        <v>1</v>
      </c>
      <c r="N202" s="772"/>
      <c r="O202" s="783"/>
      <c r="P202" s="772"/>
    </row>
    <row r="203" spans="1:16" s="753" customFormat="1">
      <c r="A203" s="756"/>
      <c r="B203" s="757"/>
      <c r="C203" s="758"/>
      <c r="D203" s="773" t="s">
        <v>5471</v>
      </c>
      <c r="E203" s="782"/>
      <c r="F203" s="774" t="s">
        <v>7691</v>
      </c>
      <c r="G203" s="783">
        <v>0.35560000000000003</v>
      </c>
      <c r="H203" s="772">
        <f t="shared" si="10"/>
        <v>0.35559999999999997</v>
      </c>
      <c r="I203" s="783">
        <v>5</v>
      </c>
      <c r="J203" s="772"/>
      <c r="K203" s="783">
        <v>293.14999999999998</v>
      </c>
      <c r="L203" s="772">
        <v>293.14999999999998</v>
      </c>
      <c r="M203" s="783">
        <v>1</v>
      </c>
      <c r="N203" s="772"/>
      <c r="O203" s="783"/>
      <c r="P203" s="772"/>
    </row>
    <row r="204" spans="1:16" s="753" customFormat="1">
      <c r="A204" s="756"/>
      <c r="B204" s="757"/>
      <c r="C204" s="758"/>
      <c r="D204" s="773" t="s">
        <v>5500</v>
      </c>
      <c r="E204" s="782"/>
      <c r="F204" s="774" t="s">
        <v>7692</v>
      </c>
      <c r="G204" s="783">
        <v>0.30480000000000002</v>
      </c>
      <c r="H204" s="772">
        <f t="shared" si="10"/>
        <v>0.30479999999999996</v>
      </c>
      <c r="I204" s="783">
        <v>5</v>
      </c>
      <c r="J204" s="772"/>
      <c r="K204" s="783">
        <v>293.14999999999998</v>
      </c>
      <c r="L204" s="772">
        <v>293.14999999999998</v>
      </c>
      <c r="M204" s="783">
        <v>1</v>
      </c>
      <c r="N204" s="772"/>
      <c r="O204" s="783"/>
      <c r="P204" s="772"/>
    </row>
    <row r="205" spans="1:16" s="753" customFormat="1">
      <c r="A205" s="756"/>
      <c r="B205" s="757"/>
      <c r="C205" s="758"/>
      <c r="D205" s="773" t="s">
        <v>5524</v>
      </c>
      <c r="E205" s="782"/>
      <c r="F205" s="774" t="s">
        <v>7693</v>
      </c>
      <c r="G205" s="783">
        <v>0.254</v>
      </c>
      <c r="H205" s="772">
        <f t="shared" si="10"/>
        <v>0.254</v>
      </c>
      <c r="I205" s="783">
        <v>5</v>
      </c>
      <c r="J205" s="772"/>
      <c r="K205" s="783">
        <v>293.14999999999998</v>
      </c>
      <c r="L205" s="772">
        <v>293.14999999999998</v>
      </c>
      <c r="M205" s="783">
        <v>1</v>
      </c>
      <c r="N205" s="772"/>
      <c r="O205" s="783"/>
      <c r="P205" s="772"/>
    </row>
    <row r="206" spans="1:16" s="753" customFormat="1">
      <c r="A206" s="756"/>
      <c r="B206" s="757"/>
      <c r="C206" s="758"/>
      <c r="D206" s="773" t="s">
        <v>5524</v>
      </c>
      <c r="E206" s="782"/>
      <c r="F206" s="774" t="s">
        <v>7694</v>
      </c>
      <c r="G206" s="783">
        <v>0.254</v>
      </c>
      <c r="H206" s="772">
        <f t="shared" si="10"/>
        <v>0.254</v>
      </c>
      <c r="I206" s="783">
        <v>5</v>
      </c>
      <c r="J206" s="772"/>
      <c r="K206" s="783">
        <v>293.14999999999998</v>
      </c>
      <c r="L206" s="772">
        <v>293.14999999999998</v>
      </c>
      <c r="M206" s="783">
        <v>1</v>
      </c>
      <c r="N206" s="772"/>
      <c r="O206" s="783"/>
      <c r="P206" s="772"/>
    </row>
    <row r="207" spans="1:16" s="753" customFormat="1">
      <c r="A207" s="756"/>
      <c r="B207" s="757"/>
      <c r="C207" s="758"/>
      <c r="D207" s="773" t="s">
        <v>5500</v>
      </c>
      <c r="E207" s="782"/>
      <c r="F207" s="774" t="s">
        <v>7695</v>
      </c>
      <c r="G207" s="783">
        <v>0.30480000000000002</v>
      </c>
      <c r="H207" s="772">
        <f t="shared" si="10"/>
        <v>0.30479999999999996</v>
      </c>
      <c r="I207" s="783">
        <v>5</v>
      </c>
      <c r="J207" s="772"/>
      <c r="K207" s="783">
        <v>293.14999999999998</v>
      </c>
      <c r="L207" s="772">
        <v>293.14999999999998</v>
      </c>
      <c r="M207" s="783">
        <v>1</v>
      </c>
      <c r="N207" s="772"/>
      <c r="O207" s="783"/>
      <c r="P207" s="772"/>
    </row>
    <row r="208" spans="1:16" s="753" customFormat="1">
      <c r="A208" s="756"/>
      <c r="B208" s="757"/>
      <c r="C208" s="758"/>
      <c r="D208" s="773" t="s">
        <v>5500</v>
      </c>
      <c r="E208" s="782"/>
      <c r="F208" s="774" t="s">
        <v>7696</v>
      </c>
      <c r="G208" s="783">
        <v>0.30480000000000002</v>
      </c>
      <c r="H208" s="772">
        <f t="shared" si="10"/>
        <v>0.30479999999999996</v>
      </c>
      <c r="I208" s="783">
        <v>5</v>
      </c>
      <c r="J208" s="772"/>
      <c r="K208" s="783">
        <v>293.14999999999998</v>
      </c>
      <c r="L208" s="772">
        <v>293.14999999999998</v>
      </c>
      <c r="M208" s="783">
        <v>1</v>
      </c>
      <c r="N208" s="772"/>
      <c r="O208" s="783"/>
      <c r="P208" s="772"/>
    </row>
    <row r="209" spans="1:16" s="753" customFormat="1">
      <c r="A209" s="756"/>
      <c r="B209" s="757"/>
      <c r="C209" s="758"/>
      <c r="D209" s="773" t="s">
        <v>5500</v>
      </c>
      <c r="E209" s="782"/>
      <c r="F209" s="774" t="s">
        <v>7697</v>
      </c>
      <c r="G209" s="783">
        <v>0.30480000000000002</v>
      </c>
      <c r="H209" s="772">
        <f t="shared" si="10"/>
        <v>0.30479999999999996</v>
      </c>
      <c r="I209" s="783">
        <v>5</v>
      </c>
      <c r="J209" s="772"/>
      <c r="K209" s="783">
        <v>293.14999999999998</v>
      </c>
      <c r="L209" s="772">
        <v>293.14999999999998</v>
      </c>
      <c r="M209" s="783">
        <v>1</v>
      </c>
      <c r="N209" s="772"/>
      <c r="O209" s="783"/>
      <c r="P209" s="772"/>
    </row>
    <row r="210" spans="1:16" s="753" customFormat="1">
      <c r="A210" s="756"/>
      <c r="B210" s="757"/>
      <c r="C210" s="758"/>
      <c r="D210" s="773" t="s">
        <v>10408</v>
      </c>
      <c r="E210" s="782"/>
      <c r="F210" s="774" t="s">
        <v>7793</v>
      </c>
      <c r="G210" s="783">
        <v>0.4572</v>
      </c>
      <c r="H210" s="772">
        <f t="shared" si="10"/>
        <v>0.4572</v>
      </c>
      <c r="I210" s="783">
        <v>5</v>
      </c>
      <c r="J210" s="772"/>
      <c r="K210" s="783">
        <v>293.14999999999998</v>
      </c>
      <c r="L210" s="772">
        <f t="shared" ref="L210:L243" si="11">273.15+20</f>
        <v>293.14999999999998</v>
      </c>
      <c r="M210" s="783">
        <v>1</v>
      </c>
      <c r="N210" s="772"/>
      <c r="O210" s="783"/>
      <c r="P210" s="772"/>
    </row>
    <row r="211" spans="1:16" s="753" customFormat="1">
      <c r="A211" s="756"/>
      <c r="B211" s="757"/>
      <c r="C211" s="758"/>
      <c r="D211" s="773" t="s">
        <v>5471</v>
      </c>
      <c r="E211" s="782"/>
      <c r="F211" s="774" t="s">
        <v>7794</v>
      </c>
      <c r="G211" s="783">
        <v>0.35560000000000003</v>
      </c>
      <c r="H211" s="772">
        <f t="shared" si="10"/>
        <v>0.35559999999999997</v>
      </c>
      <c r="I211" s="783">
        <v>5</v>
      </c>
      <c r="J211" s="772"/>
      <c r="K211" s="783">
        <v>293.14999999999998</v>
      </c>
      <c r="L211" s="772">
        <f t="shared" si="11"/>
        <v>293.14999999999998</v>
      </c>
      <c r="M211" s="783">
        <v>1</v>
      </c>
      <c r="N211" s="772"/>
      <c r="O211" s="783"/>
      <c r="P211" s="772"/>
    </row>
    <row r="212" spans="1:16" s="753" customFormat="1">
      <c r="A212" s="756"/>
      <c r="B212" s="757"/>
      <c r="C212" s="758"/>
      <c r="D212" s="773" t="s">
        <v>10408</v>
      </c>
      <c r="E212" s="782"/>
      <c r="F212" s="774" t="s">
        <v>7896</v>
      </c>
      <c r="G212" s="783">
        <v>0.4572</v>
      </c>
      <c r="H212" s="772">
        <f t="shared" si="10"/>
        <v>0.4572</v>
      </c>
      <c r="I212" s="783">
        <v>5</v>
      </c>
      <c r="J212" s="772"/>
      <c r="K212" s="783">
        <v>293.14999999999998</v>
      </c>
      <c r="L212" s="772">
        <f t="shared" si="11"/>
        <v>293.14999999999998</v>
      </c>
      <c r="M212" s="783">
        <v>1</v>
      </c>
      <c r="N212" s="772"/>
      <c r="O212" s="783"/>
      <c r="P212" s="772"/>
    </row>
    <row r="213" spans="1:16" s="753" customFormat="1">
      <c r="A213" s="756"/>
      <c r="B213" s="757"/>
      <c r="C213" s="758"/>
      <c r="D213" s="773" t="s">
        <v>10408</v>
      </c>
      <c r="E213" s="782"/>
      <c r="F213" s="774" t="s">
        <v>7795</v>
      </c>
      <c r="G213" s="783">
        <v>0.4572</v>
      </c>
      <c r="H213" s="772">
        <f t="shared" si="10"/>
        <v>0.4572</v>
      </c>
      <c r="I213" s="783">
        <v>5</v>
      </c>
      <c r="J213" s="772"/>
      <c r="K213" s="783">
        <v>293.14999999999998</v>
      </c>
      <c r="L213" s="772">
        <f t="shared" si="11"/>
        <v>293.14999999999998</v>
      </c>
      <c r="M213" s="783">
        <v>1</v>
      </c>
      <c r="N213" s="772"/>
      <c r="O213" s="783"/>
      <c r="P213" s="772"/>
    </row>
    <row r="214" spans="1:16" s="753" customFormat="1">
      <c r="A214" s="756"/>
      <c r="B214" s="757"/>
      <c r="C214" s="758"/>
      <c r="D214" s="773" t="s">
        <v>10408</v>
      </c>
      <c r="E214" s="782"/>
      <c r="F214" s="774" t="s">
        <v>7796</v>
      </c>
      <c r="G214" s="783">
        <v>0.4572</v>
      </c>
      <c r="H214" s="772">
        <f t="shared" si="10"/>
        <v>0.4572</v>
      </c>
      <c r="I214" s="783">
        <v>5</v>
      </c>
      <c r="J214" s="772"/>
      <c r="K214" s="783">
        <v>293.14999999999998</v>
      </c>
      <c r="L214" s="772">
        <f t="shared" si="11"/>
        <v>293.14999999999998</v>
      </c>
      <c r="M214" s="783">
        <v>1</v>
      </c>
      <c r="N214" s="772"/>
      <c r="O214" s="783"/>
      <c r="P214" s="772"/>
    </row>
    <row r="215" spans="1:16" s="753" customFormat="1">
      <c r="A215" s="756"/>
      <c r="B215" s="757"/>
      <c r="C215" s="758"/>
      <c r="D215" s="773" t="s">
        <v>10408</v>
      </c>
      <c r="E215" s="782"/>
      <c r="F215" s="774" t="s">
        <v>7797</v>
      </c>
      <c r="G215" s="783">
        <v>0.4572</v>
      </c>
      <c r="H215" s="772">
        <f t="shared" si="10"/>
        <v>0.4572</v>
      </c>
      <c r="I215" s="783">
        <v>5</v>
      </c>
      <c r="J215" s="772"/>
      <c r="K215" s="783">
        <v>293.14999999999998</v>
      </c>
      <c r="L215" s="772">
        <f t="shared" si="11"/>
        <v>293.14999999999998</v>
      </c>
      <c r="M215" s="783">
        <v>1</v>
      </c>
      <c r="N215" s="772"/>
      <c r="O215" s="783"/>
      <c r="P215" s="772"/>
    </row>
    <row r="216" spans="1:16" s="753" customFormat="1">
      <c r="A216" s="756"/>
      <c r="B216" s="757"/>
      <c r="C216" s="758"/>
      <c r="D216" s="773" t="s">
        <v>10408</v>
      </c>
      <c r="E216" s="782"/>
      <c r="F216" s="774" t="s">
        <v>7897</v>
      </c>
      <c r="G216" s="783">
        <v>0.4572</v>
      </c>
      <c r="H216" s="772">
        <f t="shared" si="10"/>
        <v>0.4572</v>
      </c>
      <c r="I216" s="783">
        <v>5</v>
      </c>
      <c r="J216" s="772"/>
      <c r="K216" s="783">
        <v>293.14999999999998</v>
      </c>
      <c r="L216" s="772">
        <f t="shared" si="11"/>
        <v>293.14999999999998</v>
      </c>
      <c r="M216" s="783">
        <v>1</v>
      </c>
      <c r="N216" s="772"/>
      <c r="O216" s="783"/>
      <c r="P216" s="772"/>
    </row>
    <row r="217" spans="1:16" s="753" customFormat="1">
      <c r="A217" s="756"/>
      <c r="B217" s="757"/>
      <c r="C217" s="758"/>
      <c r="D217" s="773" t="s">
        <v>6085</v>
      </c>
      <c r="E217" s="782"/>
      <c r="F217" s="774" t="s">
        <v>7894</v>
      </c>
      <c r="G217" s="783">
        <v>7.6200000000000004E-2</v>
      </c>
      <c r="H217" s="772">
        <f t="shared" ref="H217:H243" si="12">D217*0.0254</f>
        <v>7.619999999999999E-2</v>
      </c>
      <c r="I217" s="783">
        <v>5</v>
      </c>
      <c r="J217" s="772"/>
      <c r="K217" s="783">
        <v>293.14999999999998</v>
      </c>
      <c r="L217" s="772">
        <f t="shared" si="11"/>
        <v>293.14999999999998</v>
      </c>
      <c r="M217" s="783">
        <v>0</v>
      </c>
      <c r="N217" s="772"/>
      <c r="O217" s="783"/>
      <c r="P217" s="772"/>
    </row>
    <row r="218" spans="1:16" s="753" customFormat="1">
      <c r="A218" s="756"/>
      <c r="B218" s="757"/>
      <c r="C218" s="758"/>
      <c r="D218" s="773" t="s">
        <v>6085</v>
      </c>
      <c r="E218" s="782"/>
      <c r="F218" s="774" t="s">
        <v>7798</v>
      </c>
      <c r="G218" s="783">
        <v>7.6200000000000004E-2</v>
      </c>
      <c r="H218" s="772">
        <f t="shared" si="12"/>
        <v>7.619999999999999E-2</v>
      </c>
      <c r="I218" s="783">
        <v>5</v>
      </c>
      <c r="J218" s="772"/>
      <c r="K218" s="783">
        <v>293.14999999999998</v>
      </c>
      <c r="L218" s="772">
        <f t="shared" si="11"/>
        <v>293.14999999999998</v>
      </c>
      <c r="M218" s="783">
        <v>0</v>
      </c>
      <c r="N218" s="772"/>
      <c r="O218" s="783"/>
      <c r="P218" s="772"/>
    </row>
    <row r="219" spans="1:16" s="753" customFormat="1">
      <c r="A219" s="756"/>
      <c r="B219" s="757"/>
      <c r="C219" s="758"/>
      <c r="D219" s="773" t="s">
        <v>5498</v>
      </c>
      <c r="E219" s="782"/>
      <c r="F219" s="774" t="s">
        <v>7799</v>
      </c>
      <c r="G219" s="783">
        <v>5.0799999999999998E-2</v>
      </c>
      <c r="H219" s="772">
        <f t="shared" si="12"/>
        <v>5.0799999999999998E-2</v>
      </c>
      <c r="I219" s="783">
        <v>5</v>
      </c>
      <c r="J219" s="772"/>
      <c r="K219" s="783">
        <v>293.14999999999998</v>
      </c>
      <c r="L219" s="772">
        <f t="shared" si="11"/>
        <v>293.14999999999998</v>
      </c>
      <c r="M219" s="783">
        <v>0</v>
      </c>
      <c r="N219" s="772"/>
      <c r="O219" s="783"/>
      <c r="P219" s="772"/>
    </row>
    <row r="220" spans="1:16" s="753" customFormat="1">
      <c r="A220" s="756"/>
      <c r="B220" s="757"/>
      <c r="C220" s="758"/>
      <c r="D220" s="773" t="s">
        <v>5498</v>
      </c>
      <c r="E220" s="782"/>
      <c r="F220" s="774" t="s">
        <v>7800</v>
      </c>
      <c r="G220" s="783">
        <v>5.0799999999999998E-2</v>
      </c>
      <c r="H220" s="772">
        <f t="shared" si="12"/>
        <v>5.0799999999999998E-2</v>
      </c>
      <c r="I220" s="783">
        <v>5</v>
      </c>
      <c r="J220" s="772"/>
      <c r="K220" s="783">
        <v>293.14999999999998</v>
      </c>
      <c r="L220" s="772">
        <f t="shared" si="11"/>
        <v>293.14999999999998</v>
      </c>
      <c r="M220" s="783">
        <v>0</v>
      </c>
      <c r="N220" s="772"/>
      <c r="O220" s="783"/>
      <c r="P220" s="772"/>
    </row>
    <row r="221" spans="1:16" s="753" customFormat="1">
      <c r="A221" s="756"/>
      <c r="B221" s="757"/>
      <c r="C221" s="758"/>
      <c r="D221" s="773" t="s">
        <v>5471</v>
      </c>
      <c r="E221" s="782"/>
      <c r="F221" s="774" t="s">
        <v>7801</v>
      </c>
      <c r="G221" s="783">
        <v>0.35560000000000003</v>
      </c>
      <c r="H221" s="772">
        <f t="shared" si="12"/>
        <v>0.35559999999999997</v>
      </c>
      <c r="I221" s="783">
        <v>5</v>
      </c>
      <c r="J221" s="772"/>
      <c r="K221" s="783">
        <v>293.14999999999998</v>
      </c>
      <c r="L221" s="772">
        <f t="shared" si="11"/>
        <v>293.14999999999998</v>
      </c>
      <c r="M221" s="783">
        <v>0</v>
      </c>
      <c r="N221" s="772"/>
      <c r="O221" s="783"/>
      <c r="P221" s="772"/>
    </row>
    <row r="222" spans="1:16" s="753" customFormat="1">
      <c r="A222" s="756"/>
      <c r="B222" s="757"/>
      <c r="C222" s="758"/>
      <c r="D222" s="773" t="s">
        <v>5474</v>
      </c>
      <c r="E222" s="782"/>
      <c r="F222" s="774" t="s">
        <v>7802</v>
      </c>
      <c r="G222" s="783">
        <v>0.20319999999999999</v>
      </c>
      <c r="H222" s="772">
        <f t="shared" si="12"/>
        <v>0.20319999999999999</v>
      </c>
      <c r="I222" s="783">
        <v>5</v>
      </c>
      <c r="J222" s="772"/>
      <c r="K222" s="783">
        <v>293.14999999999998</v>
      </c>
      <c r="L222" s="772">
        <f t="shared" si="11"/>
        <v>293.14999999999998</v>
      </c>
      <c r="M222" s="783">
        <v>0</v>
      </c>
      <c r="N222" s="772"/>
      <c r="O222" s="783"/>
      <c r="P222" s="772"/>
    </row>
    <row r="223" spans="1:16" s="753" customFormat="1">
      <c r="A223" s="756"/>
      <c r="B223" s="757"/>
      <c r="C223" s="758"/>
      <c r="D223" s="773" t="s">
        <v>5474</v>
      </c>
      <c r="E223" s="782"/>
      <c r="F223" s="774" t="s">
        <v>7895</v>
      </c>
      <c r="G223" s="783">
        <v>0.20319999999999999</v>
      </c>
      <c r="H223" s="772">
        <f t="shared" si="12"/>
        <v>0.20319999999999999</v>
      </c>
      <c r="I223" s="783">
        <v>5</v>
      </c>
      <c r="J223" s="772"/>
      <c r="K223" s="783">
        <v>293.14999999999998</v>
      </c>
      <c r="L223" s="772">
        <f t="shared" si="11"/>
        <v>293.14999999999998</v>
      </c>
      <c r="M223" s="783">
        <v>0</v>
      </c>
      <c r="N223" s="772"/>
      <c r="O223" s="783"/>
      <c r="P223" s="772"/>
    </row>
    <row r="224" spans="1:16" s="753" customFormat="1">
      <c r="A224" s="756"/>
      <c r="B224" s="757"/>
      <c r="C224" s="758"/>
      <c r="D224" s="773" t="s">
        <v>5474</v>
      </c>
      <c r="E224" s="782"/>
      <c r="F224" s="774" t="s">
        <v>7803</v>
      </c>
      <c r="G224" s="783">
        <v>0.20319999999999999</v>
      </c>
      <c r="H224" s="772">
        <f t="shared" si="12"/>
        <v>0.20319999999999999</v>
      </c>
      <c r="I224" s="783">
        <v>5</v>
      </c>
      <c r="J224" s="772"/>
      <c r="K224" s="783">
        <v>293.14999999999998</v>
      </c>
      <c r="L224" s="772">
        <f t="shared" si="11"/>
        <v>293.14999999999998</v>
      </c>
      <c r="M224" s="783">
        <v>0</v>
      </c>
      <c r="N224" s="772"/>
      <c r="O224" s="783"/>
      <c r="P224" s="772"/>
    </row>
    <row r="225" spans="1:16" s="753" customFormat="1">
      <c r="A225" s="756"/>
      <c r="B225" s="757"/>
      <c r="C225" s="758"/>
      <c r="D225" s="773" t="s">
        <v>5474</v>
      </c>
      <c r="E225" s="782"/>
      <c r="F225" s="774" t="s">
        <v>7804</v>
      </c>
      <c r="G225" s="783">
        <v>0.20319999999999999</v>
      </c>
      <c r="H225" s="772">
        <f t="shared" si="12"/>
        <v>0.20319999999999999</v>
      </c>
      <c r="I225" s="783">
        <v>5</v>
      </c>
      <c r="J225" s="772"/>
      <c r="K225" s="783">
        <v>293.14999999999998</v>
      </c>
      <c r="L225" s="772">
        <f t="shared" si="11"/>
        <v>293.14999999999998</v>
      </c>
      <c r="M225" s="783">
        <v>0</v>
      </c>
      <c r="N225" s="772"/>
      <c r="O225" s="783"/>
      <c r="P225" s="772"/>
    </row>
    <row r="226" spans="1:16" s="753" customFormat="1">
      <c r="A226" s="756"/>
      <c r="B226" s="757"/>
      <c r="C226" s="758"/>
      <c r="D226" s="773" t="s">
        <v>5474</v>
      </c>
      <c r="E226" s="782"/>
      <c r="F226" s="774" t="s">
        <v>7805</v>
      </c>
      <c r="G226" s="783">
        <v>0.20319999999999999</v>
      </c>
      <c r="H226" s="772">
        <f t="shared" si="12"/>
        <v>0.20319999999999999</v>
      </c>
      <c r="I226" s="783">
        <v>5</v>
      </c>
      <c r="J226" s="772"/>
      <c r="K226" s="783">
        <v>293.14999999999998</v>
      </c>
      <c r="L226" s="772">
        <f t="shared" si="11"/>
        <v>293.14999999999998</v>
      </c>
      <c r="M226" s="783">
        <v>0</v>
      </c>
      <c r="N226" s="772"/>
      <c r="O226" s="783"/>
      <c r="P226" s="772"/>
    </row>
    <row r="227" spans="1:16" s="753" customFormat="1">
      <c r="A227" s="756"/>
      <c r="B227" s="757"/>
      <c r="C227" s="758"/>
      <c r="D227" s="773" t="s">
        <v>5471</v>
      </c>
      <c r="E227" s="782"/>
      <c r="F227" s="774" t="s">
        <v>7806</v>
      </c>
      <c r="G227" s="783">
        <v>0.35560000000000003</v>
      </c>
      <c r="H227" s="772">
        <f t="shared" si="12"/>
        <v>0.35559999999999997</v>
      </c>
      <c r="I227" s="783">
        <v>5</v>
      </c>
      <c r="J227" s="772"/>
      <c r="K227" s="783">
        <v>293.14999999999998</v>
      </c>
      <c r="L227" s="772">
        <f t="shared" si="11"/>
        <v>293.14999999999998</v>
      </c>
      <c r="M227" s="783">
        <v>0</v>
      </c>
      <c r="N227" s="772"/>
      <c r="O227" s="783"/>
      <c r="P227" s="772"/>
    </row>
    <row r="228" spans="1:16" s="753" customFormat="1">
      <c r="A228" s="756"/>
      <c r="B228" s="757"/>
      <c r="C228" s="758"/>
      <c r="D228" s="773" t="s">
        <v>5529</v>
      </c>
      <c r="E228" s="782"/>
      <c r="F228" s="774" t="s">
        <v>7807</v>
      </c>
      <c r="G228" s="783">
        <v>0.15240000000000001</v>
      </c>
      <c r="H228" s="772">
        <f t="shared" si="12"/>
        <v>0.15239999999999998</v>
      </c>
      <c r="I228" s="783">
        <v>5</v>
      </c>
      <c r="J228" s="772"/>
      <c r="K228" s="783">
        <v>293.14999999999998</v>
      </c>
      <c r="L228" s="772">
        <f t="shared" si="11"/>
        <v>293.14999999999998</v>
      </c>
      <c r="M228" s="783">
        <v>0</v>
      </c>
      <c r="N228" s="772"/>
      <c r="O228" s="783"/>
      <c r="P228" s="772"/>
    </row>
    <row r="229" spans="1:16" s="753" customFormat="1">
      <c r="A229" s="756"/>
      <c r="B229" s="757"/>
      <c r="C229" s="758"/>
      <c r="D229" s="773" t="s">
        <v>5529</v>
      </c>
      <c r="E229" s="782"/>
      <c r="F229" s="774" t="s">
        <v>7808</v>
      </c>
      <c r="G229" s="783">
        <v>0.15240000000000001</v>
      </c>
      <c r="H229" s="772">
        <f t="shared" si="12"/>
        <v>0.15239999999999998</v>
      </c>
      <c r="I229" s="783">
        <v>5</v>
      </c>
      <c r="J229" s="772"/>
      <c r="K229" s="783">
        <v>293.14999999999998</v>
      </c>
      <c r="L229" s="772">
        <f t="shared" si="11"/>
        <v>293.14999999999998</v>
      </c>
      <c r="M229" s="783">
        <v>0</v>
      </c>
      <c r="N229" s="772"/>
      <c r="O229" s="783"/>
      <c r="P229" s="772"/>
    </row>
    <row r="230" spans="1:16" s="753" customFormat="1">
      <c r="A230" s="756"/>
      <c r="B230" s="757"/>
      <c r="C230" s="758"/>
      <c r="D230" s="773" t="s">
        <v>5529</v>
      </c>
      <c r="E230" s="782"/>
      <c r="F230" s="774" t="s">
        <v>7809</v>
      </c>
      <c r="G230" s="783">
        <v>0.15240000000000001</v>
      </c>
      <c r="H230" s="772">
        <f t="shared" si="12"/>
        <v>0.15239999999999998</v>
      </c>
      <c r="I230" s="783">
        <v>5</v>
      </c>
      <c r="J230" s="772"/>
      <c r="K230" s="783">
        <v>293.14999999999998</v>
      </c>
      <c r="L230" s="772">
        <f t="shared" si="11"/>
        <v>293.14999999999998</v>
      </c>
      <c r="M230" s="783">
        <v>0</v>
      </c>
      <c r="N230" s="772"/>
      <c r="O230" s="783"/>
      <c r="P230" s="772"/>
    </row>
    <row r="231" spans="1:16" s="753" customFormat="1">
      <c r="A231" s="756"/>
      <c r="B231" s="757"/>
      <c r="C231" s="758"/>
      <c r="D231" s="773" t="s">
        <v>5529</v>
      </c>
      <c r="E231" s="782"/>
      <c r="F231" s="774" t="s">
        <v>7810</v>
      </c>
      <c r="G231" s="783">
        <v>0.15240000000000001</v>
      </c>
      <c r="H231" s="772">
        <f t="shared" si="12"/>
        <v>0.15239999999999998</v>
      </c>
      <c r="I231" s="783">
        <v>5</v>
      </c>
      <c r="J231" s="772"/>
      <c r="K231" s="783">
        <v>293.14999999999998</v>
      </c>
      <c r="L231" s="772">
        <f t="shared" si="11"/>
        <v>293.14999999999998</v>
      </c>
      <c r="M231" s="783">
        <v>0</v>
      </c>
      <c r="N231" s="772"/>
      <c r="O231" s="783"/>
      <c r="P231" s="772"/>
    </row>
    <row r="232" spans="1:16" s="753" customFormat="1">
      <c r="A232" s="756"/>
      <c r="B232" s="757"/>
      <c r="C232" s="758"/>
      <c r="D232" s="773" t="s">
        <v>5562</v>
      </c>
      <c r="E232" s="782"/>
      <c r="F232" s="774" t="s">
        <v>7898</v>
      </c>
      <c r="G232" s="783">
        <v>0.1016</v>
      </c>
      <c r="H232" s="772">
        <f t="shared" si="12"/>
        <v>0.1016</v>
      </c>
      <c r="I232" s="783">
        <v>5</v>
      </c>
      <c r="J232" s="772"/>
      <c r="K232" s="783">
        <v>293.14999999999998</v>
      </c>
      <c r="L232" s="772">
        <f t="shared" si="11"/>
        <v>293.14999999999998</v>
      </c>
      <c r="M232" s="783">
        <v>0</v>
      </c>
      <c r="N232" s="772"/>
      <c r="O232" s="783"/>
      <c r="P232" s="772"/>
    </row>
    <row r="233" spans="1:16" s="753" customFormat="1">
      <c r="A233" s="756"/>
      <c r="B233" s="757"/>
      <c r="C233" s="758"/>
      <c r="D233" s="773" t="s">
        <v>5498</v>
      </c>
      <c r="E233" s="782"/>
      <c r="F233" s="774" t="s">
        <v>7811</v>
      </c>
      <c r="G233" s="783">
        <v>5.0799999999999998E-2</v>
      </c>
      <c r="H233" s="772">
        <f t="shared" si="12"/>
        <v>5.0799999999999998E-2</v>
      </c>
      <c r="I233" s="783">
        <v>5</v>
      </c>
      <c r="J233" s="772"/>
      <c r="K233" s="783">
        <v>293.14999999999998</v>
      </c>
      <c r="L233" s="772">
        <f t="shared" si="11"/>
        <v>293.14999999999998</v>
      </c>
      <c r="M233" s="783">
        <v>0</v>
      </c>
      <c r="N233" s="772"/>
      <c r="O233" s="783"/>
      <c r="P233" s="772"/>
    </row>
    <row r="234" spans="1:16" s="753" customFormat="1">
      <c r="A234" s="756"/>
      <c r="B234" s="757"/>
      <c r="C234" s="758"/>
      <c r="D234" s="773" t="s">
        <v>5498</v>
      </c>
      <c r="E234" s="782"/>
      <c r="F234" s="774" t="s">
        <v>7812</v>
      </c>
      <c r="G234" s="783">
        <v>5.0799999999999998E-2</v>
      </c>
      <c r="H234" s="772">
        <f t="shared" si="12"/>
        <v>5.0799999999999998E-2</v>
      </c>
      <c r="I234" s="783">
        <v>5</v>
      </c>
      <c r="J234" s="772"/>
      <c r="K234" s="783">
        <v>293.14999999999998</v>
      </c>
      <c r="L234" s="772">
        <f t="shared" si="11"/>
        <v>293.14999999999998</v>
      </c>
      <c r="M234" s="783">
        <v>0</v>
      </c>
      <c r="N234" s="772"/>
      <c r="O234" s="783"/>
      <c r="P234" s="772"/>
    </row>
    <row r="235" spans="1:16" s="753" customFormat="1">
      <c r="A235" s="756"/>
      <c r="B235" s="757"/>
      <c r="C235" s="758"/>
      <c r="D235" s="773" t="s">
        <v>5474</v>
      </c>
      <c r="E235" s="782"/>
      <c r="F235" s="774" t="s">
        <v>7813</v>
      </c>
      <c r="G235" s="783">
        <v>0.20319999999999999</v>
      </c>
      <c r="H235" s="772">
        <f t="shared" si="12"/>
        <v>0.20319999999999999</v>
      </c>
      <c r="I235" s="783">
        <v>5</v>
      </c>
      <c r="J235" s="772"/>
      <c r="K235" s="783">
        <v>293.14999999999998</v>
      </c>
      <c r="L235" s="772">
        <f t="shared" si="11"/>
        <v>293.14999999999998</v>
      </c>
      <c r="M235" s="783">
        <v>0</v>
      </c>
      <c r="N235" s="772"/>
      <c r="O235" s="783"/>
      <c r="P235" s="772"/>
    </row>
    <row r="236" spans="1:16" s="753" customFormat="1">
      <c r="A236" s="756"/>
      <c r="B236" s="757"/>
      <c r="C236" s="758"/>
      <c r="D236" s="773" t="s">
        <v>5474</v>
      </c>
      <c r="E236" s="782"/>
      <c r="F236" s="774" t="s">
        <v>7814</v>
      </c>
      <c r="G236" s="783">
        <v>0.20319999999999999</v>
      </c>
      <c r="H236" s="772">
        <f t="shared" si="12"/>
        <v>0.20319999999999999</v>
      </c>
      <c r="I236" s="783">
        <v>5</v>
      </c>
      <c r="J236" s="772"/>
      <c r="K236" s="783">
        <v>293.14999999999998</v>
      </c>
      <c r="L236" s="772">
        <f t="shared" si="11"/>
        <v>293.14999999999998</v>
      </c>
      <c r="M236" s="783">
        <v>0</v>
      </c>
      <c r="N236" s="772"/>
      <c r="O236" s="783"/>
      <c r="P236" s="772"/>
    </row>
    <row r="237" spans="1:16" s="753" customFormat="1">
      <c r="A237" s="756"/>
      <c r="B237" s="757"/>
      <c r="C237" s="758"/>
      <c r="D237" s="773" t="s">
        <v>5562</v>
      </c>
      <c r="E237" s="782"/>
      <c r="F237" s="774" t="s">
        <v>7815</v>
      </c>
      <c r="G237" s="783">
        <v>0.1016</v>
      </c>
      <c r="H237" s="772">
        <f t="shared" si="12"/>
        <v>0.1016</v>
      </c>
      <c r="I237" s="783">
        <v>5</v>
      </c>
      <c r="J237" s="772"/>
      <c r="K237" s="783">
        <v>293.14999999999998</v>
      </c>
      <c r="L237" s="772">
        <f t="shared" si="11"/>
        <v>293.14999999999998</v>
      </c>
      <c r="M237" s="783">
        <v>0</v>
      </c>
      <c r="N237" s="772"/>
      <c r="O237" s="783"/>
      <c r="P237" s="772"/>
    </row>
    <row r="238" spans="1:16" s="753" customFormat="1">
      <c r="A238" s="756"/>
      <c r="B238" s="757"/>
      <c r="C238" s="758"/>
      <c r="D238" s="773" t="s">
        <v>5562</v>
      </c>
      <c r="E238" s="782"/>
      <c r="F238" s="774" t="s">
        <v>7816</v>
      </c>
      <c r="G238" s="783">
        <v>0.1016</v>
      </c>
      <c r="H238" s="772">
        <f t="shared" si="12"/>
        <v>0.1016</v>
      </c>
      <c r="I238" s="783">
        <v>5</v>
      </c>
      <c r="J238" s="772"/>
      <c r="K238" s="783">
        <v>293.14999999999998</v>
      </c>
      <c r="L238" s="772">
        <f t="shared" si="11"/>
        <v>293.14999999999998</v>
      </c>
      <c r="M238" s="783">
        <v>0</v>
      </c>
      <c r="N238" s="772"/>
      <c r="O238" s="783"/>
      <c r="P238" s="772"/>
    </row>
    <row r="239" spans="1:16" s="753" customFormat="1">
      <c r="A239" s="756"/>
      <c r="B239" s="757"/>
      <c r="C239" s="758"/>
      <c r="D239" s="773" t="s">
        <v>5562</v>
      </c>
      <c r="E239" s="782"/>
      <c r="F239" s="774" t="s">
        <v>7817</v>
      </c>
      <c r="G239" s="783">
        <v>0.1016</v>
      </c>
      <c r="H239" s="772">
        <f t="shared" si="12"/>
        <v>0.1016</v>
      </c>
      <c r="I239" s="783">
        <v>5</v>
      </c>
      <c r="J239" s="772"/>
      <c r="K239" s="783">
        <v>293.14999999999998</v>
      </c>
      <c r="L239" s="772">
        <f t="shared" si="11"/>
        <v>293.14999999999998</v>
      </c>
      <c r="M239" s="783">
        <v>0</v>
      </c>
      <c r="N239" s="772"/>
      <c r="O239" s="783"/>
      <c r="P239" s="772"/>
    </row>
    <row r="240" spans="1:16" s="753" customFormat="1">
      <c r="A240" s="756"/>
      <c r="B240" s="757"/>
      <c r="C240" s="758"/>
      <c r="D240" s="773" t="s">
        <v>5562</v>
      </c>
      <c r="E240" s="782"/>
      <c r="F240" s="774" t="s">
        <v>7818</v>
      </c>
      <c r="G240" s="783">
        <v>0.1016</v>
      </c>
      <c r="H240" s="772">
        <f t="shared" si="12"/>
        <v>0.1016</v>
      </c>
      <c r="I240" s="783">
        <v>5</v>
      </c>
      <c r="J240" s="772"/>
      <c r="K240" s="783">
        <v>293.14999999999998</v>
      </c>
      <c r="L240" s="772">
        <f t="shared" si="11"/>
        <v>293.14999999999998</v>
      </c>
      <c r="M240" s="783">
        <v>0</v>
      </c>
      <c r="N240" s="772"/>
      <c r="O240" s="783"/>
      <c r="P240" s="772"/>
    </row>
    <row r="241" spans="1:16" s="753" customFormat="1">
      <c r="A241" s="756"/>
      <c r="B241" s="757"/>
      <c r="C241" s="758"/>
      <c r="D241" s="773" t="s">
        <v>5562</v>
      </c>
      <c r="E241" s="782"/>
      <c r="F241" s="774" t="s">
        <v>7819</v>
      </c>
      <c r="G241" s="783">
        <v>0.1016</v>
      </c>
      <c r="H241" s="772">
        <f t="shared" si="12"/>
        <v>0.1016</v>
      </c>
      <c r="I241" s="783">
        <v>5</v>
      </c>
      <c r="J241" s="772"/>
      <c r="K241" s="783">
        <v>293.14999999999998</v>
      </c>
      <c r="L241" s="772">
        <f t="shared" si="11"/>
        <v>293.14999999999998</v>
      </c>
      <c r="M241" s="783">
        <v>0</v>
      </c>
      <c r="N241" s="772"/>
      <c r="O241" s="783"/>
      <c r="P241" s="772"/>
    </row>
    <row r="242" spans="1:16" s="753" customFormat="1">
      <c r="A242" s="756"/>
      <c r="B242" s="757"/>
      <c r="C242" s="758"/>
      <c r="D242" s="773" t="s">
        <v>5562</v>
      </c>
      <c r="E242" s="782"/>
      <c r="F242" s="774" t="s">
        <v>7820</v>
      </c>
      <c r="G242" s="783">
        <v>0.1016</v>
      </c>
      <c r="H242" s="772">
        <f t="shared" si="12"/>
        <v>0.1016</v>
      </c>
      <c r="I242" s="783">
        <v>5</v>
      </c>
      <c r="J242" s="772"/>
      <c r="K242" s="783">
        <v>293.14999999999998</v>
      </c>
      <c r="L242" s="772">
        <f t="shared" si="11"/>
        <v>293.14999999999998</v>
      </c>
      <c r="M242" s="783">
        <v>1</v>
      </c>
      <c r="N242" s="772"/>
      <c r="O242" s="783"/>
      <c r="P242" s="772"/>
    </row>
    <row r="243" spans="1:16" s="753" customFormat="1">
      <c r="A243" s="756"/>
      <c r="B243" s="757"/>
      <c r="C243" s="758"/>
      <c r="D243" s="773" t="s">
        <v>5562</v>
      </c>
      <c r="E243" s="782"/>
      <c r="F243" s="774" t="s">
        <v>7821</v>
      </c>
      <c r="G243" s="783">
        <v>0.1016</v>
      </c>
      <c r="H243" s="772">
        <f t="shared" si="12"/>
        <v>0.1016</v>
      </c>
      <c r="I243" s="783">
        <v>5</v>
      </c>
      <c r="J243" s="772"/>
      <c r="K243" s="783">
        <v>293.14999999999998</v>
      </c>
      <c r="L243" s="772">
        <f t="shared" si="11"/>
        <v>293.14999999999998</v>
      </c>
      <c r="M243" s="783">
        <v>0</v>
      </c>
      <c r="N243" s="772"/>
      <c r="O243" s="783"/>
      <c r="P243" s="772"/>
    </row>
    <row r="244" spans="1:16" s="753" customFormat="1">
      <c r="A244" s="756"/>
      <c r="B244" s="757"/>
      <c r="C244" s="758"/>
      <c r="D244" s="773"/>
      <c r="E244" s="782"/>
      <c r="F244" s="774"/>
      <c r="G244" s="783"/>
      <c r="H244" s="772"/>
      <c r="I244" s="783"/>
      <c r="J244" s="772"/>
      <c r="K244" s="783"/>
      <c r="L244" s="772"/>
      <c r="M244" s="783"/>
      <c r="N244" s="772"/>
      <c r="O244" s="783"/>
      <c r="P244" s="772"/>
    </row>
    <row r="245" spans="1:16" s="753" customFormat="1">
      <c r="A245" s="756"/>
      <c r="B245" s="757"/>
      <c r="C245" s="758"/>
      <c r="D245" s="773"/>
      <c r="E245" s="782"/>
      <c r="F245" s="774"/>
      <c r="G245" s="783"/>
      <c r="H245" s="772"/>
      <c r="I245" s="783"/>
      <c r="J245" s="772"/>
      <c r="K245" s="783"/>
      <c r="L245" s="772"/>
      <c r="M245" s="783"/>
      <c r="N245" s="772"/>
      <c r="O245" s="783"/>
      <c r="P245" s="772"/>
    </row>
    <row r="246" spans="1:16" s="753" customFormat="1">
      <c r="A246" s="756"/>
      <c r="B246" s="757"/>
      <c r="C246" s="758"/>
      <c r="D246" s="773"/>
      <c r="E246" s="782"/>
      <c r="F246" s="774"/>
      <c r="G246" s="783"/>
      <c r="H246" s="772"/>
      <c r="I246" s="783"/>
      <c r="J246" s="772"/>
      <c r="K246" s="783"/>
      <c r="L246" s="772"/>
      <c r="M246" s="783"/>
      <c r="N246" s="772"/>
      <c r="O246" s="783"/>
      <c r="P246" s="772"/>
    </row>
    <row r="247" spans="1:16" s="753" customFormat="1">
      <c r="A247" s="756"/>
      <c r="B247" s="757"/>
      <c r="C247" s="758"/>
      <c r="D247" s="773"/>
      <c r="E247" s="782"/>
      <c r="F247" s="774"/>
      <c r="G247" s="783"/>
      <c r="H247" s="772"/>
      <c r="I247" s="783"/>
      <c r="J247" s="772"/>
      <c r="K247" s="783"/>
      <c r="L247" s="772"/>
      <c r="M247" s="783"/>
      <c r="N247" s="772"/>
      <c r="O247" s="783"/>
      <c r="P247" s="772"/>
    </row>
    <row r="248" spans="1:16" s="753" customFormat="1">
      <c r="A248" s="756"/>
      <c r="B248" s="757"/>
      <c r="C248" s="758"/>
      <c r="D248" s="773"/>
      <c r="E248" s="782"/>
      <c r="F248" s="774"/>
      <c r="G248" s="783"/>
      <c r="H248" s="772"/>
      <c r="I248" s="783"/>
      <c r="J248" s="772"/>
      <c r="K248" s="783"/>
      <c r="L248" s="772"/>
      <c r="M248" s="783"/>
      <c r="N248" s="772"/>
      <c r="O248" s="783"/>
      <c r="P248" s="772"/>
    </row>
    <row r="249" spans="1:16" s="753" customFormat="1">
      <c r="A249" s="756"/>
      <c r="B249" s="757"/>
      <c r="C249" s="758"/>
      <c r="D249" s="773"/>
      <c r="E249" s="782"/>
      <c r="F249" s="774"/>
      <c r="G249" s="783"/>
      <c r="H249" s="772"/>
      <c r="I249" s="783"/>
      <c r="J249" s="772"/>
      <c r="K249" s="783"/>
      <c r="L249" s="772"/>
      <c r="M249" s="783"/>
      <c r="N249" s="772"/>
      <c r="O249" s="783"/>
      <c r="P249" s="772"/>
    </row>
    <row r="250" spans="1:16" s="753" customFormat="1">
      <c r="A250" s="756"/>
      <c r="B250" s="757"/>
      <c r="C250" s="758"/>
      <c r="D250" s="773"/>
      <c r="E250" s="782"/>
      <c r="F250" s="774"/>
      <c r="G250" s="783"/>
      <c r="H250" s="772"/>
      <c r="I250" s="783"/>
      <c r="J250" s="772"/>
      <c r="K250" s="783"/>
      <c r="L250" s="772"/>
      <c r="M250" s="783"/>
      <c r="N250" s="772"/>
      <c r="O250" s="783"/>
      <c r="P250" s="772"/>
    </row>
    <row r="251" spans="1:16" s="753" customFormat="1">
      <c r="A251" s="756"/>
      <c r="B251" s="757"/>
      <c r="C251" s="758"/>
      <c r="D251" s="773"/>
      <c r="E251" s="782"/>
      <c r="F251" s="774"/>
      <c r="G251" s="783"/>
      <c r="H251" s="772"/>
      <c r="I251" s="783"/>
      <c r="J251" s="772"/>
      <c r="K251" s="783"/>
      <c r="L251" s="772"/>
      <c r="M251" s="783"/>
      <c r="N251" s="772"/>
      <c r="O251" s="783"/>
      <c r="P251" s="772"/>
    </row>
    <row r="252" spans="1:16" s="753" customFormat="1">
      <c r="A252" s="756"/>
      <c r="B252" s="757"/>
      <c r="C252" s="758"/>
      <c r="D252" s="773"/>
      <c r="E252" s="782"/>
      <c r="F252" s="774"/>
      <c r="G252" s="783"/>
      <c r="H252" s="772"/>
      <c r="I252" s="783"/>
      <c r="J252" s="772"/>
      <c r="K252" s="783"/>
      <c r="L252" s="772"/>
      <c r="M252" s="783"/>
      <c r="N252" s="772"/>
      <c r="O252" s="783"/>
      <c r="P252" s="772"/>
    </row>
    <row r="253" spans="1:16" s="753" customFormat="1">
      <c r="A253" s="756"/>
      <c r="B253" s="757"/>
      <c r="C253" s="758"/>
      <c r="D253" s="773"/>
      <c r="E253" s="782"/>
      <c r="F253" s="774"/>
      <c r="G253" s="783"/>
      <c r="H253" s="772"/>
      <c r="I253" s="783"/>
      <c r="J253" s="772"/>
      <c r="K253" s="783"/>
      <c r="L253" s="772"/>
      <c r="M253" s="783"/>
      <c r="N253" s="772"/>
      <c r="O253" s="783"/>
      <c r="P253" s="772"/>
    </row>
    <row r="254" spans="1:16" s="753" customFormat="1">
      <c r="A254" s="756"/>
      <c r="B254" s="757"/>
      <c r="C254" s="758"/>
      <c r="D254" s="773"/>
      <c r="E254" s="782"/>
      <c r="F254" s="774"/>
      <c r="G254" s="783"/>
      <c r="H254" s="772"/>
      <c r="I254" s="783"/>
      <c r="J254" s="772"/>
      <c r="K254" s="783"/>
      <c r="L254" s="772"/>
      <c r="M254" s="783"/>
      <c r="N254" s="772"/>
      <c r="O254" s="783"/>
      <c r="P254" s="772"/>
    </row>
    <row r="255" spans="1:16" s="753" customFormat="1">
      <c r="A255" s="756"/>
      <c r="B255" s="757"/>
      <c r="C255" s="758"/>
      <c r="D255" s="773"/>
      <c r="E255" s="782"/>
      <c r="F255" s="774"/>
      <c r="G255" s="783"/>
      <c r="H255" s="772"/>
      <c r="I255" s="783"/>
      <c r="J255" s="772"/>
      <c r="K255" s="783"/>
      <c r="L255" s="772"/>
      <c r="M255" s="783"/>
      <c r="N255" s="772"/>
      <c r="O255" s="783"/>
      <c r="P255" s="772"/>
    </row>
    <row r="256" spans="1:16" s="753" customFormat="1">
      <c r="A256" s="756"/>
      <c r="B256" s="757"/>
      <c r="C256" s="758"/>
      <c r="D256" s="773"/>
      <c r="E256" s="782"/>
      <c r="F256" s="774"/>
      <c r="G256" s="783"/>
      <c r="H256" s="772"/>
      <c r="I256" s="783"/>
      <c r="J256" s="772"/>
      <c r="K256" s="783"/>
      <c r="L256" s="772"/>
      <c r="M256" s="783"/>
      <c r="N256" s="772"/>
      <c r="O256" s="783"/>
      <c r="P256" s="772"/>
    </row>
    <row r="257" spans="1:16" s="753" customFormat="1">
      <c r="A257" s="756"/>
      <c r="B257" s="757"/>
      <c r="C257" s="758"/>
      <c r="D257" s="773"/>
      <c r="E257" s="782"/>
      <c r="F257" s="774"/>
      <c r="G257" s="783"/>
      <c r="H257" s="772"/>
      <c r="I257" s="783"/>
      <c r="J257" s="772"/>
      <c r="K257" s="783"/>
      <c r="L257" s="772"/>
      <c r="M257" s="783"/>
      <c r="N257" s="772"/>
      <c r="O257" s="783"/>
      <c r="P257" s="772"/>
    </row>
    <row r="258" spans="1:16" s="753" customFormat="1">
      <c r="A258" s="756"/>
      <c r="B258" s="757"/>
      <c r="C258" s="758"/>
      <c r="D258" s="773"/>
      <c r="E258" s="782"/>
      <c r="F258" s="774"/>
      <c r="G258" s="783"/>
      <c r="H258" s="772"/>
      <c r="I258" s="783"/>
      <c r="J258" s="772"/>
      <c r="K258" s="783"/>
      <c r="L258" s="772"/>
      <c r="M258" s="783"/>
      <c r="N258" s="772"/>
      <c r="O258" s="783"/>
      <c r="P258" s="772"/>
    </row>
    <row r="259" spans="1:16" s="753" customFormat="1">
      <c r="A259" s="756"/>
      <c r="B259" s="757"/>
      <c r="C259" s="758"/>
      <c r="D259" s="773"/>
      <c r="E259" s="782"/>
      <c r="F259" s="774"/>
      <c r="G259" s="783"/>
      <c r="H259" s="772"/>
      <c r="I259" s="783"/>
      <c r="J259" s="772"/>
      <c r="K259" s="783"/>
      <c r="L259" s="772"/>
      <c r="M259" s="783"/>
      <c r="N259" s="772"/>
      <c r="O259" s="783"/>
      <c r="P259" s="772"/>
    </row>
    <row r="260" spans="1:16" s="753" customFormat="1">
      <c r="A260" s="756"/>
      <c r="B260" s="757"/>
      <c r="C260" s="758"/>
      <c r="D260" s="773"/>
      <c r="E260" s="782"/>
      <c r="F260" s="774"/>
      <c r="G260" s="783"/>
      <c r="H260" s="772"/>
      <c r="I260" s="783"/>
      <c r="J260" s="772"/>
      <c r="K260" s="783"/>
      <c r="L260" s="772"/>
      <c r="M260" s="783"/>
      <c r="N260" s="772"/>
      <c r="O260" s="783"/>
      <c r="P260" s="772"/>
    </row>
    <row r="261" spans="1:16" s="753" customFormat="1">
      <c r="A261" s="756"/>
      <c r="B261" s="757"/>
      <c r="C261" s="758"/>
      <c r="D261" s="773"/>
      <c r="E261" s="782"/>
      <c r="F261" s="774"/>
      <c r="G261" s="783"/>
      <c r="H261" s="772"/>
      <c r="I261" s="783"/>
      <c r="J261" s="772"/>
      <c r="K261" s="783"/>
      <c r="L261" s="772"/>
      <c r="M261" s="783"/>
      <c r="N261" s="772"/>
      <c r="O261" s="783"/>
      <c r="P261" s="772"/>
    </row>
    <row r="262" spans="1:16" s="753" customFormat="1">
      <c r="A262" s="756"/>
      <c r="B262" s="757"/>
      <c r="C262" s="758"/>
      <c r="D262" s="773"/>
      <c r="E262" s="782"/>
      <c r="F262" s="774"/>
      <c r="G262" s="783"/>
      <c r="H262" s="772"/>
      <c r="I262" s="783"/>
      <c r="J262" s="772"/>
      <c r="K262" s="783"/>
      <c r="L262" s="772"/>
      <c r="M262" s="783"/>
      <c r="N262" s="772"/>
      <c r="O262" s="783"/>
      <c r="P262" s="772"/>
    </row>
    <row r="263" spans="1:16" s="753" customFormat="1">
      <c r="A263" s="756"/>
      <c r="B263" s="757"/>
      <c r="C263" s="758"/>
      <c r="D263" s="773"/>
      <c r="E263" s="782"/>
      <c r="F263" s="774"/>
      <c r="G263" s="783"/>
      <c r="H263" s="772"/>
      <c r="I263" s="783"/>
      <c r="J263" s="772"/>
      <c r="K263" s="783"/>
      <c r="L263" s="772"/>
      <c r="M263" s="783"/>
      <c r="N263" s="772"/>
      <c r="O263" s="783"/>
      <c r="P263" s="772"/>
    </row>
    <row r="264" spans="1:16" s="753" customFormat="1">
      <c r="A264" s="756"/>
      <c r="B264" s="757"/>
      <c r="C264" s="758"/>
      <c r="D264" s="773"/>
      <c r="E264" s="782"/>
      <c r="F264" s="774"/>
      <c r="G264" s="783"/>
      <c r="H264" s="772"/>
      <c r="I264" s="783"/>
      <c r="J264" s="772"/>
      <c r="K264" s="783"/>
      <c r="L264" s="772"/>
      <c r="M264" s="783"/>
      <c r="N264" s="772"/>
      <c r="O264" s="783"/>
      <c r="P264" s="772"/>
    </row>
    <row r="265" spans="1:16" s="753" customFormat="1">
      <c r="A265" s="756"/>
      <c r="B265" s="757"/>
      <c r="C265" s="758"/>
      <c r="D265" s="773"/>
      <c r="E265" s="782"/>
      <c r="F265" s="774"/>
      <c r="G265" s="783"/>
      <c r="H265" s="772"/>
      <c r="I265" s="783"/>
      <c r="J265" s="772"/>
      <c r="K265" s="783"/>
      <c r="L265" s="772"/>
      <c r="M265" s="783"/>
      <c r="N265" s="772"/>
      <c r="O265" s="783"/>
      <c r="P265" s="772"/>
    </row>
    <row r="266" spans="1:16" s="753" customFormat="1">
      <c r="A266" s="756"/>
      <c r="B266" s="757"/>
      <c r="C266" s="758"/>
      <c r="D266" s="773"/>
      <c r="E266" s="782"/>
      <c r="F266" s="774"/>
      <c r="G266" s="783"/>
      <c r="H266" s="772"/>
      <c r="I266" s="783"/>
      <c r="J266" s="772"/>
      <c r="K266" s="783"/>
      <c r="L266" s="772"/>
      <c r="M266" s="783"/>
      <c r="N266" s="772"/>
      <c r="O266" s="783"/>
      <c r="P266" s="772"/>
    </row>
    <row r="267" spans="1:16" s="753" customFormat="1">
      <c r="A267" s="756"/>
      <c r="B267" s="757"/>
      <c r="C267" s="758"/>
      <c r="D267" s="773"/>
      <c r="E267" s="782"/>
      <c r="F267" s="774"/>
      <c r="G267" s="783"/>
      <c r="H267" s="772"/>
      <c r="I267" s="783"/>
      <c r="J267" s="772"/>
      <c r="K267" s="783"/>
      <c r="L267" s="772"/>
      <c r="M267" s="783"/>
      <c r="N267" s="772"/>
      <c r="O267" s="783"/>
      <c r="P267" s="772"/>
    </row>
    <row r="268" spans="1:16" s="753" customFormat="1">
      <c r="A268" s="756"/>
      <c r="B268" s="757"/>
      <c r="C268" s="758"/>
      <c r="D268" s="773"/>
      <c r="E268" s="782"/>
      <c r="F268" s="774"/>
      <c r="G268" s="783"/>
      <c r="H268" s="772"/>
      <c r="I268" s="783"/>
      <c r="J268" s="772"/>
      <c r="K268" s="783"/>
      <c r="L268" s="772"/>
      <c r="M268" s="783"/>
      <c r="N268" s="772"/>
      <c r="O268" s="783"/>
      <c r="P268" s="772"/>
    </row>
    <row r="269" spans="1:16" s="753" customFormat="1">
      <c r="A269" s="756"/>
      <c r="B269" s="757"/>
      <c r="C269" s="758"/>
      <c r="D269" s="773"/>
      <c r="E269" s="782"/>
      <c r="F269" s="774"/>
      <c r="G269" s="783"/>
      <c r="H269" s="772"/>
      <c r="I269" s="783"/>
      <c r="J269" s="772"/>
      <c r="K269" s="783"/>
      <c r="L269" s="772"/>
      <c r="M269" s="783"/>
      <c r="N269" s="772"/>
      <c r="O269" s="783"/>
      <c r="P269" s="772"/>
    </row>
    <row r="270" spans="1:16" s="753" customFormat="1">
      <c r="A270" s="756"/>
      <c r="B270" s="757"/>
      <c r="C270" s="758"/>
      <c r="D270" s="773"/>
      <c r="E270" s="782"/>
      <c r="F270" s="774"/>
      <c r="G270" s="783"/>
      <c r="H270" s="772"/>
      <c r="I270" s="783"/>
      <c r="J270" s="772"/>
      <c r="K270" s="783"/>
      <c r="L270" s="772"/>
      <c r="M270" s="783"/>
      <c r="N270" s="772"/>
      <c r="O270" s="783"/>
      <c r="P270" s="772"/>
    </row>
    <row r="271" spans="1:16" s="753" customFormat="1">
      <c r="A271" s="756"/>
      <c r="B271" s="757"/>
      <c r="C271" s="758"/>
      <c r="D271" s="773"/>
      <c r="E271" s="782"/>
      <c r="F271" s="774"/>
      <c r="G271" s="783"/>
      <c r="H271" s="772"/>
      <c r="I271" s="783"/>
      <c r="J271" s="772"/>
      <c r="K271" s="783"/>
      <c r="L271" s="772"/>
      <c r="M271" s="783"/>
      <c r="N271" s="772"/>
      <c r="O271" s="783"/>
      <c r="P271" s="772"/>
    </row>
    <row r="272" spans="1:16" s="753" customFormat="1">
      <c r="A272" s="756"/>
      <c r="B272" s="757"/>
      <c r="C272" s="758"/>
      <c r="D272" s="773"/>
      <c r="E272" s="782"/>
      <c r="F272" s="774"/>
      <c r="G272" s="783"/>
      <c r="H272" s="772"/>
      <c r="I272" s="783"/>
      <c r="J272" s="772"/>
      <c r="K272" s="783"/>
      <c r="L272" s="772"/>
      <c r="M272" s="783"/>
      <c r="N272" s="772"/>
      <c r="O272" s="783"/>
      <c r="P272" s="772"/>
    </row>
    <row r="273" spans="1:16" s="753" customFormat="1">
      <c r="A273" s="756"/>
      <c r="B273" s="757"/>
      <c r="C273" s="758"/>
      <c r="D273" s="773"/>
      <c r="E273" s="782"/>
      <c r="F273" s="774"/>
      <c r="G273" s="783"/>
      <c r="H273" s="772"/>
      <c r="I273" s="783"/>
      <c r="J273" s="772"/>
      <c r="K273" s="783"/>
      <c r="L273" s="772"/>
      <c r="M273" s="783"/>
      <c r="N273" s="772"/>
      <c r="O273" s="783"/>
      <c r="P273" s="772"/>
    </row>
    <row r="274" spans="1:16" s="753" customFormat="1">
      <c r="A274" s="756"/>
      <c r="B274" s="757"/>
      <c r="C274" s="758"/>
      <c r="D274" s="773"/>
      <c r="E274" s="782"/>
      <c r="F274" s="774"/>
      <c r="G274" s="783"/>
      <c r="H274" s="772"/>
      <c r="I274" s="783"/>
      <c r="J274" s="772"/>
      <c r="K274" s="783"/>
      <c r="L274" s="772"/>
      <c r="M274" s="783"/>
      <c r="N274" s="772"/>
      <c r="O274" s="783"/>
      <c r="P274" s="772"/>
    </row>
    <row r="275" spans="1:16" s="753" customFormat="1">
      <c r="A275" s="756"/>
      <c r="B275" s="757"/>
      <c r="C275" s="758"/>
      <c r="D275" s="773"/>
      <c r="E275" s="782"/>
      <c r="F275" s="774"/>
      <c r="G275" s="783"/>
      <c r="H275" s="772"/>
      <c r="I275" s="783"/>
      <c r="J275" s="772"/>
      <c r="K275" s="783"/>
      <c r="L275" s="772"/>
      <c r="M275" s="783"/>
      <c r="N275" s="772"/>
      <c r="O275" s="783"/>
      <c r="P275" s="772"/>
    </row>
    <row r="276" spans="1:16" s="753" customFormat="1">
      <c r="A276" s="756"/>
      <c r="B276" s="757"/>
      <c r="C276" s="758"/>
      <c r="D276" s="773"/>
      <c r="E276" s="782"/>
      <c r="F276" s="774"/>
      <c r="G276" s="783"/>
      <c r="H276" s="772"/>
      <c r="I276" s="783"/>
      <c r="J276" s="772"/>
      <c r="K276" s="783"/>
      <c r="L276" s="772"/>
      <c r="M276" s="783"/>
      <c r="N276" s="772"/>
      <c r="O276" s="783"/>
      <c r="P276" s="772"/>
    </row>
    <row r="277" spans="1:16" s="753" customFormat="1">
      <c r="A277" s="756"/>
      <c r="B277" s="757"/>
      <c r="C277" s="758"/>
      <c r="D277" s="773"/>
      <c r="E277" s="782"/>
      <c r="F277" s="774"/>
      <c r="G277" s="783"/>
      <c r="H277" s="772"/>
      <c r="I277" s="783"/>
      <c r="J277" s="772"/>
      <c r="K277" s="783"/>
      <c r="L277" s="772"/>
      <c r="M277" s="783"/>
      <c r="N277" s="772"/>
      <c r="O277" s="783"/>
      <c r="P277" s="772"/>
    </row>
    <row r="278" spans="1:16" s="753" customFormat="1">
      <c r="A278" s="756"/>
      <c r="B278" s="757"/>
      <c r="C278" s="758"/>
      <c r="D278" s="773"/>
      <c r="E278" s="782"/>
      <c r="F278" s="774"/>
      <c r="G278" s="783"/>
      <c r="H278" s="772"/>
      <c r="I278" s="783"/>
      <c r="J278" s="772"/>
      <c r="K278" s="783"/>
      <c r="L278" s="772"/>
      <c r="M278" s="783"/>
      <c r="N278" s="772"/>
      <c r="O278" s="783"/>
      <c r="P278" s="772"/>
    </row>
    <row r="279" spans="1:16" s="753" customFormat="1">
      <c r="A279" s="756"/>
      <c r="B279" s="757"/>
      <c r="C279" s="758"/>
      <c r="D279" s="773"/>
      <c r="E279" s="782"/>
      <c r="F279" s="774"/>
      <c r="G279" s="783"/>
      <c r="H279" s="772"/>
      <c r="I279" s="783"/>
      <c r="J279" s="772"/>
      <c r="K279" s="783"/>
      <c r="L279" s="772"/>
      <c r="M279" s="783"/>
      <c r="N279" s="772"/>
      <c r="O279" s="783"/>
      <c r="P279" s="772"/>
    </row>
    <row r="280" spans="1:16" s="753" customFormat="1">
      <c r="A280" s="756"/>
      <c r="B280" s="757"/>
      <c r="C280" s="758"/>
      <c r="D280" s="773"/>
      <c r="E280" s="782"/>
      <c r="F280" s="774"/>
      <c r="G280" s="783"/>
      <c r="H280" s="772"/>
      <c r="I280" s="783"/>
      <c r="J280" s="772"/>
      <c r="K280" s="783"/>
      <c r="L280" s="772"/>
      <c r="M280" s="783"/>
      <c r="N280" s="772"/>
      <c r="O280" s="783"/>
      <c r="P280" s="772"/>
    </row>
    <row r="281" spans="1:16" s="753" customFormat="1">
      <c r="A281" s="756"/>
      <c r="B281" s="757"/>
      <c r="C281" s="758"/>
      <c r="D281" s="773"/>
      <c r="E281" s="782"/>
      <c r="F281" s="774"/>
      <c r="G281" s="783"/>
      <c r="H281" s="772"/>
      <c r="I281" s="783"/>
      <c r="J281" s="772"/>
      <c r="K281" s="783"/>
      <c r="L281" s="772"/>
      <c r="M281" s="783"/>
      <c r="N281" s="772"/>
      <c r="O281" s="783"/>
      <c r="P281" s="772"/>
    </row>
    <row r="282" spans="1:16" s="753" customFormat="1">
      <c r="A282" s="756"/>
      <c r="B282" s="757"/>
      <c r="C282" s="758"/>
      <c r="D282" s="773"/>
      <c r="E282" s="782"/>
      <c r="F282" s="774"/>
      <c r="G282" s="783"/>
      <c r="H282" s="772"/>
      <c r="I282" s="783"/>
      <c r="J282" s="772"/>
      <c r="K282" s="783"/>
      <c r="L282" s="772"/>
      <c r="M282" s="783"/>
      <c r="N282" s="772"/>
      <c r="O282" s="783"/>
      <c r="P282" s="772"/>
    </row>
    <row r="283" spans="1:16" s="753" customFormat="1">
      <c r="A283" s="756"/>
      <c r="B283" s="757"/>
      <c r="C283" s="758"/>
      <c r="D283" s="773"/>
      <c r="E283" s="782"/>
      <c r="F283" s="774"/>
      <c r="G283" s="783"/>
      <c r="H283" s="772"/>
      <c r="I283" s="783"/>
      <c r="J283" s="772"/>
      <c r="K283" s="783"/>
      <c r="L283" s="772"/>
      <c r="M283" s="783"/>
      <c r="N283" s="772"/>
      <c r="O283" s="783"/>
      <c r="P283" s="772"/>
    </row>
    <row r="284" spans="1:16" s="753" customFormat="1">
      <c r="A284" s="756"/>
      <c r="B284" s="757"/>
      <c r="C284" s="758"/>
      <c r="D284" s="773"/>
      <c r="E284" s="782"/>
      <c r="F284" s="774"/>
      <c r="G284" s="783"/>
      <c r="H284" s="772"/>
      <c r="I284" s="783"/>
      <c r="J284" s="772"/>
      <c r="K284" s="783"/>
      <c r="L284" s="772"/>
      <c r="M284" s="783"/>
      <c r="N284" s="772"/>
      <c r="O284" s="783"/>
      <c r="P284" s="772"/>
    </row>
    <row r="285" spans="1:16" s="753" customFormat="1">
      <c r="A285" s="756"/>
      <c r="B285" s="757"/>
      <c r="C285" s="758"/>
      <c r="D285" s="773"/>
      <c r="E285" s="782"/>
      <c r="F285" s="774"/>
      <c r="G285" s="783"/>
      <c r="H285" s="772"/>
      <c r="I285" s="783"/>
      <c r="J285" s="772"/>
      <c r="K285" s="783"/>
      <c r="L285" s="772"/>
      <c r="M285" s="783"/>
      <c r="N285" s="772"/>
      <c r="O285" s="783"/>
      <c r="P285" s="772"/>
    </row>
    <row r="286" spans="1:16" s="753" customFormat="1">
      <c r="A286" s="756"/>
      <c r="B286" s="757"/>
      <c r="C286" s="758"/>
      <c r="D286" s="773"/>
      <c r="E286" s="782"/>
      <c r="F286" s="774"/>
      <c r="G286" s="783"/>
      <c r="H286" s="772"/>
      <c r="I286" s="783"/>
      <c r="J286" s="772"/>
      <c r="K286" s="783"/>
      <c r="L286" s="772"/>
      <c r="M286" s="783"/>
      <c r="N286" s="772"/>
      <c r="O286" s="783"/>
      <c r="P286" s="772"/>
    </row>
    <row r="287" spans="1:16" s="753" customFormat="1">
      <c r="A287" s="756"/>
      <c r="B287" s="757"/>
      <c r="C287" s="758"/>
      <c r="D287" s="773"/>
      <c r="E287" s="782"/>
      <c r="F287" s="774"/>
      <c r="G287" s="783"/>
      <c r="H287" s="772"/>
      <c r="I287" s="783"/>
      <c r="J287" s="772"/>
      <c r="K287" s="783"/>
      <c r="L287" s="772"/>
      <c r="M287" s="783"/>
      <c r="N287" s="772"/>
      <c r="O287" s="783"/>
      <c r="P287" s="772"/>
    </row>
    <row r="288" spans="1:16" s="753" customFormat="1">
      <c r="A288" s="756"/>
      <c r="B288" s="757"/>
      <c r="C288" s="758"/>
      <c r="D288" s="773"/>
      <c r="E288" s="782"/>
      <c r="F288" s="774"/>
      <c r="G288" s="783"/>
      <c r="H288" s="772"/>
      <c r="I288" s="783"/>
      <c r="J288" s="772"/>
      <c r="K288" s="783"/>
      <c r="L288" s="772"/>
      <c r="M288" s="783"/>
      <c r="N288" s="772"/>
      <c r="O288" s="783"/>
      <c r="P288" s="772"/>
    </row>
    <row r="289" spans="1:16" s="753" customFormat="1">
      <c r="A289" s="756"/>
      <c r="B289" s="757"/>
      <c r="C289" s="758"/>
      <c r="D289" s="773"/>
      <c r="E289" s="782"/>
      <c r="F289" s="774"/>
      <c r="G289" s="783"/>
      <c r="H289" s="772"/>
      <c r="I289" s="783"/>
      <c r="J289" s="772"/>
      <c r="K289" s="783"/>
      <c r="L289" s="772"/>
      <c r="M289" s="783"/>
      <c r="N289" s="772"/>
      <c r="O289" s="783"/>
      <c r="P289" s="772"/>
    </row>
    <row r="290" spans="1:16" s="753" customFormat="1">
      <c r="A290" s="756"/>
      <c r="B290" s="757"/>
      <c r="C290" s="758"/>
      <c r="D290" s="773"/>
      <c r="E290" s="782"/>
      <c r="F290" s="774"/>
      <c r="G290" s="783"/>
      <c r="H290" s="772"/>
      <c r="I290" s="783"/>
      <c r="J290" s="772"/>
      <c r="K290" s="783"/>
      <c r="L290" s="772"/>
      <c r="M290" s="783"/>
      <c r="N290" s="772"/>
      <c r="O290" s="783"/>
      <c r="P290" s="772"/>
    </row>
    <row r="291" spans="1:16" s="753" customFormat="1">
      <c r="A291" s="756"/>
      <c r="B291" s="757"/>
      <c r="C291" s="758"/>
      <c r="D291" s="773"/>
      <c r="E291" s="782"/>
      <c r="F291" s="774"/>
      <c r="G291" s="783"/>
      <c r="H291" s="772"/>
      <c r="I291" s="783"/>
      <c r="J291" s="772"/>
      <c r="K291" s="783"/>
      <c r="L291" s="772"/>
      <c r="M291" s="783"/>
      <c r="N291" s="772"/>
      <c r="O291" s="783"/>
      <c r="P291" s="772"/>
    </row>
    <row r="292" spans="1:16" s="753" customFormat="1">
      <c r="A292" s="756"/>
      <c r="B292" s="757"/>
      <c r="C292" s="758"/>
      <c r="D292" s="773"/>
      <c r="E292" s="782"/>
      <c r="F292" s="774"/>
      <c r="G292" s="783"/>
      <c r="H292" s="772"/>
      <c r="I292" s="783"/>
      <c r="J292" s="772"/>
      <c r="K292" s="783"/>
      <c r="L292" s="772"/>
      <c r="M292" s="783"/>
      <c r="N292" s="772"/>
      <c r="O292" s="783"/>
      <c r="P292" s="772"/>
    </row>
    <row r="293" spans="1:16" s="753" customFormat="1">
      <c r="A293" s="756"/>
      <c r="B293" s="757"/>
      <c r="C293" s="758"/>
      <c r="D293" s="773"/>
      <c r="E293" s="782"/>
      <c r="F293" s="774"/>
      <c r="G293" s="783"/>
      <c r="H293" s="772"/>
      <c r="I293" s="783"/>
      <c r="J293" s="772"/>
      <c r="K293" s="783"/>
      <c r="L293" s="772"/>
      <c r="M293" s="783"/>
      <c r="N293" s="772"/>
      <c r="O293" s="783"/>
      <c r="P293" s="772"/>
    </row>
    <row r="294" spans="1:16" s="753" customFormat="1">
      <c r="A294" s="756"/>
      <c r="B294" s="757"/>
      <c r="C294" s="758"/>
      <c r="D294" s="773"/>
      <c r="E294" s="782"/>
      <c r="F294" s="774"/>
      <c r="G294" s="783"/>
      <c r="H294" s="772"/>
      <c r="I294" s="783"/>
      <c r="J294" s="772"/>
      <c r="K294" s="783"/>
      <c r="L294" s="772"/>
      <c r="M294" s="783"/>
      <c r="N294" s="772"/>
      <c r="O294" s="783"/>
      <c r="P294" s="772"/>
    </row>
    <row r="295" spans="1:16" s="753" customFormat="1">
      <c r="A295" s="756"/>
      <c r="B295" s="757"/>
      <c r="C295" s="758"/>
      <c r="D295" s="773"/>
      <c r="E295" s="782"/>
      <c r="F295" s="774"/>
      <c r="G295" s="783"/>
      <c r="H295" s="772"/>
      <c r="I295" s="783"/>
      <c r="J295" s="772"/>
      <c r="K295" s="783"/>
      <c r="L295" s="772"/>
      <c r="M295" s="783"/>
      <c r="N295" s="772"/>
      <c r="O295" s="783"/>
      <c r="P295" s="772"/>
    </row>
    <row r="296" spans="1:16" s="753" customFormat="1">
      <c r="A296" s="756"/>
      <c r="B296" s="757"/>
      <c r="C296" s="758"/>
      <c r="D296" s="773"/>
      <c r="E296" s="782"/>
      <c r="F296" s="774"/>
      <c r="G296" s="783"/>
      <c r="H296" s="772"/>
      <c r="I296" s="783"/>
      <c r="J296" s="772"/>
      <c r="K296" s="783"/>
      <c r="L296" s="772"/>
      <c r="M296" s="783"/>
      <c r="N296" s="772"/>
      <c r="O296" s="783"/>
      <c r="P296" s="772"/>
    </row>
    <row r="297" spans="1:16" s="753" customFormat="1">
      <c r="A297" s="756"/>
      <c r="B297" s="757"/>
      <c r="C297" s="758"/>
      <c r="D297" s="773"/>
      <c r="E297" s="782"/>
      <c r="F297" s="774"/>
      <c r="G297" s="783"/>
      <c r="H297" s="772"/>
      <c r="I297" s="783"/>
      <c r="J297" s="772"/>
      <c r="K297" s="783"/>
      <c r="L297" s="772"/>
      <c r="M297" s="783"/>
      <c r="N297" s="772"/>
      <c r="O297" s="783"/>
      <c r="P297" s="772"/>
    </row>
    <row r="298" spans="1:16" s="753" customFormat="1">
      <c r="A298" s="756"/>
      <c r="B298" s="757"/>
      <c r="C298" s="758"/>
      <c r="D298" s="773"/>
      <c r="E298" s="782"/>
      <c r="F298" s="774"/>
      <c r="G298" s="783"/>
      <c r="H298" s="772"/>
      <c r="I298" s="783"/>
      <c r="J298" s="772"/>
      <c r="K298" s="783"/>
      <c r="L298" s="772"/>
      <c r="M298" s="783"/>
      <c r="N298" s="772"/>
      <c r="O298" s="783"/>
      <c r="P298" s="772"/>
    </row>
    <row r="299" spans="1:16" s="753" customFormat="1">
      <c r="A299" s="756"/>
      <c r="B299" s="757"/>
      <c r="C299" s="758"/>
      <c r="D299" s="773"/>
      <c r="E299" s="782"/>
      <c r="F299" s="774"/>
      <c r="G299" s="783"/>
      <c r="H299" s="772"/>
      <c r="I299" s="783"/>
      <c r="J299" s="772"/>
      <c r="K299" s="783"/>
      <c r="L299" s="772"/>
      <c r="M299" s="783"/>
      <c r="N299" s="772"/>
      <c r="O299" s="783"/>
      <c r="P299" s="772"/>
    </row>
    <row r="300" spans="1:16" s="753" customFormat="1">
      <c r="A300" s="756"/>
      <c r="B300" s="757"/>
      <c r="C300" s="758"/>
      <c r="D300" s="773"/>
      <c r="E300" s="782"/>
      <c r="F300" s="774"/>
      <c r="G300" s="783"/>
      <c r="H300" s="772"/>
      <c r="I300" s="783"/>
      <c r="J300" s="772"/>
      <c r="K300" s="783"/>
      <c r="L300" s="772"/>
      <c r="M300" s="783"/>
      <c r="N300" s="772"/>
      <c r="O300" s="783"/>
      <c r="P300" s="772"/>
    </row>
    <row r="301" spans="1:16" s="753" customFormat="1">
      <c r="A301" s="756"/>
      <c r="B301" s="757"/>
      <c r="C301" s="758"/>
      <c r="D301" s="773"/>
      <c r="E301" s="782"/>
      <c r="F301" s="774"/>
      <c r="G301" s="783"/>
      <c r="H301" s="772"/>
      <c r="I301" s="783"/>
      <c r="J301" s="772"/>
      <c r="K301" s="783"/>
      <c r="L301" s="772"/>
      <c r="M301" s="783"/>
      <c r="N301" s="772"/>
      <c r="O301" s="783"/>
      <c r="P301" s="772"/>
    </row>
    <row r="302" spans="1:16" s="753" customFormat="1">
      <c r="A302" s="756"/>
      <c r="B302" s="757"/>
      <c r="C302" s="758"/>
      <c r="D302" s="773"/>
      <c r="E302" s="782"/>
      <c r="F302" s="774"/>
      <c r="G302" s="783"/>
      <c r="H302" s="772"/>
      <c r="I302" s="783"/>
      <c r="J302" s="772"/>
      <c r="K302" s="783"/>
      <c r="L302" s="772"/>
      <c r="M302" s="783"/>
      <c r="N302" s="772"/>
      <c r="O302" s="783"/>
      <c r="P302" s="772"/>
    </row>
    <row r="303" spans="1:16" s="753" customFormat="1">
      <c r="A303" s="756"/>
      <c r="B303" s="757"/>
      <c r="C303" s="758"/>
      <c r="D303" s="773"/>
      <c r="E303" s="782"/>
      <c r="F303" s="774"/>
      <c r="G303" s="783"/>
      <c r="H303" s="772"/>
      <c r="I303" s="783"/>
      <c r="J303" s="772"/>
      <c r="K303" s="783"/>
      <c r="L303" s="772"/>
      <c r="M303" s="783"/>
      <c r="N303" s="772"/>
      <c r="O303" s="783"/>
      <c r="P303" s="772"/>
    </row>
    <row r="304" spans="1:16" s="753" customFormat="1">
      <c r="A304" s="756"/>
      <c r="B304" s="757"/>
      <c r="C304" s="758"/>
      <c r="D304" s="773"/>
      <c r="E304" s="782"/>
      <c r="F304" s="774"/>
      <c r="G304" s="783"/>
      <c r="H304" s="772"/>
      <c r="I304" s="783"/>
      <c r="J304" s="772"/>
      <c r="K304" s="783"/>
      <c r="L304" s="772"/>
      <c r="M304" s="783"/>
      <c r="N304" s="772"/>
      <c r="O304" s="783"/>
      <c r="P304" s="772"/>
    </row>
    <row r="305" spans="1:16" s="753" customFormat="1">
      <c r="A305" s="756"/>
      <c r="B305" s="757"/>
      <c r="C305" s="758"/>
      <c r="D305" s="773"/>
      <c r="E305" s="782"/>
      <c r="F305" s="774"/>
      <c r="G305" s="783"/>
      <c r="H305" s="772"/>
      <c r="I305" s="783"/>
      <c r="J305" s="772"/>
      <c r="K305" s="783"/>
      <c r="L305" s="772"/>
      <c r="M305" s="783"/>
      <c r="N305" s="772"/>
      <c r="O305" s="783"/>
      <c r="P305" s="772"/>
    </row>
  </sheetData>
  <sheetProtection sheet="1" objects="1" scenarios="1" formatCells="0" formatColumns="0" formatRows="0" insertColumns="0" insertRows="0" insertHyperlinks="0" deleteColumns="0" deleteRows="0" sort="0" autoFilter="0" pivotTables="0"/>
  <sortState ref="A124:R152">
    <sortCondition ref="F124:F152"/>
  </sortState>
  <dataConsolidate/>
  <mergeCells count="6">
    <mergeCell ref="O1:P1"/>
    <mergeCell ref="G1:H1"/>
    <mergeCell ref="E3:F3"/>
    <mergeCell ref="I1:J1"/>
    <mergeCell ref="K1:L1"/>
    <mergeCell ref="M1:N1"/>
  </mergeCells>
  <phoneticPr fontId="14" type="noConversion"/>
  <conditionalFormatting sqref="A1">
    <cfRule type="cellIs" dxfId="10202" priority="12" stopIfTrue="1" operator="equal">
      <formula>"NOK"</formula>
    </cfRule>
  </conditionalFormatting>
  <conditionalFormatting sqref="O5:O305 K5:K305 I5:I305 G5:G305 M5:M305">
    <cfRule type="cellIs" dxfId="10201" priority="11" stopIfTrue="1" operator="notEqual">
      <formula>H5</formula>
    </cfRule>
  </conditionalFormatting>
  <dataValidations count="1">
    <dataValidation type="list" allowBlank="1" showInputMessage="1" showErrorMessage="1" sqref="G1 O1 M1 K1 I1">
      <formula1>ManifoldVariablesList</formula1>
    </dataValidation>
  </dataValidations>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sheetPr codeName="Sheet51">
    <tabColor rgb="FF92D050"/>
  </sheetPr>
  <dimension ref="A1:J499"/>
  <sheetViews>
    <sheetView showGridLines="0" zoomScale="85" zoomScaleNormal="85" workbookViewId="0">
      <pane xSplit="6" ySplit="4" topLeftCell="G5" activePane="bottomRight" state="frozenSplit"/>
      <selection pane="topRight" activeCell="F1" sqref="F1"/>
      <selection pane="bottomLeft" activeCell="A5" sqref="A5"/>
      <selection pane="bottomRight" activeCell="H2" sqref="H2"/>
    </sheetView>
  </sheetViews>
  <sheetFormatPr defaultRowHeight="12.75"/>
  <cols>
    <col min="1" max="1" width="12" style="28" customWidth="1"/>
    <col min="2" max="2" width="7.125" style="28" customWidth="1"/>
    <col min="3" max="3" width="9.125" style="29"/>
    <col min="4" max="4" width="16" style="28" customWidth="1"/>
    <col min="5" max="5" width="29.875" style="28" customWidth="1"/>
    <col min="6" max="6" width="20.75" style="30" customWidth="1"/>
    <col min="7" max="7" width="9.75" style="31" customWidth="1"/>
    <col min="8" max="8" width="9.75" style="32" customWidth="1"/>
    <col min="9" max="9" width="1.25" style="6" customWidth="1"/>
    <col min="10" max="10" width="21.375" style="6" customWidth="1"/>
    <col min="11" max="256" width="9.125" style="6"/>
    <col min="257" max="257" width="12" style="6" customWidth="1"/>
    <col min="258" max="258" width="7.125" style="6" customWidth="1"/>
    <col min="259" max="259" width="9.125" style="6"/>
    <col min="260" max="260" width="16" style="6" customWidth="1"/>
    <col min="261" max="261" width="13.75" style="6" customWidth="1"/>
    <col min="262" max="263" width="9.75" style="6" customWidth="1"/>
    <col min="264" max="512" width="9.125" style="6"/>
    <col min="513" max="513" width="12" style="6" customWidth="1"/>
    <col min="514" max="514" width="7.125" style="6" customWidth="1"/>
    <col min="515" max="515" width="9.125" style="6"/>
    <col min="516" max="516" width="16" style="6" customWidth="1"/>
    <col min="517" max="517" width="13.75" style="6" customWidth="1"/>
    <col min="518" max="519" width="9.75" style="6" customWidth="1"/>
    <col min="520" max="768" width="9.125" style="6"/>
    <col min="769" max="769" width="12" style="6" customWidth="1"/>
    <col min="770" max="770" width="7.125" style="6" customWidth="1"/>
    <col min="771" max="771" width="9.125" style="6"/>
    <col min="772" max="772" width="16" style="6" customWidth="1"/>
    <col min="773" max="773" width="13.75" style="6" customWidth="1"/>
    <col min="774" max="775" width="9.75" style="6" customWidth="1"/>
    <col min="776" max="1024" width="9.125" style="6"/>
    <col min="1025" max="1025" width="12" style="6" customWidth="1"/>
    <col min="1026" max="1026" width="7.125" style="6" customWidth="1"/>
    <col min="1027" max="1027" width="9.125" style="6"/>
    <col min="1028" max="1028" width="16" style="6" customWidth="1"/>
    <col min="1029" max="1029" width="13.75" style="6" customWidth="1"/>
    <col min="1030" max="1031" width="9.75" style="6" customWidth="1"/>
    <col min="1032" max="1280" width="9.125" style="6"/>
    <col min="1281" max="1281" width="12" style="6" customWidth="1"/>
    <col min="1282" max="1282" width="7.125" style="6" customWidth="1"/>
    <col min="1283" max="1283" width="9.125" style="6"/>
    <col min="1284" max="1284" width="16" style="6" customWidth="1"/>
    <col min="1285" max="1285" width="13.75" style="6" customWidth="1"/>
    <col min="1286" max="1287" width="9.75" style="6" customWidth="1"/>
    <col min="1288" max="1536" width="9.125" style="6"/>
    <col min="1537" max="1537" width="12" style="6" customWidth="1"/>
    <col min="1538" max="1538" width="7.125" style="6" customWidth="1"/>
    <col min="1539" max="1539" width="9.125" style="6"/>
    <col min="1540" max="1540" width="16" style="6" customWidth="1"/>
    <col min="1541" max="1541" width="13.75" style="6" customWidth="1"/>
    <col min="1542" max="1543" width="9.75" style="6" customWidth="1"/>
    <col min="1544" max="1792" width="9.125" style="6"/>
    <col min="1793" max="1793" width="12" style="6" customWidth="1"/>
    <col min="1794" max="1794" width="7.125" style="6" customWidth="1"/>
    <col min="1795" max="1795" width="9.125" style="6"/>
    <col min="1796" max="1796" width="16" style="6" customWidth="1"/>
    <col min="1797" max="1797" width="13.75" style="6" customWidth="1"/>
    <col min="1798" max="1799" width="9.75" style="6" customWidth="1"/>
    <col min="1800" max="2048" width="9.125" style="6"/>
    <col min="2049" max="2049" width="12" style="6" customWidth="1"/>
    <col min="2050" max="2050" width="7.125" style="6" customWidth="1"/>
    <col min="2051" max="2051" width="9.125" style="6"/>
    <col min="2052" max="2052" width="16" style="6" customWidth="1"/>
    <col min="2053" max="2053" width="13.75" style="6" customWidth="1"/>
    <col min="2054" max="2055" width="9.75" style="6" customWidth="1"/>
    <col min="2056" max="2304" width="9.125" style="6"/>
    <col min="2305" max="2305" width="12" style="6" customWidth="1"/>
    <col min="2306" max="2306" width="7.125" style="6" customWidth="1"/>
    <col min="2307" max="2307" width="9.125" style="6"/>
    <col min="2308" max="2308" width="16" style="6" customWidth="1"/>
    <col min="2309" max="2309" width="13.75" style="6" customWidth="1"/>
    <col min="2310" max="2311" width="9.75" style="6" customWidth="1"/>
    <col min="2312" max="2560" width="9.125" style="6"/>
    <col min="2561" max="2561" width="12" style="6" customWidth="1"/>
    <col min="2562" max="2562" width="7.125" style="6" customWidth="1"/>
    <col min="2563" max="2563" width="9.125" style="6"/>
    <col min="2564" max="2564" width="16" style="6" customWidth="1"/>
    <col min="2565" max="2565" width="13.75" style="6" customWidth="1"/>
    <col min="2566" max="2567" width="9.75" style="6" customWidth="1"/>
    <col min="2568" max="2816" width="9.125" style="6"/>
    <col min="2817" max="2817" width="12" style="6" customWidth="1"/>
    <col min="2818" max="2818" width="7.125" style="6" customWidth="1"/>
    <col min="2819" max="2819" width="9.125" style="6"/>
    <col min="2820" max="2820" width="16" style="6" customWidth="1"/>
    <col min="2821" max="2821" width="13.75" style="6" customWidth="1"/>
    <col min="2822" max="2823" width="9.75" style="6" customWidth="1"/>
    <col min="2824" max="3072" width="9.125" style="6"/>
    <col min="3073" max="3073" width="12" style="6" customWidth="1"/>
    <col min="3074" max="3074" width="7.125" style="6" customWidth="1"/>
    <col min="3075" max="3075" width="9.125" style="6"/>
    <col min="3076" max="3076" width="16" style="6" customWidth="1"/>
    <col min="3077" max="3077" width="13.75" style="6" customWidth="1"/>
    <col min="3078" max="3079" width="9.75" style="6" customWidth="1"/>
    <col min="3080" max="3328" width="9.125" style="6"/>
    <col min="3329" max="3329" width="12" style="6" customWidth="1"/>
    <col min="3330" max="3330" width="7.125" style="6" customWidth="1"/>
    <col min="3331" max="3331" width="9.125" style="6"/>
    <col min="3332" max="3332" width="16" style="6" customWidth="1"/>
    <col min="3333" max="3333" width="13.75" style="6" customWidth="1"/>
    <col min="3334" max="3335" width="9.75" style="6" customWidth="1"/>
    <col min="3336" max="3584" width="9.125" style="6"/>
    <col min="3585" max="3585" width="12" style="6" customWidth="1"/>
    <col min="3586" max="3586" width="7.125" style="6" customWidth="1"/>
    <col min="3587" max="3587" width="9.125" style="6"/>
    <col min="3588" max="3588" width="16" style="6" customWidth="1"/>
    <col min="3589" max="3589" width="13.75" style="6" customWidth="1"/>
    <col min="3590" max="3591" width="9.75" style="6" customWidth="1"/>
    <col min="3592" max="3840" width="9.125" style="6"/>
    <col min="3841" max="3841" width="12" style="6" customWidth="1"/>
    <col min="3842" max="3842" width="7.125" style="6" customWidth="1"/>
    <col min="3843" max="3843" width="9.125" style="6"/>
    <col min="3844" max="3844" width="16" style="6" customWidth="1"/>
    <col min="3845" max="3845" width="13.75" style="6" customWidth="1"/>
    <col min="3846" max="3847" width="9.75" style="6" customWidth="1"/>
    <col min="3848" max="4096" width="9.125" style="6"/>
    <col min="4097" max="4097" width="12" style="6" customWidth="1"/>
    <col min="4098" max="4098" width="7.125" style="6" customWidth="1"/>
    <col min="4099" max="4099" width="9.125" style="6"/>
    <col min="4100" max="4100" width="16" style="6" customWidth="1"/>
    <col min="4101" max="4101" width="13.75" style="6" customWidth="1"/>
    <col min="4102" max="4103" width="9.75" style="6" customWidth="1"/>
    <col min="4104" max="4352" width="9.125" style="6"/>
    <col min="4353" max="4353" width="12" style="6" customWidth="1"/>
    <col min="4354" max="4354" width="7.125" style="6" customWidth="1"/>
    <col min="4355" max="4355" width="9.125" style="6"/>
    <col min="4356" max="4356" width="16" style="6" customWidth="1"/>
    <col min="4357" max="4357" width="13.75" style="6" customWidth="1"/>
    <col min="4358" max="4359" width="9.75" style="6" customWidth="1"/>
    <col min="4360" max="4608" width="9.125" style="6"/>
    <col min="4609" max="4609" width="12" style="6" customWidth="1"/>
    <col min="4610" max="4610" width="7.125" style="6" customWidth="1"/>
    <col min="4611" max="4611" width="9.125" style="6"/>
    <col min="4612" max="4612" width="16" style="6" customWidth="1"/>
    <col min="4613" max="4613" width="13.75" style="6" customWidth="1"/>
    <col min="4614" max="4615" width="9.75" style="6" customWidth="1"/>
    <col min="4616" max="4864" width="9.125" style="6"/>
    <col min="4865" max="4865" width="12" style="6" customWidth="1"/>
    <col min="4866" max="4866" width="7.125" style="6" customWidth="1"/>
    <col min="4867" max="4867" width="9.125" style="6"/>
    <col min="4868" max="4868" width="16" style="6" customWidth="1"/>
    <col min="4869" max="4869" width="13.75" style="6" customWidth="1"/>
    <col min="4870" max="4871" width="9.75" style="6" customWidth="1"/>
    <col min="4872" max="5120" width="9.125" style="6"/>
    <col min="5121" max="5121" width="12" style="6" customWidth="1"/>
    <col min="5122" max="5122" width="7.125" style="6" customWidth="1"/>
    <col min="5123" max="5123" width="9.125" style="6"/>
    <col min="5124" max="5124" width="16" style="6" customWidth="1"/>
    <col min="5125" max="5125" width="13.75" style="6" customWidth="1"/>
    <col min="5126" max="5127" width="9.75" style="6" customWidth="1"/>
    <col min="5128" max="5376" width="9.125" style="6"/>
    <col min="5377" max="5377" width="12" style="6" customWidth="1"/>
    <col min="5378" max="5378" width="7.125" style="6" customWidth="1"/>
    <col min="5379" max="5379" width="9.125" style="6"/>
    <col min="5380" max="5380" width="16" style="6" customWidth="1"/>
    <col min="5381" max="5381" width="13.75" style="6" customWidth="1"/>
    <col min="5382" max="5383" width="9.75" style="6" customWidth="1"/>
    <col min="5384" max="5632" width="9.125" style="6"/>
    <col min="5633" max="5633" width="12" style="6" customWidth="1"/>
    <col min="5634" max="5634" width="7.125" style="6" customWidth="1"/>
    <col min="5635" max="5635" width="9.125" style="6"/>
    <col min="5636" max="5636" width="16" style="6" customWidth="1"/>
    <col min="5637" max="5637" width="13.75" style="6" customWidth="1"/>
    <col min="5638" max="5639" width="9.75" style="6" customWidth="1"/>
    <col min="5640" max="5888" width="9.125" style="6"/>
    <col min="5889" max="5889" width="12" style="6" customWidth="1"/>
    <col min="5890" max="5890" width="7.125" style="6" customWidth="1"/>
    <col min="5891" max="5891" width="9.125" style="6"/>
    <col min="5892" max="5892" width="16" style="6" customWidth="1"/>
    <col min="5893" max="5893" width="13.75" style="6" customWidth="1"/>
    <col min="5894" max="5895" width="9.75" style="6" customWidth="1"/>
    <col min="5896" max="6144" width="9.125" style="6"/>
    <col min="6145" max="6145" width="12" style="6" customWidth="1"/>
    <col min="6146" max="6146" width="7.125" style="6" customWidth="1"/>
    <col min="6147" max="6147" width="9.125" style="6"/>
    <col min="6148" max="6148" width="16" style="6" customWidth="1"/>
    <col min="6149" max="6149" width="13.75" style="6" customWidth="1"/>
    <col min="6150" max="6151" width="9.75" style="6" customWidth="1"/>
    <col min="6152" max="6400" width="9.125" style="6"/>
    <col min="6401" max="6401" width="12" style="6" customWidth="1"/>
    <col min="6402" max="6402" width="7.125" style="6" customWidth="1"/>
    <col min="6403" max="6403" width="9.125" style="6"/>
    <col min="6404" max="6404" width="16" style="6" customWidth="1"/>
    <col min="6405" max="6405" width="13.75" style="6" customWidth="1"/>
    <col min="6406" max="6407" width="9.75" style="6" customWidth="1"/>
    <col min="6408" max="6656" width="9.125" style="6"/>
    <col min="6657" max="6657" width="12" style="6" customWidth="1"/>
    <col min="6658" max="6658" width="7.125" style="6" customWidth="1"/>
    <col min="6659" max="6659" width="9.125" style="6"/>
    <col min="6660" max="6660" width="16" style="6" customWidth="1"/>
    <col min="6661" max="6661" width="13.75" style="6" customWidth="1"/>
    <col min="6662" max="6663" width="9.75" style="6" customWidth="1"/>
    <col min="6664" max="6912" width="9.125" style="6"/>
    <col min="6913" max="6913" width="12" style="6" customWidth="1"/>
    <col min="6914" max="6914" width="7.125" style="6" customWidth="1"/>
    <col min="6915" max="6915" width="9.125" style="6"/>
    <col min="6916" max="6916" width="16" style="6" customWidth="1"/>
    <col min="6917" max="6917" width="13.75" style="6" customWidth="1"/>
    <col min="6918" max="6919" width="9.75" style="6" customWidth="1"/>
    <col min="6920" max="7168" width="9.125" style="6"/>
    <col min="7169" max="7169" width="12" style="6" customWidth="1"/>
    <col min="7170" max="7170" width="7.125" style="6" customWidth="1"/>
    <col min="7171" max="7171" width="9.125" style="6"/>
    <col min="7172" max="7172" width="16" style="6" customWidth="1"/>
    <col min="7173" max="7173" width="13.75" style="6" customWidth="1"/>
    <col min="7174" max="7175" width="9.75" style="6" customWidth="1"/>
    <col min="7176" max="7424" width="9.125" style="6"/>
    <col min="7425" max="7425" width="12" style="6" customWidth="1"/>
    <col min="7426" max="7426" width="7.125" style="6" customWidth="1"/>
    <col min="7427" max="7427" width="9.125" style="6"/>
    <col min="7428" max="7428" width="16" style="6" customWidth="1"/>
    <col min="7429" max="7429" width="13.75" style="6" customWidth="1"/>
    <col min="7430" max="7431" width="9.75" style="6" customWidth="1"/>
    <col min="7432" max="7680" width="9.125" style="6"/>
    <col min="7681" max="7681" width="12" style="6" customWidth="1"/>
    <col min="7682" max="7682" width="7.125" style="6" customWidth="1"/>
    <col min="7683" max="7683" width="9.125" style="6"/>
    <col min="7684" max="7684" width="16" style="6" customWidth="1"/>
    <col min="7685" max="7685" width="13.75" style="6" customWidth="1"/>
    <col min="7686" max="7687" width="9.75" style="6" customWidth="1"/>
    <col min="7688" max="7936" width="9.125" style="6"/>
    <col min="7937" max="7937" width="12" style="6" customWidth="1"/>
    <col min="7938" max="7938" width="7.125" style="6" customWidth="1"/>
    <col min="7939" max="7939" width="9.125" style="6"/>
    <col min="7940" max="7940" width="16" style="6" customWidth="1"/>
    <col min="7941" max="7941" width="13.75" style="6" customWidth="1"/>
    <col min="7942" max="7943" width="9.75" style="6" customWidth="1"/>
    <col min="7944" max="8192" width="9.125" style="6"/>
    <col min="8193" max="8193" width="12" style="6" customWidth="1"/>
    <col min="8194" max="8194" width="7.125" style="6" customWidth="1"/>
    <col min="8195" max="8195" width="9.125" style="6"/>
    <col min="8196" max="8196" width="16" style="6" customWidth="1"/>
    <col min="8197" max="8197" width="13.75" style="6" customWidth="1"/>
    <col min="8198" max="8199" width="9.75" style="6" customWidth="1"/>
    <col min="8200" max="8448" width="9.125" style="6"/>
    <col min="8449" max="8449" width="12" style="6" customWidth="1"/>
    <col min="8450" max="8450" width="7.125" style="6" customWidth="1"/>
    <col min="8451" max="8451" width="9.125" style="6"/>
    <col min="8452" max="8452" width="16" style="6" customWidth="1"/>
    <col min="8453" max="8453" width="13.75" style="6" customWidth="1"/>
    <col min="8454" max="8455" width="9.75" style="6" customWidth="1"/>
    <col min="8456" max="8704" width="9.125" style="6"/>
    <col min="8705" max="8705" width="12" style="6" customWidth="1"/>
    <col min="8706" max="8706" width="7.125" style="6" customWidth="1"/>
    <col min="8707" max="8707" width="9.125" style="6"/>
    <col min="8708" max="8708" width="16" style="6" customWidth="1"/>
    <col min="8709" max="8709" width="13.75" style="6" customWidth="1"/>
    <col min="8710" max="8711" width="9.75" style="6" customWidth="1"/>
    <col min="8712" max="8960" width="9.125" style="6"/>
    <col min="8961" max="8961" width="12" style="6" customWidth="1"/>
    <col min="8962" max="8962" width="7.125" style="6" customWidth="1"/>
    <col min="8963" max="8963" width="9.125" style="6"/>
    <col min="8964" max="8964" width="16" style="6" customWidth="1"/>
    <col min="8965" max="8965" width="13.75" style="6" customWidth="1"/>
    <col min="8966" max="8967" width="9.75" style="6" customWidth="1"/>
    <col min="8968" max="9216" width="9.125" style="6"/>
    <col min="9217" max="9217" width="12" style="6" customWidth="1"/>
    <col min="9218" max="9218" width="7.125" style="6" customWidth="1"/>
    <col min="9219" max="9219" width="9.125" style="6"/>
    <col min="9220" max="9220" width="16" style="6" customWidth="1"/>
    <col min="9221" max="9221" width="13.75" style="6" customWidth="1"/>
    <col min="9222" max="9223" width="9.75" style="6" customWidth="1"/>
    <col min="9224" max="9472" width="9.125" style="6"/>
    <col min="9473" max="9473" width="12" style="6" customWidth="1"/>
    <col min="9474" max="9474" width="7.125" style="6" customWidth="1"/>
    <col min="9475" max="9475" width="9.125" style="6"/>
    <col min="9476" max="9476" width="16" style="6" customWidth="1"/>
    <col min="9477" max="9477" width="13.75" style="6" customWidth="1"/>
    <col min="9478" max="9479" width="9.75" style="6" customWidth="1"/>
    <col min="9480" max="9728" width="9.125" style="6"/>
    <col min="9729" max="9729" width="12" style="6" customWidth="1"/>
    <col min="9730" max="9730" width="7.125" style="6" customWidth="1"/>
    <col min="9731" max="9731" width="9.125" style="6"/>
    <col min="9732" max="9732" width="16" style="6" customWidth="1"/>
    <col min="9733" max="9733" width="13.75" style="6" customWidth="1"/>
    <col min="9734" max="9735" width="9.75" style="6" customWidth="1"/>
    <col min="9736" max="9984" width="9.125" style="6"/>
    <col min="9985" max="9985" width="12" style="6" customWidth="1"/>
    <col min="9986" max="9986" width="7.125" style="6" customWidth="1"/>
    <col min="9987" max="9987" width="9.125" style="6"/>
    <col min="9988" max="9988" width="16" style="6" customWidth="1"/>
    <col min="9989" max="9989" width="13.75" style="6" customWidth="1"/>
    <col min="9990" max="9991" width="9.75" style="6" customWidth="1"/>
    <col min="9992" max="10240" width="9.125" style="6"/>
    <col min="10241" max="10241" width="12" style="6" customWidth="1"/>
    <col min="10242" max="10242" width="7.125" style="6" customWidth="1"/>
    <col min="10243" max="10243" width="9.125" style="6"/>
    <col min="10244" max="10244" width="16" style="6" customWidth="1"/>
    <col min="10245" max="10245" width="13.75" style="6" customWidth="1"/>
    <col min="10246" max="10247" width="9.75" style="6" customWidth="1"/>
    <col min="10248" max="10496" width="9.125" style="6"/>
    <col min="10497" max="10497" width="12" style="6" customWidth="1"/>
    <col min="10498" max="10498" width="7.125" style="6" customWidth="1"/>
    <col min="10499" max="10499" width="9.125" style="6"/>
    <col min="10500" max="10500" width="16" style="6" customWidth="1"/>
    <col min="10501" max="10501" width="13.75" style="6" customWidth="1"/>
    <col min="10502" max="10503" width="9.75" style="6" customWidth="1"/>
    <col min="10504" max="10752" width="9.125" style="6"/>
    <col min="10753" max="10753" width="12" style="6" customWidth="1"/>
    <col min="10754" max="10754" width="7.125" style="6" customWidth="1"/>
    <col min="10755" max="10755" width="9.125" style="6"/>
    <col min="10756" max="10756" width="16" style="6" customWidth="1"/>
    <col min="10757" max="10757" width="13.75" style="6" customWidth="1"/>
    <col min="10758" max="10759" width="9.75" style="6" customWidth="1"/>
    <col min="10760" max="11008" width="9.125" style="6"/>
    <col min="11009" max="11009" width="12" style="6" customWidth="1"/>
    <col min="11010" max="11010" width="7.125" style="6" customWidth="1"/>
    <col min="11011" max="11011" width="9.125" style="6"/>
    <col min="11012" max="11012" width="16" style="6" customWidth="1"/>
    <col min="11013" max="11013" width="13.75" style="6" customWidth="1"/>
    <col min="11014" max="11015" width="9.75" style="6" customWidth="1"/>
    <col min="11016" max="11264" width="9.125" style="6"/>
    <col min="11265" max="11265" width="12" style="6" customWidth="1"/>
    <col min="11266" max="11266" width="7.125" style="6" customWidth="1"/>
    <col min="11267" max="11267" width="9.125" style="6"/>
    <col min="11268" max="11268" width="16" style="6" customWidth="1"/>
    <col min="11269" max="11269" width="13.75" style="6" customWidth="1"/>
    <col min="11270" max="11271" width="9.75" style="6" customWidth="1"/>
    <col min="11272" max="11520" width="9.125" style="6"/>
    <col min="11521" max="11521" width="12" style="6" customWidth="1"/>
    <col min="11522" max="11522" width="7.125" style="6" customWidth="1"/>
    <col min="11523" max="11523" width="9.125" style="6"/>
    <col min="11524" max="11524" width="16" style="6" customWidth="1"/>
    <col min="11525" max="11525" width="13.75" style="6" customWidth="1"/>
    <col min="11526" max="11527" width="9.75" style="6" customWidth="1"/>
    <col min="11528" max="11776" width="9.125" style="6"/>
    <col min="11777" max="11777" width="12" style="6" customWidth="1"/>
    <col min="11778" max="11778" width="7.125" style="6" customWidth="1"/>
    <col min="11779" max="11779" width="9.125" style="6"/>
    <col min="11780" max="11780" width="16" style="6" customWidth="1"/>
    <col min="11781" max="11781" width="13.75" style="6" customWidth="1"/>
    <col min="11782" max="11783" width="9.75" style="6" customWidth="1"/>
    <col min="11784" max="12032" width="9.125" style="6"/>
    <col min="12033" max="12033" width="12" style="6" customWidth="1"/>
    <col min="12034" max="12034" width="7.125" style="6" customWidth="1"/>
    <col min="12035" max="12035" width="9.125" style="6"/>
    <col min="12036" max="12036" width="16" style="6" customWidth="1"/>
    <col min="12037" max="12037" width="13.75" style="6" customWidth="1"/>
    <col min="12038" max="12039" width="9.75" style="6" customWidth="1"/>
    <col min="12040" max="12288" width="9.125" style="6"/>
    <col min="12289" max="12289" width="12" style="6" customWidth="1"/>
    <col min="12290" max="12290" width="7.125" style="6" customWidth="1"/>
    <col min="12291" max="12291" width="9.125" style="6"/>
    <col min="12292" max="12292" width="16" style="6" customWidth="1"/>
    <col min="12293" max="12293" width="13.75" style="6" customWidth="1"/>
    <col min="12294" max="12295" width="9.75" style="6" customWidth="1"/>
    <col min="12296" max="12544" width="9.125" style="6"/>
    <col min="12545" max="12545" width="12" style="6" customWidth="1"/>
    <col min="12546" max="12546" width="7.125" style="6" customWidth="1"/>
    <col min="12547" max="12547" width="9.125" style="6"/>
    <col min="12548" max="12548" width="16" style="6" customWidth="1"/>
    <col min="12549" max="12549" width="13.75" style="6" customWidth="1"/>
    <col min="12550" max="12551" width="9.75" style="6" customWidth="1"/>
    <col min="12552" max="12800" width="9.125" style="6"/>
    <col min="12801" max="12801" width="12" style="6" customWidth="1"/>
    <col min="12802" max="12802" width="7.125" style="6" customWidth="1"/>
    <col min="12803" max="12803" width="9.125" style="6"/>
    <col min="12804" max="12804" width="16" style="6" customWidth="1"/>
    <col min="12805" max="12805" width="13.75" style="6" customWidth="1"/>
    <col min="12806" max="12807" width="9.75" style="6" customWidth="1"/>
    <col min="12808" max="13056" width="9.125" style="6"/>
    <col min="13057" max="13057" width="12" style="6" customWidth="1"/>
    <col min="13058" max="13058" width="7.125" style="6" customWidth="1"/>
    <col min="13059" max="13059" width="9.125" style="6"/>
    <col min="13060" max="13060" width="16" style="6" customWidth="1"/>
    <col min="13061" max="13061" width="13.75" style="6" customWidth="1"/>
    <col min="13062" max="13063" width="9.75" style="6" customWidth="1"/>
    <col min="13064" max="13312" width="9.125" style="6"/>
    <col min="13313" max="13313" width="12" style="6" customWidth="1"/>
    <col min="13314" max="13314" width="7.125" style="6" customWidth="1"/>
    <col min="13315" max="13315" width="9.125" style="6"/>
    <col min="13316" max="13316" width="16" style="6" customWidth="1"/>
    <col min="13317" max="13317" width="13.75" style="6" customWidth="1"/>
    <col min="13318" max="13319" width="9.75" style="6" customWidth="1"/>
    <col min="13320" max="13568" width="9.125" style="6"/>
    <col min="13569" max="13569" width="12" style="6" customWidth="1"/>
    <col min="13570" max="13570" width="7.125" style="6" customWidth="1"/>
    <col min="13571" max="13571" width="9.125" style="6"/>
    <col min="13572" max="13572" width="16" style="6" customWidth="1"/>
    <col min="13573" max="13573" width="13.75" style="6" customWidth="1"/>
    <col min="13574" max="13575" width="9.75" style="6" customWidth="1"/>
    <col min="13576" max="13824" width="9.125" style="6"/>
    <col min="13825" max="13825" width="12" style="6" customWidth="1"/>
    <col min="13826" max="13826" width="7.125" style="6" customWidth="1"/>
    <col min="13827" max="13827" width="9.125" style="6"/>
    <col min="13828" max="13828" width="16" style="6" customWidth="1"/>
    <col min="13829" max="13829" width="13.75" style="6" customWidth="1"/>
    <col min="13830" max="13831" width="9.75" style="6" customWidth="1"/>
    <col min="13832" max="14080" width="9.125" style="6"/>
    <col min="14081" max="14081" width="12" style="6" customWidth="1"/>
    <col min="14082" max="14082" width="7.125" style="6" customWidth="1"/>
    <col min="14083" max="14083" width="9.125" style="6"/>
    <col min="14084" max="14084" width="16" style="6" customWidth="1"/>
    <col min="14085" max="14085" width="13.75" style="6" customWidth="1"/>
    <col min="14086" max="14087" width="9.75" style="6" customWidth="1"/>
    <col min="14088" max="14336" width="9.125" style="6"/>
    <col min="14337" max="14337" width="12" style="6" customWidth="1"/>
    <col min="14338" max="14338" width="7.125" style="6" customWidth="1"/>
    <col min="14339" max="14339" width="9.125" style="6"/>
    <col min="14340" max="14340" width="16" style="6" customWidth="1"/>
    <col min="14341" max="14341" width="13.75" style="6" customWidth="1"/>
    <col min="14342" max="14343" width="9.75" style="6" customWidth="1"/>
    <col min="14344" max="14592" width="9.125" style="6"/>
    <col min="14593" max="14593" width="12" style="6" customWidth="1"/>
    <col min="14594" max="14594" width="7.125" style="6" customWidth="1"/>
    <col min="14595" max="14595" width="9.125" style="6"/>
    <col min="14596" max="14596" width="16" style="6" customWidth="1"/>
    <col min="14597" max="14597" width="13.75" style="6" customWidth="1"/>
    <col min="14598" max="14599" width="9.75" style="6" customWidth="1"/>
    <col min="14600" max="14848" width="9.125" style="6"/>
    <col min="14849" max="14849" width="12" style="6" customWidth="1"/>
    <col min="14850" max="14850" width="7.125" style="6" customWidth="1"/>
    <col min="14851" max="14851" width="9.125" style="6"/>
    <col min="14852" max="14852" width="16" style="6" customWidth="1"/>
    <col min="14853" max="14853" width="13.75" style="6" customWidth="1"/>
    <col min="14854" max="14855" width="9.75" style="6" customWidth="1"/>
    <col min="14856" max="15104" width="9.125" style="6"/>
    <col min="15105" max="15105" width="12" style="6" customWidth="1"/>
    <col min="15106" max="15106" width="7.125" style="6" customWidth="1"/>
    <col min="15107" max="15107" width="9.125" style="6"/>
    <col min="15108" max="15108" width="16" style="6" customWidth="1"/>
    <col min="15109" max="15109" width="13.75" style="6" customWidth="1"/>
    <col min="15110" max="15111" width="9.75" style="6" customWidth="1"/>
    <col min="15112" max="15360" width="9.125" style="6"/>
    <col min="15361" max="15361" width="12" style="6" customWidth="1"/>
    <col min="15362" max="15362" width="7.125" style="6" customWidth="1"/>
    <col min="15363" max="15363" width="9.125" style="6"/>
    <col min="15364" max="15364" width="16" style="6" customWidth="1"/>
    <col min="15365" max="15365" width="13.75" style="6" customWidth="1"/>
    <col min="15366" max="15367" width="9.75" style="6" customWidth="1"/>
    <col min="15368" max="15616" width="9.125" style="6"/>
    <col min="15617" max="15617" width="12" style="6" customWidth="1"/>
    <col min="15618" max="15618" width="7.125" style="6" customWidth="1"/>
    <col min="15619" max="15619" width="9.125" style="6"/>
    <col min="15620" max="15620" width="16" style="6" customWidth="1"/>
    <col min="15621" max="15621" width="13.75" style="6" customWidth="1"/>
    <col min="15622" max="15623" width="9.75" style="6" customWidth="1"/>
    <col min="15624" max="15872" width="9.125" style="6"/>
    <col min="15873" max="15873" width="12" style="6" customWidth="1"/>
    <col min="15874" max="15874" width="7.125" style="6" customWidth="1"/>
    <col min="15875" max="15875" width="9.125" style="6"/>
    <col min="15876" max="15876" width="16" style="6" customWidth="1"/>
    <col min="15877" max="15877" width="13.75" style="6" customWidth="1"/>
    <col min="15878" max="15879" width="9.75" style="6" customWidth="1"/>
    <col min="15880" max="16128" width="9.125" style="6"/>
    <col min="16129" max="16129" width="12" style="6" customWidth="1"/>
    <col min="16130" max="16130" width="7.125" style="6" customWidth="1"/>
    <col min="16131" max="16131" width="9.125" style="6"/>
    <col min="16132" max="16132" width="16" style="6" customWidth="1"/>
    <col min="16133" max="16133" width="13.75" style="6" customWidth="1"/>
    <col min="16134" max="16135" width="9.75" style="6" customWidth="1"/>
    <col min="16136" max="16384" width="9.125" style="6"/>
  </cols>
  <sheetData>
    <row r="1" spans="1:10" s="2" customFormat="1" ht="23.25" customHeight="1" thickBot="1">
      <c r="A1" s="1" t="e">
        <f>IF(SUM(2:2)=0,"OK","NOK")</f>
        <v>#DIV/0!</v>
      </c>
      <c r="F1" s="43"/>
      <c r="G1" s="1085"/>
      <c r="H1" s="1086"/>
      <c r="I1" s="44"/>
      <c r="J1" s="40" t="s">
        <v>10</v>
      </c>
    </row>
    <row r="2" spans="1:10" ht="13.5" thickBot="1">
      <c r="A2" s="3"/>
      <c r="B2" s="3"/>
      <c r="C2" s="3"/>
      <c r="D2" s="3"/>
      <c r="E2" s="3"/>
      <c r="F2" s="2"/>
      <c r="G2" s="4" t="s">
        <v>0</v>
      </c>
      <c r="H2" s="5" t="e">
        <f>SUMX2MY2(G5:G5000,H5:H5000)</f>
        <v>#DIV/0!</v>
      </c>
    </row>
    <row r="3" spans="1:10" ht="27.75" customHeight="1">
      <c r="A3" s="35" t="s">
        <v>1</v>
      </c>
      <c r="B3" s="36" t="s">
        <v>2</v>
      </c>
      <c r="C3" s="36" t="s">
        <v>3</v>
      </c>
      <c r="D3" s="36" t="s">
        <v>4</v>
      </c>
      <c r="E3" s="1087" t="s">
        <v>7</v>
      </c>
      <c r="F3" s="1088"/>
      <c r="G3" s="7" t="s">
        <v>5</v>
      </c>
      <c r="H3" s="8" t="s">
        <v>6</v>
      </c>
    </row>
    <row r="4" spans="1:10" ht="15.75" customHeight="1" thickBot="1">
      <c r="A4" s="34"/>
      <c r="B4" s="33"/>
      <c r="C4" s="33"/>
      <c r="D4" s="33"/>
      <c r="E4" s="41" t="s">
        <v>9</v>
      </c>
      <c r="F4" s="42" t="s">
        <v>8</v>
      </c>
      <c r="G4" s="38">
        <v>0</v>
      </c>
      <c r="H4" s="39">
        <v>0</v>
      </c>
    </row>
    <row r="5" spans="1:10">
      <c r="A5" s="9"/>
      <c r="B5" s="10"/>
      <c r="C5" s="11"/>
      <c r="D5" s="12"/>
      <c r="E5" s="12"/>
      <c r="F5" s="18"/>
      <c r="G5" s="19"/>
      <c r="H5" s="13"/>
    </row>
    <row r="6" spans="1:10">
      <c r="A6" s="9"/>
      <c r="B6" s="10"/>
      <c r="C6" s="11"/>
      <c r="D6" s="12"/>
      <c r="E6" s="12"/>
      <c r="F6" s="18"/>
      <c r="G6" s="19"/>
      <c r="H6" s="13"/>
    </row>
    <row r="7" spans="1:10">
      <c r="A7" s="14"/>
      <c r="B7" s="15"/>
      <c r="C7" s="16"/>
      <c r="D7" s="17"/>
      <c r="E7" s="12"/>
      <c r="F7" s="18"/>
      <c r="G7" s="19"/>
      <c r="H7" s="13"/>
    </row>
    <row r="8" spans="1:10">
      <c r="A8" s="14"/>
      <c r="B8" s="15"/>
      <c r="C8" s="16"/>
      <c r="D8" s="17"/>
      <c r="E8" s="12"/>
      <c r="F8" s="18"/>
      <c r="G8" s="19"/>
      <c r="H8" s="13"/>
    </row>
    <row r="9" spans="1:10">
      <c r="A9" s="14"/>
      <c r="B9" s="15"/>
      <c r="C9" s="16"/>
      <c r="D9" s="17"/>
      <c r="E9" s="12"/>
      <c r="F9" s="18"/>
      <c r="G9" s="19"/>
      <c r="H9" s="13"/>
    </row>
    <row r="10" spans="1:10">
      <c r="A10" s="14"/>
      <c r="B10" s="15"/>
      <c r="C10" s="16"/>
      <c r="D10" s="17"/>
      <c r="E10" s="12"/>
      <c r="F10" s="18"/>
      <c r="G10" s="19"/>
      <c r="H10" s="13"/>
    </row>
    <row r="11" spans="1:10">
      <c r="A11" s="14"/>
      <c r="B11" s="15"/>
      <c r="C11" s="16"/>
      <c r="D11" s="17"/>
      <c r="E11" s="12"/>
      <c r="F11" s="18"/>
      <c r="G11" s="19"/>
      <c r="H11" s="13"/>
    </row>
    <row r="12" spans="1:10">
      <c r="A12" s="14"/>
      <c r="B12" s="15"/>
      <c r="C12" s="16"/>
      <c r="D12" s="17"/>
      <c r="E12" s="12"/>
      <c r="F12" s="18"/>
      <c r="G12" s="19"/>
      <c r="H12" s="13"/>
    </row>
    <row r="13" spans="1:10">
      <c r="A13" s="14"/>
      <c r="B13" s="15"/>
      <c r="C13" s="16"/>
      <c r="D13" s="17"/>
      <c r="E13" s="12"/>
      <c r="F13" s="18"/>
      <c r="G13" s="19"/>
      <c r="H13" s="13"/>
    </row>
    <row r="14" spans="1:10">
      <c r="A14" s="14"/>
      <c r="B14" s="15"/>
      <c r="C14" s="16"/>
      <c r="D14" s="17"/>
      <c r="E14" s="12"/>
      <c r="F14" s="18"/>
      <c r="G14" s="19"/>
      <c r="H14" s="13"/>
    </row>
    <row r="15" spans="1:10">
      <c r="A15" s="14"/>
      <c r="B15" s="15"/>
      <c r="C15" s="16"/>
      <c r="D15" s="17"/>
      <c r="E15" s="12"/>
      <c r="F15" s="18"/>
      <c r="G15" s="19"/>
      <c r="H15" s="13"/>
    </row>
    <row r="16" spans="1:10">
      <c r="A16" s="14"/>
      <c r="B16" s="15"/>
      <c r="C16" s="16"/>
      <c r="D16" s="17"/>
      <c r="E16" s="12"/>
      <c r="F16" s="18"/>
      <c r="G16" s="19"/>
      <c r="H16" s="13"/>
    </row>
    <row r="17" spans="1:8">
      <c r="A17" s="14"/>
      <c r="B17" s="15"/>
      <c r="C17" s="16"/>
      <c r="D17" s="17"/>
      <c r="E17" s="12"/>
      <c r="F17" s="18"/>
      <c r="G17" s="19"/>
      <c r="H17" s="13"/>
    </row>
    <row r="18" spans="1:8">
      <c r="A18" s="14"/>
      <c r="B18" s="15"/>
      <c r="C18" s="16"/>
      <c r="D18" s="17"/>
      <c r="E18" s="12"/>
      <c r="F18" s="18"/>
      <c r="G18" s="19"/>
      <c r="H18" s="13"/>
    </row>
    <row r="19" spans="1:8">
      <c r="A19" s="14"/>
      <c r="B19" s="15"/>
      <c r="C19" s="16"/>
      <c r="D19" s="17"/>
      <c r="E19" s="12"/>
      <c r="F19" s="18"/>
      <c r="G19" s="19"/>
      <c r="H19" s="13"/>
    </row>
    <row r="20" spans="1:8">
      <c r="A20" s="14"/>
      <c r="B20" s="15"/>
      <c r="C20" s="16"/>
      <c r="D20" s="17"/>
      <c r="E20" s="12"/>
      <c r="F20" s="18"/>
      <c r="G20" s="19"/>
      <c r="H20" s="13"/>
    </row>
    <row r="21" spans="1:8">
      <c r="A21" s="14"/>
      <c r="B21" s="15"/>
      <c r="C21" s="16"/>
      <c r="D21" s="17"/>
      <c r="E21" s="12"/>
      <c r="F21" s="18"/>
      <c r="G21" s="19"/>
      <c r="H21" s="13"/>
    </row>
    <row r="22" spans="1:8">
      <c r="A22" s="14"/>
      <c r="B22" s="15"/>
      <c r="C22" s="16"/>
      <c r="D22" s="17"/>
      <c r="E22" s="12"/>
      <c r="F22" s="18"/>
      <c r="G22" s="19"/>
      <c r="H22" s="13"/>
    </row>
    <row r="23" spans="1:8">
      <c r="A23" s="14"/>
      <c r="B23" s="15"/>
      <c r="C23" s="16"/>
      <c r="D23" s="17"/>
      <c r="E23" s="12"/>
      <c r="F23" s="18"/>
      <c r="G23" s="19"/>
      <c r="H23" s="13"/>
    </row>
    <row r="24" spans="1:8">
      <c r="A24" s="14"/>
      <c r="B24" s="15"/>
      <c r="C24" s="16"/>
      <c r="D24" s="17"/>
      <c r="E24" s="12"/>
      <c r="F24" s="18"/>
      <c r="G24" s="19"/>
      <c r="H24" s="13"/>
    </row>
    <row r="25" spans="1:8">
      <c r="A25" s="14"/>
      <c r="B25" s="15"/>
      <c r="C25" s="16"/>
      <c r="D25" s="17"/>
      <c r="E25" s="12"/>
      <c r="F25" s="18"/>
      <c r="G25" s="19"/>
      <c r="H25" s="13"/>
    </row>
    <row r="26" spans="1:8">
      <c r="A26" s="14"/>
      <c r="B26" s="15"/>
      <c r="C26" s="16"/>
      <c r="D26" s="17"/>
      <c r="E26" s="12"/>
      <c r="F26" s="18"/>
      <c r="G26" s="19"/>
      <c r="H26" s="13"/>
    </row>
    <row r="27" spans="1:8">
      <c r="A27" s="14"/>
      <c r="B27" s="15"/>
      <c r="C27" s="16"/>
      <c r="D27" s="17"/>
      <c r="E27" s="12"/>
      <c r="F27" s="18"/>
      <c r="G27" s="19"/>
      <c r="H27" s="13"/>
    </row>
    <row r="28" spans="1:8">
      <c r="A28" s="14"/>
      <c r="B28" s="15"/>
      <c r="C28" s="16"/>
      <c r="D28" s="17"/>
      <c r="E28" s="12"/>
      <c r="F28" s="18"/>
      <c r="G28" s="19"/>
      <c r="H28" s="13"/>
    </row>
    <row r="29" spans="1:8">
      <c r="A29" s="14"/>
      <c r="B29" s="15"/>
      <c r="C29" s="16"/>
      <c r="D29" s="17"/>
      <c r="E29" s="12"/>
      <c r="F29" s="18"/>
      <c r="G29" s="19"/>
      <c r="H29" s="13"/>
    </row>
    <row r="30" spans="1:8">
      <c r="A30" s="14"/>
      <c r="B30" s="15"/>
      <c r="C30" s="16"/>
      <c r="D30" s="17"/>
      <c r="E30" s="12"/>
      <c r="F30" s="18"/>
      <c r="G30" s="19"/>
      <c r="H30" s="13"/>
    </row>
    <row r="31" spans="1:8">
      <c r="A31" s="14"/>
      <c r="B31" s="15"/>
      <c r="C31" s="16"/>
      <c r="D31" s="17"/>
      <c r="E31" s="12"/>
      <c r="F31" s="18"/>
      <c r="G31" s="19"/>
      <c r="H31" s="13"/>
    </row>
    <row r="32" spans="1:8">
      <c r="A32" s="14"/>
      <c r="B32" s="15"/>
      <c r="C32" s="16"/>
      <c r="D32" s="17"/>
      <c r="E32" s="12"/>
      <c r="F32" s="18"/>
      <c r="G32" s="19"/>
      <c r="H32" s="13"/>
    </row>
    <row r="33" spans="1:8">
      <c r="A33" s="14"/>
      <c r="B33" s="15"/>
      <c r="C33" s="16"/>
      <c r="D33" s="17"/>
      <c r="E33" s="12"/>
      <c r="F33" s="18"/>
      <c r="G33" s="19"/>
      <c r="H33" s="13"/>
    </row>
    <row r="34" spans="1:8">
      <c r="A34" s="14"/>
      <c r="B34" s="15"/>
      <c r="C34" s="16"/>
      <c r="D34" s="17"/>
      <c r="E34" s="12"/>
      <c r="F34" s="18"/>
      <c r="G34" s="19"/>
      <c r="H34" s="13"/>
    </row>
    <row r="35" spans="1:8">
      <c r="A35" s="14"/>
      <c r="B35" s="15"/>
      <c r="C35" s="16"/>
      <c r="D35" s="17"/>
      <c r="E35" s="12"/>
      <c r="F35" s="18"/>
      <c r="G35" s="19"/>
      <c r="H35" s="13"/>
    </row>
    <row r="36" spans="1:8">
      <c r="A36" s="14"/>
      <c r="B36" s="15"/>
      <c r="C36" s="16"/>
      <c r="D36" s="17"/>
      <c r="E36" s="12"/>
      <c r="F36" s="18"/>
      <c r="G36" s="19"/>
      <c r="H36" s="13"/>
    </row>
    <row r="37" spans="1:8">
      <c r="A37" s="14"/>
      <c r="B37" s="15"/>
      <c r="C37" s="16"/>
      <c r="D37" s="17"/>
      <c r="E37" s="12"/>
      <c r="F37" s="18"/>
      <c r="G37" s="19"/>
      <c r="H37" s="13"/>
    </row>
    <row r="38" spans="1:8">
      <c r="A38" s="14"/>
      <c r="B38" s="15"/>
      <c r="C38" s="16"/>
      <c r="D38" s="17"/>
      <c r="E38" s="12"/>
      <c r="F38" s="18"/>
      <c r="G38" s="19"/>
      <c r="H38" s="13"/>
    </row>
    <row r="39" spans="1:8">
      <c r="A39" s="14"/>
      <c r="B39" s="15"/>
      <c r="C39" s="16"/>
      <c r="D39" s="17"/>
      <c r="E39" s="12"/>
      <c r="F39" s="18"/>
      <c r="G39" s="19"/>
      <c r="H39" s="13"/>
    </row>
    <row r="40" spans="1:8">
      <c r="A40" s="14"/>
      <c r="B40" s="15"/>
      <c r="C40" s="16"/>
      <c r="D40" s="17"/>
      <c r="E40" s="12"/>
      <c r="F40" s="18"/>
      <c r="G40" s="19"/>
      <c r="H40" s="13"/>
    </row>
    <row r="41" spans="1:8">
      <c r="A41" s="14"/>
      <c r="B41" s="15"/>
      <c r="C41" s="16"/>
      <c r="D41" s="17"/>
      <c r="E41" s="12"/>
      <c r="F41" s="18"/>
      <c r="G41" s="19"/>
      <c r="H41" s="13"/>
    </row>
    <row r="42" spans="1:8">
      <c r="A42" s="14"/>
      <c r="B42" s="15"/>
      <c r="C42" s="16"/>
      <c r="D42" s="17"/>
      <c r="E42" s="12"/>
      <c r="F42" s="18"/>
      <c r="G42" s="19"/>
      <c r="H42" s="13"/>
    </row>
    <row r="43" spans="1:8">
      <c r="A43" s="14"/>
      <c r="B43" s="15"/>
      <c r="C43" s="16"/>
      <c r="D43" s="17"/>
      <c r="E43" s="12"/>
      <c r="F43" s="18"/>
      <c r="G43" s="19"/>
      <c r="H43" s="13"/>
    </row>
    <row r="44" spans="1:8">
      <c r="A44" s="14"/>
      <c r="B44" s="15"/>
      <c r="C44" s="16"/>
      <c r="D44" s="17"/>
      <c r="E44" s="12"/>
      <c r="F44" s="18"/>
      <c r="G44" s="19"/>
      <c r="H44" s="13"/>
    </row>
    <row r="45" spans="1:8">
      <c r="A45" s="14"/>
      <c r="B45" s="15"/>
      <c r="C45" s="16"/>
      <c r="D45" s="17"/>
      <c r="E45" s="12"/>
      <c r="F45" s="18"/>
      <c r="G45" s="19"/>
      <c r="H45" s="13"/>
    </row>
    <row r="46" spans="1:8">
      <c r="A46" s="14"/>
      <c r="B46" s="15"/>
      <c r="C46" s="16"/>
      <c r="D46" s="17"/>
      <c r="E46" s="12"/>
      <c r="F46" s="18"/>
      <c r="G46" s="19"/>
      <c r="H46" s="13"/>
    </row>
    <row r="47" spans="1:8">
      <c r="A47" s="14"/>
      <c r="B47" s="15"/>
      <c r="C47" s="16"/>
      <c r="D47" s="17"/>
      <c r="E47" s="12"/>
      <c r="F47" s="18"/>
      <c r="G47" s="19"/>
      <c r="H47" s="13"/>
    </row>
    <row r="48" spans="1:8">
      <c r="A48" s="14"/>
      <c r="B48" s="15"/>
      <c r="C48" s="16"/>
      <c r="D48" s="17"/>
      <c r="E48" s="12"/>
      <c r="F48" s="18"/>
      <c r="G48" s="19"/>
      <c r="H48" s="13"/>
    </row>
    <row r="49" spans="1:8">
      <c r="A49" s="14"/>
      <c r="B49" s="15"/>
      <c r="C49" s="16"/>
      <c r="D49" s="17"/>
      <c r="E49" s="12"/>
      <c r="F49" s="18"/>
      <c r="G49" s="19"/>
      <c r="H49" s="13"/>
    </row>
    <row r="50" spans="1:8">
      <c r="A50" s="14"/>
      <c r="B50" s="15"/>
      <c r="C50" s="16"/>
      <c r="D50" s="17"/>
      <c r="E50" s="12"/>
      <c r="F50" s="18"/>
      <c r="G50" s="19"/>
      <c r="H50" s="13"/>
    </row>
    <row r="51" spans="1:8">
      <c r="A51" s="14"/>
      <c r="B51" s="15"/>
      <c r="C51" s="16"/>
      <c r="D51" s="17"/>
      <c r="E51" s="12"/>
      <c r="F51" s="18"/>
      <c r="G51" s="19"/>
      <c r="H51" s="13"/>
    </row>
    <row r="52" spans="1:8">
      <c r="A52" s="14"/>
      <c r="B52" s="15"/>
      <c r="C52" s="16"/>
      <c r="D52" s="17"/>
      <c r="E52" s="12"/>
      <c r="F52" s="18"/>
      <c r="G52" s="19"/>
      <c r="H52" s="13"/>
    </row>
    <row r="53" spans="1:8">
      <c r="A53" s="14"/>
      <c r="B53" s="15"/>
      <c r="C53" s="16"/>
      <c r="D53" s="17"/>
      <c r="E53" s="12"/>
      <c r="F53" s="18"/>
      <c r="G53" s="19"/>
      <c r="H53" s="13"/>
    </row>
    <row r="54" spans="1:8">
      <c r="A54" s="14"/>
      <c r="B54" s="15"/>
      <c r="C54" s="16"/>
      <c r="D54" s="17"/>
      <c r="E54" s="12"/>
      <c r="F54" s="18"/>
      <c r="G54" s="19"/>
      <c r="H54" s="13"/>
    </row>
    <row r="55" spans="1:8">
      <c r="A55" s="14"/>
      <c r="B55" s="15"/>
      <c r="C55" s="16"/>
      <c r="D55" s="17"/>
      <c r="E55" s="12"/>
      <c r="F55" s="18"/>
      <c r="G55" s="19"/>
      <c r="H55" s="13"/>
    </row>
    <row r="56" spans="1:8">
      <c r="A56" s="14"/>
      <c r="B56" s="15"/>
      <c r="C56" s="16"/>
      <c r="D56" s="17"/>
      <c r="E56" s="12"/>
      <c r="F56" s="18"/>
      <c r="G56" s="19"/>
      <c r="H56" s="13"/>
    </row>
    <row r="57" spans="1:8">
      <c r="A57" s="14"/>
      <c r="B57" s="15"/>
      <c r="C57" s="16"/>
      <c r="D57" s="17"/>
      <c r="E57" s="12"/>
      <c r="F57" s="18"/>
      <c r="G57" s="19"/>
      <c r="H57" s="13"/>
    </row>
    <row r="58" spans="1:8">
      <c r="A58" s="14"/>
      <c r="B58" s="15"/>
      <c r="C58" s="16"/>
      <c r="D58" s="17"/>
      <c r="E58" s="12"/>
      <c r="F58" s="18"/>
      <c r="G58" s="19"/>
      <c r="H58" s="13"/>
    </row>
    <row r="59" spans="1:8">
      <c r="A59" s="14"/>
      <c r="B59" s="15"/>
      <c r="C59" s="16"/>
      <c r="D59" s="17"/>
      <c r="E59" s="12"/>
      <c r="F59" s="18"/>
      <c r="G59" s="19"/>
      <c r="H59" s="13"/>
    </row>
    <row r="60" spans="1:8">
      <c r="A60" s="14"/>
      <c r="B60" s="15"/>
      <c r="C60" s="16"/>
      <c r="D60" s="17"/>
      <c r="E60" s="12"/>
      <c r="F60" s="18"/>
      <c r="G60" s="19"/>
      <c r="H60" s="13"/>
    </row>
    <row r="61" spans="1:8">
      <c r="A61" s="14"/>
      <c r="B61" s="15"/>
      <c r="C61" s="16"/>
      <c r="D61" s="17"/>
      <c r="E61" s="12"/>
      <c r="F61" s="18"/>
      <c r="G61" s="19"/>
      <c r="H61" s="13"/>
    </row>
    <row r="62" spans="1:8">
      <c r="A62" s="14"/>
      <c r="B62" s="15"/>
      <c r="C62" s="16"/>
      <c r="D62" s="17"/>
      <c r="E62" s="12"/>
      <c r="F62" s="18"/>
      <c r="G62" s="19"/>
      <c r="H62" s="13"/>
    </row>
    <row r="63" spans="1:8">
      <c r="A63" s="14"/>
      <c r="B63" s="15"/>
      <c r="C63" s="16"/>
      <c r="D63" s="17"/>
      <c r="E63" s="12"/>
      <c r="F63" s="18"/>
      <c r="G63" s="19"/>
      <c r="H63" s="13"/>
    </row>
    <row r="64" spans="1:8">
      <c r="A64" s="14"/>
      <c r="B64" s="15"/>
      <c r="C64" s="16"/>
      <c r="D64" s="17"/>
      <c r="E64" s="12"/>
      <c r="F64" s="18"/>
      <c r="G64" s="19"/>
      <c r="H64" s="13"/>
    </row>
    <row r="65" spans="1:8">
      <c r="A65" s="14"/>
      <c r="B65" s="15"/>
      <c r="C65" s="16"/>
      <c r="D65" s="17"/>
      <c r="E65" s="12"/>
      <c r="F65" s="18"/>
      <c r="G65" s="19"/>
      <c r="H65" s="13"/>
    </row>
    <row r="66" spans="1:8">
      <c r="A66" s="14"/>
      <c r="B66" s="15"/>
      <c r="C66" s="16"/>
      <c r="D66" s="17"/>
      <c r="E66" s="12"/>
      <c r="F66" s="18"/>
      <c r="G66" s="19"/>
      <c r="H66" s="13"/>
    </row>
    <row r="67" spans="1:8">
      <c r="A67" s="14"/>
      <c r="B67" s="15"/>
      <c r="C67" s="16"/>
      <c r="D67" s="17"/>
      <c r="E67" s="12"/>
      <c r="F67" s="18"/>
      <c r="G67" s="19"/>
      <c r="H67" s="13"/>
    </row>
    <row r="68" spans="1:8">
      <c r="A68" s="14"/>
      <c r="B68" s="15"/>
      <c r="C68" s="16"/>
      <c r="D68" s="17"/>
      <c r="E68" s="12"/>
      <c r="F68" s="18"/>
      <c r="G68" s="19"/>
      <c r="H68" s="13"/>
    </row>
    <row r="69" spans="1:8">
      <c r="A69" s="14"/>
      <c r="B69" s="15"/>
      <c r="C69" s="16"/>
      <c r="D69" s="17"/>
      <c r="E69" s="12"/>
      <c r="F69" s="18"/>
      <c r="G69" s="19"/>
      <c r="H69" s="13"/>
    </row>
    <row r="70" spans="1:8">
      <c r="A70" s="14"/>
      <c r="B70" s="15"/>
      <c r="C70" s="16"/>
      <c r="D70" s="17"/>
      <c r="E70" s="12"/>
      <c r="F70" s="18"/>
      <c r="G70" s="19"/>
      <c r="H70" s="13"/>
    </row>
    <row r="71" spans="1:8">
      <c r="A71" s="14"/>
      <c r="B71" s="15"/>
      <c r="C71" s="16"/>
      <c r="D71" s="17"/>
      <c r="E71" s="12"/>
      <c r="F71" s="18"/>
      <c r="G71" s="19"/>
      <c r="H71" s="13"/>
    </row>
    <row r="72" spans="1:8">
      <c r="A72" s="14"/>
      <c r="B72" s="15"/>
      <c r="C72" s="16"/>
      <c r="D72" s="17"/>
      <c r="E72" s="12"/>
      <c r="F72" s="18"/>
      <c r="G72" s="19"/>
      <c r="H72" s="13"/>
    </row>
    <row r="73" spans="1:8">
      <c r="A73" s="14"/>
      <c r="B73" s="15"/>
      <c r="C73" s="16"/>
      <c r="D73" s="17"/>
      <c r="E73" s="12"/>
      <c r="F73" s="18"/>
      <c r="G73" s="19"/>
      <c r="H73" s="13"/>
    </row>
    <row r="74" spans="1:8">
      <c r="A74" s="14"/>
      <c r="B74" s="15"/>
      <c r="C74" s="16"/>
      <c r="D74" s="17"/>
      <c r="E74" s="12"/>
      <c r="F74" s="18"/>
      <c r="G74" s="19"/>
      <c r="H74" s="13"/>
    </row>
    <row r="75" spans="1:8">
      <c r="A75" s="14"/>
      <c r="B75" s="15"/>
      <c r="C75" s="16"/>
      <c r="D75" s="17"/>
      <c r="E75" s="12"/>
      <c r="F75" s="18"/>
      <c r="G75" s="19"/>
      <c r="H75" s="13"/>
    </row>
    <row r="76" spans="1:8">
      <c r="A76" s="14"/>
      <c r="B76" s="15"/>
      <c r="C76" s="16"/>
      <c r="D76" s="17"/>
      <c r="E76" s="12"/>
      <c r="F76" s="18"/>
      <c r="G76" s="19"/>
      <c r="H76" s="13"/>
    </row>
    <row r="77" spans="1:8">
      <c r="A77" s="14"/>
      <c r="B77" s="15"/>
      <c r="C77" s="16"/>
      <c r="D77" s="17"/>
      <c r="E77" s="12"/>
      <c r="F77" s="18"/>
      <c r="G77" s="19"/>
      <c r="H77" s="13"/>
    </row>
    <row r="78" spans="1:8">
      <c r="A78" s="14"/>
      <c r="B78" s="15"/>
      <c r="C78" s="16"/>
      <c r="D78" s="17"/>
      <c r="E78" s="12"/>
      <c r="F78" s="18"/>
      <c r="G78" s="19"/>
      <c r="H78" s="13"/>
    </row>
    <row r="79" spans="1:8">
      <c r="A79" s="14"/>
      <c r="B79" s="15"/>
      <c r="C79" s="16"/>
      <c r="D79" s="17"/>
      <c r="E79" s="12"/>
      <c r="F79" s="18"/>
      <c r="G79" s="19"/>
      <c r="H79" s="13"/>
    </row>
    <row r="80" spans="1:8">
      <c r="A80" s="14"/>
      <c r="B80" s="15"/>
      <c r="C80" s="16"/>
      <c r="D80" s="17"/>
      <c r="E80" s="12"/>
      <c r="F80" s="18"/>
      <c r="G80" s="19"/>
      <c r="H80" s="13"/>
    </row>
    <row r="81" spans="1:8">
      <c r="A81" s="14"/>
      <c r="B81" s="15"/>
      <c r="C81" s="16"/>
      <c r="D81" s="17"/>
      <c r="E81" s="12"/>
      <c r="F81" s="18"/>
      <c r="G81" s="19"/>
      <c r="H81" s="13"/>
    </row>
    <row r="82" spans="1:8">
      <c r="A82" s="14"/>
      <c r="B82" s="15"/>
      <c r="C82" s="16"/>
      <c r="D82" s="17"/>
      <c r="E82" s="12"/>
      <c r="F82" s="18"/>
      <c r="G82" s="19"/>
      <c r="H82" s="13"/>
    </row>
    <row r="83" spans="1:8">
      <c r="A83" s="14"/>
      <c r="B83" s="15"/>
      <c r="C83" s="16"/>
      <c r="D83" s="17"/>
      <c r="E83" s="12"/>
      <c r="F83" s="18"/>
      <c r="G83" s="19"/>
      <c r="H83" s="13"/>
    </row>
    <row r="84" spans="1:8">
      <c r="A84" s="14"/>
      <c r="B84" s="15"/>
      <c r="C84" s="16"/>
      <c r="D84" s="17"/>
      <c r="E84" s="12"/>
      <c r="F84" s="18"/>
      <c r="G84" s="19"/>
      <c r="H84" s="13"/>
    </row>
    <row r="85" spans="1:8">
      <c r="A85" s="14"/>
      <c r="B85" s="15"/>
      <c r="C85" s="16"/>
      <c r="D85" s="17"/>
      <c r="E85" s="12"/>
      <c r="F85" s="18"/>
      <c r="G85" s="19"/>
      <c r="H85" s="13"/>
    </row>
    <row r="86" spans="1:8">
      <c r="A86" s="14"/>
      <c r="B86" s="15"/>
      <c r="C86" s="16"/>
      <c r="D86" s="17"/>
      <c r="E86" s="12"/>
      <c r="F86" s="18"/>
      <c r="G86" s="19"/>
      <c r="H86" s="13"/>
    </row>
    <row r="87" spans="1:8">
      <c r="A87" s="14"/>
      <c r="B87" s="15"/>
      <c r="C87" s="16"/>
      <c r="D87" s="17"/>
      <c r="E87" s="12"/>
      <c r="F87" s="18"/>
      <c r="G87" s="19"/>
      <c r="H87" s="13"/>
    </row>
    <row r="88" spans="1:8">
      <c r="A88" s="14"/>
      <c r="B88" s="15"/>
      <c r="C88" s="16"/>
      <c r="D88" s="17"/>
      <c r="E88" s="12"/>
      <c r="F88" s="18"/>
      <c r="G88" s="19"/>
      <c r="H88" s="13"/>
    </row>
    <row r="89" spans="1:8">
      <c r="A89" s="14"/>
      <c r="B89" s="15"/>
      <c r="C89" s="16"/>
      <c r="D89" s="17"/>
      <c r="E89" s="12"/>
      <c r="F89" s="18"/>
      <c r="G89" s="19"/>
      <c r="H89" s="13"/>
    </row>
    <row r="90" spans="1:8">
      <c r="A90" s="14"/>
      <c r="B90" s="15"/>
      <c r="C90" s="16"/>
      <c r="D90" s="17"/>
      <c r="E90" s="12"/>
      <c r="F90" s="18"/>
      <c r="G90" s="19"/>
      <c r="H90" s="13"/>
    </row>
    <row r="91" spans="1:8">
      <c r="A91" s="14"/>
      <c r="B91" s="15"/>
      <c r="C91" s="16"/>
      <c r="D91" s="17"/>
      <c r="E91" s="12"/>
      <c r="F91" s="18"/>
      <c r="G91" s="19"/>
      <c r="H91" s="13"/>
    </row>
    <row r="92" spans="1:8">
      <c r="A92" s="14"/>
      <c r="B92" s="15"/>
      <c r="C92" s="16"/>
      <c r="D92" s="17"/>
      <c r="E92" s="12"/>
      <c r="F92" s="18"/>
      <c r="G92" s="19"/>
      <c r="H92" s="13"/>
    </row>
    <row r="93" spans="1:8">
      <c r="A93" s="14"/>
      <c r="B93" s="15"/>
      <c r="C93" s="16"/>
      <c r="D93" s="17"/>
      <c r="E93" s="12"/>
      <c r="F93" s="18"/>
      <c r="G93" s="19"/>
      <c r="H93" s="13"/>
    </row>
    <row r="94" spans="1:8">
      <c r="A94" s="14"/>
      <c r="B94" s="15"/>
      <c r="C94" s="16"/>
      <c r="D94" s="17"/>
      <c r="E94" s="12"/>
      <c r="F94" s="18"/>
      <c r="G94" s="19"/>
      <c r="H94" s="13"/>
    </row>
    <row r="95" spans="1:8">
      <c r="A95" s="14"/>
      <c r="B95" s="15"/>
      <c r="C95" s="16"/>
      <c r="D95" s="17"/>
      <c r="E95" s="12"/>
      <c r="F95" s="18"/>
      <c r="G95" s="19"/>
      <c r="H95" s="13"/>
    </row>
    <row r="96" spans="1:8">
      <c r="A96" s="14"/>
      <c r="B96" s="15"/>
      <c r="C96" s="16"/>
      <c r="D96" s="17"/>
      <c r="E96" s="12"/>
      <c r="F96" s="18"/>
      <c r="G96" s="19"/>
      <c r="H96" s="13"/>
    </row>
    <row r="97" spans="1:8">
      <c r="A97" s="14"/>
      <c r="B97" s="15"/>
      <c r="C97" s="16"/>
      <c r="D97" s="17"/>
      <c r="E97" s="12"/>
      <c r="F97" s="18"/>
      <c r="G97" s="19"/>
      <c r="H97" s="13"/>
    </row>
    <row r="98" spans="1:8">
      <c r="A98" s="14"/>
      <c r="B98" s="15"/>
      <c r="C98" s="16"/>
      <c r="D98" s="17"/>
      <c r="E98" s="12"/>
      <c r="F98" s="18"/>
      <c r="G98" s="19"/>
      <c r="H98" s="13"/>
    </row>
    <row r="99" spans="1:8">
      <c r="A99" s="14"/>
      <c r="B99" s="15"/>
      <c r="C99" s="16"/>
      <c r="D99" s="17"/>
      <c r="E99" s="12"/>
      <c r="F99" s="18"/>
      <c r="G99" s="19"/>
      <c r="H99" s="13"/>
    </row>
    <row r="100" spans="1:8">
      <c r="A100" s="14"/>
      <c r="B100" s="15"/>
      <c r="C100" s="16"/>
      <c r="D100" s="17"/>
      <c r="E100" s="12"/>
      <c r="F100" s="18"/>
      <c r="G100" s="19"/>
      <c r="H100" s="13"/>
    </row>
    <row r="101" spans="1:8">
      <c r="A101" s="14"/>
      <c r="B101" s="15"/>
      <c r="C101" s="16"/>
      <c r="D101" s="17"/>
      <c r="E101" s="12"/>
      <c r="F101" s="18"/>
      <c r="G101" s="19"/>
      <c r="H101" s="13"/>
    </row>
    <row r="102" spans="1:8">
      <c r="A102" s="14"/>
      <c r="B102" s="15"/>
      <c r="C102" s="16"/>
      <c r="D102" s="17"/>
      <c r="E102" s="12"/>
      <c r="F102" s="18"/>
      <c r="G102" s="19"/>
      <c r="H102" s="13"/>
    </row>
    <row r="103" spans="1:8">
      <c r="A103" s="14"/>
      <c r="B103" s="15"/>
      <c r="C103" s="16"/>
      <c r="D103" s="17"/>
      <c r="E103" s="12"/>
      <c r="F103" s="18"/>
      <c r="G103" s="19"/>
      <c r="H103" s="13"/>
    </row>
    <row r="104" spans="1:8">
      <c r="A104" s="14"/>
      <c r="B104" s="15"/>
      <c r="C104" s="16"/>
      <c r="D104" s="17"/>
      <c r="E104" s="12"/>
      <c r="F104" s="18"/>
      <c r="G104" s="19"/>
      <c r="H104" s="13"/>
    </row>
    <row r="105" spans="1:8">
      <c r="A105" s="14"/>
      <c r="B105" s="15"/>
      <c r="C105" s="16"/>
      <c r="D105" s="17"/>
      <c r="E105" s="12"/>
      <c r="F105" s="18"/>
      <c r="G105" s="19"/>
      <c r="H105" s="13"/>
    </row>
    <row r="106" spans="1:8">
      <c r="A106" s="14"/>
      <c r="B106" s="15"/>
      <c r="C106" s="16"/>
      <c r="D106" s="17"/>
      <c r="E106" s="12"/>
      <c r="F106" s="18"/>
      <c r="G106" s="19"/>
      <c r="H106" s="13"/>
    </row>
    <row r="107" spans="1:8">
      <c r="A107" s="14"/>
      <c r="B107" s="15"/>
      <c r="C107" s="16"/>
      <c r="D107" s="17"/>
      <c r="E107" s="12"/>
      <c r="F107" s="18"/>
      <c r="G107" s="19"/>
      <c r="H107" s="13"/>
    </row>
    <row r="108" spans="1:8">
      <c r="A108" s="14"/>
      <c r="B108" s="15"/>
      <c r="C108" s="16"/>
      <c r="D108" s="17"/>
      <c r="E108" s="12"/>
      <c r="F108" s="18"/>
      <c r="G108" s="19"/>
      <c r="H108" s="13"/>
    </row>
    <row r="109" spans="1:8">
      <c r="A109" s="14"/>
      <c r="B109" s="15"/>
      <c r="C109" s="16"/>
      <c r="D109" s="17"/>
      <c r="E109" s="12"/>
      <c r="F109" s="18"/>
      <c r="G109" s="19"/>
      <c r="H109" s="13"/>
    </row>
    <row r="110" spans="1:8">
      <c r="A110" s="14"/>
      <c r="B110" s="15"/>
      <c r="C110" s="16"/>
      <c r="D110" s="17"/>
      <c r="E110" s="12"/>
      <c r="F110" s="18"/>
      <c r="G110" s="19"/>
      <c r="H110" s="13"/>
    </row>
    <row r="111" spans="1:8">
      <c r="A111" s="14"/>
      <c r="B111" s="15"/>
      <c r="C111" s="16"/>
      <c r="D111" s="17"/>
      <c r="E111" s="12"/>
      <c r="F111" s="18"/>
      <c r="G111" s="19"/>
      <c r="H111" s="13"/>
    </row>
    <row r="112" spans="1:8">
      <c r="A112" s="14"/>
      <c r="B112" s="15"/>
      <c r="C112" s="16"/>
      <c r="D112" s="17"/>
      <c r="E112" s="12"/>
      <c r="F112" s="18"/>
      <c r="G112" s="19"/>
      <c r="H112" s="13"/>
    </row>
    <row r="113" spans="1:8">
      <c r="A113" s="14"/>
      <c r="B113" s="15"/>
      <c r="C113" s="16"/>
      <c r="D113" s="17"/>
      <c r="E113" s="12"/>
      <c r="F113" s="18"/>
      <c r="G113" s="19"/>
      <c r="H113" s="13"/>
    </row>
    <row r="114" spans="1:8">
      <c r="A114" s="14"/>
      <c r="B114" s="15"/>
      <c r="C114" s="16"/>
      <c r="D114" s="17"/>
      <c r="E114" s="12"/>
      <c r="F114" s="18"/>
      <c r="G114" s="19"/>
      <c r="H114" s="13"/>
    </row>
    <row r="115" spans="1:8">
      <c r="A115" s="14"/>
      <c r="B115" s="15"/>
      <c r="C115" s="16"/>
      <c r="D115" s="17"/>
      <c r="E115" s="12"/>
      <c r="F115" s="18"/>
      <c r="G115" s="19"/>
      <c r="H115" s="13"/>
    </row>
    <row r="116" spans="1:8">
      <c r="A116" s="14"/>
      <c r="B116" s="15"/>
      <c r="C116" s="16"/>
      <c r="D116" s="17"/>
      <c r="E116" s="12"/>
      <c r="F116" s="18"/>
      <c r="G116" s="19"/>
      <c r="H116" s="13"/>
    </row>
    <row r="117" spans="1:8">
      <c r="A117" s="14"/>
      <c r="B117" s="15"/>
      <c r="C117" s="16"/>
      <c r="D117" s="17"/>
      <c r="E117" s="12"/>
      <c r="F117" s="18"/>
      <c r="G117" s="19"/>
      <c r="H117" s="13"/>
    </row>
    <row r="118" spans="1:8">
      <c r="A118" s="14"/>
      <c r="B118" s="15"/>
      <c r="C118" s="16"/>
      <c r="D118" s="17"/>
      <c r="E118" s="12"/>
      <c r="F118" s="18"/>
      <c r="G118" s="19"/>
      <c r="H118" s="13"/>
    </row>
    <row r="119" spans="1:8">
      <c r="A119" s="14"/>
      <c r="B119" s="15"/>
      <c r="C119" s="16"/>
      <c r="D119" s="17"/>
      <c r="E119" s="12"/>
      <c r="F119" s="18"/>
      <c r="G119" s="19"/>
      <c r="H119" s="13"/>
    </row>
    <row r="120" spans="1:8">
      <c r="A120" s="14"/>
      <c r="B120" s="15"/>
      <c r="C120" s="16"/>
      <c r="D120" s="17"/>
      <c r="E120" s="12"/>
      <c r="F120" s="18"/>
      <c r="G120" s="19"/>
      <c r="H120" s="13"/>
    </row>
    <row r="121" spans="1:8">
      <c r="A121" s="14"/>
      <c r="B121" s="15"/>
      <c r="C121" s="16"/>
      <c r="D121" s="17"/>
      <c r="E121" s="12"/>
      <c r="F121" s="18"/>
      <c r="G121" s="19"/>
      <c r="H121" s="13"/>
    </row>
    <row r="122" spans="1:8">
      <c r="A122" s="14"/>
      <c r="B122" s="15"/>
      <c r="C122" s="16"/>
      <c r="D122" s="17"/>
      <c r="E122" s="12"/>
      <c r="F122" s="18"/>
      <c r="G122" s="19"/>
      <c r="H122" s="13"/>
    </row>
    <row r="123" spans="1:8">
      <c r="A123" s="14"/>
      <c r="B123" s="15"/>
      <c r="C123" s="16"/>
      <c r="D123" s="17"/>
      <c r="E123" s="12"/>
      <c r="F123" s="18"/>
      <c r="G123" s="19"/>
      <c r="H123" s="13"/>
    </row>
    <row r="124" spans="1:8">
      <c r="A124" s="14"/>
      <c r="B124" s="15"/>
      <c r="C124" s="16"/>
      <c r="D124" s="17"/>
      <c r="E124" s="12"/>
      <c r="F124" s="18"/>
      <c r="G124" s="19"/>
      <c r="H124" s="13"/>
    </row>
    <row r="125" spans="1:8">
      <c r="A125" s="14"/>
      <c r="B125" s="15"/>
      <c r="C125" s="16"/>
      <c r="D125" s="17"/>
      <c r="E125" s="12"/>
      <c r="F125" s="18"/>
      <c r="G125" s="19"/>
      <c r="H125" s="13"/>
    </row>
    <row r="126" spans="1:8">
      <c r="A126" s="14"/>
      <c r="B126" s="15"/>
      <c r="C126" s="16"/>
      <c r="D126" s="17"/>
      <c r="E126" s="12"/>
      <c r="F126" s="18"/>
      <c r="G126" s="19"/>
      <c r="H126" s="13"/>
    </row>
    <row r="127" spans="1:8">
      <c r="A127" s="14"/>
      <c r="B127" s="15"/>
      <c r="C127" s="16"/>
      <c r="D127" s="17"/>
      <c r="E127" s="12"/>
      <c r="F127" s="18"/>
      <c r="G127" s="19"/>
      <c r="H127" s="13"/>
    </row>
    <row r="128" spans="1:8">
      <c r="A128" s="14"/>
      <c r="B128" s="15"/>
      <c r="C128" s="16"/>
      <c r="D128" s="17"/>
      <c r="E128" s="12"/>
      <c r="F128" s="18"/>
      <c r="G128" s="19"/>
      <c r="H128" s="13"/>
    </row>
    <row r="129" spans="1:8">
      <c r="A129" s="14"/>
      <c r="B129" s="15"/>
      <c r="C129" s="16"/>
      <c r="D129" s="17"/>
      <c r="E129" s="12"/>
      <c r="F129" s="18"/>
      <c r="G129" s="19"/>
      <c r="H129" s="13"/>
    </row>
    <row r="130" spans="1:8">
      <c r="A130" s="14"/>
      <c r="B130" s="15"/>
      <c r="C130" s="16"/>
      <c r="D130" s="17"/>
      <c r="E130" s="12"/>
      <c r="F130" s="18"/>
      <c r="G130" s="19"/>
      <c r="H130" s="13"/>
    </row>
    <row r="131" spans="1:8">
      <c r="A131" s="14"/>
      <c r="B131" s="15"/>
      <c r="C131" s="16"/>
      <c r="D131" s="17"/>
      <c r="E131" s="12"/>
      <c r="F131" s="18"/>
      <c r="G131" s="19"/>
      <c r="H131" s="13"/>
    </row>
    <row r="132" spans="1:8">
      <c r="A132" s="14"/>
      <c r="B132" s="15"/>
      <c r="C132" s="16"/>
      <c r="D132" s="17"/>
      <c r="E132" s="12"/>
      <c r="F132" s="18"/>
      <c r="G132" s="19"/>
      <c r="H132" s="13"/>
    </row>
    <row r="133" spans="1:8">
      <c r="A133" s="14"/>
      <c r="B133" s="15"/>
      <c r="C133" s="16"/>
      <c r="D133" s="17"/>
      <c r="E133" s="12"/>
      <c r="F133" s="18"/>
      <c r="G133" s="19"/>
      <c r="H133" s="13"/>
    </row>
    <row r="134" spans="1:8">
      <c r="A134" s="14"/>
      <c r="B134" s="15"/>
      <c r="C134" s="16"/>
      <c r="D134" s="17"/>
      <c r="E134" s="12"/>
      <c r="F134" s="18"/>
      <c r="G134" s="19"/>
      <c r="H134" s="13"/>
    </row>
    <row r="135" spans="1:8">
      <c r="A135" s="14"/>
      <c r="B135" s="15"/>
      <c r="C135" s="16"/>
      <c r="D135" s="17"/>
      <c r="E135" s="12"/>
      <c r="F135" s="18"/>
      <c r="G135" s="19"/>
      <c r="H135" s="13"/>
    </row>
    <row r="136" spans="1:8">
      <c r="A136" s="14"/>
      <c r="B136" s="15"/>
      <c r="C136" s="16"/>
      <c r="D136" s="17"/>
      <c r="E136" s="12"/>
      <c r="F136" s="18"/>
      <c r="G136" s="19"/>
      <c r="H136" s="13"/>
    </row>
    <row r="137" spans="1:8">
      <c r="A137" s="14"/>
      <c r="B137" s="15"/>
      <c r="C137" s="16"/>
      <c r="D137" s="17"/>
      <c r="E137" s="12"/>
      <c r="F137" s="18"/>
      <c r="G137" s="19"/>
      <c r="H137" s="13"/>
    </row>
    <row r="138" spans="1:8">
      <c r="A138" s="14"/>
      <c r="B138" s="15"/>
      <c r="C138" s="16"/>
      <c r="D138" s="17"/>
      <c r="E138" s="12"/>
      <c r="F138" s="18"/>
      <c r="G138" s="19"/>
      <c r="H138" s="13"/>
    </row>
    <row r="139" spans="1:8">
      <c r="A139" s="14"/>
      <c r="B139" s="15"/>
      <c r="C139" s="16"/>
      <c r="D139" s="17"/>
      <c r="E139" s="12"/>
      <c r="F139" s="18"/>
      <c r="G139" s="19"/>
      <c r="H139" s="13"/>
    </row>
    <row r="140" spans="1:8">
      <c r="A140" s="14"/>
      <c r="B140" s="15"/>
      <c r="C140" s="16"/>
      <c r="D140" s="17"/>
      <c r="E140" s="12"/>
      <c r="F140" s="18"/>
      <c r="G140" s="19"/>
      <c r="H140" s="13"/>
    </row>
    <row r="141" spans="1:8">
      <c r="A141" s="14"/>
      <c r="B141" s="15"/>
      <c r="C141" s="16"/>
      <c r="D141" s="17"/>
      <c r="E141" s="12"/>
      <c r="F141" s="18"/>
      <c r="G141" s="19"/>
      <c r="H141" s="13"/>
    </row>
    <row r="142" spans="1:8">
      <c r="A142" s="14"/>
      <c r="B142" s="15"/>
      <c r="C142" s="16"/>
      <c r="D142" s="17"/>
      <c r="E142" s="12"/>
      <c r="F142" s="18"/>
      <c r="G142" s="19"/>
      <c r="H142" s="13"/>
    </row>
    <row r="143" spans="1:8">
      <c r="A143" s="14"/>
      <c r="B143" s="15"/>
      <c r="C143" s="16"/>
      <c r="D143" s="17"/>
      <c r="E143" s="12"/>
      <c r="F143" s="18"/>
      <c r="G143" s="19"/>
      <c r="H143" s="13"/>
    </row>
    <row r="144" spans="1:8">
      <c r="A144" s="14"/>
      <c r="B144" s="15"/>
      <c r="C144" s="16"/>
      <c r="D144" s="17"/>
      <c r="E144" s="12"/>
      <c r="F144" s="18"/>
      <c r="G144" s="19"/>
      <c r="H144" s="13"/>
    </row>
    <row r="145" spans="1:8">
      <c r="A145" s="14"/>
      <c r="B145" s="15"/>
      <c r="C145" s="16"/>
      <c r="D145" s="17"/>
      <c r="E145" s="12"/>
      <c r="F145" s="18"/>
      <c r="G145" s="19"/>
      <c r="H145" s="13"/>
    </row>
    <row r="146" spans="1:8">
      <c r="A146" s="14"/>
      <c r="B146" s="15"/>
      <c r="C146" s="16"/>
      <c r="D146" s="17"/>
      <c r="E146" s="12"/>
      <c r="F146" s="18"/>
      <c r="G146" s="19"/>
      <c r="H146" s="13"/>
    </row>
    <row r="147" spans="1:8">
      <c r="A147" s="14"/>
      <c r="B147" s="15"/>
      <c r="C147" s="16"/>
      <c r="D147" s="17"/>
      <c r="E147" s="12"/>
      <c r="F147" s="18"/>
      <c r="G147" s="19"/>
      <c r="H147" s="13"/>
    </row>
    <row r="148" spans="1:8">
      <c r="A148" s="14"/>
      <c r="B148" s="15"/>
      <c r="C148" s="16"/>
      <c r="D148" s="17"/>
      <c r="E148" s="12"/>
      <c r="F148" s="18"/>
      <c r="G148" s="19"/>
      <c r="H148" s="13"/>
    </row>
    <row r="149" spans="1:8">
      <c r="A149" s="14"/>
      <c r="B149" s="15"/>
      <c r="C149" s="16"/>
      <c r="D149" s="17"/>
      <c r="E149" s="12"/>
      <c r="F149" s="18"/>
      <c r="G149" s="19"/>
      <c r="H149" s="13"/>
    </row>
    <row r="150" spans="1:8">
      <c r="A150" s="14"/>
      <c r="B150" s="15"/>
      <c r="C150" s="16"/>
      <c r="D150" s="17"/>
      <c r="E150" s="12"/>
      <c r="F150" s="18"/>
      <c r="G150" s="19"/>
      <c r="H150" s="13"/>
    </row>
    <row r="151" spans="1:8">
      <c r="A151" s="14"/>
      <c r="B151" s="15"/>
      <c r="C151" s="16"/>
      <c r="D151" s="17"/>
      <c r="E151" s="12"/>
      <c r="F151" s="18"/>
      <c r="G151" s="19"/>
      <c r="H151" s="13"/>
    </row>
    <row r="152" spans="1:8">
      <c r="A152" s="14"/>
      <c r="B152" s="15"/>
      <c r="C152" s="16"/>
      <c r="D152" s="17"/>
      <c r="E152" s="12"/>
      <c r="F152" s="18"/>
      <c r="G152" s="19"/>
      <c r="H152" s="13"/>
    </row>
    <row r="153" spans="1:8">
      <c r="A153" s="14"/>
      <c r="B153" s="15"/>
      <c r="C153" s="16"/>
      <c r="D153" s="17"/>
      <c r="E153" s="12"/>
      <c r="F153" s="18"/>
      <c r="G153" s="19"/>
      <c r="H153" s="13"/>
    </row>
    <row r="154" spans="1:8">
      <c r="A154" s="14"/>
      <c r="B154" s="15"/>
      <c r="C154" s="16"/>
      <c r="D154" s="17"/>
      <c r="E154" s="12"/>
      <c r="F154" s="18"/>
      <c r="G154" s="19"/>
      <c r="H154" s="13"/>
    </row>
    <row r="155" spans="1:8">
      <c r="A155" s="14"/>
      <c r="B155" s="15"/>
      <c r="C155" s="16"/>
      <c r="D155" s="17"/>
      <c r="E155" s="12"/>
      <c r="F155" s="18"/>
      <c r="G155" s="19"/>
      <c r="H155" s="13"/>
    </row>
    <row r="156" spans="1:8">
      <c r="A156" s="14"/>
      <c r="B156" s="15"/>
      <c r="C156" s="16"/>
      <c r="D156" s="17"/>
      <c r="E156" s="12"/>
      <c r="F156" s="18"/>
      <c r="G156" s="19"/>
      <c r="H156" s="13"/>
    </row>
    <row r="157" spans="1:8">
      <c r="A157" s="14"/>
      <c r="B157" s="15"/>
      <c r="C157" s="16"/>
      <c r="D157" s="17"/>
      <c r="E157" s="12"/>
      <c r="F157" s="18"/>
      <c r="G157" s="19"/>
      <c r="H157" s="13"/>
    </row>
    <row r="158" spans="1:8">
      <c r="A158" s="14"/>
      <c r="B158" s="15"/>
      <c r="C158" s="16"/>
      <c r="D158" s="17"/>
      <c r="E158" s="12"/>
      <c r="F158" s="18"/>
      <c r="G158" s="19"/>
      <c r="H158" s="13"/>
    </row>
    <row r="159" spans="1:8">
      <c r="A159" s="14"/>
      <c r="B159" s="15"/>
      <c r="C159" s="16"/>
      <c r="D159" s="17"/>
      <c r="E159" s="12"/>
      <c r="F159" s="18"/>
      <c r="G159" s="19"/>
      <c r="H159" s="13"/>
    </row>
    <row r="160" spans="1:8">
      <c r="A160" s="14"/>
      <c r="B160" s="15"/>
      <c r="C160" s="16"/>
      <c r="D160" s="17"/>
      <c r="E160" s="12"/>
      <c r="F160" s="18"/>
      <c r="G160" s="19"/>
      <c r="H160" s="13"/>
    </row>
    <row r="161" spans="1:8">
      <c r="A161" s="14"/>
      <c r="B161" s="15"/>
      <c r="C161" s="16"/>
      <c r="D161" s="17"/>
      <c r="E161" s="12"/>
      <c r="F161" s="18"/>
      <c r="G161" s="19"/>
      <c r="H161" s="13"/>
    </row>
    <row r="162" spans="1:8">
      <c r="A162" s="14"/>
      <c r="B162" s="15"/>
      <c r="C162" s="16"/>
      <c r="D162" s="17"/>
      <c r="E162" s="12"/>
      <c r="F162" s="18"/>
      <c r="G162" s="19"/>
      <c r="H162" s="13"/>
    </row>
    <row r="163" spans="1:8">
      <c r="A163" s="14"/>
      <c r="B163" s="15"/>
      <c r="C163" s="16"/>
      <c r="D163" s="17"/>
      <c r="E163" s="12"/>
      <c r="F163" s="18"/>
      <c r="G163" s="19"/>
      <c r="H163" s="13"/>
    </row>
    <row r="164" spans="1:8">
      <c r="A164" s="14"/>
      <c r="B164" s="15"/>
      <c r="C164" s="16"/>
      <c r="D164" s="17"/>
      <c r="E164" s="12"/>
      <c r="F164" s="18"/>
      <c r="G164" s="19"/>
      <c r="H164" s="13"/>
    </row>
    <row r="165" spans="1:8">
      <c r="A165" s="14"/>
      <c r="B165" s="15"/>
      <c r="C165" s="16"/>
      <c r="D165" s="17"/>
      <c r="E165" s="12"/>
      <c r="F165" s="18"/>
      <c r="G165" s="19"/>
      <c r="H165" s="13"/>
    </row>
    <row r="166" spans="1:8">
      <c r="A166" s="14"/>
      <c r="B166" s="15"/>
      <c r="C166" s="16"/>
      <c r="D166" s="17"/>
      <c r="E166" s="12"/>
      <c r="F166" s="18"/>
      <c r="G166" s="19"/>
      <c r="H166" s="13"/>
    </row>
    <row r="167" spans="1:8">
      <c r="A167" s="14"/>
      <c r="B167" s="15"/>
      <c r="C167" s="16"/>
      <c r="D167" s="17"/>
      <c r="E167" s="12"/>
      <c r="F167" s="18"/>
      <c r="G167" s="19"/>
      <c r="H167" s="13"/>
    </row>
    <row r="168" spans="1:8">
      <c r="A168" s="14"/>
      <c r="B168" s="15"/>
      <c r="C168" s="16"/>
      <c r="D168" s="17"/>
      <c r="E168" s="12"/>
      <c r="F168" s="18"/>
      <c r="G168" s="19"/>
      <c r="H168" s="13"/>
    </row>
    <row r="169" spans="1:8">
      <c r="A169" s="14"/>
      <c r="B169" s="15"/>
      <c r="C169" s="16"/>
      <c r="D169" s="17"/>
      <c r="E169" s="12"/>
      <c r="F169" s="18"/>
      <c r="G169" s="19"/>
      <c r="H169" s="13"/>
    </row>
    <row r="170" spans="1:8">
      <c r="A170" s="14"/>
      <c r="B170" s="15"/>
      <c r="C170" s="16"/>
      <c r="D170" s="17"/>
      <c r="E170" s="12"/>
      <c r="F170" s="18"/>
      <c r="G170" s="19"/>
      <c r="H170" s="13"/>
    </row>
    <row r="171" spans="1:8">
      <c r="A171" s="14"/>
      <c r="B171" s="15"/>
      <c r="C171" s="16"/>
      <c r="D171" s="17"/>
      <c r="E171" s="12"/>
      <c r="F171" s="18"/>
      <c r="G171" s="19"/>
      <c r="H171" s="13"/>
    </row>
    <row r="172" spans="1:8">
      <c r="A172" s="14"/>
      <c r="B172" s="15"/>
      <c r="C172" s="16"/>
      <c r="D172" s="17"/>
      <c r="E172" s="12"/>
      <c r="F172" s="18"/>
      <c r="G172" s="19"/>
      <c r="H172" s="13"/>
    </row>
    <row r="173" spans="1:8">
      <c r="A173" s="14"/>
      <c r="B173" s="15"/>
      <c r="C173" s="16"/>
      <c r="D173" s="17"/>
      <c r="E173" s="12"/>
      <c r="F173" s="18"/>
      <c r="G173" s="19"/>
      <c r="H173" s="13"/>
    </row>
    <row r="174" spans="1:8">
      <c r="A174" s="14"/>
      <c r="B174" s="15"/>
      <c r="C174" s="16"/>
      <c r="D174" s="17"/>
      <c r="E174" s="12"/>
      <c r="F174" s="18"/>
      <c r="G174" s="19"/>
      <c r="H174" s="13"/>
    </row>
    <row r="175" spans="1:8">
      <c r="A175" s="14"/>
      <c r="B175" s="15"/>
      <c r="C175" s="16"/>
      <c r="D175" s="17"/>
      <c r="E175" s="12"/>
      <c r="F175" s="18"/>
      <c r="G175" s="19"/>
      <c r="H175" s="13"/>
    </row>
    <row r="176" spans="1:8">
      <c r="A176" s="14"/>
      <c r="B176" s="15"/>
      <c r="C176" s="16"/>
      <c r="D176" s="17"/>
      <c r="E176" s="12"/>
      <c r="F176" s="18"/>
      <c r="G176" s="19"/>
      <c r="H176" s="13"/>
    </row>
    <row r="177" spans="1:8">
      <c r="A177" s="14"/>
      <c r="B177" s="15"/>
      <c r="C177" s="16"/>
      <c r="D177" s="17"/>
      <c r="E177" s="12"/>
      <c r="F177" s="18"/>
      <c r="G177" s="19"/>
      <c r="H177" s="13"/>
    </row>
    <row r="178" spans="1:8">
      <c r="A178" s="14"/>
      <c r="B178" s="15"/>
      <c r="C178" s="16"/>
      <c r="D178" s="17"/>
      <c r="E178" s="12"/>
      <c r="F178" s="18"/>
      <c r="G178" s="19"/>
      <c r="H178" s="13"/>
    </row>
    <row r="179" spans="1:8">
      <c r="A179" s="14"/>
      <c r="B179" s="15"/>
      <c r="C179" s="16"/>
      <c r="D179" s="17"/>
      <c r="E179" s="12"/>
      <c r="F179" s="18"/>
      <c r="G179" s="19"/>
      <c r="H179" s="13"/>
    </row>
    <row r="180" spans="1:8">
      <c r="A180" s="14"/>
      <c r="B180" s="15"/>
      <c r="C180" s="16"/>
      <c r="D180" s="17"/>
      <c r="E180" s="12"/>
      <c r="F180" s="18"/>
      <c r="G180" s="19"/>
      <c r="H180" s="13"/>
    </row>
    <row r="181" spans="1:8">
      <c r="A181" s="14"/>
      <c r="B181" s="15"/>
      <c r="C181" s="16"/>
      <c r="D181" s="17"/>
      <c r="E181" s="12"/>
      <c r="F181" s="18"/>
      <c r="G181" s="19"/>
      <c r="H181" s="13"/>
    </row>
    <row r="182" spans="1:8">
      <c r="A182" s="14"/>
      <c r="B182" s="15"/>
      <c r="C182" s="16"/>
      <c r="D182" s="17"/>
      <c r="E182" s="12"/>
      <c r="F182" s="18"/>
      <c r="G182" s="19"/>
      <c r="H182" s="13"/>
    </row>
    <row r="183" spans="1:8">
      <c r="A183" s="14"/>
      <c r="B183" s="15"/>
      <c r="C183" s="16"/>
      <c r="D183" s="17"/>
      <c r="E183" s="12"/>
      <c r="F183" s="18"/>
      <c r="G183" s="19"/>
      <c r="H183" s="13"/>
    </row>
    <row r="184" spans="1:8">
      <c r="A184" s="14"/>
      <c r="B184" s="15"/>
      <c r="C184" s="16"/>
      <c r="D184" s="17"/>
      <c r="E184" s="12"/>
      <c r="F184" s="18"/>
      <c r="G184" s="19"/>
      <c r="H184" s="13"/>
    </row>
    <row r="185" spans="1:8">
      <c r="A185" s="14"/>
      <c r="B185" s="15"/>
      <c r="C185" s="16"/>
      <c r="D185" s="17"/>
      <c r="E185" s="12"/>
      <c r="F185" s="18"/>
      <c r="G185" s="19"/>
      <c r="H185" s="13"/>
    </row>
    <row r="186" spans="1:8">
      <c r="A186" s="14"/>
      <c r="B186" s="15"/>
      <c r="C186" s="16"/>
      <c r="D186" s="17"/>
      <c r="E186" s="12"/>
      <c r="F186" s="18"/>
      <c r="G186" s="19"/>
      <c r="H186" s="13"/>
    </row>
    <row r="187" spans="1:8">
      <c r="A187" s="14"/>
      <c r="B187" s="15"/>
      <c r="C187" s="16"/>
      <c r="D187" s="17"/>
      <c r="E187" s="12"/>
      <c r="F187" s="18"/>
      <c r="G187" s="19"/>
      <c r="H187" s="13"/>
    </row>
    <row r="188" spans="1:8">
      <c r="A188" s="14"/>
      <c r="B188" s="15"/>
      <c r="C188" s="16"/>
      <c r="D188" s="17"/>
      <c r="E188" s="12"/>
      <c r="F188" s="18"/>
      <c r="G188" s="19"/>
      <c r="H188" s="13"/>
    </row>
    <row r="189" spans="1:8">
      <c r="A189" s="14"/>
      <c r="B189" s="15"/>
      <c r="C189" s="16"/>
      <c r="D189" s="17"/>
      <c r="E189" s="12"/>
      <c r="F189" s="18"/>
      <c r="G189" s="19"/>
      <c r="H189" s="13"/>
    </row>
    <row r="190" spans="1:8">
      <c r="A190" s="14"/>
      <c r="B190" s="15"/>
      <c r="C190" s="16"/>
      <c r="D190" s="17"/>
      <c r="E190" s="12"/>
      <c r="F190" s="18"/>
      <c r="G190" s="19"/>
      <c r="H190" s="13"/>
    </row>
    <row r="191" spans="1:8">
      <c r="A191" s="14"/>
      <c r="B191" s="15"/>
      <c r="C191" s="16"/>
      <c r="D191" s="17"/>
      <c r="E191" s="12"/>
      <c r="F191" s="18"/>
      <c r="G191" s="19"/>
      <c r="H191" s="13"/>
    </row>
    <row r="192" spans="1:8">
      <c r="A192" s="14"/>
      <c r="B192" s="15"/>
      <c r="C192" s="16"/>
      <c r="D192" s="17"/>
      <c r="E192" s="12"/>
      <c r="F192" s="18"/>
      <c r="G192" s="19"/>
      <c r="H192" s="13"/>
    </row>
    <row r="193" spans="1:8">
      <c r="A193" s="14"/>
      <c r="B193" s="15"/>
      <c r="C193" s="16"/>
      <c r="D193" s="17"/>
      <c r="E193" s="12"/>
      <c r="F193" s="18"/>
      <c r="G193" s="19"/>
      <c r="H193" s="13"/>
    </row>
    <row r="194" spans="1:8">
      <c r="A194" s="14"/>
      <c r="B194" s="15"/>
      <c r="C194" s="16"/>
      <c r="D194" s="17"/>
      <c r="E194" s="12"/>
      <c r="F194" s="18"/>
      <c r="G194" s="19"/>
      <c r="H194" s="13"/>
    </row>
    <row r="195" spans="1:8">
      <c r="A195" s="14"/>
      <c r="B195" s="15"/>
      <c r="C195" s="16"/>
      <c r="D195" s="17"/>
      <c r="E195" s="12"/>
      <c r="F195" s="18"/>
      <c r="G195" s="19"/>
      <c r="H195" s="13"/>
    </row>
    <row r="196" spans="1:8">
      <c r="A196" s="14"/>
      <c r="B196" s="15"/>
      <c r="C196" s="16"/>
      <c r="D196" s="17"/>
      <c r="E196" s="12"/>
      <c r="F196" s="18"/>
      <c r="G196" s="19"/>
      <c r="H196" s="13"/>
    </row>
    <row r="197" spans="1:8">
      <c r="A197" s="14"/>
      <c r="B197" s="15"/>
      <c r="C197" s="16"/>
      <c r="D197" s="17"/>
      <c r="E197" s="12"/>
      <c r="F197" s="18"/>
      <c r="G197" s="19"/>
      <c r="H197" s="13"/>
    </row>
    <row r="198" spans="1:8">
      <c r="A198" s="14"/>
      <c r="B198" s="15"/>
      <c r="C198" s="16"/>
      <c r="D198" s="17"/>
      <c r="E198" s="12"/>
      <c r="F198" s="18"/>
      <c r="G198" s="19"/>
      <c r="H198" s="13"/>
    </row>
    <row r="199" spans="1:8">
      <c r="A199" s="14"/>
      <c r="B199" s="15"/>
      <c r="C199" s="16"/>
      <c r="D199" s="17"/>
      <c r="E199" s="12"/>
      <c r="F199" s="18"/>
      <c r="G199" s="19"/>
      <c r="H199" s="13"/>
    </row>
    <row r="200" spans="1:8">
      <c r="A200" s="14"/>
      <c r="B200" s="15"/>
      <c r="C200" s="16"/>
      <c r="D200" s="17"/>
      <c r="E200" s="12"/>
      <c r="F200" s="18"/>
      <c r="G200" s="19"/>
      <c r="H200" s="13"/>
    </row>
    <row r="201" spans="1:8">
      <c r="A201" s="14"/>
      <c r="B201" s="15"/>
      <c r="C201" s="16"/>
      <c r="D201" s="17"/>
      <c r="E201" s="12"/>
      <c r="F201" s="18"/>
      <c r="G201" s="19"/>
      <c r="H201" s="13"/>
    </row>
    <row r="202" spans="1:8">
      <c r="A202" s="14"/>
      <c r="B202" s="15"/>
      <c r="C202" s="16"/>
      <c r="D202" s="17"/>
      <c r="E202" s="12"/>
      <c r="F202" s="18"/>
      <c r="G202" s="19"/>
      <c r="H202" s="13"/>
    </row>
    <row r="203" spans="1:8">
      <c r="A203" s="14"/>
      <c r="B203" s="15"/>
      <c r="C203" s="16"/>
      <c r="D203" s="17"/>
      <c r="E203" s="12"/>
      <c r="F203" s="18"/>
      <c r="G203" s="19"/>
      <c r="H203" s="13"/>
    </row>
    <row r="204" spans="1:8">
      <c r="A204" s="14"/>
      <c r="B204" s="15"/>
      <c r="C204" s="16"/>
      <c r="D204" s="17"/>
      <c r="E204" s="12"/>
      <c r="F204" s="18"/>
      <c r="G204" s="19"/>
      <c r="H204" s="13"/>
    </row>
    <row r="205" spans="1:8">
      <c r="A205" s="14"/>
      <c r="B205" s="15"/>
      <c r="C205" s="16"/>
      <c r="D205" s="17"/>
      <c r="E205" s="12"/>
      <c r="F205" s="18"/>
      <c r="G205" s="19"/>
      <c r="H205" s="13"/>
    </row>
    <row r="206" spans="1:8">
      <c r="A206" s="14"/>
      <c r="B206" s="15"/>
      <c r="C206" s="16"/>
      <c r="D206" s="17"/>
      <c r="E206" s="12"/>
      <c r="F206" s="18"/>
      <c r="G206" s="19"/>
      <c r="H206" s="13"/>
    </row>
    <row r="207" spans="1:8">
      <c r="A207" s="14"/>
      <c r="B207" s="15"/>
      <c r="C207" s="16"/>
      <c r="D207" s="17"/>
      <c r="E207" s="12"/>
      <c r="F207" s="18"/>
      <c r="G207" s="19"/>
      <c r="H207" s="13"/>
    </row>
    <row r="208" spans="1:8">
      <c r="A208" s="14"/>
      <c r="B208" s="15"/>
      <c r="C208" s="16"/>
      <c r="D208" s="17"/>
      <c r="E208" s="12"/>
      <c r="F208" s="18"/>
      <c r="G208" s="19"/>
      <c r="H208" s="13"/>
    </row>
    <row r="209" spans="1:8">
      <c r="A209" s="14"/>
      <c r="B209" s="15"/>
      <c r="C209" s="16"/>
      <c r="D209" s="17"/>
      <c r="E209" s="12"/>
      <c r="F209" s="18"/>
      <c r="G209" s="19"/>
      <c r="H209" s="13"/>
    </row>
    <row r="210" spans="1:8">
      <c r="A210" s="14"/>
      <c r="B210" s="15"/>
      <c r="C210" s="16"/>
      <c r="D210" s="17"/>
      <c r="E210" s="12"/>
      <c r="F210" s="18"/>
      <c r="G210" s="19"/>
      <c r="H210" s="13"/>
    </row>
    <row r="211" spans="1:8">
      <c r="A211" s="14"/>
      <c r="B211" s="15"/>
      <c r="C211" s="16"/>
      <c r="D211" s="17"/>
      <c r="E211" s="12"/>
      <c r="F211" s="18"/>
      <c r="G211" s="19"/>
      <c r="H211" s="13"/>
    </row>
    <row r="212" spans="1:8">
      <c r="A212" s="14"/>
      <c r="B212" s="15"/>
      <c r="C212" s="16"/>
      <c r="D212" s="17"/>
      <c r="E212" s="12"/>
      <c r="F212" s="18"/>
      <c r="G212" s="19"/>
      <c r="H212" s="13"/>
    </row>
    <row r="213" spans="1:8">
      <c r="A213" s="14"/>
      <c r="B213" s="15"/>
      <c r="C213" s="16"/>
      <c r="D213" s="17"/>
      <c r="E213" s="12"/>
      <c r="F213" s="18"/>
      <c r="G213" s="19"/>
      <c r="H213" s="13"/>
    </row>
    <row r="214" spans="1:8">
      <c r="A214" s="14"/>
      <c r="B214" s="15"/>
      <c r="C214" s="16"/>
      <c r="D214" s="17"/>
      <c r="E214" s="12"/>
      <c r="F214" s="18"/>
      <c r="G214" s="19"/>
      <c r="H214" s="13"/>
    </row>
    <row r="215" spans="1:8">
      <c r="A215" s="14"/>
      <c r="B215" s="15"/>
      <c r="C215" s="16"/>
      <c r="D215" s="17"/>
      <c r="E215" s="12"/>
      <c r="F215" s="18"/>
      <c r="G215" s="19"/>
      <c r="H215" s="13"/>
    </row>
    <row r="216" spans="1:8">
      <c r="A216" s="14"/>
      <c r="B216" s="15"/>
      <c r="C216" s="16"/>
      <c r="D216" s="17"/>
      <c r="E216" s="12"/>
      <c r="F216" s="18"/>
      <c r="G216" s="19"/>
      <c r="H216" s="13"/>
    </row>
    <row r="217" spans="1:8">
      <c r="A217" s="14"/>
      <c r="B217" s="15"/>
      <c r="C217" s="16"/>
      <c r="D217" s="17"/>
      <c r="E217" s="12"/>
      <c r="F217" s="18"/>
      <c r="G217" s="19"/>
      <c r="H217" s="13"/>
    </row>
    <row r="218" spans="1:8">
      <c r="A218" s="14"/>
      <c r="B218" s="15"/>
      <c r="C218" s="16"/>
      <c r="D218" s="17"/>
      <c r="E218" s="12"/>
      <c r="F218" s="18"/>
      <c r="G218" s="19"/>
      <c r="H218" s="13"/>
    </row>
    <row r="219" spans="1:8">
      <c r="A219" s="14"/>
      <c r="B219" s="15"/>
      <c r="C219" s="16"/>
      <c r="D219" s="17"/>
      <c r="E219" s="12"/>
      <c r="F219" s="18"/>
      <c r="G219" s="19"/>
      <c r="H219" s="13"/>
    </row>
    <row r="220" spans="1:8">
      <c r="A220" s="14"/>
      <c r="B220" s="15"/>
      <c r="C220" s="16"/>
      <c r="D220" s="17"/>
      <c r="E220" s="12"/>
      <c r="F220" s="18"/>
      <c r="G220" s="19"/>
      <c r="H220" s="13"/>
    </row>
    <row r="221" spans="1:8">
      <c r="A221" s="14"/>
      <c r="B221" s="15"/>
      <c r="C221" s="16"/>
      <c r="D221" s="17"/>
      <c r="E221" s="12"/>
      <c r="F221" s="18"/>
      <c r="G221" s="19"/>
      <c r="H221" s="13"/>
    </row>
    <row r="222" spans="1:8">
      <c r="A222" s="14"/>
      <c r="B222" s="15"/>
      <c r="C222" s="16"/>
      <c r="D222" s="17"/>
      <c r="E222" s="12"/>
      <c r="F222" s="18"/>
      <c r="G222" s="19"/>
      <c r="H222" s="13"/>
    </row>
    <row r="223" spans="1:8">
      <c r="A223" s="14"/>
      <c r="B223" s="15"/>
      <c r="C223" s="16"/>
      <c r="D223" s="17"/>
      <c r="E223" s="12"/>
      <c r="F223" s="18"/>
      <c r="G223" s="19"/>
      <c r="H223" s="13"/>
    </row>
    <row r="224" spans="1:8">
      <c r="A224" s="14"/>
      <c r="B224" s="15"/>
      <c r="C224" s="16"/>
      <c r="D224" s="17"/>
      <c r="E224" s="12"/>
      <c r="F224" s="18"/>
      <c r="G224" s="19"/>
      <c r="H224" s="13"/>
    </row>
    <row r="225" spans="1:8">
      <c r="A225" s="14"/>
      <c r="B225" s="15"/>
      <c r="C225" s="16"/>
      <c r="D225" s="17"/>
      <c r="E225" s="12"/>
      <c r="F225" s="18"/>
      <c r="G225" s="19"/>
      <c r="H225" s="13"/>
    </row>
    <row r="226" spans="1:8">
      <c r="A226" s="14"/>
      <c r="B226" s="15"/>
      <c r="C226" s="16"/>
      <c r="D226" s="17"/>
      <c r="E226" s="12"/>
      <c r="F226" s="18"/>
      <c r="G226" s="19"/>
      <c r="H226" s="13"/>
    </row>
    <row r="227" spans="1:8">
      <c r="A227" s="14"/>
      <c r="B227" s="15"/>
      <c r="C227" s="16"/>
      <c r="D227" s="17"/>
      <c r="E227" s="12"/>
      <c r="F227" s="18"/>
      <c r="G227" s="19"/>
      <c r="H227" s="13"/>
    </row>
    <row r="228" spans="1:8">
      <c r="A228" s="14"/>
      <c r="B228" s="15"/>
      <c r="C228" s="16"/>
      <c r="D228" s="17"/>
      <c r="E228" s="12"/>
      <c r="F228" s="18"/>
      <c r="G228" s="19"/>
      <c r="H228" s="13"/>
    </row>
    <row r="229" spans="1:8">
      <c r="A229" s="14"/>
      <c r="B229" s="15"/>
      <c r="C229" s="16"/>
      <c r="D229" s="17"/>
      <c r="E229" s="12"/>
      <c r="F229" s="18"/>
      <c r="G229" s="19"/>
      <c r="H229" s="13"/>
    </row>
    <row r="230" spans="1:8">
      <c r="A230" s="14"/>
      <c r="B230" s="15"/>
      <c r="C230" s="16"/>
      <c r="D230" s="17"/>
      <c r="E230" s="12"/>
      <c r="F230" s="18"/>
      <c r="G230" s="19"/>
      <c r="H230" s="13"/>
    </row>
    <row r="231" spans="1:8">
      <c r="A231" s="14"/>
      <c r="B231" s="15"/>
      <c r="C231" s="16"/>
      <c r="D231" s="17"/>
      <c r="E231" s="12"/>
      <c r="F231" s="18"/>
      <c r="G231" s="19"/>
      <c r="H231" s="13"/>
    </row>
    <row r="232" spans="1:8">
      <c r="A232" s="14"/>
      <c r="B232" s="15"/>
      <c r="C232" s="16"/>
      <c r="D232" s="17"/>
      <c r="E232" s="12"/>
      <c r="F232" s="18"/>
      <c r="G232" s="19"/>
      <c r="H232" s="13"/>
    </row>
    <row r="233" spans="1:8">
      <c r="A233" s="14"/>
      <c r="B233" s="15"/>
      <c r="C233" s="16"/>
      <c r="D233" s="17"/>
      <c r="E233" s="12"/>
      <c r="F233" s="18"/>
      <c r="G233" s="19"/>
      <c r="H233" s="13"/>
    </row>
    <row r="234" spans="1:8">
      <c r="A234" s="14"/>
      <c r="B234" s="15"/>
      <c r="C234" s="16"/>
      <c r="D234" s="17"/>
      <c r="E234" s="12"/>
      <c r="F234" s="18"/>
      <c r="G234" s="19"/>
      <c r="H234" s="13"/>
    </row>
    <row r="235" spans="1:8">
      <c r="A235" s="14"/>
      <c r="B235" s="15"/>
      <c r="C235" s="16"/>
      <c r="D235" s="17"/>
      <c r="E235" s="12"/>
      <c r="F235" s="18"/>
      <c r="G235" s="19"/>
      <c r="H235" s="13"/>
    </row>
    <row r="236" spans="1:8">
      <c r="A236" s="14"/>
      <c r="B236" s="15"/>
      <c r="C236" s="16"/>
      <c r="D236" s="17"/>
      <c r="E236" s="12"/>
      <c r="F236" s="18"/>
      <c r="G236" s="19"/>
      <c r="H236" s="13"/>
    </row>
    <row r="237" spans="1:8">
      <c r="A237" s="14"/>
      <c r="B237" s="15"/>
      <c r="C237" s="16"/>
      <c r="D237" s="17"/>
      <c r="E237" s="12"/>
      <c r="F237" s="18"/>
      <c r="G237" s="19"/>
      <c r="H237" s="13"/>
    </row>
    <row r="238" spans="1:8">
      <c r="A238" s="14"/>
      <c r="B238" s="15"/>
      <c r="C238" s="16"/>
      <c r="D238" s="17"/>
      <c r="E238" s="12"/>
      <c r="F238" s="18"/>
      <c r="G238" s="19"/>
      <c r="H238" s="13"/>
    </row>
    <row r="239" spans="1:8">
      <c r="A239" s="14"/>
      <c r="B239" s="15"/>
      <c r="C239" s="16"/>
      <c r="D239" s="17"/>
      <c r="E239" s="12"/>
      <c r="F239" s="18"/>
      <c r="G239" s="19"/>
      <c r="H239" s="13"/>
    </row>
    <row r="240" spans="1:8">
      <c r="A240" s="14"/>
      <c r="B240" s="15"/>
      <c r="C240" s="16"/>
      <c r="D240" s="17"/>
      <c r="E240" s="12"/>
      <c r="F240" s="18"/>
      <c r="G240" s="19"/>
      <c r="H240" s="13"/>
    </row>
    <row r="241" spans="1:8">
      <c r="A241" s="14"/>
      <c r="B241" s="15"/>
      <c r="C241" s="16"/>
      <c r="D241" s="17"/>
      <c r="E241" s="12"/>
      <c r="F241" s="18"/>
      <c r="G241" s="19"/>
      <c r="H241" s="13"/>
    </row>
    <row r="242" spans="1:8">
      <c r="A242" s="14"/>
      <c r="B242" s="15"/>
      <c r="C242" s="16"/>
      <c r="D242" s="17"/>
      <c r="E242" s="12"/>
      <c r="F242" s="18"/>
      <c r="G242" s="19"/>
      <c r="H242" s="13"/>
    </row>
    <row r="243" spans="1:8">
      <c r="A243" s="14"/>
      <c r="B243" s="15"/>
      <c r="C243" s="16"/>
      <c r="D243" s="17"/>
      <c r="E243" s="12"/>
      <c r="F243" s="18"/>
      <c r="G243" s="19"/>
      <c r="H243" s="13"/>
    </row>
    <row r="244" spans="1:8">
      <c r="A244" s="14"/>
      <c r="B244" s="15"/>
      <c r="C244" s="16"/>
      <c r="D244" s="17"/>
      <c r="E244" s="12"/>
      <c r="F244" s="18"/>
      <c r="G244" s="19"/>
      <c r="H244" s="13"/>
    </row>
    <row r="245" spans="1:8">
      <c r="A245" s="14"/>
      <c r="B245" s="15"/>
      <c r="C245" s="16"/>
      <c r="D245" s="17"/>
      <c r="E245" s="12"/>
      <c r="F245" s="18"/>
      <c r="G245" s="19"/>
      <c r="H245" s="13"/>
    </row>
    <row r="246" spans="1:8">
      <c r="A246" s="14"/>
      <c r="B246" s="15"/>
      <c r="C246" s="16"/>
      <c r="D246" s="17"/>
      <c r="E246" s="12"/>
      <c r="F246" s="18"/>
      <c r="G246" s="19"/>
      <c r="H246" s="13"/>
    </row>
    <row r="247" spans="1:8">
      <c r="A247" s="14"/>
      <c r="B247" s="15"/>
      <c r="C247" s="16"/>
      <c r="D247" s="17"/>
      <c r="E247" s="12"/>
      <c r="F247" s="18"/>
      <c r="G247" s="19"/>
      <c r="H247" s="13"/>
    </row>
    <row r="248" spans="1:8">
      <c r="A248" s="14"/>
      <c r="B248" s="15"/>
      <c r="C248" s="16"/>
      <c r="D248" s="17"/>
      <c r="E248" s="12"/>
      <c r="F248" s="18"/>
      <c r="G248" s="19"/>
      <c r="H248" s="13"/>
    </row>
    <row r="249" spans="1:8">
      <c r="A249" s="14"/>
      <c r="B249" s="15"/>
      <c r="C249" s="16"/>
      <c r="D249" s="17"/>
      <c r="E249" s="12"/>
      <c r="F249" s="18"/>
      <c r="G249" s="19"/>
      <c r="H249" s="13"/>
    </row>
    <row r="250" spans="1:8">
      <c r="A250" s="14"/>
      <c r="B250" s="15"/>
      <c r="C250" s="16"/>
      <c r="D250" s="17"/>
      <c r="E250" s="12"/>
      <c r="F250" s="18"/>
      <c r="G250" s="19"/>
      <c r="H250" s="13"/>
    </row>
    <row r="251" spans="1:8">
      <c r="A251" s="14"/>
      <c r="B251" s="15"/>
      <c r="C251" s="16"/>
      <c r="D251" s="17"/>
      <c r="E251" s="12"/>
      <c r="F251" s="18"/>
      <c r="G251" s="19"/>
      <c r="H251" s="13"/>
    </row>
    <row r="252" spans="1:8">
      <c r="A252" s="14"/>
      <c r="B252" s="15"/>
      <c r="C252" s="16"/>
      <c r="D252" s="17"/>
      <c r="E252" s="12"/>
      <c r="F252" s="18"/>
      <c r="G252" s="19"/>
      <c r="H252" s="13"/>
    </row>
    <row r="253" spans="1:8">
      <c r="A253" s="14"/>
      <c r="B253" s="15"/>
      <c r="C253" s="16"/>
      <c r="D253" s="17"/>
      <c r="E253" s="12"/>
      <c r="F253" s="18"/>
      <c r="G253" s="19"/>
      <c r="H253" s="13"/>
    </row>
    <row r="254" spans="1:8">
      <c r="A254" s="14"/>
      <c r="B254" s="15"/>
      <c r="C254" s="16"/>
      <c r="D254" s="17"/>
      <c r="E254" s="12"/>
      <c r="F254" s="18"/>
      <c r="G254" s="19"/>
      <c r="H254" s="13"/>
    </row>
    <row r="255" spans="1:8">
      <c r="A255" s="14"/>
      <c r="B255" s="15"/>
      <c r="C255" s="16"/>
      <c r="D255" s="17"/>
      <c r="E255" s="12"/>
      <c r="F255" s="18"/>
      <c r="G255" s="19"/>
      <c r="H255" s="13"/>
    </row>
    <row r="256" spans="1:8">
      <c r="A256" s="14"/>
      <c r="B256" s="15"/>
      <c r="C256" s="16"/>
      <c r="D256" s="17"/>
      <c r="E256" s="12"/>
      <c r="F256" s="18"/>
      <c r="G256" s="19"/>
      <c r="H256" s="13"/>
    </row>
    <row r="257" spans="1:8">
      <c r="A257" s="14"/>
      <c r="B257" s="15"/>
      <c r="C257" s="16"/>
      <c r="D257" s="17"/>
      <c r="E257" s="12"/>
      <c r="F257" s="18"/>
      <c r="G257" s="19"/>
      <c r="H257" s="13"/>
    </row>
    <row r="258" spans="1:8">
      <c r="A258" s="14"/>
      <c r="B258" s="15"/>
      <c r="C258" s="16"/>
      <c r="D258" s="17"/>
      <c r="E258" s="12"/>
      <c r="F258" s="18"/>
      <c r="G258" s="19"/>
      <c r="H258" s="13"/>
    </row>
    <row r="259" spans="1:8">
      <c r="A259" s="14"/>
      <c r="B259" s="15"/>
      <c r="C259" s="16"/>
      <c r="D259" s="17"/>
      <c r="E259" s="12"/>
      <c r="F259" s="18"/>
      <c r="G259" s="19"/>
      <c r="H259" s="13"/>
    </row>
    <row r="260" spans="1:8">
      <c r="A260" s="14"/>
      <c r="B260" s="15"/>
      <c r="C260" s="16"/>
      <c r="D260" s="17"/>
      <c r="E260" s="12"/>
      <c r="F260" s="18"/>
      <c r="G260" s="19"/>
      <c r="H260" s="13"/>
    </row>
    <row r="261" spans="1:8">
      <c r="A261" s="14"/>
      <c r="B261" s="15"/>
      <c r="C261" s="16"/>
      <c r="D261" s="17"/>
      <c r="E261" s="12"/>
      <c r="F261" s="18"/>
      <c r="G261" s="19"/>
      <c r="H261" s="13"/>
    </row>
    <row r="262" spans="1:8">
      <c r="A262" s="14"/>
      <c r="B262" s="15"/>
      <c r="C262" s="16"/>
      <c r="D262" s="17"/>
      <c r="E262" s="12"/>
      <c r="F262" s="18"/>
      <c r="G262" s="19"/>
      <c r="H262" s="13"/>
    </row>
    <row r="263" spans="1:8">
      <c r="A263" s="14"/>
      <c r="B263" s="15"/>
      <c r="C263" s="16"/>
      <c r="D263" s="17"/>
      <c r="E263" s="12"/>
      <c r="F263" s="18"/>
      <c r="G263" s="19"/>
      <c r="H263" s="13"/>
    </row>
    <row r="264" spans="1:8">
      <c r="A264" s="14"/>
      <c r="B264" s="15"/>
      <c r="C264" s="16"/>
      <c r="D264" s="17"/>
      <c r="E264" s="12"/>
      <c r="F264" s="18"/>
      <c r="G264" s="19"/>
      <c r="H264" s="13"/>
    </row>
    <row r="265" spans="1:8">
      <c r="A265" s="14"/>
      <c r="B265" s="15"/>
      <c r="C265" s="16"/>
      <c r="D265" s="17"/>
      <c r="E265" s="12"/>
      <c r="F265" s="18"/>
      <c r="G265" s="19"/>
      <c r="H265" s="13"/>
    </row>
    <row r="266" spans="1:8">
      <c r="A266" s="14"/>
      <c r="B266" s="15"/>
      <c r="C266" s="16"/>
      <c r="D266" s="17"/>
      <c r="E266" s="12"/>
      <c r="F266" s="18"/>
      <c r="G266" s="19"/>
      <c r="H266" s="13"/>
    </row>
    <row r="267" spans="1:8">
      <c r="A267" s="14"/>
      <c r="B267" s="15"/>
      <c r="C267" s="16"/>
      <c r="D267" s="17"/>
      <c r="E267" s="12"/>
      <c r="F267" s="18"/>
      <c r="G267" s="19"/>
      <c r="H267" s="13"/>
    </row>
    <row r="268" spans="1:8">
      <c r="A268" s="14"/>
      <c r="B268" s="15"/>
      <c r="C268" s="16"/>
      <c r="D268" s="17"/>
      <c r="E268" s="12"/>
      <c r="F268" s="18"/>
      <c r="G268" s="19"/>
      <c r="H268" s="13"/>
    </row>
    <row r="269" spans="1:8">
      <c r="A269" s="14"/>
      <c r="B269" s="15"/>
      <c r="C269" s="16"/>
      <c r="D269" s="17"/>
      <c r="E269" s="12"/>
      <c r="F269" s="18"/>
      <c r="G269" s="19"/>
      <c r="H269" s="13"/>
    </row>
    <row r="270" spans="1:8">
      <c r="A270" s="14"/>
      <c r="B270" s="15"/>
      <c r="C270" s="16"/>
      <c r="D270" s="17"/>
      <c r="E270" s="12"/>
      <c r="F270" s="18"/>
      <c r="G270" s="19"/>
      <c r="H270" s="13"/>
    </row>
    <row r="271" spans="1:8">
      <c r="A271" s="14"/>
      <c r="B271" s="15"/>
      <c r="C271" s="16"/>
      <c r="D271" s="17"/>
      <c r="E271" s="12"/>
      <c r="F271" s="18"/>
      <c r="G271" s="19"/>
      <c r="H271" s="13"/>
    </row>
    <row r="272" spans="1:8">
      <c r="A272" s="14"/>
      <c r="B272" s="15"/>
      <c r="C272" s="16"/>
      <c r="D272" s="17"/>
      <c r="E272" s="12"/>
      <c r="F272" s="18"/>
      <c r="G272" s="19"/>
      <c r="H272" s="13"/>
    </row>
    <row r="273" spans="1:8">
      <c r="A273" s="14"/>
      <c r="B273" s="15"/>
      <c r="C273" s="16"/>
      <c r="D273" s="17"/>
      <c r="E273" s="12"/>
      <c r="F273" s="18"/>
      <c r="G273" s="19"/>
      <c r="H273" s="13"/>
    </row>
    <row r="274" spans="1:8">
      <c r="A274" s="14"/>
      <c r="B274" s="15"/>
      <c r="C274" s="16"/>
      <c r="D274" s="17"/>
      <c r="E274" s="12"/>
      <c r="F274" s="18"/>
      <c r="G274" s="19"/>
      <c r="H274" s="13"/>
    </row>
    <row r="275" spans="1:8">
      <c r="A275" s="14"/>
      <c r="B275" s="15"/>
      <c r="C275" s="16"/>
      <c r="D275" s="17"/>
      <c r="E275" s="12"/>
      <c r="F275" s="18"/>
      <c r="G275" s="19"/>
      <c r="H275" s="13"/>
    </row>
    <row r="276" spans="1:8">
      <c r="A276" s="14"/>
      <c r="B276" s="15"/>
      <c r="C276" s="16"/>
      <c r="D276" s="17"/>
      <c r="E276" s="12"/>
      <c r="F276" s="18"/>
      <c r="G276" s="19"/>
      <c r="H276" s="13"/>
    </row>
    <row r="277" spans="1:8">
      <c r="A277" s="14"/>
      <c r="B277" s="15"/>
      <c r="C277" s="16"/>
      <c r="D277" s="17"/>
      <c r="E277" s="12"/>
      <c r="F277" s="18"/>
      <c r="G277" s="19"/>
      <c r="H277" s="13"/>
    </row>
    <row r="278" spans="1:8">
      <c r="A278" s="14"/>
      <c r="B278" s="15"/>
      <c r="C278" s="16"/>
      <c r="D278" s="17"/>
      <c r="E278" s="12"/>
      <c r="F278" s="18"/>
      <c r="G278" s="19"/>
      <c r="H278" s="13"/>
    </row>
    <row r="279" spans="1:8">
      <c r="A279" s="14"/>
      <c r="B279" s="15"/>
      <c r="C279" s="16"/>
      <c r="D279" s="17"/>
      <c r="E279" s="12"/>
      <c r="F279" s="18"/>
      <c r="G279" s="19"/>
      <c r="H279" s="13"/>
    </row>
    <row r="280" spans="1:8">
      <c r="A280" s="14"/>
      <c r="B280" s="15"/>
      <c r="C280" s="16"/>
      <c r="D280" s="17"/>
      <c r="E280" s="12"/>
      <c r="F280" s="18"/>
      <c r="G280" s="19"/>
      <c r="H280" s="13"/>
    </row>
    <row r="281" spans="1:8">
      <c r="A281" s="14"/>
      <c r="B281" s="15"/>
      <c r="C281" s="16"/>
      <c r="D281" s="17"/>
      <c r="E281" s="12"/>
      <c r="F281" s="18"/>
      <c r="G281" s="19"/>
      <c r="H281" s="13"/>
    </row>
    <row r="282" spans="1:8">
      <c r="A282" s="14"/>
      <c r="B282" s="15"/>
      <c r="C282" s="16"/>
      <c r="D282" s="17"/>
      <c r="E282" s="12"/>
      <c r="F282" s="18"/>
      <c r="G282" s="19"/>
      <c r="H282" s="13"/>
    </row>
    <row r="283" spans="1:8">
      <c r="A283" s="14"/>
      <c r="B283" s="15"/>
      <c r="C283" s="16"/>
      <c r="D283" s="17"/>
      <c r="E283" s="12"/>
      <c r="F283" s="18"/>
      <c r="G283" s="19"/>
      <c r="H283" s="13"/>
    </row>
    <row r="284" spans="1:8">
      <c r="A284" s="14"/>
      <c r="B284" s="15"/>
      <c r="C284" s="16"/>
      <c r="D284" s="17"/>
      <c r="E284" s="12"/>
      <c r="F284" s="18"/>
      <c r="G284" s="19"/>
      <c r="H284" s="13"/>
    </row>
    <row r="285" spans="1:8">
      <c r="A285" s="14"/>
      <c r="B285" s="15"/>
      <c r="C285" s="16"/>
      <c r="D285" s="17"/>
      <c r="E285" s="12"/>
      <c r="F285" s="18"/>
      <c r="G285" s="19"/>
      <c r="H285" s="13"/>
    </row>
    <row r="286" spans="1:8">
      <c r="A286" s="14"/>
      <c r="B286" s="15"/>
      <c r="C286" s="16"/>
      <c r="D286" s="17"/>
      <c r="E286" s="12"/>
      <c r="F286" s="18"/>
      <c r="G286" s="19"/>
      <c r="H286" s="13"/>
    </row>
    <row r="287" spans="1:8">
      <c r="A287" s="14"/>
      <c r="B287" s="15"/>
      <c r="C287" s="16"/>
      <c r="D287" s="17"/>
      <c r="E287" s="12"/>
      <c r="F287" s="18"/>
      <c r="G287" s="19"/>
      <c r="H287" s="13"/>
    </row>
    <row r="288" spans="1:8">
      <c r="A288" s="14"/>
      <c r="B288" s="15"/>
      <c r="C288" s="16"/>
      <c r="D288" s="17"/>
      <c r="E288" s="12"/>
      <c r="F288" s="18"/>
      <c r="G288" s="19"/>
      <c r="H288" s="13"/>
    </row>
    <row r="289" spans="1:8">
      <c r="A289" s="14"/>
      <c r="B289" s="15"/>
      <c r="C289" s="16"/>
      <c r="D289" s="17"/>
      <c r="E289" s="12"/>
      <c r="F289" s="18"/>
      <c r="G289" s="19"/>
      <c r="H289" s="13"/>
    </row>
    <row r="290" spans="1:8">
      <c r="A290" s="14"/>
      <c r="B290" s="15"/>
      <c r="C290" s="16"/>
      <c r="D290" s="17"/>
      <c r="E290" s="12"/>
      <c r="F290" s="18"/>
      <c r="G290" s="19"/>
      <c r="H290" s="13"/>
    </row>
    <row r="291" spans="1:8">
      <c r="A291" s="14"/>
      <c r="B291" s="15"/>
      <c r="C291" s="16"/>
      <c r="D291" s="17"/>
      <c r="E291" s="12"/>
      <c r="F291" s="18"/>
      <c r="G291" s="19"/>
      <c r="H291" s="13"/>
    </row>
    <row r="292" spans="1:8">
      <c r="A292" s="14"/>
      <c r="B292" s="15"/>
      <c r="C292" s="16"/>
      <c r="D292" s="17"/>
      <c r="E292" s="12"/>
      <c r="F292" s="18"/>
      <c r="G292" s="19"/>
      <c r="H292" s="13"/>
    </row>
    <row r="293" spans="1:8">
      <c r="A293" s="14"/>
      <c r="B293" s="15"/>
      <c r="C293" s="16"/>
      <c r="D293" s="17"/>
      <c r="E293" s="12"/>
      <c r="F293" s="18"/>
      <c r="G293" s="19"/>
      <c r="H293" s="13"/>
    </row>
    <row r="294" spans="1:8">
      <c r="A294" s="14"/>
      <c r="B294" s="15"/>
      <c r="C294" s="16"/>
      <c r="D294" s="17"/>
      <c r="E294" s="12"/>
      <c r="F294" s="18"/>
      <c r="G294" s="19"/>
      <c r="H294" s="13"/>
    </row>
    <row r="295" spans="1:8">
      <c r="A295" s="14"/>
      <c r="B295" s="15"/>
      <c r="C295" s="16"/>
      <c r="D295" s="17"/>
      <c r="E295" s="12"/>
      <c r="F295" s="18"/>
      <c r="G295" s="19"/>
      <c r="H295" s="13"/>
    </row>
    <row r="296" spans="1:8">
      <c r="A296" s="14"/>
      <c r="B296" s="15"/>
      <c r="C296" s="16"/>
      <c r="D296" s="17"/>
      <c r="E296" s="12"/>
      <c r="F296" s="18"/>
      <c r="G296" s="19"/>
      <c r="H296" s="13"/>
    </row>
    <row r="297" spans="1:8">
      <c r="A297" s="14"/>
      <c r="B297" s="15"/>
      <c r="C297" s="16"/>
      <c r="D297" s="17"/>
      <c r="E297" s="12"/>
      <c r="F297" s="18"/>
      <c r="G297" s="19"/>
      <c r="H297" s="13"/>
    </row>
    <row r="298" spans="1:8">
      <c r="A298" s="14"/>
      <c r="B298" s="15"/>
      <c r="C298" s="16"/>
      <c r="D298" s="17"/>
      <c r="E298" s="12"/>
      <c r="F298" s="18"/>
      <c r="G298" s="19"/>
      <c r="H298" s="13"/>
    </row>
    <row r="299" spans="1:8">
      <c r="A299" s="14"/>
      <c r="B299" s="15"/>
      <c r="C299" s="16"/>
      <c r="D299" s="17"/>
      <c r="E299" s="12"/>
      <c r="F299" s="18"/>
      <c r="G299" s="19"/>
      <c r="H299" s="13"/>
    </row>
    <row r="300" spans="1:8">
      <c r="A300" s="14"/>
      <c r="B300" s="15"/>
      <c r="C300" s="16"/>
      <c r="D300" s="17"/>
      <c r="E300" s="12"/>
      <c r="F300" s="18"/>
      <c r="G300" s="19"/>
      <c r="H300" s="13"/>
    </row>
    <row r="301" spans="1:8">
      <c r="A301" s="14"/>
      <c r="B301" s="15"/>
      <c r="C301" s="16"/>
      <c r="D301" s="17"/>
      <c r="E301" s="12"/>
      <c r="F301" s="18"/>
      <c r="G301" s="19"/>
      <c r="H301" s="13"/>
    </row>
    <row r="302" spans="1:8">
      <c r="A302" s="14"/>
      <c r="B302" s="15"/>
      <c r="C302" s="16"/>
      <c r="D302" s="17"/>
      <c r="E302" s="12"/>
      <c r="F302" s="18"/>
      <c r="G302" s="19"/>
      <c r="H302" s="13"/>
    </row>
    <row r="303" spans="1:8">
      <c r="A303" s="14"/>
      <c r="B303" s="15"/>
      <c r="C303" s="16"/>
      <c r="D303" s="17"/>
      <c r="E303" s="12"/>
      <c r="F303" s="18"/>
      <c r="G303" s="19"/>
      <c r="H303" s="13"/>
    </row>
    <row r="304" spans="1:8">
      <c r="A304" s="14"/>
      <c r="B304" s="15"/>
      <c r="C304" s="16"/>
      <c r="D304" s="17"/>
      <c r="E304" s="12"/>
      <c r="F304" s="18"/>
      <c r="G304" s="19"/>
      <c r="H304" s="13"/>
    </row>
    <row r="305" spans="1:8">
      <c r="A305" s="14"/>
      <c r="B305" s="15"/>
      <c r="C305" s="16"/>
      <c r="D305" s="17"/>
      <c r="E305" s="12"/>
      <c r="F305" s="18"/>
      <c r="G305" s="19"/>
      <c r="H305" s="13"/>
    </row>
    <row r="306" spans="1:8">
      <c r="A306" s="14"/>
      <c r="B306" s="15"/>
      <c r="C306" s="16"/>
      <c r="D306" s="17"/>
      <c r="E306" s="12"/>
      <c r="F306" s="18"/>
      <c r="G306" s="19"/>
      <c r="H306" s="13"/>
    </row>
    <row r="307" spans="1:8">
      <c r="A307" s="14"/>
      <c r="B307" s="15"/>
      <c r="C307" s="16"/>
      <c r="D307" s="17"/>
      <c r="E307" s="12"/>
      <c r="F307" s="18"/>
      <c r="G307" s="19"/>
      <c r="H307" s="13"/>
    </row>
    <row r="308" spans="1:8">
      <c r="A308" s="14"/>
      <c r="B308" s="15"/>
      <c r="C308" s="16"/>
      <c r="D308" s="17"/>
      <c r="E308" s="12"/>
      <c r="F308" s="18"/>
      <c r="G308" s="19"/>
      <c r="H308" s="13"/>
    </row>
    <row r="309" spans="1:8">
      <c r="A309" s="14"/>
      <c r="B309" s="15"/>
      <c r="C309" s="16"/>
      <c r="D309" s="17"/>
      <c r="E309" s="12"/>
      <c r="F309" s="18"/>
      <c r="G309" s="19"/>
      <c r="H309" s="13"/>
    </row>
    <row r="310" spans="1:8">
      <c r="A310" s="14"/>
      <c r="B310" s="15"/>
      <c r="C310" s="16"/>
      <c r="D310" s="17"/>
      <c r="E310" s="12"/>
      <c r="F310" s="18"/>
      <c r="G310" s="19"/>
      <c r="H310" s="13"/>
    </row>
    <row r="311" spans="1:8">
      <c r="A311" s="14"/>
      <c r="B311" s="15"/>
      <c r="C311" s="16"/>
      <c r="D311" s="17"/>
      <c r="E311" s="12"/>
      <c r="F311" s="18"/>
      <c r="G311" s="19"/>
      <c r="H311" s="13"/>
    </row>
    <row r="312" spans="1:8">
      <c r="A312" s="14"/>
      <c r="B312" s="15"/>
      <c r="C312" s="16"/>
      <c r="D312" s="17"/>
      <c r="E312" s="12"/>
      <c r="F312" s="18"/>
      <c r="G312" s="19"/>
      <c r="H312" s="13"/>
    </row>
    <row r="313" spans="1:8">
      <c r="A313" s="14"/>
      <c r="B313" s="15"/>
      <c r="C313" s="16"/>
      <c r="D313" s="17"/>
      <c r="E313" s="12"/>
      <c r="F313" s="18"/>
      <c r="G313" s="19"/>
      <c r="H313" s="13"/>
    </row>
    <row r="314" spans="1:8">
      <c r="A314" s="14"/>
      <c r="B314" s="15"/>
      <c r="C314" s="16"/>
      <c r="D314" s="17"/>
      <c r="E314" s="12"/>
      <c r="F314" s="18"/>
      <c r="G314" s="19"/>
      <c r="H314" s="13"/>
    </row>
    <row r="315" spans="1:8">
      <c r="A315" s="14"/>
      <c r="B315" s="15"/>
      <c r="C315" s="16"/>
      <c r="D315" s="17"/>
      <c r="E315" s="12"/>
      <c r="F315" s="18"/>
      <c r="G315" s="19"/>
      <c r="H315" s="13"/>
    </row>
    <row r="316" spans="1:8">
      <c r="A316" s="14"/>
      <c r="B316" s="15"/>
      <c r="C316" s="16"/>
      <c r="D316" s="17"/>
      <c r="E316" s="12"/>
      <c r="F316" s="18"/>
      <c r="G316" s="19"/>
      <c r="H316" s="13"/>
    </row>
    <row r="317" spans="1:8">
      <c r="A317" s="14"/>
      <c r="B317" s="15"/>
      <c r="C317" s="16"/>
      <c r="D317" s="17"/>
      <c r="E317" s="12"/>
      <c r="F317" s="18"/>
      <c r="G317" s="19"/>
      <c r="H317" s="13"/>
    </row>
    <row r="318" spans="1:8">
      <c r="A318" s="14"/>
      <c r="B318" s="15"/>
      <c r="C318" s="16"/>
      <c r="D318" s="17"/>
      <c r="E318" s="12"/>
      <c r="F318" s="18"/>
      <c r="G318" s="19"/>
      <c r="H318" s="13"/>
    </row>
    <row r="319" spans="1:8">
      <c r="A319" s="14"/>
      <c r="B319" s="15"/>
      <c r="C319" s="16"/>
      <c r="D319" s="17"/>
      <c r="E319" s="12"/>
      <c r="F319" s="18"/>
      <c r="G319" s="19"/>
      <c r="H319" s="13"/>
    </row>
    <row r="320" spans="1:8">
      <c r="A320" s="14"/>
      <c r="B320" s="15"/>
      <c r="C320" s="16"/>
      <c r="D320" s="17"/>
      <c r="E320" s="12"/>
      <c r="F320" s="18"/>
      <c r="G320" s="19"/>
      <c r="H320" s="13"/>
    </row>
    <row r="321" spans="1:8">
      <c r="A321" s="14"/>
      <c r="B321" s="15"/>
      <c r="C321" s="16"/>
      <c r="D321" s="17"/>
      <c r="E321" s="12"/>
      <c r="F321" s="18"/>
      <c r="G321" s="19"/>
      <c r="H321" s="13"/>
    </row>
    <row r="322" spans="1:8">
      <c r="A322" s="14"/>
      <c r="B322" s="15"/>
      <c r="C322" s="16"/>
      <c r="D322" s="17"/>
      <c r="E322" s="12"/>
      <c r="F322" s="18"/>
      <c r="G322" s="19"/>
      <c r="H322" s="13"/>
    </row>
    <row r="323" spans="1:8">
      <c r="A323" s="14"/>
      <c r="B323" s="15"/>
      <c r="C323" s="16"/>
      <c r="D323" s="17"/>
      <c r="E323" s="12"/>
      <c r="F323" s="18"/>
      <c r="G323" s="19"/>
      <c r="H323" s="13"/>
    </row>
    <row r="324" spans="1:8">
      <c r="A324" s="14"/>
      <c r="B324" s="15"/>
      <c r="C324" s="16"/>
      <c r="D324" s="17"/>
      <c r="E324" s="12"/>
      <c r="F324" s="18"/>
      <c r="G324" s="19"/>
      <c r="H324" s="13"/>
    </row>
    <row r="325" spans="1:8">
      <c r="A325" s="14"/>
      <c r="B325" s="15"/>
      <c r="C325" s="16"/>
      <c r="D325" s="17"/>
      <c r="E325" s="12"/>
      <c r="F325" s="18"/>
      <c r="G325" s="19"/>
      <c r="H325" s="13"/>
    </row>
    <row r="326" spans="1:8">
      <c r="A326" s="14"/>
      <c r="B326" s="15"/>
      <c r="C326" s="16"/>
      <c r="D326" s="17"/>
      <c r="E326" s="12"/>
      <c r="F326" s="18"/>
      <c r="G326" s="19"/>
      <c r="H326" s="13"/>
    </row>
    <row r="327" spans="1:8">
      <c r="A327" s="14"/>
      <c r="B327" s="15"/>
      <c r="C327" s="16"/>
      <c r="D327" s="17"/>
      <c r="E327" s="12"/>
      <c r="F327" s="18"/>
      <c r="G327" s="19"/>
      <c r="H327" s="13"/>
    </row>
    <row r="328" spans="1:8">
      <c r="A328" s="14"/>
      <c r="B328" s="15"/>
      <c r="C328" s="16"/>
      <c r="D328" s="17"/>
      <c r="E328" s="12"/>
      <c r="F328" s="18"/>
      <c r="G328" s="19"/>
      <c r="H328" s="13"/>
    </row>
    <row r="329" spans="1:8">
      <c r="A329" s="14"/>
      <c r="B329" s="15"/>
      <c r="C329" s="16"/>
      <c r="D329" s="17"/>
      <c r="E329" s="12"/>
      <c r="F329" s="18"/>
      <c r="G329" s="19"/>
      <c r="H329" s="13"/>
    </row>
    <row r="330" spans="1:8">
      <c r="A330" s="14"/>
      <c r="B330" s="15"/>
      <c r="C330" s="16"/>
      <c r="D330" s="17"/>
      <c r="E330" s="12"/>
      <c r="F330" s="18"/>
      <c r="G330" s="19"/>
      <c r="H330" s="13"/>
    </row>
    <row r="331" spans="1:8">
      <c r="A331" s="14"/>
      <c r="B331" s="15"/>
      <c r="C331" s="16"/>
      <c r="D331" s="17"/>
      <c r="E331" s="12"/>
      <c r="F331" s="18"/>
      <c r="G331" s="19"/>
      <c r="H331" s="13"/>
    </row>
    <row r="332" spans="1:8">
      <c r="A332" s="14"/>
      <c r="B332" s="15"/>
      <c r="C332" s="16"/>
      <c r="D332" s="17"/>
      <c r="E332" s="12"/>
      <c r="F332" s="18"/>
      <c r="G332" s="19"/>
      <c r="H332" s="13"/>
    </row>
    <row r="333" spans="1:8">
      <c r="A333" s="14"/>
      <c r="B333" s="15"/>
      <c r="C333" s="16"/>
      <c r="D333" s="17"/>
      <c r="E333" s="12"/>
      <c r="F333" s="18"/>
      <c r="G333" s="19"/>
      <c r="H333" s="13"/>
    </row>
    <row r="334" spans="1:8">
      <c r="A334" s="14"/>
      <c r="B334" s="15"/>
      <c r="C334" s="16"/>
      <c r="D334" s="17"/>
      <c r="E334" s="12"/>
      <c r="F334" s="18"/>
      <c r="G334" s="19"/>
      <c r="H334" s="13"/>
    </row>
    <row r="335" spans="1:8">
      <c r="A335" s="14"/>
      <c r="B335" s="15"/>
      <c r="C335" s="16"/>
      <c r="D335" s="17"/>
      <c r="E335" s="12"/>
      <c r="F335" s="18"/>
      <c r="G335" s="19"/>
      <c r="H335" s="13"/>
    </row>
    <row r="336" spans="1:8">
      <c r="A336" s="14"/>
      <c r="B336" s="15"/>
      <c r="C336" s="16"/>
      <c r="D336" s="17"/>
      <c r="E336" s="12"/>
      <c r="F336" s="18"/>
      <c r="G336" s="19"/>
      <c r="H336" s="13"/>
    </row>
    <row r="337" spans="1:8">
      <c r="A337" s="14"/>
      <c r="B337" s="15"/>
      <c r="C337" s="16"/>
      <c r="D337" s="17"/>
      <c r="E337" s="12"/>
      <c r="F337" s="18"/>
      <c r="G337" s="19"/>
      <c r="H337" s="13"/>
    </row>
    <row r="338" spans="1:8">
      <c r="A338" s="14"/>
      <c r="B338" s="15"/>
      <c r="C338" s="16"/>
      <c r="D338" s="17"/>
      <c r="E338" s="12"/>
      <c r="F338" s="18"/>
      <c r="G338" s="19"/>
      <c r="H338" s="13"/>
    </row>
    <row r="339" spans="1:8">
      <c r="A339" s="14"/>
      <c r="B339" s="15"/>
      <c r="C339" s="16"/>
      <c r="D339" s="17"/>
      <c r="E339" s="12"/>
      <c r="F339" s="18"/>
      <c r="G339" s="19"/>
      <c r="H339" s="13"/>
    </row>
    <row r="340" spans="1:8">
      <c r="A340" s="14"/>
      <c r="B340" s="15"/>
      <c r="C340" s="16"/>
      <c r="D340" s="17"/>
      <c r="E340" s="12"/>
      <c r="F340" s="18"/>
      <c r="G340" s="19"/>
      <c r="H340" s="13"/>
    </row>
    <row r="341" spans="1:8">
      <c r="A341" s="14"/>
      <c r="B341" s="15"/>
      <c r="C341" s="16"/>
      <c r="D341" s="17"/>
      <c r="E341" s="12"/>
      <c r="F341" s="18"/>
      <c r="G341" s="19"/>
      <c r="H341" s="13"/>
    </row>
    <row r="342" spans="1:8">
      <c r="A342" s="14"/>
      <c r="B342" s="15"/>
      <c r="C342" s="16"/>
      <c r="D342" s="17"/>
      <c r="E342" s="12"/>
      <c r="F342" s="18"/>
      <c r="G342" s="19"/>
      <c r="H342" s="13"/>
    </row>
    <row r="343" spans="1:8">
      <c r="A343" s="14"/>
      <c r="B343" s="15"/>
      <c r="C343" s="16"/>
      <c r="D343" s="17"/>
      <c r="E343" s="12"/>
      <c r="F343" s="18"/>
      <c r="G343" s="19"/>
      <c r="H343" s="13"/>
    </row>
    <row r="344" spans="1:8">
      <c r="A344" s="14"/>
      <c r="B344" s="15"/>
      <c r="C344" s="16"/>
      <c r="D344" s="17"/>
      <c r="E344" s="12"/>
      <c r="F344" s="18"/>
      <c r="G344" s="19"/>
      <c r="H344" s="13"/>
    </row>
    <row r="345" spans="1:8">
      <c r="A345" s="14"/>
      <c r="B345" s="15"/>
      <c r="C345" s="16"/>
      <c r="D345" s="17"/>
      <c r="E345" s="12"/>
      <c r="F345" s="18"/>
      <c r="G345" s="19"/>
      <c r="H345" s="13"/>
    </row>
    <row r="346" spans="1:8">
      <c r="A346" s="14"/>
      <c r="B346" s="15"/>
      <c r="C346" s="16"/>
      <c r="D346" s="17"/>
      <c r="E346" s="12"/>
      <c r="F346" s="18"/>
      <c r="G346" s="19"/>
      <c r="H346" s="13"/>
    </row>
    <row r="347" spans="1:8">
      <c r="A347" s="14"/>
      <c r="B347" s="15"/>
      <c r="C347" s="16"/>
      <c r="D347" s="17"/>
      <c r="E347" s="12"/>
      <c r="F347" s="18"/>
      <c r="G347" s="19"/>
      <c r="H347" s="13"/>
    </row>
    <row r="348" spans="1:8">
      <c r="A348" s="14"/>
      <c r="B348" s="15"/>
      <c r="C348" s="16"/>
      <c r="D348" s="17"/>
      <c r="E348" s="12"/>
      <c r="F348" s="18"/>
      <c r="G348" s="19"/>
      <c r="H348" s="13"/>
    </row>
    <row r="349" spans="1:8">
      <c r="A349" s="14"/>
      <c r="B349" s="15"/>
      <c r="C349" s="16"/>
      <c r="D349" s="17"/>
      <c r="E349" s="12"/>
      <c r="F349" s="18"/>
      <c r="G349" s="19"/>
      <c r="H349" s="13"/>
    </row>
    <row r="350" spans="1:8">
      <c r="A350" s="14"/>
      <c r="B350" s="15"/>
      <c r="C350" s="16"/>
      <c r="D350" s="17"/>
      <c r="E350" s="12"/>
      <c r="F350" s="18"/>
      <c r="G350" s="19"/>
      <c r="H350" s="13"/>
    </row>
    <row r="351" spans="1:8">
      <c r="A351" s="14"/>
      <c r="B351" s="15"/>
      <c r="C351" s="16"/>
      <c r="D351" s="17"/>
      <c r="E351" s="12"/>
      <c r="F351" s="18"/>
      <c r="G351" s="19"/>
      <c r="H351" s="13"/>
    </row>
    <row r="352" spans="1:8">
      <c r="A352" s="14"/>
      <c r="B352" s="15"/>
      <c r="C352" s="16"/>
      <c r="D352" s="17"/>
      <c r="E352" s="12"/>
      <c r="F352" s="18"/>
      <c r="G352" s="19"/>
      <c r="H352" s="13"/>
    </row>
    <row r="353" spans="1:8">
      <c r="A353" s="14"/>
      <c r="B353" s="15"/>
      <c r="C353" s="16"/>
      <c r="D353" s="17"/>
      <c r="E353" s="12"/>
      <c r="F353" s="18"/>
      <c r="G353" s="19"/>
      <c r="H353" s="13"/>
    </row>
    <row r="354" spans="1:8">
      <c r="A354" s="14"/>
      <c r="B354" s="15"/>
      <c r="C354" s="16"/>
      <c r="D354" s="17"/>
      <c r="E354" s="12"/>
      <c r="F354" s="18"/>
      <c r="G354" s="19"/>
      <c r="H354" s="13"/>
    </row>
    <row r="355" spans="1:8">
      <c r="A355" s="14"/>
      <c r="B355" s="15"/>
      <c r="C355" s="16"/>
      <c r="D355" s="17"/>
      <c r="E355" s="12"/>
      <c r="F355" s="18"/>
      <c r="G355" s="19"/>
      <c r="H355" s="13"/>
    </row>
    <row r="356" spans="1:8">
      <c r="A356" s="14"/>
      <c r="B356" s="15"/>
      <c r="C356" s="16"/>
      <c r="D356" s="17"/>
      <c r="E356" s="12"/>
      <c r="F356" s="18"/>
      <c r="G356" s="19"/>
      <c r="H356" s="13"/>
    </row>
    <row r="357" spans="1:8">
      <c r="A357" s="14"/>
      <c r="B357" s="15"/>
      <c r="C357" s="16"/>
      <c r="D357" s="17"/>
      <c r="E357" s="12"/>
      <c r="F357" s="18"/>
      <c r="G357" s="19"/>
      <c r="H357" s="13"/>
    </row>
    <row r="358" spans="1:8">
      <c r="A358" s="14"/>
      <c r="B358" s="15"/>
      <c r="C358" s="16"/>
      <c r="D358" s="17"/>
      <c r="E358" s="12"/>
      <c r="F358" s="18"/>
      <c r="G358" s="19"/>
      <c r="H358" s="13"/>
    </row>
    <row r="359" spans="1:8">
      <c r="A359" s="14"/>
      <c r="B359" s="15"/>
      <c r="C359" s="16"/>
      <c r="D359" s="17"/>
      <c r="E359" s="12"/>
      <c r="F359" s="18"/>
      <c r="G359" s="19"/>
      <c r="H359" s="13"/>
    </row>
    <row r="360" spans="1:8">
      <c r="A360" s="14"/>
      <c r="B360" s="15"/>
      <c r="C360" s="16"/>
      <c r="D360" s="17"/>
      <c r="E360" s="12"/>
      <c r="F360" s="18"/>
      <c r="G360" s="19"/>
      <c r="H360" s="13"/>
    </row>
    <row r="361" spans="1:8">
      <c r="A361" s="14"/>
      <c r="B361" s="15"/>
      <c r="C361" s="16"/>
      <c r="D361" s="17"/>
      <c r="E361" s="12"/>
      <c r="F361" s="18"/>
      <c r="G361" s="19"/>
      <c r="H361" s="13"/>
    </row>
    <row r="362" spans="1:8">
      <c r="A362" s="14"/>
      <c r="B362" s="15"/>
      <c r="C362" s="16"/>
      <c r="D362" s="17"/>
      <c r="E362" s="12"/>
      <c r="F362" s="18"/>
      <c r="G362" s="19"/>
      <c r="H362" s="13"/>
    </row>
    <row r="363" spans="1:8">
      <c r="A363" s="14"/>
      <c r="B363" s="15"/>
      <c r="C363" s="16"/>
      <c r="D363" s="17"/>
      <c r="E363" s="12"/>
      <c r="F363" s="18"/>
      <c r="G363" s="19"/>
      <c r="H363" s="13"/>
    </row>
    <row r="364" spans="1:8">
      <c r="A364" s="14"/>
      <c r="B364" s="15"/>
      <c r="C364" s="16"/>
      <c r="D364" s="17"/>
      <c r="E364" s="12"/>
      <c r="F364" s="18"/>
      <c r="G364" s="19"/>
      <c r="H364" s="13"/>
    </row>
    <row r="365" spans="1:8">
      <c r="A365" s="14"/>
      <c r="B365" s="15"/>
      <c r="C365" s="16"/>
      <c r="D365" s="17"/>
      <c r="E365" s="12"/>
      <c r="F365" s="18"/>
      <c r="G365" s="19"/>
      <c r="H365" s="13"/>
    </row>
    <row r="366" spans="1:8">
      <c r="A366" s="14"/>
      <c r="B366" s="15"/>
      <c r="C366" s="16"/>
      <c r="D366" s="17"/>
      <c r="E366" s="12"/>
      <c r="F366" s="18"/>
      <c r="G366" s="19"/>
      <c r="H366" s="13"/>
    </row>
    <row r="367" spans="1:8">
      <c r="A367" s="14"/>
      <c r="B367" s="15"/>
      <c r="C367" s="16"/>
      <c r="D367" s="17"/>
      <c r="E367" s="12"/>
      <c r="F367" s="18"/>
      <c r="G367" s="19"/>
      <c r="H367" s="13"/>
    </row>
    <row r="368" spans="1:8">
      <c r="A368" s="14"/>
      <c r="B368" s="15"/>
      <c r="C368" s="16"/>
      <c r="D368" s="17"/>
      <c r="E368" s="12"/>
      <c r="F368" s="18"/>
      <c r="G368" s="19"/>
      <c r="H368" s="13"/>
    </row>
    <row r="369" spans="1:8">
      <c r="A369" s="14"/>
      <c r="B369" s="15"/>
      <c r="C369" s="16"/>
      <c r="D369" s="17"/>
      <c r="E369" s="12"/>
      <c r="F369" s="18"/>
      <c r="G369" s="19"/>
      <c r="H369" s="13"/>
    </row>
    <row r="370" spans="1:8">
      <c r="A370" s="14"/>
      <c r="B370" s="15"/>
      <c r="C370" s="16"/>
      <c r="D370" s="17"/>
      <c r="E370" s="12"/>
      <c r="F370" s="18"/>
      <c r="G370" s="19"/>
      <c r="H370" s="13"/>
    </row>
    <row r="371" spans="1:8">
      <c r="A371" s="14"/>
      <c r="B371" s="15"/>
      <c r="C371" s="16"/>
      <c r="D371" s="17"/>
      <c r="E371" s="12"/>
      <c r="F371" s="18"/>
      <c r="G371" s="19"/>
      <c r="H371" s="13"/>
    </row>
    <row r="372" spans="1:8">
      <c r="A372" s="14"/>
      <c r="B372" s="15"/>
      <c r="C372" s="16"/>
      <c r="D372" s="17"/>
      <c r="E372" s="12"/>
      <c r="F372" s="18"/>
      <c r="G372" s="19"/>
      <c r="H372" s="13"/>
    </row>
    <row r="373" spans="1:8">
      <c r="A373" s="14"/>
      <c r="B373" s="15"/>
      <c r="C373" s="16"/>
      <c r="D373" s="17"/>
      <c r="E373" s="12"/>
      <c r="F373" s="18"/>
      <c r="G373" s="19"/>
      <c r="H373" s="13"/>
    </row>
    <row r="374" spans="1:8">
      <c r="A374" s="14"/>
      <c r="B374" s="15"/>
      <c r="C374" s="16"/>
      <c r="D374" s="17"/>
      <c r="E374" s="12"/>
      <c r="F374" s="18"/>
      <c r="G374" s="19"/>
      <c r="H374" s="13"/>
    </row>
    <row r="375" spans="1:8">
      <c r="A375" s="14"/>
      <c r="B375" s="15"/>
      <c r="C375" s="16"/>
      <c r="D375" s="17"/>
      <c r="E375" s="12"/>
      <c r="F375" s="18"/>
      <c r="G375" s="19"/>
      <c r="H375" s="13"/>
    </row>
    <row r="376" spans="1:8">
      <c r="A376" s="14"/>
      <c r="B376" s="15"/>
      <c r="C376" s="16"/>
      <c r="D376" s="17"/>
      <c r="E376" s="12"/>
      <c r="F376" s="18"/>
      <c r="G376" s="19"/>
      <c r="H376" s="13"/>
    </row>
    <row r="377" spans="1:8">
      <c r="A377" s="14"/>
      <c r="B377" s="15"/>
      <c r="C377" s="16"/>
      <c r="D377" s="17"/>
      <c r="E377" s="12"/>
      <c r="F377" s="18"/>
      <c r="G377" s="19"/>
      <c r="H377" s="13"/>
    </row>
    <row r="378" spans="1:8">
      <c r="A378" s="14"/>
      <c r="B378" s="15"/>
      <c r="C378" s="16"/>
      <c r="D378" s="17"/>
      <c r="E378" s="12"/>
      <c r="F378" s="18"/>
      <c r="G378" s="19"/>
      <c r="H378" s="13"/>
    </row>
    <row r="379" spans="1:8">
      <c r="A379" s="14"/>
      <c r="B379" s="15"/>
      <c r="C379" s="16"/>
      <c r="D379" s="17"/>
      <c r="E379" s="12"/>
      <c r="F379" s="18"/>
      <c r="G379" s="19"/>
      <c r="H379" s="13"/>
    </row>
    <row r="380" spans="1:8">
      <c r="A380" s="14"/>
      <c r="B380" s="15"/>
      <c r="C380" s="16"/>
      <c r="D380" s="17"/>
      <c r="E380" s="12"/>
      <c r="F380" s="18"/>
      <c r="G380" s="19"/>
      <c r="H380" s="13"/>
    </row>
    <row r="381" spans="1:8">
      <c r="A381" s="14"/>
      <c r="B381" s="15"/>
      <c r="C381" s="16"/>
      <c r="D381" s="17"/>
      <c r="E381" s="12"/>
      <c r="F381" s="18"/>
      <c r="G381" s="19"/>
      <c r="H381" s="13"/>
    </row>
    <row r="382" spans="1:8">
      <c r="A382" s="14"/>
      <c r="B382" s="15"/>
      <c r="C382" s="16"/>
      <c r="D382" s="17"/>
      <c r="E382" s="12"/>
      <c r="F382" s="18"/>
      <c r="G382" s="19"/>
      <c r="H382" s="13"/>
    </row>
    <row r="383" spans="1:8">
      <c r="A383" s="14"/>
      <c r="B383" s="15"/>
      <c r="C383" s="16"/>
      <c r="D383" s="17"/>
      <c r="E383" s="12"/>
      <c r="F383" s="18"/>
      <c r="G383" s="19"/>
      <c r="H383" s="13"/>
    </row>
    <row r="384" spans="1:8">
      <c r="A384" s="14"/>
      <c r="B384" s="15"/>
      <c r="C384" s="16"/>
      <c r="D384" s="17"/>
      <c r="E384" s="12"/>
      <c r="F384" s="18"/>
      <c r="G384" s="19"/>
      <c r="H384" s="13"/>
    </row>
    <row r="385" spans="1:8">
      <c r="A385" s="14"/>
      <c r="B385" s="15"/>
      <c r="C385" s="16"/>
      <c r="D385" s="17"/>
      <c r="E385" s="12"/>
      <c r="F385" s="18"/>
      <c r="G385" s="19"/>
      <c r="H385" s="13"/>
    </row>
    <row r="386" spans="1:8">
      <c r="A386" s="14"/>
      <c r="B386" s="15"/>
      <c r="C386" s="16"/>
      <c r="D386" s="17"/>
      <c r="E386" s="12"/>
      <c r="F386" s="18"/>
      <c r="G386" s="19"/>
      <c r="H386" s="13"/>
    </row>
    <row r="387" spans="1:8">
      <c r="A387" s="14"/>
      <c r="B387" s="15"/>
      <c r="C387" s="16"/>
      <c r="D387" s="17"/>
      <c r="E387" s="12"/>
      <c r="F387" s="18"/>
      <c r="G387" s="19"/>
      <c r="H387" s="13"/>
    </row>
    <row r="388" spans="1:8">
      <c r="A388" s="14"/>
      <c r="B388" s="15"/>
      <c r="C388" s="16"/>
      <c r="D388" s="17"/>
      <c r="E388" s="12"/>
      <c r="F388" s="18"/>
      <c r="G388" s="19"/>
      <c r="H388" s="13"/>
    </row>
    <row r="389" spans="1:8">
      <c r="A389" s="14"/>
      <c r="B389" s="15"/>
      <c r="C389" s="16"/>
      <c r="D389" s="17"/>
      <c r="E389" s="12"/>
      <c r="F389" s="18"/>
      <c r="G389" s="19"/>
      <c r="H389" s="13"/>
    </row>
    <row r="390" spans="1:8">
      <c r="A390" s="14"/>
      <c r="B390" s="15"/>
      <c r="C390" s="16"/>
      <c r="D390" s="17"/>
      <c r="E390" s="12"/>
      <c r="F390" s="18"/>
      <c r="G390" s="19"/>
      <c r="H390" s="13"/>
    </row>
    <row r="391" spans="1:8">
      <c r="A391" s="14"/>
      <c r="B391" s="15"/>
      <c r="C391" s="16"/>
      <c r="D391" s="17"/>
      <c r="E391" s="12"/>
      <c r="F391" s="18"/>
      <c r="G391" s="19"/>
      <c r="H391" s="13"/>
    </row>
    <row r="392" spans="1:8">
      <c r="A392" s="14"/>
      <c r="B392" s="15"/>
      <c r="C392" s="16"/>
      <c r="D392" s="17"/>
      <c r="E392" s="12"/>
      <c r="F392" s="18"/>
      <c r="G392" s="19"/>
      <c r="H392" s="13"/>
    </row>
    <row r="393" spans="1:8">
      <c r="A393" s="14"/>
      <c r="B393" s="15"/>
      <c r="C393" s="16"/>
      <c r="D393" s="17"/>
      <c r="E393" s="12"/>
      <c r="F393" s="18"/>
      <c r="G393" s="19"/>
      <c r="H393" s="13"/>
    </row>
    <row r="394" spans="1:8">
      <c r="A394" s="14"/>
      <c r="B394" s="15"/>
      <c r="C394" s="16"/>
      <c r="D394" s="17"/>
      <c r="E394" s="12"/>
      <c r="F394" s="18"/>
      <c r="G394" s="19"/>
      <c r="H394" s="13"/>
    </row>
    <row r="395" spans="1:8">
      <c r="A395" s="14"/>
      <c r="B395" s="15"/>
      <c r="C395" s="16"/>
      <c r="D395" s="17"/>
      <c r="E395" s="12"/>
      <c r="F395" s="18"/>
      <c r="G395" s="19"/>
      <c r="H395" s="13"/>
    </row>
    <row r="396" spans="1:8">
      <c r="A396" s="14"/>
      <c r="B396" s="15"/>
      <c r="C396" s="16"/>
      <c r="D396" s="17"/>
      <c r="E396" s="12"/>
      <c r="F396" s="18"/>
      <c r="G396" s="19"/>
      <c r="H396" s="13"/>
    </row>
    <row r="397" spans="1:8">
      <c r="A397" s="14"/>
      <c r="B397" s="15"/>
      <c r="C397" s="16"/>
      <c r="D397" s="17"/>
      <c r="E397" s="12"/>
      <c r="F397" s="18"/>
      <c r="G397" s="19"/>
      <c r="H397" s="13"/>
    </row>
    <row r="398" spans="1:8">
      <c r="A398" s="14"/>
      <c r="B398" s="15"/>
      <c r="C398" s="16"/>
      <c r="D398" s="17"/>
      <c r="E398" s="12"/>
      <c r="F398" s="18"/>
      <c r="G398" s="19"/>
      <c r="H398" s="13"/>
    </row>
    <row r="399" spans="1:8">
      <c r="A399" s="14"/>
      <c r="B399" s="15"/>
      <c r="C399" s="16"/>
      <c r="D399" s="17"/>
      <c r="E399" s="12"/>
      <c r="F399" s="18"/>
      <c r="G399" s="19"/>
      <c r="H399" s="13"/>
    </row>
    <row r="400" spans="1:8">
      <c r="A400" s="14"/>
      <c r="B400" s="15"/>
      <c r="C400" s="16"/>
      <c r="D400" s="17"/>
      <c r="E400" s="12"/>
      <c r="F400" s="18"/>
      <c r="G400" s="19"/>
      <c r="H400" s="13"/>
    </row>
    <row r="401" spans="1:8">
      <c r="A401" s="14"/>
      <c r="B401" s="15"/>
      <c r="C401" s="16"/>
      <c r="D401" s="17"/>
      <c r="E401" s="12"/>
      <c r="F401" s="18"/>
      <c r="G401" s="19"/>
      <c r="H401" s="13"/>
    </row>
    <row r="402" spans="1:8">
      <c r="A402" s="14"/>
      <c r="B402" s="15"/>
      <c r="C402" s="16"/>
      <c r="D402" s="17"/>
      <c r="E402" s="12"/>
      <c r="F402" s="18"/>
      <c r="G402" s="19"/>
      <c r="H402" s="13"/>
    </row>
    <row r="403" spans="1:8">
      <c r="A403" s="14"/>
      <c r="B403" s="15"/>
      <c r="C403" s="16"/>
      <c r="D403" s="17"/>
      <c r="E403" s="12"/>
      <c r="F403" s="18"/>
      <c r="G403" s="19"/>
      <c r="H403" s="13"/>
    </row>
    <row r="404" spans="1:8">
      <c r="A404" s="14"/>
      <c r="B404" s="15"/>
      <c r="C404" s="16"/>
      <c r="D404" s="17"/>
      <c r="E404" s="12"/>
      <c r="F404" s="18"/>
      <c r="G404" s="19"/>
      <c r="H404" s="13"/>
    </row>
    <row r="405" spans="1:8">
      <c r="A405" s="14"/>
      <c r="B405" s="15"/>
      <c r="C405" s="16"/>
      <c r="D405" s="17"/>
      <c r="E405" s="12"/>
      <c r="F405" s="18"/>
      <c r="G405" s="19"/>
      <c r="H405" s="13"/>
    </row>
    <row r="406" spans="1:8">
      <c r="A406" s="14"/>
      <c r="B406" s="15"/>
      <c r="C406" s="16"/>
      <c r="D406" s="17"/>
      <c r="E406" s="12"/>
      <c r="F406" s="18"/>
      <c r="G406" s="19"/>
      <c r="H406" s="13"/>
    </row>
    <row r="407" spans="1:8">
      <c r="A407" s="14"/>
      <c r="B407" s="15"/>
      <c r="C407" s="16"/>
      <c r="D407" s="17"/>
      <c r="E407" s="12"/>
      <c r="F407" s="18"/>
      <c r="G407" s="19"/>
      <c r="H407" s="13"/>
    </row>
    <row r="408" spans="1:8">
      <c r="A408" s="14"/>
      <c r="B408" s="15"/>
      <c r="C408" s="16"/>
      <c r="D408" s="17"/>
      <c r="E408" s="12"/>
      <c r="F408" s="18"/>
      <c r="G408" s="19"/>
      <c r="H408" s="13"/>
    </row>
    <row r="409" spans="1:8">
      <c r="A409" s="14"/>
      <c r="B409" s="15"/>
      <c r="C409" s="16"/>
      <c r="D409" s="17"/>
      <c r="E409" s="12"/>
      <c r="F409" s="18"/>
      <c r="G409" s="19"/>
      <c r="H409" s="13"/>
    </row>
    <row r="410" spans="1:8">
      <c r="A410" s="14"/>
      <c r="B410" s="15"/>
      <c r="C410" s="16"/>
      <c r="D410" s="17"/>
      <c r="E410" s="12"/>
      <c r="F410" s="18"/>
      <c r="G410" s="19"/>
      <c r="H410" s="13"/>
    </row>
    <row r="411" spans="1:8">
      <c r="A411" s="14"/>
      <c r="B411" s="15"/>
      <c r="C411" s="16"/>
      <c r="D411" s="17"/>
      <c r="E411" s="12"/>
      <c r="F411" s="18"/>
      <c r="G411" s="19"/>
      <c r="H411" s="13"/>
    </row>
    <row r="412" spans="1:8">
      <c r="A412" s="14"/>
      <c r="B412" s="15"/>
      <c r="C412" s="16"/>
      <c r="D412" s="17"/>
      <c r="E412" s="12"/>
      <c r="F412" s="18"/>
      <c r="G412" s="19"/>
      <c r="H412" s="13"/>
    </row>
    <row r="413" spans="1:8">
      <c r="A413" s="14"/>
      <c r="B413" s="15"/>
      <c r="C413" s="16"/>
      <c r="D413" s="17"/>
      <c r="E413" s="12"/>
      <c r="F413" s="18"/>
      <c r="G413" s="19"/>
      <c r="H413" s="13"/>
    </row>
    <row r="414" spans="1:8">
      <c r="A414" s="14"/>
      <c r="B414" s="15"/>
      <c r="C414" s="16"/>
      <c r="D414" s="17"/>
      <c r="E414" s="12"/>
      <c r="F414" s="18"/>
      <c r="G414" s="19"/>
      <c r="H414" s="13"/>
    </row>
    <row r="415" spans="1:8">
      <c r="A415" s="14"/>
      <c r="B415" s="15"/>
      <c r="C415" s="16"/>
      <c r="D415" s="17"/>
      <c r="E415" s="12"/>
      <c r="F415" s="18"/>
      <c r="G415" s="19"/>
      <c r="H415" s="13"/>
    </row>
    <row r="416" spans="1:8">
      <c r="A416" s="14"/>
      <c r="B416" s="15"/>
      <c r="C416" s="16"/>
      <c r="D416" s="17"/>
      <c r="E416" s="12"/>
      <c r="F416" s="18"/>
      <c r="G416" s="19"/>
      <c r="H416" s="13"/>
    </row>
    <row r="417" spans="1:8">
      <c r="A417" s="14"/>
      <c r="B417" s="15"/>
      <c r="C417" s="16"/>
      <c r="D417" s="17"/>
      <c r="E417" s="12"/>
      <c r="F417" s="18"/>
      <c r="G417" s="19"/>
      <c r="H417" s="13"/>
    </row>
    <row r="418" spans="1:8">
      <c r="A418" s="14"/>
      <c r="B418" s="15"/>
      <c r="C418" s="16"/>
      <c r="D418" s="17"/>
      <c r="E418" s="12"/>
      <c r="F418" s="18"/>
      <c r="G418" s="19"/>
      <c r="H418" s="13"/>
    </row>
    <row r="419" spans="1:8">
      <c r="A419" s="14"/>
      <c r="B419" s="15"/>
      <c r="C419" s="16"/>
      <c r="D419" s="17"/>
      <c r="E419" s="12"/>
      <c r="F419" s="18"/>
      <c r="G419" s="19"/>
      <c r="H419" s="13"/>
    </row>
    <row r="420" spans="1:8">
      <c r="A420" s="14"/>
      <c r="B420" s="15"/>
      <c r="C420" s="16"/>
      <c r="D420" s="17"/>
      <c r="E420" s="12"/>
      <c r="F420" s="18"/>
      <c r="G420" s="19"/>
      <c r="H420" s="13"/>
    </row>
    <row r="421" spans="1:8">
      <c r="A421" s="14"/>
      <c r="B421" s="15"/>
      <c r="C421" s="16"/>
      <c r="D421" s="17"/>
      <c r="E421" s="12"/>
      <c r="F421" s="18"/>
      <c r="G421" s="19"/>
      <c r="H421" s="13"/>
    </row>
    <row r="422" spans="1:8">
      <c r="A422" s="14"/>
      <c r="B422" s="15"/>
      <c r="C422" s="16"/>
      <c r="D422" s="17"/>
      <c r="E422" s="12"/>
      <c r="F422" s="18"/>
      <c r="G422" s="19"/>
      <c r="H422" s="13"/>
    </row>
    <row r="423" spans="1:8">
      <c r="A423" s="14"/>
      <c r="B423" s="15"/>
      <c r="C423" s="16"/>
      <c r="D423" s="17"/>
      <c r="E423" s="12"/>
      <c r="F423" s="18"/>
      <c r="G423" s="19"/>
      <c r="H423" s="13"/>
    </row>
    <row r="424" spans="1:8">
      <c r="A424" s="14"/>
      <c r="B424" s="15"/>
      <c r="C424" s="16"/>
      <c r="D424" s="17"/>
      <c r="E424" s="12"/>
      <c r="F424" s="18"/>
      <c r="G424" s="19"/>
      <c r="H424" s="13"/>
    </row>
    <row r="425" spans="1:8">
      <c r="A425" s="14"/>
      <c r="B425" s="15"/>
      <c r="C425" s="16"/>
      <c r="D425" s="17"/>
      <c r="E425" s="12"/>
      <c r="F425" s="18"/>
      <c r="G425" s="19"/>
      <c r="H425" s="13"/>
    </row>
    <row r="426" spans="1:8">
      <c r="A426" s="14"/>
      <c r="B426" s="15"/>
      <c r="C426" s="16"/>
      <c r="D426" s="17"/>
      <c r="E426" s="12"/>
      <c r="F426" s="18"/>
      <c r="G426" s="19"/>
      <c r="H426" s="13"/>
    </row>
    <row r="427" spans="1:8">
      <c r="A427" s="14"/>
      <c r="B427" s="15"/>
      <c r="C427" s="16"/>
      <c r="D427" s="17"/>
      <c r="E427" s="12"/>
      <c r="F427" s="18"/>
      <c r="G427" s="19"/>
      <c r="H427" s="13"/>
    </row>
    <row r="428" spans="1:8">
      <c r="A428" s="14"/>
      <c r="B428" s="15"/>
      <c r="C428" s="16"/>
      <c r="D428" s="17"/>
      <c r="E428" s="12"/>
      <c r="F428" s="18"/>
      <c r="G428" s="19"/>
      <c r="H428" s="13"/>
    </row>
    <row r="429" spans="1:8">
      <c r="A429" s="14"/>
      <c r="B429" s="15"/>
      <c r="C429" s="16"/>
      <c r="D429" s="17"/>
      <c r="E429" s="12"/>
      <c r="F429" s="18"/>
      <c r="G429" s="19"/>
      <c r="H429" s="13"/>
    </row>
    <row r="430" spans="1:8">
      <c r="A430" s="14"/>
      <c r="B430" s="15"/>
      <c r="C430" s="16"/>
      <c r="D430" s="17"/>
      <c r="E430" s="12"/>
      <c r="F430" s="18"/>
      <c r="G430" s="19"/>
      <c r="H430" s="13"/>
    </row>
    <row r="431" spans="1:8">
      <c r="A431" s="14"/>
      <c r="B431" s="15"/>
      <c r="C431" s="16"/>
      <c r="D431" s="17"/>
      <c r="E431" s="12"/>
      <c r="F431" s="18"/>
      <c r="G431" s="19"/>
      <c r="H431" s="13"/>
    </row>
    <row r="432" spans="1:8">
      <c r="A432" s="14"/>
      <c r="B432" s="15"/>
      <c r="C432" s="16"/>
      <c r="D432" s="17"/>
      <c r="E432" s="12"/>
      <c r="F432" s="18"/>
      <c r="G432" s="19"/>
      <c r="H432" s="13"/>
    </row>
    <row r="433" spans="1:8">
      <c r="A433" s="14"/>
      <c r="B433" s="15"/>
      <c r="C433" s="16"/>
      <c r="D433" s="17"/>
      <c r="E433" s="12"/>
      <c r="F433" s="18"/>
      <c r="G433" s="19"/>
      <c r="H433" s="13"/>
    </row>
    <row r="434" spans="1:8">
      <c r="A434" s="14"/>
      <c r="B434" s="15"/>
      <c r="C434" s="16"/>
      <c r="D434" s="17"/>
      <c r="E434" s="12"/>
      <c r="F434" s="18"/>
      <c r="G434" s="19"/>
      <c r="H434" s="13"/>
    </row>
    <row r="435" spans="1:8">
      <c r="A435" s="14"/>
      <c r="B435" s="15"/>
      <c r="C435" s="16"/>
      <c r="D435" s="17"/>
      <c r="E435" s="12"/>
      <c r="F435" s="18"/>
      <c r="G435" s="19"/>
      <c r="H435" s="13"/>
    </row>
    <row r="436" spans="1:8">
      <c r="A436" s="14"/>
      <c r="B436" s="15"/>
      <c r="C436" s="16"/>
      <c r="D436" s="17"/>
      <c r="E436" s="12"/>
      <c r="F436" s="18"/>
      <c r="G436" s="19"/>
      <c r="H436" s="13"/>
    </row>
    <row r="437" spans="1:8">
      <c r="A437" s="14"/>
      <c r="B437" s="15"/>
      <c r="C437" s="16"/>
      <c r="D437" s="17"/>
      <c r="E437" s="12"/>
      <c r="F437" s="18"/>
      <c r="G437" s="19"/>
      <c r="H437" s="13"/>
    </row>
    <row r="438" spans="1:8">
      <c r="A438" s="14"/>
      <c r="B438" s="15"/>
      <c r="C438" s="16"/>
      <c r="D438" s="17"/>
      <c r="E438" s="12"/>
      <c r="F438" s="18"/>
      <c r="G438" s="19"/>
      <c r="H438" s="13"/>
    </row>
    <row r="439" spans="1:8">
      <c r="A439" s="14"/>
      <c r="B439" s="15"/>
      <c r="C439" s="16"/>
      <c r="D439" s="17"/>
      <c r="E439" s="12"/>
      <c r="F439" s="18"/>
      <c r="G439" s="19"/>
      <c r="H439" s="13"/>
    </row>
    <row r="440" spans="1:8">
      <c r="A440" s="14"/>
      <c r="B440" s="15"/>
      <c r="C440" s="16"/>
      <c r="D440" s="17"/>
      <c r="E440" s="12"/>
      <c r="F440" s="18"/>
      <c r="G440" s="19"/>
      <c r="H440" s="13"/>
    </row>
    <row r="441" spans="1:8">
      <c r="A441" s="14"/>
      <c r="B441" s="15"/>
      <c r="C441" s="16"/>
      <c r="D441" s="17"/>
      <c r="E441" s="12"/>
      <c r="F441" s="18"/>
      <c r="G441" s="19"/>
      <c r="H441" s="13"/>
    </row>
    <row r="442" spans="1:8">
      <c r="A442" s="14"/>
      <c r="B442" s="15"/>
      <c r="C442" s="16"/>
      <c r="D442" s="17"/>
      <c r="E442" s="12"/>
      <c r="F442" s="18"/>
      <c r="G442" s="19"/>
      <c r="H442" s="13"/>
    </row>
    <row r="443" spans="1:8">
      <c r="A443" s="14"/>
      <c r="B443" s="15"/>
      <c r="C443" s="16"/>
      <c r="D443" s="17"/>
      <c r="E443" s="12"/>
      <c r="F443" s="18"/>
      <c r="G443" s="19"/>
      <c r="H443" s="13"/>
    </row>
    <row r="444" spans="1:8">
      <c r="A444" s="14"/>
      <c r="B444" s="15"/>
      <c r="C444" s="16"/>
      <c r="D444" s="17"/>
      <c r="E444" s="12"/>
      <c r="F444" s="18"/>
      <c r="G444" s="19"/>
      <c r="H444" s="13"/>
    </row>
    <row r="445" spans="1:8">
      <c r="A445" s="14"/>
      <c r="B445" s="15"/>
      <c r="C445" s="16"/>
      <c r="D445" s="17"/>
      <c r="E445" s="12"/>
      <c r="F445" s="18"/>
      <c r="G445" s="19"/>
      <c r="H445" s="13"/>
    </row>
    <row r="446" spans="1:8">
      <c r="A446" s="14"/>
      <c r="B446" s="15"/>
      <c r="C446" s="16"/>
      <c r="D446" s="17"/>
      <c r="E446" s="12"/>
      <c r="F446" s="18"/>
      <c r="G446" s="19"/>
      <c r="H446" s="13"/>
    </row>
    <row r="447" spans="1:8">
      <c r="A447" s="14"/>
      <c r="B447" s="15"/>
      <c r="C447" s="16"/>
      <c r="D447" s="17"/>
      <c r="E447" s="12"/>
      <c r="F447" s="18"/>
      <c r="G447" s="19"/>
      <c r="H447" s="13"/>
    </row>
    <row r="448" spans="1:8">
      <c r="A448" s="14"/>
      <c r="B448" s="15"/>
      <c r="C448" s="16"/>
      <c r="D448" s="17"/>
      <c r="E448" s="12"/>
      <c r="F448" s="18"/>
      <c r="G448" s="19"/>
      <c r="H448" s="13"/>
    </row>
    <row r="449" spans="1:8">
      <c r="A449" s="14"/>
      <c r="B449" s="15"/>
      <c r="C449" s="16"/>
      <c r="D449" s="17"/>
      <c r="E449" s="12"/>
      <c r="F449" s="18"/>
      <c r="G449" s="19"/>
      <c r="H449" s="13"/>
    </row>
    <row r="450" spans="1:8">
      <c r="A450" s="14"/>
      <c r="B450" s="15"/>
      <c r="C450" s="16"/>
      <c r="D450" s="17"/>
      <c r="E450" s="12"/>
      <c r="F450" s="18"/>
      <c r="G450" s="19"/>
      <c r="H450" s="13"/>
    </row>
    <row r="451" spans="1:8">
      <c r="A451" s="14"/>
      <c r="B451" s="15"/>
      <c r="C451" s="16"/>
      <c r="D451" s="17"/>
      <c r="E451" s="12"/>
      <c r="F451" s="18"/>
      <c r="G451" s="19"/>
      <c r="H451" s="13"/>
    </row>
    <row r="452" spans="1:8">
      <c r="A452" s="14"/>
      <c r="B452" s="15"/>
      <c r="C452" s="16"/>
      <c r="D452" s="17"/>
      <c r="E452" s="12"/>
      <c r="F452" s="18"/>
      <c r="G452" s="19"/>
      <c r="H452" s="13"/>
    </row>
    <row r="453" spans="1:8">
      <c r="A453" s="14"/>
      <c r="B453" s="15"/>
      <c r="C453" s="16"/>
      <c r="D453" s="17"/>
      <c r="E453" s="12"/>
      <c r="F453" s="18"/>
      <c r="G453" s="19"/>
      <c r="H453" s="13"/>
    </row>
    <row r="454" spans="1:8">
      <c r="A454" s="14"/>
      <c r="B454" s="15"/>
      <c r="C454" s="16"/>
      <c r="D454" s="17"/>
      <c r="E454" s="12"/>
      <c r="F454" s="18"/>
      <c r="G454" s="19"/>
      <c r="H454" s="13"/>
    </row>
    <row r="455" spans="1:8">
      <c r="A455" s="14"/>
      <c r="B455" s="15"/>
      <c r="C455" s="16"/>
      <c r="D455" s="17"/>
      <c r="E455" s="12"/>
      <c r="F455" s="18"/>
      <c r="G455" s="19"/>
      <c r="H455" s="13"/>
    </row>
    <row r="456" spans="1:8">
      <c r="A456" s="14"/>
      <c r="B456" s="15"/>
      <c r="C456" s="16"/>
      <c r="D456" s="17"/>
      <c r="E456" s="12"/>
      <c r="F456" s="18"/>
      <c r="G456" s="19"/>
      <c r="H456" s="13"/>
    </row>
    <row r="457" spans="1:8">
      <c r="A457" s="14"/>
      <c r="B457" s="15"/>
      <c r="C457" s="16"/>
      <c r="D457" s="17"/>
      <c r="E457" s="12"/>
      <c r="F457" s="18"/>
      <c r="G457" s="19"/>
      <c r="H457" s="13"/>
    </row>
    <row r="458" spans="1:8">
      <c r="A458" s="14"/>
      <c r="B458" s="15"/>
      <c r="C458" s="16"/>
      <c r="D458" s="17"/>
      <c r="E458" s="12"/>
      <c r="F458" s="18"/>
      <c r="G458" s="19"/>
      <c r="H458" s="13"/>
    </row>
    <row r="459" spans="1:8">
      <c r="A459" s="14"/>
      <c r="B459" s="15"/>
      <c r="C459" s="16"/>
      <c r="D459" s="17"/>
      <c r="E459" s="12"/>
      <c r="F459" s="18"/>
      <c r="G459" s="19"/>
      <c r="H459" s="13"/>
    </row>
    <row r="460" spans="1:8">
      <c r="A460" s="14"/>
      <c r="B460" s="15"/>
      <c r="C460" s="16"/>
      <c r="D460" s="17"/>
      <c r="E460" s="12"/>
      <c r="F460" s="18"/>
      <c r="G460" s="19"/>
      <c r="H460" s="13"/>
    </row>
    <row r="461" spans="1:8">
      <c r="A461" s="14"/>
      <c r="B461" s="15"/>
      <c r="C461" s="16"/>
      <c r="D461" s="17"/>
      <c r="E461" s="12"/>
      <c r="F461" s="18"/>
      <c r="G461" s="19"/>
      <c r="H461" s="13"/>
    </row>
    <row r="462" spans="1:8">
      <c r="A462" s="14"/>
      <c r="B462" s="15"/>
      <c r="C462" s="16"/>
      <c r="D462" s="17"/>
      <c r="E462" s="12"/>
      <c r="F462" s="18"/>
      <c r="G462" s="19"/>
      <c r="H462" s="13"/>
    </row>
    <row r="463" spans="1:8">
      <c r="A463" s="14"/>
      <c r="B463" s="15"/>
      <c r="C463" s="16"/>
      <c r="D463" s="17"/>
      <c r="E463" s="12"/>
      <c r="F463" s="18"/>
      <c r="G463" s="19"/>
      <c r="H463" s="13"/>
    </row>
    <row r="464" spans="1:8">
      <c r="A464" s="14"/>
      <c r="B464" s="15"/>
      <c r="C464" s="16"/>
      <c r="D464" s="17"/>
      <c r="E464" s="12"/>
      <c r="F464" s="18"/>
      <c r="G464" s="19"/>
      <c r="H464" s="13"/>
    </row>
    <row r="465" spans="1:8">
      <c r="A465" s="14"/>
      <c r="B465" s="15"/>
      <c r="C465" s="16"/>
      <c r="D465" s="17"/>
      <c r="E465" s="12"/>
      <c r="F465" s="18"/>
      <c r="G465" s="19"/>
      <c r="H465" s="13"/>
    </row>
    <row r="466" spans="1:8">
      <c r="A466" s="14"/>
      <c r="B466" s="15"/>
      <c r="C466" s="16"/>
      <c r="D466" s="17"/>
      <c r="E466" s="12"/>
      <c r="F466" s="18"/>
      <c r="G466" s="19"/>
      <c r="H466" s="13"/>
    </row>
    <row r="467" spans="1:8">
      <c r="A467" s="14"/>
      <c r="B467" s="15"/>
      <c r="C467" s="16"/>
      <c r="D467" s="17"/>
      <c r="E467" s="12"/>
      <c r="F467" s="18"/>
      <c r="G467" s="19"/>
      <c r="H467" s="13"/>
    </row>
    <row r="468" spans="1:8">
      <c r="A468" s="14"/>
      <c r="B468" s="15"/>
      <c r="C468" s="16"/>
      <c r="D468" s="17"/>
      <c r="E468" s="12"/>
      <c r="F468" s="18"/>
      <c r="G468" s="19"/>
      <c r="H468" s="13"/>
    </row>
    <row r="469" spans="1:8">
      <c r="A469" s="14"/>
      <c r="B469" s="15"/>
      <c r="C469" s="16"/>
      <c r="D469" s="17"/>
      <c r="E469" s="12"/>
      <c r="F469" s="18"/>
      <c r="G469" s="19"/>
      <c r="H469" s="13"/>
    </row>
    <row r="470" spans="1:8">
      <c r="A470" s="14"/>
      <c r="B470" s="15"/>
      <c r="C470" s="16"/>
      <c r="D470" s="17"/>
      <c r="E470" s="12"/>
      <c r="F470" s="18"/>
      <c r="G470" s="19"/>
      <c r="H470" s="13"/>
    </row>
    <row r="471" spans="1:8">
      <c r="A471" s="14"/>
      <c r="B471" s="15"/>
      <c r="C471" s="16"/>
      <c r="D471" s="17"/>
      <c r="E471" s="12"/>
      <c r="F471" s="18"/>
      <c r="G471" s="19"/>
      <c r="H471" s="13"/>
    </row>
    <row r="472" spans="1:8">
      <c r="A472" s="14"/>
      <c r="B472" s="15"/>
      <c r="C472" s="16"/>
      <c r="D472" s="17"/>
      <c r="E472" s="12"/>
      <c r="F472" s="18"/>
      <c r="G472" s="19"/>
      <c r="H472" s="13"/>
    </row>
    <row r="473" spans="1:8">
      <c r="A473" s="14"/>
      <c r="B473" s="15"/>
      <c r="C473" s="16"/>
      <c r="D473" s="17"/>
      <c r="E473" s="12"/>
      <c r="F473" s="18"/>
      <c r="G473" s="19"/>
      <c r="H473" s="13"/>
    </row>
    <row r="474" spans="1:8">
      <c r="A474" s="14"/>
      <c r="B474" s="15"/>
      <c r="C474" s="16"/>
      <c r="D474" s="17"/>
      <c r="E474" s="12"/>
      <c r="F474" s="18"/>
      <c r="G474" s="19"/>
      <c r="H474" s="13"/>
    </row>
    <row r="475" spans="1:8">
      <c r="A475" s="14"/>
      <c r="B475" s="15"/>
      <c r="C475" s="16"/>
      <c r="D475" s="17"/>
      <c r="E475" s="12"/>
      <c r="F475" s="18"/>
      <c r="G475" s="19"/>
      <c r="H475" s="13"/>
    </row>
    <row r="476" spans="1:8">
      <c r="A476" s="14"/>
      <c r="B476" s="15"/>
      <c r="C476" s="16"/>
      <c r="D476" s="17"/>
      <c r="E476" s="12"/>
      <c r="F476" s="18"/>
      <c r="G476" s="19"/>
      <c r="H476" s="13"/>
    </row>
    <row r="477" spans="1:8">
      <c r="A477" s="14"/>
      <c r="B477" s="15"/>
      <c r="C477" s="16"/>
      <c r="D477" s="17"/>
      <c r="E477" s="12"/>
      <c r="F477" s="18"/>
      <c r="G477" s="19"/>
      <c r="H477" s="13"/>
    </row>
    <row r="478" spans="1:8">
      <c r="A478" s="14"/>
      <c r="B478" s="15"/>
      <c r="C478" s="16"/>
      <c r="D478" s="17"/>
      <c r="E478" s="12"/>
      <c r="F478" s="18"/>
      <c r="G478" s="19"/>
      <c r="H478" s="13"/>
    </row>
    <row r="479" spans="1:8">
      <c r="A479" s="14"/>
      <c r="B479" s="15"/>
      <c r="C479" s="16"/>
      <c r="D479" s="17"/>
      <c r="E479" s="12"/>
      <c r="F479" s="18"/>
      <c r="G479" s="19"/>
      <c r="H479" s="13"/>
    </row>
    <row r="480" spans="1:8">
      <c r="A480" s="14"/>
      <c r="B480" s="15"/>
      <c r="C480" s="16"/>
      <c r="D480" s="17"/>
      <c r="E480" s="12"/>
      <c r="F480" s="18"/>
      <c r="G480" s="19"/>
      <c r="H480" s="13"/>
    </row>
    <row r="481" spans="1:8">
      <c r="A481" s="14"/>
      <c r="B481" s="15"/>
      <c r="C481" s="16"/>
      <c r="D481" s="17"/>
      <c r="E481" s="12"/>
      <c r="F481" s="18"/>
      <c r="G481" s="19"/>
      <c r="H481" s="13"/>
    </row>
    <row r="482" spans="1:8">
      <c r="A482" s="14"/>
      <c r="B482" s="15"/>
      <c r="C482" s="16"/>
      <c r="D482" s="17"/>
      <c r="E482" s="12"/>
      <c r="F482" s="18"/>
      <c r="G482" s="19"/>
      <c r="H482" s="13"/>
    </row>
    <row r="483" spans="1:8">
      <c r="A483" s="14"/>
      <c r="B483" s="15"/>
      <c r="C483" s="16"/>
      <c r="D483" s="17"/>
      <c r="E483" s="12"/>
      <c r="F483" s="18"/>
      <c r="G483" s="19"/>
      <c r="H483" s="13"/>
    </row>
    <row r="484" spans="1:8">
      <c r="A484" s="14"/>
      <c r="B484" s="15"/>
      <c r="C484" s="16"/>
      <c r="D484" s="17"/>
      <c r="E484" s="12"/>
      <c r="F484" s="18"/>
      <c r="G484" s="19"/>
      <c r="H484" s="13"/>
    </row>
    <row r="485" spans="1:8">
      <c r="A485" s="14"/>
      <c r="B485" s="15"/>
      <c r="C485" s="16"/>
      <c r="D485" s="17"/>
      <c r="E485" s="12"/>
      <c r="F485" s="18"/>
      <c r="G485" s="19"/>
      <c r="H485" s="13"/>
    </row>
    <row r="486" spans="1:8">
      <c r="A486" s="14"/>
      <c r="B486" s="15"/>
      <c r="C486" s="16"/>
      <c r="D486" s="17"/>
      <c r="E486" s="12"/>
      <c r="F486" s="18"/>
      <c r="G486" s="19"/>
      <c r="H486" s="13"/>
    </row>
    <row r="487" spans="1:8">
      <c r="A487" s="14"/>
      <c r="B487" s="15"/>
      <c r="C487" s="16"/>
      <c r="D487" s="17"/>
      <c r="E487" s="12"/>
      <c r="F487" s="18"/>
      <c r="G487" s="19"/>
      <c r="H487" s="13"/>
    </row>
    <row r="488" spans="1:8">
      <c r="A488" s="14"/>
      <c r="B488" s="15"/>
      <c r="C488" s="16"/>
      <c r="D488" s="17"/>
      <c r="E488" s="12"/>
      <c r="F488" s="18"/>
      <c r="G488" s="19"/>
      <c r="H488" s="13"/>
    </row>
    <row r="489" spans="1:8">
      <c r="A489" s="14"/>
      <c r="B489" s="15"/>
      <c r="C489" s="16"/>
      <c r="D489" s="17"/>
      <c r="E489" s="12"/>
      <c r="F489" s="18"/>
      <c r="G489" s="19"/>
      <c r="H489" s="13"/>
    </row>
    <row r="490" spans="1:8">
      <c r="A490" s="14"/>
      <c r="B490" s="15"/>
      <c r="C490" s="16"/>
      <c r="D490" s="17"/>
      <c r="E490" s="12"/>
      <c r="F490" s="18"/>
      <c r="G490" s="19"/>
      <c r="H490" s="13"/>
    </row>
    <row r="491" spans="1:8">
      <c r="A491" s="14"/>
      <c r="B491" s="15"/>
      <c r="C491" s="16"/>
      <c r="D491" s="17"/>
      <c r="E491" s="12"/>
      <c r="F491" s="18"/>
      <c r="G491" s="19"/>
      <c r="H491" s="13"/>
    </row>
    <row r="492" spans="1:8">
      <c r="A492" s="14"/>
      <c r="B492" s="15"/>
      <c r="C492" s="16"/>
      <c r="D492" s="17"/>
      <c r="E492" s="12"/>
      <c r="F492" s="18"/>
      <c r="G492" s="19"/>
      <c r="H492" s="13"/>
    </row>
    <row r="493" spans="1:8">
      <c r="A493" s="14"/>
      <c r="B493" s="15"/>
      <c r="C493" s="16"/>
      <c r="D493" s="17"/>
      <c r="E493" s="12"/>
      <c r="F493" s="18"/>
      <c r="G493" s="19"/>
      <c r="H493" s="13"/>
    </row>
    <row r="494" spans="1:8">
      <c r="A494" s="14"/>
      <c r="B494" s="15"/>
      <c r="C494" s="16"/>
      <c r="D494" s="17"/>
      <c r="E494" s="12"/>
      <c r="F494" s="18"/>
      <c r="G494" s="19"/>
      <c r="H494" s="13"/>
    </row>
    <row r="495" spans="1:8">
      <c r="A495" s="14"/>
      <c r="B495" s="15"/>
      <c r="C495" s="16"/>
      <c r="D495" s="17"/>
      <c r="E495" s="12"/>
      <c r="F495" s="18"/>
      <c r="G495" s="19"/>
      <c r="H495" s="13"/>
    </row>
    <row r="496" spans="1:8">
      <c r="A496" s="14"/>
      <c r="B496" s="15"/>
      <c r="C496" s="16"/>
      <c r="D496" s="17"/>
      <c r="E496" s="12"/>
      <c r="F496" s="18"/>
      <c r="G496" s="19"/>
      <c r="H496" s="13"/>
    </row>
    <row r="497" spans="1:8">
      <c r="A497" s="14"/>
      <c r="B497" s="15"/>
      <c r="C497" s="16"/>
      <c r="D497" s="20"/>
      <c r="E497" s="12"/>
      <c r="F497" s="18"/>
      <c r="G497" s="19"/>
      <c r="H497" s="13"/>
    </row>
    <row r="498" spans="1:8">
      <c r="A498" s="14"/>
      <c r="B498" s="15"/>
      <c r="C498" s="16"/>
      <c r="D498" s="20"/>
      <c r="E498" s="12"/>
      <c r="F498" s="18"/>
      <c r="G498" s="19"/>
      <c r="H498" s="13"/>
    </row>
    <row r="499" spans="1:8" ht="13.5" thickBot="1">
      <c r="A499" s="21"/>
      <c r="B499" s="22"/>
      <c r="C499" s="23"/>
      <c r="D499" s="24"/>
      <c r="E499" s="37"/>
      <c r="F499" s="25"/>
      <c r="G499" s="26"/>
      <c r="H499" s="27"/>
    </row>
  </sheetData>
  <sheetProtection sheet="1" objects="1" scenarios="1" formatCells="0" formatColumns="0" formatRows="0" insertColumns="0" insertRows="0" insertHyperlinks="0" deleteColumns="0" deleteRows="0" sort="0" autoFilter="0" pivotTables="0"/>
  <dataConsolidate/>
  <mergeCells count="2">
    <mergeCell ref="G1:H1"/>
    <mergeCell ref="E3:F3"/>
  </mergeCells>
  <phoneticPr fontId="14" type="noConversion"/>
  <conditionalFormatting sqref="A1">
    <cfRule type="cellIs" dxfId="10200" priority="8" stopIfTrue="1" operator="equal">
      <formula>"NOK"</formula>
    </cfRule>
  </conditionalFormatting>
  <conditionalFormatting sqref="G5:G499">
    <cfRule type="cellIs" dxfId="10199" priority="7" stopIfTrue="1" operator="notEqual">
      <formula>H5</formula>
    </cfRule>
  </conditionalFormatting>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sheetPr codeName="Sheet55">
    <tabColor rgb="FF92D050"/>
  </sheetPr>
  <dimension ref="A1:AB825"/>
  <sheetViews>
    <sheetView showGridLines="0" zoomScale="80" zoomScaleNormal="80" workbookViewId="0">
      <pane xSplit="6" ySplit="4" topLeftCell="G5" activePane="bottomRight" state="frozenSplit"/>
      <selection pane="topRight" activeCell="F1" sqref="F1"/>
      <selection pane="bottomLeft" activeCell="A5" sqref="A5"/>
      <selection pane="bottomRight" activeCell="F1" sqref="F1"/>
    </sheetView>
  </sheetViews>
  <sheetFormatPr defaultRowHeight="12.75"/>
  <cols>
    <col min="1" max="1" width="23.875" style="28" customWidth="1"/>
    <col min="2" max="2" width="8.625" style="28" customWidth="1"/>
    <col min="3" max="3" width="8.625" style="29" customWidth="1"/>
    <col min="4" max="4" width="16.625" style="28" customWidth="1"/>
    <col min="5" max="5" width="9.125" style="28" customWidth="1"/>
    <col min="6" max="6" width="16.625" style="30" customWidth="1"/>
    <col min="7" max="7" width="24.625" style="31" customWidth="1"/>
    <col min="8" max="8" width="24.625" style="32" customWidth="1"/>
    <col min="9" max="9" width="24.625" style="31" customWidth="1"/>
    <col min="10" max="10" width="24.625" style="32" customWidth="1"/>
    <col min="11" max="11" width="8.625" style="31" customWidth="1"/>
    <col min="12" max="12" width="8.625" style="32" customWidth="1"/>
    <col min="13" max="13" width="8.625" style="31" customWidth="1"/>
    <col min="14" max="14" width="8.625" style="32" customWidth="1"/>
    <col min="15" max="15" width="8.625" style="31" customWidth="1"/>
    <col min="16" max="16" width="8.625" style="32" customWidth="1"/>
    <col min="17" max="17" width="10.375" style="31" customWidth="1"/>
    <col min="18" max="18" width="11.375" style="32" bestFit="1" customWidth="1"/>
    <col min="19" max="19" width="8.625" style="31" customWidth="1"/>
    <col min="20" max="20" width="8.625" style="32" customWidth="1"/>
    <col min="21" max="21" width="8.625" style="31" customWidth="1"/>
    <col min="22" max="22" width="8.625" style="32" customWidth="1"/>
    <col min="23" max="23" width="8.625" style="31" customWidth="1"/>
    <col min="24" max="24" width="8.625" style="32" customWidth="1"/>
    <col min="25" max="25" width="8.625" style="31" customWidth="1"/>
    <col min="26" max="26" width="8.625" style="32" customWidth="1"/>
    <col min="27" max="27" width="1.25" style="6" customWidth="1"/>
    <col min="28" max="28" width="21.375" style="6" customWidth="1"/>
    <col min="29" max="274" width="9" style="6"/>
    <col min="275" max="275" width="12" style="6" customWidth="1"/>
    <col min="276" max="276" width="7.125" style="6" customWidth="1"/>
    <col min="277" max="277" width="9" style="6"/>
    <col min="278" max="278" width="16" style="6" customWidth="1"/>
    <col min="279" max="279" width="13.75" style="6" customWidth="1"/>
    <col min="280" max="281" width="9.75" style="6" customWidth="1"/>
    <col min="282" max="530" width="9" style="6"/>
    <col min="531" max="531" width="12" style="6" customWidth="1"/>
    <col min="532" max="532" width="7.125" style="6" customWidth="1"/>
    <col min="533" max="533" width="9" style="6"/>
    <col min="534" max="534" width="16" style="6" customWidth="1"/>
    <col min="535" max="535" width="13.75" style="6" customWidth="1"/>
    <col min="536" max="537" width="9.75" style="6" customWidth="1"/>
    <col min="538" max="786" width="9" style="6"/>
    <col min="787" max="787" width="12" style="6" customWidth="1"/>
    <col min="788" max="788" width="7.125" style="6" customWidth="1"/>
    <col min="789" max="789" width="9" style="6"/>
    <col min="790" max="790" width="16" style="6" customWidth="1"/>
    <col min="791" max="791" width="13.75" style="6" customWidth="1"/>
    <col min="792" max="793" width="9.75" style="6" customWidth="1"/>
    <col min="794" max="1042" width="9" style="6"/>
    <col min="1043" max="1043" width="12" style="6" customWidth="1"/>
    <col min="1044" max="1044" width="7.125" style="6" customWidth="1"/>
    <col min="1045" max="1045" width="9" style="6"/>
    <col min="1046" max="1046" width="16" style="6" customWidth="1"/>
    <col min="1047" max="1047" width="13.75" style="6" customWidth="1"/>
    <col min="1048" max="1049" width="9.75" style="6" customWidth="1"/>
    <col min="1050" max="1298" width="9" style="6"/>
    <col min="1299" max="1299" width="12" style="6" customWidth="1"/>
    <col min="1300" max="1300" width="7.125" style="6" customWidth="1"/>
    <col min="1301" max="1301" width="9" style="6"/>
    <col min="1302" max="1302" width="16" style="6" customWidth="1"/>
    <col min="1303" max="1303" width="13.75" style="6" customWidth="1"/>
    <col min="1304" max="1305" width="9.75" style="6" customWidth="1"/>
    <col min="1306" max="1554" width="9" style="6"/>
    <col min="1555" max="1555" width="12" style="6" customWidth="1"/>
    <col min="1556" max="1556" width="7.125" style="6" customWidth="1"/>
    <col min="1557" max="1557" width="9" style="6"/>
    <col min="1558" max="1558" width="16" style="6" customWidth="1"/>
    <col min="1559" max="1559" width="13.75" style="6" customWidth="1"/>
    <col min="1560" max="1561" width="9.75" style="6" customWidth="1"/>
    <col min="1562" max="1810" width="9" style="6"/>
    <col min="1811" max="1811" width="12" style="6" customWidth="1"/>
    <col min="1812" max="1812" width="7.125" style="6" customWidth="1"/>
    <col min="1813" max="1813" width="9" style="6"/>
    <col min="1814" max="1814" width="16" style="6" customWidth="1"/>
    <col min="1815" max="1815" width="13.75" style="6" customWidth="1"/>
    <col min="1816" max="1817" width="9.75" style="6" customWidth="1"/>
    <col min="1818" max="2066" width="9" style="6"/>
    <col min="2067" max="2067" width="12" style="6" customWidth="1"/>
    <col min="2068" max="2068" width="7.125" style="6" customWidth="1"/>
    <col min="2069" max="2069" width="9" style="6"/>
    <col min="2070" max="2070" width="16" style="6" customWidth="1"/>
    <col min="2071" max="2071" width="13.75" style="6" customWidth="1"/>
    <col min="2072" max="2073" width="9.75" style="6" customWidth="1"/>
    <col min="2074" max="2322" width="9" style="6"/>
    <col min="2323" max="2323" width="12" style="6" customWidth="1"/>
    <col min="2324" max="2324" width="7.125" style="6" customWidth="1"/>
    <col min="2325" max="2325" width="9" style="6"/>
    <col min="2326" max="2326" width="16" style="6" customWidth="1"/>
    <col min="2327" max="2327" width="13.75" style="6" customWidth="1"/>
    <col min="2328" max="2329" width="9.75" style="6" customWidth="1"/>
    <col min="2330" max="2578" width="9" style="6"/>
    <col min="2579" max="2579" width="12" style="6" customWidth="1"/>
    <col min="2580" max="2580" width="7.125" style="6" customWidth="1"/>
    <col min="2581" max="2581" width="9" style="6"/>
    <col min="2582" max="2582" width="16" style="6" customWidth="1"/>
    <col min="2583" max="2583" width="13.75" style="6" customWidth="1"/>
    <col min="2584" max="2585" width="9.75" style="6" customWidth="1"/>
    <col min="2586" max="2834" width="9" style="6"/>
    <col min="2835" max="2835" width="12" style="6" customWidth="1"/>
    <col min="2836" max="2836" width="7.125" style="6" customWidth="1"/>
    <col min="2837" max="2837" width="9" style="6"/>
    <col min="2838" max="2838" width="16" style="6" customWidth="1"/>
    <col min="2839" max="2839" width="13.75" style="6" customWidth="1"/>
    <col min="2840" max="2841" width="9.75" style="6" customWidth="1"/>
    <col min="2842" max="3090" width="9" style="6"/>
    <col min="3091" max="3091" width="12" style="6" customWidth="1"/>
    <col min="3092" max="3092" width="7.125" style="6" customWidth="1"/>
    <col min="3093" max="3093" width="9" style="6"/>
    <col min="3094" max="3094" width="16" style="6" customWidth="1"/>
    <col min="3095" max="3095" width="13.75" style="6" customWidth="1"/>
    <col min="3096" max="3097" width="9.75" style="6" customWidth="1"/>
    <col min="3098" max="3346" width="9" style="6"/>
    <col min="3347" max="3347" width="12" style="6" customWidth="1"/>
    <col min="3348" max="3348" width="7.125" style="6" customWidth="1"/>
    <col min="3349" max="3349" width="9" style="6"/>
    <col min="3350" max="3350" width="16" style="6" customWidth="1"/>
    <col min="3351" max="3351" width="13.75" style="6" customWidth="1"/>
    <col min="3352" max="3353" width="9.75" style="6" customWidth="1"/>
    <col min="3354" max="3602" width="9" style="6"/>
    <col min="3603" max="3603" width="12" style="6" customWidth="1"/>
    <col min="3604" max="3604" width="7.125" style="6" customWidth="1"/>
    <col min="3605" max="3605" width="9" style="6"/>
    <col min="3606" max="3606" width="16" style="6" customWidth="1"/>
    <col min="3607" max="3607" width="13.75" style="6" customWidth="1"/>
    <col min="3608" max="3609" width="9.75" style="6" customWidth="1"/>
    <col min="3610" max="3858" width="9" style="6"/>
    <col min="3859" max="3859" width="12" style="6" customWidth="1"/>
    <col min="3860" max="3860" width="7.125" style="6" customWidth="1"/>
    <col min="3861" max="3861" width="9" style="6"/>
    <col min="3862" max="3862" width="16" style="6" customWidth="1"/>
    <col min="3863" max="3863" width="13.75" style="6" customWidth="1"/>
    <col min="3864" max="3865" width="9.75" style="6" customWidth="1"/>
    <col min="3866" max="4114" width="9" style="6"/>
    <col min="4115" max="4115" width="12" style="6" customWidth="1"/>
    <col min="4116" max="4116" width="7.125" style="6" customWidth="1"/>
    <col min="4117" max="4117" width="9" style="6"/>
    <col min="4118" max="4118" width="16" style="6" customWidth="1"/>
    <col min="4119" max="4119" width="13.75" style="6" customWidth="1"/>
    <col min="4120" max="4121" width="9.75" style="6" customWidth="1"/>
    <col min="4122" max="4370" width="9" style="6"/>
    <col min="4371" max="4371" width="12" style="6" customWidth="1"/>
    <col min="4372" max="4372" width="7.125" style="6" customWidth="1"/>
    <col min="4373" max="4373" width="9" style="6"/>
    <col min="4374" max="4374" width="16" style="6" customWidth="1"/>
    <col min="4375" max="4375" width="13.75" style="6" customWidth="1"/>
    <col min="4376" max="4377" width="9.75" style="6" customWidth="1"/>
    <col min="4378" max="4626" width="9" style="6"/>
    <col min="4627" max="4627" width="12" style="6" customWidth="1"/>
    <col min="4628" max="4628" width="7.125" style="6" customWidth="1"/>
    <col min="4629" max="4629" width="9" style="6"/>
    <col min="4630" max="4630" width="16" style="6" customWidth="1"/>
    <col min="4631" max="4631" width="13.75" style="6" customWidth="1"/>
    <col min="4632" max="4633" width="9.75" style="6" customWidth="1"/>
    <col min="4634" max="4882" width="9" style="6"/>
    <col min="4883" max="4883" width="12" style="6" customWidth="1"/>
    <col min="4884" max="4884" width="7.125" style="6" customWidth="1"/>
    <col min="4885" max="4885" width="9" style="6"/>
    <col min="4886" max="4886" width="16" style="6" customWidth="1"/>
    <col min="4887" max="4887" width="13.75" style="6" customWidth="1"/>
    <col min="4888" max="4889" width="9.75" style="6" customWidth="1"/>
    <col min="4890" max="5138" width="9" style="6"/>
    <col min="5139" max="5139" width="12" style="6" customWidth="1"/>
    <col min="5140" max="5140" width="7.125" style="6" customWidth="1"/>
    <col min="5141" max="5141" width="9" style="6"/>
    <col min="5142" max="5142" width="16" style="6" customWidth="1"/>
    <col min="5143" max="5143" width="13.75" style="6" customWidth="1"/>
    <col min="5144" max="5145" width="9.75" style="6" customWidth="1"/>
    <col min="5146" max="5394" width="9" style="6"/>
    <col min="5395" max="5395" width="12" style="6" customWidth="1"/>
    <col min="5396" max="5396" width="7.125" style="6" customWidth="1"/>
    <col min="5397" max="5397" width="9" style="6"/>
    <col min="5398" max="5398" width="16" style="6" customWidth="1"/>
    <col min="5399" max="5399" width="13.75" style="6" customWidth="1"/>
    <col min="5400" max="5401" width="9.75" style="6" customWidth="1"/>
    <col min="5402" max="5650" width="9" style="6"/>
    <col min="5651" max="5651" width="12" style="6" customWidth="1"/>
    <col min="5652" max="5652" width="7.125" style="6" customWidth="1"/>
    <col min="5653" max="5653" width="9" style="6"/>
    <col min="5654" max="5654" width="16" style="6" customWidth="1"/>
    <col min="5655" max="5655" width="13.75" style="6" customWidth="1"/>
    <col min="5656" max="5657" width="9.75" style="6" customWidth="1"/>
    <col min="5658" max="5906" width="9" style="6"/>
    <col min="5907" max="5907" width="12" style="6" customWidth="1"/>
    <col min="5908" max="5908" width="7.125" style="6" customWidth="1"/>
    <col min="5909" max="5909" width="9" style="6"/>
    <col min="5910" max="5910" width="16" style="6" customWidth="1"/>
    <col min="5911" max="5911" width="13.75" style="6" customWidth="1"/>
    <col min="5912" max="5913" width="9.75" style="6" customWidth="1"/>
    <col min="5914" max="6162" width="9" style="6"/>
    <col min="6163" max="6163" width="12" style="6" customWidth="1"/>
    <col min="6164" max="6164" width="7.125" style="6" customWidth="1"/>
    <col min="6165" max="6165" width="9" style="6"/>
    <col min="6166" max="6166" width="16" style="6" customWidth="1"/>
    <col min="6167" max="6167" width="13.75" style="6" customWidth="1"/>
    <col min="6168" max="6169" width="9.75" style="6" customWidth="1"/>
    <col min="6170" max="6418" width="9" style="6"/>
    <col min="6419" max="6419" width="12" style="6" customWidth="1"/>
    <col min="6420" max="6420" width="7.125" style="6" customWidth="1"/>
    <col min="6421" max="6421" width="9" style="6"/>
    <col min="6422" max="6422" width="16" style="6" customWidth="1"/>
    <col min="6423" max="6423" width="13.75" style="6" customWidth="1"/>
    <col min="6424" max="6425" width="9.75" style="6" customWidth="1"/>
    <col min="6426" max="6674" width="9" style="6"/>
    <col min="6675" max="6675" width="12" style="6" customWidth="1"/>
    <col min="6676" max="6676" width="7.125" style="6" customWidth="1"/>
    <col min="6677" max="6677" width="9" style="6"/>
    <col min="6678" max="6678" width="16" style="6" customWidth="1"/>
    <col min="6679" max="6679" width="13.75" style="6" customWidth="1"/>
    <col min="6680" max="6681" width="9.75" style="6" customWidth="1"/>
    <col min="6682" max="6930" width="9" style="6"/>
    <col min="6931" max="6931" width="12" style="6" customWidth="1"/>
    <col min="6932" max="6932" width="7.125" style="6" customWidth="1"/>
    <col min="6933" max="6933" width="9" style="6"/>
    <col min="6934" max="6934" width="16" style="6" customWidth="1"/>
    <col min="6935" max="6935" width="13.75" style="6" customWidth="1"/>
    <col min="6936" max="6937" width="9.75" style="6" customWidth="1"/>
    <col min="6938" max="7186" width="9" style="6"/>
    <col min="7187" max="7187" width="12" style="6" customWidth="1"/>
    <col min="7188" max="7188" width="7.125" style="6" customWidth="1"/>
    <col min="7189" max="7189" width="9" style="6"/>
    <col min="7190" max="7190" width="16" style="6" customWidth="1"/>
    <col min="7191" max="7191" width="13.75" style="6" customWidth="1"/>
    <col min="7192" max="7193" width="9.75" style="6" customWidth="1"/>
    <col min="7194" max="7442" width="9" style="6"/>
    <col min="7443" max="7443" width="12" style="6" customWidth="1"/>
    <col min="7444" max="7444" width="7.125" style="6" customWidth="1"/>
    <col min="7445" max="7445" width="9" style="6"/>
    <col min="7446" max="7446" width="16" style="6" customWidth="1"/>
    <col min="7447" max="7447" width="13.75" style="6" customWidth="1"/>
    <col min="7448" max="7449" width="9.75" style="6" customWidth="1"/>
    <col min="7450" max="7698" width="9" style="6"/>
    <col min="7699" max="7699" width="12" style="6" customWidth="1"/>
    <col min="7700" max="7700" width="7.125" style="6" customWidth="1"/>
    <col min="7701" max="7701" width="9" style="6"/>
    <col min="7702" max="7702" width="16" style="6" customWidth="1"/>
    <col min="7703" max="7703" width="13.75" style="6" customWidth="1"/>
    <col min="7704" max="7705" width="9.75" style="6" customWidth="1"/>
    <col min="7706" max="7954" width="9" style="6"/>
    <col min="7955" max="7955" width="12" style="6" customWidth="1"/>
    <col min="7956" max="7956" width="7.125" style="6" customWidth="1"/>
    <col min="7957" max="7957" width="9" style="6"/>
    <col min="7958" max="7958" width="16" style="6" customWidth="1"/>
    <col min="7959" max="7959" width="13.75" style="6" customWidth="1"/>
    <col min="7960" max="7961" width="9.75" style="6" customWidth="1"/>
    <col min="7962" max="8210" width="9" style="6"/>
    <col min="8211" max="8211" width="12" style="6" customWidth="1"/>
    <col min="8212" max="8212" width="7.125" style="6" customWidth="1"/>
    <col min="8213" max="8213" width="9" style="6"/>
    <col min="8214" max="8214" width="16" style="6" customWidth="1"/>
    <col min="8215" max="8215" width="13.75" style="6" customWidth="1"/>
    <col min="8216" max="8217" width="9.75" style="6" customWidth="1"/>
    <col min="8218" max="8466" width="9" style="6"/>
    <col min="8467" max="8467" width="12" style="6" customWidth="1"/>
    <col min="8468" max="8468" width="7.125" style="6" customWidth="1"/>
    <col min="8469" max="8469" width="9" style="6"/>
    <col min="8470" max="8470" width="16" style="6" customWidth="1"/>
    <col min="8471" max="8471" width="13.75" style="6" customWidth="1"/>
    <col min="8472" max="8473" width="9.75" style="6" customWidth="1"/>
    <col min="8474" max="8722" width="9" style="6"/>
    <col min="8723" max="8723" width="12" style="6" customWidth="1"/>
    <col min="8724" max="8724" width="7.125" style="6" customWidth="1"/>
    <col min="8725" max="8725" width="9" style="6"/>
    <col min="8726" max="8726" width="16" style="6" customWidth="1"/>
    <col min="8727" max="8727" width="13.75" style="6" customWidth="1"/>
    <col min="8728" max="8729" width="9.75" style="6" customWidth="1"/>
    <col min="8730" max="8978" width="9" style="6"/>
    <col min="8979" max="8979" width="12" style="6" customWidth="1"/>
    <col min="8980" max="8980" width="7.125" style="6" customWidth="1"/>
    <col min="8981" max="8981" width="9" style="6"/>
    <col min="8982" max="8982" width="16" style="6" customWidth="1"/>
    <col min="8983" max="8983" width="13.75" style="6" customWidth="1"/>
    <col min="8984" max="8985" width="9.75" style="6" customWidth="1"/>
    <col min="8986" max="9234" width="9" style="6"/>
    <col min="9235" max="9235" width="12" style="6" customWidth="1"/>
    <col min="9236" max="9236" width="7.125" style="6" customWidth="1"/>
    <col min="9237" max="9237" width="9" style="6"/>
    <col min="9238" max="9238" width="16" style="6" customWidth="1"/>
    <col min="9239" max="9239" width="13.75" style="6" customWidth="1"/>
    <col min="9240" max="9241" width="9.75" style="6" customWidth="1"/>
    <col min="9242" max="9490" width="9" style="6"/>
    <col min="9491" max="9491" width="12" style="6" customWidth="1"/>
    <col min="9492" max="9492" width="7.125" style="6" customWidth="1"/>
    <col min="9493" max="9493" width="9" style="6"/>
    <col min="9494" max="9494" width="16" style="6" customWidth="1"/>
    <col min="9495" max="9495" width="13.75" style="6" customWidth="1"/>
    <col min="9496" max="9497" width="9.75" style="6" customWidth="1"/>
    <col min="9498" max="9746" width="9" style="6"/>
    <col min="9747" max="9747" width="12" style="6" customWidth="1"/>
    <col min="9748" max="9748" width="7.125" style="6" customWidth="1"/>
    <col min="9749" max="9749" width="9" style="6"/>
    <col min="9750" max="9750" width="16" style="6" customWidth="1"/>
    <col min="9751" max="9751" width="13.75" style="6" customWidth="1"/>
    <col min="9752" max="9753" width="9.75" style="6" customWidth="1"/>
    <col min="9754" max="10002" width="9" style="6"/>
    <col min="10003" max="10003" width="12" style="6" customWidth="1"/>
    <col min="10004" max="10004" width="7.125" style="6" customWidth="1"/>
    <col min="10005" max="10005" width="9" style="6"/>
    <col min="10006" max="10006" width="16" style="6" customWidth="1"/>
    <col min="10007" max="10007" width="13.75" style="6" customWidth="1"/>
    <col min="10008" max="10009" width="9.75" style="6" customWidth="1"/>
    <col min="10010" max="10258" width="9" style="6"/>
    <col min="10259" max="10259" width="12" style="6" customWidth="1"/>
    <col min="10260" max="10260" width="7.125" style="6" customWidth="1"/>
    <col min="10261" max="10261" width="9" style="6"/>
    <col min="10262" max="10262" width="16" style="6" customWidth="1"/>
    <col min="10263" max="10263" width="13.75" style="6" customWidth="1"/>
    <col min="10264" max="10265" width="9.75" style="6" customWidth="1"/>
    <col min="10266" max="10514" width="9" style="6"/>
    <col min="10515" max="10515" width="12" style="6" customWidth="1"/>
    <col min="10516" max="10516" width="7.125" style="6" customWidth="1"/>
    <col min="10517" max="10517" width="9" style="6"/>
    <col min="10518" max="10518" width="16" style="6" customWidth="1"/>
    <col min="10519" max="10519" width="13.75" style="6" customWidth="1"/>
    <col min="10520" max="10521" width="9.75" style="6" customWidth="1"/>
    <col min="10522" max="10770" width="9" style="6"/>
    <col min="10771" max="10771" width="12" style="6" customWidth="1"/>
    <col min="10772" max="10772" width="7.125" style="6" customWidth="1"/>
    <col min="10773" max="10773" width="9" style="6"/>
    <col min="10774" max="10774" width="16" style="6" customWidth="1"/>
    <col min="10775" max="10775" width="13.75" style="6" customWidth="1"/>
    <col min="10776" max="10777" width="9.75" style="6" customWidth="1"/>
    <col min="10778" max="11026" width="9" style="6"/>
    <col min="11027" max="11027" width="12" style="6" customWidth="1"/>
    <col min="11028" max="11028" width="7.125" style="6" customWidth="1"/>
    <col min="11029" max="11029" width="9" style="6"/>
    <col min="11030" max="11030" width="16" style="6" customWidth="1"/>
    <col min="11031" max="11031" width="13.75" style="6" customWidth="1"/>
    <col min="11032" max="11033" width="9.75" style="6" customWidth="1"/>
    <col min="11034" max="11282" width="9" style="6"/>
    <col min="11283" max="11283" width="12" style="6" customWidth="1"/>
    <col min="11284" max="11284" width="7.125" style="6" customWidth="1"/>
    <col min="11285" max="11285" width="9" style="6"/>
    <col min="11286" max="11286" width="16" style="6" customWidth="1"/>
    <col min="11287" max="11287" width="13.75" style="6" customWidth="1"/>
    <col min="11288" max="11289" width="9.75" style="6" customWidth="1"/>
    <col min="11290" max="11538" width="9" style="6"/>
    <col min="11539" max="11539" width="12" style="6" customWidth="1"/>
    <col min="11540" max="11540" width="7.125" style="6" customWidth="1"/>
    <col min="11541" max="11541" width="9" style="6"/>
    <col min="11542" max="11542" width="16" style="6" customWidth="1"/>
    <col min="11543" max="11543" width="13.75" style="6" customWidth="1"/>
    <col min="11544" max="11545" width="9.75" style="6" customWidth="1"/>
    <col min="11546" max="11794" width="9" style="6"/>
    <col min="11795" max="11795" width="12" style="6" customWidth="1"/>
    <col min="11796" max="11796" width="7.125" style="6" customWidth="1"/>
    <col min="11797" max="11797" width="9" style="6"/>
    <col min="11798" max="11798" width="16" style="6" customWidth="1"/>
    <col min="11799" max="11799" width="13.75" style="6" customWidth="1"/>
    <col min="11800" max="11801" width="9.75" style="6" customWidth="1"/>
    <col min="11802" max="12050" width="9" style="6"/>
    <col min="12051" max="12051" width="12" style="6" customWidth="1"/>
    <col min="12052" max="12052" width="7.125" style="6" customWidth="1"/>
    <col min="12053" max="12053" width="9" style="6"/>
    <col min="12054" max="12054" width="16" style="6" customWidth="1"/>
    <col min="12055" max="12055" width="13.75" style="6" customWidth="1"/>
    <col min="12056" max="12057" width="9.75" style="6" customWidth="1"/>
    <col min="12058" max="12306" width="9" style="6"/>
    <col min="12307" max="12307" width="12" style="6" customWidth="1"/>
    <col min="12308" max="12308" width="7.125" style="6" customWidth="1"/>
    <col min="12309" max="12309" width="9" style="6"/>
    <col min="12310" max="12310" width="16" style="6" customWidth="1"/>
    <col min="12311" max="12311" width="13.75" style="6" customWidth="1"/>
    <col min="12312" max="12313" width="9.75" style="6" customWidth="1"/>
    <col min="12314" max="12562" width="9" style="6"/>
    <col min="12563" max="12563" width="12" style="6" customWidth="1"/>
    <col min="12564" max="12564" width="7.125" style="6" customWidth="1"/>
    <col min="12565" max="12565" width="9" style="6"/>
    <col min="12566" max="12566" width="16" style="6" customWidth="1"/>
    <col min="12567" max="12567" width="13.75" style="6" customWidth="1"/>
    <col min="12568" max="12569" width="9.75" style="6" customWidth="1"/>
    <col min="12570" max="12818" width="9" style="6"/>
    <col min="12819" max="12819" width="12" style="6" customWidth="1"/>
    <col min="12820" max="12820" width="7.125" style="6" customWidth="1"/>
    <col min="12821" max="12821" width="9" style="6"/>
    <col min="12822" max="12822" width="16" style="6" customWidth="1"/>
    <col min="12823" max="12823" width="13.75" style="6" customWidth="1"/>
    <col min="12824" max="12825" width="9.75" style="6" customWidth="1"/>
    <col min="12826" max="13074" width="9" style="6"/>
    <col min="13075" max="13075" width="12" style="6" customWidth="1"/>
    <col min="13076" max="13076" width="7.125" style="6" customWidth="1"/>
    <col min="13077" max="13077" width="9" style="6"/>
    <col min="13078" max="13078" width="16" style="6" customWidth="1"/>
    <col min="13079" max="13079" width="13.75" style="6" customWidth="1"/>
    <col min="13080" max="13081" width="9.75" style="6" customWidth="1"/>
    <col min="13082" max="13330" width="9" style="6"/>
    <col min="13331" max="13331" width="12" style="6" customWidth="1"/>
    <col min="13332" max="13332" width="7.125" style="6" customWidth="1"/>
    <col min="13333" max="13333" width="9" style="6"/>
    <col min="13334" max="13334" width="16" style="6" customWidth="1"/>
    <col min="13335" max="13335" width="13.75" style="6" customWidth="1"/>
    <col min="13336" max="13337" width="9.75" style="6" customWidth="1"/>
    <col min="13338" max="13586" width="9" style="6"/>
    <col min="13587" max="13587" width="12" style="6" customWidth="1"/>
    <col min="13588" max="13588" width="7.125" style="6" customWidth="1"/>
    <col min="13589" max="13589" width="9" style="6"/>
    <col min="13590" max="13590" width="16" style="6" customWidth="1"/>
    <col min="13591" max="13591" width="13.75" style="6" customWidth="1"/>
    <col min="13592" max="13593" width="9.75" style="6" customWidth="1"/>
    <col min="13594" max="13842" width="9" style="6"/>
    <col min="13843" max="13843" width="12" style="6" customWidth="1"/>
    <col min="13844" max="13844" width="7.125" style="6" customWidth="1"/>
    <col min="13845" max="13845" width="9" style="6"/>
    <col min="13846" max="13846" width="16" style="6" customWidth="1"/>
    <col min="13847" max="13847" width="13.75" style="6" customWidth="1"/>
    <col min="13848" max="13849" width="9.75" style="6" customWidth="1"/>
    <col min="13850" max="14098" width="9" style="6"/>
    <col min="14099" max="14099" width="12" style="6" customWidth="1"/>
    <col min="14100" max="14100" width="7.125" style="6" customWidth="1"/>
    <col min="14101" max="14101" width="9" style="6"/>
    <col min="14102" max="14102" width="16" style="6" customWidth="1"/>
    <col min="14103" max="14103" width="13.75" style="6" customWidth="1"/>
    <col min="14104" max="14105" width="9.75" style="6" customWidth="1"/>
    <col min="14106" max="14354" width="9" style="6"/>
    <col min="14355" max="14355" width="12" style="6" customWidth="1"/>
    <col min="14356" max="14356" width="7.125" style="6" customWidth="1"/>
    <col min="14357" max="14357" width="9" style="6"/>
    <col min="14358" max="14358" width="16" style="6" customWidth="1"/>
    <col min="14359" max="14359" width="13.75" style="6" customWidth="1"/>
    <col min="14360" max="14361" width="9.75" style="6" customWidth="1"/>
    <col min="14362" max="14610" width="9" style="6"/>
    <col min="14611" max="14611" width="12" style="6" customWidth="1"/>
    <col min="14612" max="14612" width="7.125" style="6" customWidth="1"/>
    <col min="14613" max="14613" width="9" style="6"/>
    <col min="14614" max="14614" width="16" style="6" customWidth="1"/>
    <col min="14615" max="14615" width="13.75" style="6" customWidth="1"/>
    <col min="14616" max="14617" width="9.75" style="6" customWidth="1"/>
    <col min="14618" max="14866" width="9" style="6"/>
    <col min="14867" max="14867" width="12" style="6" customWidth="1"/>
    <col min="14868" max="14868" width="7.125" style="6" customWidth="1"/>
    <col min="14869" max="14869" width="9" style="6"/>
    <col min="14870" max="14870" width="16" style="6" customWidth="1"/>
    <col min="14871" max="14871" width="13.75" style="6" customWidth="1"/>
    <col min="14872" max="14873" width="9.75" style="6" customWidth="1"/>
    <col min="14874" max="15122" width="9" style="6"/>
    <col min="15123" max="15123" width="12" style="6" customWidth="1"/>
    <col min="15124" max="15124" width="7.125" style="6" customWidth="1"/>
    <col min="15125" max="15125" width="9" style="6"/>
    <col min="15126" max="15126" width="16" style="6" customWidth="1"/>
    <col min="15127" max="15127" width="13.75" style="6" customWidth="1"/>
    <col min="15128" max="15129" width="9.75" style="6" customWidth="1"/>
    <col min="15130" max="15378" width="9" style="6"/>
    <col min="15379" max="15379" width="12" style="6" customWidth="1"/>
    <col min="15380" max="15380" width="7.125" style="6" customWidth="1"/>
    <col min="15381" max="15381" width="9" style="6"/>
    <col min="15382" max="15382" width="16" style="6" customWidth="1"/>
    <col min="15383" max="15383" width="13.75" style="6" customWidth="1"/>
    <col min="15384" max="15385" width="9.75" style="6" customWidth="1"/>
    <col min="15386" max="15634" width="9" style="6"/>
    <col min="15635" max="15635" width="12" style="6" customWidth="1"/>
    <col min="15636" max="15636" width="7.125" style="6" customWidth="1"/>
    <col min="15637" max="15637" width="9" style="6"/>
    <col min="15638" max="15638" width="16" style="6" customWidth="1"/>
    <col min="15639" max="15639" width="13.75" style="6" customWidth="1"/>
    <col min="15640" max="15641" width="9.75" style="6" customWidth="1"/>
    <col min="15642" max="15890" width="9" style="6"/>
    <col min="15891" max="15891" width="12" style="6" customWidth="1"/>
    <col min="15892" max="15892" width="7.125" style="6" customWidth="1"/>
    <col min="15893" max="15893" width="9" style="6"/>
    <col min="15894" max="15894" width="16" style="6" customWidth="1"/>
    <col min="15895" max="15895" width="13.75" style="6" customWidth="1"/>
    <col min="15896" max="15897" width="9.75" style="6" customWidth="1"/>
    <col min="15898" max="16146" width="9" style="6"/>
    <col min="16147" max="16147" width="12" style="6" customWidth="1"/>
    <col min="16148" max="16148" width="7.125" style="6" customWidth="1"/>
    <col min="16149" max="16149" width="9" style="6"/>
    <col min="16150" max="16150" width="16" style="6" customWidth="1"/>
    <col min="16151" max="16151" width="13.75" style="6" customWidth="1"/>
    <col min="16152" max="16153" width="9.75" style="6" customWidth="1"/>
    <col min="16154" max="16384" width="9" style="6"/>
  </cols>
  <sheetData>
    <row r="1" spans="1:28" s="2" customFormat="1" ht="23.25" customHeight="1" thickBot="1">
      <c r="A1" s="1" t="e">
        <f>IF(SUM(2:2)=0,"OK","NOK")</f>
        <v>#DIV/0!</v>
      </c>
      <c r="F1" s="43" t="s">
        <v>299</v>
      </c>
      <c r="G1" s="1085" t="s">
        <v>300</v>
      </c>
      <c r="H1" s="1086"/>
      <c r="I1" s="1085" t="s">
        <v>6322</v>
      </c>
      <c r="J1" s="1086"/>
      <c r="K1" s="1085" t="s">
        <v>301</v>
      </c>
      <c r="L1" s="1086"/>
      <c r="M1" s="1085" t="s">
        <v>302</v>
      </c>
      <c r="N1" s="1086"/>
      <c r="O1" s="1085" t="s">
        <v>303</v>
      </c>
      <c r="P1" s="1086"/>
      <c r="Q1" s="1085" t="s">
        <v>304</v>
      </c>
      <c r="R1" s="1086"/>
      <c r="S1" s="1085" t="s">
        <v>305</v>
      </c>
      <c r="T1" s="1086"/>
      <c r="U1" s="1085" t="s">
        <v>306</v>
      </c>
      <c r="V1" s="1086"/>
      <c r="W1" s="1085" t="s">
        <v>309</v>
      </c>
      <c r="X1" s="1086"/>
      <c r="Y1" s="1085" t="s">
        <v>8828</v>
      </c>
      <c r="Z1" s="1086"/>
      <c r="AA1" s="44"/>
      <c r="AB1" s="48" t="s">
        <v>10</v>
      </c>
    </row>
    <row r="2" spans="1:28" ht="13.5" thickBot="1">
      <c r="A2" s="3"/>
      <c r="B2" s="3"/>
      <c r="C2" s="3"/>
      <c r="D2" s="3"/>
      <c r="E2" s="3"/>
      <c r="F2" s="2"/>
      <c r="G2" s="4" t="s">
        <v>0</v>
      </c>
      <c r="H2" s="5" t="e">
        <f>SUMX2MY2(G5:G3566,H5:H3566)</f>
        <v>#DIV/0!</v>
      </c>
      <c r="I2" s="4" t="s">
        <v>0</v>
      </c>
      <c r="J2" s="5" t="e">
        <f>SUMX2MY2(I5:I3566,J5:J3566)</f>
        <v>#DIV/0!</v>
      </c>
      <c r="K2" s="4" t="s">
        <v>0</v>
      </c>
      <c r="L2" s="5" t="e">
        <f>SUMX2MY2(K5:K3566,L5:L3566)</f>
        <v>#DIV/0!</v>
      </c>
      <c r="M2" s="4" t="s">
        <v>0</v>
      </c>
      <c r="N2" s="5">
        <f>SUMX2MY2(M5:M3566,N5:N3566)</f>
        <v>0</v>
      </c>
      <c r="O2" s="4" t="s">
        <v>0</v>
      </c>
      <c r="P2" s="5">
        <f>SUMX2MY2(O5:O3566,P5:P3566)</f>
        <v>0</v>
      </c>
      <c r="Q2" s="4" t="s">
        <v>0</v>
      </c>
      <c r="R2" s="5">
        <f>SUMX2MY2(Q5:Q3566,R5:R3566)</f>
        <v>0</v>
      </c>
      <c r="S2" s="4" t="s">
        <v>0</v>
      </c>
      <c r="T2" s="5">
        <f>SUMX2MY2(S5:S3566,T5:T3566)</f>
        <v>0</v>
      </c>
      <c r="U2" s="4" t="s">
        <v>0</v>
      </c>
      <c r="V2" s="5">
        <f>SUMX2MY2(U5:U3566,V5:V3566)</f>
        <v>0</v>
      </c>
      <c r="W2" s="4" t="s">
        <v>0</v>
      </c>
      <c r="X2" s="5">
        <f>SUMX2MY2(W5:W3566,X5:X3566)</f>
        <v>0</v>
      </c>
      <c r="Y2" s="4" t="s">
        <v>0</v>
      </c>
      <c r="Z2" s="5" t="e">
        <f>SUMX2MY2(Y5:Y3566,Z5:Z3566)</f>
        <v>#DIV/0!</v>
      </c>
    </row>
    <row r="3" spans="1:28" ht="27.75" customHeight="1">
      <c r="A3" s="35" t="s">
        <v>1</v>
      </c>
      <c r="B3" s="36" t="s">
        <v>2</v>
      </c>
      <c r="C3" s="36" t="s">
        <v>3</v>
      </c>
      <c r="D3" s="36" t="s">
        <v>4</v>
      </c>
      <c r="E3" s="1087" t="s">
        <v>7</v>
      </c>
      <c r="F3" s="1088"/>
      <c r="G3" s="7" t="s">
        <v>5</v>
      </c>
      <c r="H3" s="8" t="s">
        <v>6</v>
      </c>
      <c r="I3" s="7" t="s">
        <v>5</v>
      </c>
      <c r="J3" s="8" t="s">
        <v>6</v>
      </c>
      <c r="K3" s="7" t="s">
        <v>5</v>
      </c>
      <c r="L3" s="8" t="s">
        <v>6</v>
      </c>
      <c r="M3" s="7" t="s">
        <v>5</v>
      </c>
      <c r="N3" s="8" t="s">
        <v>6</v>
      </c>
      <c r="O3" s="7" t="s">
        <v>5</v>
      </c>
      <c r="P3" s="8" t="s">
        <v>6</v>
      </c>
      <c r="Q3" s="7" t="s">
        <v>5</v>
      </c>
      <c r="R3" s="8" t="s">
        <v>6</v>
      </c>
      <c r="S3" s="7" t="s">
        <v>5</v>
      </c>
      <c r="T3" s="8" t="s">
        <v>6</v>
      </c>
      <c r="U3" s="7" t="s">
        <v>5</v>
      </c>
      <c r="V3" s="8" t="s">
        <v>6</v>
      </c>
      <c r="W3" s="7" t="s">
        <v>5</v>
      </c>
      <c r="X3" s="8" t="s">
        <v>6</v>
      </c>
      <c r="Y3" s="7" t="s">
        <v>5</v>
      </c>
      <c r="Z3" s="8" t="s">
        <v>6</v>
      </c>
    </row>
    <row r="4" spans="1:28" ht="15.75" customHeight="1" thickBot="1">
      <c r="A4" s="34"/>
      <c r="B4" s="33"/>
      <c r="C4" s="33"/>
      <c r="D4" s="33"/>
      <c r="E4" s="41" t="s">
        <v>9</v>
      </c>
      <c r="F4" s="42" t="s">
        <v>8</v>
      </c>
      <c r="G4" s="38">
        <v>0</v>
      </c>
      <c r="H4" s="39">
        <v>0</v>
      </c>
      <c r="I4" s="38">
        <v>0</v>
      </c>
      <c r="J4" s="39">
        <v>0</v>
      </c>
      <c r="K4" s="38">
        <v>0</v>
      </c>
      <c r="L4" s="39">
        <v>0</v>
      </c>
      <c r="M4" s="38">
        <v>0</v>
      </c>
      <c r="N4" s="39">
        <v>0</v>
      </c>
      <c r="O4" s="38">
        <v>0</v>
      </c>
      <c r="P4" s="39">
        <v>0</v>
      </c>
      <c r="Q4" s="38">
        <v>0</v>
      </c>
      <c r="R4" s="39">
        <v>0</v>
      </c>
      <c r="S4" s="38">
        <v>0</v>
      </c>
      <c r="T4" s="39">
        <v>0</v>
      </c>
      <c r="U4" s="38">
        <v>0</v>
      </c>
      <c r="V4" s="39">
        <v>0</v>
      </c>
      <c r="W4" s="38">
        <v>0</v>
      </c>
      <c r="X4" s="39">
        <v>0</v>
      </c>
      <c r="Y4" s="38">
        <v>0</v>
      </c>
      <c r="Z4" s="39">
        <v>0</v>
      </c>
    </row>
    <row r="5" spans="1:28" s="514" customFormat="1">
      <c r="A5" s="519" t="s">
        <v>4579</v>
      </c>
      <c r="B5" s="520"/>
      <c r="C5" s="521"/>
      <c r="D5" s="522" t="s">
        <v>1916</v>
      </c>
      <c r="E5" s="754"/>
      <c r="F5" s="760" t="s">
        <v>5905</v>
      </c>
      <c r="G5" s="981" t="s">
        <v>10410</v>
      </c>
      <c r="H5" s="755" t="str">
        <f>VLOOKUP($D5,transmitter_from_BP!$B:$F,2,0)</f>
        <v>SMOKE HZ2101</v>
      </c>
      <c r="I5" s="981" t="s">
        <v>11662</v>
      </c>
      <c r="J5" s="755" t="str">
        <f>VLOOKUP($D5,transmitter_from_BP!$B:$F,2,0)</f>
        <v>SMOKE HZ2101</v>
      </c>
      <c r="K5" s="981" t="s">
        <v>11670</v>
      </c>
      <c r="L5" s="555" t="str">
        <f>VLOOKUP($D5,transmitter_from_BP!$B:$F,5,0)</f>
        <v>RING</v>
      </c>
      <c r="M5" s="570">
        <v>0</v>
      </c>
      <c r="N5" s="610">
        <v>0</v>
      </c>
      <c r="O5" s="570">
        <v>1</v>
      </c>
      <c r="P5" s="765">
        <v>1</v>
      </c>
      <c r="Q5" s="570">
        <v>1</v>
      </c>
      <c r="R5" s="765">
        <v>1</v>
      </c>
      <c r="S5" s="570">
        <v>0</v>
      </c>
      <c r="T5" s="555">
        <f>VLOOKUP($D5,transmitter_from_BP!$B:$F,4,0)</f>
        <v>0</v>
      </c>
      <c r="U5" s="570">
        <v>5</v>
      </c>
      <c r="V5" s="555">
        <f>VLOOKUP($D5,transmitter_from_BP!$B:$F,3,0)</f>
        <v>5</v>
      </c>
      <c r="W5" s="570">
        <v>0</v>
      </c>
      <c r="X5" s="555"/>
      <c r="Y5" s="614">
        <v>0.7</v>
      </c>
      <c r="Z5" s="610"/>
    </row>
    <row r="6" spans="1:28" s="514" customFormat="1">
      <c r="A6" s="519" t="s">
        <v>4579</v>
      </c>
      <c r="B6" s="520"/>
      <c r="C6" s="521"/>
      <c r="D6" s="522" t="s">
        <v>3857</v>
      </c>
      <c r="E6" s="754"/>
      <c r="F6" s="760" t="s">
        <v>9307</v>
      </c>
      <c r="G6" s="981" t="s">
        <v>10868</v>
      </c>
      <c r="H6" s="755" t="str">
        <f>VLOOKUP($D6,transmitter_from_BP!$B:$F,2,0)</f>
        <v>FUEL GAS HEADER SG</v>
      </c>
      <c r="I6" s="981" t="s">
        <v>11663</v>
      </c>
      <c r="J6" s="755" t="str">
        <f>VLOOKUP($D6,transmitter_from_BP!$B:$F,2,0)</f>
        <v>FUEL GAS HEADER SG</v>
      </c>
      <c r="K6" s="981" t="s">
        <v>11671</v>
      </c>
      <c r="L6" s="1064" t="str">
        <f>VLOOKUP($D6,transmitter_from_BP!$B:$F,5,0)</f>
        <v>KG/NM3</v>
      </c>
      <c r="M6" s="570">
        <v>0</v>
      </c>
      <c r="N6" s="610"/>
      <c r="O6" s="570">
        <v>1</v>
      </c>
      <c r="P6" s="765">
        <v>1</v>
      </c>
      <c r="Q6" s="570">
        <v>1</v>
      </c>
      <c r="R6" s="765">
        <v>1</v>
      </c>
      <c r="S6" s="570">
        <v>0.4</v>
      </c>
      <c r="T6" s="991">
        <f>VLOOKUP($D6,transmitter_from_BP!$B:$F,4,0)</f>
        <v>0.4</v>
      </c>
      <c r="U6" s="570">
        <v>1.8</v>
      </c>
      <c r="V6" s="991">
        <f>VLOOKUP($D6,transmitter_from_BP!$B:$F,3,0)</f>
        <v>1.8</v>
      </c>
      <c r="W6" s="570">
        <v>0</v>
      </c>
      <c r="X6" s="555"/>
      <c r="Y6" s="614">
        <v>1.17620694617169</v>
      </c>
      <c r="Z6" s="610"/>
    </row>
    <row r="7" spans="1:28" s="514" customFormat="1">
      <c r="A7" s="519" t="s">
        <v>4579</v>
      </c>
      <c r="B7" s="520"/>
      <c r="C7" s="521"/>
      <c r="D7" s="522" t="s">
        <v>1661</v>
      </c>
      <c r="E7" s="754"/>
      <c r="F7" s="760" t="s">
        <v>9329</v>
      </c>
      <c r="G7" s="981" t="s">
        <v>10869</v>
      </c>
      <c r="H7" s="755" t="str">
        <f>VLOOKUP($D7,transmitter_from_BP!$B:$F,2,0)</f>
        <v>CRUDE OVERHEADS PH</v>
      </c>
      <c r="I7" s="981" t="s">
        <v>11664</v>
      </c>
      <c r="J7" s="755" t="str">
        <f>VLOOKUP($D7,transmitter_from_BP!$B:$F,2,0)</f>
        <v>CRUDE OVERHEADS PH</v>
      </c>
      <c r="K7" s="981" t="s">
        <v>11672</v>
      </c>
      <c r="L7" s="1064" t="str">
        <f>VLOOKUP($D7,transmitter_from_BP!$B:$F,5,0)</f>
        <v>PH</v>
      </c>
      <c r="M7" s="570">
        <v>0</v>
      </c>
      <c r="N7" s="610"/>
      <c r="O7" s="570">
        <v>1</v>
      </c>
      <c r="P7" s="765">
        <v>1</v>
      </c>
      <c r="Q7" s="570">
        <v>1</v>
      </c>
      <c r="R7" s="765">
        <v>1</v>
      </c>
      <c r="S7" s="570">
        <v>2</v>
      </c>
      <c r="T7" s="991">
        <f>VLOOKUP($D7,transmitter_from_BP!$B:$F,4,0)</f>
        <v>2</v>
      </c>
      <c r="U7" s="570">
        <v>12</v>
      </c>
      <c r="V7" s="991">
        <f>VLOOKUP($D7,transmitter_from_BP!$B:$F,3,0)</f>
        <v>12</v>
      </c>
      <c r="W7" s="570">
        <v>0</v>
      </c>
      <c r="X7" s="555"/>
      <c r="Y7" s="614">
        <v>7.2</v>
      </c>
      <c r="Z7" s="610"/>
    </row>
    <row r="8" spans="1:28" s="514" customFormat="1">
      <c r="A8" s="519" t="s">
        <v>4579</v>
      </c>
      <c r="B8" s="520"/>
      <c r="C8" s="521"/>
      <c r="D8" s="522" t="s">
        <v>5980</v>
      </c>
      <c r="E8" s="754"/>
      <c r="F8" s="760" t="s">
        <v>7937</v>
      </c>
      <c r="G8" s="981" t="s">
        <v>10997</v>
      </c>
      <c r="H8" s="755" t="str">
        <f>VLOOKUP($D8,transmitter_from_BP!$B:$F,2,0)</f>
        <v>CDU HEATER O2 FLUE GAS A</v>
      </c>
      <c r="I8" s="981" t="s">
        <v>11665</v>
      </c>
      <c r="J8" s="755" t="str">
        <f>VLOOKUP($D8,transmitter_from_BP!$B:$F,2,0)</f>
        <v>CDU HEATER O2 FLUE GAS A</v>
      </c>
      <c r="K8" s="981" t="s">
        <v>11673</v>
      </c>
      <c r="L8" s="1064" t="str">
        <f>VLOOKUP($D8,transmitter_from_BP!$B:$F,5,0)</f>
        <v>%</v>
      </c>
      <c r="M8" s="570">
        <v>0</v>
      </c>
      <c r="N8" s="610">
        <v>0</v>
      </c>
      <c r="O8" s="570">
        <v>1</v>
      </c>
      <c r="P8" s="765">
        <v>1</v>
      </c>
      <c r="Q8" s="570">
        <v>1</v>
      </c>
      <c r="R8" s="765">
        <v>1</v>
      </c>
      <c r="S8" s="570">
        <v>0</v>
      </c>
      <c r="T8" s="991">
        <f>VLOOKUP($D8,transmitter_from_BP!$B:$F,4,0)</f>
        <v>0</v>
      </c>
      <c r="U8" s="570">
        <v>10</v>
      </c>
      <c r="V8" s="991">
        <f>VLOOKUP($D8,transmitter_from_BP!$B:$F,3,0)</f>
        <v>10</v>
      </c>
      <c r="W8" s="570">
        <v>0</v>
      </c>
      <c r="X8" s="555"/>
      <c r="Y8" s="614">
        <v>2.8361932969775601</v>
      </c>
      <c r="Z8" s="610"/>
    </row>
    <row r="9" spans="1:28" s="514" customFormat="1">
      <c r="A9" s="519" t="s">
        <v>4579</v>
      </c>
      <c r="B9" s="520"/>
      <c r="C9" s="521"/>
      <c r="D9" s="522" t="s">
        <v>5981</v>
      </c>
      <c r="E9" s="754"/>
      <c r="F9" s="760" t="s">
        <v>7938</v>
      </c>
      <c r="G9" s="981" t="s">
        <v>10998</v>
      </c>
      <c r="H9" s="755" t="str">
        <f>VLOOKUP($D9,transmitter_from_BP!$B:$F,2,0)</f>
        <v>CDU HEATER O2 FLUE GAS B</v>
      </c>
      <c r="I9" s="981" t="s">
        <v>11666</v>
      </c>
      <c r="J9" s="755" t="str">
        <f>VLOOKUP($D9,transmitter_from_BP!$B:$F,2,0)</f>
        <v>CDU HEATER O2 FLUE GAS B</v>
      </c>
      <c r="K9" s="981" t="s">
        <v>11673</v>
      </c>
      <c r="L9" s="1064" t="str">
        <f>VLOOKUP($D9,transmitter_from_BP!$B:$F,5,0)</f>
        <v>%</v>
      </c>
      <c r="M9" s="570">
        <v>0</v>
      </c>
      <c r="N9" s="610">
        <v>0</v>
      </c>
      <c r="O9" s="570">
        <v>1</v>
      </c>
      <c r="P9" s="765">
        <v>1</v>
      </c>
      <c r="Q9" s="570">
        <v>1</v>
      </c>
      <c r="R9" s="765">
        <v>1</v>
      </c>
      <c r="S9" s="570">
        <v>0</v>
      </c>
      <c r="T9" s="991">
        <f>VLOOKUP($D9,transmitter_from_BP!$B:$F,4,0)</f>
        <v>0</v>
      </c>
      <c r="U9" s="570">
        <v>10</v>
      </c>
      <c r="V9" s="991">
        <f>VLOOKUP($D9,transmitter_from_BP!$B:$F,3,0)</f>
        <v>10</v>
      </c>
      <c r="W9" s="570">
        <v>0</v>
      </c>
      <c r="X9" s="555"/>
      <c r="Y9" s="614">
        <v>2.8361932969775601</v>
      </c>
      <c r="Z9" s="610"/>
    </row>
    <row r="10" spans="1:28" s="514" customFormat="1">
      <c r="A10" s="519" t="s">
        <v>4579</v>
      </c>
      <c r="B10" s="520"/>
      <c r="C10" s="521"/>
      <c r="D10" s="522" t="s">
        <v>1930</v>
      </c>
      <c r="E10" s="754"/>
      <c r="F10" s="760" t="s">
        <v>5908</v>
      </c>
      <c r="G10" s="981" t="s">
        <v>10999</v>
      </c>
      <c r="H10" s="755" t="str">
        <f>VLOOKUP($D10,transmitter_from_BP!$B:$F,2,0)</f>
        <v>CO IN FLUE GAS</v>
      </c>
      <c r="I10" s="981" t="s">
        <v>11667</v>
      </c>
      <c r="J10" s="755" t="str">
        <f>VLOOKUP($D10,transmitter_from_BP!$B:$F,2,0)</f>
        <v>CO IN FLUE GAS</v>
      </c>
      <c r="K10" s="981" t="s">
        <v>11674</v>
      </c>
      <c r="L10" s="1064" t="str">
        <f>VLOOKUP($D10,transmitter_from_BP!$B:$F,5,0)</f>
        <v>PPM</v>
      </c>
      <c r="M10" s="570">
        <v>0</v>
      </c>
      <c r="N10" s="610">
        <v>0</v>
      </c>
      <c r="O10" s="570">
        <v>1</v>
      </c>
      <c r="P10" s="765">
        <v>1</v>
      </c>
      <c r="Q10" s="570">
        <v>1</v>
      </c>
      <c r="R10" s="765">
        <v>1</v>
      </c>
      <c r="S10" s="570">
        <v>0</v>
      </c>
      <c r="T10" s="991">
        <f>VLOOKUP($D10,transmitter_from_BP!$B:$F,4,0)</f>
        <v>0</v>
      </c>
      <c r="U10" s="570">
        <v>200</v>
      </c>
      <c r="V10" s="991">
        <f>VLOOKUP($D10,transmitter_from_BP!$B:$F,3,0)</f>
        <v>200</v>
      </c>
      <c r="W10" s="570">
        <v>0</v>
      </c>
      <c r="X10" s="555"/>
      <c r="Y10" s="614">
        <v>72.973503137103606</v>
      </c>
      <c r="Z10" s="610"/>
    </row>
    <row r="11" spans="1:28" s="514" customFormat="1">
      <c r="A11" s="519" t="s">
        <v>4579</v>
      </c>
      <c r="B11" s="520"/>
      <c r="C11" s="521"/>
      <c r="D11" s="522" t="s">
        <v>1537</v>
      </c>
      <c r="E11" s="754"/>
      <c r="F11" s="760" t="s">
        <v>9288</v>
      </c>
      <c r="G11" s="981" t="s">
        <v>11000</v>
      </c>
      <c r="H11" s="755" t="str">
        <f>VLOOKUP($D11,transmitter_from_BP!$B:$F,2,0)</f>
        <v>COLOUR ANALYSER</v>
      </c>
      <c r="I11" s="981" t="s">
        <v>11668</v>
      </c>
      <c r="J11" s="755" t="str">
        <f>VLOOKUP($D11,transmitter_from_BP!$B:$F,2,0)</f>
        <v>COLOUR ANALYSER</v>
      </c>
      <c r="K11" s="981" t="s">
        <v>11675</v>
      </c>
      <c r="L11" s="1064" t="str">
        <f>VLOOKUP($D11,transmitter_from_BP!$B:$F,5,0)</f>
        <v>-</v>
      </c>
      <c r="M11" s="570">
        <v>0</v>
      </c>
      <c r="N11" s="610"/>
      <c r="O11" s="570">
        <v>1</v>
      </c>
      <c r="P11" s="765">
        <v>1</v>
      </c>
      <c r="Q11" s="570">
        <v>1</v>
      </c>
      <c r="R11" s="765">
        <v>1</v>
      </c>
      <c r="S11" s="570">
        <v>0</v>
      </c>
      <c r="T11" s="991">
        <f>VLOOKUP($D11,transmitter_from_BP!$B:$F,4,0)</f>
        <v>0</v>
      </c>
      <c r="U11" s="570">
        <v>7</v>
      </c>
      <c r="V11" s="991">
        <f>VLOOKUP($D11,transmitter_from_BP!$B:$F,3,0)</f>
        <v>7</v>
      </c>
      <c r="W11" s="570">
        <v>0</v>
      </c>
      <c r="X11" s="555"/>
      <c r="Y11" s="614">
        <v>2.7</v>
      </c>
      <c r="Z11" s="610"/>
    </row>
    <row r="12" spans="1:28" s="514" customFormat="1">
      <c r="A12" s="519" t="s">
        <v>4579</v>
      </c>
      <c r="B12" s="520"/>
      <c r="C12" s="521"/>
      <c r="D12" s="522" t="s">
        <v>1544</v>
      </c>
      <c r="E12" s="754"/>
      <c r="F12" s="760" t="s">
        <v>9336</v>
      </c>
      <c r="G12" s="981" t="s">
        <v>11001</v>
      </c>
      <c r="H12" s="755" t="str">
        <f>VLOOKUP($D12,transmitter_from_BP!$B:$F,2,0)</f>
        <v>LGO BP95%</v>
      </c>
      <c r="I12" s="981" t="s">
        <v>11669</v>
      </c>
      <c r="J12" s="755" t="str">
        <f>VLOOKUP($D12,transmitter_from_BP!$B:$F,2,0)</f>
        <v>LGO BP95%</v>
      </c>
      <c r="K12" s="981" t="s">
        <v>11676</v>
      </c>
      <c r="L12" s="1064" t="str">
        <f>VLOOKUP($D12,transmitter_from_BP!$B:$F,5,0)</f>
        <v>DEGC</v>
      </c>
      <c r="M12" s="570">
        <v>6</v>
      </c>
      <c r="N12" s="610">
        <v>6</v>
      </c>
      <c r="O12" s="570">
        <v>1</v>
      </c>
      <c r="P12" s="765">
        <v>1</v>
      </c>
      <c r="Q12" s="570">
        <v>1</v>
      </c>
      <c r="R12" s="765">
        <v>1</v>
      </c>
      <c r="S12" s="570">
        <v>100</v>
      </c>
      <c r="T12" s="991">
        <f>VLOOKUP($D12,transmitter_from_BP!$B:$F,4,0)</f>
        <v>100</v>
      </c>
      <c r="U12" s="570">
        <v>400</v>
      </c>
      <c r="V12" s="991">
        <f>VLOOKUP($D12,transmitter_from_BP!$B:$F,3,0)</f>
        <v>400</v>
      </c>
      <c r="W12" s="570">
        <v>0</v>
      </c>
      <c r="X12" s="555"/>
      <c r="Y12" s="614">
        <v>373.645116026067</v>
      </c>
      <c r="Z12" s="610"/>
    </row>
    <row r="13" spans="1:28" s="514" customFormat="1">
      <c r="A13" s="519" t="s">
        <v>4579</v>
      </c>
      <c r="B13" s="520"/>
      <c r="C13" s="521"/>
      <c r="D13" s="522" t="s">
        <v>2294</v>
      </c>
      <c r="E13" s="754"/>
      <c r="F13" s="760" t="s">
        <v>5900</v>
      </c>
      <c r="G13" s="981" t="s">
        <v>11002</v>
      </c>
      <c r="H13" s="755" t="str">
        <f>VLOOKUP($D13,transmitter_from_BP!$B:$F,2,0)</f>
        <v>O2 FLUE GAS BURNERCELL 3</v>
      </c>
      <c r="I13" s="981" t="s">
        <v>11002</v>
      </c>
      <c r="J13" s="755" t="str">
        <f>VLOOKUP($D13,transmitter_from_BP!$B:$F,2,0)</f>
        <v>O2 FLUE GAS BURNERCELL 3</v>
      </c>
      <c r="K13" s="981" t="s">
        <v>11677</v>
      </c>
      <c r="L13" s="1064" t="str">
        <f>VLOOKUP($D13,transmitter_from_BP!$B:$F,5,0)</f>
        <v>VOL%</v>
      </c>
      <c r="M13" s="570">
        <v>0</v>
      </c>
      <c r="N13" s="610">
        <v>0</v>
      </c>
      <c r="O13" s="570">
        <v>1</v>
      </c>
      <c r="P13" s="765">
        <v>1</v>
      </c>
      <c r="Q13" s="570">
        <v>1</v>
      </c>
      <c r="R13" s="765">
        <v>1</v>
      </c>
      <c r="S13" s="570">
        <v>0</v>
      </c>
      <c r="T13" s="991">
        <f>VLOOKUP($D13,transmitter_from_BP!$B:$F,4,0)</f>
        <v>0</v>
      </c>
      <c r="U13" s="570">
        <v>25</v>
      </c>
      <c r="V13" s="991">
        <f>VLOOKUP($D13,transmitter_from_BP!$B:$F,3,0)</f>
        <v>25</v>
      </c>
      <c r="W13" s="570">
        <v>0</v>
      </c>
      <c r="X13" s="555"/>
      <c r="Y13" s="614">
        <v>2.83633216816806</v>
      </c>
      <c r="Z13" s="610"/>
    </row>
    <row r="14" spans="1:28" s="514" customFormat="1">
      <c r="A14" s="519" t="s">
        <v>4579</v>
      </c>
      <c r="B14" s="520"/>
      <c r="C14" s="521"/>
      <c r="D14" s="522" t="s">
        <v>2297</v>
      </c>
      <c r="E14" s="754"/>
      <c r="F14" s="760" t="s">
        <v>5909</v>
      </c>
      <c r="G14" s="981" t="s">
        <v>11003</v>
      </c>
      <c r="H14" s="755" t="str">
        <f>VLOOKUP($D14,transmitter_from_BP!$B:$F,2,0)</f>
        <v>COMBUSTIBLE FLUE GAS CELL 3</v>
      </c>
      <c r="I14" s="981" t="s">
        <v>11003</v>
      </c>
      <c r="J14" s="755" t="str">
        <f>VLOOKUP($D14,transmitter_from_BP!$B:$F,2,0)</f>
        <v>COMBUSTIBLE FLUE GAS CELL 3</v>
      </c>
      <c r="K14" s="981" t="s">
        <v>11674</v>
      </c>
      <c r="L14" s="1064" t="str">
        <f>VLOOKUP($D14,transmitter_from_BP!$B:$F,5,0)</f>
        <v>PPM</v>
      </c>
      <c r="M14" s="570">
        <v>0</v>
      </c>
      <c r="N14" s="610">
        <v>0</v>
      </c>
      <c r="O14" s="570">
        <v>1</v>
      </c>
      <c r="P14" s="765">
        <v>1</v>
      </c>
      <c r="Q14" s="570">
        <v>1</v>
      </c>
      <c r="R14" s="765">
        <v>1</v>
      </c>
      <c r="S14" s="570">
        <v>0</v>
      </c>
      <c r="T14" s="991">
        <f>VLOOKUP($D14,transmitter_from_BP!$B:$F,4,0)</f>
        <v>0</v>
      </c>
      <c r="U14" s="570">
        <v>2000</v>
      </c>
      <c r="V14" s="991">
        <f>VLOOKUP($D14,transmitter_from_BP!$B:$F,3,0)</f>
        <v>2000</v>
      </c>
      <c r="W14" s="570">
        <v>0</v>
      </c>
      <c r="X14" s="555"/>
      <c r="Y14" s="614">
        <v>167.019786120454</v>
      </c>
      <c r="Z14" s="610"/>
    </row>
    <row r="15" spans="1:28" s="514" customFormat="1">
      <c r="A15" s="519" t="s">
        <v>4579</v>
      </c>
      <c r="B15" s="520"/>
      <c r="C15" s="521"/>
      <c r="D15" s="522" t="s">
        <v>2300</v>
      </c>
      <c r="E15" s="754"/>
      <c r="F15" s="760" t="s">
        <v>5901</v>
      </c>
      <c r="G15" s="981" t="s">
        <v>11004</v>
      </c>
      <c r="H15" s="755" t="str">
        <f>VLOOKUP($D15,transmitter_from_BP!$B:$F,2,0)</f>
        <v>O2 FLUE GAS BURNERCELL 5</v>
      </c>
      <c r="I15" s="981" t="s">
        <v>11004</v>
      </c>
      <c r="J15" s="755" t="str">
        <f>VLOOKUP($D15,transmitter_from_BP!$B:$F,2,0)</f>
        <v>O2 FLUE GAS BURNERCELL 5</v>
      </c>
      <c r="K15" s="981" t="s">
        <v>11677</v>
      </c>
      <c r="L15" s="1064" t="str">
        <f>VLOOKUP($D15,transmitter_from_BP!$B:$F,5,0)</f>
        <v>VOL%</v>
      </c>
      <c r="M15" s="570">
        <v>0</v>
      </c>
      <c r="N15" s="610">
        <v>0</v>
      </c>
      <c r="O15" s="570">
        <v>1</v>
      </c>
      <c r="P15" s="765">
        <v>1</v>
      </c>
      <c r="Q15" s="570">
        <v>1</v>
      </c>
      <c r="R15" s="765">
        <v>1</v>
      </c>
      <c r="S15" s="570">
        <v>0</v>
      </c>
      <c r="T15" s="991">
        <f>VLOOKUP($D15,transmitter_from_BP!$B:$F,4,0)</f>
        <v>0</v>
      </c>
      <c r="U15" s="570">
        <v>25</v>
      </c>
      <c r="V15" s="991">
        <f>VLOOKUP($D15,transmitter_from_BP!$B:$F,3,0)</f>
        <v>25</v>
      </c>
      <c r="W15" s="570">
        <v>0</v>
      </c>
      <c r="X15" s="555"/>
      <c r="Y15" s="614">
        <v>2.8362626814720802</v>
      </c>
      <c r="Z15" s="610"/>
    </row>
    <row r="16" spans="1:28" s="514" customFormat="1">
      <c r="A16" s="519" t="s">
        <v>4579</v>
      </c>
      <c r="B16" s="520"/>
      <c r="C16" s="521"/>
      <c r="D16" s="522" t="s">
        <v>2303</v>
      </c>
      <c r="E16" s="754"/>
      <c r="F16" s="760" t="s">
        <v>5910</v>
      </c>
      <c r="G16" s="981" t="s">
        <v>11005</v>
      </c>
      <c r="H16" s="755" t="str">
        <f>VLOOKUP($D16,transmitter_from_BP!$B:$F,2,0)</f>
        <v>COMBUSTIBLE FLUE GAS CELL 5</v>
      </c>
      <c r="I16" s="981" t="s">
        <v>11005</v>
      </c>
      <c r="J16" s="755" t="str">
        <f>VLOOKUP($D16,transmitter_from_BP!$B:$F,2,0)</f>
        <v>COMBUSTIBLE FLUE GAS CELL 5</v>
      </c>
      <c r="K16" s="981" t="s">
        <v>11674</v>
      </c>
      <c r="L16" s="1064" t="str">
        <f>VLOOKUP($D16,transmitter_from_BP!$B:$F,5,0)</f>
        <v>PPM</v>
      </c>
      <c r="M16" s="570">
        <v>0</v>
      </c>
      <c r="N16" s="610">
        <v>0</v>
      </c>
      <c r="O16" s="570">
        <v>1</v>
      </c>
      <c r="P16" s="765">
        <v>1</v>
      </c>
      <c r="Q16" s="570">
        <v>1</v>
      </c>
      <c r="R16" s="765">
        <v>1</v>
      </c>
      <c r="S16" s="570">
        <v>0</v>
      </c>
      <c r="T16" s="991">
        <f>VLOOKUP($D16,transmitter_from_BP!$B:$F,4,0)</f>
        <v>0</v>
      </c>
      <c r="U16" s="570">
        <v>2000</v>
      </c>
      <c r="V16" s="991">
        <f>VLOOKUP($D16,transmitter_from_BP!$B:$F,3,0)</f>
        <v>2000</v>
      </c>
      <c r="W16" s="570">
        <v>0</v>
      </c>
      <c r="X16" s="555"/>
      <c r="Y16" s="614">
        <v>167.019786120454</v>
      </c>
      <c r="Z16" s="610"/>
    </row>
    <row r="17" spans="1:26" s="514" customFormat="1">
      <c r="A17" s="519" t="s">
        <v>4579</v>
      </c>
      <c r="B17" s="520"/>
      <c r="C17" s="521"/>
      <c r="D17" s="522" t="s">
        <v>2306</v>
      </c>
      <c r="E17" s="754"/>
      <c r="F17" s="760" t="s">
        <v>5902</v>
      </c>
      <c r="G17" s="981" t="s">
        <v>11006</v>
      </c>
      <c r="H17" s="755" t="str">
        <f>VLOOKUP($D17,transmitter_from_BP!$B:$F,2,0)</f>
        <v>O2 FLUE GAS BURNERCELL 6</v>
      </c>
      <c r="I17" s="981" t="s">
        <v>11006</v>
      </c>
      <c r="J17" s="755" t="str">
        <f>VLOOKUP($D17,transmitter_from_BP!$B:$F,2,0)</f>
        <v>O2 FLUE GAS BURNERCELL 6</v>
      </c>
      <c r="K17" s="981" t="s">
        <v>11677</v>
      </c>
      <c r="L17" s="1064" t="str">
        <f>VLOOKUP($D17,transmitter_from_BP!$B:$F,5,0)</f>
        <v>VOL%</v>
      </c>
      <c r="M17" s="570">
        <v>0</v>
      </c>
      <c r="N17" s="610">
        <v>0</v>
      </c>
      <c r="O17" s="570">
        <v>1</v>
      </c>
      <c r="P17" s="765">
        <v>1</v>
      </c>
      <c r="Q17" s="570">
        <v>1</v>
      </c>
      <c r="R17" s="765">
        <v>1</v>
      </c>
      <c r="S17" s="570">
        <v>0</v>
      </c>
      <c r="T17" s="991">
        <f>VLOOKUP($D17,transmitter_from_BP!$B:$F,4,0)</f>
        <v>0</v>
      </c>
      <c r="U17" s="570">
        <v>25</v>
      </c>
      <c r="V17" s="991">
        <f>VLOOKUP($D17,transmitter_from_BP!$B:$F,3,0)</f>
        <v>25</v>
      </c>
      <c r="W17" s="570">
        <v>0</v>
      </c>
      <c r="X17" s="555"/>
      <c r="Y17" s="614">
        <v>2.83633216816806</v>
      </c>
      <c r="Z17" s="610"/>
    </row>
    <row r="18" spans="1:26" s="514" customFormat="1">
      <c r="A18" s="519" t="s">
        <v>4579</v>
      </c>
      <c r="B18" s="520"/>
      <c r="C18" s="521"/>
      <c r="D18" s="522" t="s">
        <v>2309</v>
      </c>
      <c r="E18" s="754"/>
      <c r="F18" s="760" t="s">
        <v>5911</v>
      </c>
      <c r="G18" s="981" t="s">
        <v>11007</v>
      </c>
      <c r="H18" s="755" t="str">
        <f>VLOOKUP($D18,transmitter_from_BP!$B:$F,2,0)</f>
        <v>COMBUSTIBLE FLUE GAS CELL 6</v>
      </c>
      <c r="I18" s="981" t="s">
        <v>11007</v>
      </c>
      <c r="J18" s="755" t="str">
        <f>VLOOKUP($D18,transmitter_from_BP!$B:$F,2,0)</f>
        <v>COMBUSTIBLE FLUE GAS CELL 6</v>
      </c>
      <c r="K18" s="981" t="s">
        <v>11674</v>
      </c>
      <c r="L18" s="1064" t="str">
        <f>VLOOKUP($D18,transmitter_from_BP!$B:$F,5,0)</f>
        <v>PPM</v>
      </c>
      <c r="M18" s="570">
        <v>0</v>
      </c>
      <c r="N18" s="610">
        <v>0</v>
      </c>
      <c r="O18" s="570">
        <v>1</v>
      </c>
      <c r="P18" s="765">
        <v>1</v>
      </c>
      <c r="Q18" s="570">
        <v>1</v>
      </c>
      <c r="R18" s="765">
        <v>1</v>
      </c>
      <c r="S18" s="570">
        <v>0</v>
      </c>
      <c r="T18" s="991">
        <f>VLOOKUP($D18,transmitter_from_BP!$B:$F,4,0)</f>
        <v>0</v>
      </c>
      <c r="U18" s="570">
        <v>2000</v>
      </c>
      <c r="V18" s="991">
        <f>VLOOKUP($D18,transmitter_from_BP!$B:$F,3,0)</f>
        <v>2000</v>
      </c>
      <c r="W18" s="570">
        <v>0</v>
      </c>
      <c r="X18" s="555"/>
      <c r="Y18" s="614">
        <v>167.019786120454</v>
      </c>
      <c r="Z18" s="610"/>
    </row>
    <row r="19" spans="1:26" s="514" customFormat="1">
      <c r="A19" s="519" t="s">
        <v>4579</v>
      </c>
      <c r="B19" s="520"/>
      <c r="C19" s="521"/>
      <c r="D19" s="522" t="s">
        <v>2312</v>
      </c>
      <c r="E19" s="754"/>
      <c r="F19" s="760" t="s">
        <v>5903</v>
      </c>
      <c r="G19" s="981" t="s">
        <v>11008</v>
      </c>
      <c r="H19" s="755" t="str">
        <f>VLOOKUP($D19,transmitter_from_BP!$B:$F,2,0)</f>
        <v>O2 FLUE GAS BURNERCELL 7</v>
      </c>
      <c r="I19" s="981" t="s">
        <v>11008</v>
      </c>
      <c r="J19" s="755" t="str">
        <f>VLOOKUP($D19,transmitter_from_BP!$B:$F,2,0)</f>
        <v>O2 FLUE GAS BURNERCELL 7</v>
      </c>
      <c r="K19" s="981" t="s">
        <v>11677</v>
      </c>
      <c r="L19" s="1064" t="str">
        <f>VLOOKUP($D19,transmitter_from_BP!$B:$F,5,0)</f>
        <v>VOL%</v>
      </c>
      <c r="M19" s="570">
        <v>0</v>
      </c>
      <c r="N19" s="610">
        <v>0</v>
      </c>
      <c r="O19" s="570">
        <v>1</v>
      </c>
      <c r="P19" s="765">
        <v>1</v>
      </c>
      <c r="Q19" s="570">
        <v>1</v>
      </c>
      <c r="R19" s="765">
        <v>1</v>
      </c>
      <c r="S19" s="570">
        <v>0</v>
      </c>
      <c r="T19" s="991">
        <f>VLOOKUP($D19,transmitter_from_BP!$B:$F,4,0)</f>
        <v>0</v>
      </c>
      <c r="U19" s="570">
        <v>25</v>
      </c>
      <c r="V19" s="991">
        <f>VLOOKUP($D19,transmitter_from_BP!$B:$F,3,0)</f>
        <v>25</v>
      </c>
      <c r="W19" s="570">
        <v>0</v>
      </c>
      <c r="X19" s="555"/>
      <c r="Y19" s="614">
        <v>2.83633216816806</v>
      </c>
      <c r="Z19" s="610"/>
    </row>
    <row r="20" spans="1:26" s="514" customFormat="1">
      <c r="A20" s="519" t="s">
        <v>4579</v>
      </c>
      <c r="B20" s="520"/>
      <c r="C20" s="521"/>
      <c r="D20" s="522" t="s">
        <v>2315</v>
      </c>
      <c r="E20" s="754"/>
      <c r="F20" s="760" t="s">
        <v>5912</v>
      </c>
      <c r="G20" s="981" t="s">
        <v>11009</v>
      </c>
      <c r="H20" s="755" t="str">
        <f>VLOOKUP($D20,transmitter_from_BP!$B:$F,2,0)</f>
        <v>COMBUSTIBLE FLUE GAS CELL 7</v>
      </c>
      <c r="I20" s="981" t="s">
        <v>11009</v>
      </c>
      <c r="J20" s="755" t="str">
        <f>VLOOKUP($D20,transmitter_from_BP!$B:$F,2,0)</f>
        <v>COMBUSTIBLE FLUE GAS CELL 7</v>
      </c>
      <c r="K20" s="981" t="s">
        <v>11674</v>
      </c>
      <c r="L20" s="1064" t="str">
        <f>VLOOKUP($D20,transmitter_from_BP!$B:$F,5,0)</f>
        <v>PPM</v>
      </c>
      <c r="M20" s="570">
        <v>0</v>
      </c>
      <c r="N20" s="610">
        <v>0</v>
      </c>
      <c r="O20" s="570">
        <v>1</v>
      </c>
      <c r="P20" s="765">
        <v>1</v>
      </c>
      <c r="Q20" s="570">
        <v>1</v>
      </c>
      <c r="R20" s="765">
        <v>1</v>
      </c>
      <c r="S20" s="570">
        <v>0</v>
      </c>
      <c r="T20" s="991">
        <f>VLOOKUP($D20,transmitter_from_BP!$B:$F,4,0)</f>
        <v>0</v>
      </c>
      <c r="U20" s="570">
        <v>2000</v>
      </c>
      <c r="V20" s="991">
        <f>VLOOKUP($D20,transmitter_from_BP!$B:$F,3,0)</f>
        <v>2000</v>
      </c>
      <c r="W20" s="570">
        <v>0</v>
      </c>
      <c r="X20" s="555"/>
      <c r="Y20" s="614">
        <v>167.019786120454</v>
      </c>
      <c r="Z20" s="610"/>
    </row>
    <row r="21" spans="1:26" s="514" customFormat="1">
      <c r="A21" s="519" t="s">
        <v>4579</v>
      </c>
      <c r="B21" s="520"/>
      <c r="C21" s="521"/>
      <c r="D21" s="773" t="s">
        <v>2318</v>
      </c>
      <c r="E21" s="782"/>
      <c r="F21" s="760" t="s">
        <v>5904</v>
      </c>
      <c r="G21" s="981" t="s">
        <v>11010</v>
      </c>
      <c r="H21" s="755" t="str">
        <f>VLOOKUP($D21,transmitter_from_BP!$B:$F,2,0)</f>
        <v>O2 FLUE GAS BURNERCELL 9</v>
      </c>
      <c r="I21" s="981" t="s">
        <v>11010</v>
      </c>
      <c r="J21" s="755" t="str">
        <f>VLOOKUP($D21,transmitter_from_BP!$B:$F,2,0)</f>
        <v>O2 FLUE GAS BURNERCELL 9</v>
      </c>
      <c r="K21" s="981" t="s">
        <v>11677</v>
      </c>
      <c r="L21" s="1064" t="str">
        <f>VLOOKUP($D21,transmitter_from_BP!$B:$F,5,0)</f>
        <v>VOL%</v>
      </c>
      <c r="M21" s="570">
        <v>0</v>
      </c>
      <c r="N21" s="610">
        <v>0</v>
      </c>
      <c r="O21" s="570">
        <v>1</v>
      </c>
      <c r="P21" s="765">
        <v>1</v>
      </c>
      <c r="Q21" s="570">
        <v>1</v>
      </c>
      <c r="R21" s="765">
        <v>1</v>
      </c>
      <c r="S21" s="570">
        <v>0</v>
      </c>
      <c r="T21" s="991">
        <f>VLOOKUP($D21,transmitter_from_BP!$B:$F,4,0)</f>
        <v>0</v>
      </c>
      <c r="U21" s="570">
        <v>25</v>
      </c>
      <c r="V21" s="991">
        <f>VLOOKUP($D21,transmitter_from_BP!$B:$F,3,0)</f>
        <v>25</v>
      </c>
      <c r="W21" s="570">
        <v>0</v>
      </c>
      <c r="X21" s="555"/>
      <c r="Y21" s="614">
        <v>2.8362626814720802</v>
      </c>
      <c r="Z21" s="610"/>
    </row>
    <row r="22" spans="1:26" s="514" customFormat="1">
      <c r="A22" s="519" t="s">
        <v>4579</v>
      </c>
      <c r="B22" s="520"/>
      <c r="C22" s="521"/>
      <c r="D22" s="773" t="s">
        <v>2321</v>
      </c>
      <c r="E22" s="782"/>
      <c r="F22" s="760" t="s">
        <v>5913</v>
      </c>
      <c r="G22" s="981" t="s">
        <v>11011</v>
      </c>
      <c r="H22" s="755" t="str">
        <f>VLOOKUP($D22,transmitter_from_BP!$B:$F,2,0)</f>
        <v>COMBUSTIBLE FLUE GAS CELL 9</v>
      </c>
      <c r="I22" s="981" t="s">
        <v>11011</v>
      </c>
      <c r="J22" s="755" t="str">
        <f>VLOOKUP($D22,transmitter_from_BP!$B:$F,2,0)</f>
        <v>COMBUSTIBLE FLUE GAS CELL 9</v>
      </c>
      <c r="K22" s="981" t="s">
        <v>11674</v>
      </c>
      <c r="L22" s="1064" t="str">
        <f>VLOOKUP($D22,transmitter_from_BP!$B:$F,5,0)</f>
        <v>PPM</v>
      </c>
      <c r="M22" s="570">
        <v>0</v>
      </c>
      <c r="N22" s="610">
        <v>0</v>
      </c>
      <c r="O22" s="570">
        <v>1</v>
      </c>
      <c r="P22" s="765">
        <v>1</v>
      </c>
      <c r="Q22" s="570">
        <v>1</v>
      </c>
      <c r="R22" s="765">
        <v>1</v>
      </c>
      <c r="S22" s="570">
        <v>0</v>
      </c>
      <c r="T22" s="991">
        <f>VLOOKUP($D22,transmitter_from_BP!$B:$F,4,0)</f>
        <v>0</v>
      </c>
      <c r="U22" s="570">
        <v>2000</v>
      </c>
      <c r="V22" s="991">
        <f>VLOOKUP($D22,transmitter_from_BP!$B:$F,3,0)</f>
        <v>2000</v>
      </c>
      <c r="W22" s="570">
        <v>0</v>
      </c>
      <c r="X22" s="555"/>
      <c r="Y22" s="614">
        <v>167.02042345446699</v>
      </c>
      <c r="Z22" s="610"/>
    </row>
    <row r="23" spans="1:26" s="514" customFormat="1">
      <c r="A23" s="519" t="s">
        <v>4579</v>
      </c>
      <c r="B23" s="520"/>
      <c r="C23" s="521"/>
      <c r="D23" s="773" t="s">
        <v>1934</v>
      </c>
      <c r="E23" s="782"/>
      <c r="F23" s="760" t="s">
        <v>5906</v>
      </c>
      <c r="G23" s="981" t="s">
        <v>11012</v>
      </c>
      <c r="H23" s="755" t="str">
        <f>VLOOKUP($D23,transmitter_from_BP!$B:$F,2,0)</f>
        <v>O2 FLUE GAS DUCT HZ2101</v>
      </c>
      <c r="I23" s="981" t="s">
        <v>11012</v>
      </c>
      <c r="J23" s="755" t="str">
        <f>VLOOKUP($D23,transmitter_from_BP!$B:$F,2,0)</f>
        <v>O2 FLUE GAS DUCT HZ2101</v>
      </c>
      <c r="K23" s="981" t="s">
        <v>11678</v>
      </c>
      <c r="L23" s="1064" t="str">
        <f>VLOOKUP($D23,transmitter_from_BP!$B:$F,5,0)</f>
        <v>PCT</v>
      </c>
      <c r="M23" s="570">
        <v>0</v>
      </c>
      <c r="N23" s="610">
        <v>0</v>
      </c>
      <c r="O23" s="570">
        <v>1</v>
      </c>
      <c r="P23" s="765">
        <v>1</v>
      </c>
      <c r="Q23" s="570">
        <v>1</v>
      </c>
      <c r="R23" s="765">
        <v>1</v>
      </c>
      <c r="S23" s="570">
        <v>0</v>
      </c>
      <c r="T23" s="991">
        <f>VLOOKUP($D23,transmitter_from_BP!$B:$F,4,0)</f>
        <v>0</v>
      </c>
      <c r="U23" s="570">
        <v>25</v>
      </c>
      <c r="V23" s="991">
        <f>VLOOKUP($D23,transmitter_from_BP!$B:$F,3,0)</f>
        <v>25</v>
      </c>
      <c r="W23" s="570">
        <v>0</v>
      </c>
      <c r="X23" s="555"/>
      <c r="Y23" s="614">
        <v>3.3216400456395099</v>
      </c>
      <c r="Z23" s="610"/>
    </row>
    <row r="24" spans="1:26" s="514" customFormat="1">
      <c r="A24" s="519" t="s">
        <v>4579</v>
      </c>
      <c r="B24" s="520"/>
      <c r="C24" s="521"/>
      <c r="D24" s="773" t="s">
        <v>1937</v>
      </c>
      <c r="E24" s="782"/>
      <c r="F24" s="760" t="s">
        <v>5907</v>
      </c>
      <c r="G24" s="981" t="s">
        <v>11013</v>
      </c>
      <c r="H24" s="755" t="str">
        <f>VLOOKUP($D24,transmitter_from_BP!$B:$F,2,0)</f>
        <v>NOX FLUE GAS DUCT HZ2101</v>
      </c>
      <c r="I24" s="981" t="s">
        <v>11013</v>
      </c>
      <c r="J24" s="755" t="str">
        <f>VLOOKUP($D24,transmitter_from_BP!$B:$F,2,0)</f>
        <v>NOX FLUE GAS DUCT HZ2101</v>
      </c>
      <c r="K24" s="981" t="s">
        <v>11679</v>
      </c>
      <c r="L24" s="1064" t="str">
        <f>VLOOKUP($D24,transmitter_from_BP!$B:$F,5,0)</f>
        <v>MG/NM3</v>
      </c>
      <c r="M24" s="570">
        <v>0</v>
      </c>
      <c r="N24" s="610">
        <v>0</v>
      </c>
      <c r="O24" s="570">
        <v>1</v>
      </c>
      <c r="P24" s="765">
        <v>1</v>
      </c>
      <c r="Q24" s="570">
        <v>1</v>
      </c>
      <c r="R24" s="765">
        <v>1</v>
      </c>
      <c r="S24" s="570">
        <v>0</v>
      </c>
      <c r="T24" s="991">
        <f>VLOOKUP($D24,transmitter_from_BP!$B:$F,4,0)</f>
        <v>0</v>
      </c>
      <c r="U24" s="570">
        <v>400</v>
      </c>
      <c r="V24" s="991">
        <f>VLOOKUP($D24,transmitter_from_BP!$B:$F,3,0)</f>
        <v>400</v>
      </c>
      <c r="W24" s="570">
        <v>0</v>
      </c>
      <c r="X24" s="555"/>
      <c r="Y24" s="614">
        <v>0</v>
      </c>
      <c r="Z24" s="610"/>
    </row>
    <row r="25" spans="1:26" s="514" customFormat="1">
      <c r="A25" s="519" t="s">
        <v>4579</v>
      </c>
      <c r="B25" s="520"/>
      <c r="C25" s="521"/>
      <c r="D25" s="773" t="s">
        <v>3814</v>
      </c>
      <c r="E25" s="782"/>
      <c r="F25" s="760" t="s">
        <v>8801</v>
      </c>
      <c r="G25" s="981" t="s">
        <v>11014</v>
      </c>
      <c r="H25" s="755" t="str">
        <f>VLOOKUP($D25,transmitter_from_BP!$B:$F,2,0)</f>
        <v>H2S IN OFFGAS DZ2852</v>
      </c>
      <c r="I25" s="981" t="s">
        <v>11014</v>
      </c>
      <c r="J25" s="755" t="str">
        <f>VLOOKUP($D25,transmitter_from_BP!$B:$F,2,0)</f>
        <v>H2S IN OFFGAS DZ2852</v>
      </c>
      <c r="K25" s="981" t="s">
        <v>11674</v>
      </c>
      <c r="L25" s="1064" t="str">
        <f>VLOOKUP($D25,transmitter_from_BP!$B:$F,5,0)</f>
        <v>PPM</v>
      </c>
      <c r="M25" s="570">
        <v>0</v>
      </c>
      <c r="N25" s="610"/>
      <c r="O25" s="570">
        <v>1</v>
      </c>
      <c r="P25" s="765">
        <v>1</v>
      </c>
      <c r="Q25" s="570">
        <v>1000000</v>
      </c>
      <c r="R25" s="765">
        <v>1000000</v>
      </c>
      <c r="S25" s="570">
        <v>0</v>
      </c>
      <c r="T25" s="991">
        <f>VLOOKUP($D25,transmitter_from_BP!$B:$F,4,0)</f>
        <v>0</v>
      </c>
      <c r="U25" s="570">
        <v>2500</v>
      </c>
      <c r="V25" s="991">
        <f>VLOOKUP($D25,transmitter_from_BP!$B:$F,3,0)</f>
        <v>2500</v>
      </c>
      <c r="W25" s="570">
        <v>0</v>
      </c>
      <c r="X25" s="555"/>
      <c r="Y25" s="614">
        <v>19.528855386081101</v>
      </c>
      <c r="Z25" s="610"/>
    </row>
    <row r="26" spans="1:26" s="514" customFormat="1">
      <c r="A26" s="519" t="s">
        <v>4579</v>
      </c>
      <c r="B26" s="520"/>
      <c r="C26" s="521"/>
      <c r="D26" s="773" t="s">
        <v>2889</v>
      </c>
      <c r="E26" s="782"/>
      <c r="F26" s="760" t="s">
        <v>6419</v>
      </c>
      <c r="G26" s="981" t="s">
        <v>11015</v>
      </c>
      <c r="H26" s="755" t="str">
        <f>VLOOKUP($D26,transmitter_from_BP!$B:$F,2,0)</f>
        <v>DHT HEATER O2 FLUE GAS</v>
      </c>
      <c r="I26" s="981" t="s">
        <v>11015</v>
      </c>
      <c r="J26" s="755" t="str">
        <f>VLOOKUP($D26,transmitter_from_BP!$B:$F,2,0)</f>
        <v>DHT HEATER O2 FLUE GAS</v>
      </c>
      <c r="K26" s="981" t="s">
        <v>11673</v>
      </c>
      <c r="L26" s="1064" t="str">
        <f>VLOOKUP($D26,transmitter_from_BP!$B:$F,5,0)</f>
        <v>%</v>
      </c>
      <c r="M26" s="570">
        <v>0</v>
      </c>
      <c r="N26" s="610">
        <v>0</v>
      </c>
      <c r="O26" s="570">
        <v>1</v>
      </c>
      <c r="P26" s="765">
        <v>1</v>
      </c>
      <c r="Q26" s="570">
        <v>1</v>
      </c>
      <c r="R26" s="765">
        <v>1</v>
      </c>
      <c r="S26" s="570">
        <v>0</v>
      </c>
      <c r="T26" s="991">
        <f>VLOOKUP($D26,transmitter_from_BP!$B:$F,4,0)</f>
        <v>0</v>
      </c>
      <c r="U26" s="570">
        <v>10</v>
      </c>
      <c r="V26" s="991">
        <f>VLOOKUP($D26,transmitter_from_BP!$B:$F,3,0)</f>
        <v>10</v>
      </c>
      <c r="W26" s="570">
        <v>0</v>
      </c>
      <c r="X26" s="555"/>
      <c r="Y26" s="614">
        <v>3.7122003857080399</v>
      </c>
      <c r="Z26" s="610"/>
    </row>
    <row r="27" spans="1:26" s="514" customFormat="1">
      <c r="A27" s="519" t="s">
        <v>4579</v>
      </c>
      <c r="B27" s="520"/>
      <c r="C27" s="521"/>
      <c r="D27" s="522" t="s">
        <v>6230</v>
      </c>
      <c r="E27" s="754"/>
      <c r="F27" s="760" t="s">
        <v>7964</v>
      </c>
      <c r="G27" s="981" t="s">
        <v>11016</v>
      </c>
      <c r="H27" s="755" t="str">
        <f>VLOOKUP($D27,transmitter_from_BP!$B:$F,2,0)</f>
        <v>90% DESTILLATION POINT SRG</v>
      </c>
      <c r="I27" s="981" t="s">
        <v>11016</v>
      </c>
      <c r="J27" s="755" t="str">
        <f>VLOOKUP($D27,transmitter_from_BP!$B:$F,2,0)</f>
        <v>90% DESTILLATION POINT SRG</v>
      </c>
      <c r="K27" s="981" t="s">
        <v>11676</v>
      </c>
      <c r="L27" s="1064" t="str">
        <f>VLOOKUP($D27,transmitter_from_BP!$B:$F,5,0)</f>
        <v>DEGC</v>
      </c>
      <c r="M27" s="570">
        <v>6</v>
      </c>
      <c r="N27" s="610">
        <v>6</v>
      </c>
      <c r="O27" s="570">
        <v>1</v>
      </c>
      <c r="P27" s="765">
        <v>1</v>
      </c>
      <c r="Q27" s="570">
        <v>1</v>
      </c>
      <c r="R27" s="765">
        <v>1</v>
      </c>
      <c r="S27" s="570">
        <v>60</v>
      </c>
      <c r="T27" s="991">
        <f>VLOOKUP($D27,transmitter_from_BP!$B:$F,4,0)</f>
        <v>60</v>
      </c>
      <c r="U27" s="570">
        <v>120</v>
      </c>
      <c r="V27" s="991">
        <f>VLOOKUP($D27,transmitter_from_BP!$B:$F,3,0)</f>
        <v>120</v>
      </c>
      <c r="W27" s="570">
        <v>0</v>
      </c>
      <c r="X27" s="555"/>
      <c r="Y27" s="614">
        <v>93.824281013797403</v>
      </c>
      <c r="Z27" s="610"/>
    </row>
    <row r="28" spans="1:26" s="514" customFormat="1">
      <c r="A28" s="519" t="s">
        <v>4579</v>
      </c>
      <c r="B28" s="520"/>
      <c r="C28" s="521"/>
      <c r="D28" s="522" t="s">
        <v>6231</v>
      </c>
      <c r="E28" s="754"/>
      <c r="F28" s="760" t="s">
        <v>7965</v>
      </c>
      <c r="G28" s="981" t="s">
        <v>11017</v>
      </c>
      <c r="H28" s="755" t="str">
        <f>VLOOKUP($D28,transmitter_from_BP!$B:$F,2,0)</f>
        <v>RVP SRG</v>
      </c>
      <c r="I28" s="981" t="s">
        <v>11017</v>
      </c>
      <c r="J28" s="755" t="str">
        <f>VLOOKUP($D28,transmitter_from_BP!$B:$F,2,0)</f>
        <v>RVP SRG</v>
      </c>
      <c r="K28" s="981" t="s">
        <v>11680</v>
      </c>
      <c r="L28" s="1064" t="str">
        <f>VLOOKUP($D28,transmitter_from_BP!$B:$F,5,0)</f>
        <v>BAR</v>
      </c>
      <c r="M28" s="570">
        <v>2</v>
      </c>
      <c r="N28" s="610">
        <v>2</v>
      </c>
      <c r="O28" s="570">
        <v>1</v>
      </c>
      <c r="P28" s="765">
        <v>1</v>
      </c>
      <c r="Q28" s="570">
        <v>1</v>
      </c>
      <c r="R28" s="765">
        <v>1</v>
      </c>
      <c r="S28" s="570">
        <v>0</v>
      </c>
      <c r="T28" s="991">
        <f>VLOOKUP($D28,transmitter_from_BP!$B:$F,4,0)</f>
        <v>0</v>
      </c>
      <c r="U28" s="570">
        <v>2</v>
      </c>
      <c r="V28" s="991">
        <f>VLOOKUP($D28,transmitter_from_BP!$B:$F,3,0)</f>
        <v>2</v>
      </c>
      <c r="W28" s="570">
        <v>0</v>
      </c>
      <c r="X28" s="555"/>
      <c r="Y28" s="614">
        <v>0</v>
      </c>
      <c r="Z28" s="610"/>
    </row>
    <row r="29" spans="1:26" s="514" customFormat="1">
      <c r="A29" s="519" t="s">
        <v>4579</v>
      </c>
      <c r="B29" s="520"/>
      <c r="C29" s="521"/>
      <c r="D29" s="522" t="s">
        <v>6232</v>
      </c>
      <c r="E29" s="754"/>
      <c r="F29" s="760" t="s">
        <v>7966</v>
      </c>
      <c r="G29" s="981" t="s">
        <v>11018</v>
      </c>
      <c r="H29" s="755" t="str">
        <f>VLOOKUP($D29,transmitter_from_BP!$B:$F,2,0)</f>
        <v>TOTAL C4 SRG</v>
      </c>
      <c r="I29" s="981" t="s">
        <v>11018</v>
      </c>
      <c r="J29" s="755" t="str">
        <f>VLOOKUP($D29,transmitter_from_BP!$B:$F,2,0)</f>
        <v>TOTAL C4 SRG</v>
      </c>
      <c r="K29" s="981" t="s">
        <v>11681</v>
      </c>
      <c r="L29" s="1064" t="str">
        <f>VLOOKUP($D29,transmitter_from_BP!$B:$F,5,0)</f>
        <v>VOLPCT</v>
      </c>
      <c r="M29" s="570">
        <v>0</v>
      </c>
      <c r="N29" s="610">
        <v>0</v>
      </c>
      <c r="O29" s="570">
        <v>1</v>
      </c>
      <c r="P29" s="765">
        <v>1</v>
      </c>
      <c r="Q29" s="570">
        <v>1</v>
      </c>
      <c r="R29" s="765">
        <v>1</v>
      </c>
      <c r="S29" s="570">
        <v>0</v>
      </c>
      <c r="T29" s="991">
        <f>VLOOKUP($D29,transmitter_from_BP!$B:$F,4,0)</f>
        <v>0</v>
      </c>
      <c r="U29" s="570">
        <v>10</v>
      </c>
      <c r="V29" s="991">
        <f>VLOOKUP($D29,transmitter_from_BP!$B:$F,3,0)</f>
        <v>10</v>
      </c>
      <c r="W29" s="570">
        <v>0</v>
      </c>
      <c r="X29" s="555"/>
      <c r="Y29" s="614">
        <v>4.8033038124610101</v>
      </c>
      <c r="Z29" s="610"/>
    </row>
    <row r="30" spans="1:26" s="514" customFormat="1">
      <c r="A30" s="519" t="s">
        <v>4579</v>
      </c>
      <c r="B30" s="520"/>
      <c r="C30" s="521"/>
      <c r="D30" s="522" t="s">
        <v>3241</v>
      </c>
      <c r="E30" s="754"/>
      <c r="F30" s="760" t="s">
        <v>6201</v>
      </c>
      <c r="G30" s="981" t="s">
        <v>11019</v>
      </c>
      <c r="H30" s="755" t="str">
        <f>VLOOKUP($D30,[1]transmitter_fromclient!$B:$F,2,0)</f>
        <v>90% DESTIL. POINT SRB/N</v>
      </c>
      <c r="I30" s="981" t="s">
        <v>11019</v>
      </c>
      <c r="J30" s="755" t="str">
        <f>VLOOKUP($D30,[1]transmitter_fromclient!$B:$F,2,0)</f>
        <v>90% DESTIL. POINT SRB/N</v>
      </c>
      <c r="K30" s="981" t="s">
        <v>11676</v>
      </c>
      <c r="L30" s="1064" t="str">
        <f>VLOOKUP($D30,transmitter_from_BP!$B:$F,5,0)</f>
        <v>DEGC</v>
      </c>
      <c r="M30" s="570">
        <v>6</v>
      </c>
      <c r="N30" s="610">
        <v>6</v>
      </c>
      <c r="O30" s="570">
        <v>1</v>
      </c>
      <c r="P30" s="765">
        <v>1</v>
      </c>
      <c r="Q30" s="570">
        <v>1</v>
      </c>
      <c r="R30" s="765">
        <v>1</v>
      </c>
      <c r="S30" s="570">
        <v>80</v>
      </c>
      <c r="T30" s="991">
        <f>VLOOKUP($D30,transmitter_from_BP!$B:$F,4,0)</f>
        <v>80</v>
      </c>
      <c r="U30" s="570">
        <v>190</v>
      </c>
      <c r="V30" s="991">
        <f>VLOOKUP($D30,transmitter_from_BP!$B:$F,3,0)</f>
        <v>190</v>
      </c>
      <c r="W30" s="570">
        <v>0</v>
      </c>
      <c r="X30" s="555"/>
      <c r="Y30" s="614">
        <v>138.26701524433199</v>
      </c>
      <c r="Z30" s="610"/>
    </row>
    <row r="31" spans="1:26" s="514" customFormat="1">
      <c r="A31" s="519" t="s">
        <v>4579</v>
      </c>
      <c r="B31" s="520"/>
      <c r="C31" s="521"/>
      <c r="D31" s="522" t="s">
        <v>3246</v>
      </c>
      <c r="E31" s="754"/>
      <c r="F31" s="760" t="s">
        <v>7956</v>
      </c>
      <c r="G31" s="981" t="s">
        <v>11020</v>
      </c>
      <c r="H31" s="755" t="str">
        <f>VLOOKUP($D31,[1]transmitter_fromclient!$B:$F,2,0)</f>
        <v>5% DESTIL. POINT SRB/N</v>
      </c>
      <c r="I31" s="981" t="s">
        <v>11020</v>
      </c>
      <c r="J31" s="755" t="str">
        <f>VLOOKUP($D31,[1]transmitter_fromclient!$B:$F,2,0)</f>
        <v>5% DESTIL. POINT SRB/N</v>
      </c>
      <c r="K31" s="981" t="s">
        <v>11676</v>
      </c>
      <c r="L31" s="1064" t="str">
        <f>VLOOKUP($D31,transmitter_from_BP!$B:$F,5,0)</f>
        <v>DEGC</v>
      </c>
      <c r="M31" s="570">
        <v>6</v>
      </c>
      <c r="N31" s="610">
        <v>6</v>
      </c>
      <c r="O31" s="570">
        <v>1</v>
      </c>
      <c r="P31" s="765">
        <v>1</v>
      </c>
      <c r="Q31" s="570">
        <v>1</v>
      </c>
      <c r="R31" s="765">
        <v>1</v>
      </c>
      <c r="S31" s="570">
        <v>70</v>
      </c>
      <c r="T31" s="991">
        <f>VLOOKUP($D31,transmitter_from_BP!$B:$F,4,0)</f>
        <v>70</v>
      </c>
      <c r="U31" s="570">
        <v>140</v>
      </c>
      <c r="V31" s="991">
        <f>VLOOKUP($D31,transmitter_from_BP!$B:$F,3,0)</f>
        <v>140</v>
      </c>
      <c r="W31" s="570">
        <v>0</v>
      </c>
      <c r="X31" s="555"/>
      <c r="Y31" s="614">
        <v>104.44799649458599</v>
      </c>
      <c r="Z31" s="610"/>
    </row>
    <row r="32" spans="1:26" s="514" customFormat="1">
      <c r="A32" s="519" t="s">
        <v>4579</v>
      </c>
      <c r="B32" s="520"/>
      <c r="C32" s="521"/>
      <c r="D32" s="773" t="s">
        <v>3254</v>
      </c>
      <c r="E32" s="782"/>
      <c r="F32" s="760" t="s">
        <v>9322</v>
      </c>
      <c r="G32" s="981" t="s">
        <v>11021</v>
      </c>
      <c r="H32" s="755" t="str">
        <f>VLOOKUP($D32,transmitter_from_BP!$B:$F,2,0)</f>
        <v>FLASHPOINT KERO</v>
      </c>
      <c r="I32" s="981" t="s">
        <v>11021</v>
      </c>
      <c r="J32" s="755" t="str">
        <f>VLOOKUP($D32,transmitter_from_BP!$B:$F,2,0)</f>
        <v>FLASHPOINT KERO</v>
      </c>
      <c r="K32" s="981" t="s">
        <v>11676</v>
      </c>
      <c r="L32" s="1064" t="str">
        <f>VLOOKUP($D32,transmitter_from_BP!$B:$F,5,0)</f>
        <v>DEGC</v>
      </c>
      <c r="M32" s="570">
        <v>6</v>
      </c>
      <c r="N32" s="772">
        <v>6</v>
      </c>
      <c r="O32" s="570">
        <v>1</v>
      </c>
      <c r="P32" s="765">
        <v>1</v>
      </c>
      <c r="Q32" s="570">
        <v>1</v>
      </c>
      <c r="R32" s="765">
        <v>1</v>
      </c>
      <c r="S32" s="570">
        <v>20</v>
      </c>
      <c r="T32" s="991">
        <f>VLOOKUP($D32,transmitter_from_BP!$B:$F,4,0)</f>
        <v>20</v>
      </c>
      <c r="U32" s="570">
        <v>80</v>
      </c>
      <c r="V32" s="991">
        <f>VLOOKUP($D32,transmitter_from_BP!$B:$F,3,0)</f>
        <v>80</v>
      </c>
      <c r="W32" s="570">
        <v>0</v>
      </c>
      <c r="X32" s="555"/>
      <c r="Y32" s="614">
        <v>34.173882489682399</v>
      </c>
      <c r="Z32" s="610"/>
    </row>
    <row r="33" spans="1:26" s="514" customFormat="1">
      <c r="A33" s="519" t="s">
        <v>4579</v>
      </c>
      <c r="B33" s="520"/>
      <c r="C33" s="521"/>
      <c r="D33" s="522" t="s">
        <v>3259</v>
      </c>
      <c r="E33" s="754"/>
      <c r="F33" s="760" t="s">
        <v>9229</v>
      </c>
      <c r="G33" s="981" t="s">
        <v>11022</v>
      </c>
      <c r="H33" s="755" t="str">
        <f>VLOOKUP($D33,transmitter_from_BP!$B:$F,2,0)</f>
        <v>90% DESTIL. POINT KERO</v>
      </c>
      <c r="I33" s="981" t="s">
        <v>11022</v>
      </c>
      <c r="J33" s="755" t="str">
        <f>VLOOKUP($D33,transmitter_from_BP!$B:$F,2,0)</f>
        <v>90% DESTIL. POINT KERO</v>
      </c>
      <c r="K33" s="981" t="s">
        <v>11676</v>
      </c>
      <c r="L33" s="1064" t="str">
        <f>VLOOKUP($D33,transmitter_from_BP!$B:$F,5,0)</f>
        <v>DEGC</v>
      </c>
      <c r="M33" s="570">
        <v>6</v>
      </c>
      <c r="N33" s="772">
        <v>6</v>
      </c>
      <c r="O33" s="570">
        <v>1</v>
      </c>
      <c r="P33" s="765">
        <v>1</v>
      </c>
      <c r="Q33" s="570">
        <v>1</v>
      </c>
      <c r="R33" s="765">
        <v>1</v>
      </c>
      <c r="S33" s="570">
        <v>180</v>
      </c>
      <c r="T33" s="991">
        <f>VLOOKUP($D33,transmitter_from_BP!$B:$F,4,0)</f>
        <v>180</v>
      </c>
      <c r="U33" s="570">
        <v>280</v>
      </c>
      <c r="V33" s="991">
        <f>VLOOKUP($D33,transmitter_from_BP!$B:$F,3,0)</f>
        <v>280</v>
      </c>
      <c r="W33" s="570">
        <v>0</v>
      </c>
      <c r="X33" s="555"/>
      <c r="Y33" s="614">
        <v>221.358165024877</v>
      </c>
      <c r="Z33" s="610"/>
    </row>
    <row r="34" spans="1:26" s="514" customFormat="1">
      <c r="A34" s="519" t="s">
        <v>4579</v>
      </c>
      <c r="B34" s="520"/>
      <c r="C34" s="521"/>
      <c r="D34" s="522" t="s">
        <v>3264</v>
      </c>
      <c r="E34" s="754"/>
      <c r="F34" s="760" t="s">
        <v>9256</v>
      </c>
      <c r="G34" s="981" t="s">
        <v>11023</v>
      </c>
      <c r="H34" s="755" t="str">
        <f>VLOOKUP($D34,transmitter_from_BP!$B:$F,2,0)</f>
        <v>DENSITY KERO</v>
      </c>
      <c r="I34" s="981" t="s">
        <v>11023</v>
      </c>
      <c r="J34" s="755" t="str">
        <f>VLOOKUP($D34,transmitter_from_BP!$B:$F,2,0)</f>
        <v>DENSITY KERO</v>
      </c>
      <c r="K34" s="981" t="s">
        <v>11682</v>
      </c>
      <c r="L34" s="1064" t="str">
        <f>VLOOKUP($D34,transmitter_from_BP!$B:$F,5,0)</f>
        <v>KG/M3</v>
      </c>
      <c r="M34" s="570">
        <v>0</v>
      </c>
      <c r="N34" s="610"/>
      <c r="O34" s="570">
        <v>1</v>
      </c>
      <c r="P34" s="765">
        <v>1</v>
      </c>
      <c r="Q34" s="570">
        <v>1</v>
      </c>
      <c r="R34" s="765">
        <v>1</v>
      </c>
      <c r="S34" s="570">
        <v>600</v>
      </c>
      <c r="T34" s="991">
        <f>VLOOKUP($D34,transmitter_from_BP!$B:$F,4,0)</f>
        <v>600</v>
      </c>
      <c r="U34" s="570">
        <v>1000</v>
      </c>
      <c r="V34" s="991">
        <f>VLOOKUP($D34,transmitter_from_BP!$B:$F,3,0)</f>
        <v>1000</v>
      </c>
      <c r="W34" s="570">
        <v>0</v>
      </c>
      <c r="X34" s="555"/>
      <c r="Y34" s="614">
        <v>773.28958337654103</v>
      </c>
      <c r="Z34" s="610"/>
    </row>
    <row r="35" spans="1:26" s="753" customFormat="1">
      <c r="A35" s="756" t="s">
        <v>4579</v>
      </c>
      <c r="B35" s="757"/>
      <c r="C35" s="758"/>
      <c r="D35" s="773" t="s">
        <v>3267</v>
      </c>
      <c r="E35" s="782"/>
      <c r="F35" s="774" t="s">
        <v>9268</v>
      </c>
      <c r="G35" s="981" t="s">
        <v>11024</v>
      </c>
      <c r="H35" s="772" t="str">
        <f>VLOOKUP($D35,transmitter_from_BP!$B:$F,2,0)</f>
        <v>FREEZING POINT KERO</v>
      </c>
      <c r="I35" s="981" t="s">
        <v>11024</v>
      </c>
      <c r="J35" s="772" t="str">
        <f>VLOOKUP($D35,transmitter_from_BP!$B:$F,2,0)</f>
        <v>FREEZING POINT KERO</v>
      </c>
      <c r="K35" s="981" t="s">
        <v>11676</v>
      </c>
      <c r="L35" s="1064" t="str">
        <f>VLOOKUP($D35,transmitter_from_BP!$B:$F,5,0)</f>
        <v>DEGC</v>
      </c>
      <c r="M35" s="783">
        <v>6</v>
      </c>
      <c r="N35" s="772">
        <v>6</v>
      </c>
      <c r="O35" s="783">
        <v>1</v>
      </c>
      <c r="P35" s="772">
        <v>1</v>
      </c>
      <c r="Q35" s="783">
        <v>1</v>
      </c>
      <c r="R35" s="772">
        <v>1</v>
      </c>
      <c r="S35" s="783">
        <v>-80</v>
      </c>
      <c r="T35" s="991">
        <f>VLOOKUP($D35,transmitter_from_BP!$B:$F,4,0)</f>
        <v>-80</v>
      </c>
      <c r="U35" s="783">
        <v>-30</v>
      </c>
      <c r="V35" s="991">
        <f>VLOOKUP($D35,transmitter_from_BP!$B:$F,3,0)</f>
        <v>-30</v>
      </c>
      <c r="W35" s="783">
        <v>0</v>
      </c>
      <c r="X35" s="772"/>
      <c r="Y35" s="783">
        <v>-42.392177323129502</v>
      </c>
      <c r="Z35" s="772"/>
    </row>
    <row r="36" spans="1:26" s="753" customFormat="1">
      <c r="A36" s="756" t="s">
        <v>4579</v>
      </c>
      <c r="B36" s="757"/>
      <c r="C36" s="758"/>
      <c r="D36" s="773" t="s">
        <v>3333</v>
      </c>
      <c r="E36" s="782"/>
      <c r="F36" s="774" t="s">
        <v>5962</v>
      </c>
      <c r="G36" s="981" t="s">
        <v>11025</v>
      </c>
      <c r="H36" s="772" t="str">
        <f>VLOOKUP($D36,transmitter_from_BP!$B:$F,2,0)</f>
        <v>SPLITTER HEATER O2 FLUE GAS</v>
      </c>
      <c r="I36" s="981" t="s">
        <v>11025</v>
      </c>
      <c r="J36" s="772" t="str">
        <f>VLOOKUP($D36,transmitter_from_BP!$B:$F,2,0)</f>
        <v>SPLITTER HEATER O2 FLUE GAS</v>
      </c>
      <c r="K36" s="981" t="s">
        <v>11673</v>
      </c>
      <c r="L36" s="1064" t="str">
        <f>VLOOKUP($D36,transmitter_from_BP!$B:$F,5,0)</f>
        <v>%</v>
      </c>
      <c r="M36" s="783">
        <v>0</v>
      </c>
      <c r="N36" s="772">
        <v>0</v>
      </c>
      <c r="O36" s="783">
        <v>1</v>
      </c>
      <c r="P36" s="772">
        <v>1</v>
      </c>
      <c r="Q36" s="783">
        <v>1</v>
      </c>
      <c r="R36" s="772">
        <v>1</v>
      </c>
      <c r="S36" s="783">
        <v>0</v>
      </c>
      <c r="T36" s="991">
        <f>VLOOKUP($D36,transmitter_from_BP!$B:$F,4,0)</f>
        <v>0</v>
      </c>
      <c r="U36" s="783">
        <v>10</v>
      </c>
      <c r="V36" s="991">
        <f>VLOOKUP($D36,transmitter_from_BP!$B:$F,3,0)</f>
        <v>10</v>
      </c>
      <c r="W36" s="783">
        <v>0</v>
      </c>
      <c r="X36" s="772"/>
      <c r="Y36" s="783">
        <v>3.7562483226227101</v>
      </c>
      <c r="Z36" s="772"/>
    </row>
    <row r="37" spans="1:26" s="753" customFormat="1">
      <c r="A37" s="756" t="s">
        <v>4579</v>
      </c>
      <c r="B37" s="757"/>
      <c r="C37" s="758"/>
      <c r="D37" s="773" t="s">
        <v>3270</v>
      </c>
      <c r="E37" s="782"/>
      <c r="F37" s="774" t="s">
        <v>9310</v>
      </c>
      <c r="G37" s="981" t="s">
        <v>11026</v>
      </c>
      <c r="H37" s="772" t="str">
        <f>VLOOKUP($D37,transmitter_from_BP!$B:$F,2,0)</f>
        <v>TOTAL PENTAAN OVHDDZ2201</v>
      </c>
      <c r="I37" s="981" t="s">
        <v>11026</v>
      </c>
      <c r="J37" s="772" t="str">
        <f>VLOOKUP($D37,transmitter_from_BP!$B:$F,2,0)</f>
        <v>TOTAL PENTAAN OVHDDZ2201</v>
      </c>
      <c r="K37" s="981" t="s">
        <v>11683</v>
      </c>
      <c r="L37" s="1064" t="str">
        <f>VLOOKUP($D37,transmitter_from_BP!$B:$F,5,0)</f>
        <v>MOL%</v>
      </c>
      <c r="M37" s="783">
        <v>0</v>
      </c>
      <c r="N37" s="772">
        <v>0</v>
      </c>
      <c r="O37" s="783">
        <v>1</v>
      </c>
      <c r="P37" s="772">
        <v>1</v>
      </c>
      <c r="Q37" s="783">
        <v>100</v>
      </c>
      <c r="R37" s="772">
        <v>100</v>
      </c>
      <c r="S37" s="783">
        <v>0</v>
      </c>
      <c r="T37" s="991">
        <f>VLOOKUP($D37,transmitter_from_BP!$B:$F,4,0)</f>
        <v>0</v>
      </c>
      <c r="U37" s="783">
        <v>50</v>
      </c>
      <c r="V37" s="991">
        <f>VLOOKUP($D37,transmitter_from_BP!$B:$F,3,0)</f>
        <v>50</v>
      </c>
      <c r="W37" s="783">
        <v>0</v>
      </c>
      <c r="X37" s="772"/>
      <c r="Y37" s="783">
        <v>8.8445447095499006</v>
      </c>
      <c r="Z37" s="772"/>
    </row>
    <row r="38" spans="1:26" s="753" customFormat="1">
      <c r="A38" s="756" t="s">
        <v>4579</v>
      </c>
      <c r="B38" s="757"/>
      <c r="C38" s="758"/>
      <c r="D38" s="773" t="s">
        <v>3817</v>
      </c>
      <c r="E38" s="782"/>
      <c r="F38" s="774" t="s">
        <v>9330</v>
      </c>
      <c r="G38" s="981" t="s">
        <v>11027</v>
      </c>
      <c r="H38" s="772" t="str">
        <f>VLOOKUP($D38,transmitter_from_BP!$B:$F,2,0)</f>
        <v>H2S IN FUELGAS CDU-4</v>
      </c>
      <c r="I38" s="981" t="s">
        <v>11027</v>
      </c>
      <c r="J38" s="772" t="str">
        <f>VLOOKUP($D38,transmitter_from_BP!$B:$F,2,0)</f>
        <v>H2S IN FUELGAS CDU-4</v>
      </c>
      <c r="K38" s="981" t="s">
        <v>11674</v>
      </c>
      <c r="L38" s="1064" t="str">
        <f>VLOOKUP($D38,transmitter_from_BP!$B:$F,5,0)</f>
        <v>PPM</v>
      </c>
      <c r="M38" s="783">
        <v>0</v>
      </c>
      <c r="N38" s="772">
        <v>0</v>
      </c>
      <c r="O38" s="783">
        <v>1</v>
      </c>
      <c r="P38" s="772">
        <v>1</v>
      </c>
      <c r="Q38" s="783">
        <v>1000000</v>
      </c>
      <c r="R38" s="772">
        <v>1000000</v>
      </c>
      <c r="S38" s="783">
        <v>0</v>
      </c>
      <c r="T38" s="991">
        <f>VLOOKUP($D38,transmitter_from_BP!$B:$F,4,0)</f>
        <v>0</v>
      </c>
      <c r="U38" s="783">
        <v>2500</v>
      </c>
      <c r="V38" s="991">
        <f>VLOOKUP($D38,transmitter_from_BP!$B:$F,3,0)</f>
        <v>2500</v>
      </c>
      <c r="W38" s="783">
        <v>0</v>
      </c>
      <c r="X38" s="772"/>
      <c r="Y38" s="783">
        <v>10.1167349367746</v>
      </c>
      <c r="Z38" s="772"/>
    </row>
    <row r="39" spans="1:26" s="753" customFormat="1">
      <c r="A39" s="756" t="s">
        <v>4579</v>
      </c>
      <c r="B39" s="757"/>
      <c r="C39" s="758"/>
      <c r="D39" s="773" t="s">
        <v>9474</v>
      </c>
      <c r="E39" s="782"/>
      <c r="F39" s="774" t="s">
        <v>8661</v>
      </c>
      <c r="G39" s="981" t="s">
        <v>11028</v>
      </c>
      <c r="H39" s="772" t="str">
        <f>VLOOKUP($D39,transmitter_from_BP!$B:$F,2,0)</f>
        <v>STRIPPED WATER FROM FCCU</v>
      </c>
      <c r="I39" s="981" t="s">
        <v>11028</v>
      </c>
      <c r="J39" s="772" t="str">
        <f>VLOOKUP($D39,transmitter_from_BP!$B:$F,2,0)</f>
        <v>STRIPPED WATER FROM FCCU</v>
      </c>
      <c r="K39" s="981" t="s">
        <v>11684</v>
      </c>
      <c r="L39" s="1064" t="str">
        <f>VLOOKUP($D39,transmitter_from_BP!$B:$F,5,0)</f>
        <v>M3/H</v>
      </c>
      <c r="M39" s="783">
        <v>0</v>
      </c>
      <c r="N39" s="772">
        <v>0</v>
      </c>
      <c r="O39" s="783">
        <v>1</v>
      </c>
      <c r="P39" s="772">
        <v>1</v>
      </c>
      <c r="Q39" s="783">
        <v>3600</v>
      </c>
      <c r="R39" s="772">
        <v>3600</v>
      </c>
      <c r="S39" s="783">
        <v>0</v>
      </c>
      <c r="T39" s="991">
        <f>VLOOKUP($D39,transmitter_from_BP!$B:$F,4,0)</f>
        <v>0</v>
      </c>
      <c r="U39" s="783">
        <v>36.51</v>
      </c>
      <c r="V39" s="991">
        <f>VLOOKUP($D39,transmitter_from_BP!$B:$F,3,0)</f>
        <v>36.51</v>
      </c>
      <c r="W39" s="783">
        <v>0</v>
      </c>
      <c r="X39" s="772"/>
      <c r="Y39" s="783">
        <v>24.000011573835401</v>
      </c>
      <c r="Z39" s="772"/>
    </row>
    <row r="40" spans="1:26" s="753" customFormat="1">
      <c r="A40" s="756" t="s">
        <v>4579</v>
      </c>
      <c r="B40" s="757"/>
      <c r="C40" s="758"/>
      <c r="D40" s="773" t="s">
        <v>9019</v>
      </c>
      <c r="E40" s="782"/>
      <c r="F40" s="774" t="s">
        <v>8679</v>
      </c>
      <c r="G40" s="981" t="s">
        <v>11029</v>
      </c>
      <c r="H40" s="772" t="str">
        <f>VLOOKUP($D40,transmitter_from_BP!$B:$F,2,0)</f>
        <v>TEMPERED WATER RECIRCULATION</v>
      </c>
      <c r="I40" s="981" t="s">
        <v>11029</v>
      </c>
      <c r="J40" s="772" t="str">
        <f>VLOOKUP($D40,transmitter_from_BP!$B:$F,2,0)</f>
        <v>TEMPERED WATER RECIRCULATION</v>
      </c>
      <c r="K40" s="981" t="s">
        <v>11684</v>
      </c>
      <c r="L40" s="1064" t="str">
        <f>VLOOKUP($D40,transmitter_from_BP!$B:$F,5,0)</f>
        <v>M3/H</v>
      </c>
      <c r="M40" s="783">
        <v>0</v>
      </c>
      <c r="N40" s="772">
        <v>0</v>
      </c>
      <c r="O40" s="783">
        <v>1</v>
      </c>
      <c r="P40" s="772">
        <v>1</v>
      </c>
      <c r="Q40" s="783">
        <v>3600</v>
      </c>
      <c r="R40" s="772">
        <v>3600</v>
      </c>
      <c r="S40" s="783">
        <v>0</v>
      </c>
      <c r="T40" s="991">
        <f>VLOOKUP($D40,transmitter_from_BP!$B:$F,4,0)</f>
        <v>0</v>
      </c>
      <c r="U40" s="783">
        <v>500</v>
      </c>
      <c r="V40" s="991">
        <f>VLOOKUP($D40,transmitter_from_BP!$B:$F,3,0)</f>
        <v>500</v>
      </c>
      <c r="W40" s="783">
        <v>0</v>
      </c>
      <c r="X40" s="772"/>
      <c r="Y40" s="783">
        <v>164.99975244184299</v>
      </c>
      <c r="Z40" s="772"/>
    </row>
    <row r="41" spans="1:26" s="753" customFormat="1">
      <c r="A41" s="756" t="s">
        <v>4579</v>
      </c>
      <c r="B41" s="757"/>
      <c r="C41" s="758"/>
      <c r="D41" s="773" t="s">
        <v>8680</v>
      </c>
      <c r="E41" s="782"/>
      <c r="F41" s="774" t="s">
        <v>8681</v>
      </c>
      <c r="G41" s="981" t="s">
        <v>11030</v>
      </c>
      <c r="H41" s="772" t="str">
        <f>VLOOKUP($D41,transmitter_from_BP!$B:$F,2,0)</f>
        <v>RESIDUE RUNDOWN</v>
      </c>
      <c r="I41" s="981" t="s">
        <v>11030</v>
      </c>
      <c r="J41" s="772" t="str">
        <f>VLOOKUP($D41,transmitter_from_BP!$B:$F,2,0)</f>
        <v>RESIDUE RUNDOWN</v>
      </c>
      <c r="K41" s="981" t="s">
        <v>11684</v>
      </c>
      <c r="L41" s="1064" t="str">
        <f>VLOOKUP($D41,transmitter_from_BP!$B:$F,5,0)</f>
        <v>M3/H</v>
      </c>
      <c r="M41" s="783">
        <v>0</v>
      </c>
      <c r="N41" s="772">
        <v>0</v>
      </c>
      <c r="O41" s="783">
        <v>1</v>
      </c>
      <c r="P41" s="772">
        <v>1</v>
      </c>
      <c r="Q41" s="783">
        <v>3600</v>
      </c>
      <c r="R41" s="772">
        <v>3600</v>
      </c>
      <c r="S41" s="783">
        <v>0</v>
      </c>
      <c r="T41" s="991">
        <f>VLOOKUP($D41,transmitter_from_BP!$B:$F,4,0)</f>
        <v>0</v>
      </c>
      <c r="U41" s="783">
        <v>720</v>
      </c>
      <c r="V41" s="991">
        <f>VLOOKUP($D41,transmitter_from_BP!$B:$F,3,0)</f>
        <v>720</v>
      </c>
      <c r="W41" s="783">
        <v>0</v>
      </c>
      <c r="X41" s="772"/>
      <c r="Y41" s="783">
        <v>323.34461558622002</v>
      </c>
      <c r="Z41" s="772"/>
    </row>
    <row r="42" spans="1:26" s="753" customFormat="1">
      <c r="A42" s="756" t="s">
        <v>4579</v>
      </c>
      <c r="B42" s="757"/>
      <c r="C42" s="758"/>
      <c r="D42" s="773" t="s">
        <v>9478</v>
      </c>
      <c r="E42" s="782"/>
      <c r="F42" s="774" t="s">
        <v>8604</v>
      </c>
      <c r="G42" s="981" t="s">
        <v>11031</v>
      </c>
      <c r="H42" s="772" t="str">
        <f>VLOOKUP($D42,transmitter_from_BP!$B:$F,2,0)</f>
        <v>CDU TOWER TOP PUMP AROUND</v>
      </c>
      <c r="I42" s="981" t="s">
        <v>11031</v>
      </c>
      <c r="J42" s="772" t="str">
        <f>VLOOKUP($D42,transmitter_from_BP!$B:$F,2,0)</f>
        <v>CDU TOWER TOP PUMP AROUND</v>
      </c>
      <c r="K42" s="981" t="s">
        <v>11684</v>
      </c>
      <c r="L42" s="1064" t="str">
        <f>VLOOKUP($D42,transmitter_from_BP!$B:$F,5,0)</f>
        <v>M3/H</v>
      </c>
      <c r="M42" s="783">
        <v>0</v>
      </c>
      <c r="N42" s="772">
        <v>0</v>
      </c>
      <c r="O42" s="783">
        <v>1</v>
      </c>
      <c r="P42" s="772">
        <v>1</v>
      </c>
      <c r="Q42" s="783">
        <v>3600</v>
      </c>
      <c r="R42" s="772">
        <v>3600</v>
      </c>
      <c r="S42" s="783">
        <v>0</v>
      </c>
      <c r="T42" s="991">
        <f>VLOOKUP($D42,transmitter_from_BP!$B:$F,4,0)</f>
        <v>0</v>
      </c>
      <c r="U42" s="783">
        <v>1294</v>
      </c>
      <c r="V42" s="991">
        <f>VLOOKUP($D42,transmitter_from_BP!$B:$F,3,0)</f>
        <v>1294</v>
      </c>
      <c r="W42" s="783">
        <v>0</v>
      </c>
      <c r="X42" s="772"/>
      <c r="Y42" s="783">
        <v>768.60440606356997</v>
      </c>
      <c r="Z42" s="772"/>
    </row>
    <row r="43" spans="1:26" s="753" customFormat="1">
      <c r="A43" s="756" t="s">
        <v>4579</v>
      </c>
      <c r="B43" s="757"/>
      <c r="C43" s="758"/>
      <c r="D43" s="773" t="s">
        <v>9478</v>
      </c>
      <c r="E43" s="782"/>
      <c r="F43" s="774" t="s">
        <v>8605</v>
      </c>
      <c r="G43" s="981" t="s">
        <v>11031</v>
      </c>
      <c r="H43" s="772" t="str">
        <f>VLOOKUP($D43,transmitter_from_BP!$B:$F,2,0)</f>
        <v>CDU TOWER TOP PUMP AROUND</v>
      </c>
      <c r="I43" s="981" t="s">
        <v>11031</v>
      </c>
      <c r="J43" s="772" t="str">
        <f>VLOOKUP($D43,transmitter_from_BP!$B:$F,2,0)</f>
        <v>CDU TOWER TOP PUMP AROUND</v>
      </c>
      <c r="K43" s="981" t="s">
        <v>11684</v>
      </c>
      <c r="L43" s="1064" t="str">
        <f>VLOOKUP($D43,transmitter_from_BP!$B:$F,5,0)</f>
        <v>M3/H</v>
      </c>
      <c r="M43" s="783">
        <v>0</v>
      </c>
      <c r="N43" s="772">
        <v>0</v>
      </c>
      <c r="O43" s="783">
        <v>1</v>
      </c>
      <c r="P43" s="772">
        <v>1</v>
      </c>
      <c r="Q43" s="783">
        <v>3600</v>
      </c>
      <c r="R43" s="772">
        <v>3600</v>
      </c>
      <c r="S43" s="783">
        <v>0</v>
      </c>
      <c r="T43" s="991">
        <f>VLOOKUP($D43,transmitter_from_BP!$B:$F,4,0)</f>
        <v>0</v>
      </c>
      <c r="U43" s="783">
        <v>1294</v>
      </c>
      <c r="V43" s="991">
        <f>VLOOKUP($D43,transmitter_from_BP!$B:$F,3,0)</f>
        <v>1294</v>
      </c>
      <c r="W43" s="783">
        <v>0</v>
      </c>
      <c r="X43" s="772"/>
      <c r="Y43" s="783">
        <v>768.60440606356997</v>
      </c>
      <c r="Z43" s="772"/>
    </row>
    <row r="44" spans="1:26" s="753" customFormat="1">
      <c r="A44" s="756" t="s">
        <v>4579</v>
      </c>
      <c r="B44" s="757"/>
      <c r="C44" s="758"/>
      <c r="D44" s="773" t="s">
        <v>8606</v>
      </c>
      <c r="E44" s="782"/>
      <c r="F44" s="774" t="s">
        <v>8607</v>
      </c>
      <c r="G44" s="981" t="s">
        <v>11032</v>
      </c>
      <c r="H44" s="772" t="str">
        <f>VLOOKUP($D44,transmitter_from_BP!$B:$F,2,0)</f>
        <v>CDU TOWER MIDDLE PUMP AROUND</v>
      </c>
      <c r="I44" s="981" t="s">
        <v>11032</v>
      </c>
      <c r="J44" s="772" t="str">
        <f>VLOOKUP($D44,transmitter_from_BP!$B:$F,2,0)</f>
        <v>CDU TOWER MIDDLE PUMP AROUND</v>
      </c>
      <c r="K44" s="981" t="s">
        <v>11684</v>
      </c>
      <c r="L44" s="1064" t="str">
        <f>VLOOKUP($D44,transmitter_from_BP!$B:$F,5,0)</f>
        <v>M3/H</v>
      </c>
      <c r="M44" s="783">
        <v>0</v>
      </c>
      <c r="N44" s="772">
        <v>0</v>
      </c>
      <c r="O44" s="783">
        <v>1</v>
      </c>
      <c r="P44" s="772">
        <v>1</v>
      </c>
      <c r="Q44" s="783">
        <v>3600</v>
      </c>
      <c r="R44" s="772">
        <v>3600</v>
      </c>
      <c r="S44" s="783">
        <v>0</v>
      </c>
      <c r="T44" s="991">
        <f>VLOOKUP($D44,transmitter_from_BP!$B:$F,4,0)</f>
        <v>0</v>
      </c>
      <c r="U44" s="783">
        <v>1179</v>
      </c>
      <c r="V44" s="991">
        <f>VLOOKUP($D44,transmitter_from_BP!$B:$F,3,0)</f>
        <v>1179</v>
      </c>
      <c r="W44" s="783">
        <v>0</v>
      </c>
      <c r="X44" s="772"/>
      <c r="Y44" s="783">
        <v>825.49849540489504</v>
      </c>
      <c r="Z44" s="772"/>
    </row>
    <row r="45" spans="1:26" s="753" customFormat="1">
      <c r="A45" s="756" t="s">
        <v>4579</v>
      </c>
      <c r="B45" s="757"/>
      <c r="C45" s="758"/>
      <c r="D45" s="773" t="s">
        <v>2067</v>
      </c>
      <c r="E45" s="782"/>
      <c r="F45" s="774" t="s">
        <v>8608</v>
      </c>
      <c r="G45" s="981" t="s">
        <v>11033</v>
      </c>
      <c r="H45" s="772" t="str">
        <f>VLOOKUP($D45,transmitter_from_BP!$B:$F,2,0)</f>
        <v>CDU TOWER BOTTOM PUMP AROUND</v>
      </c>
      <c r="I45" s="981" t="s">
        <v>11033</v>
      </c>
      <c r="J45" s="772" t="str">
        <f>VLOOKUP($D45,transmitter_from_BP!$B:$F,2,0)</f>
        <v>CDU TOWER BOTTOM PUMP AROUND</v>
      </c>
      <c r="K45" s="981" t="s">
        <v>11684</v>
      </c>
      <c r="L45" s="1064" t="str">
        <f>VLOOKUP($D45,transmitter_from_BP!$B:$F,5,0)</f>
        <v>M3/H</v>
      </c>
      <c r="M45" s="783">
        <v>0</v>
      </c>
      <c r="N45" s="772">
        <v>0</v>
      </c>
      <c r="O45" s="783">
        <v>1</v>
      </c>
      <c r="P45" s="772">
        <v>1</v>
      </c>
      <c r="Q45" s="783">
        <v>3600</v>
      </c>
      <c r="R45" s="772">
        <v>3600</v>
      </c>
      <c r="S45" s="783">
        <v>0</v>
      </c>
      <c r="T45" s="991">
        <f>VLOOKUP($D45,transmitter_from_BP!$B:$F,4,0)</f>
        <v>0</v>
      </c>
      <c r="U45" s="783">
        <v>794</v>
      </c>
      <c r="V45" s="991">
        <f>VLOOKUP($D45,transmitter_from_BP!$B:$F,3,0)</f>
        <v>794</v>
      </c>
      <c r="W45" s="783">
        <v>0</v>
      </c>
      <c r="X45" s="772"/>
      <c r="Y45" s="783">
        <v>700.00039376637096</v>
      </c>
      <c r="Z45" s="772"/>
    </row>
    <row r="46" spans="1:26" s="753" customFormat="1">
      <c r="A46" s="756" t="s">
        <v>4579</v>
      </c>
      <c r="B46" s="757"/>
      <c r="C46" s="758"/>
      <c r="D46" s="773" t="s">
        <v>9479</v>
      </c>
      <c r="E46" s="782"/>
      <c r="F46" s="774" t="s">
        <v>8677</v>
      </c>
      <c r="G46" s="981" t="s">
        <v>11034</v>
      </c>
      <c r="H46" s="772" t="str">
        <f>VLOOKUP($D46,transmitter_from_BP!$B:$F,2,0)</f>
        <v>RECYCLD RESIDUE</v>
      </c>
      <c r="I46" s="981" t="s">
        <v>11034</v>
      </c>
      <c r="J46" s="772" t="str">
        <f>VLOOKUP($D46,transmitter_from_BP!$B:$F,2,0)</f>
        <v>RECYCLD RESIDUE</v>
      </c>
      <c r="K46" s="981" t="s">
        <v>11684</v>
      </c>
      <c r="L46" s="1064" t="str">
        <f>VLOOKUP($D46,transmitter_from_BP!$B:$F,5,0)</f>
        <v>M3/H</v>
      </c>
      <c r="M46" s="783">
        <v>0</v>
      </c>
      <c r="N46" s="772">
        <v>0</v>
      </c>
      <c r="O46" s="783">
        <v>1</v>
      </c>
      <c r="P46" s="772">
        <v>1</v>
      </c>
      <c r="Q46" s="783">
        <v>3600</v>
      </c>
      <c r="R46" s="772">
        <v>3600</v>
      </c>
      <c r="S46" s="783">
        <v>0</v>
      </c>
      <c r="T46" s="991">
        <f>VLOOKUP($D46,transmitter_from_BP!$B:$F,4,0)</f>
        <v>0</v>
      </c>
      <c r="U46" s="783">
        <v>200</v>
      </c>
      <c r="V46" s="991">
        <f>VLOOKUP($D46,transmitter_from_BP!$B:$F,3,0)</f>
        <v>200</v>
      </c>
      <c r="W46" s="783">
        <v>0</v>
      </c>
      <c r="X46" s="772"/>
      <c r="Y46" s="783">
        <v>0</v>
      </c>
      <c r="Z46" s="772"/>
    </row>
    <row r="47" spans="1:26" s="753" customFormat="1">
      <c r="A47" s="756" t="s">
        <v>4579</v>
      </c>
      <c r="B47" s="757"/>
      <c r="C47" s="758"/>
      <c r="D47" s="773" t="s">
        <v>3035</v>
      </c>
      <c r="E47" s="782"/>
      <c r="F47" s="774" t="s">
        <v>6458</v>
      </c>
      <c r="G47" s="981" t="s">
        <v>11035</v>
      </c>
      <c r="H47" s="772" t="str">
        <f>VLOOKUP($D47,transmitter_from_BP!$B:$F,2,0)</f>
        <v>DHT REACTOR FEED</v>
      </c>
      <c r="I47" s="981" t="s">
        <v>11035</v>
      </c>
      <c r="J47" s="772" t="str">
        <f>VLOOKUP($D47,transmitter_from_BP!$B:$F,2,0)</f>
        <v>DHT REACTOR FEED</v>
      </c>
      <c r="K47" s="981" t="s">
        <v>11684</v>
      </c>
      <c r="L47" s="1064" t="str">
        <f>VLOOKUP($D47,transmitter_from_BP!$B:$F,5,0)</f>
        <v>M3/H</v>
      </c>
      <c r="M47" s="783">
        <v>0</v>
      </c>
      <c r="N47" s="772">
        <v>0</v>
      </c>
      <c r="O47" s="783">
        <v>1</v>
      </c>
      <c r="P47" s="772">
        <v>1</v>
      </c>
      <c r="Q47" s="783">
        <v>3600</v>
      </c>
      <c r="R47" s="772">
        <v>3600</v>
      </c>
      <c r="S47" s="783">
        <v>0</v>
      </c>
      <c r="T47" s="991">
        <f>VLOOKUP($D47,transmitter_from_BP!$B:$F,4,0)</f>
        <v>0</v>
      </c>
      <c r="U47" s="783">
        <v>598</v>
      </c>
      <c r="V47" s="991">
        <f>VLOOKUP($D47,transmitter_from_BP!$B:$F,3,0)</f>
        <v>598</v>
      </c>
      <c r="W47" s="783">
        <v>0</v>
      </c>
      <c r="X47" s="772"/>
      <c r="Y47" s="783">
        <v>575.80484093802397</v>
      </c>
      <c r="Z47" s="772"/>
    </row>
    <row r="48" spans="1:26" s="753" customFormat="1">
      <c r="A48" s="756" t="s">
        <v>4579</v>
      </c>
      <c r="B48" s="757"/>
      <c r="C48" s="758"/>
      <c r="D48" s="773" t="s">
        <v>3559</v>
      </c>
      <c r="E48" s="782"/>
      <c r="F48" s="774" t="s">
        <v>6192</v>
      </c>
      <c r="G48" s="981" t="s">
        <v>11036</v>
      </c>
      <c r="H48" s="772" t="str">
        <f>VLOOKUP($D48,[1]transmitter_fromclient!$B:$F,2,0)</f>
        <v>TZ2202 LIQ. LOAD TRAY 10-20</v>
      </c>
      <c r="I48" s="981" t="s">
        <v>11036</v>
      </c>
      <c r="J48" s="772" t="str">
        <f>VLOOKUP($D48,[1]transmitter_fromclient!$B:$F,2,0)</f>
        <v>TZ2202 LIQ. LOAD TRAY 10-20</v>
      </c>
      <c r="K48" s="981" t="s">
        <v>11684</v>
      </c>
      <c r="L48" s="1064" t="str">
        <f>VLOOKUP($D48,transmitter_from_BP!$B:$F,5,0)</f>
        <v>M3/H</v>
      </c>
      <c r="M48" s="783">
        <v>0</v>
      </c>
      <c r="N48" s="772">
        <v>0</v>
      </c>
      <c r="O48" s="783">
        <v>1</v>
      </c>
      <c r="P48" s="772">
        <v>1</v>
      </c>
      <c r="Q48" s="783">
        <v>0.22</v>
      </c>
      <c r="R48" s="772">
        <v>0.22</v>
      </c>
      <c r="S48" s="783">
        <v>0</v>
      </c>
      <c r="T48" s="991">
        <f>VLOOKUP($D48,transmitter_from_BP!$B:$F,4,0)</f>
        <v>0</v>
      </c>
      <c r="U48" s="783">
        <v>500</v>
      </c>
      <c r="V48" s="991">
        <f>VLOOKUP($D48,transmitter_from_BP!$B:$F,3,0)</f>
        <v>500</v>
      </c>
      <c r="W48" s="783">
        <v>0</v>
      </c>
      <c r="X48" s="772"/>
      <c r="Y48" s="783">
        <v>116.971584489232</v>
      </c>
      <c r="Z48" s="772"/>
    </row>
    <row r="49" spans="1:26" s="753" customFormat="1">
      <c r="A49" s="756" t="s">
        <v>4579</v>
      </c>
      <c r="B49" s="757"/>
      <c r="C49" s="758"/>
      <c r="D49" s="773" t="s">
        <v>2150</v>
      </c>
      <c r="E49" s="782"/>
      <c r="F49" s="774" t="s">
        <v>8754</v>
      </c>
      <c r="G49" s="981" t="s">
        <v>11037</v>
      </c>
      <c r="H49" s="772" t="str">
        <f>VLOOKUP($D49,transmitter_from_BP!$B:$F,2,0)</f>
        <v>CRUDE FEED</v>
      </c>
      <c r="I49" s="981" t="s">
        <v>11037</v>
      </c>
      <c r="J49" s="772" t="str">
        <f>VLOOKUP($D49,transmitter_from_BP!$B:$F,2,0)</f>
        <v>CRUDE FEED</v>
      </c>
      <c r="K49" s="981" t="s">
        <v>11684</v>
      </c>
      <c r="L49" s="1064" t="str">
        <f>VLOOKUP($D49,transmitter_from_BP!$B:$F,5,0)</f>
        <v>M3/H</v>
      </c>
      <c r="M49" s="783">
        <v>0</v>
      </c>
      <c r="N49" s="772">
        <v>0</v>
      </c>
      <c r="O49" s="783">
        <v>1</v>
      </c>
      <c r="P49" s="772">
        <v>1</v>
      </c>
      <c r="Q49" s="783">
        <v>3600</v>
      </c>
      <c r="R49" s="772">
        <v>3600</v>
      </c>
      <c r="S49" s="783">
        <v>0</v>
      </c>
      <c r="T49" s="991">
        <f>VLOOKUP($D49,transmitter_from_BP!$B:$F,4,0)</f>
        <v>0</v>
      </c>
      <c r="U49" s="783">
        <v>1812</v>
      </c>
      <c r="V49" s="991">
        <f>VLOOKUP($D49,transmitter_from_BP!$B:$F,3,0)</f>
        <v>1812</v>
      </c>
      <c r="W49" s="783">
        <v>0</v>
      </c>
      <c r="X49" s="772"/>
      <c r="Y49" s="783">
        <v>1182.4542537514201</v>
      </c>
      <c r="Z49" s="772"/>
    </row>
    <row r="50" spans="1:26" s="753" customFormat="1">
      <c r="A50" s="756" t="s">
        <v>4579</v>
      </c>
      <c r="B50" s="757"/>
      <c r="C50" s="758"/>
      <c r="D50" s="773" t="s">
        <v>9486</v>
      </c>
      <c r="E50" s="782"/>
      <c r="F50" s="774" t="s">
        <v>8779</v>
      </c>
      <c r="G50" s="981" t="s">
        <v>11037</v>
      </c>
      <c r="H50" s="772" t="str">
        <f>VLOOKUP($D50,transmitter_from_BP!$B:$F,2,0)</f>
        <v>CRUDE FEED</v>
      </c>
      <c r="I50" s="981" t="s">
        <v>11037</v>
      </c>
      <c r="J50" s="772" t="str">
        <f>VLOOKUP($D50,transmitter_from_BP!$B:$F,2,0)</f>
        <v>CRUDE FEED</v>
      </c>
      <c r="K50" s="981" t="s">
        <v>11684</v>
      </c>
      <c r="L50" s="1064" t="str">
        <f>VLOOKUP($D50,transmitter_from_BP!$B:$F,5,0)</f>
        <v>M3/H</v>
      </c>
      <c r="M50" s="783">
        <v>0</v>
      </c>
      <c r="N50" s="772">
        <v>0</v>
      </c>
      <c r="O50" s="783">
        <v>1</v>
      </c>
      <c r="P50" s="772">
        <v>1</v>
      </c>
      <c r="Q50" s="783">
        <v>3600</v>
      </c>
      <c r="R50" s="772">
        <v>3600</v>
      </c>
      <c r="S50" s="783">
        <v>0</v>
      </c>
      <c r="T50" s="991">
        <f>VLOOKUP($D50,transmitter_from_BP!$B:$F,4,0)</f>
        <v>0</v>
      </c>
      <c r="U50" s="783">
        <v>1812</v>
      </c>
      <c r="V50" s="991">
        <f>VLOOKUP($D50,transmitter_from_BP!$B:$F,3,0)</f>
        <v>1812</v>
      </c>
      <c r="W50" s="783">
        <v>0</v>
      </c>
      <c r="X50" s="772"/>
      <c r="Y50" s="783">
        <v>1182.4542537514201</v>
      </c>
      <c r="Z50" s="772"/>
    </row>
    <row r="51" spans="1:26" s="753" customFormat="1">
      <c r="A51" s="756" t="s">
        <v>4579</v>
      </c>
      <c r="B51" s="757"/>
      <c r="C51" s="758"/>
      <c r="D51" s="773" t="s">
        <v>9487</v>
      </c>
      <c r="E51" s="782"/>
      <c r="F51" s="774" t="s">
        <v>8727</v>
      </c>
      <c r="G51" s="981" t="s">
        <v>11037</v>
      </c>
      <c r="H51" s="772" t="str">
        <f>VLOOKUP($D51,transmitter_from_BP!$B:$F,2,0)</f>
        <v>CRUDE FEED</v>
      </c>
      <c r="I51" s="981" t="s">
        <v>11037</v>
      </c>
      <c r="J51" s="772" t="str">
        <f>VLOOKUP($D51,transmitter_from_BP!$B:$F,2,0)</f>
        <v>CRUDE FEED</v>
      </c>
      <c r="K51" s="981" t="s">
        <v>11684</v>
      </c>
      <c r="L51" s="1064" t="str">
        <f>VLOOKUP($D51,transmitter_from_BP!$B:$F,5,0)</f>
        <v>M3/H</v>
      </c>
      <c r="M51" s="783">
        <v>0</v>
      </c>
      <c r="N51" s="772">
        <v>0</v>
      </c>
      <c r="O51" s="783">
        <v>1</v>
      </c>
      <c r="P51" s="772">
        <v>1</v>
      </c>
      <c r="Q51" s="783">
        <v>3600</v>
      </c>
      <c r="R51" s="772">
        <v>3600</v>
      </c>
      <c r="S51" s="783">
        <v>0</v>
      </c>
      <c r="T51" s="991">
        <f>VLOOKUP($D51,transmitter_from_BP!$B:$F,4,0)</f>
        <v>0</v>
      </c>
      <c r="U51" s="783">
        <v>1812</v>
      </c>
      <c r="V51" s="991">
        <f>VLOOKUP($D51,transmitter_from_BP!$B:$F,3,0)</f>
        <v>1812</v>
      </c>
      <c r="W51" s="783">
        <v>0</v>
      </c>
      <c r="X51" s="772"/>
      <c r="Y51" s="783">
        <v>1182.4542537514201</v>
      </c>
      <c r="Z51" s="772"/>
    </row>
    <row r="52" spans="1:26" s="753" customFormat="1">
      <c r="A52" s="756" t="s">
        <v>4579</v>
      </c>
      <c r="B52" s="757"/>
      <c r="C52" s="758"/>
      <c r="D52" s="773" t="s">
        <v>9489</v>
      </c>
      <c r="E52" s="782"/>
      <c r="F52" s="774" t="s">
        <v>6332</v>
      </c>
      <c r="G52" s="981" t="s">
        <v>11038</v>
      </c>
      <c r="H52" s="772" t="str">
        <f>VLOOKUP($D52,transmitter_from_BP!$B:$F,2,0)</f>
        <v>CDU OVHD PRODUCT / DHT BYPASS</v>
      </c>
      <c r="I52" s="981" t="s">
        <v>11038</v>
      </c>
      <c r="J52" s="772" t="str">
        <f>VLOOKUP($D52,transmitter_from_BP!$B:$F,2,0)</f>
        <v>CDU OVHD PRODUCT / DHT BYPASS</v>
      </c>
      <c r="K52" s="981" t="s">
        <v>11684</v>
      </c>
      <c r="L52" s="1064" t="str">
        <f>VLOOKUP($D52,transmitter_from_BP!$B:$F,5,0)</f>
        <v>M3/H</v>
      </c>
      <c r="M52" s="783">
        <v>0</v>
      </c>
      <c r="N52" s="772">
        <v>0</v>
      </c>
      <c r="O52" s="783">
        <v>1</v>
      </c>
      <c r="P52" s="772">
        <v>1</v>
      </c>
      <c r="Q52" s="783">
        <v>3600</v>
      </c>
      <c r="R52" s="772">
        <v>3600</v>
      </c>
      <c r="S52" s="783">
        <v>0</v>
      </c>
      <c r="T52" s="991">
        <f>VLOOKUP($D52,transmitter_from_BP!$B:$F,4,0)</f>
        <v>0</v>
      </c>
      <c r="U52" s="783">
        <v>598</v>
      </c>
      <c r="V52" s="991">
        <f>VLOOKUP($D52,transmitter_from_BP!$B:$F,3,0)</f>
        <v>598</v>
      </c>
      <c r="W52" s="783">
        <v>0</v>
      </c>
      <c r="X52" s="772"/>
      <c r="Y52" s="783">
        <v>575.80484093802397</v>
      </c>
      <c r="Z52" s="772"/>
    </row>
    <row r="53" spans="1:26" s="753" customFormat="1">
      <c r="A53" s="756" t="s">
        <v>4579</v>
      </c>
      <c r="B53" s="757"/>
      <c r="C53" s="758"/>
      <c r="D53" s="773" t="s">
        <v>9492</v>
      </c>
      <c r="E53" s="782"/>
      <c r="F53" s="774" t="s">
        <v>9260</v>
      </c>
      <c r="G53" s="981" t="s">
        <v>11039</v>
      </c>
      <c r="H53" s="772" t="str">
        <f>VLOOKUP($D53,transmitter_from_BP!$B:$F,2,0)</f>
        <v>WILD NAPHTA INJ. PZ2151 A/S</v>
      </c>
      <c r="I53" s="981" t="s">
        <v>11039</v>
      </c>
      <c r="J53" s="772" t="str">
        <f>VLOOKUP($D53,transmitter_from_BP!$B:$F,2,0)</f>
        <v>WILD NAPHTA INJ. PZ2151 A/S</v>
      </c>
      <c r="K53" s="981" t="s">
        <v>11684</v>
      </c>
      <c r="L53" s="1064" t="str">
        <f>VLOOKUP($D53,transmitter_from_BP!$B:$F,5,0)</f>
        <v>M3/H</v>
      </c>
      <c r="M53" s="783">
        <v>0</v>
      </c>
      <c r="N53" s="772">
        <v>0</v>
      </c>
      <c r="O53" s="783">
        <v>1</v>
      </c>
      <c r="P53" s="772">
        <v>1</v>
      </c>
      <c r="Q53" s="783">
        <v>3600</v>
      </c>
      <c r="R53" s="772">
        <v>3600</v>
      </c>
      <c r="S53" s="783">
        <v>0</v>
      </c>
      <c r="T53" s="991">
        <f>VLOOKUP($D53,transmitter_from_BP!$B:$F,4,0)</f>
        <v>0</v>
      </c>
      <c r="U53" s="783">
        <v>61.5</v>
      </c>
      <c r="V53" s="991">
        <f>VLOOKUP($D53,transmitter_from_BP!$B:$F,3,0)</f>
        <v>61.5</v>
      </c>
      <c r="W53" s="783">
        <v>0</v>
      </c>
      <c r="X53" s="772"/>
      <c r="Y53" s="783">
        <v>16.688961890350399</v>
      </c>
      <c r="Z53" s="772"/>
    </row>
    <row r="54" spans="1:26" s="753" customFormat="1">
      <c r="A54" s="756" t="s">
        <v>4579</v>
      </c>
      <c r="B54" s="757"/>
      <c r="C54" s="758"/>
      <c r="D54" s="773" t="s">
        <v>9497</v>
      </c>
      <c r="E54" s="782"/>
      <c r="F54" s="774" t="s">
        <v>8792</v>
      </c>
      <c r="G54" s="981" t="s">
        <v>11040</v>
      </c>
      <c r="H54" s="772" t="str">
        <f>VLOOKUP($D54,transmitter_from_BP!$B:$F,2,0)</f>
        <v>CRUDE TO A DESALTER</v>
      </c>
      <c r="I54" s="981" t="s">
        <v>11040</v>
      </c>
      <c r="J54" s="772" t="str">
        <f>VLOOKUP($D54,transmitter_from_BP!$B:$F,2,0)</f>
        <v>CRUDE TO A DESALTER</v>
      </c>
      <c r="K54" s="981" t="s">
        <v>11684</v>
      </c>
      <c r="L54" s="1064" t="str">
        <f>VLOOKUP($D54,transmitter_from_BP!$B:$F,5,0)</f>
        <v>M3/H</v>
      </c>
      <c r="M54" s="783">
        <v>0</v>
      </c>
      <c r="N54" s="772">
        <v>0</v>
      </c>
      <c r="O54" s="783">
        <v>1</v>
      </c>
      <c r="P54" s="772">
        <v>1</v>
      </c>
      <c r="Q54" s="783">
        <v>3600</v>
      </c>
      <c r="R54" s="772">
        <v>3600</v>
      </c>
      <c r="S54" s="783">
        <v>0</v>
      </c>
      <c r="T54" s="991">
        <f>VLOOKUP($D54,transmitter_from_BP!$B:$F,4,0)</f>
        <v>0</v>
      </c>
      <c r="U54" s="783">
        <v>919</v>
      </c>
      <c r="V54" s="991">
        <f>VLOOKUP($D54,transmitter_from_BP!$B:$F,3,0)</f>
        <v>919</v>
      </c>
      <c r="W54" s="783">
        <v>0</v>
      </c>
      <c r="X54" s="772"/>
      <c r="Y54" s="783">
        <v>591.22734717784999</v>
      </c>
      <c r="Z54" s="772"/>
    </row>
    <row r="55" spans="1:26" s="753" customFormat="1">
      <c r="A55" s="756" t="s">
        <v>4579</v>
      </c>
      <c r="B55" s="757"/>
      <c r="C55" s="758"/>
      <c r="D55" s="773" t="s">
        <v>9498</v>
      </c>
      <c r="E55" s="20"/>
      <c r="F55" s="774" t="s">
        <v>9265</v>
      </c>
      <c r="G55" s="981" t="s">
        <v>11041</v>
      </c>
      <c r="H55" s="772" t="str">
        <f>VLOOKUP($D55,transmitter_from_BP!$B:$F,2,0)</f>
        <v>TOTAL CRUDE FEED</v>
      </c>
      <c r="I55" s="981" t="s">
        <v>11041</v>
      </c>
      <c r="J55" s="772" t="str">
        <f>VLOOKUP($D55,transmitter_from_BP!$B:$F,2,0)</f>
        <v>TOTAL CRUDE FEED</v>
      </c>
      <c r="K55" s="981" t="s">
        <v>11684</v>
      </c>
      <c r="L55" s="772" t="str">
        <f>VLOOKUP($D55,transmitter_from_BP!$B:$F,5,0)</f>
        <v>M3/H</v>
      </c>
      <c r="M55" s="783">
        <v>0</v>
      </c>
      <c r="N55" s="772">
        <v>0</v>
      </c>
      <c r="O55" s="783">
        <v>1</v>
      </c>
      <c r="P55" s="772">
        <v>1</v>
      </c>
      <c r="Q55" s="783">
        <v>1</v>
      </c>
      <c r="R55" s="772">
        <v>1</v>
      </c>
      <c r="S55" s="783">
        <v>0</v>
      </c>
      <c r="T55" s="991">
        <f>VLOOKUP($D55,transmitter_from_BP!$B:$F,4,0)</f>
        <v>0</v>
      </c>
      <c r="U55" s="783">
        <v>1839</v>
      </c>
      <c r="V55" s="991">
        <f>VLOOKUP($D55,transmitter_from_BP!$B:$F,3,0)</f>
        <v>1839</v>
      </c>
      <c r="W55" s="783">
        <v>0</v>
      </c>
      <c r="X55" s="772"/>
      <c r="Y55" s="783">
        <v>1182.4570644937501</v>
      </c>
      <c r="Z55" s="772"/>
    </row>
    <row r="56" spans="1:26" s="753" customFormat="1">
      <c r="A56" s="756" t="s">
        <v>4579</v>
      </c>
      <c r="B56" s="757"/>
      <c r="C56" s="758"/>
      <c r="D56" s="773" t="s">
        <v>9499</v>
      </c>
      <c r="E56" s="782"/>
      <c r="F56" s="774" t="s">
        <v>8763</v>
      </c>
      <c r="G56" s="981" t="s">
        <v>11042</v>
      </c>
      <c r="H56" s="772" t="str">
        <f>VLOOKUP($D56,transmitter_from_BP!$B:$F,2,0)</f>
        <v>CRUDE TO B DESALTER</v>
      </c>
      <c r="I56" s="981" t="s">
        <v>11042</v>
      </c>
      <c r="J56" s="772" t="str">
        <f>VLOOKUP($D56,transmitter_from_BP!$B:$F,2,0)</f>
        <v>CRUDE TO B DESALTER</v>
      </c>
      <c r="K56" s="981" t="s">
        <v>11684</v>
      </c>
      <c r="L56" s="1064" t="str">
        <f>VLOOKUP($D56,transmitter_from_BP!$B:$F,5,0)</f>
        <v>M3/H</v>
      </c>
      <c r="M56" s="783">
        <v>0</v>
      </c>
      <c r="N56" s="772">
        <v>0</v>
      </c>
      <c r="O56" s="783">
        <v>1</v>
      </c>
      <c r="P56" s="772">
        <v>1</v>
      </c>
      <c r="Q56" s="783">
        <v>3600</v>
      </c>
      <c r="R56" s="772">
        <v>3600</v>
      </c>
      <c r="S56" s="783">
        <v>0</v>
      </c>
      <c r="T56" s="991">
        <f>VLOOKUP($D56,transmitter_from_BP!$B:$F,4,0)</f>
        <v>0</v>
      </c>
      <c r="U56" s="783">
        <v>919</v>
      </c>
      <c r="V56" s="991">
        <f>VLOOKUP($D56,transmitter_from_BP!$B:$F,3,0)</f>
        <v>919</v>
      </c>
      <c r="W56" s="783">
        <v>0</v>
      </c>
      <c r="X56" s="772"/>
      <c r="Y56" s="783">
        <v>591.22971731589905</v>
      </c>
      <c r="Z56" s="772"/>
    </row>
    <row r="57" spans="1:26" s="753" customFormat="1">
      <c r="A57" s="756" t="s">
        <v>4579</v>
      </c>
      <c r="B57" s="757"/>
      <c r="C57" s="758"/>
      <c r="D57" s="773" t="s">
        <v>1941</v>
      </c>
      <c r="E57" s="782"/>
      <c r="F57" s="774" t="s">
        <v>6455</v>
      </c>
      <c r="G57" s="981" t="s">
        <v>11043</v>
      </c>
      <c r="H57" s="772" t="str">
        <f>VLOOKUP($D57,transmitter_from_BP!$B:$F,2,0)</f>
        <v>CRUDE FEED A TRAIN</v>
      </c>
      <c r="I57" s="981" t="s">
        <v>11043</v>
      </c>
      <c r="J57" s="772" t="str">
        <f>VLOOKUP($D57,transmitter_from_BP!$B:$F,2,0)</f>
        <v>CRUDE FEED A TRAIN</v>
      </c>
      <c r="K57" s="981" t="s">
        <v>11684</v>
      </c>
      <c r="L57" s="1064" t="str">
        <f>VLOOKUP($D57,transmitter_from_BP!$B:$F,5,0)</f>
        <v>M3/H</v>
      </c>
      <c r="M57" s="783">
        <v>0</v>
      </c>
      <c r="N57" s="772">
        <v>0</v>
      </c>
      <c r="O57" s="783">
        <v>1</v>
      </c>
      <c r="P57" s="772">
        <v>1</v>
      </c>
      <c r="Q57" s="783">
        <v>3600</v>
      </c>
      <c r="R57" s="772">
        <v>3600</v>
      </c>
      <c r="S57" s="783">
        <v>0</v>
      </c>
      <c r="T57" s="991">
        <f>VLOOKUP($D57,transmitter_from_BP!$B:$F,4,0)</f>
        <v>0</v>
      </c>
      <c r="U57" s="783">
        <v>919</v>
      </c>
      <c r="V57" s="991">
        <f>VLOOKUP($D57,transmitter_from_BP!$B:$F,3,0)</f>
        <v>919</v>
      </c>
      <c r="W57" s="783">
        <v>0</v>
      </c>
      <c r="X57" s="772"/>
      <c r="Y57" s="783">
        <v>587.56697276314299</v>
      </c>
      <c r="Z57" s="772"/>
    </row>
    <row r="58" spans="1:26" s="753" customFormat="1">
      <c r="A58" s="756" t="s">
        <v>4579</v>
      </c>
      <c r="B58" s="757"/>
      <c r="C58" s="758"/>
      <c r="D58" s="773" t="s">
        <v>9501</v>
      </c>
      <c r="E58" s="782"/>
      <c r="F58" s="774" t="s">
        <v>8528</v>
      </c>
      <c r="G58" s="981" t="s">
        <v>11044</v>
      </c>
      <c r="H58" s="772" t="str">
        <f>VLOOKUP($D58,transmitter_from_BP!$B:$F,2,0)</f>
        <v>CRUDE FEED B TRAIN</v>
      </c>
      <c r="I58" s="981" t="s">
        <v>11044</v>
      </c>
      <c r="J58" s="772" t="str">
        <f>VLOOKUP($D58,transmitter_from_BP!$B:$F,2,0)</f>
        <v>CRUDE FEED B TRAIN</v>
      </c>
      <c r="K58" s="981" t="s">
        <v>11684</v>
      </c>
      <c r="L58" s="1064" t="str">
        <f>VLOOKUP($D58,transmitter_from_BP!$B:$F,5,0)</f>
        <v>M3/H</v>
      </c>
      <c r="M58" s="783">
        <v>0</v>
      </c>
      <c r="N58" s="772">
        <v>0</v>
      </c>
      <c r="O58" s="783">
        <v>1</v>
      </c>
      <c r="P58" s="772">
        <v>1</v>
      </c>
      <c r="Q58" s="783">
        <v>3600</v>
      </c>
      <c r="R58" s="772">
        <v>3600</v>
      </c>
      <c r="S58" s="783">
        <v>0</v>
      </c>
      <c r="T58" s="991">
        <f>VLOOKUP($D58,transmitter_from_BP!$B:$F,4,0)</f>
        <v>0</v>
      </c>
      <c r="U58" s="783">
        <v>919</v>
      </c>
      <c r="V58" s="991">
        <f>VLOOKUP($D58,transmitter_from_BP!$B:$F,3,0)</f>
        <v>919</v>
      </c>
      <c r="W58" s="783">
        <v>0</v>
      </c>
      <c r="X58" s="772"/>
      <c r="Y58" s="783">
        <v>587.34163325170402</v>
      </c>
      <c r="Z58" s="772"/>
    </row>
    <row r="59" spans="1:26" s="753" customFormat="1">
      <c r="A59" s="756" t="s">
        <v>4579</v>
      </c>
      <c r="B59" s="757"/>
      <c r="C59" s="758"/>
      <c r="D59" s="773" t="s">
        <v>2159</v>
      </c>
      <c r="E59" s="782"/>
      <c r="F59" s="774" t="s">
        <v>5783</v>
      </c>
      <c r="G59" s="981" t="s">
        <v>11045</v>
      </c>
      <c r="H59" s="772" t="str">
        <f>VLOOKUP($D59,transmitter_from_BP!$B:$F,2,0)</f>
        <v>CDU HEATER HZ2101 PASS 1</v>
      </c>
      <c r="I59" s="981" t="s">
        <v>11045</v>
      </c>
      <c r="J59" s="772" t="str">
        <f>VLOOKUP($D59,transmitter_from_BP!$B:$F,2,0)</f>
        <v>CDU HEATER HZ2101 PASS 1</v>
      </c>
      <c r="K59" s="981" t="s">
        <v>11684</v>
      </c>
      <c r="L59" s="1064" t="str">
        <f>VLOOKUP($D59,transmitter_from_BP!$B:$F,5,0)</f>
        <v>M3/H</v>
      </c>
      <c r="M59" s="783">
        <v>0</v>
      </c>
      <c r="N59" s="772">
        <v>0</v>
      </c>
      <c r="O59" s="783">
        <v>1</v>
      </c>
      <c r="P59" s="772">
        <v>1</v>
      </c>
      <c r="Q59" s="783">
        <v>3600</v>
      </c>
      <c r="R59" s="772">
        <v>3600</v>
      </c>
      <c r="S59" s="783">
        <v>0</v>
      </c>
      <c r="T59" s="991">
        <f>VLOOKUP($D59,transmitter_from_BP!$B:$F,4,0)</f>
        <v>0</v>
      </c>
      <c r="U59" s="783">
        <v>313</v>
      </c>
      <c r="V59" s="991">
        <f>VLOOKUP($D59,transmitter_from_BP!$B:$F,3,0)</f>
        <v>313</v>
      </c>
      <c r="W59" s="783">
        <v>0</v>
      </c>
      <c r="X59" s="772"/>
      <c r="Y59" s="783">
        <v>146.85869214303401</v>
      </c>
      <c r="Z59" s="772"/>
    </row>
    <row r="60" spans="1:26" s="753" customFormat="1">
      <c r="A60" s="756" t="s">
        <v>4579</v>
      </c>
      <c r="B60" s="757"/>
      <c r="C60" s="758"/>
      <c r="D60" s="773" t="s">
        <v>9502</v>
      </c>
      <c r="E60" s="782"/>
      <c r="F60" s="774" t="s">
        <v>5784</v>
      </c>
      <c r="G60" s="981" t="s">
        <v>11046</v>
      </c>
      <c r="H60" s="772" t="str">
        <f>VLOOKUP($D60,transmitter_from_BP!$B:$F,2,0)</f>
        <v>CDU HEATER HZ2101 PASS 2</v>
      </c>
      <c r="I60" s="981" t="s">
        <v>11046</v>
      </c>
      <c r="J60" s="772" t="str">
        <f>VLOOKUP($D60,transmitter_from_BP!$B:$F,2,0)</f>
        <v>CDU HEATER HZ2101 PASS 2</v>
      </c>
      <c r="K60" s="981" t="s">
        <v>11684</v>
      </c>
      <c r="L60" s="1064" t="str">
        <f>VLOOKUP($D60,transmitter_from_BP!$B:$F,5,0)</f>
        <v>M3/H</v>
      </c>
      <c r="M60" s="783">
        <v>0</v>
      </c>
      <c r="N60" s="772">
        <v>0</v>
      </c>
      <c r="O60" s="783">
        <v>1</v>
      </c>
      <c r="P60" s="772">
        <v>1</v>
      </c>
      <c r="Q60" s="783">
        <v>3600</v>
      </c>
      <c r="R60" s="772">
        <v>3600</v>
      </c>
      <c r="S60" s="783">
        <v>0</v>
      </c>
      <c r="T60" s="991">
        <f>VLOOKUP($D60,transmitter_from_BP!$B:$F,4,0)</f>
        <v>0</v>
      </c>
      <c r="U60" s="783">
        <v>313</v>
      </c>
      <c r="V60" s="991">
        <f>VLOOKUP($D60,transmitter_from_BP!$B:$F,3,0)</f>
        <v>313</v>
      </c>
      <c r="W60" s="783">
        <v>0</v>
      </c>
      <c r="X60" s="772"/>
      <c r="Y60" s="783">
        <v>146.91540376978901</v>
      </c>
      <c r="Z60" s="772"/>
    </row>
    <row r="61" spans="1:26" s="753" customFormat="1">
      <c r="A61" s="756" t="s">
        <v>4579</v>
      </c>
      <c r="B61" s="757"/>
      <c r="C61" s="758"/>
      <c r="D61" s="773" t="s">
        <v>9503</v>
      </c>
      <c r="E61" s="782"/>
      <c r="F61" s="774" t="s">
        <v>5785</v>
      </c>
      <c r="G61" s="981" t="s">
        <v>11047</v>
      </c>
      <c r="H61" s="772" t="str">
        <f>VLOOKUP($D61,transmitter_from_BP!$B:$F,2,0)</f>
        <v>CDU HEATER HZ2101 PASS 3</v>
      </c>
      <c r="I61" s="981" t="s">
        <v>11047</v>
      </c>
      <c r="J61" s="772" t="str">
        <f>VLOOKUP($D61,transmitter_from_BP!$B:$F,2,0)</f>
        <v>CDU HEATER HZ2101 PASS 3</v>
      </c>
      <c r="K61" s="981" t="s">
        <v>11684</v>
      </c>
      <c r="L61" s="1064" t="str">
        <f>VLOOKUP($D61,transmitter_from_BP!$B:$F,5,0)</f>
        <v>M3/H</v>
      </c>
      <c r="M61" s="783">
        <v>0</v>
      </c>
      <c r="N61" s="772">
        <v>0</v>
      </c>
      <c r="O61" s="783">
        <v>1</v>
      </c>
      <c r="P61" s="772">
        <v>1</v>
      </c>
      <c r="Q61" s="783">
        <v>3600</v>
      </c>
      <c r="R61" s="772">
        <v>3600</v>
      </c>
      <c r="S61" s="783">
        <v>0</v>
      </c>
      <c r="T61" s="991">
        <f>VLOOKUP($D61,transmitter_from_BP!$B:$F,4,0)</f>
        <v>0</v>
      </c>
      <c r="U61" s="783">
        <v>313</v>
      </c>
      <c r="V61" s="991">
        <f>VLOOKUP($D61,transmitter_from_BP!$B:$F,3,0)</f>
        <v>313</v>
      </c>
      <c r="W61" s="783">
        <v>0</v>
      </c>
      <c r="X61" s="772"/>
      <c r="Y61" s="783">
        <v>146.91540222058299</v>
      </c>
      <c r="Z61" s="772"/>
    </row>
    <row r="62" spans="1:26" s="753" customFormat="1">
      <c r="A62" s="756" t="s">
        <v>4579</v>
      </c>
      <c r="B62" s="757"/>
      <c r="C62" s="758"/>
      <c r="D62" s="773" t="s">
        <v>2177</v>
      </c>
      <c r="E62" s="782"/>
      <c r="F62" s="774" t="s">
        <v>5786</v>
      </c>
      <c r="G62" s="981" t="s">
        <v>11048</v>
      </c>
      <c r="H62" s="772" t="str">
        <f>VLOOKUP($D62,transmitter_from_BP!$B:$F,2,0)</f>
        <v>CDU HEATER HZ2101 PASS 4</v>
      </c>
      <c r="I62" s="981" t="s">
        <v>11048</v>
      </c>
      <c r="J62" s="772" t="str">
        <f>VLOOKUP($D62,transmitter_from_BP!$B:$F,2,0)</f>
        <v>CDU HEATER HZ2101 PASS 4</v>
      </c>
      <c r="K62" s="981" t="s">
        <v>11684</v>
      </c>
      <c r="L62" s="1064" t="str">
        <f>VLOOKUP($D62,transmitter_from_BP!$B:$F,5,0)</f>
        <v>M3/H</v>
      </c>
      <c r="M62" s="783">
        <v>0</v>
      </c>
      <c r="N62" s="772">
        <v>0</v>
      </c>
      <c r="O62" s="783">
        <v>1</v>
      </c>
      <c r="P62" s="772">
        <v>1</v>
      </c>
      <c r="Q62" s="783">
        <v>3600</v>
      </c>
      <c r="R62" s="772">
        <v>3600</v>
      </c>
      <c r="S62" s="783">
        <v>0</v>
      </c>
      <c r="T62" s="991">
        <f>VLOOKUP($D62,transmitter_from_BP!$B:$F,4,0)</f>
        <v>0</v>
      </c>
      <c r="U62" s="783">
        <v>313</v>
      </c>
      <c r="V62" s="991">
        <f>VLOOKUP($D62,transmitter_from_BP!$B:$F,3,0)</f>
        <v>313</v>
      </c>
      <c r="W62" s="783">
        <v>0</v>
      </c>
      <c r="X62" s="772"/>
      <c r="Y62" s="783">
        <v>146.91540224804501</v>
      </c>
      <c r="Z62" s="772"/>
    </row>
    <row r="63" spans="1:26" s="753" customFormat="1">
      <c r="A63" s="756" t="s">
        <v>4579</v>
      </c>
      <c r="B63" s="757"/>
      <c r="C63" s="758"/>
      <c r="D63" s="773" t="s">
        <v>2183</v>
      </c>
      <c r="E63" s="782"/>
      <c r="F63" s="774" t="s">
        <v>5787</v>
      </c>
      <c r="G63" s="981" t="s">
        <v>11049</v>
      </c>
      <c r="H63" s="772" t="str">
        <f>VLOOKUP($D63,transmitter_from_BP!$B:$F,2,0)</f>
        <v>CDU HEATER HZ2101 PASS 5</v>
      </c>
      <c r="I63" s="981" t="s">
        <v>11049</v>
      </c>
      <c r="J63" s="772" t="str">
        <f>VLOOKUP($D63,transmitter_from_BP!$B:$F,2,0)</f>
        <v>CDU HEATER HZ2101 PASS 5</v>
      </c>
      <c r="K63" s="981" t="s">
        <v>11684</v>
      </c>
      <c r="L63" s="1064" t="str">
        <f>VLOOKUP($D63,transmitter_from_BP!$B:$F,5,0)</f>
        <v>M3/H</v>
      </c>
      <c r="M63" s="783">
        <v>0</v>
      </c>
      <c r="N63" s="772">
        <v>0</v>
      </c>
      <c r="O63" s="783">
        <v>1</v>
      </c>
      <c r="P63" s="772">
        <v>1</v>
      </c>
      <c r="Q63" s="783">
        <v>3600</v>
      </c>
      <c r="R63" s="772">
        <v>3600</v>
      </c>
      <c r="S63" s="783">
        <v>0</v>
      </c>
      <c r="T63" s="991">
        <f>VLOOKUP($D63,transmitter_from_BP!$B:$F,4,0)</f>
        <v>0</v>
      </c>
      <c r="U63" s="783">
        <v>313</v>
      </c>
      <c r="V63" s="991">
        <f>VLOOKUP($D63,transmitter_from_BP!$B:$F,3,0)</f>
        <v>313</v>
      </c>
      <c r="W63" s="783">
        <v>0</v>
      </c>
      <c r="X63" s="772"/>
      <c r="Y63" s="783">
        <v>146.915402250028</v>
      </c>
      <c r="Z63" s="772"/>
    </row>
    <row r="64" spans="1:26" s="753" customFormat="1">
      <c r="A64" s="756" t="s">
        <v>4579</v>
      </c>
      <c r="B64" s="757"/>
      <c r="C64" s="758"/>
      <c r="D64" s="773" t="s">
        <v>2189</v>
      </c>
      <c r="E64" s="782"/>
      <c r="F64" s="774" t="s">
        <v>5788</v>
      </c>
      <c r="G64" s="981" t="s">
        <v>11050</v>
      </c>
      <c r="H64" s="772" t="str">
        <f>VLOOKUP($D64,transmitter_from_BP!$B:$F,2,0)</f>
        <v>CDU HEATER HZ2101 PASS 6</v>
      </c>
      <c r="I64" s="981" t="s">
        <v>11050</v>
      </c>
      <c r="J64" s="772" t="str">
        <f>VLOOKUP($D64,transmitter_from_BP!$B:$F,2,0)</f>
        <v>CDU HEATER HZ2101 PASS 6</v>
      </c>
      <c r="K64" s="981" t="s">
        <v>11684</v>
      </c>
      <c r="L64" s="1064" t="str">
        <f>VLOOKUP($D64,transmitter_from_BP!$B:$F,5,0)</f>
        <v>M3/H</v>
      </c>
      <c r="M64" s="783">
        <v>0</v>
      </c>
      <c r="N64" s="772">
        <v>0</v>
      </c>
      <c r="O64" s="783">
        <v>1</v>
      </c>
      <c r="P64" s="772">
        <v>1</v>
      </c>
      <c r="Q64" s="783">
        <v>3600</v>
      </c>
      <c r="R64" s="772">
        <v>3600</v>
      </c>
      <c r="S64" s="783">
        <v>0</v>
      </c>
      <c r="T64" s="991">
        <f>VLOOKUP($D64,transmitter_from_BP!$B:$F,4,0)</f>
        <v>0</v>
      </c>
      <c r="U64" s="783">
        <v>313</v>
      </c>
      <c r="V64" s="991">
        <f>VLOOKUP($D64,transmitter_from_BP!$B:$F,3,0)</f>
        <v>313</v>
      </c>
      <c r="W64" s="783">
        <v>0</v>
      </c>
      <c r="X64" s="772"/>
      <c r="Y64" s="783">
        <v>146.91540222045001</v>
      </c>
      <c r="Z64" s="772"/>
    </row>
    <row r="65" spans="1:26" s="753" customFormat="1">
      <c r="A65" s="756" t="s">
        <v>4579</v>
      </c>
      <c r="B65" s="757"/>
      <c r="C65" s="758"/>
      <c r="D65" s="773" t="s">
        <v>2195</v>
      </c>
      <c r="E65" s="782"/>
      <c r="F65" s="774" t="s">
        <v>5789</v>
      </c>
      <c r="G65" s="981" t="s">
        <v>11051</v>
      </c>
      <c r="H65" s="772" t="str">
        <f>VLOOKUP($D65,transmitter_from_BP!$B:$F,2,0)</f>
        <v>CDU HEATER HZ2101 PASS 7</v>
      </c>
      <c r="I65" s="981" t="s">
        <v>11051</v>
      </c>
      <c r="J65" s="772" t="str">
        <f>VLOOKUP($D65,transmitter_from_BP!$B:$F,2,0)</f>
        <v>CDU HEATER HZ2101 PASS 7</v>
      </c>
      <c r="K65" s="981" t="s">
        <v>11684</v>
      </c>
      <c r="L65" s="1064" t="str">
        <f>VLOOKUP($D65,transmitter_from_BP!$B:$F,5,0)</f>
        <v>M3/H</v>
      </c>
      <c r="M65" s="783">
        <v>0</v>
      </c>
      <c r="N65" s="772">
        <v>0</v>
      </c>
      <c r="O65" s="783">
        <v>1</v>
      </c>
      <c r="P65" s="772">
        <v>1</v>
      </c>
      <c r="Q65" s="783">
        <v>3600</v>
      </c>
      <c r="R65" s="772">
        <v>3600</v>
      </c>
      <c r="S65" s="783">
        <v>0</v>
      </c>
      <c r="T65" s="991">
        <f>VLOOKUP($D65,transmitter_from_BP!$B:$F,4,0)</f>
        <v>0</v>
      </c>
      <c r="U65" s="783">
        <v>313</v>
      </c>
      <c r="V65" s="991">
        <f>VLOOKUP($D65,transmitter_from_BP!$B:$F,3,0)</f>
        <v>313</v>
      </c>
      <c r="W65" s="783">
        <v>0</v>
      </c>
      <c r="X65" s="772"/>
      <c r="Y65" s="783">
        <v>146.91540367403601</v>
      </c>
      <c r="Z65" s="772"/>
    </row>
    <row r="66" spans="1:26" s="753" customFormat="1">
      <c r="A66" s="756" t="s">
        <v>4579</v>
      </c>
      <c r="B66" s="757"/>
      <c r="C66" s="758"/>
      <c r="D66" s="773" t="s">
        <v>5799</v>
      </c>
      <c r="E66" s="782"/>
      <c r="F66" s="774" t="s">
        <v>7916</v>
      </c>
      <c r="G66" s="981" t="s">
        <v>11052</v>
      </c>
      <c r="H66" s="772" t="str">
        <f>VLOOKUP($D66,transmitter_from_BP!$B:$F,2,0)</f>
        <v>CDU HEATER HZ2101 PASS 8</v>
      </c>
      <c r="I66" s="981" t="s">
        <v>11052</v>
      </c>
      <c r="J66" s="772" t="str">
        <f>VLOOKUP($D66,transmitter_from_BP!$B:$F,2,0)</f>
        <v>CDU HEATER HZ2101 PASS 8</v>
      </c>
      <c r="K66" s="981" t="s">
        <v>11684</v>
      </c>
      <c r="L66" s="1064" t="str">
        <f>VLOOKUP($D66,transmitter_from_BP!$B:$F,5,0)</f>
        <v>M3/H</v>
      </c>
      <c r="M66" s="783">
        <v>0</v>
      </c>
      <c r="N66" s="772">
        <v>0</v>
      </c>
      <c r="O66" s="783">
        <v>1</v>
      </c>
      <c r="P66" s="772">
        <v>1</v>
      </c>
      <c r="Q66" s="783">
        <v>3600</v>
      </c>
      <c r="R66" s="772">
        <v>3600</v>
      </c>
      <c r="S66" s="783">
        <v>0</v>
      </c>
      <c r="T66" s="991">
        <f>VLOOKUP($D66,transmitter_from_BP!$B:$F,4,0)</f>
        <v>0</v>
      </c>
      <c r="U66" s="783">
        <v>313</v>
      </c>
      <c r="V66" s="991">
        <f>VLOOKUP($D66,transmitter_from_BP!$B:$F,3,0)</f>
        <v>313</v>
      </c>
      <c r="W66" s="783">
        <v>0</v>
      </c>
      <c r="X66" s="772"/>
      <c r="Y66" s="783">
        <v>146.91540444515201</v>
      </c>
      <c r="Z66" s="772"/>
    </row>
    <row r="67" spans="1:26" s="514" customFormat="1">
      <c r="A67" s="519" t="s">
        <v>4579</v>
      </c>
      <c r="B67" s="520"/>
      <c r="C67" s="521"/>
      <c r="D67" s="522" t="s">
        <v>9507</v>
      </c>
      <c r="E67" s="754"/>
      <c r="F67" s="760" t="s">
        <v>9235</v>
      </c>
      <c r="G67" s="981" t="s">
        <v>11041</v>
      </c>
      <c r="H67" s="555" t="str">
        <f>VLOOKUP($D67,transmitter_from_BP!$B:$F,2,0)</f>
        <v>TOTAL CRUDE FEED</v>
      </c>
      <c r="I67" s="981" t="s">
        <v>11041</v>
      </c>
      <c r="J67" s="755" t="str">
        <f>VLOOKUP($D67,transmitter_from_BP!$B:$F,2,0)</f>
        <v>TOTAL CRUDE FEED</v>
      </c>
      <c r="K67" s="981" t="s">
        <v>11684</v>
      </c>
      <c r="L67" s="1064" t="str">
        <f>VLOOKUP($D67,transmitter_from_BP!$B:$F,5,0)</f>
        <v>M3/H</v>
      </c>
      <c r="M67" s="570">
        <v>0</v>
      </c>
      <c r="N67" s="772">
        <v>0</v>
      </c>
      <c r="O67" s="570">
        <v>1</v>
      </c>
      <c r="P67" s="765">
        <v>1</v>
      </c>
      <c r="Q67" s="570">
        <v>3600</v>
      </c>
      <c r="R67" s="765">
        <v>3600</v>
      </c>
      <c r="S67" s="570">
        <v>0</v>
      </c>
      <c r="T67" s="991">
        <f>VLOOKUP($D67,transmitter_from_BP!$B:$F,4,0)</f>
        <v>0</v>
      </c>
      <c r="U67" s="570">
        <v>1839</v>
      </c>
      <c r="V67" s="991">
        <f>VLOOKUP($D67,transmitter_from_BP!$B:$F,3,0)</f>
        <v>1839</v>
      </c>
      <c r="W67" s="570">
        <v>0</v>
      </c>
      <c r="X67" s="555"/>
      <c r="Y67" s="614">
        <v>1174.90802831413</v>
      </c>
      <c r="Z67" s="610"/>
    </row>
    <row r="68" spans="1:26" s="514" customFormat="1">
      <c r="A68" s="519" t="s">
        <v>4579</v>
      </c>
      <c r="B68" s="520"/>
      <c r="C68" s="521"/>
      <c r="D68" s="522" t="s">
        <v>8662</v>
      </c>
      <c r="E68" s="754"/>
      <c r="F68" s="760" t="s">
        <v>9200</v>
      </c>
      <c r="G68" s="981" t="s">
        <v>11053</v>
      </c>
      <c r="H68" s="555" t="str">
        <f>VLOOKUP($D68,transmitter_from_BP!$B:$F,2,0)</f>
        <v>STRIPPED WATER FROM 1700</v>
      </c>
      <c r="I68" s="981" t="s">
        <v>11053</v>
      </c>
      <c r="J68" s="755" t="str">
        <f>VLOOKUP($D68,transmitter_from_BP!$B:$F,2,0)</f>
        <v>STRIPPED WATER FROM 1700</v>
      </c>
      <c r="K68" s="981" t="s">
        <v>11684</v>
      </c>
      <c r="L68" s="1064" t="str">
        <f>VLOOKUP($D68,transmitter_from_BP!$B:$F,5,0)</f>
        <v>M3/H</v>
      </c>
      <c r="M68" s="570">
        <v>0</v>
      </c>
      <c r="N68" s="772">
        <v>0</v>
      </c>
      <c r="O68" s="570">
        <v>1</v>
      </c>
      <c r="P68" s="765">
        <v>1</v>
      </c>
      <c r="Q68" s="570">
        <v>3600</v>
      </c>
      <c r="R68" s="765">
        <v>3600</v>
      </c>
      <c r="S68" s="570">
        <v>0</v>
      </c>
      <c r="T68" s="991">
        <f>VLOOKUP($D68,transmitter_from_BP!$B:$F,4,0)</f>
        <v>0</v>
      </c>
      <c r="U68" s="570">
        <v>30</v>
      </c>
      <c r="V68" s="991">
        <f>VLOOKUP($D68,transmitter_from_BP!$B:$F,3,0)</f>
        <v>30</v>
      </c>
      <c r="W68" s="570">
        <v>0</v>
      </c>
      <c r="X68" s="555"/>
      <c r="Y68" s="614">
        <v>14.1000457981797</v>
      </c>
      <c r="Z68" s="610"/>
    </row>
    <row r="69" spans="1:26" s="514" customFormat="1">
      <c r="A69" s="519" t="s">
        <v>4579</v>
      </c>
      <c r="B69" s="520"/>
      <c r="C69" s="521"/>
      <c r="D69" s="522" t="s">
        <v>9508</v>
      </c>
      <c r="E69" s="754"/>
      <c r="F69" s="760" t="s">
        <v>9284</v>
      </c>
      <c r="G69" s="981" t="s">
        <v>11054</v>
      </c>
      <c r="H69" s="555" t="str">
        <f>VLOOKUP($D69,transmitter_from_BP!$B:$F,2,0)</f>
        <v>BUT.INJ. P2151A/S TO CDU4(CALC)</v>
      </c>
      <c r="I69" s="981" t="s">
        <v>11054</v>
      </c>
      <c r="J69" s="755" t="str">
        <f>VLOOKUP($D69,transmitter_from_BP!$B:$F,2,0)</f>
        <v>BUT.INJ. P2151A/S TO CDU4(CALC)</v>
      </c>
      <c r="K69" s="981" t="s">
        <v>11684</v>
      </c>
      <c r="L69" s="1064" t="str">
        <f>VLOOKUP($D69,transmitter_from_BP!$B:$F,5,0)</f>
        <v>M3/H</v>
      </c>
      <c r="M69" s="570">
        <v>0</v>
      </c>
      <c r="N69" s="772">
        <v>0</v>
      </c>
      <c r="O69" s="570">
        <v>1</v>
      </c>
      <c r="P69" s="765">
        <v>1</v>
      </c>
      <c r="Q69" s="570">
        <v>3600</v>
      </c>
      <c r="R69" s="765">
        <v>3600</v>
      </c>
      <c r="S69" s="570">
        <v>0</v>
      </c>
      <c r="T69" s="991">
        <f>VLOOKUP($D69,transmitter_from_BP!$B:$F,4,0)</f>
        <v>0</v>
      </c>
      <c r="U69" s="570">
        <v>10</v>
      </c>
      <c r="V69" s="991">
        <f>VLOOKUP($D69,transmitter_from_BP!$B:$F,3,0)</f>
        <v>10</v>
      </c>
      <c r="W69" s="570">
        <v>0</v>
      </c>
      <c r="X69" s="555"/>
      <c r="Y69" s="614">
        <v>0</v>
      </c>
      <c r="Z69" s="610"/>
    </row>
    <row r="70" spans="1:26" s="514" customFormat="1">
      <c r="A70" s="519" t="s">
        <v>4579</v>
      </c>
      <c r="B70" s="520"/>
      <c r="C70" s="521"/>
      <c r="D70" s="522" t="s">
        <v>2785</v>
      </c>
      <c r="E70" s="782"/>
      <c r="F70" s="760" t="s">
        <v>9301</v>
      </c>
      <c r="G70" s="981" t="s">
        <v>11055</v>
      </c>
      <c r="H70" s="555" t="str">
        <f>VLOOKUP($D70,transmitter_from_BP!$B:$F,2,0)</f>
        <v>VISBR.GAS. INJ. (CALC)</v>
      </c>
      <c r="I70" s="981" t="s">
        <v>11055</v>
      </c>
      <c r="J70" s="755" t="str">
        <f>VLOOKUP($D70,transmitter_from_BP!$B:$F,2,0)</f>
        <v>VISBR.GAS. INJ. (CALC)</v>
      </c>
      <c r="K70" s="981" t="s">
        <v>11684</v>
      </c>
      <c r="L70" s="1064" t="str">
        <f>VLOOKUP($D70,transmitter_from_BP!$B:$F,5,0)</f>
        <v>M3/H</v>
      </c>
      <c r="M70" s="570">
        <v>0</v>
      </c>
      <c r="N70" s="772">
        <v>0</v>
      </c>
      <c r="O70" s="570">
        <v>1</v>
      </c>
      <c r="P70" s="765">
        <v>1</v>
      </c>
      <c r="Q70" s="570">
        <v>3600</v>
      </c>
      <c r="R70" s="765">
        <v>3600</v>
      </c>
      <c r="S70" s="570">
        <v>0</v>
      </c>
      <c r="T70" s="991">
        <f>VLOOKUP($D70,transmitter_from_BP!$B:$F,4,0)</f>
        <v>0</v>
      </c>
      <c r="U70" s="570">
        <v>21</v>
      </c>
      <c r="V70" s="991">
        <f>VLOOKUP($D70,transmitter_from_BP!$B:$F,3,0)</f>
        <v>21</v>
      </c>
      <c r="W70" s="570">
        <v>0</v>
      </c>
      <c r="X70" s="555"/>
      <c r="Y70" s="614">
        <v>8.7321331761704801</v>
      </c>
      <c r="Z70" s="610"/>
    </row>
    <row r="71" spans="1:26" s="514" customFormat="1">
      <c r="A71" s="519" t="s">
        <v>4579</v>
      </c>
      <c r="B71" s="520"/>
      <c r="C71" s="521"/>
      <c r="D71" s="522" t="s">
        <v>9188</v>
      </c>
      <c r="E71" s="754"/>
      <c r="F71" s="760" t="s">
        <v>9187</v>
      </c>
      <c r="G71" s="981" t="s">
        <v>11056</v>
      </c>
      <c r="H71" s="555" t="str">
        <f>VLOOKUP($D71,transmitter_from_BP!$B:$F,2,0)</f>
        <v>OVHD PROD -REACTORFEED (CALC)</v>
      </c>
      <c r="I71" s="981" t="s">
        <v>11056</v>
      </c>
      <c r="J71" s="755" t="str">
        <f>VLOOKUP($D71,transmitter_from_BP!$B:$F,2,0)</f>
        <v>OVHD PROD -REACTORFEED (CALC)</v>
      </c>
      <c r="K71" s="981" t="s">
        <v>11684</v>
      </c>
      <c r="L71" s="1064" t="str">
        <f>VLOOKUP($D71,transmitter_from_BP!$B:$F,5,0)</f>
        <v>M3/H</v>
      </c>
      <c r="M71" s="570">
        <v>0</v>
      </c>
      <c r="N71" s="772">
        <v>0</v>
      </c>
      <c r="O71" s="570">
        <v>1</v>
      </c>
      <c r="P71" s="765">
        <v>1</v>
      </c>
      <c r="Q71" s="570">
        <v>3600</v>
      </c>
      <c r="R71" s="765">
        <v>3600</v>
      </c>
      <c r="S71" s="570">
        <v>0</v>
      </c>
      <c r="T71" s="991">
        <f>VLOOKUP($D71,transmitter_from_BP!$B:$F,4,0)</f>
        <v>0</v>
      </c>
      <c r="U71" s="570">
        <v>598</v>
      </c>
      <c r="V71" s="991">
        <f>VLOOKUP($D71,transmitter_from_BP!$B:$F,3,0)</f>
        <v>598</v>
      </c>
      <c r="W71" s="570">
        <v>0</v>
      </c>
      <c r="X71" s="555"/>
      <c r="Y71" s="614">
        <v>0</v>
      </c>
      <c r="Z71" s="610"/>
    </row>
    <row r="72" spans="1:26" s="514" customFormat="1">
      <c r="A72" s="519" t="s">
        <v>4579</v>
      </c>
      <c r="B72" s="520"/>
      <c r="C72" s="521"/>
      <c r="D72" s="773" t="s">
        <v>9511</v>
      </c>
      <c r="E72" s="782"/>
      <c r="F72" s="760" t="s">
        <v>8730</v>
      </c>
      <c r="G72" s="981" t="s">
        <v>11057</v>
      </c>
      <c r="H72" s="755" t="str">
        <f>VLOOKUP($D72,transmitter_from_BP!$B:$F,2,0)</f>
        <v>RICH AMINE FROM TZ2851</v>
      </c>
      <c r="I72" s="981" t="s">
        <v>11057</v>
      </c>
      <c r="J72" s="755" t="str">
        <f>VLOOKUP($D72,transmitter_from_BP!$B:$F,2,0)</f>
        <v>RICH AMINE FROM TZ2851</v>
      </c>
      <c r="K72" s="981" t="s">
        <v>11684</v>
      </c>
      <c r="L72" s="1064" t="str">
        <f>VLOOKUP($D72,transmitter_from_BP!$B:$F,5,0)</f>
        <v>M3/H</v>
      </c>
      <c r="M72" s="570">
        <v>0</v>
      </c>
      <c r="N72" s="772">
        <v>0</v>
      </c>
      <c r="O72" s="570">
        <v>1</v>
      </c>
      <c r="P72" s="765">
        <v>1</v>
      </c>
      <c r="Q72" s="570">
        <v>3600</v>
      </c>
      <c r="R72" s="765">
        <v>3600</v>
      </c>
      <c r="S72" s="570">
        <v>0</v>
      </c>
      <c r="T72" s="991">
        <f>VLOOKUP($D72,transmitter_from_BP!$B:$F,4,0)</f>
        <v>0</v>
      </c>
      <c r="U72" s="570">
        <v>29.5</v>
      </c>
      <c r="V72" s="991">
        <f>VLOOKUP($D72,transmitter_from_BP!$B:$F,3,0)</f>
        <v>29.5</v>
      </c>
      <c r="W72" s="570">
        <v>0</v>
      </c>
      <c r="X72" s="555"/>
      <c r="Y72" s="614">
        <v>18.922960205744101</v>
      </c>
      <c r="Z72" s="610"/>
    </row>
    <row r="73" spans="1:26" s="796" customFormat="1">
      <c r="A73" s="789" t="s">
        <v>4579</v>
      </c>
      <c r="B73" s="790"/>
      <c r="C73" s="791"/>
      <c r="D73" s="792" t="s">
        <v>9513</v>
      </c>
      <c r="E73" s="793"/>
      <c r="F73" s="794" t="s">
        <v>9257</v>
      </c>
      <c r="G73" s="932" t="s">
        <v>11058</v>
      </c>
      <c r="H73" s="795" t="str">
        <f>VLOOKUP($D73,transmitter_from_BP!$B:$F,2,0)</f>
        <v>STAB. INTERNAL REFLUX</v>
      </c>
      <c r="I73" s="932" t="s">
        <v>11058</v>
      </c>
      <c r="J73" s="795" t="str">
        <f>VLOOKUP($D73,transmitter_from_BP!$B:$F,2,0)</f>
        <v>STAB. INTERNAL REFLUX</v>
      </c>
      <c r="K73" s="932" t="s">
        <v>11684</v>
      </c>
      <c r="L73" s="795" t="str">
        <f>VLOOKUP($D73,transmitter_from_BP!$B:$F,5,0)</f>
        <v>M3/H</v>
      </c>
      <c r="M73" s="787">
        <v>0</v>
      </c>
      <c r="N73" s="795">
        <v>0</v>
      </c>
      <c r="O73" s="787">
        <v>1</v>
      </c>
      <c r="P73" s="795">
        <v>1</v>
      </c>
      <c r="Q73" s="787">
        <v>0.15</v>
      </c>
      <c r="R73" s="795"/>
      <c r="S73" s="787">
        <v>0</v>
      </c>
      <c r="T73" s="991">
        <f>VLOOKUP($D73,transmitter_from_BP!$B:$F,4,0)</f>
        <v>0</v>
      </c>
      <c r="U73" s="787">
        <v>333</v>
      </c>
      <c r="V73" s="991">
        <f>VLOOKUP($D73,transmitter_from_BP!$B:$F,3,0)</f>
        <v>333</v>
      </c>
      <c r="W73" s="787">
        <v>0</v>
      </c>
      <c r="X73" s="795"/>
      <c r="Y73" s="787">
        <v>158.703750428174</v>
      </c>
      <c r="Z73" s="795"/>
    </row>
    <row r="74" spans="1:26" s="514" customFormat="1">
      <c r="A74" s="519" t="s">
        <v>4579</v>
      </c>
      <c r="B74" s="520"/>
      <c r="C74" s="521"/>
      <c r="D74" s="773" t="s">
        <v>9514</v>
      </c>
      <c r="E74" s="20"/>
      <c r="F74" s="760" t="s">
        <v>9290</v>
      </c>
      <c r="G74" s="981" t="s">
        <v>11059</v>
      </c>
      <c r="H74" s="755" t="str">
        <f>VLOOKUP($D74,transmitter_from_BP!$B:$F,2,0)</f>
        <v>TOTAL RESIDUE FLOW STAB-REBOILER</v>
      </c>
      <c r="I74" s="981" t="s">
        <v>11059</v>
      </c>
      <c r="J74" s="755" t="str">
        <f>VLOOKUP($D74,transmitter_from_BP!$B:$F,2,0)</f>
        <v>TOTAL RESIDUE FLOW STAB-REBOILER</v>
      </c>
      <c r="K74" s="981" t="s">
        <v>11684</v>
      </c>
      <c r="L74" s="555" t="str">
        <f>VLOOKUP($D74,transmitter_from_BP!$B:$F,5,0)</f>
        <v>M3/H</v>
      </c>
      <c r="M74" s="570">
        <v>0</v>
      </c>
      <c r="N74" s="772">
        <v>0</v>
      </c>
      <c r="O74" s="570">
        <v>1</v>
      </c>
      <c r="P74" s="765">
        <v>1</v>
      </c>
      <c r="Q74" s="570">
        <v>3600</v>
      </c>
      <c r="R74" s="765">
        <v>3600</v>
      </c>
      <c r="S74" s="570">
        <v>0</v>
      </c>
      <c r="T74" s="991">
        <f>VLOOKUP($D74,transmitter_from_BP!$B:$F,4,0)</f>
        <v>0</v>
      </c>
      <c r="U74" s="570">
        <v>1020</v>
      </c>
      <c r="V74" s="991">
        <f>VLOOKUP($D74,transmitter_from_BP!$B:$F,3,0)</f>
        <v>1020</v>
      </c>
      <c r="W74" s="570">
        <v>0</v>
      </c>
      <c r="X74" s="555"/>
      <c r="Y74" s="614">
        <v>532.04572650595105</v>
      </c>
      <c r="Z74" s="610"/>
    </row>
    <row r="75" spans="1:26" s="514" customFormat="1">
      <c r="A75" s="519" t="s">
        <v>4579</v>
      </c>
      <c r="B75" s="520"/>
      <c r="C75" s="521"/>
      <c r="D75" s="773" t="s">
        <v>5834</v>
      </c>
      <c r="E75" s="782"/>
      <c r="F75" s="760" t="s">
        <v>7917</v>
      </c>
      <c r="G75" s="981" t="s">
        <v>11060</v>
      </c>
      <c r="H75" s="755" t="str">
        <f>VLOOKUP($D75,transmitter_from_BP!$B:$F,2,0)</f>
        <v>STRIPPING STEAM LOW TRIP</v>
      </c>
      <c r="I75" s="981" t="s">
        <v>11060</v>
      </c>
      <c r="J75" s="755" t="str">
        <f>VLOOKUP($D75,transmitter_from_BP!$B:$F,2,0)</f>
        <v>STRIPPING STEAM LOW TRIP</v>
      </c>
      <c r="K75" s="981" t="s">
        <v>11685</v>
      </c>
      <c r="L75" s="1064" t="str">
        <f>VLOOKUP($D75,transmitter_from_BP!$B:$F,5,0)</f>
        <v>T/H</v>
      </c>
      <c r="M75" s="570">
        <v>8</v>
      </c>
      <c r="N75" s="610">
        <v>8</v>
      </c>
      <c r="O75" s="570">
        <v>1</v>
      </c>
      <c r="P75" s="765">
        <v>1</v>
      </c>
      <c r="Q75" s="570">
        <v>1</v>
      </c>
      <c r="R75" s="765">
        <v>1</v>
      </c>
      <c r="S75" s="570">
        <v>0</v>
      </c>
      <c r="T75" s="991">
        <f>VLOOKUP($D75,transmitter_from_BP!$B:$F,4,0)</f>
        <v>0</v>
      </c>
      <c r="U75" s="570">
        <v>23.4</v>
      </c>
      <c r="V75" s="991">
        <f>VLOOKUP($D75,transmitter_from_BP!$B:$F,3,0)</f>
        <v>23.4</v>
      </c>
      <c r="W75" s="570">
        <v>0</v>
      </c>
      <c r="X75" s="555"/>
      <c r="Y75" s="614">
        <v>9.8254647540471893</v>
      </c>
      <c r="Z75" s="610"/>
    </row>
    <row r="76" spans="1:26" s="514" customFormat="1">
      <c r="A76" s="519" t="s">
        <v>4579</v>
      </c>
      <c r="B76" s="520"/>
      <c r="C76" s="521"/>
      <c r="D76" s="522" t="s">
        <v>8609</v>
      </c>
      <c r="E76" s="754"/>
      <c r="F76" s="760" t="s">
        <v>8610</v>
      </c>
      <c r="G76" s="981" t="s">
        <v>11061</v>
      </c>
      <c r="H76" s="755" t="str">
        <f>VLOOKUP($D76,transmitter_from_BP!$B:$F,2,0)</f>
        <v>STRIP STM - TZ2101 CRUDE TWR</v>
      </c>
      <c r="I76" s="981" t="s">
        <v>11061</v>
      </c>
      <c r="J76" s="755" t="str">
        <f>VLOOKUP($D76,transmitter_from_BP!$B:$F,2,0)</f>
        <v>STRIP STM - TZ2101 CRUDE TWR</v>
      </c>
      <c r="K76" s="981" t="s">
        <v>11685</v>
      </c>
      <c r="L76" s="1064" t="str">
        <f>VLOOKUP($D76,transmitter_from_BP!$B:$F,5,0)</f>
        <v>T/H</v>
      </c>
      <c r="M76" s="570">
        <v>8</v>
      </c>
      <c r="N76" s="610">
        <v>8</v>
      </c>
      <c r="O76" s="570">
        <v>1</v>
      </c>
      <c r="P76" s="765">
        <v>1</v>
      </c>
      <c r="Q76" s="570">
        <v>1</v>
      </c>
      <c r="R76" s="765">
        <v>1</v>
      </c>
      <c r="S76" s="570">
        <v>0</v>
      </c>
      <c r="T76" s="991">
        <f>VLOOKUP($D76,transmitter_from_BP!$B:$F,4,0)</f>
        <v>0</v>
      </c>
      <c r="U76" s="570">
        <v>16.899999999999999</v>
      </c>
      <c r="V76" s="991">
        <f>VLOOKUP($D76,transmitter_from_BP!$B:$F,3,0)</f>
        <v>16.899999999999999</v>
      </c>
      <c r="W76" s="570">
        <v>0</v>
      </c>
      <c r="X76" s="555"/>
      <c r="Y76" s="614">
        <v>5.8262191969775197</v>
      </c>
      <c r="Z76" s="610"/>
    </row>
    <row r="77" spans="1:26" s="514" customFormat="1">
      <c r="A77" s="519" t="s">
        <v>4579</v>
      </c>
      <c r="B77" s="520"/>
      <c r="C77" s="521"/>
      <c r="D77" s="522" t="s">
        <v>8611</v>
      </c>
      <c r="E77" s="754"/>
      <c r="F77" s="760" t="s">
        <v>8612</v>
      </c>
      <c r="G77" s="981" t="s">
        <v>11062</v>
      </c>
      <c r="H77" s="755" t="str">
        <f>VLOOKUP($D77,transmitter_from_BP!$B:$F,2,0)</f>
        <v>STEAM TO BOTTOM RINGHEADER</v>
      </c>
      <c r="I77" s="981" t="s">
        <v>11062</v>
      </c>
      <c r="J77" s="755" t="str">
        <f>VLOOKUP($D77,transmitter_from_BP!$B:$F,2,0)</f>
        <v>STEAM TO BOTTOM RINGHEADER</v>
      </c>
      <c r="K77" s="981" t="s">
        <v>11685</v>
      </c>
      <c r="L77" s="1064" t="str">
        <f>VLOOKUP($D77,transmitter_from_BP!$B:$F,5,0)</f>
        <v>T/H</v>
      </c>
      <c r="M77" s="570">
        <v>8</v>
      </c>
      <c r="N77" s="610">
        <v>8</v>
      </c>
      <c r="O77" s="570">
        <v>1</v>
      </c>
      <c r="P77" s="765">
        <v>1</v>
      </c>
      <c r="Q77" s="570">
        <v>1</v>
      </c>
      <c r="R77" s="765">
        <v>1</v>
      </c>
      <c r="S77" s="570">
        <v>0</v>
      </c>
      <c r="T77" s="991">
        <f>VLOOKUP($D77,transmitter_from_BP!$B:$F,4,0)</f>
        <v>0</v>
      </c>
      <c r="U77" s="570">
        <v>1.5</v>
      </c>
      <c r="V77" s="991">
        <f>VLOOKUP($D77,transmitter_from_BP!$B:$F,3,0)</f>
        <v>1.5</v>
      </c>
      <c r="W77" s="570">
        <v>0</v>
      </c>
      <c r="X77" s="555"/>
      <c r="Y77" s="614">
        <v>0.99982284435152102</v>
      </c>
      <c r="Z77" s="610"/>
    </row>
    <row r="78" spans="1:26" s="514" customFormat="1">
      <c r="A78" s="519" t="s">
        <v>4579</v>
      </c>
      <c r="B78" s="520"/>
      <c r="C78" s="521"/>
      <c r="D78" s="522" t="s">
        <v>9488</v>
      </c>
      <c r="E78" s="754"/>
      <c r="F78" s="760" t="s">
        <v>8716</v>
      </c>
      <c r="G78" s="981" t="s">
        <v>11063</v>
      </c>
      <c r="H78" s="755" t="str">
        <f>VLOOKUP($D78,transmitter_from_BP!$B:$F,2,0)</f>
        <v>STEAM EX WASTE HEAT BOILER</v>
      </c>
      <c r="I78" s="981" t="s">
        <v>11063</v>
      </c>
      <c r="J78" s="755" t="str">
        <f>VLOOKUP($D78,transmitter_from_BP!$B:$F,2,0)</f>
        <v>STEAM EX WASTE HEAT BOILER</v>
      </c>
      <c r="K78" s="981" t="s">
        <v>11685</v>
      </c>
      <c r="L78" s="1064" t="str">
        <f>VLOOKUP($D78,transmitter_from_BP!$B:$F,5,0)</f>
        <v>T/H</v>
      </c>
      <c r="M78" s="570">
        <v>8</v>
      </c>
      <c r="N78" s="772">
        <v>8</v>
      </c>
      <c r="O78" s="570">
        <v>1</v>
      </c>
      <c r="P78" s="765">
        <v>1</v>
      </c>
      <c r="Q78" s="570">
        <v>1</v>
      </c>
      <c r="R78" s="765">
        <v>1</v>
      </c>
      <c r="S78" s="570">
        <v>0</v>
      </c>
      <c r="T78" s="991">
        <f>VLOOKUP($D78,transmitter_from_BP!$B:$F,4,0)</f>
        <v>0</v>
      </c>
      <c r="U78" s="570">
        <v>24.4</v>
      </c>
      <c r="V78" s="991">
        <f>VLOOKUP($D78,transmitter_from_BP!$B:$F,3,0)</f>
        <v>24.4</v>
      </c>
      <c r="W78" s="570">
        <v>0</v>
      </c>
      <c r="X78" s="555"/>
      <c r="Y78" s="614">
        <v>6.5731867823105699</v>
      </c>
      <c r="Z78" s="610"/>
    </row>
    <row r="79" spans="1:26" s="514" customFormat="1">
      <c r="A79" s="519" t="s">
        <v>4579</v>
      </c>
      <c r="B79" s="520"/>
      <c r="C79" s="521"/>
      <c r="D79" s="522" t="s">
        <v>9500</v>
      </c>
      <c r="E79" s="20"/>
      <c r="F79" s="760" t="s">
        <v>9335</v>
      </c>
      <c r="G79" s="981" t="s">
        <v>11064</v>
      </c>
      <c r="H79" s="755" t="str">
        <f>VLOOKUP($D79,transmitter_from_BP!$B:$F,2,0)</f>
        <v>WASHWATER TO DESALTERS</v>
      </c>
      <c r="I79" s="981" t="s">
        <v>11064</v>
      </c>
      <c r="J79" s="755" t="str">
        <f>VLOOKUP($D79,transmitter_from_BP!$B:$F,2,0)</f>
        <v>WASHWATER TO DESALTERS</v>
      </c>
      <c r="K79" s="981" t="s">
        <v>11685</v>
      </c>
      <c r="L79" s="1064" t="str">
        <f>VLOOKUP($D79,transmitter_from_BP!$B:$F,5,0)</f>
        <v>T/H</v>
      </c>
      <c r="M79" s="570">
        <v>8</v>
      </c>
      <c r="N79" s="772">
        <v>8</v>
      </c>
      <c r="O79" s="570">
        <v>1</v>
      </c>
      <c r="P79" s="765">
        <v>1</v>
      </c>
      <c r="Q79" s="570">
        <v>1</v>
      </c>
      <c r="R79" s="765">
        <v>1</v>
      </c>
      <c r="S79" s="570">
        <v>0</v>
      </c>
      <c r="T79" s="991">
        <f>VLOOKUP($D79,transmitter_from_BP!$B:$F,4,0)</f>
        <v>0</v>
      </c>
      <c r="U79" s="570">
        <v>95</v>
      </c>
      <c r="V79" s="991">
        <f>VLOOKUP($D79,transmitter_from_BP!$B:$F,3,0)</f>
        <v>95</v>
      </c>
      <c r="W79" s="570">
        <v>0</v>
      </c>
      <c r="X79" s="555"/>
      <c r="Y79" s="614">
        <v>58.651118805445499</v>
      </c>
      <c r="Z79" s="610"/>
    </row>
    <row r="80" spans="1:26" s="514" customFormat="1">
      <c r="A80" s="519" t="s">
        <v>4579</v>
      </c>
      <c r="B80" s="520"/>
      <c r="C80" s="521"/>
      <c r="D80" s="522" t="s">
        <v>5873</v>
      </c>
      <c r="E80" s="754"/>
      <c r="F80" s="760" t="s">
        <v>5870</v>
      </c>
      <c r="G80" s="981" t="s">
        <v>11065</v>
      </c>
      <c r="H80" s="755" t="str">
        <f>VLOOKUP($D80,transmitter_from_BP!$B:$F,2,0)</f>
        <v>COLD AIR INLET EZ2125A</v>
      </c>
      <c r="I80" s="981" t="s">
        <v>11065</v>
      </c>
      <c r="J80" s="755" t="str">
        <f>VLOOKUP($D80,transmitter_from_BP!$B:$F,2,0)</f>
        <v>COLD AIR INLET EZ2125A</v>
      </c>
      <c r="K80" s="981" t="s">
        <v>11685</v>
      </c>
      <c r="L80" s="1064" t="str">
        <f>VLOOKUP($D80,transmitter_from_BP!$B:$F,5,0)</f>
        <v>T/H</v>
      </c>
      <c r="M80" s="570">
        <v>8</v>
      </c>
      <c r="N80" s="610">
        <v>8</v>
      </c>
      <c r="O80" s="570">
        <v>1</v>
      </c>
      <c r="P80" s="765">
        <v>1</v>
      </c>
      <c r="Q80" s="570">
        <v>1</v>
      </c>
      <c r="R80" s="765">
        <v>1</v>
      </c>
      <c r="S80" s="570">
        <v>0</v>
      </c>
      <c r="T80" s="991">
        <f>VLOOKUP($D80,transmitter_from_BP!$B:$F,4,0)</f>
        <v>0</v>
      </c>
      <c r="U80" s="570">
        <v>290</v>
      </c>
      <c r="V80" s="991">
        <f>VLOOKUP($D80,transmitter_from_BP!$B:$F,3,0)</f>
        <v>290</v>
      </c>
      <c r="W80" s="570">
        <v>0</v>
      </c>
      <c r="X80" s="555"/>
      <c r="Y80" s="614">
        <v>125.220310190048</v>
      </c>
      <c r="Z80" s="610"/>
    </row>
    <row r="81" spans="1:26" s="514" customFormat="1">
      <c r="A81" s="519" t="s">
        <v>4579</v>
      </c>
      <c r="B81" s="520"/>
      <c r="C81" s="521"/>
      <c r="D81" s="773" t="s">
        <v>9504</v>
      </c>
      <c r="E81" s="782"/>
      <c r="F81" s="760" t="s">
        <v>5872</v>
      </c>
      <c r="G81" s="981" t="s">
        <v>11066</v>
      </c>
      <c r="H81" s="755" t="str">
        <f>VLOOKUP($D81,transmitter_from_BP!$B:$F,2,0)</f>
        <v>COLD AIR INLET EZ2125B</v>
      </c>
      <c r="I81" s="981" t="s">
        <v>11066</v>
      </c>
      <c r="J81" s="755" t="str">
        <f>VLOOKUP($D81,transmitter_from_BP!$B:$F,2,0)</f>
        <v>COLD AIR INLET EZ2125B</v>
      </c>
      <c r="K81" s="981" t="s">
        <v>11685</v>
      </c>
      <c r="L81" s="1064" t="str">
        <f>VLOOKUP($D81,transmitter_from_BP!$B:$F,5,0)</f>
        <v>T/H</v>
      </c>
      <c r="M81" s="570">
        <v>8</v>
      </c>
      <c r="N81" s="610">
        <v>8</v>
      </c>
      <c r="O81" s="570">
        <v>1</v>
      </c>
      <c r="P81" s="765">
        <v>1</v>
      </c>
      <c r="Q81" s="570">
        <v>1</v>
      </c>
      <c r="R81" s="765">
        <v>1</v>
      </c>
      <c r="S81" s="570">
        <v>0</v>
      </c>
      <c r="T81" s="991">
        <f>VLOOKUP($D81,transmitter_from_BP!$B:$F,4,0)</f>
        <v>0</v>
      </c>
      <c r="U81" s="570">
        <v>290</v>
      </c>
      <c r="V81" s="991">
        <f>VLOOKUP($D81,transmitter_from_BP!$B:$F,3,0)</f>
        <v>290</v>
      </c>
      <c r="W81" s="570">
        <v>0</v>
      </c>
      <c r="X81" s="555"/>
      <c r="Y81" s="614">
        <v>125.220310190047</v>
      </c>
      <c r="Z81" s="610"/>
    </row>
    <row r="82" spans="1:26" s="514" customFormat="1">
      <c r="A82" s="519" t="s">
        <v>4579</v>
      </c>
      <c r="B82" s="520"/>
      <c r="C82" s="521"/>
      <c r="D82" s="181" t="s">
        <v>2211</v>
      </c>
      <c r="E82" s="754"/>
      <c r="F82" s="760" t="s">
        <v>8631</v>
      </c>
      <c r="G82" s="981" t="s">
        <v>11067</v>
      </c>
      <c r="H82" s="755" t="str">
        <f>VLOOKUP($D82,transmitter_from_BP!$B:$F,2,0)</f>
        <v>STRIP STEAM TO T2102 LGO STRP</v>
      </c>
      <c r="I82" s="981" t="s">
        <v>11067</v>
      </c>
      <c r="J82" s="755" t="str">
        <f>VLOOKUP($D82,transmitter_from_BP!$B:$F,2,0)</f>
        <v>STRIP STEAM TO T2102 LGO STRP</v>
      </c>
      <c r="K82" s="981" t="s">
        <v>11685</v>
      </c>
      <c r="L82" s="1064" t="str">
        <f>VLOOKUP($D82,transmitter_from_BP!$B:$F,5,0)</f>
        <v>T/H</v>
      </c>
      <c r="M82" s="570">
        <v>8</v>
      </c>
      <c r="N82" s="610">
        <v>8</v>
      </c>
      <c r="O82" s="570">
        <v>1</v>
      </c>
      <c r="P82" s="765">
        <v>1</v>
      </c>
      <c r="Q82" s="570">
        <v>1</v>
      </c>
      <c r="R82" s="765">
        <v>1</v>
      </c>
      <c r="S82" s="570">
        <v>0</v>
      </c>
      <c r="T82" s="991">
        <f>VLOOKUP($D82,transmitter_from_BP!$B:$F,4,0)</f>
        <v>0</v>
      </c>
      <c r="U82" s="570">
        <v>7.08</v>
      </c>
      <c r="V82" s="991">
        <f>VLOOKUP($D82,transmitter_from_BP!$B:$F,3,0)</f>
        <v>7.08</v>
      </c>
      <c r="W82" s="570">
        <v>0</v>
      </c>
      <c r="X82" s="555"/>
      <c r="Y82" s="614">
        <v>2.2995676910946599</v>
      </c>
      <c r="Z82" s="610"/>
    </row>
    <row r="83" spans="1:26" s="514" customFormat="1">
      <c r="A83" s="519" t="s">
        <v>4579</v>
      </c>
      <c r="B83" s="178"/>
      <c r="C83" s="179"/>
      <c r="D83" s="180" t="s">
        <v>9506</v>
      </c>
      <c r="E83" s="754"/>
      <c r="F83" s="764" t="s">
        <v>8632</v>
      </c>
      <c r="G83" s="931" t="s">
        <v>11068</v>
      </c>
      <c r="H83" s="755" t="str">
        <f>VLOOKUP($D83,transmitter_from_BP!$B:$F,2,0)</f>
        <v>STRIP STEAM TO T2103 HGO STRP</v>
      </c>
      <c r="I83" s="981" t="s">
        <v>11068</v>
      </c>
      <c r="J83" s="755" t="str">
        <f>VLOOKUP($D83,transmitter_from_BP!$B:$F,2,0)</f>
        <v>STRIP STEAM TO T2103 HGO STRP</v>
      </c>
      <c r="K83" s="981" t="s">
        <v>11685</v>
      </c>
      <c r="L83" s="1064" t="str">
        <f>VLOOKUP($D83,transmitter_from_BP!$B:$F,5,0)</f>
        <v>T/H</v>
      </c>
      <c r="M83" s="570">
        <v>8</v>
      </c>
      <c r="N83" s="618">
        <v>8</v>
      </c>
      <c r="O83" s="570">
        <v>1</v>
      </c>
      <c r="P83" s="765">
        <v>1</v>
      </c>
      <c r="Q83" s="570">
        <v>1</v>
      </c>
      <c r="R83" s="765">
        <v>1</v>
      </c>
      <c r="S83" s="570">
        <v>0</v>
      </c>
      <c r="T83" s="991">
        <f>VLOOKUP($D83,transmitter_from_BP!$B:$F,4,0)</f>
        <v>0</v>
      </c>
      <c r="U83" s="570">
        <v>2.13</v>
      </c>
      <c r="V83" s="991">
        <f>VLOOKUP($D83,transmitter_from_BP!$B:$F,3,0)</f>
        <v>2.13</v>
      </c>
      <c r="W83" s="570">
        <v>0</v>
      </c>
      <c r="X83" s="555"/>
      <c r="Y83" s="614">
        <v>0.69985539005206898</v>
      </c>
      <c r="Z83" s="610"/>
    </row>
    <row r="84" spans="1:26" s="514" customFormat="1">
      <c r="A84" s="519" t="s">
        <v>4579</v>
      </c>
      <c r="B84" s="520"/>
      <c r="C84" s="521"/>
      <c r="D84" s="522" t="s">
        <v>6456</v>
      </c>
      <c r="E84" s="754"/>
      <c r="F84" s="760" t="s">
        <v>7914</v>
      </c>
      <c r="G84" s="981" t="s">
        <v>11069</v>
      </c>
      <c r="H84" s="755" t="str">
        <f>VLOOKUP($D84,transmitter_from_BP!$B:$F,2,0)</f>
        <v>GAS TO FLARE</v>
      </c>
      <c r="I84" s="981" t="s">
        <v>11069</v>
      </c>
      <c r="J84" s="755" t="str">
        <f>VLOOKUP($D84,transmitter_from_BP!$B:$F,2,0)</f>
        <v>GAS TO FLARE</v>
      </c>
      <c r="K84" s="981" t="s">
        <v>11686</v>
      </c>
      <c r="L84" s="1064" t="str">
        <f>VLOOKUP($D84,transmitter_from_BP!$B:$F,5,0)</f>
        <v>NM3/H</v>
      </c>
      <c r="M84" s="570">
        <v>14</v>
      </c>
      <c r="N84" s="610">
        <v>14</v>
      </c>
      <c r="O84" s="570">
        <v>1</v>
      </c>
      <c r="P84" s="765">
        <v>1</v>
      </c>
      <c r="Q84" s="570">
        <v>3600</v>
      </c>
      <c r="R84" s="765">
        <v>3600</v>
      </c>
      <c r="S84" s="570">
        <v>0</v>
      </c>
      <c r="T84" s="991">
        <f>VLOOKUP($D84,transmitter_from_BP!$B:$F,4,0)</f>
        <v>0</v>
      </c>
      <c r="U84" s="570">
        <v>1816</v>
      </c>
      <c r="V84" s="991">
        <f>VLOOKUP($D84,transmitter_from_BP!$B:$F,3,0)</f>
        <v>1816</v>
      </c>
      <c r="W84" s="570">
        <v>0</v>
      </c>
      <c r="X84" s="555"/>
      <c r="Y84" s="614">
        <v>0</v>
      </c>
      <c r="Z84" s="610"/>
    </row>
    <row r="85" spans="1:26" s="514" customFormat="1">
      <c r="A85" s="519" t="s">
        <v>4579</v>
      </c>
      <c r="B85" s="520"/>
      <c r="C85" s="521"/>
      <c r="D85" s="522" t="s">
        <v>9475</v>
      </c>
      <c r="E85" s="754"/>
      <c r="F85" s="760" t="s">
        <v>6350</v>
      </c>
      <c r="G85" s="981" t="s">
        <v>11070</v>
      </c>
      <c r="H85" s="755" t="str">
        <f>VLOOKUP($D85,transmitter_from_BP!$B:$F,2,0)</f>
        <v>DHT RECYCLE GAS (RAW)</v>
      </c>
      <c r="I85" s="981" t="s">
        <v>11070</v>
      </c>
      <c r="J85" s="755" t="str">
        <f>VLOOKUP($D85,transmitter_from_BP!$B:$F,2,0)</f>
        <v>DHT RECYCLE GAS (RAW)</v>
      </c>
      <c r="K85" s="981" t="s">
        <v>11687</v>
      </c>
      <c r="L85" s="1064" t="str">
        <f>VLOOKUP($D85,transmitter_from_BP!$B:$F,5,0)</f>
        <v>KNM3/H</v>
      </c>
      <c r="M85" s="570">
        <v>14</v>
      </c>
      <c r="N85" s="610">
        <v>14</v>
      </c>
      <c r="O85" s="570">
        <v>1</v>
      </c>
      <c r="P85" s="765">
        <v>1</v>
      </c>
      <c r="Q85" s="570">
        <v>3.6</v>
      </c>
      <c r="R85" s="765">
        <v>3.6</v>
      </c>
      <c r="S85" s="570">
        <v>0</v>
      </c>
      <c r="T85" s="991">
        <f>VLOOKUP($D85,transmitter_from_BP!$B:$F,4,0)</f>
        <v>0</v>
      </c>
      <c r="U85" s="570">
        <v>87.58</v>
      </c>
      <c r="V85" s="991">
        <f>VLOOKUP($D85,transmitter_from_BP!$B:$F,3,0)</f>
        <v>87.58</v>
      </c>
      <c r="W85" s="570">
        <v>0</v>
      </c>
      <c r="X85" s="555"/>
      <c r="Y85" s="614">
        <v>40.7555514920505</v>
      </c>
      <c r="Z85" s="610"/>
    </row>
    <row r="86" spans="1:26" s="753" customFormat="1">
      <c r="A86" s="756" t="s">
        <v>4579</v>
      </c>
      <c r="B86" s="757"/>
      <c r="C86" s="758"/>
      <c r="D86" s="773" t="s">
        <v>9480</v>
      </c>
      <c r="E86" s="782"/>
      <c r="F86" s="774" t="s">
        <v>8663</v>
      </c>
      <c r="G86" s="981" t="s">
        <v>11071</v>
      </c>
      <c r="H86" s="772" t="str">
        <f>VLOOKUP($D86,transmitter_from_BP!$B:$F,2,0)</f>
        <v>CDU4 CRUDE O/H OFFGAS TO HZ2201</v>
      </c>
      <c r="I86" s="981" t="s">
        <v>11071</v>
      </c>
      <c r="J86" s="772" t="str">
        <f>VLOOKUP($D86,transmitter_from_BP!$B:$F,2,0)</f>
        <v>CDU4 CRUDE O/H OFFGAS TO HZ2201</v>
      </c>
      <c r="K86" s="981" t="s">
        <v>11686</v>
      </c>
      <c r="L86" s="1064" t="str">
        <f>VLOOKUP($D86,transmitter_from_BP!$B:$F,5,0)</f>
        <v>NM3/H</v>
      </c>
      <c r="M86" s="783">
        <v>14</v>
      </c>
      <c r="N86" s="772">
        <v>14</v>
      </c>
      <c r="O86" s="783">
        <v>1</v>
      </c>
      <c r="P86" s="772">
        <v>1</v>
      </c>
      <c r="Q86" s="783">
        <v>3600</v>
      </c>
      <c r="R86" s="772">
        <v>3600</v>
      </c>
      <c r="S86" s="783">
        <v>0</v>
      </c>
      <c r="T86" s="991">
        <f>VLOOKUP($D86,transmitter_from_BP!$B:$F,4,0)</f>
        <v>0</v>
      </c>
      <c r="U86" s="783">
        <v>2116</v>
      </c>
      <c r="V86" s="991">
        <f>VLOOKUP($D86,transmitter_from_BP!$B:$F,3,0)</f>
        <v>2116</v>
      </c>
      <c r="W86" s="783">
        <v>0</v>
      </c>
      <c r="X86" s="772"/>
      <c r="Y86" s="783">
        <v>951.43787841043695</v>
      </c>
      <c r="Z86" s="772"/>
    </row>
    <row r="87" spans="1:26" s="753" customFormat="1">
      <c r="A87" s="1062" t="s">
        <v>5377</v>
      </c>
      <c r="B87" s="757"/>
      <c r="C87" s="758"/>
      <c r="D87" s="773" t="s">
        <v>9206</v>
      </c>
      <c r="E87" s="782"/>
      <c r="F87" s="774" t="s">
        <v>9205</v>
      </c>
      <c r="G87" s="981" t="s">
        <v>11072</v>
      </c>
      <c r="H87" s="772" t="str">
        <f>VLOOKUP($D87,PID_from_BP!$B:$I,2,0)</f>
        <v>OFF GAS FLOW CDU4 TO HRU</v>
      </c>
      <c r="I87" s="981" t="s">
        <v>11072</v>
      </c>
      <c r="J87" s="772" t="str">
        <f>VLOOKUP($D87,PID_from_BP!$B:$I,2,0)</f>
        <v>OFF GAS FLOW CDU4 TO HRU</v>
      </c>
      <c r="K87" s="981" t="s">
        <v>11688</v>
      </c>
      <c r="L87" s="772" t="str">
        <f>VLOOKUP($D87,PID_from_BP!$B:$I,5,0)</f>
        <v>NM3/HR</v>
      </c>
      <c r="M87" s="783">
        <v>14</v>
      </c>
      <c r="N87" s="772">
        <v>14</v>
      </c>
      <c r="O87" s="783">
        <v>1</v>
      </c>
      <c r="P87" s="772">
        <v>1</v>
      </c>
      <c r="Q87" s="783">
        <v>3600</v>
      </c>
      <c r="R87" s="772">
        <v>3600</v>
      </c>
      <c r="S87" s="783">
        <v>0</v>
      </c>
      <c r="T87" s="1063">
        <f>VLOOKUP($D87,PID_from_BP!$B:$I,4,0)</f>
        <v>0</v>
      </c>
      <c r="U87" s="783">
        <v>8000</v>
      </c>
      <c r="V87" s="991">
        <f>VLOOKUP($D87,PID_from_BP!$B:$I,3,0)</f>
        <v>8000</v>
      </c>
      <c r="W87" s="783">
        <v>0</v>
      </c>
      <c r="X87" s="772"/>
      <c r="Y87" s="783">
        <v>0</v>
      </c>
      <c r="Z87" s="772"/>
    </row>
    <row r="88" spans="1:26" s="753" customFormat="1">
      <c r="A88" s="756" t="s">
        <v>4579</v>
      </c>
      <c r="B88" s="757"/>
      <c r="C88" s="758"/>
      <c r="D88" s="773" t="s">
        <v>9490</v>
      </c>
      <c r="E88" s="782"/>
      <c r="F88" s="774" t="s">
        <v>6361</v>
      </c>
      <c r="G88" s="981" t="s">
        <v>11073</v>
      </c>
      <c r="H88" s="772" t="str">
        <f>VLOOKUP($D88,transmitter_from_BP!$B:$F,2,0)</f>
        <v>MAKE-UP GAS EX 500</v>
      </c>
      <c r="I88" s="981" t="s">
        <v>11073</v>
      </c>
      <c r="J88" s="772" t="str">
        <f>VLOOKUP($D88,transmitter_from_BP!$B:$F,2,0)</f>
        <v>MAKE-UP GAS EX 500</v>
      </c>
      <c r="K88" s="981" t="s">
        <v>11686</v>
      </c>
      <c r="L88" s="772" t="str">
        <f>VLOOKUP($D88,transmitter_from_BP!$B:$F,5,0)</f>
        <v>NM3/H</v>
      </c>
      <c r="M88" s="783">
        <v>14</v>
      </c>
      <c r="N88" s="772">
        <v>14</v>
      </c>
      <c r="O88" s="783">
        <v>1</v>
      </c>
      <c r="P88" s="772">
        <v>1</v>
      </c>
      <c r="Q88" s="783">
        <v>3600</v>
      </c>
      <c r="R88" s="772">
        <v>3600</v>
      </c>
      <c r="S88" s="783">
        <v>0</v>
      </c>
      <c r="T88" s="991">
        <f>VLOOKUP($D88,transmitter_from_BP!$B:$F,4,0)</f>
        <v>0</v>
      </c>
      <c r="U88" s="783">
        <v>11113</v>
      </c>
      <c r="V88" s="991">
        <f>VLOOKUP($D88,transmitter_from_BP!$B:$F,3,0)</f>
        <v>11113</v>
      </c>
      <c r="W88" s="783">
        <v>0</v>
      </c>
      <c r="X88" s="772"/>
      <c r="Y88" s="783">
        <v>0</v>
      </c>
      <c r="Z88" s="772"/>
    </row>
    <row r="89" spans="1:26" s="753" customFormat="1">
      <c r="A89" s="756" t="s">
        <v>4579</v>
      </c>
      <c r="B89" s="757"/>
      <c r="C89" s="758"/>
      <c r="D89" s="773" t="s">
        <v>9491</v>
      </c>
      <c r="E89" s="782"/>
      <c r="F89" s="774" t="s">
        <v>6415</v>
      </c>
      <c r="G89" s="981" t="s">
        <v>11074</v>
      </c>
      <c r="H89" s="772" t="str">
        <f>VLOOKUP($D89,transmitter_from_BP!$B:$F,2,0)</f>
        <v>DHT HEATER FUEL GAS</v>
      </c>
      <c r="I89" s="981" t="s">
        <v>11074</v>
      </c>
      <c r="J89" s="772" t="str">
        <f>VLOOKUP($D89,transmitter_from_BP!$B:$F,2,0)</f>
        <v>DHT HEATER FUEL GAS</v>
      </c>
      <c r="K89" s="981" t="s">
        <v>11686</v>
      </c>
      <c r="L89" s="1064" t="str">
        <f>VLOOKUP($D89,transmitter_from_BP!$B:$F,5,0)</f>
        <v>NM3/H</v>
      </c>
      <c r="M89" s="783">
        <v>14</v>
      </c>
      <c r="N89" s="772">
        <v>14</v>
      </c>
      <c r="O89" s="783">
        <v>1</v>
      </c>
      <c r="P89" s="772">
        <v>1</v>
      </c>
      <c r="Q89" s="783">
        <v>3600</v>
      </c>
      <c r="R89" s="772">
        <v>3600</v>
      </c>
      <c r="S89" s="783">
        <v>0</v>
      </c>
      <c r="T89" s="991">
        <f>VLOOKUP($D89,transmitter_from_BP!$B:$F,4,0)</f>
        <v>0</v>
      </c>
      <c r="U89" s="783">
        <v>1726</v>
      </c>
      <c r="V89" s="991">
        <f>VLOOKUP($D89,transmitter_from_BP!$B:$F,3,0)</f>
        <v>1726</v>
      </c>
      <c r="W89" s="783">
        <v>0</v>
      </c>
      <c r="X89" s="772"/>
      <c r="Y89" s="783">
        <v>920.607346235313</v>
      </c>
      <c r="Z89" s="772"/>
    </row>
    <row r="90" spans="1:26" s="753" customFormat="1">
      <c r="A90" s="756" t="s">
        <v>4579</v>
      </c>
      <c r="B90" s="757"/>
      <c r="C90" s="758"/>
      <c r="D90" s="773" t="s">
        <v>9493</v>
      </c>
      <c r="E90" s="782"/>
      <c r="F90" s="774" t="s">
        <v>8758</v>
      </c>
      <c r="G90" s="981" t="s">
        <v>11075</v>
      </c>
      <c r="H90" s="772" t="str">
        <f>VLOOKUP($D90,transmitter_from_BP!$B:$F,2,0)</f>
        <v>DFU STAB. O/H DRUM OFFGAS</v>
      </c>
      <c r="I90" s="981" t="s">
        <v>11075</v>
      </c>
      <c r="J90" s="772" t="str">
        <f>VLOOKUP($D90,transmitter_from_BP!$B:$F,2,0)</f>
        <v>DFU STAB. O/H DRUM OFFGAS</v>
      </c>
      <c r="K90" s="981" t="s">
        <v>11687</v>
      </c>
      <c r="L90" s="1064" t="str">
        <f>VLOOKUP($D90,transmitter_from_BP!$B:$F,5,0)</f>
        <v>KNM3/H</v>
      </c>
      <c r="M90" s="783">
        <v>14</v>
      </c>
      <c r="N90" s="772">
        <v>14</v>
      </c>
      <c r="O90" s="783">
        <v>1</v>
      </c>
      <c r="P90" s="772">
        <v>1</v>
      </c>
      <c r="Q90" s="783">
        <v>3.6</v>
      </c>
      <c r="R90" s="772">
        <v>3.6</v>
      </c>
      <c r="S90" s="783">
        <v>0</v>
      </c>
      <c r="T90" s="991">
        <f>VLOOKUP($D90,transmitter_from_BP!$B:$F,4,0)</f>
        <v>0</v>
      </c>
      <c r="U90" s="783">
        <v>14.08</v>
      </c>
      <c r="V90" s="991">
        <f>VLOOKUP($D90,transmitter_from_BP!$B:$F,3,0)</f>
        <v>14.08</v>
      </c>
      <c r="W90" s="783">
        <v>0</v>
      </c>
      <c r="X90" s="772"/>
      <c r="Y90" s="783">
        <v>3.8379085013365501</v>
      </c>
      <c r="Z90" s="772"/>
    </row>
    <row r="91" spans="1:26" s="753" customFormat="1">
      <c r="A91" s="756" t="s">
        <v>4579</v>
      </c>
      <c r="B91" s="757"/>
      <c r="C91" s="758"/>
      <c r="D91" s="773" t="s">
        <v>9494</v>
      </c>
      <c r="E91" s="782"/>
      <c r="F91" s="774" t="s">
        <v>9279</v>
      </c>
      <c r="G91" s="981" t="s">
        <v>11076</v>
      </c>
      <c r="H91" s="772" t="str">
        <f>VLOOKUP($D91,transmitter_from_BP!$B:$F,2,0)</f>
        <v>STABILISER OVHD OFFGAS</v>
      </c>
      <c r="I91" s="981" t="s">
        <v>11076</v>
      </c>
      <c r="J91" s="772" t="str">
        <f>VLOOKUP($D91,transmitter_from_BP!$B:$F,2,0)</f>
        <v>STABILISER OVHD OFFGAS</v>
      </c>
      <c r="K91" s="981" t="s">
        <v>11687</v>
      </c>
      <c r="L91" s="1064" t="str">
        <f>VLOOKUP($D91,transmitter_from_BP!$B:$F,5,0)</f>
        <v>KNM3/H</v>
      </c>
      <c r="M91" s="783">
        <v>14</v>
      </c>
      <c r="N91" s="772">
        <v>14</v>
      </c>
      <c r="O91" s="783">
        <v>1</v>
      </c>
      <c r="P91" s="772">
        <v>1</v>
      </c>
      <c r="Q91" s="783">
        <v>3.6</v>
      </c>
      <c r="R91" s="772">
        <v>3.6</v>
      </c>
      <c r="S91" s="783">
        <v>0</v>
      </c>
      <c r="T91" s="991">
        <f>VLOOKUP($D91,transmitter_from_BP!$B:$F,4,0)</f>
        <v>0</v>
      </c>
      <c r="U91" s="783">
        <v>14.08</v>
      </c>
      <c r="V91" s="991">
        <f>VLOOKUP($D91,transmitter_from_BP!$B:$F,3,0)</f>
        <v>14.08</v>
      </c>
      <c r="W91" s="783">
        <v>0</v>
      </c>
      <c r="X91" s="772"/>
      <c r="Y91" s="783">
        <v>3.8379085013365501</v>
      </c>
      <c r="Z91" s="772"/>
    </row>
    <row r="92" spans="1:26" s="753" customFormat="1">
      <c r="A92" s="756" t="s">
        <v>4579</v>
      </c>
      <c r="B92" s="757"/>
      <c r="C92" s="758"/>
      <c r="D92" s="773" t="s">
        <v>8902</v>
      </c>
      <c r="E92" s="782"/>
      <c r="F92" s="774" t="s">
        <v>5954</v>
      </c>
      <c r="G92" s="981" t="s">
        <v>11077</v>
      </c>
      <c r="H92" s="772" t="str">
        <f>VLOOKUP($D92,transmitter_from_BP!$B:$F,2,0)</f>
        <v>SPLITTER HEATER FUEL GAS</v>
      </c>
      <c r="I92" s="981" t="s">
        <v>11077</v>
      </c>
      <c r="J92" s="772" t="str">
        <f>VLOOKUP($D92,transmitter_from_BP!$B:$F,2,0)</f>
        <v>SPLITTER HEATER FUEL GAS</v>
      </c>
      <c r="K92" s="981" t="s">
        <v>11686</v>
      </c>
      <c r="L92" s="1064" t="str">
        <f>VLOOKUP($D92,transmitter_from_BP!$B:$F,5,0)</f>
        <v>NM3/H</v>
      </c>
      <c r="M92" s="783">
        <v>14</v>
      </c>
      <c r="N92" s="772">
        <v>14</v>
      </c>
      <c r="O92" s="783">
        <v>1</v>
      </c>
      <c r="P92" s="772">
        <v>1</v>
      </c>
      <c r="Q92" s="783">
        <v>3600</v>
      </c>
      <c r="R92" s="772">
        <v>3600</v>
      </c>
      <c r="S92" s="783">
        <v>0</v>
      </c>
      <c r="T92" s="991">
        <f>VLOOKUP($D92,transmitter_from_BP!$B:$F,4,0)</f>
        <v>0</v>
      </c>
      <c r="U92" s="783">
        <v>3154</v>
      </c>
      <c r="V92" s="991">
        <f>VLOOKUP($D92,transmitter_from_BP!$B:$F,3,0)</f>
        <v>3154</v>
      </c>
      <c r="W92" s="783">
        <v>0</v>
      </c>
      <c r="X92" s="772"/>
      <c r="Y92" s="783">
        <v>189.124137537422</v>
      </c>
      <c r="Z92" s="772"/>
    </row>
    <row r="93" spans="1:26" s="753" customFormat="1">
      <c r="A93" s="756" t="s">
        <v>4579</v>
      </c>
      <c r="B93" s="757"/>
      <c r="C93" s="758"/>
      <c r="D93" s="773" t="s">
        <v>9495</v>
      </c>
      <c r="E93" s="782"/>
      <c r="F93" s="774" t="s">
        <v>6190</v>
      </c>
      <c r="G93" s="981" t="s">
        <v>11078</v>
      </c>
      <c r="H93" s="772" t="str">
        <f>VLOOKUP($D93,transmitter_from_BP!$B:$F,2,0)</f>
        <v>SRB R/D TO 500 UNIT</v>
      </c>
      <c r="I93" s="981" t="s">
        <v>11078</v>
      </c>
      <c r="J93" s="772" t="str">
        <f>VLOOKUP($D93,transmitter_from_BP!$B:$F,2,0)</f>
        <v>SRB R/D TO 500 UNIT</v>
      </c>
      <c r="K93" s="981" t="s">
        <v>11686</v>
      </c>
      <c r="L93" s="1064" t="str">
        <f>VLOOKUP($D93,transmitter_from_BP!$B:$F,5,0)</f>
        <v>NM3/H</v>
      </c>
      <c r="M93" s="783">
        <v>14</v>
      </c>
      <c r="N93" s="772">
        <v>14</v>
      </c>
      <c r="O93" s="783">
        <v>1</v>
      </c>
      <c r="P93" s="772">
        <v>1</v>
      </c>
      <c r="Q93" s="783">
        <v>3600</v>
      </c>
      <c r="R93" s="772">
        <v>3600</v>
      </c>
      <c r="S93" s="783">
        <v>0</v>
      </c>
      <c r="T93" s="991">
        <f>VLOOKUP($D93,transmitter_from_BP!$B:$F,4,0)</f>
        <v>0</v>
      </c>
      <c r="U93" s="783">
        <v>200</v>
      </c>
      <c r="V93" s="991">
        <f>VLOOKUP($D93,transmitter_from_BP!$B:$F,3,0)</f>
        <v>200</v>
      </c>
      <c r="W93" s="783">
        <v>0</v>
      </c>
      <c r="X93" s="772"/>
      <c r="Y93" s="783">
        <v>0</v>
      </c>
      <c r="Z93" s="772"/>
    </row>
    <row r="94" spans="1:26" s="753" customFormat="1">
      <c r="A94" s="756" t="s">
        <v>4579</v>
      </c>
      <c r="B94" s="757"/>
      <c r="C94" s="758"/>
      <c r="D94" s="773" t="s">
        <v>9496</v>
      </c>
      <c r="E94" s="782"/>
      <c r="F94" s="774" t="s">
        <v>7915</v>
      </c>
      <c r="G94" s="981" t="s">
        <v>11079</v>
      </c>
      <c r="H94" s="772" t="str">
        <f>VLOOKUP($D94,transmitter_from_BP!$B:$F,2,0)</f>
        <v>FG SUPPLY</v>
      </c>
      <c r="I94" s="981" t="s">
        <v>11079</v>
      </c>
      <c r="J94" s="772" t="str">
        <f>VLOOKUP($D94,transmitter_from_BP!$B:$F,2,0)</f>
        <v>FG SUPPLY</v>
      </c>
      <c r="K94" s="981" t="s">
        <v>11686</v>
      </c>
      <c r="L94" s="1064" t="str">
        <f>VLOOKUP($D94,transmitter_from_BP!$B:$F,5,0)</f>
        <v>NM3/H</v>
      </c>
      <c r="M94" s="783">
        <v>14</v>
      </c>
      <c r="N94" s="772">
        <v>14</v>
      </c>
      <c r="O94" s="783">
        <v>1</v>
      </c>
      <c r="P94" s="772">
        <v>1</v>
      </c>
      <c r="Q94" s="783">
        <v>3600</v>
      </c>
      <c r="R94" s="772">
        <v>3600</v>
      </c>
      <c r="S94" s="783">
        <v>0</v>
      </c>
      <c r="T94" s="991">
        <f>VLOOKUP($D94,transmitter_from_BP!$B:$F,4,0)</f>
        <v>0</v>
      </c>
      <c r="U94" s="783">
        <v>19997.3</v>
      </c>
      <c r="V94" s="991">
        <f>VLOOKUP($D94,transmitter_from_BP!$B:$F,3,0)</f>
        <v>19997.3</v>
      </c>
      <c r="W94" s="783">
        <v>0</v>
      </c>
      <c r="X94" s="772"/>
      <c r="Y94" s="783">
        <v>10980.666047921301</v>
      </c>
      <c r="Z94" s="772"/>
    </row>
    <row r="95" spans="1:26" s="753" customFormat="1">
      <c r="A95" s="756" t="s">
        <v>4579</v>
      </c>
      <c r="B95" s="757"/>
      <c r="C95" s="758"/>
      <c r="D95" s="773" t="s">
        <v>9505</v>
      </c>
      <c r="E95" s="782"/>
      <c r="F95" s="774" t="s">
        <v>5869</v>
      </c>
      <c r="G95" s="981" t="s">
        <v>11080</v>
      </c>
      <c r="H95" s="772" t="str">
        <f>VLOOKUP($D95,transmitter_from_BP!$B:$F,2,0)</f>
        <v>CDU HEATER HZ2101 FUEL GAS</v>
      </c>
      <c r="I95" s="981" t="s">
        <v>11080</v>
      </c>
      <c r="J95" s="772" t="str">
        <f>VLOOKUP($D95,transmitter_from_BP!$B:$F,2,0)</f>
        <v>CDU HEATER HZ2101 FUEL GAS</v>
      </c>
      <c r="K95" s="981" t="s">
        <v>11687</v>
      </c>
      <c r="L95" s="1064" t="str">
        <f>VLOOKUP($D95,transmitter_from_BP!$B:$F,5,0)</f>
        <v>KNM3/H</v>
      </c>
      <c r="M95" s="783">
        <v>14</v>
      </c>
      <c r="N95" s="772">
        <v>14</v>
      </c>
      <c r="O95" s="783">
        <v>1</v>
      </c>
      <c r="P95" s="772">
        <v>1</v>
      </c>
      <c r="Q95" s="783">
        <v>3.6</v>
      </c>
      <c r="R95" s="772">
        <v>3.6</v>
      </c>
      <c r="S95" s="783">
        <v>0</v>
      </c>
      <c r="T95" s="991">
        <f>VLOOKUP($D95,transmitter_from_BP!$B:$F,4,0)</f>
        <v>0</v>
      </c>
      <c r="U95" s="783">
        <v>14.2</v>
      </c>
      <c r="V95" s="991">
        <f>VLOOKUP($D95,transmitter_from_BP!$B:$F,3,0)</f>
        <v>14.2</v>
      </c>
      <c r="W95" s="783">
        <v>0</v>
      </c>
      <c r="X95" s="772"/>
      <c r="Y95" s="783">
        <v>9.8709348710827793</v>
      </c>
      <c r="Z95" s="772"/>
    </row>
    <row r="96" spans="1:26" s="753" customFormat="1">
      <c r="A96" s="756" t="s">
        <v>4579</v>
      </c>
      <c r="B96" s="757"/>
      <c r="C96" s="758"/>
      <c r="D96" s="773" t="s">
        <v>9480</v>
      </c>
      <c r="E96" s="782"/>
      <c r="F96" s="774" t="s">
        <v>7941</v>
      </c>
      <c r="G96" s="981" t="s">
        <v>11071</v>
      </c>
      <c r="H96" s="772" t="str">
        <f>VLOOKUP($D96,transmitter_from_BP!$B:$F,2,0)</f>
        <v>CDU4 CRUDE O/H OFFGAS TO HZ2201</v>
      </c>
      <c r="I96" s="981" t="s">
        <v>11071</v>
      </c>
      <c r="J96" s="772" t="str">
        <f>VLOOKUP($D96,transmitter_from_BP!$B:$F,2,0)</f>
        <v>CDU4 CRUDE O/H OFFGAS TO HZ2201</v>
      </c>
      <c r="K96" s="981" t="s">
        <v>11686</v>
      </c>
      <c r="L96" s="1064" t="str">
        <f>VLOOKUP($D96,transmitter_from_BP!$B:$F,5,0)</f>
        <v>NM3/H</v>
      </c>
      <c r="M96" s="783">
        <v>14</v>
      </c>
      <c r="N96" s="772">
        <v>14</v>
      </c>
      <c r="O96" s="783">
        <v>1</v>
      </c>
      <c r="P96" s="772">
        <v>1</v>
      </c>
      <c r="Q96" s="783">
        <v>3600</v>
      </c>
      <c r="R96" s="772">
        <v>3600</v>
      </c>
      <c r="S96" s="783">
        <v>0</v>
      </c>
      <c r="T96" s="991">
        <f>VLOOKUP($D96,transmitter_from_BP!$B:$F,4,0)</f>
        <v>0</v>
      </c>
      <c r="U96" s="783">
        <v>2116</v>
      </c>
      <c r="V96" s="991">
        <f>VLOOKUP($D96,transmitter_from_BP!$B:$F,3,0)</f>
        <v>2116</v>
      </c>
      <c r="W96" s="783">
        <v>0</v>
      </c>
      <c r="X96" s="772"/>
      <c r="Y96" s="783">
        <v>951.43784956019397</v>
      </c>
      <c r="Z96" s="772"/>
    </row>
    <row r="97" spans="1:26" s="753" customFormat="1">
      <c r="A97" s="756" t="s">
        <v>4579</v>
      </c>
      <c r="B97" s="757"/>
      <c r="C97" s="758"/>
      <c r="D97" s="773" t="s">
        <v>9510</v>
      </c>
      <c r="E97" s="20"/>
      <c r="F97" s="774" t="s">
        <v>9234</v>
      </c>
      <c r="G97" s="981" t="s">
        <v>11081</v>
      </c>
      <c r="H97" s="772" t="str">
        <f>VLOOKUP($D97,transmitter_from_BP!$B:$F,2,0)</f>
        <v>DHT GAS TO AMINE</v>
      </c>
      <c r="I97" s="981" t="s">
        <v>11081</v>
      </c>
      <c r="J97" s="772" t="str">
        <f>VLOOKUP($D97,transmitter_from_BP!$B:$F,2,0)</f>
        <v>DHT GAS TO AMINE</v>
      </c>
      <c r="K97" s="981" t="s">
        <v>11686</v>
      </c>
      <c r="L97" s="1064" t="str">
        <f>VLOOKUP($D97,transmitter_from_BP!$B:$F,5,0)</f>
        <v>NM3/H</v>
      </c>
      <c r="M97" s="783">
        <v>14</v>
      </c>
      <c r="N97" s="772">
        <v>14</v>
      </c>
      <c r="O97" s="783">
        <v>1</v>
      </c>
      <c r="P97" s="772">
        <v>1</v>
      </c>
      <c r="Q97" s="783">
        <v>3600</v>
      </c>
      <c r="R97" s="772">
        <v>3600</v>
      </c>
      <c r="S97" s="783">
        <v>0</v>
      </c>
      <c r="T97" s="991">
        <f>VLOOKUP($D97,transmitter_from_BP!$B:$F,4,0)</f>
        <v>0</v>
      </c>
      <c r="U97" s="783">
        <v>5686</v>
      </c>
      <c r="V97" s="991">
        <f>VLOOKUP($D97,transmitter_from_BP!$B:$F,3,0)</f>
        <v>5686</v>
      </c>
      <c r="W97" s="783">
        <v>0</v>
      </c>
      <c r="X97" s="772"/>
      <c r="Y97" s="783">
        <v>2441.8285257774501</v>
      </c>
      <c r="Z97" s="772"/>
    </row>
    <row r="98" spans="1:26" s="753" customFormat="1">
      <c r="A98" s="756" t="s">
        <v>4579</v>
      </c>
      <c r="B98" s="757"/>
      <c r="C98" s="758"/>
      <c r="D98" s="773" t="s">
        <v>9512</v>
      </c>
      <c r="E98" s="782"/>
      <c r="F98" s="774" t="s">
        <v>8800</v>
      </c>
      <c r="G98" s="981" t="s">
        <v>11082</v>
      </c>
      <c r="H98" s="772" t="str">
        <f>VLOOKUP($D98,transmitter_from_BP!$B:$F,2,0)</f>
        <v>OFF GAS FROM TZ2851</v>
      </c>
      <c r="I98" s="981" t="s">
        <v>11082</v>
      </c>
      <c r="J98" s="772" t="str">
        <f>VLOOKUP($D98,transmitter_from_BP!$B:$F,2,0)</f>
        <v>OFF GAS FROM TZ2851</v>
      </c>
      <c r="K98" s="981" t="s">
        <v>11686</v>
      </c>
      <c r="L98" s="1064" t="str">
        <f>VLOOKUP($D98,transmitter_from_BP!$B:$F,5,0)</f>
        <v>NM3/H</v>
      </c>
      <c r="M98" s="783">
        <v>14</v>
      </c>
      <c r="N98" s="772">
        <v>14</v>
      </c>
      <c r="O98" s="783">
        <v>1</v>
      </c>
      <c r="P98" s="772">
        <v>1</v>
      </c>
      <c r="Q98" s="783">
        <v>3600</v>
      </c>
      <c r="R98" s="772">
        <v>3600</v>
      </c>
      <c r="S98" s="783">
        <v>0</v>
      </c>
      <c r="T98" s="991">
        <f>VLOOKUP($D98,transmitter_from_BP!$B:$F,4,0)</f>
        <v>0</v>
      </c>
      <c r="U98" s="783">
        <v>9040</v>
      </c>
      <c r="V98" s="991">
        <f>VLOOKUP($D98,transmitter_from_BP!$B:$F,3,0)</f>
        <v>9040</v>
      </c>
      <c r="W98" s="783">
        <v>0</v>
      </c>
      <c r="X98" s="772"/>
      <c r="Y98" s="783">
        <v>5934.3850366607903</v>
      </c>
      <c r="Z98" s="772"/>
    </row>
    <row r="99" spans="1:26" s="753" customFormat="1">
      <c r="A99" s="756" t="s">
        <v>4579</v>
      </c>
      <c r="B99" s="757"/>
      <c r="C99" s="758"/>
      <c r="D99" s="773" t="s">
        <v>8684</v>
      </c>
      <c r="E99" s="782"/>
      <c r="F99" s="774" t="s">
        <v>8685</v>
      </c>
      <c r="G99" s="981" t="s">
        <v>11083</v>
      </c>
      <c r="H99" s="772" t="str">
        <f>VLOOKUP($D99,transmitter_from_BP!$B:$F,2,0)</f>
        <v>TEMPERED WATER</v>
      </c>
      <c r="I99" s="981" t="s">
        <v>11083</v>
      </c>
      <c r="J99" s="772" t="str">
        <f>VLOOKUP($D99,transmitter_from_BP!$B:$F,2,0)</f>
        <v>TEMPERED WATER</v>
      </c>
      <c r="K99" s="981" t="s">
        <v>11673</v>
      </c>
      <c r="L99" s="1064" t="str">
        <f>VLOOKUP($D99,transmitter_from_BP!$B:$F,5,0)</f>
        <v>%</v>
      </c>
      <c r="M99" s="783">
        <v>0</v>
      </c>
      <c r="N99" s="772"/>
      <c r="O99" s="783">
        <v>1</v>
      </c>
      <c r="P99" s="772">
        <v>1</v>
      </c>
      <c r="Q99" s="783">
        <v>1</v>
      </c>
      <c r="R99" s="772">
        <v>1</v>
      </c>
      <c r="S99" s="783">
        <v>5</v>
      </c>
      <c r="T99" s="772"/>
      <c r="U99" s="783">
        <v>95</v>
      </c>
      <c r="V99" s="772"/>
      <c r="W99" s="783">
        <v>1</v>
      </c>
      <c r="X99" s="772">
        <v>1</v>
      </c>
      <c r="Y99" s="783">
        <v>50.615867083005497</v>
      </c>
      <c r="Z99" s="772"/>
    </row>
    <row r="100" spans="1:26" s="753" customFormat="1">
      <c r="A100" s="756" t="s">
        <v>4579</v>
      </c>
      <c r="B100" s="757"/>
      <c r="C100" s="758"/>
      <c r="D100" s="773" t="s">
        <v>9515</v>
      </c>
      <c r="E100" s="782"/>
      <c r="F100" s="774" t="s">
        <v>8734</v>
      </c>
      <c r="G100" s="981" t="s">
        <v>11084</v>
      </c>
      <c r="H100" s="772" t="str">
        <f>VLOOKUP($D100,transmitter_from_BP!$B:$F,2,0)</f>
        <v>CAUSTIC DRUM DZ2113A</v>
      </c>
      <c r="I100" s="981" t="s">
        <v>11084</v>
      </c>
      <c r="J100" s="772" t="str">
        <f>VLOOKUP($D100,transmitter_from_BP!$B:$F,2,0)</f>
        <v>CAUSTIC DRUM DZ2113A</v>
      </c>
      <c r="K100" s="981" t="s">
        <v>11673</v>
      </c>
      <c r="L100" s="1064" t="str">
        <f>VLOOKUP($D100,transmitter_from_BP!$B:$F,5,0)</f>
        <v>%</v>
      </c>
      <c r="M100" s="783">
        <v>0</v>
      </c>
      <c r="N100" s="772"/>
      <c r="O100" s="783">
        <v>1</v>
      </c>
      <c r="P100" s="772">
        <v>1</v>
      </c>
      <c r="Q100" s="783">
        <v>1</v>
      </c>
      <c r="R100" s="772">
        <v>1</v>
      </c>
      <c r="S100" s="783">
        <v>5</v>
      </c>
      <c r="T100" s="772"/>
      <c r="U100" s="783">
        <v>95</v>
      </c>
      <c r="V100" s="772"/>
      <c r="W100" s="783">
        <v>1</v>
      </c>
      <c r="X100" s="772">
        <v>1</v>
      </c>
      <c r="Y100" s="783">
        <v>11.212057794944901</v>
      </c>
      <c r="Z100" s="772"/>
    </row>
    <row r="101" spans="1:26" s="753" customFormat="1">
      <c r="A101" s="756" t="s">
        <v>4579</v>
      </c>
      <c r="B101" s="757"/>
      <c r="C101" s="758"/>
      <c r="D101" s="773" t="s">
        <v>1673</v>
      </c>
      <c r="E101" s="782"/>
      <c r="F101" s="774" t="s">
        <v>8799</v>
      </c>
      <c r="G101" s="981" t="s">
        <v>11085</v>
      </c>
      <c r="H101" s="772" t="str">
        <f>VLOOKUP($D101,transmitter_from_BP!$B:$F,2,0)</f>
        <v>CAUSTIC DRUM DZ2113B</v>
      </c>
      <c r="I101" s="981" t="s">
        <v>11085</v>
      </c>
      <c r="J101" s="772" t="str">
        <f>VLOOKUP($D101,transmitter_from_BP!$B:$F,2,0)</f>
        <v>CAUSTIC DRUM DZ2113B</v>
      </c>
      <c r="K101" s="981" t="s">
        <v>11673</v>
      </c>
      <c r="L101" s="1064" t="str">
        <f>VLOOKUP($D101,transmitter_from_BP!$B:$F,5,0)</f>
        <v>%</v>
      </c>
      <c r="M101" s="783">
        <v>0</v>
      </c>
      <c r="N101" s="772"/>
      <c r="O101" s="783">
        <v>1</v>
      </c>
      <c r="P101" s="772">
        <v>1</v>
      </c>
      <c r="Q101" s="783">
        <v>1</v>
      </c>
      <c r="R101" s="772">
        <v>1</v>
      </c>
      <c r="S101" s="783">
        <v>5</v>
      </c>
      <c r="T101" s="772"/>
      <c r="U101" s="783">
        <v>95</v>
      </c>
      <c r="V101" s="772"/>
      <c r="W101" s="783">
        <v>1</v>
      </c>
      <c r="X101" s="772">
        <v>1</v>
      </c>
      <c r="Y101" s="783">
        <v>11.2120578969256</v>
      </c>
      <c r="Z101" s="772"/>
    </row>
    <row r="102" spans="1:26" s="753" customFormat="1">
      <c r="A102" s="756" t="s">
        <v>4579</v>
      </c>
      <c r="B102" s="757"/>
      <c r="C102" s="758"/>
      <c r="D102" s="773" t="s">
        <v>9516</v>
      </c>
      <c r="E102" s="782"/>
      <c r="F102" s="774" t="s">
        <v>8784</v>
      </c>
      <c r="G102" s="981" t="s">
        <v>11086</v>
      </c>
      <c r="H102" s="772" t="str">
        <f>VLOOKUP($D102,transmitter_from_BP!$B:$F,2,0)</f>
        <v>AMINE GAS ABSORBER</v>
      </c>
      <c r="I102" s="981" t="s">
        <v>11086</v>
      </c>
      <c r="J102" s="772" t="str">
        <f>VLOOKUP($D102,transmitter_from_BP!$B:$F,2,0)</f>
        <v>AMINE GAS ABSORBER</v>
      </c>
      <c r="K102" s="981" t="s">
        <v>11678</v>
      </c>
      <c r="L102" s="1064" t="str">
        <f>VLOOKUP($D102,transmitter_from_BP!$B:$F,5,0)</f>
        <v>PCT</v>
      </c>
      <c r="M102" s="783">
        <v>0</v>
      </c>
      <c r="N102" s="772"/>
      <c r="O102" s="783">
        <v>1</v>
      </c>
      <c r="P102" s="772">
        <v>1</v>
      </c>
      <c r="Q102" s="783">
        <v>1</v>
      </c>
      <c r="R102" s="772">
        <v>1</v>
      </c>
      <c r="S102" s="783">
        <v>2.5</v>
      </c>
      <c r="T102" s="772"/>
      <c r="U102" s="783">
        <v>12.5</v>
      </c>
      <c r="V102" s="772"/>
      <c r="W102" s="783">
        <v>1</v>
      </c>
      <c r="X102" s="772">
        <v>1</v>
      </c>
      <c r="Y102" s="783">
        <v>50.000430733212298</v>
      </c>
      <c r="Z102" s="772"/>
    </row>
    <row r="103" spans="1:26" s="753" customFormat="1">
      <c r="A103" s="756" t="s">
        <v>4579</v>
      </c>
      <c r="B103" s="757"/>
      <c r="C103" s="758"/>
      <c r="D103" s="773" t="s">
        <v>8668</v>
      </c>
      <c r="E103" s="782"/>
      <c r="F103" s="774" t="s">
        <v>8669</v>
      </c>
      <c r="G103" s="981" t="s">
        <v>11087</v>
      </c>
      <c r="H103" s="772" t="str">
        <f>VLOOKUP($D103,transmitter_from_BP!$B:$F,2,0)</f>
        <v>CDU OVHD WTR BOOT DZ2103</v>
      </c>
      <c r="I103" s="981" t="s">
        <v>11087</v>
      </c>
      <c r="J103" s="772" t="str">
        <f>VLOOKUP($D103,transmitter_from_BP!$B:$F,2,0)</f>
        <v>CDU OVHD WTR BOOT DZ2103</v>
      </c>
      <c r="K103" s="981" t="s">
        <v>11673</v>
      </c>
      <c r="L103" s="1064" t="str">
        <f>VLOOKUP($D103,transmitter_from_BP!$B:$F,5,0)</f>
        <v>%</v>
      </c>
      <c r="M103" s="783">
        <v>0</v>
      </c>
      <c r="N103" s="772">
        <v>0</v>
      </c>
      <c r="O103" s="783">
        <v>1</v>
      </c>
      <c r="P103" s="772">
        <v>1</v>
      </c>
      <c r="Q103" s="783">
        <v>1</v>
      </c>
      <c r="R103" s="772">
        <v>1</v>
      </c>
      <c r="S103" s="783">
        <v>16.100000000000001</v>
      </c>
      <c r="T103" s="772"/>
      <c r="U103" s="783">
        <v>63.8</v>
      </c>
      <c r="V103" s="772"/>
      <c r="W103" s="783">
        <v>1</v>
      </c>
      <c r="X103" s="772">
        <v>1</v>
      </c>
      <c r="Y103" s="783">
        <v>49.987301625630799</v>
      </c>
      <c r="Z103" s="772"/>
    </row>
    <row r="104" spans="1:26" s="753" customFormat="1">
      <c r="A104" s="756" t="s">
        <v>4579</v>
      </c>
      <c r="B104" s="757"/>
      <c r="C104" s="758"/>
      <c r="D104" s="773" t="s">
        <v>8664</v>
      </c>
      <c r="E104" s="782"/>
      <c r="F104" s="774" t="s">
        <v>8665</v>
      </c>
      <c r="G104" s="981" t="s">
        <v>11088</v>
      </c>
      <c r="H104" s="772" t="str">
        <f>VLOOKUP($D104,transmitter_from_BP!$B:$F,2,0)</f>
        <v>WATERINJECTIE DRUM DZ2104</v>
      </c>
      <c r="I104" s="981" t="s">
        <v>11088</v>
      </c>
      <c r="J104" s="772" t="str">
        <f>VLOOKUP($D104,transmitter_from_BP!$B:$F,2,0)</f>
        <v>WATERINJECTIE DRUM DZ2104</v>
      </c>
      <c r="K104" s="981" t="s">
        <v>11673</v>
      </c>
      <c r="L104" s="1064" t="str">
        <f>VLOOKUP($D104,transmitter_from_BP!$B:$F,5,0)</f>
        <v>%</v>
      </c>
      <c r="M104" s="783">
        <v>0</v>
      </c>
      <c r="N104" s="772">
        <v>0</v>
      </c>
      <c r="O104" s="783">
        <v>1</v>
      </c>
      <c r="P104" s="772">
        <v>1</v>
      </c>
      <c r="Q104" s="783">
        <v>1</v>
      </c>
      <c r="R104" s="772">
        <v>1</v>
      </c>
      <c r="S104" s="783">
        <v>14.3</v>
      </c>
      <c r="T104" s="772"/>
      <c r="U104" s="783">
        <v>85.7</v>
      </c>
      <c r="V104" s="772"/>
      <c r="W104" s="783">
        <v>1</v>
      </c>
      <c r="X104" s="772">
        <v>1</v>
      </c>
      <c r="Y104" s="783">
        <v>49.985660812040003</v>
      </c>
      <c r="Z104" s="772"/>
    </row>
    <row r="105" spans="1:26" s="753" customFormat="1">
      <c r="A105" s="756" t="s">
        <v>4579</v>
      </c>
      <c r="B105" s="757"/>
      <c r="C105" s="758"/>
      <c r="D105" s="773" t="s">
        <v>8666</v>
      </c>
      <c r="E105" s="782"/>
      <c r="F105" s="774" t="s">
        <v>8667</v>
      </c>
      <c r="G105" s="981" t="s">
        <v>11089</v>
      </c>
      <c r="H105" s="772" t="str">
        <f>VLOOKUP($D105,transmitter_from_BP!$B:$F,2,0)</f>
        <v>CDU OVERHEAD DRUM</v>
      </c>
      <c r="I105" s="981" t="s">
        <v>11089</v>
      </c>
      <c r="J105" s="772" t="str">
        <f>VLOOKUP($D105,transmitter_from_BP!$B:$F,2,0)</f>
        <v>CDU OVERHEAD DRUM</v>
      </c>
      <c r="K105" s="981" t="s">
        <v>11678</v>
      </c>
      <c r="L105" s="772" t="str">
        <f>VLOOKUP($D105,transmitter_from_BP!$B:$F,5,0)</f>
        <v>PCT</v>
      </c>
      <c r="M105" s="783">
        <v>0</v>
      </c>
      <c r="N105" s="772">
        <v>0</v>
      </c>
      <c r="O105" s="783">
        <v>1</v>
      </c>
      <c r="P105" s="772">
        <v>1</v>
      </c>
      <c r="Q105" s="783">
        <v>1</v>
      </c>
      <c r="R105" s="772">
        <v>1</v>
      </c>
      <c r="S105" s="783">
        <v>36.299999999999997</v>
      </c>
      <c r="T105" s="772"/>
      <c r="U105" s="783">
        <v>58.9</v>
      </c>
      <c r="V105" s="772"/>
      <c r="W105" s="783">
        <v>1</v>
      </c>
      <c r="X105" s="772">
        <v>1</v>
      </c>
      <c r="Y105" s="783">
        <v>55.628966045887097</v>
      </c>
      <c r="Z105" s="772"/>
    </row>
    <row r="106" spans="1:26" s="753" customFormat="1">
      <c r="A106" s="756" t="s">
        <v>4579</v>
      </c>
      <c r="B106" s="757"/>
      <c r="C106" s="758"/>
      <c r="D106" s="773" t="s">
        <v>9526</v>
      </c>
      <c r="E106" s="782"/>
      <c r="F106" s="774" t="s">
        <v>9210</v>
      </c>
      <c r="G106" s="981" t="s">
        <v>11090</v>
      </c>
      <c r="H106" s="772" t="str">
        <f>VLOOKUP($D106,transmitter_from_BP!$B:$F,2,0)</f>
        <v>WAST HEAT BOILER EZ2128</v>
      </c>
      <c r="I106" s="981" t="s">
        <v>11090</v>
      </c>
      <c r="J106" s="772" t="str">
        <f>VLOOKUP($D106,transmitter_from_BP!$B:$F,2,0)</f>
        <v>WAST HEAT BOILER EZ2128</v>
      </c>
      <c r="K106" s="981" t="s">
        <v>11678</v>
      </c>
      <c r="L106" s="1064" t="str">
        <f>VLOOKUP($D106,transmitter_from_BP!$B:$F,5,0)</f>
        <v>PCT</v>
      </c>
      <c r="M106" s="783">
        <v>0</v>
      </c>
      <c r="N106" s="772"/>
      <c r="O106" s="783">
        <v>1</v>
      </c>
      <c r="P106" s="772">
        <v>1</v>
      </c>
      <c r="Q106" s="783">
        <v>1</v>
      </c>
      <c r="R106" s="772">
        <v>1</v>
      </c>
      <c r="S106" s="783">
        <v>1</v>
      </c>
      <c r="T106" s="772"/>
      <c r="U106" s="783">
        <v>99</v>
      </c>
      <c r="V106" s="772"/>
      <c r="W106" s="783">
        <v>1</v>
      </c>
      <c r="X106" s="772">
        <v>1</v>
      </c>
      <c r="Y106" s="783">
        <v>71.995174070525593</v>
      </c>
      <c r="Z106" s="772"/>
    </row>
    <row r="107" spans="1:26" s="753" customFormat="1">
      <c r="A107" s="756" t="s">
        <v>4579</v>
      </c>
      <c r="B107" s="757"/>
      <c r="C107" s="758"/>
      <c r="D107" s="773" t="s">
        <v>2835</v>
      </c>
      <c r="E107" s="782"/>
      <c r="F107" s="774" t="s">
        <v>6368</v>
      </c>
      <c r="G107" s="981" t="s">
        <v>11091</v>
      </c>
      <c r="H107" s="772" t="str">
        <f>VLOOKUP($D107,transmitter_from_BP!$B:$F,2,0)</f>
        <v>DHT HP WATER BOOT DZ2154</v>
      </c>
      <c r="I107" s="981" t="s">
        <v>11091</v>
      </c>
      <c r="J107" s="772" t="str">
        <f>VLOOKUP($D107,transmitter_from_BP!$B:$F,2,0)</f>
        <v>DHT HP WATER BOOT DZ2154</v>
      </c>
      <c r="K107" s="981" t="s">
        <v>11678</v>
      </c>
      <c r="L107" s="1064" t="str">
        <f>VLOOKUP($D107,transmitter_from_BP!$B:$F,5,0)</f>
        <v>PCT</v>
      </c>
      <c r="M107" s="783">
        <v>0</v>
      </c>
      <c r="N107" s="772">
        <v>0</v>
      </c>
      <c r="O107" s="783">
        <v>1</v>
      </c>
      <c r="P107" s="772">
        <v>1</v>
      </c>
      <c r="Q107" s="783">
        <v>1</v>
      </c>
      <c r="R107" s="772">
        <v>1</v>
      </c>
      <c r="S107" s="783">
        <v>0</v>
      </c>
      <c r="T107" s="772"/>
      <c r="U107" s="783">
        <v>3</v>
      </c>
      <c r="V107" s="772"/>
      <c r="W107" s="783">
        <v>1</v>
      </c>
      <c r="X107" s="772">
        <v>1</v>
      </c>
      <c r="Y107" s="783">
        <v>53.314303819128902</v>
      </c>
      <c r="Z107" s="772"/>
    </row>
    <row r="108" spans="1:26" s="753" customFormat="1">
      <c r="A108" s="756" t="s">
        <v>4579</v>
      </c>
      <c r="B108" s="757"/>
      <c r="C108" s="758"/>
      <c r="D108" s="773" t="s">
        <v>9531</v>
      </c>
      <c r="E108" s="782"/>
      <c r="F108" s="774" t="s">
        <v>6369</v>
      </c>
      <c r="G108" s="981" t="s">
        <v>11092</v>
      </c>
      <c r="H108" s="772" t="str">
        <f>VLOOKUP($D108,transmitter_from_BP!$B:$F,2,0)</f>
        <v>DHT HP WATER BOOT (LT)</v>
      </c>
      <c r="I108" s="981" t="s">
        <v>11092</v>
      </c>
      <c r="J108" s="772" t="str">
        <f>VLOOKUP($D108,transmitter_from_BP!$B:$F,2,0)</f>
        <v>DHT HP WATER BOOT (LT)</v>
      </c>
      <c r="K108" s="981" t="s">
        <v>11678</v>
      </c>
      <c r="L108" s="1064" t="str">
        <f>VLOOKUP($D108,transmitter_from_BP!$B:$F,5,0)</f>
        <v>PCT</v>
      </c>
      <c r="M108" s="783">
        <v>0</v>
      </c>
      <c r="N108" s="772">
        <v>0</v>
      </c>
      <c r="O108" s="783">
        <v>1</v>
      </c>
      <c r="P108" s="772">
        <v>1</v>
      </c>
      <c r="Q108" s="783">
        <v>1</v>
      </c>
      <c r="R108" s="772">
        <v>1</v>
      </c>
      <c r="S108" s="783">
        <v>0</v>
      </c>
      <c r="T108" s="772"/>
      <c r="U108" s="783">
        <v>3.2</v>
      </c>
      <c r="V108" s="772"/>
      <c r="W108" s="783">
        <v>1</v>
      </c>
      <c r="X108" s="772">
        <v>1</v>
      </c>
      <c r="Y108" s="783">
        <v>49.982159830433403</v>
      </c>
      <c r="Z108" s="772"/>
    </row>
    <row r="109" spans="1:26" s="753" customFormat="1">
      <c r="A109" s="756" t="s">
        <v>4579</v>
      </c>
      <c r="B109" s="757"/>
      <c r="C109" s="758"/>
      <c r="D109" s="773" t="s">
        <v>9533</v>
      </c>
      <c r="E109" s="782"/>
      <c r="F109" s="774" t="s">
        <v>8619</v>
      </c>
      <c r="G109" s="981" t="s">
        <v>11093</v>
      </c>
      <c r="H109" s="772" t="str">
        <f>VLOOKUP($D109,transmitter_from_BP!$B:$F,2,0)</f>
        <v>CDU TOWER BOTTOM TZ2101</v>
      </c>
      <c r="I109" s="981" t="s">
        <v>11093</v>
      </c>
      <c r="J109" s="772" t="str">
        <f>VLOOKUP($D109,transmitter_from_BP!$B:$F,2,0)</f>
        <v>CDU TOWER BOTTOM TZ2101</v>
      </c>
      <c r="K109" s="981" t="s">
        <v>11673</v>
      </c>
      <c r="L109" s="1064" t="str">
        <f>VLOOKUP($D109,transmitter_from_BP!$B:$F,5,0)</f>
        <v>%</v>
      </c>
      <c r="M109" s="783">
        <v>0</v>
      </c>
      <c r="N109" s="772">
        <v>0</v>
      </c>
      <c r="O109" s="783">
        <v>1</v>
      </c>
      <c r="P109" s="772">
        <v>1</v>
      </c>
      <c r="Q109" s="783">
        <v>1</v>
      </c>
      <c r="R109" s="772">
        <v>1</v>
      </c>
      <c r="S109" s="783">
        <v>1.03377181519877</v>
      </c>
      <c r="T109" s="772"/>
      <c r="U109" s="783">
        <v>4.1002410198333203</v>
      </c>
      <c r="V109" s="772"/>
      <c r="W109" s="783">
        <v>1</v>
      </c>
      <c r="X109" s="772">
        <v>1</v>
      </c>
      <c r="Y109" s="783">
        <v>50.016988966046</v>
      </c>
      <c r="Z109" s="772"/>
    </row>
    <row r="110" spans="1:26" s="753" customFormat="1">
      <c r="A110" s="756" t="s">
        <v>4579</v>
      </c>
      <c r="B110" s="757"/>
      <c r="C110" s="758"/>
      <c r="D110" s="773" t="s">
        <v>2470</v>
      </c>
      <c r="E110" s="782"/>
      <c r="F110" s="774" t="s">
        <v>8633</v>
      </c>
      <c r="G110" s="981" t="s">
        <v>11094</v>
      </c>
      <c r="H110" s="772" t="str">
        <f>VLOOKUP($D110,transmitter_from_BP!$B:$F,2,0)</f>
        <v>CDU TOWER BOTTOM</v>
      </c>
      <c r="I110" s="981" t="s">
        <v>11094</v>
      </c>
      <c r="J110" s="772" t="str">
        <f>VLOOKUP($D110,transmitter_from_BP!$B:$F,2,0)</f>
        <v>CDU TOWER BOTTOM</v>
      </c>
      <c r="K110" s="981" t="s">
        <v>11678</v>
      </c>
      <c r="L110" s="1064" t="str">
        <f>VLOOKUP($D110,transmitter_from_BP!$B:$F,5,0)</f>
        <v>PCT</v>
      </c>
      <c r="M110" s="783">
        <v>0</v>
      </c>
      <c r="N110" s="772"/>
      <c r="O110" s="783">
        <v>1</v>
      </c>
      <c r="P110" s="772">
        <v>1</v>
      </c>
      <c r="Q110" s="783">
        <v>1</v>
      </c>
      <c r="R110" s="772">
        <v>1</v>
      </c>
      <c r="S110" s="783">
        <v>1.03377181519877</v>
      </c>
      <c r="T110" s="772"/>
      <c r="U110" s="783">
        <v>4.1002410198333203</v>
      </c>
      <c r="V110" s="772"/>
      <c r="W110" s="783">
        <v>1</v>
      </c>
      <c r="X110" s="772">
        <v>1</v>
      </c>
      <c r="Y110" s="783">
        <v>50.016988966046</v>
      </c>
      <c r="Z110" s="772"/>
    </row>
    <row r="111" spans="1:26" s="753" customFormat="1">
      <c r="A111" s="756" t="s">
        <v>4579</v>
      </c>
      <c r="B111" s="757"/>
      <c r="C111" s="758"/>
      <c r="D111" s="773" t="s">
        <v>2473</v>
      </c>
      <c r="E111" s="782"/>
      <c r="F111" s="774" t="s">
        <v>8634</v>
      </c>
      <c r="G111" s="981" t="s">
        <v>11094</v>
      </c>
      <c r="H111" s="772" t="str">
        <f>VLOOKUP($D111,transmitter_from_BP!$B:$F,2,0)</f>
        <v>CDU TOWER BOTTOM</v>
      </c>
      <c r="I111" s="981" t="s">
        <v>11094</v>
      </c>
      <c r="J111" s="772" t="str">
        <f>VLOOKUP($D111,transmitter_from_BP!$B:$F,2,0)</f>
        <v>CDU TOWER BOTTOM</v>
      </c>
      <c r="K111" s="981" t="s">
        <v>11678</v>
      </c>
      <c r="L111" s="1064" t="str">
        <f>VLOOKUP($D111,transmitter_from_BP!$B:$F,5,0)</f>
        <v>PCT</v>
      </c>
      <c r="M111" s="783">
        <v>0</v>
      </c>
      <c r="N111" s="772"/>
      <c r="O111" s="783">
        <v>1</v>
      </c>
      <c r="P111" s="772">
        <v>1</v>
      </c>
      <c r="Q111" s="783">
        <v>1</v>
      </c>
      <c r="R111" s="772">
        <v>1</v>
      </c>
      <c r="S111" s="783">
        <v>1.03377181519877</v>
      </c>
      <c r="T111" s="772"/>
      <c r="U111" s="783">
        <v>4.1002410198333203</v>
      </c>
      <c r="V111" s="772"/>
      <c r="W111" s="783">
        <v>1</v>
      </c>
      <c r="X111" s="772">
        <v>1</v>
      </c>
      <c r="Y111" s="783">
        <v>50.016988966046</v>
      </c>
      <c r="Z111" s="772"/>
    </row>
    <row r="112" spans="1:26" s="753" customFormat="1">
      <c r="A112" s="756" t="s">
        <v>4579</v>
      </c>
      <c r="B112" s="757"/>
      <c r="C112" s="758"/>
      <c r="D112" s="773" t="s">
        <v>2475</v>
      </c>
      <c r="E112" s="782"/>
      <c r="F112" s="774" t="s">
        <v>8635</v>
      </c>
      <c r="G112" s="981" t="s">
        <v>11094</v>
      </c>
      <c r="H112" s="772" t="str">
        <f>VLOOKUP($D112,transmitter_from_BP!$B:$F,2,0)</f>
        <v>CDU TOWER BOTTOM</v>
      </c>
      <c r="I112" s="981" t="s">
        <v>11094</v>
      </c>
      <c r="J112" s="772" t="str">
        <f>VLOOKUP($D112,transmitter_from_BP!$B:$F,2,0)</f>
        <v>CDU TOWER BOTTOM</v>
      </c>
      <c r="K112" s="981" t="s">
        <v>11678</v>
      </c>
      <c r="L112" s="1064" t="str">
        <f>VLOOKUP($D112,transmitter_from_BP!$B:$F,5,0)</f>
        <v>PCT</v>
      </c>
      <c r="M112" s="783">
        <v>0</v>
      </c>
      <c r="N112" s="772"/>
      <c r="O112" s="783">
        <v>1</v>
      </c>
      <c r="P112" s="772">
        <v>1</v>
      </c>
      <c r="Q112" s="783">
        <v>1</v>
      </c>
      <c r="R112" s="772">
        <v>1</v>
      </c>
      <c r="S112" s="783">
        <v>1.03377181519877</v>
      </c>
      <c r="T112" s="772"/>
      <c r="U112" s="783">
        <v>4.1002410198333203</v>
      </c>
      <c r="V112" s="772"/>
      <c r="W112" s="783">
        <v>1</v>
      </c>
      <c r="X112" s="772">
        <v>1</v>
      </c>
      <c r="Y112" s="783">
        <v>50.016988966046</v>
      </c>
      <c r="Z112" s="772"/>
    </row>
    <row r="113" spans="1:26" s="753" customFormat="1">
      <c r="A113" s="756" t="s">
        <v>4579</v>
      </c>
      <c r="B113" s="757"/>
      <c r="C113" s="758"/>
      <c r="D113" s="773" t="s">
        <v>9534</v>
      </c>
      <c r="E113" s="782"/>
      <c r="F113" s="774" t="s">
        <v>8636</v>
      </c>
      <c r="G113" s="981" t="s">
        <v>11095</v>
      </c>
      <c r="H113" s="772" t="str">
        <f>VLOOKUP($D113,transmitter_from_BP!$B:$F,2,0)</f>
        <v>LGO DRIER TZ2104</v>
      </c>
      <c r="I113" s="981" t="s">
        <v>11095</v>
      </c>
      <c r="J113" s="772" t="str">
        <f>VLOOKUP($D113,transmitter_from_BP!$B:$F,2,0)</f>
        <v>LGO DRIER TZ2104</v>
      </c>
      <c r="K113" s="981" t="s">
        <v>11678</v>
      </c>
      <c r="L113" s="1064" t="str">
        <f>VLOOKUP($D113,transmitter_from_BP!$B:$F,5,0)</f>
        <v>PCT</v>
      </c>
      <c r="M113" s="783">
        <v>0</v>
      </c>
      <c r="N113" s="772"/>
      <c r="O113" s="783">
        <v>1</v>
      </c>
      <c r="P113" s="772">
        <v>1</v>
      </c>
      <c r="Q113" s="783">
        <v>1</v>
      </c>
      <c r="R113" s="772">
        <v>1</v>
      </c>
      <c r="S113" s="783">
        <v>1</v>
      </c>
      <c r="T113" s="772"/>
      <c r="U113" s="783">
        <v>36</v>
      </c>
      <c r="V113" s="772"/>
      <c r="W113" s="783">
        <v>1</v>
      </c>
      <c r="X113" s="772">
        <v>1</v>
      </c>
      <c r="Y113" s="783">
        <v>50.000865279287403</v>
      </c>
      <c r="Z113" s="772"/>
    </row>
    <row r="114" spans="1:26" s="753" customFormat="1">
      <c r="A114" s="756" t="s">
        <v>4579</v>
      </c>
      <c r="B114" s="757"/>
      <c r="C114" s="758"/>
      <c r="D114" s="773" t="s">
        <v>9535</v>
      </c>
      <c r="E114" s="782"/>
      <c r="F114" s="774" t="s">
        <v>8637</v>
      </c>
      <c r="G114" s="981" t="s">
        <v>11095</v>
      </c>
      <c r="H114" s="772" t="str">
        <f>VLOOKUP($D114,transmitter_from_BP!$B:$F,2,0)</f>
        <v>LGO DRIER TZ2104</v>
      </c>
      <c r="I114" s="981" t="s">
        <v>11095</v>
      </c>
      <c r="J114" s="772" t="str">
        <f>VLOOKUP($D114,transmitter_from_BP!$B:$F,2,0)</f>
        <v>LGO DRIER TZ2104</v>
      </c>
      <c r="K114" s="981" t="s">
        <v>11678</v>
      </c>
      <c r="L114" s="1064" t="str">
        <f>VLOOKUP($D114,transmitter_from_BP!$B:$F,5,0)</f>
        <v>PCT</v>
      </c>
      <c r="M114" s="783">
        <v>0</v>
      </c>
      <c r="N114" s="772"/>
      <c r="O114" s="783">
        <v>1</v>
      </c>
      <c r="P114" s="772">
        <v>1</v>
      </c>
      <c r="Q114" s="783">
        <v>1</v>
      </c>
      <c r="R114" s="772">
        <v>1</v>
      </c>
      <c r="S114" s="783">
        <v>1</v>
      </c>
      <c r="T114" s="772"/>
      <c r="U114" s="783">
        <v>36</v>
      </c>
      <c r="V114" s="772"/>
      <c r="W114" s="783">
        <v>1</v>
      </c>
      <c r="X114" s="772">
        <v>1</v>
      </c>
      <c r="Y114" s="783">
        <v>50.000865279287403</v>
      </c>
      <c r="Z114" s="772"/>
    </row>
    <row r="115" spans="1:26" s="753" customFormat="1">
      <c r="A115" s="756" t="s">
        <v>4579</v>
      </c>
      <c r="B115" s="757"/>
      <c r="C115" s="758"/>
      <c r="D115" s="773" t="s">
        <v>2237</v>
      </c>
      <c r="E115" s="782"/>
      <c r="F115" s="774" t="s">
        <v>8638</v>
      </c>
      <c r="G115" s="981" t="s">
        <v>11095</v>
      </c>
      <c r="H115" s="772" t="str">
        <f>VLOOKUP($D115,transmitter_from_BP!$B:$F,2,0)</f>
        <v>LGO DRIER TZ2104</v>
      </c>
      <c r="I115" s="981" t="s">
        <v>11095</v>
      </c>
      <c r="J115" s="772" t="str">
        <f>VLOOKUP($D115,transmitter_from_BP!$B:$F,2,0)</f>
        <v>LGO DRIER TZ2104</v>
      </c>
      <c r="K115" s="981" t="s">
        <v>11678</v>
      </c>
      <c r="L115" s="1064" t="str">
        <f>VLOOKUP($D115,transmitter_from_BP!$B:$F,5,0)</f>
        <v>PCT</v>
      </c>
      <c r="M115" s="783">
        <v>0</v>
      </c>
      <c r="N115" s="772"/>
      <c r="O115" s="783">
        <v>1</v>
      </c>
      <c r="P115" s="772">
        <v>1</v>
      </c>
      <c r="Q115" s="783">
        <v>1</v>
      </c>
      <c r="R115" s="772">
        <v>1</v>
      </c>
      <c r="S115" s="783">
        <v>1</v>
      </c>
      <c r="T115" s="772"/>
      <c r="U115" s="783">
        <v>36</v>
      </c>
      <c r="V115" s="772"/>
      <c r="W115" s="783">
        <v>1</v>
      </c>
      <c r="X115" s="772">
        <v>1</v>
      </c>
      <c r="Y115" s="783">
        <v>50.000865279287403</v>
      </c>
      <c r="Z115" s="772"/>
    </row>
    <row r="116" spans="1:26" s="753" customFormat="1">
      <c r="A116" s="756" t="s">
        <v>4579</v>
      </c>
      <c r="B116" s="757"/>
      <c r="C116" s="758"/>
      <c r="D116" s="773" t="s">
        <v>9536</v>
      </c>
      <c r="E116" s="782"/>
      <c r="F116" s="774" t="s">
        <v>9198</v>
      </c>
      <c r="G116" s="981" t="s">
        <v>11096</v>
      </c>
      <c r="H116" s="772" t="str">
        <f>VLOOKUP($D116,transmitter_from_BP!$B:$F,2,0)</f>
        <v>LGO STRIPPER TZ2102</v>
      </c>
      <c r="I116" s="981" t="s">
        <v>11096</v>
      </c>
      <c r="J116" s="772" t="str">
        <f>VLOOKUP($D116,transmitter_from_BP!$B:$F,2,0)</f>
        <v>LGO STRIPPER TZ2102</v>
      </c>
      <c r="K116" s="981" t="s">
        <v>11678</v>
      </c>
      <c r="L116" s="1064" t="str">
        <f>VLOOKUP($D116,transmitter_from_BP!$B:$F,5,0)</f>
        <v>PCT</v>
      </c>
      <c r="M116" s="783">
        <v>0</v>
      </c>
      <c r="N116" s="772"/>
      <c r="O116" s="783">
        <v>1</v>
      </c>
      <c r="P116" s="772">
        <v>1</v>
      </c>
      <c r="Q116" s="783">
        <v>1</v>
      </c>
      <c r="R116" s="772">
        <v>1</v>
      </c>
      <c r="S116" s="783">
        <v>1</v>
      </c>
      <c r="T116" s="772"/>
      <c r="U116" s="783">
        <v>36</v>
      </c>
      <c r="V116" s="772"/>
      <c r="W116" s="783">
        <v>1</v>
      </c>
      <c r="X116" s="772">
        <v>1</v>
      </c>
      <c r="Y116" s="783">
        <v>49.999488250037302</v>
      </c>
      <c r="Z116" s="772"/>
    </row>
    <row r="117" spans="1:26" s="753" customFormat="1">
      <c r="A117" s="756" t="s">
        <v>4579</v>
      </c>
      <c r="B117" s="757"/>
      <c r="C117" s="758"/>
      <c r="D117" s="773" t="s">
        <v>9537</v>
      </c>
      <c r="E117" s="782"/>
      <c r="F117" s="774" t="s">
        <v>8639</v>
      </c>
      <c r="G117" s="981" t="s">
        <v>11096</v>
      </c>
      <c r="H117" s="772" t="str">
        <f>VLOOKUP($D117,transmitter_from_BP!$B:$F,2,0)</f>
        <v>LGO STRIPPER TZ2102</v>
      </c>
      <c r="I117" s="981" t="s">
        <v>11096</v>
      </c>
      <c r="J117" s="772" t="str">
        <f>VLOOKUP($D117,transmitter_from_BP!$B:$F,2,0)</f>
        <v>LGO STRIPPER TZ2102</v>
      </c>
      <c r="K117" s="981" t="s">
        <v>11678</v>
      </c>
      <c r="L117" s="1064" t="str">
        <f>VLOOKUP($D117,transmitter_from_BP!$B:$F,5,0)</f>
        <v>PCT</v>
      </c>
      <c r="M117" s="783">
        <v>0</v>
      </c>
      <c r="N117" s="772"/>
      <c r="O117" s="783">
        <v>1</v>
      </c>
      <c r="P117" s="772">
        <v>1</v>
      </c>
      <c r="Q117" s="783">
        <v>1</v>
      </c>
      <c r="R117" s="772">
        <v>1</v>
      </c>
      <c r="S117" s="783">
        <v>1</v>
      </c>
      <c r="T117" s="772"/>
      <c r="U117" s="783">
        <v>36</v>
      </c>
      <c r="V117" s="772"/>
      <c r="W117" s="783">
        <v>1</v>
      </c>
      <c r="X117" s="772">
        <v>1</v>
      </c>
      <c r="Y117" s="783">
        <v>49.999488250037302</v>
      </c>
      <c r="Z117" s="772"/>
    </row>
    <row r="118" spans="1:26" s="753" customFormat="1">
      <c r="A118" s="756" t="s">
        <v>4579</v>
      </c>
      <c r="B118" s="757"/>
      <c r="C118" s="758"/>
      <c r="D118" s="773" t="s">
        <v>9538</v>
      </c>
      <c r="E118" s="782"/>
      <c r="F118" s="774" t="s">
        <v>8640</v>
      </c>
      <c r="G118" s="981" t="s">
        <v>11097</v>
      </c>
      <c r="H118" s="772" t="str">
        <f>VLOOKUP($D118,transmitter_from_BP!$B:$F,2,0)</f>
        <v>HGO DRIER TZ2105</v>
      </c>
      <c r="I118" s="981" t="s">
        <v>11097</v>
      </c>
      <c r="J118" s="772" t="str">
        <f>VLOOKUP($D118,transmitter_from_BP!$B:$F,2,0)</f>
        <v>HGO DRIER TZ2105</v>
      </c>
      <c r="K118" s="981" t="s">
        <v>11678</v>
      </c>
      <c r="L118" s="1064" t="str">
        <f>VLOOKUP($D118,transmitter_from_BP!$B:$F,5,0)</f>
        <v>PCT</v>
      </c>
      <c r="M118" s="783">
        <v>0</v>
      </c>
      <c r="N118" s="772"/>
      <c r="O118" s="783">
        <v>1</v>
      </c>
      <c r="P118" s="772">
        <v>1</v>
      </c>
      <c r="Q118" s="783">
        <v>1</v>
      </c>
      <c r="R118" s="772">
        <v>1</v>
      </c>
      <c r="S118" s="783">
        <v>1</v>
      </c>
      <c r="T118" s="772"/>
      <c r="U118" s="783">
        <v>36</v>
      </c>
      <c r="V118" s="772"/>
      <c r="W118" s="783">
        <v>1</v>
      </c>
      <c r="X118" s="772">
        <v>1</v>
      </c>
      <c r="Y118" s="783">
        <v>50.001118818545201</v>
      </c>
      <c r="Z118" s="772"/>
    </row>
    <row r="119" spans="1:26" s="753" customFormat="1">
      <c r="A119" s="756" t="s">
        <v>4579</v>
      </c>
      <c r="B119" s="757"/>
      <c r="C119" s="758"/>
      <c r="D119" s="773" t="s">
        <v>9539</v>
      </c>
      <c r="E119" s="782"/>
      <c r="F119" s="774" t="s">
        <v>8641</v>
      </c>
      <c r="G119" s="981" t="s">
        <v>11097</v>
      </c>
      <c r="H119" s="772" t="str">
        <f>VLOOKUP($D119,transmitter_from_BP!$B:$F,2,0)</f>
        <v>HGO DRIER TZ2105</v>
      </c>
      <c r="I119" s="981" t="s">
        <v>11097</v>
      </c>
      <c r="J119" s="772" t="str">
        <f>VLOOKUP($D119,transmitter_from_BP!$B:$F,2,0)</f>
        <v>HGO DRIER TZ2105</v>
      </c>
      <c r="K119" s="981" t="s">
        <v>11678</v>
      </c>
      <c r="L119" s="1064" t="str">
        <f>VLOOKUP($D119,transmitter_from_BP!$B:$F,5,0)</f>
        <v>PCT</v>
      </c>
      <c r="M119" s="783">
        <v>0</v>
      </c>
      <c r="N119" s="772"/>
      <c r="O119" s="783">
        <v>1</v>
      </c>
      <c r="P119" s="772">
        <v>1</v>
      </c>
      <c r="Q119" s="783">
        <v>1</v>
      </c>
      <c r="R119" s="772">
        <v>1</v>
      </c>
      <c r="S119" s="783">
        <v>1</v>
      </c>
      <c r="T119" s="772"/>
      <c r="U119" s="783">
        <v>36</v>
      </c>
      <c r="V119" s="772"/>
      <c r="W119" s="783">
        <v>1</v>
      </c>
      <c r="X119" s="772">
        <v>1</v>
      </c>
      <c r="Y119" s="783">
        <v>50.001118818545201</v>
      </c>
      <c r="Z119" s="772"/>
    </row>
    <row r="120" spans="1:26" s="753" customFormat="1">
      <c r="A120" s="756" t="s">
        <v>4579</v>
      </c>
      <c r="B120" s="757"/>
      <c r="C120" s="758"/>
      <c r="D120" s="773" t="s">
        <v>1610</v>
      </c>
      <c r="E120" s="782"/>
      <c r="F120" s="774" t="s">
        <v>8642</v>
      </c>
      <c r="G120" s="981" t="s">
        <v>11097</v>
      </c>
      <c r="H120" s="772" t="str">
        <f>VLOOKUP($D120,transmitter_from_BP!$B:$F,2,0)</f>
        <v>HGO DRIER TZ2105</v>
      </c>
      <c r="I120" s="981" t="s">
        <v>11097</v>
      </c>
      <c r="J120" s="772" t="str">
        <f>VLOOKUP($D120,transmitter_from_BP!$B:$F,2,0)</f>
        <v>HGO DRIER TZ2105</v>
      </c>
      <c r="K120" s="981" t="s">
        <v>11678</v>
      </c>
      <c r="L120" s="1064" t="str">
        <f>VLOOKUP($D120,transmitter_from_BP!$B:$F,5,0)</f>
        <v>PCT</v>
      </c>
      <c r="M120" s="783">
        <v>0</v>
      </c>
      <c r="N120" s="772"/>
      <c r="O120" s="783">
        <v>1</v>
      </c>
      <c r="P120" s="772">
        <v>1</v>
      </c>
      <c r="Q120" s="783">
        <v>1</v>
      </c>
      <c r="R120" s="772">
        <v>1</v>
      </c>
      <c r="S120" s="783">
        <v>1</v>
      </c>
      <c r="T120" s="772"/>
      <c r="U120" s="783">
        <v>36</v>
      </c>
      <c r="V120" s="772"/>
      <c r="W120" s="783">
        <v>1</v>
      </c>
      <c r="X120" s="772">
        <v>1</v>
      </c>
      <c r="Y120" s="783">
        <v>50.001118818545201</v>
      </c>
      <c r="Z120" s="772"/>
    </row>
    <row r="121" spans="1:26" s="753" customFormat="1">
      <c r="A121" s="756" t="s">
        <v>4579</v>
      </c>
      <c r="B121" s="757"/>
      <c r="C121" s="758"/>
      <c r="D121" s="773" t="s">
        <v>9540</v>
      </c>
      <c r="E121" s="782"/>
      <c r="F121" s="774" t="s">
        <v>8643</v>
      </c>
      <c r="G121" s="981" t="s">
        <v>11098</v>
      </c>
      <c r="H121" s="772" t="str">
        <f>VLOOKUP($D121,transmitter_from_BP!$B:$F,2,0)</f>
        <v>HGO STRIPPER TZ2103</v>
      </c>
      <c r="I121" s="981" t="s">
        <v>11098</v>
      </c>
      <c r="J121" s="772" t="str">
        <f>VLOOKUP($D121,transmitter_from_BP!$B:$F,2,0)</f>
        <v>HGO STRIPPER TZ2103</v>
      </c>
      <c r="K121" s="981" t="s">
        <v>11678</v>
      </c>
      <c r="L121" s="1064" t="str">
        <f>VLOOKUP($D121,transmitter_from_BP!$B:$F,5,0)</f>
        <v>PCT</v>
      </c>
      <c r="M121" s="783">
        <v>0</v>
      </c>
      <c r="N121" s="772"/>
      <c r="O121" s="783">
        <v>1</v>
      </c>
      <c r="P121" s="772">
        <v>1</v>
      </c>
      <c r="Q121" s="783">
        <v>1</v>
      </c>
      <c r="R121" s="772">
        <v>1</v>
      </c>
      <c r="S121" s="783">
        <v>1</v>
      </c>
      <c r="T121" s="772"/>
      <c r="U121" s="783">
        <v>36</v>
      </c>
      <c r="V121" s="772"/>
      <c r="W121" s="783">
        <v>1</v>
      </c>
      <c r="X121" s="772">
        <v>1</v>
      </c>
      <c r="Y121" s="783">
        <v>49.998988839215002</v>
      </c>
      <c r="Z121" s="772"/>
    </row>
    <row r="122" spans="1:26" s="753" customFormat="1">
      <c r="A122" s="756" t="s">
        <v>4579</v>
      </c>
      <c r="B122" s="757"/>
      <c r="C122" s="758"/>
      <c r="D122" s="773" t="s">
        <v>9541</v>
      </c>
      <c r="E122" s="782"/>
      <c r="F122" s="774" t="s">
        <v>8644</v>
      </c>
      <c r="G122" s="981" t="s">
        <v>11098</v>
      </c>
      <c r="H122" s="772" t="str">
        <f>VLOOKUP($D122,transmitter_from_BP!$B:$F,2,0)</f>
        <v>HGO STRIPPER TZ2103</v>
      </c>
      <c r="I122" s="981" t="s">
        <v>11098</v>
      </c>
      <c r="J122" s="772" t="str">
        <f>VLOOKUP($D122,transmitter_from_BP!$B:$F,2,0)</f>
        <v>HGO STRIPPER TZ2103</v>
      </c>
      <c r="K122" s="981" t="s">
        <v>11678</v>
      </c>
      <c r="L122" s="1064" t="str">
        <f>VLOOKUP($D122,transmitter_from_BP!$B:$F,5,0)</f>
        <v>PCT</v>
      </c>
      <c r="M122" s="783">
        <v>0</v>
      </c>
      <c r="N122" s="772"/>
      <c r="O122" s="783">
        <v>1</v>
      </c>
      <c r="P122" s="772">
        <v>1</v>
      </c>
      <c r="Q122" s="783">
        <v>1</v>
      </c>
      <c r="R122" s="772">
        <v>1</v>
      </c>
      <c r="S122" s="783">
        <v>1</v>
      </c>
      <c r="T122" s="772"/>
      <c r="U122" s="783">
        <v>36</v>
      </c>
      <c r="V122" s="772"/>
      <c r="W122" s="783">
        <v>1</v>
      </c>
      <c r="X122" s="772">
        <v>1</v>
      </c>
      <c r="Y122" s="783">
        <v>49.998988839215002</v>
      </c>
      <c r="Z122" s="772"/>
    </row>
    <row r="123" spans="1:26" s="753" customFormat="1">
      <c r="A123" s="756" t="s">
        <v>4579</v>
      </c>
      <c r="B123" s="757"/>
      <c r="C123" s="758"/>
      <c r="D123" s="773" t="s">
        <v>9542</v>
      </c>
      <c r="E123" s="782"/>
      <c r="F123" s="774" t="s">
        <v>8645</v>
      </c>
      <c r="G123" s="981" t="s">
        <v>11098</v>
      </c>
      <c r="H123" s="772" t="str">
        <f>VLOOKUP($D123,transmitter_from_BP!$B:$F,2,0)</f>
        <v>HGO STRIPPER TZ2103</v>
      </c>
      <c r="I123" s="981" t="s">
        <v>11098</v>
      </c>
      <c r="J123" s="772" t="str">
        <f>VLOOKUP($D123,transmitter_from_BP!$B:$F,2,0)</f>
        <v>HGO STRIPPER TZ2103</v>
      </c>
      <c r="K123" s="981" t="s">
        <v>11678</v>
      </c>
      <c r="L123" s="1064" t="str">
        <f>VLOOKUP($D123,transmitter_from_BP!$B:$F,5,0)</f>
        <v>PCT</v>
      </c>
      <c r="M123" s="783">
        <v>0</v>
      </c>
      <c r="N123" s="772"/>
      <c r="O123" s="783">
        <v>1</v>
      </c>
      <c r="P123" s="772">
        <v>1</v>
      </c>
      <c r="Q123" s="783">
        <v>1</v>
      </c>
      <c r="R123" s="772">
        <v>1</v>
      </c>
      <c r="S123" s="783">
        <v>1</v>
      </c>
      <c r="T123" s="772"/>
      <c r="U123" s="783">
        <v>36</v>
      </c>
      <c r="V123" s="772"/>
      <c r="W123" s="783">
        <v>1</v>
      </c>
      <c r="X123" s="772">
        <v>1</v>
      </c>
      <c r="Y123" s="783">
        <v>49.998988839215002</v>
      </c>
      <c r="Z123" s="772"/>
    </row>
    <row r="124" spans="1:26" s="753" customFormat="1">
      <c r="A124" s="756" t="s">
        <v>4579</v>
      </c>
      <c r="B124" s="757"/>
      <c r="C124" s="758"/>
      <c r="D124" s="773" t="s">
        <v>9543</v>
      </c>
      <c r="E124" s="782"/>
      <c r="F124" s="774" t="s">
        <v>9278</v>
      </c>
      <c r="G124" s="981" t="s">
        <v>11099</v>
      </c>
      <c r="H124" s="772" t="str">
        <f>VLOOKUP($D124,transmitter_from_BP!$B:$F,2,0)</f>
        <v>CDU OVHD DZ2102 HIGH</v>
      </c>
      <c r="I124" s="981" t="s">
        <v>11099</v>
      </c>
      <c r="J124" s="772" t="str">
        <f>VLOOKUP($D124,transmitter_from_BP!$B:$F,2,0)</f>
        <v>CDU OVHD DZ2102 HIGH</v>
      </c>
      <c r="K124" s="981" t="s">
        <v>11678</v>
      </c>
      <c r="L124" s="1064" t="str">
        <f>VLOOKUP($D124,transmitter_from_BP!$B:$F,5,0)</f>
        <v>PCT</v>
      </c>
      <c r="M124" s="783">
        <v>0</v>
      </c>
      <c r="N124" s="772"/>
      <c r="O124" s="783">
        <v>1</v>
      </c>
      <c r="P124" s="772">
        <v>1</v>
      </c>
      <c r="Q124" s="783">
        <v>1</v>
      </c>
      <c r="R124" s="772">
        <v>1</v>
      </c>
      <c r="S124" s="783">
        <v>59</v>
      </c>
      <c r="T124" s="772"/>
      <c r="U124" s="783">
        <v>90</v>
      </c>
      <c r="V124" s="772"/>
      <c r="W124" s="783">
        <v>1</v>
      </c>
      <c r="X124" s="772">
        <v>1</v>
      </c>
      <c r="Y124" s="783">
        <v>0</v>
      </c>
      <c r="Z124" s="772"/>
    </row>
    <row r="125" spans="1:26" s="753" customFormat="1">
      <c r="A125" s="756" t="s">
        <v>4579</v>
      </c>
      <c r="B125" s="757"/>
      <c r="C125" s="758"/>
      <c r="D125" s="773" t="s">
        <v>3072</v>
      </c>
      <c r="E125" s="782"/>
      <c r="F125" s="774" t="s">
        <v>6370</v>
      </c>
      <c r="G125" s="981" t="s">
        <v>11100</v>
      </c>
      <c r="H125" s="772" t="str">
        <f>VLOOKUP($D125,transmitter_from_BP!$B:$F,2,0)</f>
        <v>DHT HP SEPARATOR</v>
      </c>
      <c r="I125" s="981" t="s">
        <v>11100</v>
      </c>
      <c r="J125" s="772" t="str">
        <f>VLOOKUP($D125,transmitter_from_BP!$B:$F,2,0)</f>
        <v>DHT HP SEPARATOR</v>
      </c>
      <c r="K125" s="981" t="s">
        <v>11678</v>
      </c>
      <c r="L125" s="1064" t="str">
        <f>VLOOKUP($D125,transmitter_from_BP!$B:$F,5,0)</f>
        <v>PCT</v>
      </c>
      <c r="M125" s="783">
        <v>0</v>
      </c>
      <c r="N125" s="772">
        <v>0</v>
      </c>
      <c r="O125" s="783">
        <v>1</v>
      </c>
      <c r="P125" s="772">
        <v>1</v>
      </c>
      <c r="Q125" s="783">
        <v>1</v>
      </c>
      <c r="R125" s="772">
        <v>1</v>
      </c>
      <c r="S125" s="783">
        <v>25</v>
      </c>
      <c r="T125" s="772"/>
      <c r="U125" s="783">
        <v>90</v>
      </c>
      <c r="V125" s="772"/>
      <c r="W125" s="783">
        <v>1</v>
      </c>
      <c r="X125" s="772">
        <v>1</v>
      </c>
      <c r="Y125" s="783">
        <v>49.9610460948617</v>
      </c>
      <c r="Z125" s="772"/>
    </row>
    <row r="126" spans="1:26" s="753" customFormat="1">
      <c r="A126" s="756" t="s">
        <v>4579</v>
      </c>
      <c r="B126" s="757"/>
      <c r="C126" s="758"/>
      <c r="D126" s="773" t="s">
        <v>9544</v>
      </c>
      <c r="E126" s="782"/>
      <c r="F126" s="774" t="s">
        <v>6371</v>
      </c>
      <c r="G126" s="981" t="s">
        <v>11100</v>
      </c>
      <c r="H126" s="772" t="str">
        <f>VLOOKUP($D126,transmitter_from_BP!$B:$F,2,0)</f>
        <v>DHT HP SEPARATOR</v>
      </c>
      <c r="I126" s="981" t="s">
        <v>11100</v>
      </c>
      <c r="J126" s="772" t="str">
        <f>VLOOKUP($D126,transmitter_from_BP!$B:$F,2,0)</f>
        <v>DHT HP SEPARATOR</v>
      </c>
      <c r="K126" s="981" t="s">
        <v>11678</v>
      </c>
      <c r="L126" s="1064" t="str">
        <f>VLOOKUP($D126,transmitter_from_BP!$B:$F,5,0)</f>
        <v>PCT</v>
      </c>
      <c r="M126" s="783">
        <v>0</v>
      </c>
      <c r="N126" s="772">
        <v>0</v>
      </c>
      <c r="O126" s="783">
        <v>1</v>
      </c>
      <c r="P126" s="772">
        <v>1</v>
      </c>
      <c r="Q126" s="783">
        <v>1</v>
      </c>
      <c r="R126" s="772">
        <v>1</v>
      </c>
      <c r="S126" s="783">
        <v>25</v>
      </c>
      <c r="T126" s="772"/>
      <c r="U126" s="783">
        <v>90</v>
      </c>
      <c r="V126" s="772"/>
      <c r="W126" s="783">
        <v>1</v>
      </c>
      <c r="X126" s="772">
        <v>1</v>
      </c>
      <c r="Y126" s="783">
        <v>49.9610460948617</v>
      </c>
      <c r="Z126" s="772"/>
    </row>
    <row r="127" spans="1:26" s="753" customFormat="1">
      <c r="A127" s="756" t="s">
        <v>4579</v>
      </c>
      <c r="B127" s="757"/>
      <c r="C127" s="758"/>
      <c r="D127" s="773" t="s">
        <v>9545</v>
      </c>
      <c r="E127" s="782"/>
      <c r="F127" s="774" t="s">
        <v>6379</v>
      </c>
      <c r="G127" s="981" t="s">
        <v>11101</v>
      </c>
      <c r="H127" s="772" t="str">
        <f>VLOOKUP($D127,transmitter_from_BP!$B:$F,2,0)</f>
        <v>LUBE OIL</v>
      </c>
      <c r="I127" s="981" t="s">
        <v>11101</v>
      </c>
      <c r="J127" s="772" t="str">
        <f>VLOOKUP($D127,transmitter_from_BP!$B:$F,2,0)</f>
        <v>LUBE OIL</v>
      </c>
      <c r="K127" s="981" t="s">
        <v>11673</v>
      </c>
      <c r="L127" s="1064" t="str">
        <f>VLOOKUP($D127,transmitter_from_BP!$B:$F,5,0)</f>
        <v>%</v>
      </c>
      <c r="M127" s="783">
        <v>0</v>
      </c>
      <c r="N127" s="772"/>
      <c r="O127" s="783">
        <v>1</v>
      </c>
      <c r="P127" s="772">
        <v>1</v>
      </c>
      <c r="Q127" s="783">
        <v>1</v>
      </c>
      <c r="R127" s="772">
        <v>1</v>
      </c>
      <c r="S127" s="783">
        <v>5</v>
      </c>
      <c r="T127" s="772"/>
      <c r="U127" s="783">
        <v>95</v>
      </c>
      <c r="V127" s="772"/>
      <c r="W127" s="783">
        <v>1</v>
      </c>
      <c r="X127" s="772">
        <v>1</v>
      </c>
      <c r="Y127" s="783">
        <v>49.782399808817402</v>
      </c>
      <c r="Z127" s="772"/>
    </row>
    <row r="128" spans="1:26" s="753" customFormat="1">
      <c r="A128" s="756" t="s">
        <v>4579</v>
      </c>
      <c r="B128" s="757"/>
      <c r="C128" s="758"/>
      <c r="D128" s="773" t="s">
        <v>9546</v>
      </c>
      <c r="E128" s="782"/>
      <c r="F128" s="774" t="s">
        <v>8752</v>
      </c>
      <c r="G128" s="981" t="s">
        <v>11102</v>
      </c>
      <c r="H128" s="772" t="str">
        <f>VLOOKUP($D128,transmitter_from_BP!$B:$F,2,0)</f>
        <v>DFU STABLR OVERHEAD WATER</v>
      </c>
      <c r="I128" s="981" t="s">
        <v>11102</v>
      </c>
      <c r="J128" s="772" t="str">
        <f>VLOOKUP($D128,transmitter_from_BP!$B:$F,2,0)</f>
        <v>DFU STABLR OVERHEAD WATER</v>
      </c>
      <c r="K128" s="981" t="s">
        <v>11678</v>
      </c>
      <c r="L128" s="1064" t="str">
        <f>VLOOKUP($D128,transmitter_from_BP!$B:$F,5,0)</f>
        <v>PCT</v>
      </c>
      <c r="M128" s="783">
        <v>0</v>
      </c>
      <c r="N128" s="772"/>
      <c r="O128" s="783">
        <v>1</v>
      </c>
      <c r="P128" s="772">
        <v>1</v>
      </c>
      <c r="Q128" s="783">
        <v>1</v>
      </c>
      <c r="R128" s="772">
        <v>1</v>
      </c>
      <c r="S128" s="783">
        <v>6.9536842105263297</v>
      </c>
      <c r="T128" s="772"/>
      <c r="U128" s="783">
        <v>28.3496356275304</v>
      </c>
      <c r="V128" s="772"/>
      <c r="W128" s="783">
        <v>1</v>
      </c>
      <c r="X128" s="772">
        <v>1</v>
      </c>
      <c r="Y128" s="783">
        <v>49.999927200895101</v>
      </c>
      <c r="Z128" s="772"/>
    </row>
    <row r="129" spans="1:26" s="753" customFormat="1">
      <c r="A129" s="756" t="s">
        <v>4579</v>
      </c>
      <c r="B129" s="757"/>
      <c r="C129" s="758"/>
      <c r="D129" s="773" t="s">
        <v>9547</v>
      </c>
      <c r="E129" s="782"/>
      <c r="F129" s="774" t="s">
        <v>8772</v>
      </c>
      <c r="G129" s="981" t="s">
        <v>11103</v>
      </c>
      <c r="H129" s="772" t="str">
        <f>VLOOKUP($D129,transmitter_from_BP!$B:$F,2,0)</f>
        <v>STABILISER WATER BOOT (LT)</v>
      </c>
      <c r="I129" s="981" t="s">
        <v>11103</v>
      </c>
      <c r="J129" s="772" t="str">
        <f>VLOOKUP($D129,transmitter_from_BP!$B:$F,2,0)</f>
        <v>STABILISER WATER BOOT (LT)</v>
      </c>
      <c r="K129" s="981" t="s">
        <v>11678</v>
      </c>
      <c r="L129" s="1064" t="str">
        <f>VLOOKUP($D129,transmitter_from_BP!$B:$F,5,0)</f>
        <v>PCT</v>
      </c>
      <c r="M129" s="783">
        <v>0</v>
      </c>
      <c r="N129" s="772"/>
      <c r="O129" s="783">
        <v>1</v>
      </c>
      <c r="P129" s="772">
        <v>1</v>
      </c>
      <c r="Q129" s="783">
        <v>1</v>
      </c>
      <c r="R129" s="772">
        <v>1</v>
      </c>
      <c r="S129" s="783">
        <v>6.9536842105263297</v>
      </c>
      <c r="T129" s="772"/>
      <c r="U129" s="783">
        <v>28.3496356275304</v>
      </c>
      <c r="V129" s="772"/>
      <c r="W129" s="783">
        <v>1</v>
      </c>
      <c r="X129" s="772">
        <v>1</v>
      </c>
      <c r="Y129" s="783">
        <v>49.999927200895101</v>
      </c>
      <c r="Z129" s="772"/>
    </row>
    <row r="130" spans="1:26" s="753" customFormat="1">
      <c r="A130" s="756" t="s">
        <v>4579</v>
      </c>
      <c r="B130" s="757"/>
      <c r="C130" s="758"/>
      <c r="D130" s="773" t="s">
        <v>3934</v>
      </c>
      <c r="E130" s="782"/>
      <c r="F130" s="774" t="s">
        <v>8736</v>
      </c>
      <c r="G130" s="981" t="s">
        <v>11104</v>
      </c>
      <c r="H130" s="772" t="str">
        <f>VLOOKUP($D130,transmitter_from_BP!$B:$F,2,0)</f>
        <v>K.O. DRUM DZ3004</v>
      </c>
      <c r="I130" s="981" t="s">
        <v>11104</v>
      </c>
      <c r="J130" s="772" t="str">
        <f>VLOOKUP($D130,transmitter_from_BP!$B:$F,2,0)</f>
        <v>K.O. DRUM DZ3004</v>
      </c>
      <c r="K130" s="981" t="s">
        <v>11678</v>
      </c>
      <c r="L130" s="1064" t="str">
        <f>VLOOKUP($D130,transmitter_from_BP!$B:$F,5,0)</f>
        <v>PCT</v>
      </c>
      <c r="M130" s="783">
        <v>0</v>
      </c>
      <c r="N130" s="772"/>
      <c r="O130" s="783">
        <v>1</v>
      </c>
      <c r="P130" s="772">
        <v>1</v>
      </c>
      <c r="Q130" s="783">
        <v>1</v>
      </c>
      <c r="R130" s="772">
        <v>1</v>
      </c>
      <c r="S130" s="783">
        <v>0</v>
      </c>
      <c r="T130" s="772">
        <f>VLOOKUP($D130,transmitter_from_BP!$B:$F,4,0)</f>
        <v>0</v>
      </c>
      <c r="U130" s="783">
        <v>188</v>
      </c>
      <c r="V130" s="772">
        <f>VLOOKUP($D130,transmitter_from_BP!$B:$F,3,0)</f>
        <v>188</v>
      </c>
      <c r="W130" s="783">
        <v>0</v>
      </c>
      <c r="X130" s="772"/>
      <c r="Y130" s="783">
        <v>9.1465384457825198</v>
      </c>
      <c r="Z130" s="772"/>
    </row>
    <row r="131" spans="1:26" s="753" customFormat="1">
      <c r="A131" s="756" t="s">
        <v>4579</v>
      </c>
      <c r="B131" s="757"/>
      <c r="C131" s="758"/>
      <c r="D131" s="773" t="s">
        <v>9548</v>
      </c>
      <c r="E131" s="782"/>
      <c r="F131" s="774" t="s">
        <v>8803</v>
      </c>
      <c r="G131" s="981" t="s">
        <v>11104</v>
      </c>
      <c r="H131" s="772" t="str">
        <f>VLOOKUP($D131,transmitter_from_BP!$B:$F,2,0)</f>
        <v>K.O. DRUM DZ3004</v>
      </c>
      <c r="I131" s="981" t="s">
        <v>11104</v>
      </c>
      <c r="J131" s="772" t="str">
        <f>VLOOKUP($D131,transmitter_from_BP!$B:$F,2,0)</f>
        <v>K.O. DRUM DZ3004</v>
      </c>
      <c r="K131" s="981" t="s">
        <v>11678</v>
      </c>
      <c r="L131" s="1064" t="str">
        <f>VLOOKUP($D131,transmitter_from_BP!$B:$F,5,0)</f>
        <v>PCT</v>
      </c>
      <c r="M131" s="783">
        <v>0</v>
      </c>
      <c r="N131" s="772"/>
      <c r="O131" s="783">
        <v>1</v>
      </c>
      <c r="P131" s="772">
        <v>1</v>
      </c>
      <c r="Q131" s="783">
        <v>1</v>
      </c>
      <c r="R131" s="772">
        <v>1</v>
      </c>
      <c r="S131" s="783">
        <v>5</v>
      </c>
      <c r="T131" s="772"/>
      <c r="U131" s="783">
        <v>95</v>
      </c>
      <c r="V131" s="772"/>
      <c r="W131" s="783">
        <v>1</v>
      </c>
      <c r="X131" s="772">
        <v>1</v>
      </c>
      <c r="Y131" s="783">
        <v>9.1465384457825198</v>
      </c>
      <c r="Z131" s="772"/>
    </row>
    <row r="132" spans="1:26" s="753" customFormat="1">
      <c r="A132" s="756" t="s">
        <v>4579</v>
      </c>
      <c r="B132" s="757"/>
      <c r="C132" s="758"/>
      <c r="D132" s="773" t="s">
        <v>9549</v>
      </c>
      <c r="E132" s="782"/>
      <c r="F132" s="774" t="s">
        <v>8770</v>
      </c>
      <c r="G132" s="981" t="s">
        <v>11104</v>
      </c>
      <c r="H132" s="772" t="str">
        <f>VLOOKUP($D132,transmitter_from_BP!$B:$F,2,0)</f>
        <v>K.O. DRUM DZ3004</v>
      </c>
      <c r="I132" s="981" t="s">
        <v>11104</v>
      </c>
      <c r="J132" s="772" t="str">
        <f>VLOOKUP($D132,transmitter_from_BP!$B:$F,2,0)</f>
        <v>K.O. DRUM DZ3004</v>
      </c>
      <c r="K132" s="981" t="s">
        <v>11678</v>
      </c>
      <c r="L132" s="1064" t="str">
        <f>VLOOKUP($D132,transmitter_from_BP!$B:$F,5,0)</f>
        <v>PCT</v>
      </c>
      <c r="M132" s="783">
        <v>0</v>
      </c>
      <c r="N132" s="772"/>
      <c r="O132" s="783">
        <v>1</v>
      </c>
      <c r="P132" s="772">
        <v>1</v>
      </c>
      <c r="Q132" s="783">
        <v>1</v>
      </c>
      <c r="R132" s="772">
        <v>1</v>
      </c>
      <c r="S132" s="783">
        <v>5</v>
      </c>
      <c r="T132" s="772"/>
      <c r="U132" s="783">
        <v>95</v>
      </c>
      <c r="V132" s="772"/>
      <c r="W132" s="783">
        <v>1</v>
      </c>
      <c r="X132" s="772">
        <v>1</v>
      </c>
      <c r="Y132" s="783">
        <v>9.1465384457825198</v>
      </c>
      <c r="Z132" s="772"/>
    </row>
    <row r="133" spans="1:26" s="753" customFormat="1">
      <c r="A133" s="756" t="s">
        <v>4579</v>
      </c>
      <c r="B133" s="757"/>
      <c r="C133" s="758"/>
      <c r="D133" s="773" t="s">
        <v>9550</v>
      </c>
      <c r="E133" s="20"/>
      <c r="F133" s="774" t="s">
        <v>9338</v>
      </c>
      <c r="G133" s="981" t="s">
        <v>11105</v>
      </c>
      <c r="H133" s="772" t="str">
        <f>VLOOKUP($D133,transmitter_from_BP!$B:$F,2,0)</f>
        <v>CDU4 HEATER HZ2101 NOX EMISSIE</v>
      </c>
      <c r="I133" s="981" t="s">
        <v>11105</v>
      </c>
      <c r="J133" s="772" t="str">
        <f>VLOOKUP($D133,transmitter_from_BP!$B:$F,2,0)</f>
        <v>CDU4 HEATER HZ2101 NOX EMISSIE</v>
      </c>
      <c r="K133" s="981" t="s">
        <v>11679</v>
      </c>
      <c r="L133" s="1064" t="str">
        <f>VLOOKUP($D133,transmitter_from_BP!$B:$F,5,0)</f>
        <v>MG/NM3</v>
      </c>
      <c r="M133" s="783">
        <v>0</v>
      </c>
      <c r="N133" s="772"/>
      <c r="O133" s="783">
        <v>1</v>
      </c>
      <c r="P133" s="772">
        <v>1</v>
      </c>
      <c r="Q133" s="783">
        <v>1</v>
      </c>
      <c r="R133" s="772">
        <v>1</v>
      </c>
      <c r="S133" s="783">
        <v>0</v>
      </c>
      <c r="T133" s="772">
        <f>VLOOKUP($D133,transmitter_from_BP!$B:$F,4,0)</f>
        <v>0</v>
      </c>
      <c r="U133" s="783">
        <v>1000</v>
      </c>
      <c r="V133" s="772">
        <f>VLOOKUP($D133,transmitter_from_BP!$B:$F,3,0)</f>
        <v>1000</v>
      </c>
      <c r="W133" s="783">
        <v>0</v>
      </c>
      <c r="X133" s="772"/>
      <c r="Y133" s="783">
        <v>0</v>
      </c>
      <c r="Z133" s="772"/>
    </row>
    <row r="134" spans="1:26" s="753" customFormat="1">
      <c r="A134" s="756" t="s">
        <v>4579</v>
      </c>
      <c r="B134" s="757"/>
      <c r="C134" s="758"/>
      <c r="D134" s="773" t="s">
        <v>9551</v>
      </c>
      <c r="E134" s="20"/>
      <c r="F134" s="774" t="s">
        <v>9236</v>
      </c>
      <c r="G134" s="981" t="s">
        <v>11106</v>
      </c>
      <c r="H134" s="772" t="str">
        <f>VLOOKUP($D134,transmitter_from_BP!$B:$F,2,0)</f>
        <v>CDU4 HEATER HZ2201 NOX EMISSIE</v>
      </c>
      <c r="I134" s="981" t="s">
        <v>11106</v>
      </c>
      <c r="J134" s="772" t="str">
        <f>VLOOKUP($D134,transmitter_from_BP!$B:$F,2,0)</f>
        <v>CDU4 HEATER HZ2201 NOX EMISSIE</v>
      </c>
      <c r="K134" s="981" t="s">
        <v>11679</v>
      </c>
      <c r="L134" s="1064" t="str">
        <f>VLOOKUP($D134,transmitter_from_BP!$B:$F,5,0)</f>
        <v>MG/NM3</v>
      </c>
      <c r="M134" s="783">
        <v>0</v>
      </c>
      <c r="N134" s="772"/>
      <c r="O134" s="783">
        <v>1</v>
      </c>
      <c r="P134" s="772">
        <v>1</v>
      </c>
      <c r="Q134" s="783">
        <v>1</v>
      </c>
      <c r="R134" s="772">
        <v>1</v>
      </c>
      <c r="S134" s="783">
        <v>0</v>
      </c>
      <c r="T134" s="991">
        <f>VLOOKUP($D134,transmitter_from_BP!$B:$F,4,0)</f>
        <v>0</v>
      </c>
      <c r="U134" s="783">
        <v>1000</v>
      </c>
      <c r="V134" s="991">
        <f>VLOOKUP($D134,transmitter_from_BP!$B:$F,3,0)</f>
        <v>1000</v>
      </c>
      <c r="W134" s="783">
        <v>0</v>
      </c>
      <c r="X134" s="772"/>
      <c r="Y134" s="783">
        <v>0</v>
      </c>
      <c r="Z134" s="772"/>
    </row>
    <row r="135" spans="1:26" s="753" customFormat="1">
      <c r="A135" s="756" t="s">
        <v>4579</v>
      </c>
      <c r="B135" s="757"/>
      <c r="C135" s="758"/>
      <c r="D135" s="773" t="s">
        <v>9552</v>
      </c>
      <c r="E135" s="782"/>
      <c r="F135" s="774" t="s">
        <v>8557</v>
      </c>
      <c r="G135" s="981" t="s">
        <v>11107</v>
      </c>
      <c r="H135" s="772" t="str">
        <f>VLOOKUP($D135,transmitter_from_BP!$B:$F,2,0)</f>
        <v>DELTA P MIXVALVE DESALTER B</v>
      </c>
      <c r="I135" s="981" t="s">
        <v>11107</v>
      </c>
      <c r="J135" s="772" t="str">
        <f>VLOOKUP($D135,transmitter_from_BP!$B:$F,2,0)</f>
        <v>DELTA P MIXVALVE DESALTER B</v>
      </c>
      <c r="K135" s="981" t="s">
        <v>11689</v>
      </c>
      <c r="L135" s="1064" t="str">
        <f>VLOOKUP($D135,transmitter_from_BP!$B:$F,5,0)</f>
        <v>BARG</v>
      </c>
      <c r="M135" s="783">
        <v>1</v>
      </c>
      <c r="N135" s="772">
        <v>1</v>
      </c>
      <c r="O135" s="783">
        <v>1</v>
      </c>
      <c r="P135" s="772">
        <v>1</v>
      </c>
      <c r="Q135" s="783">
        <v>1</v>
      </c>
      <c r="R135" s="772">
        <v>1</v>
      </c>
      <c r="S135" s="783">
        <v>0</v>
      </c>
      <c r="T135" s="991">
        <f>VLOOKUP($D135,transmitter_from_BP!$B:$F,4,0)</f>
        <v>0</v>
      </c>
      <c r="U135" s="783">
        <v>1</v>
      </c>
      <c r="V135" s="991">
        <f>VLOOKUP($D135,transmitter_from_BP!$B:$F,3,0)</f>
        <v>1</v>
      </c>
      <c r="W135" s="783">
        <v>0</v>
      </c>
      <c r="X135" s="772"/>
      <c r="Y135" s="783">
        <v>0.462118963025061</v>
      </c>
      <c r="Z135" s="772"/>
    </row>
    <row r="136" spans="1:26" s="753" customFormat="1">
      <c r="A136" s="756" t="s">
        <v>4579</v>
      </c>
      <c r="B136" s="757"/>
      <c r="C136" s="758"/>
      <c r="D136" s="773" t="s">
        <v>9553</v>
      </c>
      <c r="E136" s="782"/>
      <c r="F136" s="774" t="s">
        <v>6431</v>
      </c>
      <c r="G136" s="981" t="s">
        <v>11108</v>
      </c>
      <c r="H136" s="772" t="str">
        <f>VLOOKUP($D136,transmitter_from_BP!$B:$F,2,0)</f>
        <v>DELTA P MIXVALVE DESALTER A</v>
      </c>
      <c r="I136" s="981" t="s">
        <v>11108</v>
      </c>
      <c r="J136" s="772" t="str">
        <f>VLOOKUP($D136,transmitter_from_BP!$B:$F,2,0)</f>
        <v>DELTA P MIXVALVE DESALTER A</v>
      </c>
      <c r="K136" s="981" t="s">
        <v>11689</v>
      </c>
      <c r="L136" s="1064" t="str">
        <f>VLOOKUP($D136,transmitter_from_BP!$B:$F,5,0)</f>
        <v>BARG</v>
      </c>
      <c r="M136" s="783">
        <v>1</v>
      </c>
      <c r="N136" s="772">
        <v>1</v>
      </c>
      <c r="O136" s="783">
        <v>1</v>
      </c>
      <c r="P136" s="772">
        <v>1</v>
      </c>
      <c r="Q136" s="783">
        <v>1</v>
      </c>
      <c r="R136" s="772">
        <v>1</v>
      </c>
      <c r="S136" s="783">
        <v>0</v>
      </c>
      <c r="T136" s="991">
        <f>VLOOKUP($D136,transmitter_from_BP!$B:$F,4,0)</f>
        <v>0</v>
      </c>
      <c r="U136" s="783">
        <v>1</v>
      </c>
      <c r="V136" s="991">
        <f>VLOOKUP($D136,transmitter_from_BP!$B:$F,3,0)</f>
        <v>1</v>
      </c>
      <c r="W136" s="783">
        <v>0</v>
      </c>
      <c r="X136" s="772"/>
      <c r="Y136" s="783">
        <v>0.47073583150196402</v>
      </c>
      <c r="Z136" s="772"/>
    </row>
    <row r="137" spans="1:26" s="753" customFormat="1">
      <c r="A137" s="756" t="s">
        <v>4579</v>
      </c>
      <c r="B137" s="757"/>
      <c r="C137" s="758"/>
      <c r="D137" s="773" t="s">
        <v>2505</v>
      </c>
      <c r="E137" s="782"/>
      <c r="F137" s="774" t="s">
        <v>6432</v>
      </c>
      <c r="G137" s="981" t="s">
        <v>11107</v>
      </c>
      <c r="H137" s="772" t="str">
        <f>VLOOKUP($D137,transmitter_from_BP!$B:$F,2,0)</f>
        <v>DELTA P MIXVALVE DESALTER B</v>
      </c>
      <c r="I137" s="981" t="s">
        <v>11107</v>
      </c>
      <c r="J137" s="772" t="str">
        <f>VLOOKUP($D137,transmitter_from_BP!$B:$F,2,0)</f>
        <v>DELTA P MIXVALVE DESALTER B</v>
      </c>
      <c r="K137" s="981" t="s">
        <v>11689</v>
      </c>
      <c r="L137" s="1064" t="str">
        <f>VLOOKUP($D137,transmitter_from_BP!$B:$F,5,0)</f>
        <v>BARG</v>
      </c>
      <c r="M137" s="783">
        <v>1</v>
      </c>
      <c r="N137" s="772">
        <v>1</v>
      </c>
      <c r="O137" s="783">
        <v>1</v>
      </c>
      <c r="P137" s="772">
        <v>1</v>
      </c>
      <c r="Q137" s="783">
        <v>1</v>
      </c>
      <c r="R137" s="772">
        <v>1</v>
      </c>
      <c r="S137" s="783">
        <v>0</v>
      </c>
      <c r="T137" s="991">
        <f>VLOOKUP($D137,transmitter_from_BP!$B:$F,4,0)</f>
        <v>0</v>
      </c>
      <c r="U137" s="783">
        <v>1</v>
      </c>
      <c r="V137" s="991">
        <f>VLOOKUP($D137,transmitter_from_BP!$B:$F,3,0)</f>
        <v>1</v>
      </c>
      <c r="W137" s="783">
        <v>0</v>
      </c>
      <c r="X137" s="772"/>
      <c r="Y137" s="783">
        <v>0.47074109345825699</v>
      </c>
      <c r="Z137" s="772"/>
    </row>
    <row r="138" spans="1:26" s="753" customFormat="1">
      <c r="A138" s="756" t="s">
        <v>4579</v>
      </c>
      <c r="B138" s="757"/>
      <c r="C138" s="758"/>
      <c r="D138" s="773" t="s">
        <v>3803</v>
      </c>
      <c r="E138" s="20"/>
      <c r="F138" s="774" t="s">
        <v>9247</v>
      </c>
      <c r="G138" s="981" t="s">
        <v>11109</v>
      </c>
      <c r="H138" s="772" t="str">
        <f>VLOOKUP($D138,transmitter_from_BP!$B:$F,2,0)</f>
        <v>DELTA P TZ2851</v>
      </c>
      <c r="I138" s="981" t="s">
        <v>11109</v>
      </c>
      <c r="J138" s="772" t="str">
        <f>VLOOKUP($D138,transmitter_from_BP!$B:$F,2,0)</f>
        <v>DELTA P TZ2851</v>
      </c>
      <c r="K138" s="981" t="s">
        <v>11690</v>
      </c>
      <c r="L138" s="1064" t="str">
        <f>VLOOKUP($D138,transmitter_from_BP!$B:$F,5,0)</f>
        <v>MBAR</v>
      </c>
      <c r="M138" s="783">
        <v>0</v>
      </c>
      <c r="N138" s="772"/>
      <c r="O138" s="783">
        <v>1</v>
      </c>
      <c r="P138" s="772">
        <v>1</v>
      </c>
      <c r="Q138" s="783">
        <v>1000</v>
      </c>
      <c r="R138" s="772">
        <v>1000</v>
      </c>
      <c r="S138" s="783">
        <v>0</v>
      </c>
      <c r="T138" s="991">
        <f>VLOOKUP($D138,transmitter_from_BP!$B:$F,4,0)</f>
        <v>0</v>
      </c>
      <c r="U138" s="783">
        <v>1000</v>
      </c>
      <c r="V138" s="991">
        <f>VLOOKUP($D138,transmitter_from_BP!$B:$F,3,0)</f>
        <v>1000</v>
      </c>
      <c r="W138" s="783">
        <v>0</v>
      </c>
      <c r="X138" s="772"/>
      <c r="Y138" s="783">
        <v>95.335599554482002</v>
      </c>
      <c r="Z138" s="772"/>
    </row>
    <row r="139" spans="1:26" s="753" customFormat="1">
      <c r="A139" s="756" t="s">
        <v>4579</v>
      </c>
      <c r="B139" s="757"/>
      <c r="C139" s="758"/>
      <c r="D139" s="773" t="s">
        <v>9554</v>
      </c>
      <c r="E139" s="782"/>
      <c r="F139" s="774" t="s">
        <v>9202</v>
      </c>
      <c r="G139" s="981" t="s">
        <v>11110</v>
      </c>
      <c r="H139" s="772" t="str">
        <f>VLOOKUP($D139,transmitter_from_BP!$B:$F,2,0)</f>
        <v>DIFF PRES REACTOR RZ2156</v>
      </c>
      <c r="I139" s="981" t="s">
        <v>11110</v>
      </c>
      <c r="J139" s="772" t="str">
        <f>VLOOKUP($D139,transmitter_from_BP!$B:$F,2,0)</f>
        <v>DIFF PRES REACTOR RZ2156</v>
      </c>
      <c r="K139" s="981" t="s">
        <v>11680</v>
      </c>
      <c r="L139" s="1064" t="str">
        <f>VLOOKUP($D139,transmitter_from_BP!$B:$F,5,0)</f>
        <v>BAR</v>
      </c>
      <c r="M139" s="783">
        <v>0</v>
      </c>
      <c r="N139" s="772"/>
      <c r="O139" s="783">
        <v>1</v>
      </c>
      <c r="P139" s="772">
        <v>1</v>
      </c>
      <c r="Q139" s="783">
        <v>1</v>
      </c>
      <c r="R139" s="772">
        <v>1</v>
      </c>
      <c r="S139" s="783">
        <v>0</v>
      </c>
      <c r="T139" s="991">
        <f>VLOOKUP($D139,transmitter_from_BP!$B:$F,4,0)</f>
        <v>0</v>
      </c>
      <c r="U139" s="783">
        <v>10</v>
      </c>
      <c r="V139" s="991">
        <f>VLOOKUP($D139,transmitter_from_BP!$B:$F,3,0)</f>
        <v>10</v>
      </c>
      <c r="W139" s="783">
        <v>0</v>
      </c>
      <c r="X139" s="772"/>
      <c r="Y139" s="783">
        <v>4.0171564514289102</v>
      </c>
      <c r="Z139" s="772"/>
    </row>
    <row r="140" spans="1:26" s="753" customFormat="1">
      <c r="A140" s="756" t="s">
        <v>4579</v>
      </c>
      <c r="B140" s="757"/>
      <c r="C140" s="758"/>
      <c r="D140" s="773" t="s">
        <v>9555</v>
      </c>
      <c r="E140" s="782"/>
      <c r="F140" s="774" t="s">
        <v>9314</v>
      </c>
      <c r="G140" s="981" t="s">
        <v>11111</v>
      </c>
      <c r="H140" s="772" t="str">
        <f>VLOOKUP($D140,transmitter_from_BP!$B:$F,2,0)</f>
        <v>DIFFPRESSURE CZ2152</v>
      </c>
      <c r="I140" s="981" t="s">
        <v>11111</v>
      </c>
      <c r="J140" s="772" t="str">
        <f>VLOOKUP($D140,transmitter_from_BP!$B:$F,2,0)</f>
        <v>DIFFPRESSURE CZ2152</v>
      </c>
      <c r="K140" s="981" t="s">
        <v>11680</v>
      </c>
      <c r="L140" s="1064" t="str">
        <f>VLOOKUP($D140,transmitter_from_BP!$B:$F,5,0)</f>
        <v>BAR</v>
      </c>
      <c r="M140" s="783">
        <v>0</v>
      </c>
      <c r="N140" s="772"/>
      <c r="O140" s="783">
        <v>1</v>
      </c>
      <c r="P140" s="772">
        <v>1</v>
      </c>
      <c r="Q140" s="783">
        <v>1</v>
      </c>
      <c r="R140" s="772">
        <v>1</v>
      </c>
      <c r="S140" s="783">
        <v>0</v>
      </c>
      <c r="T140" s="991">
        <f>VLOOKUP($D140,transmitter_from_BP!$B:$F,4,0)</f>
        <v>0</v>
      </c>
      <c r="U140" s="783">
        <v>15</v>
      </c>
      <c r="V140" s="991">
        <f>VLOOKUP($D140,transmitter_from_BP!$B:$F,3,0)</f>
        <v>15</v>
      </c>
      <c r="W140" s="783">
        <v>0</v>
      </c>
      <c r="X140" s="772"/>
      <c r="Y140" s="783">
        <v>12.2667101521133</v>
      </c>
      <c r="Z140" s="772"/>
    </row>
    <row r="141" spans="1:26" s="753" customFormat="1">
      <c r="A141" s="756" t="s">
        <v>4579</v>
      </c>
      <c r="B141" s="757"/>
      <c r="C141" s="758"/>
      <c r="D141" s="773" t="s">
        <v>9556</v>
      </c>
      <c r="E141" s="782"/>
      <c r="F141" s="774" t="s">
        <v>9252</v>
      </c>
      <c r="G141" s="981" t="s">
        <v>11112</v>
      </c>
      <c r="H141" s="772" t="str">
        <f>VLOOKUP($D141,transmitter_from_BP!$B:$F,2,0)</f>
        <v>BACKFLOW PROTECT. DZ3004</v>
      </c>
      <c r="I141" s="981" t="s">
        <v>11112</v>
      </c>
      <c r="J141" s="772" t="str">
        <f>VLOOKUP($D141,transmitter_from_BP!$B:$F,2,0)</f>
        <v>BACKFLOW PROTECT. DZ3004</v>
      </c>
      <c r="K141" s="981" t="s">
        <v>11690</v>
      </c>
      <c r="L141" s="1064" t="str">
        <f>VLOOKUP($D141,transmitter_from_BP!$B:$F,5,0)</f>
        <v>MBAR</v>
      </c>
      <c r="M141" s="783">
        <v>1</v>
      </c>
      <c r="N141" s="772">
        <v>1</v>
      </c>
      <c r="O141" s="783">
        <v>1</v>
      </c>
      <c r="P141" s="772">
        <v>1</v>
      </c>
      <c r="Q141" s="783">
        <v>1000</v>
      </c>
      <c r="R141" s="772">
        <v>1000</v>
      </c>
      <c r="S141" s="783">
        <v>-2000</v>
      </c>
      <c r="T141" s="991">
        <f>VLOOKUP($D141,transmitter_from_BP!$B:$F,4,0)</f>
        <v>-2000</v>
      </c>
      <c r="U141" s="783">
        <v>8000</v>
      </c>
      <c r="V141" s="991">
        <f>VLOOKUP($D141,transmitter_from_BP!$B:$F,3,0)</f>
        <v>8000</v>
      </c>
      <c r="W141" s="783">
        <v>0</v>
      </c>
      <c r="X141" s="772"/>
      <c r="Y141" s="783">
        <v>45.317053429766801</v>
      </c>
      <c r="Z141" s="772"/>
    </row>
    <row r="142" spans="1:26" s="753" customFormat="1">
      <c r="A142" s="756" t="s">
        <v>4579</v>
      </c>
      <c r="B142" s="757"/>
      <c r="C142" s="758"/>
      <c r="D142" s="773" t="s">
        <v>9557</v>
      </c>
      <c r="E142" s="782"/>
      <c r="F142" s="774" t="s">
        <v>8583</v>
      </c>
      <c r="G142" s="981" t="s">
        <v>11113</v>
      </c>
      <c r="H142" s="772" t="str">
        <f>VLOOKUP($D142,transmitter_from_BP!$B:$F,2,0)</f>
        <v>DFU STABL. D.P. UPPER SECTION</v>
      </c>
      <c r="I142" s="981" t="s">
        <v>11113</v>
      </c>
      <c r="J142" s="772" t="str">
        <f>VLOOKUP($D142,transmitter_from_BP!$B:$F,2,0)</f>
        <v>DFU STABL. D.P. UPPER SECTION</v>
      </c>
      <c r="K142" s="981" t="s">
        <v>11690</v>
      </c>
      <c r="L142" s="1064" t="str">
        <f>VLOOKUP($D142,transmitter_from_BP!$B:$F,5,0)</f>
        <v>MBAR</v>
      </c>
      <c r="M142" s="783">
        <v>1</v>
      </c>
      <c r="N142" s="772">
        <v>1</v>
      </c>
      <c r="O142" s="783">
        <v>1</v>
      </c>
      <c r="P142" s="772">
        <v>1</v>
      </c>
      <c r="Q142" s="783">
        <v>1000</v>
      </c>
      <c r="R142" s="772">
        <v>1000</v>
      </c>
      <c r="S142" s="783">
        <v>0</v>
      </c>
      <c r="T142" s="991">
        <f>VLOOKUP($D142,transmitter_from_BP!$B:$F,4,0)</f>
        <v>0</v>
      </c>
      <c r="U142" s="783">
        <v>350</v>
      </c>
      <c r="V142" s="991">
        <f>VLOOKUP($D142,transmitter_from_BP!$B:$F,3,0)</f>
        <v>350</v>
      </c>
      <c r="W142" s="783">
        <v>0</v>
      </c>
      <c r="X142" s="772"/>
      <c r="Y142" s="783">
        <v>169.42488050395301</v>
      </c>
      <c r="Z142" s="772"/>
    </row>
    <row r="143" spans="1:26" s="753" customFormat="1">
      <c r="A143" s="756" t="s">
        <v>4579</v>
      </c>
      <c r="B143" s="757"/>
      <c r="C143" s="758"/>
      <c r="D143" s="773" t="s">
        <v>3508</v>
      </c>
      <c r="E143" s="782"/>
      <c r="F143" s="774" t="s">
        <v>8582</v>
      </c>
      <c r="G143" s="981" t="s">
        <v>11114</v>
      </c>
      <c r="H143" s="772" t="str">
        <f>VLOOKUP($D143,transmitter_from_BP!$B:$F,2,0)</f>
        <v>DFU STABL. D.P. LOWER SECTION</v>
      </c>
      <c r="I143" s="981" t="s">
        <v>11114</v>
      </c>
      <c r="J143" s="772" t="str">
        <f>VLOOKUP($D143,transmitter_from_BP!$B:$F,2,0)</f>
        <v>DFU STABL. D.P. LOWER SECTION</v>
      </c>
      <c r="K143" s="981" t="s">
        <v>11690</v>
      </c>
      <c r="L143" s="1064" t="str">
        <f>VLOOKUP($D143,transmitter_from_BP!$B:$F,5,0)</f>
        <v>MBAR</v>
      </c>
      <c r="M143" s="783">
        <v>1</v>
      </c>
      <c r="N143" s="772">
        <v>1</v>
      </c>
      <c r="O143" s="783">
        <v>1</v>
      </c>
      <c r="P143" s="772">
        <v>1</v>
      </c>
      <c r="Q143" s="783">
        <v>1000</v>
      </c>
      <c r="R143" s="772">
        <v>1000</v>
      </c>
      <c r="S143" s="783">
        <v>0</v>
      </c>
      <c r="T143" s="991">
        <f>VLOOKUP($D143,transmitter_from_BP!$B:$F,4,0)</f>
        <v>0</v>
      </c>
      <c r="U143" s="783">
        <v>200</v>
      </c>
      <c r="V143" s="991">
        <f>VLOOKUP($D143,transmitter_from_BP!$B:$F,3,0)</f>
        <v>200</v>
      </c>
      <c r="W143" s="783">
        <v>0</v>
      </c>
      <c r="X143" s="772"/>
      <c r="Y143" s="783">
        <v>97.106958166210305</v>
      </c>
      <c r="Z143" s="772"/>
    </row>
    <row r="144" spans="1:26" s="753" customFormat="1">
      <c r="A144" s="756" t="s">
        <v>4579</v>
      </c>
      <c r="B144" s="757"/>
      <c r="C144" s="758"/>
      <c r="D144" s="773" t="s">
        <v>9558</v>
      </c>
      <c r="E144" s="782"/>
      <c r="F144" s="774" t="s">
        <v>9298</v>
      </c>
      <c r="G144" s="981" t="s">
        <v>11115</v>
      </c>
      <c r="H144" s="772" t="str">
        <f>VLOOKUP($D144,transmitter_from_BP!$B:$F,2,0)</f>
        <v>CDU4 CRUDE TOWER DP</v>
      </c>
      <c r="I144" s="981" t="s">
        <v>11115</v>
      </c>
      <c r="J144" s="772" t="str">
        <f>VLOOKUP($D144,transmitter_from_BP!$B:$F,2,0)</f>
        <v>CDU4 CRUDE TOWER DP</v>
      </c>
      <c r="K144" s="981" t="s">
        <v>11680</v>
      </c>
      <c r="L144" s="1064" t="str">
        <f>VLOOKUP($D144,transmitter_from_BP!$B:$F,5,0)</f>
        <v>BAR</v>
      </c>
      <c r="M144" s="783">
        <v>0</v>
      </c>
      <c r="N144" s="772"/>
      <c r="O144" s="783">
        <v>1</v>
      </c>
      <c r="P144" s="772">
        <v>1</v>
      </c>
      <c r="Q144" s="783">
        <v>1</v>
      </c>
      <c r="R144" s="772">
        <v>1</v>
      </c>
      <c r="S144" s="783">
        <v>0</v>
      </c>
      <c r="T144" s="991">
        <f>VLOOKUP($D144,transmitter_from_BP!$B:$F,4,0)</f>
        <v>0</v>
      </c>
      <c r="U144" s="783">
        <v>2</v>
      </c>
      <c r="V144" s="991">
        <f>VLOOKUP($D144,transmitter_from_BP!$B:$F,3,0)</f>
        <v>2</v>
      </c>
      <c r="W144" s="783">
        <v>0</v>
      </c>
      <c r="X144" s="772"/>
      <c r="Y144" s="783">
        <v>0.18897826705343099</v>
      </c>
      <c r="Z144" s="772"/>
    </row>
    <row r="145" spans="1:26" s="753" customFormat="1">
      <c r="A145" s="756" t="s">
        <v>4579</v>
      </c>
      <c r="B145" s="757"/>
      <c r="C145" s="758"/>
      <c r="D145" s="773" t="s">
        <v>9559</v>
      </c>
      <c r="E145" s="782"/>
      <c r="F145" s="774" t="s">
        <v>8649</v>
      </c>
      <c r="G145" s="981" t="s">
        <v>11116</v>
      </c>
      <c r="H145" s="772" t="str">
        <f>VLOOKUP($D145,transmitter_from_BP!$B:$F,2,0)</f>
        <v>HZ2101 INLET PRESSURE</v>
      </c>
      <c r="I145" s="981" t="s">
        <v>11116</v>
      </c>
      <c r="J145" s="772" t="str">
        <f>VLOOKUP($D145,transmitter_from_BP!$B:$F,2,0)</f>
        <v>HZ2101 INLET PRESSURE</v>
      </c>
      <c r="K145" s="981" t="s">
        <v>11680</v>
      </c>
      <c r="L145" s="1064" t="str">
        <f>VLOOKUP($D145,transmitter_from_BP!$B:$F,5,0)</f>
        <v>BAR</v>
      </c>
      <c r="M145" s="783">
        <v>1</v>
      </c>
      <c r="N145" s="772">
        <v>1</v>
      </c>
      <c r="O145" s="783">
        <v>1</v>
      </c>
      <c r="P145" s="772">
        <v>1</v>
      </c>
      <c r="Q145" s="783">
        <v>1</v>
      </c>
      <c r="R145" s="772">
        <v>1</v>
      </c>
      <c r="S145" s="783">
        <v>0</v>
      </c>
      <c r="T145" s="991">
        <f>VLOOKUP($D145,transmitter_from_BP!$B:$F,4,0)</f>
        <v>0</v>
      </c>
      <c r="U145" s="783">
        <v>40</v>
      </c>
      <c r="V145" s="991">
        <f>VLOOKUP($D145,transmitter_from_BP!$B:$F,3,0)</f>
        <v>40</v>
      </c>
      <c r="W145" s="783">
        <v>0</v>
      </c>
      <c r="X145" s="772"/>
      <c r="Y145" s="783">
        <v>21.430954047382201</v>
      </c>
      <c r="Z145" s="772"/>
    </row>
    <row r="146" spans="1:26" s="753" customFormat="1">
      <c r="A146" s="756" t="s">
        <v>4579</v>
      </c>
      <c r="B146" s="757"/>
      <c r="C146" s="758"/>
      <c r="D146" s="773" t="s">
        <v>9560</v>
      </c>
      <c r="E146" s="782"/>
      <c r="F146" s="774" t="s">
        <v>9197</v>
      </c>
      <c r="G146" s="981" t="s">
        <v>11117</v>
      </c>
      <c r="H146" s="772" t="str">
        <f>VLOOKUP($D146,transmitter_from_BP!$B:$F,2,0)</f>
        <v>CDU TOWER TOP</v>
      </c>
      <c r="I146" s="981" t="s">
        <v>11117</v>
      </c>
      <c r="J146" s="772" t="str">
        <f>VLOOKUP($D146,transmitter_from_BP!$B:$F,2,0)</f>
        <v>CDU TOWER TOP</v>
      </c>
      <c r="K146" s="981" t="s">
        <v>11689</v>
      </c>
      <c r="L146" s="1064" t="str">
        <f>VLOOKUP($D146,transmitter_from_BP!$B:$F,5,0)</f>
        <v>BARG</v>
      </c>
      <c r="M146" s="783">
        <v>2</v>
      </c>
      <c r="N146" s="772">
        <v>2</v>
      </c>
      <c r="O146" s="783">
        <v>1</v>
      </c>
      <c r="P146" s="772">
        <v>1</v>
      </c>
      <c r="Q146" s="783">
        <v>1</v>
      </c>
      <c r="R146" s="772">
        <v>1</v>
      </c>
      <c r="S146" s="783">
        <v>0</v>
      </c>
      <c r="T146" s="991">
        <f>VLOOKUP($D146,transmitter_from_BP!$B:$F,4,0)</f>
        <v>0</v>
      </c>
      <c r="U146" s="783">
        <v>6.98</v>
      </c>
      <c r="V146" s="991">
        <f>VLOOKUP($D146,transmitter_from_BP!$B:$F,3,0)</f>
        <v>6.98</v>
      </c>
      <c r="W146" s="783">
        <v>0</v>
      </c>
      <c r="X146" s="772"/>
      <c r="Y146" s="783">
        <v>2.4538290002919001</v>
      </c>
      <c r="Z146" s="772"/>
    </row>
    <row r="147" spans="1:26" s="753" customFormat="1">
      <c r="A147" s="756" t="s">
        <v>4579</v>
      </c>
      <c r="B147" s="757"/>
      <c r="C147" s="758"/>
      <c r="D147" s="773" t="s">
        <v>9561</v>
      </c>
      <c r="E147" s="782"/>
      <c r="F147" s="774" t="s">
        <v>8613</v>
      </c>
      <c r="G147" s="981" t="s">
        <v>11117</v>
      </c>
      <c r="H147" s="772" t="str">
        <f>VLOOKUP($D147,transmitter_from_BP!$B:$F,2,0)</f>
        <v>CDU TOWER TOP</v>
      </c>
      <c r="I147" s="981" t="s">
        <v>11117</v>
      </c>
      <c r="J147" s="772" t="str">
        <f>VLOOKUP($D147,transmitter_from_BP!$B:$F,2,0)</f>
        <v>CDU TOWER TOP</v>
      </c>
      <c r="K147" s="981" t="s">
        <v>11680</v>
      </c>
      <c r="L147" s="1064" t="str">
        <f>VLOOKUP($D147,transmitter_from_BP!$B:$F,5,0)</f>
        <v>BAR</v>
      </c>
      <c r="M147" s="783">
        <v>2</v>
      </c>
      <c r="N147" s="772">
        <v>2</v>
      </c>
      <c r="O147" s="783">
        <v>1</v>
      </c>
      <c r="P147" s="772">
        <v>1</v>
      </c>
      <c r="Q147" s="783">
        <v>1</v>
      </c>
      <c r="R147" s="772">
        <v>1</v>
      </c>
      <c r="S147" s="783">
        <v>0</v>
      </c>
      <c r="T147" s="991">
        <f>VLOOKUP($D147,transmitter_from_BP!$B:$F,4,0)</f>
        <v>0</v>
      </c>
      <c r="U147" s="783">
        <v>6.98</v>
      </c>
      <c r="V147" s="991">
        <f>VLOOKUP($D147,transmitter_from_BP!$B:$F,3,0)</f>
        <v>6.98</v>
      </c>
      <c r="W147" s="783">
        <v>0</v>
      </c>
      <c r="X147" s="772"/>
      <c r="Y147" s="783">
        <v>2.4538290002919001</v>
      </c>
      <c r="Z147" s="772"/>
    </row>
    <row r="148" spans="1:26" s="753" customFormat="1">
      <c r="A148" s="756" t="s">
        <v>4579</v>
      </c>
      <c r="B148" s="757"/>
      <c r="C148" s="758"/>
      <c r="D148" s="773" t="s">
        <v>8614</v>
      </c>
      <c r="E148" s="782"/>
      <c r="F148" s="774" t="s">
        <v>8615</v>
      </c>
      <c r="G148" s="981" t="s">
        <v>11117</v>
      </c>
      <c r="H148" s="772" t="str">
        <f>VLOOKUP($D148,transmitter_from_BP!$B:$F,2,0)</f>
        <v>CDU TOWER TOP</v>
      </c>
      <c r="I148" s="981" t="s">
        <v>11117</v>
      </c>
      <c r="J148" s="772" t="str">
        <f>VLOOKUP($D148,transmitter_from_BP!$B:$F,2,0)</f>
        <v>CDU TOWER TOP</v>
      </c>
      <c r="K148" s="981" t="s">
        <v>11680</v>
      </c>
      <c r="L148" s="1064" t="str">
        <f>VLOOKUP($D148,transmitter_from_BP!$B:$F,5,0)</f>
        <v>BAR</v>
      </c>
      <c r="M148" s="783">
        <v>2</v>
      </c>
      <c r="N148" s="772">
        <v>2</v>
      </c>
      <c r="O148" s="783">
        <v>1</v>
      </c>
      <c r="P148" s="772">
        <v>1</v>
      </c>
      <c r="Q148" s="783">
        <v>1</v>
      </c>
      <c r="R148" s="772">
        <v>1</v>
      </c>
      <c r="S148" s="783">
        <v>0</v>
      </c>
      <c r="T148" s="991">
        <f>VLOOKUP($D148,transmitter_from_BP!$B:$F,4,0)</f>
        <v>0</v>
      </c>
      <c r="U148" s="783">
        <v>6.98</v>
      </c>
      <c r="V148" s="991">
        <f>VLOOKUP($D148,transmitter_from_BP!$B:$F,3,0)</f>
        <v>6.98</v>
      </c>
      <c r="W148" s="783">
        <v>0</v>
      </c>
      <c r="X148" s="772"/>
      <c r="Y148" s="783">
        <v>2.4538290002919001</v>
      </c>
      <c r="Z148" s="772"/>
    </row>
    <row r="149" spans="1:26" s="753" customFormat="1">
      <c r="A149" s="756" t="s">
        <v>4579</v>
      </c>
      <c r="B149" s="757"/>
      <c r="C149" s="758"/>
      <c r="D149" s="773" t="s">
        <v>9562</v>
      </c>
      <c r="E149" s="782"/>
      <c r="F149" s="774" t="s">
        <v>7928</v>
      </c>
      <c r="G149" s="981" t="s">
        <v>11118</v>
      </c>
      <c r="H149" s="772" t="str">
        <f>VLOOKUP($D149,transmitter_from_BP!$B:$F,2,0)</f>
        <v>HZ2101 PILOT GAS AFTER FILTER</v>
      </c>
      <c r="I149" s="981" t="s">
        <v>11118</v>
      </c>
      <c r="J149" s="772" t="str">
        <f>VLOOKUP($D149,transmitter_from_BP!$B:$F,2,0)</f>
        <v>HZ2101 PILOT GAS AFTER FILTER</v>
      </c>
      <c r="K149" s="981" t="s">
        <v>11689</v>
      </c>
      <c r="L149" s="1064" t="str">
        <f>VLOOKUP($D149,transmitter_from_BP!$B:$F,5,0)</f>
        <v>BARG</v>
      </c>
      <c r="M149" s="783">
        <v>2</v>
      </c>
      <c r="N149" s="772">
        <v>2</v>
      </c>
      <c r="O149" s="783">
        <v>1</v>
      </c>
      <c r="P149" s="772">
        <v>1</v>
      </c>
      <c r="Q149" s="783">
        <v>1</v>
      </c>
      <c r="R149" s="772">
        <v>1</v>
      </c>
      <c r="S149" s="783">
        <v>0</v>
      </c>
      <c r="T149" s="991">
        <f>VLOOKUP($D149,transmitter_from_BP!$B:$F,4,0)</f>
        <v>0</v>
      </c>
      <c r="U149" s="783">
        <v>10</v>
      </c>
      <c r="V149" s="991">
        <f>VLOOKUP($D149,transmitter_from_BP!$B:$F,3,0)</f>
        <v>10</v>
      </c>
      <c r="W149" s="783">
        <v>0</v>
      </c>
      <c r="X149" s="772"/>
      <c r="Y149" s="783">
        <v>3.1957566963073698</v>
      </c>
      <c r="Z149" s="772"/>
    </row>
    <row r="150" spans="1:26" s="753" customFormat="1">
      <c r="A150" s="756" t="s">
        <v>4579</v>
      </c>
      <c r="B150" s="757"/>
      <c r="C150" s="758"/>
      <c r="D150" s="773" t="s">
        <v>9563</v>
      </c>
      <c r="E150" s="782"/>
      <c r="F150" s="774" t="s">
        <v>7929</v>
      </c>
      <c r="G150" s="981" t="s">
        <v>11119</v>
      </c>
      <c r="H150" s="772" t="str">
        <f>VLOOKUP($D150,transmitter_from_BP!$B:$F,2,0)</f>
        <v>HZ2101 PILOTGAS HEADER PRESS</v>
      </c>
      <c r="I150" s="981" t="s">
        <v>11119</v>
      </c>
      <c r="J150" s="772" t="str">
        <f>VLOOKUP($D150,transmitter_from_BP!$B:$F,2,0)</f>
        <v>HZ2101 PILOTGAS HEADER PRESS</v>
      </c>
      <c r="K150" s="981" t="s">
        <v>11689</v>
      </c>
      <c r="L150" s="1064" t="str">
        <f>VLOOKUP($D150,transmitter_from_BP!$B:$F,5,0)</f>
        <v>BARG</v>
      </c>
      <c r="M150" s="783">
        <v>2</v>
      </c>
      <c r="N150" s="772">
        <v>2</v>
      </c>
      <c r="O150" s="783">
        <v>1</v>
      </c>
      <c r="P150" s="772">
        <v>1</v>
      </c>
      <c r="Q150" s="783">
        <v>1</v>
      </c>
      <c r="R150" s="772">
        <v>1</v>
      </c>
      <c r="S150" s="783">
        <v>0</v>
      </c>
      <c r="T150" s="991">
        <f>VLOOKUP($D150,transmitter_from_BP!$B:$F,4,0)</f>
        <v>0</v>
      </c>
      <c r="U150" s="783">
        <v>10</v>
      </c>
      <c r="V150" s="991">
        <f>VLOOKUP($D150,transmitter_from_BP!$B:$F,3,0)</f>
        <v>10</v>
      </c>
      <c r="W150" s="783">
        <v>0</v>
      </c>
      <c r="X150" s="772"/>
      <c r="Y150" s="783">
        <v>1.3000007472584001</v>
      </c>
      <c r="Z150" s="772"/>
    </row>
    <row r="151" spans="1:26" s="753" customFormat="1">
      <c r="A151" s="756" t="s">
        <v>4579</v>
      </c>
      <c r="B151" s="757"/>
      <c r="C151" s="758"/>
      <c r="D151" s="773" t="s">
        <v>5923</v>
      </c>
      <c r="E151" s="782"/>
      <c r="F151" s="774" t="s">
        <v>7927</v>
      </c>
      <c r="G151" s="981" t="s">
        <v>11120</v>
      </c>
      <c r="H151" s="772" t="str">
        <f>VLOOKUP($D151,transmitter_from_BP!$B:$F,2,0)</f>
        <v>INSTRUMENT AIR TO PILOTS HZ2101</v>
      </c>
      <c r="I151" s="981" t="s">
        <v>11120</v>
      </c>
      <c r="J151" s="772" t="str">
        <f>VLOOKUP($D151,transmitter_from_BP!$B:$F,2,0)</f>
        <v>INSTRUMENT AIR TO PILOTS HZ2101</v>
      </c>
      <c r="K151" s="981" t="s">
        <v>11689</v>
      </c>
      <c r="L151" s="1064" t="str">
        <f>VLOOKUP($D151,transmitter_from_BP!$B:$F,5,0)</f>
        <v>BARG</v>
      </c>
      <c r="M151" s="783">
        <v>2</v>
      </c>
      <c r="N151" s="772">
        <v>2</v>
      </c>
      <c r="O151" s="783">
        <v>1</v>
      </c>
      <c r="P151" s="772">
        <v>1</v>
      </c>
      <c r="Q151" s="783">
        <v>1</v>
      </c>
      <c r="R151" s="772">
        <v>1</v>
      </c>
      <c r="S151" s="783">
        <v>0</v>
      </c>
      <c r="T151" s="991">
        <f>VLOOKUP($D151,transmitter_from_BP!$B:$F,4,0)</f>
        <v>0</v>
      </c>
      <c r="U151" s="783">
        <v>10</v>
      </c>
      <c r="V151" s="991">
        <f>VLOOKUP($D151,transmitter_from_BP!$B:$F,3,0)</f>
        <v>10</v>
      </c>
      <c r="W151" s="783">
        <v>0</v>
      </c>
      <c r="X151" s="772"/>
      <c r="Y151" s="783">
        <v>1.1999998902367099</v>
      </c>
      <c r="Z151" s="772"/>
    </row>
    <row r="152" spans="1:26" s="753" customFormat="1">
      <c r="A152" s="756" t="s">
        <v>4579</v>
      </c>
      <c r="B152" s="757"/>
      <c r="C152" s="758"/>
      <c r="D152" s="773" t="s">
        <v>2516</v>
      </c>
      <c r="E152" s="782"/>
      <c r="F152" s="774" t="s">
        <v>8550</v>
      </c>
      <c r="G152" s="981" t="s">
        <v>11121</v>
      </c>
      <c r="H152" s="772" t="str">
        <f>VLOOKUP($D152,transmitter_from_BP!$B:$F,2,0)</f>
        <v>DESALTER DZ2101C PRESSURE</v>
      </c>
      <c r="I152" s="981" t="s">
        <v>11121</v>
      </c>
      <c r="J152" s="772" t="str">
        <f>VLOOKUP($D152,transmitter_from_BP!$B:$F,2,0)</f>
        <v>DESALTER DZ2101C PRESSURE</v>
      </c>
      <c r="K152" s="981" t="s">
        <v>11689</v>
      </c>
      <c r="L152" s="1064" t="str">
        <f>VLOOKUP($D152,transmitter_from_BP!$B:$F,5,0)</f>
        <v>BARG</v>
      </c>
      <c r="M152" s="783">
        <v>2</v>
      </c>
      <c r="N152" s="772">
        <v>2</v>
      </c>
      <c r="O152" s="783">
        <v>1</v>
      </c>
      <c r="P152" s="772">
        <v>1</v>
      </c>
      <c r="Q152" s="783">
        <v>1</v>
      </c>
      <c r="R152" s="772">
        <v>1</v>
      </c>
      <c r="S152" s="783">
        <v>0</v>
      </c>
      <c r="T152" s="991">
        <f>VLOOKUP($D152,transmitter_from_BP!$B:$F,4,0)</f>
        <v>0</v>
      </c>
      <c r="U152" s="783">
        <v>16</v>
      </c>
      <c r="V152" s="991">
        <f>VLOOKUP($D152,transmitter_from_BP!$B:$F,3,0)</f>
        <v>16</v>
      </c>
      <c r="W152" s="783">
        <v>0</v>
      </c>
      <c r="X152" s="772"/>
      <c r="Y152" s="783">
        <v>7.8094925476063102</v>
      </c>
      <c r="Z152" s="772"/>
    </row>
    <row r="153" spans="1:26" s="753" customFormat="1">
      <c r="A153" s="756" t="s">
        <v>4579</v>
      </c>
      <c r="B153" s="757"/>
      <c r="C153" s="758"/>
      <c r="D153" s="773" t="s">
        <v>9564</v>
      </c>
      <c r="E153" s="782"/>
      <c r="F153" s="774" t="s">
        <v>7926</v>
      </c>
      <c r="G153" s="981" t="s">
        <v>11122</v>
      </c>
      <c r="H153" s="772" t="str">
        <f>VLOOKUP($D153,transmitter_from_BP!$B:$F,2,0)</f>
        <v>HZ2101 FUELGAS HEADER PRESS</v>
      </c>
      <c r="I153" s="981" t="s">
        <v>11122</v>
      </c>
      <c r="J153" s="772" t="str">
        <f>VLOOKUP($D153,transmitter_from_BP!$B:$F,2,0)</f>
        <v>HZ2101 FUELGAS HEADER PRESS</v>
      </c>
      <c r="K153" s="981" t="s">
        <v>11689</v>
      </c>
      <c r="L153" s="1064" t="str">
        <f>VLOOKUP($D153,transmitter_from_BP!$B:$F,5,0)</f>
        <v>BARG</v>
      </c>
      <c r="M153" s="783">
        <v>2</v>
      </c>
      <c r="N153" s="772">
        <v>2</v>
      </c>
      <c r="O153" s="783">
        <v>1</v>
      </c>
      <c r="P153" s="772">
        <v>1</v>
      </c>
      <c r="Q153" s="783">
        <v>1</v>
      </c>
      <c r="R153" s="772">
        <v>1</v>
      </c>
      <c r="S153" s="783">
        <v>0</v>
      </c>
      <c r="T153" s="991">
        <f>VLOOKUP($D153,transmitter_from_BP!$B:$F,4,0)</f>
        <v>0</v>
      </c>
      <c r="U153" s="783">
        <v>10</v>
      </c>
      <c r="V153" s="991">
        <f>VLOOKUP($D153,transmitter_from_BP!$B:$F,3,0)</f>
        <v>10</v>
      </c>
      <c r="W153" s="783">
        <v>0</v>
      </c>
      <c r="X153" s="772"/>
      <c r="Y153" s="783">
        <v>0.25343529369586398</v>
      </c>
      <c r="Z153" s="772"/>
    </row>
    <row r="154" spans="1:26" s="753" customFormat="1">
      <c r="A154" s="756" t="s">
        <v>4579</v>
      </c>
      <c r="B154" s="757"/>
      <c r="C154" s="758"/>
      <c r="D154" s="773" t="s">
        <v>9565</v>
      </c>
      <c r="E154" s="782"/>
      <c r="F154" s="774" t="s">
        <v>8529</v>
      </c>
      <c r="G154" s="981" t="s">
        <v>11123</v>
      </c>
      <c r="H154" s="772" t="str">
        <f>VLOOKUP($D154,transmitter_from_BP!$B:$F,2,0)</f>
        <v>SUCTION PRESSURE PZ-2102A/B/C</v>
      </c>
      <c r="I154" s="981" t="s">
        <v>11123</v>
      </c>
      <c r="J154" s="772" t="str">
        <f>VLOOKUP($D154,transmitter_from_BP!$B:$F,2,0)</f>
        <v>SUCTION PRESSURE PZ-2102A/B/C</v>
      </c>
      <c r="K154" s="981" t="s">
        <v>11680</v>
      </c>
      <c r="L154" s="1064" t="str">
        <f>VLOOKUP($D154,transmitter_from_BP!$B:$F,5,0)</f>
        <v>BAR</v>
      </c>
      <c r="M154" s="783">
        <v>1</v>
      </c>
      <c r="N154" s="772">
        <v>1</v>
      </c>
      <c r="O154" s="783">
        <v>1</v>
      </c>
      <c r="P154" s="772">
        <v>1</v>
      </c>
      <c r="Q154" s="783">
        <v>1</v>
      </c>
      <c r="R154" s="772">
        <v>1</v>
      </c>
      <c r="S154" s="783">
        <v>0</v>
      </c>
      <c r="T154" s="991">
        <f>VLOOKUP($D154,transmitter_from_BP!$B:$F,4,0)</f>
        <v>0</v>
      </c>
      <c r="U154" s="783">
        <v>16</v>
      </c>
      <c r="V154" s="991">
        <f>VLOOKUP($D154,transmitter_from_BP!$B:$F,3,0)</f>
        <v>16</v>
      </c>
      <c r="W154" s="783">
        <v>0</v>
      </c>
      <c r="X154" s="772"/>
      <c r="Y154" s="783">
        <v>8.5341489002211794</v>
      </c>
      <c r="Z154" s="772"/>
    </row>
    <row r="155" spans="1:26" s="753" customFormat="1">
      <c r="A155" s="756" t="s">
        <v>4579</v>
      </c>
      <c r="B155" s="757"/>
      <c r="C155" s="758"/>
      <c r="D155" s="773" t="s">
        <v>9566</v>
      </c>
      <c r="E155" s="782"/>
      <c r="F155" s="774" t="s">
        <v>6372</v>
      </c>
      <c r="G155" s="981" t="s">
        <v>11124</v>
      </c>
      <c r="H155" s="772" t="str">
        <f>VLOOKUP($D155,transmitter_from_BP!$B:$F,2,0)</f>
        <v>PZ2153 OUTLET PRESSURE</v>
      </c>
      <c r="I155" s="981" t="s">
        <v>11124</v>
      </c>
      <c r="J155" s="772" t="str">
        <f>VLOOKUP($D155,transmitter_from_BP!$B:$F,2,0)</f>
        <v>PZ2153 OUTLET PRESSURE</v>
      </c>
      <c r="K155" s="981" t="s">
        <v>11689</v>
      </c>
      <c r="L155" s="772" t="str">
        <f>VLOOKUP($D155,transmitter_from_BP!$B:$F,5,0)</f>
        <v>BARG</v>
      </c>
      <c r="M155" s="783">
        <v>2</v>
      </c>
      <c r="N155" s="772">
        <v>2</v>
      </c>
      <c r="O155" s="783">
        <v>1</v>
      </c>
      <c r="P155" s="772">
        <v>1</v>
      </c>
      <c r="Q155" s="783">
        <v>1</v>
      </c>
      <c r="R155" s="772">
        <v>1</v>
      </c>
      <c r="S155" s="783">
        <v>0</v>
      </c>
      <c r="T155" s="991">
        <f>VLOOKUP($D155,transmitter_from_BP!$B:$F,4,0)</f>
        <v>0</v>
      </c>
      <c r="U155" s="783">
        <v>26</v>
      </c>
      <c r="V155" s="991">
        <f>VLOOKUP($D155,transmitter_from_BP!$B:$F,3,0)</f>
        <v>26</v>
      </c>
      <c r="W155" s="783">
        <v>0</v>
      </c>
      <c r="X155" s="772"/>
      <c r="Y155" s="783">
        <v>8.6359533746849504</v>
      </c>
      <c r="Z155" s="772"/>
    </row>
    <row r="156" spans="1:26" s="753" customFormat="1">
      <c r="A156" s="756" t="s">
        <v>4579</v>
      </c>
      <c r="B156" s="757"/>
      <c r="C156" s="758"/>
      <c r="D156" s="773" t="s">
        <v>9567</v>
      </c>
      <c r="E156" s="782"/>
      <c r="F156" s="774" t="s">
        <v>6383</v>
      </c>
      <c r="G156" s="981" t="s">
        <v>11125</v>
      </c>
      <c r="H156" s="772" t="str">
        <f>VLOOKUP($D156,transmitter_from_BP!$B:$F,2,0)</f>
        <v>HZ2151 INSTRUM AIRTO PILOTS</v>
      </c>
      <c r="I156" s="981" t="s">
        <v>11125</v>
      </c>
      <c r="J156" s="772" t="str">
        <f>VLOOKUP($D156,transmitter_from_BP!$B:$F,2,0)</f>
        <v>HZ2151 INSTRUM AIRTO PILOTS</v>
      </c>
      <c r="K156" s="981" t="s">
        <v>11689</v>
      </c>
      <c r="L156" s="1064" t="str">
        <f>VLOOKUP($D156,transmitter_from_BP!$B:$F,5,0)</f>
        <v>BARG</v>
      </c>
      <c r="M156" s="783">
        <v>2</v>
      </c>
      <c r="N156" s="772">
        <v>2</v>
      </c>
      <c r="O156" s="783">
        <v>1</v>
      </c>
      <c r="P156" s="772">
        <v>1</v>
      </c>
      <c r="Q156" s="783">
        <v>1</v>
      </c>
      <c r="R156" s="772">
        <v>1</v>
      </c>
      <c r="S156" s="783">
        <v>0</v>
      </c>
      <c r="T156" s="991">
        <f>VLOOKUP($D156,transmitter_from_BP!$B:$F,4,0)</f>
        <v>0</v>
      </c>
      <c r="U156" s="783">
        <v>10</v>
      </c>
      <c r="V156" s="991">
        <f>VLOOKUP($D156,transmitter_from_BP!$B:$F,3,0)</f>
        <v>10</v>
      </c>
      <c r="W156" s="783">
        <v>0</v>
      </c>
      <c r="X156" s="772"/>
      <c r="Y156" s="783">
        <v>1.3999999976620201</v>
      </c>
      <c r="Z156" s="772"/>
    </row>
    <row r="157" spans="1:26" s="753" customFormat="1">
      <c r="A157" s="756" t="s">
        <v>4579</v>
      </c>
      <c r="B157" s="757"/>
      <c r="C157" s="758"/>
      <c r="D157" s="773" t="s">
        <v>9192</v>
      </c>
      <c r="E157" s="782"/>
      <c r="F157" s="774" t="s">
        <v>9191</v>
      </c>
      <c r="G157" s="981" t="s">
        <v>11126</v>
      </c>
      <c r="H157" s="772" t="str">
        <f>VLOOKUP($D157,transmitter_from_BP!$B:$F,2,0)</f>
        <v>HZ2151 PILOTGAS HEADER PRESS</v>
      </c>
      <c r="I157" s="981" t="s">
        <v>11126</v>
      </c>
      <c r="J157" s="772" t="str">
        <f>VLOOKUP($D157,transmitter_from_BP!$B:$F,2,0)</f>
        <v>HZ2151 PILOTGAS HEADER PRESS</v>
      </c>
      <c r="K157" s="981" t="s">
        <v>11689</v>
      </c>
      <c r="L157" s="1064" t="str">
        <f>VLOOKUP($D157,transmitter_from_BP!$B:$F,5,0)</f>
        <v>BARG</v>
      </c>
      <c r="M157" s="783">
        <v>2</v>
      </c>
      <c r="N157" s="772">
        <v>2</v>
      </c>
      <c r="O157" s="783">
        <v>1</v>
      </c>
      <c r="P157" s="772">
        <v>1</v>
      </c>
      <c r="Q157" s="783">
        <v>1</v>
      </c>
      <c r="R157" s="772">
        <v>1</v>
      </c>
      <c r="S157" s="783">
        <v>0</v>
      </c>
      <c r="T157" s="991">
        <f>VLOOKUP($D157,transmitter_from_BP!$B:$F,4,0)</f>
        <v>0</v>
      </c>
      <c r="U157" s="783">
        <v>5</v>
      </c>
      <c r="V157" s="991">
        <f>VLOOKUP($D157,transmitter_from_BP!$B:$F,3,0)</f>
        <v>5</v>
      </c>
      <c r="W157" s="783">
        <v>0</v>
      </c>
      <c r="X157" s="772"/>
      <c r="Y157" s="783">
        <v>1.20000017018284</v>
      </c>
      <c r="Z157" s="772"/>
    </row>
    <row r="158" spans="1:26" s="753" customFormat="1">
      <c r="A158" s="756" t="s">
        <v>4579</v>
      </c>
      <c r="B158" s="757"/>
      <c r="C158" s="758"/>
      <c r="D158" s="773" t="s">
        <v>3122</v>
      </c>
      <c r="E158" s="782"/>
      <c r="F158" s="774" t="s">
        <v>6384</v>
      </c>
      <c r="G158" s="981" t="s">
        <v>11127</v>
      </c>
      <c r="H158" s="772" t="str">
        <f>VLOOKUP($D158,transmitter_from_BP!$B:$F,2,0)</f>
        <v>HZ2151 PILOT GAS AFTER FILTER</v>
      </c>
      <c r="I158" s="981" t="s">
        <v>11127</v>
      </c>
      <c r="J158" s="772" t="str">
        <f>VLOOKUP($D158,transmitter_from_BP!$B:$F,2,0)</f>
        <v>HZ2151 PILOT GAS AFTER FILTER</v>
      </c>
      <c r="K158" s="981" t="s">
        <v>11689</v>
      </c>
      <c r="L158" s="1064" t="str">
        <f>VLOOKUP($D158,transmitter_from_BP!$B:$F,5,0)</f>
        <v>BARG</v>
      </c>
      <c r="M158" s="783">
        <v>2</v>
      </c>
      <c r="N158" s="772">
        <v>2</v>
      </c>
      <c r="O158" s="783">
        <v>1</v>
      </c>
      <c r="P158" s="772">
        <v>1</v>
      </c>
      <c r="Q158" s="783">
        <v>1</v>
      </c>
      <c r="R158" s="772">
        <v>1</v>
      </c>
      <c r="S158" s="783">
        <v>0</v>
      </c>
      <c r="T158" s="991">
        <f>VLOOKUP($D158,transmitter_from_BP!$B:$F,4,0)</f>
        <v>0</v>
      </c>
      <c r="U158" s="783">
        <v>5</v>
      </c>
      <c r="V158" s="991">
        <f>VLOOKUP($D158,transmitter_from_BP!$B:$F,3,0)</f>
        <v>5</v>
      </c>
      <c r="W158" s="783">
        <v>0</v>
      </c>
      <c r="X158" s="772"/>
      <c r="Y158" s="783">
        <v>3.4863897254203402</v>
      </c>
      <c r="Z158" s="772"/>
    </row>
    <row r="159" spans="1:26" s="753" customFormat="1">
      <c r="A159" s="756" t="s">
        <v>4579</v>
      </c>
      <c r="B159" s="757"/>
      <c r="C159" s="758"/>
      <c r="D159" s="773" t="s">
        <v>3125</v>
      </c>
      <c r="E159" s="782"/>
      <c r="F159" s="774" t="s">
        <v>6382</v>
      </c>
      <c r="G159" s="981" t="s">
        <v>11128</v>
      </c>
      <c r="H159" s="772" t="str">
        <f>VLOOKUP($D159,transmitter_from_BP!$B:$F,2,0)</f>
        <v>HZ2151 FUELGAS HEADER PRESS</v>
      </c>
      <c r="I159" s="981" t="s">
        <v>11128</v>
      </c>
      <c r="J159" s="772" t="str">
        <f>VLOOKUP($D159,transmitter_from_BP!$B:$F,2,0)</f>
        <v>HZ2151 FUELGAS HEADER PRESS</v>
      </c>
      <c r="K159" s="981" t="s">
        <v>11689</v>
      </c>
      <c r="L159" s="1064" t="str">
        <f>VLOOKUP($D159,transmitter_from_BP!$B:$F,5,0)</f>
        <v>BARG</v>
      </c>
      <c r="M159" s="783">
        <v>2</v>
      </c>
      <c r="N159" s="772">
        <v>2</v>
      </c>
      <c r="O159" s="783">
        <v>1</v>
      </c>
      <c r="P159" s="772">
        <v>1</v>
      </c>
      <c r="Q159" s="783">
        <v>1</v>
      </c>
      <c r="R159" s="772">
        <v>1</v>
      </c>
      <c r="S159" s="783">
        <v>0</v>
      </c>
      <c r="T159" s="991">
        <f>VLOOKUP($D159,transmitter_from_BP!$B:$F,4,0)</f>
        <v>0</v>
      </c>
      <c r="U159" s="783">
        <v>5</v>
      </c>
      <c r="V159" s="991">
        <f>VLOOKUP($D159,transmitter_from_BP!$B:$F,3,0)</f>
        <v>5</v>
      </c>
      <c r="W159" s="783">
        <v>0</v>
      </c>
      <c r="X159" s="772"/>
      <c r="Y159" s="783">
        <v>2.0188474918216301</v>
      </c>
      <c r="Z159" s="772"/>
    </row>
    <row r="160" spans="1:26" s="753" customFormat="1">
      <c r="A160" s="756" t="s">
        <v>4579</v>
      </c>
      <c r="B160" s="757"/>
      <c r="C160" s="758"/>
      <c r="D160" s="773" t="s">
        <v>3703</v>
      </c>
      <c r="E160" s="782"/>
      <c r="F160" s="774" t="s">
        <v>5958</v>
      </c>
      <c r="G160" s="981" t="s">
        <v>11129</v>
      </c>
      <c r="H160" s="772" t="str">
        <f>VLOOKUP($D160,transmitter_from_BP!$B:$F,2,0)</f>
        <v>HZ2201 PILOTGAS HEADER PRESS</v>
      </c>
      <c r="I160" s="981" t="s">
        <v>11129</v>
      </c>
      <c r="J160" s="772" t="str">
        <f>VLOOKUP($D160,transmitter_from_BP!$B:$F,2,0)</f>
        <v>HZ2201 PILOTGAS HEADER PRESS</v>
      </c>
      <c r="K160" s="981" t="s">
        <v>11689</v>
      </c>
      <c r="L160" s="1064" t="str">
        <f>VLOOKUP($D160,transmitter_from_BP!$B:$F,5,0)</f>
        <v>BARG</v>
      </c>
      <c r="M160" s="783">
        <v>2</v>
      </c>
      <c r="N160" s="772">
        <v>2</v>
      </c>
      <c r="O160" s="783">
        <v>1</v>
      </c>
      <c r="P160" s="772">
        <v>1</v>
      </c>
      <c r="Q160" s="783">
        <v>1</v>
      </c>
      <c r="R160" s="772">
        <v>1</v>
      </c>
      <c r="S160" s="783">
        <v>0</v>
      </c>
      <c r="T160" s="991">
        <f>VLOOKUP($D160,transmitter_from_BP!$B:$F,4,0)</f>
        <v>0</v>
      </c>
      <c r="U160" s="783">
        <v>5</v>
      </c>
      <c r="V160" s="991">
        <f>VLOOKUP($D160,transmitter_from_BP!$B:$F,3,0)</f>
        <v>5</v>
      </c>
      <c r="W160" s="783">
        <v>0</v>
      </c>
      <c r="X160" s="772"/>
      <c r="Y160" s="783">
        <v>1.4000017973077299</v>
      </c>
      <c r="Z160" s="772"/>
    </row>
    <row r="161" spans="1:26" s="753" customFormat="1">
      <c r="A161" s="756" t="s">
        <v>4579</v>
      </c>
      <c r="B161" s="757"/>
      <c r="C161" s="758"/>
      <c r="D161" s="773" t="s">
        <v>3705</v>
      </c>
      <c r="E161" s="782"/>
      <c r="F161" s="774" t="s">
        <v>5959</v>
      </c>
      <c r="G161" s="981" t="s">
        <v>11130</v>
      </c>
      <c r="H161" s="772" t="str">
        <f>VLOOKUP($D161,transmitter_from_BP!$B:$F,2,0)</f>
        <v>HZ2201 INSTRUMENT AIR PILOTS</v>
      </c>
      <c r="I161" s="981" t="s">
        <v>11130</v>
      </c>
      <c r="J161" s="772" t="str">
        <f>VLOOKUP($D161,transmitter_from_BP!$B:$F,2,0)</f>
        <v>HZ2201 INSTRUMENT AIR PILOTS</v>
      </c>
      <c r="K161" s="981" t="s">
        <v>11689</v>
      </c>
      <c r="L161" s="1064" t="str">
        <f>VLOOKUP($D161,transmitter_from_BP!$B:$F,5,0)</f>
        <v>BARG</v>
      </c>
      <c r="M161" s="783">
        <v>2</v>
      </c>
      <c r="N161" s="772">
        <v>2</v>
      </c>
      <c r="O161" s="783">
        <v>1</v>
      </c>
      <c r="P161" s="772">
        <v>1</v>
      </c>
      <c r="Q161" s="783">
        <v>1</v>
      </c>
      <c r="R161" s="772">
        <v>1</v>
      </c>
      <c r="S161" s="783">
        <v>0</v>
      </c>
      <c r="T161" s="991">
        <f>VLOOKUP($D161,transmitter_from_BP!$B:$F,4,0)</f>
        <v>0</v>
      </c>
      <c r="U161" s="783">
        <v>10</v>
      </c>
      <c r="V161" s="991">
        <f>VLOOKUP($D161,transmitter_from_BP!$B:$F,3,0)</f>
        <v>10</v>
      </c>
      <c r="W161" s="783">
        <v>0</v>
      </c>
      <c r="X161" s="772"/>
      <c r="Y161" s="783">
        <v>1.30000000394485</v>
      </c>
      <c r="Z161" s="772"/>
    </row>
    <row r="162" spans="1:26" s="753" customFormat="1">
      <c r="A162" s="756" t="s">
        <v>4579</v>
      </c>
      <c r="B162" s="757"/>
      <c r="C162" s="758"/>
      <c r="D162" s="773" t="s">
        <v>3708</v>
      </c>
      <c r="E162" s="782"/>
      <c r="F162" s="774" t="s">
        <v>5957</v>
      </c>
      <c r="G162" s="981" t="s">
        <v>11131</v>
      </c>
      <c r="H162" s="772" t="str">
        <f>VLOOKUP($D162,transmitter_from_BP!$B:$F,2,0)</f>
        <v>HZ2201 PILOT GAS AFTER FILTER</v>
      </c>
      <c r="I162" s="981" t="s">
        <v>11131</v>
      </c>
      <c r="J162" s="772" t="str">
        <f>VLOOKUP($D162,transmitter_from_BP!$B:$F,2,0)</f>
        <v>HZ2201 PILOT GAS AFTER FILTER</v>
      </c>
      <c r="K162" s="981" t="s">
        <v>11689</v>
      </c>
      <c r="L162" s="1064" t="str">
        <f>VLOOKUP($D162,transmitter_from_BP!$B:$F,5,0)</f>
        <v>BARG</v>
      </c>
      <c r="M162" s="783">
        <v>2</v>
      </c>
      <c r="N162" s="772">
        <v>2</v>
      </c>
      <c r="O162" s="783">
        <v>1</v>
      </c>
      <c r="P162" s="772">
        <v>1</v>
      </c>
      <c r="Q162" s="783">
        <v>1</v>
      </c>
      <c r="R162" s="772">
        <v>1</v>
      </c>
      <c r="S162" s="783">
        <v>0</v>
      </c>
      <c r="T162" s="991">
        <f>VLOOKUP($D162,transmitter_from_BP!$B:$F,4,0)</f>
        <v>0</v>
      </c>
      <c r="U162" s="783">
        <v>5</v>
      </c>
      <c r="V162" s="991">
        <f>VLOOKUP($D162,transmitter_from_BP!$B:$F,3,0)</f>
        <v>5</v>
      </c>
      <c r="W162" s="783">
        <v>0</v>
      </c>
      <c r="X162" s="772"/>
      <c r="Y162" s="783">
        <v>2.8348875125786899</v>
      </c>
      <c r="Z162" s="772"/>
    </row>
    <row r="163" spans="1:26" s="753" customFormat="1">
      <c r="A163" s="756" t="s">
        <v>4579</v>
      </c>
      <c r="B163" s="757"/>
      <c r="C163" s="758"/>
      <c r="D163" s="773" t="s">
        <v>8670</v>
      </c>
      <c r="E163" s="782"/>
      <c r="F163" s="774" t="s">
        <v>8671</v>
      </c>
      <c r="G163" s="981" t="s">
        <v>11132</v>
      </c>
      <c r="H163" s="772" t="str">
        <f>VLOOKUP($D163,transmitter_from_BP!$B:$F,2,0)</f>
        <v>CDU TOWER OVERH. DRUM</v>
      </c>
      <c r="I163" s="981" t="s">
        <v>11132</v>
      </c>
      <c r="J163" s="772" t="str">
        <f>VLOOKUP($D163,transmitter_from_BP!$B:$F,2,0)</f>
        <v>CDU TOWER OVERH. DRUM</v>
      </c>
      <c r="K163" s="981" t="s">
        <v>11689</v>
      </c>
      <c r="L163" s="1064" t="str">
        <f>VLOOKUP($D163,transmitter_from_BP!$B:$F,5,0)</f>
        <v>BARG</v>
      </c>
      <c r="M163" s="783">
        <v>2</v>
      </c>
      <c r="N163" s="772">
        <v>2</v>
      </c>
      <c r="O163" s="783">
        <v>1</v>
      </c>
      <c r="P163" s="772">
        <v>1</v>
      </c>
      <c r="Q163" s="783">
        <v>1</v>
      </c>
      <c r="R163" s="772">
        <v>1</v>
      </c>
      <c r="S163" s="783">
        <v>0</v>
      </c>
      <c r="T163" s="991">
        <f>VLOOKUP($D163,transmitter_from_BP!$B:$F,4,0)</f>
        <v>0</v>
      </c>
      <c r="U163" s="783">
        <v>3</v>
      </c>
      <c r="V163" s="991">
        <f>VLOOKUP($D163,transmitter_from_BP!$B:$F,3,0)</f>
        <v>3</v>
      </c>
      <c r="W163" s="783">
        <v>0</v>
      </c>
      <c r="X163" s="772"/>
      <c r="Y163" s="783">
        <v>0.68966078036876499</v>
      </c>
      <c r="Z163" s="772"/>
    </row>
    <row r="164" spans="1:26" s="753" customFormat="1">
      <c r="A164" s="756" t="s">
        <v>4579</v>
      </c>
      <c r="B164" s="757"/>
      <c r="C164" s="758"/>
      <c r="D164" s="773" t="s">
        <v>9581</v>
      </c>
      <c r="E164" s="782"/>
      <c r="F164" s="774" t="s">
        <v>6323</v>
      </c>
      <c r="G164" s="981" t="s">
        <v>11133</v>
      </c>
      <c r="H164" s="772" t="str">
        <f>VLOOKUP($D164,transmitter_from_BP!$B:$F,2,0)</f>
        <v>FUEL GAS MIXING DRUM</v>
      </c>
      <c r="I164" s="981" t="s">
        <v>11133</v>
      </c>
      <c r="J164" s="772" t="str">
        <f>VLOOKUP($D164,transmitter_from_BP!$B:$F,2,0)</f>
        <v>FUEL GAS MIXING DRUM</v>
      </c>
      <c r="K164" s="981" t="s">
        <v>11680</v>
      </c>
      <c r="L164" s="1064" t="str">
        <f>VLOOKUP($D164,transmitter_from_BP!$B:$F,5,0)</f>
        <v>BAR</v>
      </c>
      <c r="M164" s="783">
        <v>2</v>
      </c>
      <c r="N164" s="772">
        <v>2</v>
      </c>
      <c r="O164" s="783">
        <v>1</v>
      </c>
      <c r="P164" s="772">
        <v>1</v>
      </c>
      <c r="Q164" s="783">
        <v>1</v>
      </c>
      <c r="R164" s="772">
        <v>1</v>
      </c>
      <c r="S164" s="783">
        <v>0</v>
      </c>
      <c r="T164" s="991">
        <f>VLOOKUP($D164,transmitter_from_BP!$B:$F,4,0)</f>
        <v>0</v>
      </c>
      <c r="U164" s="783">
        <v>5</v>
      </c>
      <c r="V164" s="991">
        <f>VLOOKUP($D164,transmitter_from_BP!$B:$F,3,0)</f>
        <v>5</v>
      </c>
      <c r="W164" s="783">
        <v>0</v>
      </c>
      <c r="X164" s="772"/>
      <c r="Y164" s="783">
        <v>3.48835351847457</v>
      </c>
      <c r="Z164" s="772"/>
    </row>
    <row r="165" spans="1:26" s="753" customFormat="1">
      <c r="A165" s="756" t="s">
        <v>4579</v>
      </c>
      <c r="B165" s="757"/>
      <c r="C165" s="758"/>
      <c r="D165" s="773" t="s">
        <v>9582</v>
      </c>
      <c r="E165" s="782"/>
      <c r="F165" s="774" t="s">
        <v>8621</v>
      </c>
      <c r="G165" s="981" t="s">
        <v>11134</v>
      </c>
      <c r="H165" s="772" t="str">
        <f>VLOOKUP($D165,transmitter_from_BP!$B:$F,2,0)</f>
        <v>CDU TOWER FLASHZONE PRESSURE</v>
      </c>
      <c r="I165" s="981" t="s">
        <v>11134</v>
      </c>
      <c r="J165" s="772" t="str">
        <f>VLOOKUP($D165,transmitter_from_BP!$B:$F,2,0)</f>
        <v>CDU TOWER FLASHZONE PRESSURE</v>
      </c>
      <c r="K165" s="981" t="s">
        <v>11689</v>
      </c>
      <c r="L165" s="1064" t="str">
        <f>VLOOKUP($D165,transmitter_from_BP!$B:$F,5,0)</f>
        <v>BARG</v>
      </c>
      <c r="M165" s="783">
        <v>2</v>
      </c>
      <c r="N165" s="772">
        <v>2</v>
      </c>
      <c r="O165" s="783">
        <v>1</v>
      </c>
      <c r="P165" s="772">
        <v>1</v>
      </c>
      <c r="Q165" s="783">
        <v>1</v>
      </c>
      <c r="R165" s="772">
        <v>1</v>
      </c>
      <c r="S165" s="783">
        <v>0</v>
      </c>
      <c r="T165" s="991">
        <f>VLOOKUP($D165,transmitter_from_BP!$B:$F,4,0)</f>
        <v>0</v>
      </c>
      <c r="U165" s="783">
        <v>3</v>
      </c>
      <c r="V165" s="991">
        <f>VLOOKUP($D165,transmitter_from_BP!$B:$F,3,0)</f>
        <v>3</v>
      </c>
      <c r="W165" s="783">
        <v>0</v>
      </c>
      <c r="X165" s="772"/>
      <c r="Y165" s="783">
        <v>2.6428072673453298</v>
      </c>
      <c r="Z165" s="772"/>
    </row>
    <row r="166" spans="1:26" s="753" customFormat="1">
      <c r="A166" s="756" t="s">
        <v>4579</v>
      </c>
      <c r="B166" s="757"/>
      <c r="C166" s="758"/>
      <c r="D166" s="773" t="s">
        <v>9583</v>
      </c>
      <c r="E166" s="782"/>
      <c r="F166" s="774" t="s">
        <v>8646</v>
      </c>
      <c r="G166" s="981" t="s">
        <v>11135</v>
      </c>
      <c r="H166" s="772" t="str">
        <f>VLOOKUP($D166,transmitter_from_BP!$B:$F,2,0)</f>
        <v>LGO DRIER</v>
      </c>
      <c r="I166" s="981" t="s">
        <v>11135</v>
      </c>
      <c r="J166" s="772" t="str">
        <f>VLOOKUP($D166,transmitter_from_BP!$B:$F,2,0)</f>
        <v>LGO DRIER</v>
      </c>
      <c r="K166" s="981" t="s">
        <v>11691</v>
      </c>
      <c r="L166" s="1064" t="str">
        <f>VLOOKUP($D166,transmitter_from_BP!$B:$F,5,0)</f>
        <v>MBARA</v>
      </c>
      <c r="M166" s="783">
        <v>1</v>
      </c>
      <c r="N166" s="772">
        <v>1</v>
      </c>
      <c r="O166" s="783">
        <v>1</v>
      </c>
      <c r="P166" s="772">
        <v>1</v>
      </c>
      <c r="Q166" s="783">
        <v>1000</v>
      </c>
      <c r="R166" s="772">
        <v>1000</v>
      </c>
      <c r="S166" s="783">
        <v>0</v>
      </c>
      <c r="T166" s="991">
        <f>VLOOKUP($D166,transmitter_from_BP!$B:$F,4,0)</f>
        <v>0</v>
      </c>
      <c r="U166" s="783">
        <v>1020</v>
      </c>
      <c r="V166" s="991">
        <f>VLOOKUP($D166,transmitter_from_BP!$B:$F,3,0)</f>
        <v>1020</v>
      </c>
      <c r="W166" s="783">
        <v>0</v>
      </c>
      <c r="X166" s="772"/>
      <c r="Y166" s="783">
        <v>201.83799694640999</v>
      </c>
      <c r="Z166" s="772"/>
    </row>
    <row r="167" spans="1:26" s="753" customFormat="1">
      <c r="A167" s="756" t="s">
        <v>4579</v>
      </c>
      <c r="B167" s="757"/>
      <c r="C167" s="758"/>
      <c r="D167" s="773" t="s">
        <v>9584</v>
      </c>
      <c r="E167" s="782"/>
      <c r="F167" s="774" t="s">
        <v>5791</v>
      </c>
      <c r="G167" s="981" t="s">
        <v>11136</v>
      </c>
      <c r="H167" s="772" t="str">
        <f>VLOOKUP($D167,transmitter_from_BP!$B:$F,2,0)</f>
        <v>CDU HEATER PASS 1 INLET</v>
      </c>
      <c r="I167" s="981" t="s">
        <v>11136</v>
      </c>
      <c r="J167" s="772" t="str">
        <f>VLOOKUP($D167,transmitter_from_BP!$B:$F,2,0)</f>
        <v>CDU HEATER PASS 1 INLET</v>
      </c>
      <c r="K167" s="981" t="s">
        <v>11680</v>
      </c>
      <c r="L167" s="1064" t="str">
        <f>VLOOKUP($D167,transmitter_from_BP!$B:$F,5,0)</f>
        <v>BAR</v>
      </c>
      <c r="M167" s="783">
        <v>2</v>
      </c>
      <c r="N167" s="772">
        <v>2</v>
      </c>
      <c r="O167" s="783">
        <v>1</v>
      </c>
      <c r="P167" s="772">
        <v>1</v>
      </c>
      <c r="Q167" s="783">
        <v>1</v>
      </c>
      <c r="R167" s="772">
        <v>1</v>
      </c>
      <c r="S167" s="783">
        <v>0</v>
      </c>
      <c r="T167" s="991">
        <f>VLOOKUP($D167,transmitter_from_BP!$B:$F,4,0)</f>
        <v>0</v>
      </c>
      <c r="U167" s="783">
        <v>30</v>
      </c>
      <c r="V167" s="991">
        <f>VLOOKUP($D167,transmitter_from_BP!$B:$F,3,0)</f>
        <v>30</v>
      </c>
      <c r="W167" s="783">
        <v>0</v>
      </c>
      <c r="X167" s="772"/>
      <c r="Y167" s="783">
        <v>12.8468501546705</v>
      </c>
      <c r="Z167" s="772"/>
    </row>
    <row r="168" spans="1:26" s="753" customFormat="1">
      <c r="A168" s="756" t="s">
        <v>4579</v>
      </c>
      <c r="B168" s="757"/>
      <c r="C168" s="758"/>
      <c r="D168" s="773" t="s">
        <v>2327</v>
      </c>
      <c r="E168" s="782"/>
      <c r="F168" s="774" t="s">
        <v>5792</v>
      </c>
      <c r="G168" s="981" t="s">
        <v>11137</v>
      </c>
      <c r="H168" s="772" t="str">
        <f>VLOOKUP($D168,transmitter_from_BP!$B:$F,2,0)</f>
        <v>CDU HEATER PASS 2 INLET</v>
      </c>
      <c r="I168" s="981" t="s">
        <v>11137</v>
      </c>
      <c r="J168" s="772" t="str">
        <f>VLOOKUP($D168,transmitter_from_BP!$B:$F,2,0)</f>
        <v>CDU HEATER PASS 2 INLET</v>
      </c>
      <c r="K168" s="981" t="s">
        <v>11680</v>
      </c>
      <c r="L168" s="1064" t="str">
        <f>VLOOKUP($D168,transmitter_from_BP!$B:$F,5,0)</f>
        <v>BAR</v>
      </c>
      <c r="M168" s="783">
        <v>2</v>
      </c>
      <c r="N168" s="772">
        <v>2</v>
      </c>
      <c r="O168" s="783">
        <v>1</v>
      </c>
      <c r="P168" s="772">
        <v>1</v>
      </c>
      <c r="Q168" s="783">
        <v>1</v>
      </c>
      <c r="R168" s="772">
        <v>1</v>
      </c>
      <c r="S168" s="783">
        <v>0</v>
      </c>
      <c r="T168" s="991">
        <f>VLOOKUP($D168,transmitter_from_BP!$B:$F,4,0)</f>
        <v>0</v>
      </c>
      <c r="U168" s="783">
        <v>30</v>
      </c>
      <c r="V168" s="991">
        <f>VLOOKUP($D168,transmitter_from_BP!$B:$F,3,0)</f>
        <v>30</v>
      </c>
      <c r="W168" s="783">
        <v>0</v>
      </c>
      <c r="X168" s="772"/>
      <c r="Y168" s="783">
        <v>12.8477683685008</v>
      </c>
      <c r="Z168" s="772"/>
    </row>
    <row r="169" spans="1:26" s="753" customFormat="1">
      <c r="A169" s="756" t="s">
        <v>4579</v>
      </c>
      <c r="B169" s="757"/>
      <c r="C169" s="758"/>
      <c r="D169" s="773" t="s">
        <v>9585</v>
      </c>
      <c r="E169" s="782"/>
      <c r="F169" s="774" t="s">
        <v>5793</v>
      </c>
      <c r="G169" s="981" t="s">
        <v>11138</v>
      </c>
      <c r="H169" s="772" t="str">
        <f>VLOOKUP($D169,transmitter_from_BP!$B:$F,2,0)</f>
        <v>CDU HEATER PASS 3 INLET</v>
      </c>
      <c r="I169" s="981" t="s">
        <v>11138</v>
      </c>
      <c r="J169" s="772" t="str">
        <f>VLOOKUP($D169,transmitter_from_BP!$B:$F,2,0)</f>
        <v>CDU HEATER PASS 3 INLET</v>
      </c>
      <c r="K169" s="981" t="s">
        <v>11680</v>
      </c>
      <c r="L169" s="1064" t="str">
        <f>VLOOKUP($D169,transmitter_from_BP!$B:$F,5,0)</f>
        <v>BAR</v>
      </c>
      <c r="M169" s="783">
        <v>2</v>
      </c>
      <c r="N169" s="772">
        <v>2</v>
      </c>
      <c r="O169" s="783">
        <v>1</v>
      </c>
      <c r="P169" s="772">
        <v>1</v>
      </c>
      <c r="Q169" s="783">
        <v>1</v>
      </c>
      <c r="R169" s="772">
        <v>1</v>
      </c>
      <c r="S169" s="783">
        <v>0</v>
      </c>
      <c r="T169" s="991">
        <f>VLOOKUP($D169,transmitter_from_BP!$B:$F,4,0)</f>
        <v>0</v>
      </c>
      <c r="U169" s="783">
        <v>30</v>
      </c>
      <c r="V169" s="991">
        <f>VLOOKUP($D169,transmitter_from_BP!$B:$F,3,0)</f>
        <v>30</v>
      </c>
      <c r="W169" s="783">
        <v>0</v>
      </c>
      <c r="X169" s="772"/>
      <c r="Y169" s="783">
        <v>12.8481263249748</v>
      </c>
      <c r="Z169" s="772"/>
    </row>
    <row r="170" spans="1:26" s="753" customFormat="1">
      <c r="A170" s="756" t="s">
        <v>4579</v>
      </c>
      <c r="B170" s="757"/>
      <c r="C170" s="758"/>
      <c r="D170" s="773" t="s">
        <v>9586</v>
      </c>
      <c r="E170" s="782"/>
      <c r="F170" s="774" t="s">
        <v>5794</v>
      </c>
      <c r="G170" s="981" t="s">
        <v>11139</v>
      </c>
      <c r="H170" s="772" t="str">
        <f>VLOOKUP($D170,transmitter_from_BP!$B:$F,2,0)</f>
        <v>CDU HEATER PASS 4 INLET</v>
      </c>
      <c r="I170" s="981" t="s">
        <v>11139</v>
      </c>
      <c r="J170" s="772" t="str">
        <f>VLOOKUP($D170,transmitter_from_BP!$B:$F,2,0)</f>
        <v>CDU HEATER PASS 4 INLET</v>
      </c>
      <c r="K170" s="981" t="s">
        <v>11680</v>
      </c>
      <c r="L170" s="1064" t="str">
        <f>VLOOKUP($D170,transmitter_from_BP!$B:$F,5,0)</f>
        <v>BAR</v>
      </c>
      <c r="M170" s="783">
        <v>2</v>
      </c>
      <c r="N170" s="772">
        <v>2</v>
      </c>
      <c r="O170" s="783">
        <v>1</v>
      </c>
      <c r="P170" s="772">
        <v>1</v>
      </c>
      <c r="Q170" s="783">
        <v>1</v>
      </c>
      <c r="R170" s="772">
        <v>1</v>
      </c>
      <c r="S170" s="783">
        <v>0</v>
      </c>
      <c r="T170" s="991">
        <f>VLOOKUP($D170,transmitter_from_BP!$B:$F,4,0)</f>
        <v>0</v>
      </c>
      <c r="U170" s="783">
        <v>30</v>
      </c>
      <c r="V170" s="991">
        <f>VLOOKUP($D170,transmitter_from_BP!$B:$F,3,0)</f>
        <v>30</v>
      </c>
      <c r="W170" s="783">
        <v>0</v>
      </c>
      <c r="X170" s="772"/>
      <c r="Y170" s="783">
        <v>12.848119464596399</v>
      </c>
      <c r="Z170" s="772"/>
    </row>
    <row r="171" spans="1:26" s="753" customFormat="1">
      <c r="A171" s="756" t="s">
        <v>4579</v>
      </c>
      <c r="B171" s="757"/>
      <c r="C171" s="758"/>
      <c r="D171" s="773" t="s">
        <v>9587</v>
      </c>
      <c r="E171" s="782"/>
      <c r="F171" s="774" t="s">
        <v>5795</v>
      </c>
      <c r="G171" s="981" t="s">
        <v>11140</v>
      </c>
      <c r="H171" s="772" t="str">
        <f>VLOOKUP($D171,transmitter_from_BP!$B:$F,2,0)</f>
        <v>CDU HEATER PASS 5 INLET</v>
      </c>
      <c r="I171" s="981" t="s">
        <v>11140</v>
      </c>
      <c r="J171" s="772" t="str">
        <f>VLOOKUP($D171,transmitter_from_BP!$B:$F,2,0)</f>
        <v>CDU HEATER PASS 5 INLET</v>
      </c>
      <c r="K171" s="981" t="s">
        <v>11680</v>
      </c>
      <c r="L171" s="1064" t="str">
        <f>VLOOKUP($D171,transmitter_from_BP!$B:$F,5,0)</f>
        <v>BAR</v>
      </c>
      <c r="M171" s="783">
        <v>2</v>
      </c>
      <c r="N171" s="772">
        <v>2</v>
      </c>
      <c r="O171" s="783">
        <v>1</v>
      </c>
      <c r="P171" s="772">
        <v>1</v>
      </c>
      <c r="Q171" s="783">
        <v>1</v>
      </c>
      <c r="R171" s="772">
        <v>1</v>
      </c>
      <c r="S171" s="783">
        <v>0</v>
      </c>
      <c r="T171" s="991">
        <f>VLOOKUP($D171,transmitter_from_BP!$B:$F,4,0)</f>
        <v>0</v>
      </c>
      <c r="U171" s="783">
        <v>30</v>
      </c>
      <c r="V171" s="991">
        <f>VLOOKUP($D171,transmitter_from_BP!$B:$F,3,0)</f>
        <v>30</v>
      </c>
      <c r="W171" s="783">
        <v>0</v>
      </c>
      <c r="X171" s="772"/>
      <c r="Y171" s="783">
        <v>12.8481194633053</v>
      </c>
      <c r="Z171" s="772"/>
    </row>
    <row r="172" spans="1:26" s="753" customFormat="1">
      <c r="A172" s="756" t="s">
        <v>4579</v>
      </c>
      <c r="B172" s="757"/>
      <c r="C172" s="758"/>
      <c r="D172" s="773" t="s">
        <v>9588</v>
      </c>
      <c r="E172" s="782"/>
      <c r="F172" s="774" t="s">
        <v>5796</v>
      </c>
      <c r="G172" s="981" t="s">
        <v>11141</v>
      </c>
      <c r="H172" s="772" t="str">
        <f>VLOOKUP($D172,transmitter_from_BP!$B:$F,2,0)</f>
        <v>CDU HEATER PASS 6 INLET</v>
      </c>
      <c r="I172" s="981" t="s">
        <v>11141</v>
      </c>
      <c r="J172" s="772" t="str">
        <f>VLOOKUP($D172,transmitter_from_BP!$B:$F,2,0)</f>
        <v>CDU HEATER PASS 6 INLET</v>
      </c>
      <c r="K172" s="981" t="s">
        <v>11680</v>
      </c>
      <c r="L172" s="1064" t="str">
        <f>VLOOKUP($D172,transmitter_from_BP!$B:$F,5,0)</f>
        <v>BAR</v>
      </c>
      <c r="M172" s="783">
        <v>2</v>
      </c>
      <c r="N172" s="772">
        <v>2</v>
      </c>
      <c r="O172" s="783">
        <v>1</v>
      </c>
      <c r="P172" s="772">
        <v>1</v>
      </c>
      <c r="Q172" s="783">
        <v>1</v>
      </c>
      <c r="R172" s="772">
        <v>1</v>
      </c>
      <c r="S172" s="783">
        <v>0</v>
      </c>
      <c r="T172" s="991">
        <f>VLOOKUP($D172,transmitter_from_BP!$B:$F,4,0)</f>
        <v>0</v>
      </c>
      <c r="U172" s="783">
        <v>30</v>
      </c>
      <c r="V172" s="991">
        <f>VLOOKUP($D172,transmitter_from_BP!$B:$F,3,0)</f>
        <v>30</v>
      </c>
      <c r="W172" s="783">
        <v>0</v>
      </c>
      <c r="X172" s="772"/>
      <c r="Y172" s="783">
        <v>12.848126324649501</v>
      </c>
      <c r="Z172" s="772"/>
    </row>
    <row r="173" spans="1:26" s="753" customFormat="1">
      <c r="A173" s="756" t="s">
        <v>4579</v>
      </c>
      <c r="B173" s="757"/>
      <c r="C173" s="758"/>
      <c r="D173" s="773" t="s">
        <v>9589</v>
      </c>
      <c r="E173" s="782"/>
      <c r="F173" s="774" t="s">
        <v>5797</v>
      </c>
      <c r="G173" s="981" t="s">
        <v>11142</v>
      </c>
      <c r="H173" s="772" t="str">
        <f>VLOOKUP($D173,transmitter_from_BP!$B:$F,2,0)</f>
        <v>CDU HEATER PASS 7 INLET</v>
      </c>
      <c r="I173" s="981" t="s">
        <v>11142</v>
      </c>
      <c r="J173" s="772" t="str">
        <f>VLOOKUP($D173,transmitter_from_BP!$B:$F,2,0)</f>
        <v>CDU HEATER PASS 7 INLET</v>
      </c>
      <c r="K173" s="981" t="s">
        <v>11680</v>
      </c>
      <c r="L173" s="1064" t="str">
        <f>VLOOKUP($D173,transmitter_from_BP!$B:$F,5,0)</f>
        <v>BAR</v>
      </c>
      <c r="M173" s="783">
        <v>2</v>
      </c>
      <c r="N173" s="772">
        <v>2</v>
      </c>
      <c r="O173" s="783">
        <v>1</v>
      </c>
      <c r="P173" s="772">
        <v>1</v>
      </c>
      <c r="Q173" s="783">
        <v>1</v>
      </c>
      <c r="R173" s="772">
        <v>1</v>
      </c>
      <c r="S173" s="783">
        <v>0</v>
      </c>
      <c r="T173" s="991">
        <f>VLOOKUP($D173,transmitter_from_BP!$B:$F,4,0)</f>
        <v>0</v>
      </c>
      <c r="U173" s="783">
        <v>30</v>
      </c>
      <c r="V173" s="991">
        <f>VLOOKUP($D173,transmitter_from_BP!$B:$F,3,0)</f>
        <v>30</v>
      </c>
      <c r="W173" s="783">
        <v>0</v>
      </c>
      <c r="X173" s="772"/>
      <c r="Y173" s="783">
        <v>12.8477683427896</v>
      </c>
      <c r="Z173" s="772"/>
    </row>
    <row r="174" spans="1:26" s="753" customFormat="1">
      <c r="A174" s="756" t="s">
        <v>4579</v>
      </c>
      <c r="B174" s="757"/>
      <c r="C174" s="758"/>
      <c r="D174" s="773" t="s">
        <v>2345</v>
      </c>
      <c r="E174" s="782"/>
      <c r="F174" s="774" t="s">
        <v>5798</v>
      </c>
      <c r="G174" s="981" t="s">
        <v>11143</v>
      </c>
      <c r="H174" s="772" t="str">
        <f>VLOOKUP($D174,transmitter_from_BP!$B:$F,2,0)</f>
        <v>CDU HEATER PASS 8 INLET</v>
      </c>
      <c r="I174" s="981" t="s">
        <v>11143</v>
      </c>
      <c r="J174" s="772" t="str">
        <f>VLOOKUP($D174,transmitter_from_BP!$B:$F,2,0)</f>
        <v>CDU HEATER PASS 8 INLET</v>
      </c>
      <c r="K174" s="981" t="s">
        <v>11680</v>
      </c>
      <c r="L174" s="1064" t="str">
        <f>VLOOKUP($D174,transmitter_from_BP!$B:$F,5,0)</f>
        <v>BAR</v>
      </c>
      <c r="M174" s="783">
        <v>2</v>
      </c>
      <c r="N174" s="772">
        <v>2</v>
      </c>
      <c r="O174" s="783">
        <v>1</v>
      </c>
      <c r="P174" s="772">
        <v>1</v>
      </c>
      <c r="Q174" s="783">
        <v>1</v>
      </c>
      <c r="R174" s="772">
        <v>1</v>
      </c>
      <c r="S174" s="783">
        <v>0</v>
      </c>
      <c r="T174" s="991">
        <f>VLOOKUP($D174,transmitter_from_BP!$B:$F,4,0)</f>
        <v>0</v>
      </c>
      <c r="U174" s="783">
        <v>30</v>
      </c>
      <c r="V174" s="991">
        <f>VLOOKUP($D174,transmitter_from_BP!$B:$F,3,0)</f>
        <v>30</v>
      </c>
      <c r="W174" s="783">
        <v>0</v>
      </c>
      <c r="X174" s="772"/>
      <c r="Y174" s="783">
        <v>12.847612291536</v>
      </c>
      <c r="Z174" s="772"/>
    </row>
    <row r="175" spans="1:26" s="753" customFormat="1">
      <c r="A175" s="756" t="s">
        <v>4579</v>
      </c>
      <c r="B175" s="757"/>
      <c r="C175" s="758"/>
      <c r="D175" s="773" t="s">
        <v>5917</v>
      </c>
      <c r="E175" s="782"/>
      <c r="F175" s="774" t="s">
        <v>5916</v>
      </c>
      <c r="G175" s="981" t="s">
        <v>11144</v>
      </c>
      <c r="H175" s="772" t="str">
        <f>VLOOKUP($D175,transmitter_from_BP!$B:$F,2,0)</f>
        <v>FUELGAS TO HZ2101</v>
      </c>
      <c r="I175" s="981" t="s">
        <v>11144</v>
      </c>
      <c r="J175" s="772" t="str">
        <f>VLOOKUP($D175,transmitter_from_BP!$B:$F,2,0)</f>
        <v>FUELGAS TO HZ2101</v>
      </c>
      <c r="K175" s="981" t="s">
        <v>11680</v>
      </c>
      <c r="L175" s="1064" t="str">
        <f>VLOOKUP($D175,transmitter_from_BP!$B:$F,5,0)</f>
        <v>BAR</v>
      </c>
      <c r="M175" s="783">
        <v>2</v>
      </c>
      <c r="N175" s="772">
        <v>2</v>
      </c>
      <c r="O175" s="783">
        <v>1</v>
      </c>
      <c r="P175" s="772">
        <v>1</v>
      </c>
      <c r="Q175" s="783">
        <v>1</v>
      </c>
      <c r="R175" s="772">
        <v>1</v>
      </c>
      <c r="S175" s="783">
        <v>0</v>
      </c>
      <c r="T175" s="991">
        <f>VLOOKUP($D175,transmitter_from_BP!$B:$F,4,0)</f>
        <v>0</v>
      </c>
      <c r="U175" s="783">
        <v>6</v>
      </c>
      <c r="V175" s="991">
        <f>VLOOKUP($D175,transmitter_from_BP!$B:$F,3,0)</f>
        <v>6</v>
      </c>
      <c r="W175" s="783">
        <v>0</v>
      </c>
      <c r="X175" s="772"/>
      <c r="Y175" s="783">
        <v>3.1368256482007602</v>
      </c>
      <c r="Z175" s="772"/>
    </row>
    <row r="176" spans="1:26" s="753" customFormat="1">
      <c r="A176" s="756" t="s">
        <v>4579</v>
      </c>
      <c r="B176" s="757"/>
      <c r="C176" s="758"/>
      <c r="D176" s="773" t="s">
        <v>1682</v>
      </c>
      <c r="E176" s="782"/>
      <c r="F176" s="774" t="s">
        <v>8768</v>
      </c>
      <c r="G176" s="981" t="s">
        <v>11145</v>
      </c>
      <c r="H176" s="772" t="str">
        <f>VLOOKUP($D176,transmitter_from_BP!$B:$F,2,0)</f>
        <v>VACUUM HGO/LGO COOLER EZ2118</v>
      </c>
      <c r="I176" s="981" t="s">
        <v>11145</v>
      </c>
      <c r="J176" s="772" t="str">
        <f>VLOOKUP($D176,transmitter_from_BP!$B:$F,2,0)</f>
        <v>VACUUM HGO/LGO COOLER EZ2118</v>
      </c>
      <c r="K176" s="981" t="s">
        <v>11691</v>
      </c>
      <c r="L176" s="1064" t="str">
        <f>VLOOKUP($D176,transmitter_from_BP!$B:$F,5,0)</f>
        <v>MBARA</v>
      </c>
      <c r="M176" s="783">
        <v>1</v>
      </c>
      <c r="N176" s="772">
        <v>1</v>
      </c>
      <c r="O176" s="783">
        <v>1</v>
      </c>
      <c r="P176" s="772">
        <v>1</v>
      </c>
      <c r="Q176" s="783">
        <v>1000</v>
      </c>
      <c r="R176" s="772">
        <v>1000</v>
      </c>
      <c r="S176" s="783">
        <v>0</v>
      </c>
      <c r="T176" s="991">
        <f>VLOOKUP($D176,transmitter_from_BP!$B:$F,4,0)</f>
        <v>0</v>
      </c>
      <c r="U176" s="783">
        <v>380</v>
      </c>
      <c r="V176" s="991">
        <f>VLOOKUP($D176,transmitter_from_BP!$B:$F,3,0)</f>
        <v>380</v>
      </c>
      <c r="W176" s="783">
        <v>0</v>
      </c>
      <c r="X176" s="772"/>
      <c r="Y176" s="783">
        <v>139.37266970978101</v>
      </c>
      <c r="Z176" s="772"/>
    </row>
    <row r="177" spans="1:26" s="753" customFormat="1">
      <c r="A177" s="756" t="s">
        <v>4579</v>
      </c>
      <c r="B177" s="757"/>
      <c r="C177" s="758"/>
      <c r="D177" s="773" t="s">
        <v>5985</v>
      </c>
      <c r="E177" s="782"/>
      <c r="F177" s="774" t="s">
        <v>7930</v>
      </c>
      <c r="G177" s="981" t="s">
        <v>11146</v>
      </c>
      <c r="H177" s="772" t="str">
        <f>VLOOKUP($D177,transmitter_from_BP!$B:$F,2,0)</f>
        <v>HZ2101 PILOTGAS HEADER PRES A</v>
      </c>
      <c r="I177" s="981" t="s">
        <v>11146</v>
      </c>
      <c r="J177" s="772" t="str">
        <f>VLOOKUP($D177,transmitter_from_BP!$B:$F,2,0)</f>
        <v>HZ2101 PILOTGAS HEADER PRES A</v>
      </c>
      <c r="K177" s="981" t="s">
        <v>11689</v>
      </c>
      <c r="L177" s="1064" t="str">
        <f>VLOOKUP($D177,transmitter_from_BP!$B:$F,5,0)</f>
        <v>BARG</v>
      </c>
      <c r="M177" s="783">
        <v>2</v>
      </c>
      <c r="N177" s="772">
        <v>2</v>
      </c>
      <c r="O177" s="783">
        <v>1</v>
      </c>
      <c r="P177" s="772">
        <v>1</v>
      </c>
      <c r="Q177" s="783">
        <v>1</v>
      </c>
      <c r="R177" s="772">
        <v>1</v>
      </c>
      <c r="S177" s="783">
        <v>0</v>
      </c>
      <c r="T177" s="772">
        <f>VLOOKUP($D177,transmitter_from_BP!$B:$F,4,0)</f>
        <v>0</v>
      </c>
      <c r="U177" s="783">
        <v>10</v>
      </c>
      <c r="V177" s="772">
        <f>VLOOKUP($D177,transmitter_from_BP!$B:$F,3,0)</f>
        <v>10</v>
      </c>
      <c r="W177" s="783">
        <v>0</v>
      </c>
      <c r="X177" s="772"/>
      <c r="Y177" s="783">
        <v>1.3000007472584001</v>
      </c>
      <c r="Z177" s="772"/>
    </row>
    <row r="178" spans="1:26" s="753" customFormat="1">
      <c r="A178" s="756" t="s">
        <v>4579</v>
      </c>
      <c r="B178" s="757"/>
      <c r="C178" s="758"/>
      <c r="D178" s="773" t="s">
        <v>5986</v>
      </c>
      <c r="E178" s="782"/>
      <c r="F178" s="774" t="s">
        <v>7931</v>
      </c>
      <c r="G178" s="981" t="s">
        <v>11147</v>
      </c>
      <c r="H178" s="772" t="str">
        <f>VLOOKUP($D178,transmitter_from_BP!$B:$F,2,0)</f>
        <v>HZ2101 PILOTGAS HEADER PRES B</v>
      </c>
      <c r="I178" s="981" t="s">
        <v>11147</v>
      </c>
      <c r="J178" s="772" t="str">
        <f>VLOOKUP($D178,transmitter_from_BP!$B:$F,2,0)</f>
        <v>HZ2101 PILOTGAS HEADER PRES B</v>
      </c>
      <c r="K178" s="981" t="s">
        <v>11689</v>
      </c>
      <c r="L178" s="1064" t="str">
        <f>VLOOKUP($D178,transmitter_from_BP!$B:$F,5,0)</f>
        <v>BARG</v>
      </c>
      <c r="M178" s="783">
        <v>2</v>
      </c>
      <c r="N178" s="772">
        <v>2</v>
      </c>
      <c r="O178" s="783">
        <v>1</v>
      </c>
      <c r="P178" s="772">
        <v>1</v>
      </c>
      <c r="Q178" s="783">
        <v>1</v>
      </c>
      <c r="R178" s="772">
        <v>1</v>
      </c>
      <c r="S178" s="783">
        <v>0</v>
      </c>
      <c r="T178" s="991">
        <f>VLOOKUP($D178,transmitter_from_BP!$B:$F,4,0)</f>
        <v>0</v>
      </c>
      <c r="U178" s="783">
        <v>10</v>
      </c>
      <c r="V178" s="991">
        <f>VLOOKUP($D178,transmitter_from_BP!$B:$F,3,0)</f>
        <v>10</v>
      </c>
      <c r="W178" s="783">
        <v>0</v>
      </c>
      <c r="X178" s="772"/>
      <c r="Y178" s="783">
        <v>1.3000007472584001</v>
      </c>
      <c r="Z178" s="772"/>
    </row>
    <row r="179" spans="1:26" s="753" customFormat="1">
      <c r="A179" s="756" t="s">
        <v>4579</v>
      </c>
      <c r="B179" s="757"/>
      <c r="C179" s="758"/>
      <c r="D179" s="773" t="s">
        <v>2539</v>
      </c>
      <c r="E179" s="782"/>
      <c r="F179" s="774" t="s">
        <v>9340</v>
      </c>
      <c r="G179" s="981" t="s">
        <v>11148</v>
      </c>
      <c r="H179" s="772" t="str">
        <f>VLOOKUP($D179,transmitter_from_BP!$B:$F,2,0)</f>
        <v>DESALTER C PRESSURE A</v>
      </c>
      <c r="I179" s="981" t="s">
        <v>11148</v>
      </c>
      <c r="J179" s="772" t="str">
        <f>VLOOKUP($D179,transmitter_from_BP!$B:$F,2,0)</f>
        <v>DESALTER C PRESSURE A</v>
      </c>
      <c r="K179" s="981" t="s">
        <v>11689</v>
      </c>
      <c r="L179" s="1064" t="str">
        <f>VLOOKUP($D179,transmitter_from_BP!$B:$F,5,0)</f>
        <v>BARG</v>
      </c>
      <c r="M179" s="783">
        <v>2</v>
      </c>
      <c r="N179" s="772">
        <v>2</v>
      </c>
      <c r="O179" s="783">
        <v>1</v>
      </c>
      <c r="P179" s="772">
        <v>1</v>
      </c>
      <c r="Q179" s="783">
        <v>1</v>
      </c>
      <c r="R179" s="772">
        <v>1</v>
      </c>
      <c r="S179" s="783">
        <v>0</v>
      </c>
      <c r="T179" s="991">
        <f>VLOOKUP($D179,transmitter_from_BP!$B:$F,4,0)</f>
        <v>0</v>
      </c>
      <c r="U179" s="783">
        <v>100</v>
      </c>
      <c r="V179" s="991">
        <f>VLOOKUP($D179,transmitter_from_BP!$B:$F,3,0)</f>
        <v>100</v>
      </c>
      <c r="W179" s="783">
        <v>0</v>
      </c>
      <c r="X179" s="772"/>
      <c r="Y179" s="783">
        <v>7.8094925476063102</v>
      </c>
      <c r="Z179" s="772"/>
    </row>
    <row r="180" spans="1:26" s="753" customFormat="1">
      <c r="A180" s="756" t="s">
        <v>4579</v>
      </c>
      <c r="B180" s="757"/>
      <c r="C180" s="758"/>
      <c r="D180" s="773" t="s">
        <v>2542</v>
      </c>
      <c r="E180" s="782"/>
      <c r="F180" s="774" t="s">
        <v>9240</v>
      </c>
      <c r="G180" s="981" t="s">
        <v>11149</v>
      </c>
      <c r="H180" s="772" t="str">
        <f>VLOOKUP($D180,transmitter_from_BP!$B:$F,2,0)</f>
        <v>DESALTER C PRESSURE B</v>
      </c>
      <c r="I180" s="981" t="s">
        <v>11149</v>
      </c>
      <c r="J180" s="772" t="str">
        <f>VLOOKUP($D180,transmitter_from_BP!$B:$F,2,0)</f>
        <v>DESALTER C PRESSURE B</v>
      </c>
      <c r="K180" s="981" t="s">
        <v>11689</v>
      </c>
      <c r="L180" s="1064" t="str">
        <f>VLOOKUP($D180,transmitter_from_BP!$B:$F,5,0)</f>
        <v>BARG</v>
      </c>
      <c r="M180" s="783">
        <v>2</v>
      </c>
      <c r="N180" s="772">
        <v>2</v>
      </c>
      <c r="O180" s="783">
        <v>1</v>
      </c>
      <c r="P180" s="772">
        <v>1</v>
      </c>
      <c r="Q180" s="783">
        <v>1</v>
      </c>
      <c r="R180" s="772">
        <v>1</v>
      </c>
      <c r="S180" s="783">
        <v>0</v>
      </c>
      <c r="T180" s="991">
        <f>VLOOKUP($D180,transmitter_from_BP!$B:$F,4,0)</f>
        <v>0</v>
      </c>
      <c r="U180" s="783">
        <v>100</v>
      </c>
      <c r="V180" s="991">
        <f>VLOOKUP($D180,transmitter_from_BP!$B:$F,3,0)</f>
        <v>100</v>
      </c>
      <c r="W180" s="783">
        <v>0</v>
      </c>
      <c r="X180" s="772"/>
      <c r="Y180" s="783">
        <v>7.8094925476063102</v>
      </c>
      <c r="Z180" s="772"/>
    </row>
    <row r="181" spans="1:26" s="753" customFormat="1">
      <c r="A181" s="756" t="s">
        <v>4579</v>
      </c>
      <c r="B181" s="757"/>
      <c r="C181" s="758"/>
      <c r="D181" s="773" t="s">
        <v>2545</v>
      </c>
      <c r="E181" s="782"/>
      <c r="F181" s="774" t="s">
        <v>9328</v>
      </c>
      <c r="G181" s="981" t="s">
        <v>11150</v>
      </c>
      <c r="H181" s="772" t="str">
        <f>VLOOKUP($D181,transmitter_from_BP!$B:$F,2,0)</f>
        <v>DESALTER C PRESSURE C</v>
      </c>
      <c r="I181" s="981" t="s">
        <v>11150</v>
      </c>
      <c r="J181" s="772" t="str">
        <f>VLOOKUP($D181,transmitter_from_BP!$B:$F,2,0)</f>
        <v>DESALTER C PRESSURE C</v>
      </c>
      <c r="K181" s="981" t="s">
        <v>11689</v>
      </c>
      <c r="L181" s="1064" t="str">
        <f>VLOOKUP($D181,transmitter_from_BP!$B:$F,5,0)</f>
        <v>BARG</v>
      </c>
      <c r="M181" s="783">
        <v>2</v>
      </c>
      <c r="N181" s="772">
        <v>2</v>
      </c>
      <c r="O181" s="783">
        <v>1</v>
      </c>
      <c r="P181" s="772">
        <v>1</v>
      </c>
      <c r="Q181" s="783">
        <v>1</v>
      </c>
      <c r="R181" s="772">
        <v>1</v>
      </c>
      <c r="S181" s="783">
        <v>0</v>
      </c>
      <c r="T181" s="991">
        <f>VLOOKUP($D181,transmitter_from_BP!$B:$F,4,0)</f>
        <v>0</v>
      </c>
      <c r="U181" s="783">
        <v>100</v>
      </c>
      <c r="V181" s="991">
        <f>VLOOKUP($D181,transmitter_from_BP!$B:$F,3,0)</f>
        <v>100</v>
      </c>
      <c r="W181" s="783">
        <v>0</v>
      </c>
      <c r="X181" s="772"/>
      <c r="Y181" s="783">
        <v>7.8094925476063102</v>
      </c>
      <c r="Z181" s="772"/>
    </row>
    <row r="182" spans="1:26" s="753" customFormat="1">
      <c r="A182" s="756" t="s">
        <v>4579</v>
      </c>
      <c r="B182" s="757"/>
      <c r="C182" s="758"/>
      <c r="D182" s="773" t="s">
        <v>9590</v>
      </c>
      <c r="E182" s="782"/>
      <c r="F182" s="774" t="s">
        <v>5888</v>
      </c>
      <c r="G182" s="981" t="s">
        <v>11065</v>
      </c>
      <c r="H182" s="772" t="str">
        <f>VLOOKUP($D182,transmitter_from_BP!$B:$F,2,0)</f>
        <v>COLD AIR INLET EZ2125A</v>
      </c>
      <c r="I182" s="981" t="s">
        <v>11065</v>
      </c>
      <c r="J182" s="772" t="str">
        <f>VLOOKUP($D182,transmitter_from_BP!$B:$F,2,0)</f>
        <v>COLD AIR INLET EZ2125A</v>
      </c>
      <c r="K182" s="981" t="s">
        <v>11692</v>
      </c>
      <c r="L182" s="1064" t="str">
        <f>VLOOKUP($D182,transmitter_from_BP!$B:$F,5,0)</f>
        <v>MBARG</v>
      </c>
      <c r="M182" s="783">
        <v>2</v>
      </c>
      <c r="N182" s="772">
        <v>2</v>
      </c>
      <c r="O182" s="783">
        <v>1</v>
      </c>
      <c r="P182" s="772">
        <v>1</v>
      </c>
      <c r="Q182" s="783">
        <v>1000</v>
      </c>
      <c r="R182" s="772">
        <v>1000</v>
      </c>
      <c r="S182" s="783">
        <v>-20</v>
      </c>
      <c r="T182" s="991">
        <f>VLOOKUP($D182,transmitter_from_BP!$B:$F,4,0)</f>
        <v>-20</v>
      </c>
      <c r="U182" s="783">
        <v>80</v>
      </c>
      <c r="V182" s="991">
        <f>VLOOKUP($D182,transmitter_from_BP!$B:$F,3,0)</f>
        <v>80</v>
      </c>
      <c r="W182" s="783">
        <v>0</v>
      </c>
      <c r="X182" s="772"/>
      <c r="Y182" s="783">
        <v>21.007852870896201</v>
      </c>
      <c r="Z182" s="772"/>
    </row>
    <row r="183" spans="1:26" s="753" customFormat="1">
      <c r="A183" s="756" t="s">
        <v>4579</v>
      </c>
      <c r="B183" s="757"/>
      <c r="C183" s="758"/>
      <c r="D183" s="773" t="s">
        <v>5914</v>
      </c>
      <c r="E183" s="782"/>
      <c r="F183" s="774" t="s">
        <v>7932</v>
      </c>
      <c r="G183" s="981" t="s">
        <v>11151</v>
      </c>
      <c r="H183" s="772" t="str">
        <f>VLOOKUP($D183,transmitter_from_BP!$B:$F,2,0)</f>
        <v>HOT AIR OUTLET EZ2125A</v>
      </c>
      <c r="I183" s="981" t="s">
        <v>11151</v>
      </c>
      <c r="J183" s="772" t="str">
        <f>VLOOKUP($D183,transmitter_from_BP!$B:$F,2,0)</f>
        <v>HOT AIR OUTLET EZ2125A</v>
      </c>
      <c r="K183" s="981" t="s">
        <v>11692</v>
      </c>
      <c r="L183" s="1064" t="str">
        <f>VLOOKUP($D183,transmitter_from_BP!$B:$F,5,0)</f>
        <v>MBARG</v>
      </c>
      <c r="M183" s="783">
        <v>2</v>
      </c>
      <c r="N183" s="772">
        <v>2</v>
      </c>
      <c r="O183" s="783">
        <v>1</v>
      </c>
      <c r="P183" s="772">
        <v>1</v>
      </c>
      <c r="Q183" s="783">
        <v>1000</v>
      </c>
      <c r="R183" s="772">
        <v>1000</v>
      </c>
      <c r="S183" s="783">
        <v>-20</v>
      </c>
      <c r="T183" s="991">
        <f>VLOOKUP($D183,transmitter_from_BP!$B:$F,4,0)</f>
        <v>-20</v>
      </c>
      <c r="U183" s="783">
        <v>80</v>
      </c>
      <c r="V183" s="991">
        <f>VLOOKUP($D183,transmitter_from_BP!$B:$F,3,0)</f>
        <v>80</v>
      </c>
      <c r="W183" s="783">
        <v>0</v>
      </c>
      <c r="X183" s="772"/>
      <c r="Y183" s="783">
        <v>15.6405839975803</v>
      </c>
      <c r="Z183" s="772"/>
    </row>
    <row r="184" spans="1:26" s="753" customFormat="1">
      <c r="A184" s="756" t="s">
        <v>4579</v>
      </c>
      <c r="B184" s="757"/>
      <c r="C184" s="758"/>
      <c r="D184" s="773" t="s">
        <v>9591</v>
      </c>
      <c r="E184" s="782"/>
      <c r="F184" s="774" t="s">
        <v>5896</v>
      </c>
      <c r="G184" s="981" t="s">
        <v>11152</v>
      </c>
      <c r="H184" s="772" t="str">
        <f>VLOOKUP($D184,transmitter_from_BP!$B:$F,2,0)</f>
        <v>FLUEGAS INLET EZ2125A</v>
      </c>
      <c r="I184" s="981" t="s">
        <v>11152</v>
      </c>
      <c r="J184" s="772" t="str">
        <f>VLOOKUP($D184,transmitter_from_BP!$B:$F,2,0)</f>
        <v>FLUEGAS INLET EZ2125A</v>
      </c>
      <c r="K184" s="981" t="s">
        <v>11692</v>
      </c>
      <c r="L184" s="1064" t="str">
        <f>VLOOKUP($D184,transmitter_from_BP!$B:$F,5,0)</f>
        <v>MBARG</v>
      </c>
      <c r="M184" s="783">
        <v>2</v>
      </c>
      <c r="N184" s="772">
        <v>2</v>
      </c>
      <c r="O184" s="783">
        <v>1</v>
      </c>
      <c r="P184" s="772">
        <v>1</v>
      </c>
      <c r="Q184" s="783">
        <v>1000</v>
      </c>
      <c r="R184" s="772">
        <v>1000</v>
      </c>
      <c r="S184" s="783">
        <v>-40</v>
      </c>
      <c r="T184" s="991">
        <f>VLOOKUP($D184,transmitter_from_BP!$B:$F,4,0)</f>
        <v>-40</v>
      </c>
      <c r="U184" s="783">
        <v>20</v>
      </c>
      <c r="V184" s="991">
        <f>VLOOKUP($D184,transmitter_from_BP!$B:$F,3,0)</f>
        <v>20</v>
      </c>
      <c r="W184" s="783">
        <v>0</v>
      </c>
      <c r="X184" s="772"/>
      <c r="Y184" s="783">
        <v>-2.08326314962033</v>
      </c>
      <c r="Z184" s="772"/>
    </row>
    <row r="185" spans="1:26" s="753" customFormat="1">
      <c r="A185" s="756" t="s">
        <v>4579</v>
      </c>
      <c r="B185" s="757"/>
      <c r="C185" s="758"/>
      <c r="D185" s="773" t="s">
        <v>9592</v>
      </c>
      <c r="E185" s="782"/>
      <c r="F185" s="774" t="s">
        <v>5898</v>
      </c>
      <c r="G185" s="981" t="s">
        <v>11153</v>
      </c>
      <c r="H185" s="772" t="str">
        <f>VLOOKUP($D185,transmitter_from_BP!$B:$F,2,0)</f>
        <v>FLUEGAS OUTLET EZ2125A</v>
      </c>
      <c r="I185" s="981" t="s">
        <v>11153</v>
      </c>
      <c r="J185" s="772" t="str">
        <f>VLOOKUP($D185,transmitter_from_BP!$B:$F,2,0)</f>
        <v>FLUEGAS OUTLET EZ2125A</v>
      </c>
      <c r="K185" s="981" t="s">
        <v>11692</v>
      </c>
      <c r="L185" s="1064" t="str">
        <f>VLOOKUP($D185,transmitter_from_BP!$B:$F,5,0)</f>
        <v>MBARG</v>
      </c>
      <c r="M185" s="783">
        <v>2</v>
      </c>
      <c r="N185" s="772">
        <v>2</v>
      </c>
      <c r="O185" s="783">
        <v>1</v>
      </c>
      <c r="P185" s="772">
        <v>1</v>
      </c>
      <c r="Q185" s="783">
        <v>1000</v>
      </c>
      <c r="R185" s="772">
        <v>1000</v>
      </c>
      <c r="S185" s="783">
        <v>-40</v>
      </c>
      <c r="T185" s="991">
        <f>VLOOKUP($D185,transmitter_from_BP!$B:$F,4,0)</f>
        <v>-40</v>
      </c>
      <c r="U185" s="783">
        <v>20</v>
      </c>
      <c r="V185" s="991">
        <f>VLOOKUP($D185,transmitter_from_BP!$B:$F,3,0)</f>
        <v>20</v>
      </c>
      <c r="W185" s="783">
        <v>0</v>
      </c>
      <c r="X185" s="772"/>
      <c r="Y185" s="783">
        <v>-13.3121387093083</v>
      </c>
      <c r="Z185" s="772"/>
    </row>
    <row r="186" spans="1:26" s="753" customFormat="1">
      <c r="A186" s="756" t="s">
        <v>4579</v>
      </c>
      <c r="B186" s="757"/>
      <c r="C186" s="758"/>
      <c r="D186" s="773" t="s">
        <v>9593</v>
      </c>
      <c r="E186" s="782"/>
      <c r="F186" s="774" t="s">
        <v>5889</v>
      </c>
      <c r="G186" s="981" t="s">
        <v>11066</v>
      </c>
      <c r="H186" s="772" t="str">
        <f>VLOOKUP($D186,transmitter_from_BP!$B:$F,2,0)</f>
        <v>COLD AIR INLET EZ2125B</v>
      </c>
      <c r="I186" s="981" t="s">
        <v>11066</v>
      </c>
      <c r="J186" s="772" t="str">
        <f>VLOOKUP($D186,transmitter_from_BP!$B:$F,2,0)</f>
        <v>COLD AIR INLET EZ2125B</v>
      </c>
      <c r="K186" s="981" t="s">
        <v>11692</v>
      </c>
      <c r="L186" s="1064" t="str">
        <f>VLOOKUP($D186,transmitter_from_BP!$B:$F,5,0)</f>
        <v>MBARG</v>
      </c>
      <c r="M186" s="783">
        <v>2</v>
      </c>
      <c r="N186" s="772">
        <v>2</v>
      </c>
      <c r="O186" s="783">
        <v>1</v>
      </c>
      <c r="P186" s="772">
        <v>1</v>
      </c>
      <c r="Q186" s="783">
        <v>1000</v>
      </c>
      <c r="R186" s="772">
        <v>1000</v>
      </c>
      <c r="S186" s="783">
        <v>-20</v>
      </c>
      <c r="T186" s="991">
        <f>VLOOKUP($D186,transmitter_from_BP!$B:$F,4,0)</f>
        <v>-20</v>
      </c>
      <c r="U186" s="783">
        <v>80</v>
      </c>
      <c r="V186" s="991">
        <f>VLOOKUP($D186,transmitter_from_BP!$B:$F,3,0)</f>
        <v>80</v>
      </c>
      <c r="W186" s="783">
        <v>0</v>
      </c>
      <c r="X186" s="772"/>
      <c r="Y186" s="783">
        <v>21.007852870896201</v>
      </c>
      <c r="Z186" s="772"/>
    </row>
    <row r="187" spans="1:26" s="753" customFormat="1">
      <c r="A187" s="756" t="s">
        <v>4579</v>
      </c>
      <c r="B187" s="757"/>
      <c r="C187" s="758"/>
      <c r="D187" s="773" t="s">
        <v>5915</v>
      </c>
      <c r="E187" s="782"/>
      <c r="F187" s="774" t="s">
        <v>7933</v>
      </c>
      <c r="G187" s="981" t="s">
        <v>11154</v>
      </c>
      <c r="H187" s="772" t="str">
        <f>VLOOKUP($D187,transmitter_from_BP!$B:$F,2,0)</f>
        <v>HOT AIR OUTLET EZ2125B</v>
      </c>
      <c r="I187" s="981" t="s">
        <v>11154</v>
      </c>
      <c r="J187" s="772" t="str">
        <f>VLOOKUP($D187,transmitter_from_BP!$B:$F,2,0)</f>
        <v>HOT AIR OUTLET EZ2125B</v>
      </c>
      <c r="K187" s="981" t="s">
        <v>11692</v>
      </c>
      <c r="L187" s="1064" t="str">
        <f>VLOOKUP($D187,transmitter_from_BP!$B:$F,5,0)</f>
        <v>MBARG</v>
      </c>
      <c r="M187" s="783">
        <v>2</v>
      </c>
      <c r="N187" s="772">
        <v>2</v>
      </c>
      <c r="O187" s="783">
        <v>1</v>
      </c>
      <c r="P187" s="772">
        <v>1</v>
      </c>
      <c r="Q187" s="783">
        <v>1000</v>
      </c>
      <c r="R187" s="772">
        <v>1000</v>
      </c>
      <c r="S187" s="783">
        <v>-20</v>
      </c>
      <c r="T187" s="991">
        <f>VLOOKUP($D187,transmitter_from_BP!$B:$F,4,0)</f>
        <v>-20</v>
      </c>
      <c r="U187" s="783">
        <v>80</v>
      </c>
      <c r="V187" s="991">
        <f>VLOOKUP($D187,transmitter_from_BP!$B:$F,3,0)</f>
        <v>80</v>
      </c>
      <c r="W187" s="783">
        <v>0</v>
      </c>
      <c r="X187" s="772"/>
      <c r="Y187" s="783">
        <v>15.6405839975803</v>
      </c>
      <c r="Z187" s="772"/>
    </row>
    <row r="188" spans="1:26" s="753" customFormat="1">
      <c r="A188" s="756" t="s">
        <v>4579</v>
      </c>
      <c r="B188" s="757"/>
      <c r="C188" s="758"/>
      <c r="D188" s="773" t="s">
        <v>9594</v>
      </c>
      <c r="E188" s="782"/>
      <c r="F188" s="774" t="s">
        <v>5897</v>
      </c>
      <c r="G188" s="981" t="s">
        <v>11155</v>
      </c>
      <c r="H188" s="772" t="str">
        <f>VLOOKUP($D188,transmitter_from_BP!$B:$F,2,0)</f>
        <v>FLUEGAS INLET EZ2125B</v>
      </c>
      <c r="I188" s="981" t="s">
        <v>11155</v>
      </c>
      <c r="J188" s="772" t="str">
        <f>VLOOKUP($D188,transmitter_from_BP!$B:$F,2,0)</f>
        <v>FLUEGAS INLET EZ2125B</v>
      </c>
      <c r="K188" s="981" t="s">
        <v>11692</v>
      </c>
      <c r="L188" s="1064" t="str">
        <f>VLOOKUP($D188,transmitter_from_BP!$B:$F,5,0)</f>
        <v>MBARG</v>
      </c>
      <c r="M188" s="783">
        <v>2</v>
      </c>
      <c r="N188" s="772">
        <v>2</v>
      </c>
      <c r="O188" s="783">
        <v>1</v>
      </c>
      <c r="P188" s="772">
        <v>1</v>
      </c>
      <c r="Q188" s="783">
        <v>1000</v>
      </c>
      <c r="R188" s="772">
        <v>1000</v>
      </c>
      <c r="S188" s="783">
        <v>-40</v>
      </c>
      <c r="T188" s="991">
        <f>VLOOKUP($D188,transmitter_from_BP!$B:$F,4,0)</f>
        <v>-40</v>
      </c>
      <c r="U188" s="783">
        <v>20</v>
      </c>
      <c r="V188" s="991">
        <f>VLOOKUP($D188,transmitter_from_BP!$B:$F,3,0)</f>
        <v>20</v>
      </c>
      <c r="W188" s="783">
        <v>0</v>
      </c>
      <c r="X188" s="772"/>
      <c r="Y188" s="783">
        <v>-2.08326314962033</v>
      </c>
      <c r="Z188" s="772"/>
    </row>
    <row r="189" spans="1:26" s="753" customFormat="1">
      <c r="A189" s="756" t="s">
        <v>4579</v>
      </c>
      <c r="B189" s="757"/>
      <c r="C189" s="758"/>
      <c r="D189" s="773" t="s">
        <v>9595</v>
      </c>
      <c r="E189" s="782"/>
      <c r="F189" s="774" t="s">
        <v>5899</v>
      </c>
      <c r="G189" s="981" t="s">
        <v>11156</v>
      </c>
      <c r="H189" s="772" t="str">
        <f>VLOOKUP($D189,transmitter_from_BP!$B:$F,2,0)</f>
        <v>FLUEGAS OUTLET EZ2125B</v>
      </c>
      <c r="I189" s="981" t="s">
        <v>11156</v>
      </c>
      <c r="J189" s="772" t="str">
        <f>VLOOKUP($D189,transmitter_from_BP!$B:$F,2,0)</f>
        <v>FLUEGAS OUTLET EZ2125B</v>
      </c>
      <c r="K189" s="981" t="s">
        <v>11692</v>
      </c>
      <c r="L189" s="1064" t="str">
        <f>VLOOKUP($D189,transmitter_from_BP!$B:$F,5,0)</f>
        <v>MBARG</v>
      </c>
      <c r="M189" s="783">
        <v>2</v>
      </c>
      <c r="N189" s="772">
        <v>2</v>
      </c>
      <c r="O189" s="783">
        <v>1</v>
      </c>
      <c r="P189" s="772">
        <v>1</v>
      </c>
      <c r="Q189" s="783">
        <v>1000</v>
      </c>
      <c r="R189" s="772">
        <v>1000</v>
      </c>
      <c r="S189" s="783">
        <v>-40</v>
      </c>
      <c r="T189" s="991">
        <f>VLOOKUP($D189,transmitter_from_BP!$B:$F,4,0)</f>
        <v>-40</v>
      </c>
      <c r="U189" s="783">
        <v>20</v>
      </c>
      <c r="V189" s="991">
        <f>VLOOKUP($D189,transmitter_from_BP!$B:$F,3,0)</f>
        <v>20</v>
      </c>
      <c r="W189" s="783">
        <v>0</v>
      </c>
      <c r="X189" s="772"/>
      <c r="Y189" s="783">
        <v>-13.312138709309499</v>
      </c>
      <c r="Z189" s="772"/>
    </row>
    <row r="190" spans="1:26" s="753" customFormat="1">
      <c r="A190" s="756" t="s">
        <v>4579</v>
      </c>
      <c r="B190" s="757"/>
      <c r="C190" s="758"/>
      <c r="D190" s="773" t="s">
        <v>9596</v>
      </c>
      <c r="E190" s="782"/>
      <c r="F190" s="774" t="s">
        <v>9270</v>
      </c>
      <c r="G190" s="981" t="s">
        <v>11157</v>
      </c>
      <c r="H190" s="772" t="str">
        <f>VLOOKUP($D190,transmitter_from_BP!$B:$F,2,0)</f>
        <v>SEAL GAS PZ2118B</v>
      </c>
      <c r="I190" s="981" t="s">
        <v>11157</v>
      </c>
      <c r="J190" s="772" t="str">
        <f>VLOOKUP($D190,transmitter_from_BP!$B:$F,2,0)</f>
        <v>SEAL GAS PZ2118B</v>
      </c>
      <c r="K190" s="981" t="s">
        <v>11680</v>
      </c>
      <c r="L190" s="1064" t="str">
        <f>VLOOKUP($D190,transmitter_from_BP!$B:$F,5,0)</f>
        <v>BAR</v>
      </c>
      <c r="M190" s="783">
        <v>2</v>
      </c>
      <c r="N190" s="772">
        <v>2</v>
      </c>
      <c r="O190" s="783">
        <v>1</v>
      </c>
      <c r="P190" s="772">
        <v>1</v>
      </c>
      <c r="Q190" s="783">
        <v>1</v>
      </c>
      <c r="R190" s="772">
        <v>1</v>
      </c>
      <c r="S190" s="783">
        <v>0</v>
      </c>
      <c r="T190" s="991">
        <f>VLOOKUP($D190,transmitter_from_BP!$B:$F,4,0)</f>
        <v>0</v>
      </c>
      <c r="U190" s="783">
        <v>16</v>
      </c>
      <c r="V190" s="991">
        <f>VLOOKUP($D190,transmitter_from_BP!$B:$F,3,0)</f>
        <v>16</v>
      </c>
      <c r="W190" s="783">
        <v>0</v>
      </c>
      <c r="X190" s="772"/>
      <c r="Y190" s="783">
        <v>0.98675000000000002</v>
      </c>
      <c r="Z190" s="772"/>
    </row>
    <row r="191" spans="1:26" s="753" customFormat="1">
      <c r="A191" s="756" t="s">
        <v>4579</v>
      </c>
      <c r="B191" s="757"/>
      <c r="C191" s="758"/>
      <c r="D191" s="773" t="s">
        <v>9597</v>
      </c>
      <c r="E191" s="782"/>
      <c r="F191" s="774" t="s">
        <v>5895</v>
      </c>
      <c r="G191" s="981" t="s">
        <v>11158</v>
      </c>
      <c r="H191" s="772" t="str">
        <f>VLOOKUP($D191,transmitter_from_BP!$B:$F,2,0)</f>
        <v>CDU HTR RADNT SECTN - DAMPR</v>
      </c>
      <c r="I191" s="981" t="s">
        <v>11158</v>
      </c>
      <c r="J191" s="772" t="str">
        <f>VLOOKUP($D191,transmitter_from_BP!$B:$F,2,0)</f>
        <v>CDU HTR RADNT SECTN - DAMPR</v>
      </c>
      <c r="K191" s="981" t="s">
        <v>11693</v>
      </c>
      <c r="L191" s="1064" t="str">
        <f>VLOOKUP($D191,transmitter_from_BP!$B:$F,5,0)</f>
        <v>MMWG</v>
      </c>
      <c r="M191" s="783">
        <v>2</v>
      </c>
      <c r="N191" s="772">
        <v>2</v>
      </c>
      <c r="O191" s="783">
        <v>1</v>
      </c>
      <c r="P191" s="772">
        <v>1</v>
      </c>
      <c r="Q191" s="783">
        <v>10197.44289</v>
      </c>
      <c r="R191" s="772">
        <v>10197.44289</v>
      </c>
      <c r="S191" s="783">
        <v>-70</v>
      </c>
      <c r="T191" s="991">
        <f>VLOOKUP($D191,transmitter_from_BP!$B:$F,4,0)</f>
        <v>-70</v>
      </c>
      <c r="U191" s="783">
        <v>70</v>
      </c>
      <c r="V191" s="991">
        <f>VLOOKUP($D191,transmitter_from_BP!$B:$F,3,0)</f>
        <v>70</v>
      </c>
      <c r="W191" s="783">
        <v>0</v>
      </c>
      <c r="X191" s="772"/>
      <c r="Y191" s="783">
        <v>-11.998028832341699</v>
      </c>
      <c r="Z191" s="772"/>
    </row>
    <row r="192" spans="1:26" s="753" customFormat="1">
      <c r="A192" s="756" t="s">
        <v>4579</v>
      </c>
      <c r="B192" s="757"/>
      <c r="C192" s="758"/>
      <c r="D192" s="773" t="s">
        <v>9598</v>
      </c>
      <c r="E192" s="782"/>
      <c r="F192" s="774" t="s">
        <v>5886</v>
      </c>
      <c r="G192" s="981" t="s">
        <v>11158</v>
      </c>
      <c r="H192" s="772" t="str">
        <f>VLOOKUP($D192,transmitter_from_BP!$B:$F,2,0)</f>
        <v>CDU HTR RADNT SECTN - DAMPR</v>
      </c>
      <c r="I192" s="981" t="s">
        <v>11158</v>
      </c>
      <c r="J192" s="772" t="str">
        <f>VLOOKUP($D192,transmitter_from_BP!$B:$F,2,0)</f>
        <v>CDU HTR RADNT SECTN - DAMPR</v>
      </c>
      <c r="K192" s="981" t="s">
        <v>11693</v>
      </c>
      <c r="L192" s="1064" t="str">
        <f>VLOOKUP($D192,transmitter_from_BP!$B:$F,5,0)</f>
        <v>MMWG</v>
      </c>
      <c r="M192" s="783">
        <v>2</v>
      </c>
      <c r="N192" s="772">
        <v>2</v>
      </c>
      <c r="O192" s="783">
        <v>1</v>
      </c>
      <c r="P192" s="772">
        <v>1</v>
      </c>
      <c r="Q192" s="783">
        <v>10197.44289</v>
      </c>
      <c r="R192" s="772">
        <v>10197.44289</v>
      </c>
      <c r="S192" s="783">
        <v>-70</v>
      </c>
      <c r="T192" s="991">
        <f>VLOOKUP($D192,transmitter_from_BP!$B:$F,4,0)</f>
        <v>-70</v>
      </c>
      <c r="U192" s="783">
        <v>70</v>
      </c>
      <c r="V192" s="991">
        <f>VLOOKUP($D192,transmitter_from_BP!$B:$F,3,0)</f>
        <v>70</v>
      </c>
      <c r="W192" s="783">
        <v>0</v>
      </c>
      <c r="X192" s="772"/>
      <c r="Y192" s="783">
        <v>-11.998028832341699</v>
      </c>
      <c r="Z192" s="772"/>
    </row>
    <row r="193" spans="1:26" s="753" customFormat="1">
      <c r="A193" s="756" t="s">
        <v>4579</v>
      </c>
      <c r="B193" s="757"/>
      <c r="C193" s="758"/>
      <c r="D193" s="773" t="s">
        <v>9599</v>
      </c>
      <c r="E193" s="782"/>
      <c r="F193" s="774" t="s">
        <v>5887</v>
      </c>
      <c r="G193" s="981" t="s">
        <v>11158</v>
      </c>
      <c r="H193" s="772" t="str">
        <f>VLOOKUP($D193,transmitter_from_BP!$B:$F,2,0)</f>
        <v>CDU HTR RADNT SECTN - DAMPR</v>
      </c>
      <c r="I193" s="981" t="s">
        <v>11158</v>
      </c>
      <c r="J193" s="772" t="str">
        <f>VLOOKUP($D193,transmitter_from_BP!$B:$F,2,0)</f>
        <v>CDU HTR RADNT SECTN - DAMPR</v>
      </c>
      <c r="K193" s="981" t="s">
        <v>11693</v>
      </c>
      <c r="L193" s="1064" t="str">
        <f>VLOOKUP($D193,transmitter_from_BP!$B:$F,5,0)</f>
        <v>MMWG</v>
      </c>
      <c r="M193" s="783">
        <v>2</v>
      </c>
      <c r="N193" s="772">
        <v>2</v>
      </c>
      <c r="O193" s="783">
        <v>1</v>
      </c>
      <c r="P193" s="772">
        <v>1</v>
      </c>
      <c r="Q193" s="783">
        <v>10197.44289</v>
      </c>
      <c r="R193" s="772">
        <v>10197.44289</v>
      </c>
      <c r="S193" s="783">
        <v>-70</v>
      </c>
      <c r="T193" s="991">
        <f>VLOOKUP($D193,transmitter_from_BP!$B:$F,4,0)</f>
        <v>-70</v>
      </c>
      <c r="U193" s="783">
        <v>70</v>
      </c>
      <c r="V193" s="991">
        <f>VLOOKUP($D193,transmitter_from_BP!$B:$F,3,0)</f>
        <v>70</v>
      </c>
      <c r="W193" s="783">
        <v>0</v>
      </c>
      <c r="X193" s="772"/>
      <c r="Y193" s="783">
        <v>-11.998028832341699</v>
      </c>
      <c r="Z193" s="772"/>
    </row>
    <row r="194" spans="1:26" s="753" customFormat="1">
      <c r="A194" s="756" t="s">
        <v>4579</v>
      </c>
      <c r="B194" s="757"/>
      <c r="C194" s="758"/>
      <c r="D194" s="773" t="s">
        <v>9600</v>
      </c>
      <c r="E194" s="782"/>
      <c r="F194" s="774" t="s">
        <v>8572</v>
      </c>
      <c r="G194" s="981" t="s">
        <v>11159</v>
      </c>
      <c r="H194" s="772" t="str">
        <f>VLOOKUP($D194,transmitter_from_BP!$B:$F,2,0)</f>
        <v>CDU4 KERO TO STORAGE</v>
      </c>
      <c r="I194" s="981" t="s">
        <v>11159</v>
      </c>
      <c r="J194" s="772" t="str">
        <f>VLOOKUP($D194,transmitter_from_BP!$B:$F,2,0)</f>
        <v>CDU4 KERO TO STORAGE</v>
      </c>
      <c r="K194" s="981" t="s">
        <v>11680</v>
      </c>
      <c r="L194" s="1064" t="str">
        <f>VLOOKUP($D194,transmitter_from_BP!$B:$F,5,0)</f>
        <v>BAR</v>
      </c>
      <c r="M194" s="783">
        <v>2</v>
      </c>
      <c r="N194" s="772">
        <v>2</v>
      </c>
      <c r="O194" s="783">
        <v>1</v>
      </c>
      <c r="P194" s="772">
        <v>1</v>
      </c>
      <c r="Q194" s="783">
        <v>1</v>
      </c>
      <c r="R194" s="772">
        <v>1</v>
      </c>
      <c r="S194" s="783">
        <v>0</v>
      </c>
      <c r="T194" s="991">
        <f>VLOOKUP($D194,transmitter_from_BP!$B:$F,4,0)</f>
        <v>0</v>
      </c>
      <c r="U194" s="783">
        <v>10</v>
      </c>
      <c r="V194" s="991">
        <f>VLOOKUP($D194,transmitter_from_BP!$B:$F,3,0)</f>
        <v>10</v>
      </c>
      <c r="W194" s="783">
        <v>0</v>
      </c>
      <c r="X194" s="772"/>
      <c r="Y194" s="783">
        <v>10</v>
      </c>
      <c r="Z194" s="772"/>
    </row>
    <row r="195" spans="1:26" s="753" customFormat="1">
      <c r="A195" s="756" t="s">
        <v>4579</v>
      </c>
      <c r="B195" s="757"/>
      <c r="C195" s="758"/>
      <c r="D195" s="773" t="s">
        <v>9601</v>
      </c>
      <c r="E195" s="782"/>
      <c r="F195" s="774" t="s">
        <v>9258</v>
      </c>
      <c r="G195" s="981" t="s">
        <v>11160</v>
      </c>
      <c r="H195" s="772" t="str">
        <f>VLOOKUP($D195,transmitter_from_BP!$B:$F,2,0)</f>
        <v>HP STEAM TO VACUUM JETS</v>
      </c>
      <c r="I195" s="981" t="s">
        <v>11160</v>
      </c>
      <c r="J195" s="772" t="str">
        <f>VLOOKUP($D195,transmitter_from_BP!$B:$F,2,0)</f>
        <v>HP STEAM TO VACUUM JETS</v>
      </c>
      <c r="K195" s="981" t="s">
        <v>11680</v>
      </c>
      <c r="L195" s="1064" t="str">
        <f>VLOOKUP($D195,transmitter_from_BP!$B:$F,5,0)</f>
        <v>BAR</v>
      </c>
      <c r="M195" s="783">
        <v>2</v>
      </c>
      <c r="N195" s="772">
        <v>2</v>
      </c>
      <c r="O195" s="783">
        <v>1</v>
      </c>
      <c r="P195" s="772">
        <v>1</v>
      </c>
      <c r="Q195" s="783">
        <v>1</v>
      </c>
      <c r="R195" s="772">
        <v>1</v>
      </c>
      <c r="S195" s="783">
        <v>0</v>
      </c>
      <c r="T195" s="991">
        <f>VLOOKUP($D195,transmitter_from_BP!$B:$F,4,0)</f>
        <v>0</v>
      </c>
      <c r="U195" s="783">
        <v>40</v>
      </c>
      <c r="V195" s="991">
        <f>VLOOKUP($D195,transmitter_from_BP!$B:$F,3,0)</f>
        <v>40</v>
      </c>
      <c r="W195" s="783">
        <v>0</v>
      </c>
      <c r="X195" s="772"/>
      <c r="Y195" s="783">
        <v>26.58</v>
      </c>
      <c r="Z195" s="772"/>
    </row>
    <row r="196" spans="1:26" s="753" customFormat="1">
      <c r="A196" s="756" t="s">
        <v>4579</v>
      </c>
      <c r="B196" s="757"/>
      <c r="C196" s="758"/>
      <c r="D196" s="773" t="s">
        <v>2915</v>
      </c>
      <c r="E196" s="782"/>
      <c r="F196" s="774" t="s">
        <v>6375</v>
      </c>
      <c r="G196" s="981" t="s">
        <v>11161</v>
      </c>
      <c r="H196" s="772" t="str">
        <f>VLOOKUP($D196,transmitter_from_BP!$B:$F,2,0)</f>
        <v>INLET PRESSURE DZ2153</v>
      </c>
      <c r="I196" s="981" t="s">
        <v>11161</v>
      </c>
      <c r="J196" s="772" t="str">
        <f>VLOOKUP($D196,transmitter_from_BP!$B:$F,2,0)</f>
        <v>INLET PRESSURE DZ2153</v>
      </c>
      <c r="K196" s="981" t="s">
        <v>11689</v>
      </c>
      <c r="L196" s="1064" t="str">
        <f>VLOOKUP($D196,transmitter_from_BP!$B:$F,5,0)</f>
        <v>BARG</v>
      </c>
      <c r="M196" s="783">
        <v>2</v>
      </c>
      <c r="N196" s="772">
        <v>2</v>
      </c>
      <c r="O196" s="783">
        <v>1</v>
      </c>
      <c r="P196" s="772">
        <v>1</v>
      </c>
      <c r="Q196" s="783">
        <v>1</v>
      </c>
      <c r="R196" s="772">
        <v>1</v>
      </c>
      <c r="S196" s="783">
        <v>0</v>
      </c>
      <c r="T196" s="991">
        <f>VLOOKUP($D196,transmitter_from_BP!$B:$F,4,0)</f>
        <v>0</v>
      </c>
      <c r="U196" s="783">
        <v>40</v>
      </c>
      <c r="V196" s="991">
        <f>VLOOKUP($D196,transmitter_from_BP!$B:$F,3,0)</f>
        <v>40</v>
      </c>
      <c r="W196" s="783">
        <v>0</v>
      </c>
      <c r="X196" s="772"/>
      <c r="Y196" s="783">
        <v>27.014031855901099</v>
      </c>
      <c r="Z196" s="772"/>
    </row>
    <row r="197" spans="1:26" s="753" customFormat="1">
      <c r="A197" s="756" t="s">
        <v>4579</v>
      </c>
      <c r="B197" s="757"/>
      <c r="C197" s="758"/>
      <c r="D197" s="773" t="s">
        <v>9602</v>
      </c>
      <c r="E197" s="782"/>
      <c r="F197" s="774" t="s">
        <v>6333</v>
      </c>
      <c r="G197" s="981" t="s">
        <v>11162</v>
      </c>
      <c r="H197" s="772" t="str">
        <f>VLOOKUP($D197,transmitter_from_BP!$B:$F,2,0)</f>
        <v>DHT LP SEPARATOR</v>
      </c>
      <c r="I197" s="981" t="s">
        <v>11162</v>
      </c>
      <c r="J197" s="772" t="str">
        <f>VLOOKUP($D197,transmitter_from_BP!$B:$F,2,0)</f>
        <v>DHT LP SEPARATOR</v>
      </c>
      <c r="K197" s="981" t="s">
        <v>11689</v>
      </c>
      <c r="L197" s="1064" t="str">
        <f>VLOOKUP($D197,transmitter_from_BP!$B:$F,5,0)</f>
        <v>BARG</v>
      </c>
      <c r="M197" s="783">
        <v>2</v>
      </c>
      <c r="N197" s="772">
        <v>2</v>
      </c>
      <c r="O197" s="783">
        <v>1</v>
      </c>
      <c r="P197" s="772">
        <v>1</v>
      </c>
      <c r="Q197" s="783">
        <v>1</v>
      </c>
      <c r="R197" s="772">
        <v>1</v>
      </c>
      <c r="S197" s="783">
        <v>0</v>
      </c>
      <c r="T197" s="991">
        <f>VLOOKUP($D197,transmitter_from_BP!$B:$F,4,0)</f>
        <v>0</v>
      </c>
      <c r="U197" s="783">
        <v>10</v>
      </c>
      <c r="V197" s="991">
        <f>VLOOKUP($D197,transmitter_from_BP!$B:$F,3,0)</f>
        <v>10</v>
      </c>
      <c r="W197" s="783">
        <v>0</v>
      </c>
      <c r="X197" s="772"/>
      <c r="Y197" s="783">
        <v>10</v>
      </c>
      <c r="Z197" s="772"/>
    </row>
    <row r="198" spans="1:26" s="753" customFormat="1">
      <c r="A198" s="756" t="s">
        <v>4579</v>
      </c>
      <c r="B198" s="757"/>
      <c r="C198" s="758"/>
      <c r="D198" s="773" t="s">
        <v>2862</v>
      </c>
      <c r="E198" s="782"/>
      <c r="F198" s="774" t="s">
        <v>9281</v>
      </c>
      <c r="G198" s="981" t="s">
        <v>11163</v>
      </c>
      <c r="H198" s="772" t="str">
        <f>VLOOKUP($D198,transmitter_from_BP!$B:$F,2,0)</f>
        <v>DHT REACTOR</v>
      </c>
      <c r="I198" s="981" t="s">
        <v>11163</v>
      </c>
      <c r="J198" s="772" t="str">
        <f>VLOOKUP($D198,transmitter_from_BP!$B:$F,2,0)</f>
        <v>DHT REACTOR</v>
      </c>
      <c r="K198" s="981" t="s">
        <v>11689</v>
      </c>
      <c r="L198" s="1064" t="str">
        <f>VLOOKUP($D198,transmitter_from_BP!$B:$F,5,0)</f>
        <v>BARG</v>
      </c>
      <c r="M198" s="783">
        <v>2</v>
      </c>
      <c r="N198" s="772">
        <v>2</v>
      </c>
      <c r="O198" s="783">
        <v>1</v>
      </c>
      <c r="P198" s="772">
        <v>1</v>
      </c>
      <c r="Q198" s="783">
        <v>1</v>
      </c>
      <c r="R198" s="772">
        <v>1</v>
      </c>
      <c r="S198" s="783">
        <v>0</v>
      </c>
      <c r="T198" s="991">
        <f>VLOOKUP($D198,transmitter_from_BP!$B:$F,4,0)</f>
        <v>0</v>
      </c>
      <c r="U198" s="783">
        <v>50</v>
      </c>
      <c r="V198" s="991">
        <f>VLOOKUP($D198,transmitter_from_BP!$B:$F,3,0)</f>
        <v>50</v>
      </c>
      <c r="W198" s="783">
        <v>0</v>
      </c>
      <c r="X198" s="772"/>
      <c r="Y198" s="783">
        <v>34.231496610188202</v>
      </c>
      <c r="Z198" s="772"/>
    </row>
    <row r="199" spans="1:26" s="753" customFormat="1">
      <c r="A199" s="756" t="s">
        <v>4579</v>
      </c>
      <c r="B199" s="757"/>
      <c r="C199" s="758"/>
      <c r="D199" s="773" t="s">
        <v>2870</v>
      </c>
      <c r="E199" s="782"/>
      <c r="F199" s="774" t="s">
        <v>6380</v>
      </c>
      <c r="G199" s="981" t="s">
        <v>11101</v>
      </c>
      <c r="H199" s="772" t="str">
        <f>VLOOKUP($D199,transmitter_from_BP!$B:$F,2,0)</f>
        <v>LUBE OIL</v>
      </c>
      <c r="I199" s="981" t="s">
        <v>11101</v>
      </c>
      <c r="J199" s="772" t="str">
        <f>VLOOKUP($D199,transmitter_from_BP!$B:$F,2,0)</f>
        <v>LUBE OIL</v>
      </c>
      <c r="K199" s="981" t="s">
        <v>11680</v>
      </c>
      <c r="L199" s="1064" t="str">
        <f>VLOOKUP($D199,transmitter_from_BP!$B:$F,5,0)</f>
        <v>BAR</v>
      </c>
      <c r="M199" s="783">
        <v>1</v>
      </c>
      <c r="N199" s="772">
        <v>1</v>
      </c>
      <c r="O199" s="783">
        <v>1</v>
      </c>
      <c r="P199" s="772">
        <v>1</v>
      </c>
      <c r="Q199" s="783">
        <v>1</v>
      </c>
      <c r="R199" s="772">
        <v>1</v>
      </c>
      <c r="S199" s="783">
        <v>0</v>
      </c>
      <c r="T199" s="991">
        <f>VLOOKUP($D199,transmitter_from_BP!$B:$F,4,0)</f>
        <v>0</v>
      </c>
      <c r="U199" s="783">
        <v>4</v>
      </c>
      <c r="V199" s="991">
        <f>VLOOKUP($D199,transmitter_from_BP!$B:$F,3,0)</f>
        <v>4</v>
      </c>
      <c r="W199" s="783">
        <v>0</v>
      </c>
      <c r="X199" s="772"/>
      <c r="Y199" s="783">
        <v>2.0454067924945298</v>
      </c>
      <c r="Z199" s="772"/>
    </row>
    <row r="200" spans="1:26" s="753" customFormat="1">
      <c r="A200" s="756" t="s">
        <v>4579</v>
      </c>
      <c r="B200" s="757"/>
      <c r="C200" s="758"/>
      <c r="D200" s="773" t="s">
        <v>9603</v>
      </c>
      <c r="E200" s="782"/>
      <c r="F200" s="774" t="s">
        <v>6381</v>
      </c>
      <c r="G200" s="981" t="s">
        <v>11101</v>
      </c>
      <c r="H200" s="772" t="str">
        <f>VLOOKUP($D200,transmitter_from_BP!$B:$F,2,0)</f>
        <v>LUBE OIL</v>
      </c>
      <c r="I200" s="981" t="s">
        <v>11101</v>
      </c>
      <c r="J200" s="772" t="str">
        <f>VLOOKUP($D200,transmitter_from_BP!$B:$F,2,0)</f>
        <v>LUBE OIL</v>
      </c>
      <c r="K200" s="981" t="s">
        <v>11680</v>
      </c>
      <c r="L200" s="1064" t="str">
        <f>VLOOKUP($D200,transmitter_from_BP!$B:$F,5,0)</f>
        <v>BAR</v>
      </c>
      <c r="M200" s="783">
        <v>1</v>
      </c>
      <c r="N200" s="772">
        <v>1</v>
      </c>
      <c r="O200" s="783">
        <v>1</v>
      </c>
      <c r="P200" s="772">
        <v>1</v>
      </c>
      <c r="Q200" s="783">
        <v>1</v>
      </c>
      <c r="R200" s="772">
        <v>1</v>
      </c>
      <c r="S200" s="783">
        <v>0</v>
      </c>
      <c r="T200" s="991">
        <f>VLOOKUP($D200,transmitter_from_BP!$B:$F,4,0)</f>
        <v>0</v>
      </c>
      <c r="U200" s="783">
        <v>4</v>
      </c>
      <c r="V200" s="991">
        <f>VLOOKUP($D200,transmitter_from_BP!$B:$F,3,0)</f>
        <v>4</v>
      </c>
      <c r="W200" s="783">
        <v>0</v>
      </c>
      <c r="X200" s="772"/>
      <c r="Y200" s="783">
        <v>2.0454067924945298</v>
      </c>
      <c r="Z200" s="772"/>
    </row>
    <row r="201" spans="1:26" s="753" customFormat="1">
      <c r="A201" s="756" t="s">
        <v>4579</v>
      </c>
      <c r="B201" s="757"/>
      <c r="C201" s="758"/>
      <c r="D201" s="773" t="s">
        <v>9604</v>
      </c>
      <c r="E201" s="782"/>
      <c r="F201" s="774" t="s">
        <v>6351</v>
      </c>
      <c r="G201" s="981" t="s">
        <v>11164</v>
      </c>
      <c r="H201" s="772" t="str">
        <f>VLOOKUP($D201,transmitter_from_BP!$B:$F,2,0)</f>
        <v>SUCTION CZ2152 COMPRESSOR</v>
      </c>
      <c r="I201" s="981" t="s">
        <v>11164</v>
      </c>
      <c r="J201" s="772" t="str">
        <f>VLOOKUP($D201,transmitter_from_BP!$B:$F,2,0)</f>
        <v>SUCTION CZ2152 COMPRESSOR</v>
      </c>
      <c r="K201" s="981" t="s">
        <v>11680</v>
      </c>
      <c r="L201" s="1064" t="str">
        <f>VLOOKUP($D201,transmitter_from_BP!$B:$F,5,0)</f>
        <v>BAR</v>
      </c>
      <c r="M201" s="783">
        <v>2</v>
      </c>
      <c r="N201" s="772">
        <v>2</v>
      </c>
      <c r="O201" s="783">
        <v>1</v>
      </c>
      <c r="P201" s="772">
        <v>1</v>
      </c>
      <c r="Q201" s="783">
        <v>1</v>
      </c>
      <c r="R201" s="772">
        <v>1</v>
      </c>
      <c r="S201" s="783">
        <v>0</v>
      </c>
      <c r="T201" s="991">
        <f>VLOOKUP($D201,transmitter_from_BP!$B:$F,4,0)</f>
        <v>0</v>
      </c>
      <c r="U201" s="783">
        <v>40</v>
      </c>
      <c r="V201" s="991">
        <f>VLOOKUP($D201,transmitter_from_BP!$B:$F,3,0)</f>
        <v>40</v>
      </c>
      <c r="W201" s="783">
        <v>0</v>
      </c>
      <c r="X201" s="772"/>
      <c r="Y201" s="783">
        <v>26.961437339129599</v>
      </c>
      <c r="Z201" s="772"/>
    </row>
    <row r="202" spans="1:26" s="753" customFormat="1">
      <c r="A202" s="756" t="s">
        <v>4579</v>
      </c>
      <c r="B202" s="757"/>
      <c r="C202" s="758"/>
      <c r="D202" s="773" t="s">
        <v>9605</v>
      </c>
      <c r="E202" s="782"/>
      <c r="F202" s="774" t="s">
        <v>7955</v>
      </c>
      <c r="G202" s="981" t="s">
        <v>11165</v>
      </c>
      <c r="H202" s="772" t="str">
        <f>VLOOKUP($D202,[1]transmitter_fromclient!$B:$F,2,0)</f>
        <v>DFU SPLITTER TOP</v>
      </c>
      <c r="I202" s="981" t="s">
        <v>11165</v>
      </c>
      <c r="J202" s="772" t="str">
        <f>VLOOKUP($D202,[1]transmitter_fromclient!$B:$F,2,0)</f>
        <v>DFU SPLITTER TOP</v>
      </c>
      <c r="K202" s="981" t="s">
        <v>11689</v>
      </c>
      <c r="L202" s="1064" t="str">
        <f>VLOOKUP($D202,transmitter_from_BP!$B:$F,5,0)</f>
        <v>BARG</v>
      </c>
      <c r="M202" s="783">
        <v>2</v>
      </c>
      <c r="N202" s="772">
        <v>2</v>
      </c>
      <c r="O202" s="783">
        <v>1</v>
      </c>
      <c r="P202" s="772">
        <v>1</v>
      </c>
      <c r="Q202" s="783">
        <v>1</v>
      </c>
      <c r="R202" s="772">
        <v>1</v>
      </c>
      <c r="S202" s="783">
        <v>0</v>
      </c>
      <c r="T202" s="991">
        <f>VLOOKUP($D202,transmitter_from_BP!$B:$F,4,0)</f>
        <v>0</v>
      </c>
      <c r="U202" s="783">
        <v>4</v>
      </c>
      <c r="V202" s="991">
        <f>VLOOKUP($D202,transmitter_from_BP!$B:$F,3,0)</f>
        <v>4</v>
      </c>
      <c r="W202" s="783">
        <v>0</v>
      </c>
      <c r="X202" s="772"/>
      <c r="Y202" s="783">
        <v>0.90387020789747596</v>
      </c>
      <c r="Z202" s="772"/>
    </row>
    <row r="203" spans="1:26" s="753" customFormat="1">
      <c r="A203" s="756" t="s">
        <v>4579</v>
      </c>
      <c r="B203" s="757"/>
      <c r="C203" s="758"/>
      <c r="D203" s="773" t="s">
        <v>9606</v>
      </c>
      <c r="E203" s="782"/>
      <c r="F203" s="774" t="s">
        <v>8693</v>
      </c>
      <c r="G203" s="981" t="s">
        <v>11166</v>
      </c>
      <c r="H203" s="772" t="str">
        <f>VLOOKUP($D203,transmitter_from_BP!$B:$F,2,0)</f>
        <v>GAS FROM GAS/DEASEP DZ2851</v>
      </c>
      <c r="I203" s="981" t="s">
        <v>11166</v>
      </c>
      <c r="J203" s="772" t="str">
        <f>VLOOKUP($D203,transmitter_from_BP!$B:$F,2,0)</f>
        <v>GAS FROM GAS/DEASEP DZ2851</v>
      </c>
      <c r="K203" s="981" t="s">
        <v>11680</v>
      </c>
      <c r="L203" s="1064" t="str">
        <f>VLOOKUP($D203,transmitter_from_BP!$B:$F,5,0)</f>
        <v>BAR</v>
      </c>
      <c r="M203" s="783">
        <v>2</v>
      </c>
      <c r="N203" s="772">
        <v>2</v>
      </c>
      <c r="O203" s="783">
        <v>1</v>
      </c>
      <c r="P203" s="772">
        <v>1</v>
      </c>
      <c r="Q203" s="783">
        <v>1</v>
      </c>
      <c r="R203" s="772">
        <v>1</v>
      </c>
      <c r="S203" s="783">
        <v>0</v>
      </c>
      <c r="T203" s="991">
        <f>VLOOKUP($D203,transmitter_from_BP!$B:$F,4,0)</f>
        <v>0</v>
      </c>
      <c r="U203" s="783">
        <v>10</v>
      </c>
      <c r="V203" s="991">
        <f>VLOOKUP($D203,transmitter_from_BP!$B:$F,3,0)</f>
        <v>10</v>
      </c>
      <c r="W203" s="783">
        <v>0</v>
      </c>
      <c r="X203" s="772"/>
      <c r="Y203" s="783">
        <v>5.7142574335511096</v>
      </c>
      <c r="Z203" s="772"/>
    </row>
    <row r="204" spans="1:26" s="753" customFormat="1">
      <c r="A204" s="756" t="s">
        <v>4579</v>
      </c>
      <c r="B204" s="757"/>
      <c r="C204" s="758"/>
      <c r="D204" s="773" t="s">
        <v>9607</v>
      </c>
      <c r="E204" s="782"/>
      <c r="F204" s="774" t="s">
        <v>8694</v>
      </c>
      <c r="G204" s="981" t="s">
        <v>11167</v>
      </c>
      <c r="H204" s="772" t="str">
        <f>VLOOKUP($D204,transmitter_from_BP!$B:$F,2,0)</f>
        <v>GAS TO GAS/DEASEP DZ2852</v>
      </c>
      <c r="I204" s="981" t="s">
        <v>11167</v>
      </c>
      <c r="J204" s="772" t="str">
        <f>VLOOKUP($D204,transmitter_from_BP!$B:$F,2,0)</f>
        <v>GAS TO GAS/DEASEP DZ2852</v>
      </c>
      <c r="K204" s="981" t="s">
        <v>11680</v>
      </c>
      <c r="L204" s="1064" t="str">
        <f>VLOOKUP($D204,transmitter_from_BP!$B:$F,5,0)</f>
        <v>BAR</v>
      </c>
      <c r="M204" s="783">
        <v>2</v>
      </c>
      <c r="N204" s="772">
        <v>2</v>
      </c>
      <c r="O204" s="783">
        <v>1</v>
      </c>
      <c r="P204" s="772">
        <v>1</v>
      </c>
      <c r="Q204" s="783">
        <v>1</v>
      </c>
      <c r="R204" s="772">
        <v>1</v>
      </c>
      <c r="S204" s="783">
        <v>0</v>
      </c>
      <c r="T204" s="991">
        <f>VLOOKUP($D204,transmitter_from_BP!$B:$F,4,0)</f>
        <v>0</v>
      </c>
      <c r="U204" s="783">
        <v>10</v>
      </c>
      <c r="V204" s="991">
        <f>VLOOKUP($D204,transmitter_from_BP!$B:$F,3,0)</f>
        <v>10</v>
      </c>
      <c r="W204" s="783">
        <v>0</v>
      </c>
      <c r="X204" s="772"/>
      <c r="Y204" s="783">
        <v>5.6189218339966303</v>
      </c>
      <c r="Z204" s="772"/>
    </row>
    <row r="205" spans="1:26" s="753" customFormat="1">
      <c r="A205" s="756" t="s">
        <v>4579</v>
      </c>
      <c r="B205" s="757"/>
      <c r="C205" s="758"/>
      <c r="D205" s="773" t="s">
        <v>9608</v>
      </c>
      <c r="E205" s="782"/>
      <c r="F205" s="774" t="s">
        <v>8743</v>
      </c>
      <c r="G205" s="981" t="s">
        <v>11104</v>
      </c>
      <c r="H205" s="772" t="str">
        <f>VLOOKUP($D205,transmitter_from_BP!$B:$F,2,0)</f>
        <v>K.O. DRUM DZ3004</v>
      </c>
      <c r="I205" s="981" t="s">
        <v>11104</v>
      </c>
      <c r="J205" s="772" t="str">
        <f>VLOOKUP($D205,transmitter_from_BP!$B:$F,2,0)</f>
        <v>K.O. DRUM DZ3004</v>
      </c>
      <c r="K205" s="981" t="s">
        <v>11689</v>
      </c>
      <c r="L205" s="772" t="str">
        <f>VLOOKUP($D205,transmitter_from_BP!$B:$F,5,0)</f>
        <v>BARG</v>
      </c>
      <c r="M205" s="783">
        <v>2</v>
      </c>
      <c r="N205" s="772">
        <v>2</v>
      </c>
      <c r="O205" s="783">
        <v>1</v>
      </c>
      <c r="P205" s="772">
        <v>1</v>
      </c>
      <c r="Q205" s="783">
        <v>1</v>
      </c>
      <c r="R205" s="772">
        <v>1</v>
      </c>
      <c r="S205" s="783">
        <v>0</v>
      </c>
      <c r="T205" s="991">
        <f>VLOOKUP($D205,transmitter_from_BP!$B:$F,4,0)</f>
        <v>0</v>
      </c>
      <c r="U205" s="783">
        <v>5</v>
      </c>
      <c r="V205" s="991">
        <f>VLOOKUP($D205,transmitter_from_BP!$B:$F,3,0)</f>
        <v>5</v>
      </c>
      <c r="W205" s="783">
        <v>0</v>
      </c>
      <c r="X205" s="772"/>
      <c r="Y205" s="783">
        <v>0.100283883287671</v>
      </c>
      <c r="Z205" s="772"/>
    </row>
    <row r="206" spans="1:26" s="753" customFormat="1">
      <c r="A206" s="756" t="s">
        <v>4579</v>
      </c>
      <c r="B206" s="757"/>
      <c r="C206" s="758"/>
      <c r="D206" s="773" t="s">
        <v>9609</v>
      </c>
      <c r="E206" s="782"/>
      <c r="F206" s="774" t="s">
        <v>8757</v>
      </c>
      <c r="G206" s="981" t="s">
        <v>11168</v>
      </c>
      <c r="H206" s="772" t="str">
        <f>VLOOKUP($D206,transmitter_from_BP!$B:$F,2,0)</f>
        <v>WASHWATER DZ2104 TO DZ3004</v>
      </c>
      <c r="I206" s="981" t="s">
        <v>11168</v>
      </c>
      <c r="J206" s="772" t="str">
        <f>VLOOKUP($D206,transmitter_from_BP!$B:$F,2,0)</f>
        <v>WASHWATER DZ2104 TO DZ3004</v>
      </c>
      <c r="K206" s="981" t="s">
        <v>11689</v>
      </c>
      <c r="L206" s="1064" t="str">
        <f>VLOOKUP($D206,transmitter_from_BP!$B:$F,5,0)</f>
        <v>BARG</v>
      </c>
      <c r="M206" s="783">
        <v>2</v>
      </c>
      <c r="N206" s="772">
        <v>2</v>
      </c>
      <c r="O206" s="783">
        <v>1</v>
      </c>
      <c r="P206" s="772">
        <v>1</v>
      </c>
      <c r="Q206" s="783">
        <v>1</v>
      </c>
      <c r="R206" s="772">
        <v>1</v>
      </c>
      <c r="S206" s="783">
        <v>0</v>
      </c>
      <c r="T206" s="991">
        <f>VLOOKUP($D206,transmitter_from_BP!$B:$F,4,0)</f>
        <v>0</v>
      </c>
      <c r="U206" s="783">
        <v>5</v>
      </c>
      <c r="V206" s="991">
        <f>VLOOKUP($D206,transmitter_from_BP!$B:$F,3,0)</f>
        <v>5</v>
      </c>
      <c r="W206" s="783">
        <v>0</v>
      </c>
      <c r="X206" s="772"/>
      <c r="Y206" s="783">
        <v>0.1</v>
      </c>
      <c r="Z206" s="772"/>
    </row>
    <row r="207" spans="1:26" s="753" customFormat="1">
      <c r="A207" s="756" t="s">
        <v>4579</v>
      </c>
      <c r="B207" s="757"/>
      <c r="C207" s="758"/>
      <c r="D207" s="773" t="s">
        <v>9610</v>
      </c>
      <c r="E207" s="782"/>
      <c r="F207" s="774" t="s">
        <v>8764</v>
      </c>
      <c r="G207" s="981" t="s">
        <v>11169</v>
      </c>
      <c r="H207" s="772" t="str">
        <f>VLOOKUP($D207,transmitter_from_BP!$B:$F,2,0)</f>
        <v>DHT4 TO DZ3004</v>
      </c>
      <c r="I207" s="981" t="s">
        <v>11169</v>
      </c>
      <c r="J207" s="772" t="str">
        <f>VLOOKUP($D207,transmitter_from_BP!$B:$F,2,0)</f>
        <v>DHT4 TO DZ3004</v>
      </c>
      <c r="K207" s="981" t="s">
        <v>11689</v>
      </c>
      <c r="L207" s="1064" t="str">
        <f>VLOOKUP($D207,transmitter_from_BP!$B:$F,5,0)</f>
        <v>BARG</v>
      </c>
      <c r="M207" s="783">
        <v>2</v>
      </c>
      <c r="N207" s="772">
        <v>2</v>
      </c>
      <c r="O207" s="783">
        <v>1</v>
      </c>
      <c r="P207" s="772">
        <v>1</v>
      </c>
      <c r="Q207" s="783">
        <v>1</v>
      </c>
      <c r="R207" s="772">
        <v>1</v>
      </c>
      <c r="S207" s="783">
        <v>0</v>
      </c>
      <c r="T207" s="991">
        <f>VLOOKUP($D207,transmitter_from_BP!$B:$F,4,0)</f>
        <v>0</v>
      </c>
      <c r="U207" s="783">
        <v>5</v>
      </c>
      <c r="V207" s="991">
        <f>VLOOKUP($D207,transmitter_from_BP!$B:$F,3,0)</f>
        <v>5</v>
      </c>
      <c r="W207" s="783">
        <v>0</v>
      </c>
      <c r="X207" s="772"/>
      <c r="Y207" s="783">
        <v>8.8321477488350203E-2</v>
      </c>
      <c r="Z207" s="772"/>
    </row>
    <row r="208" spans="1:26" s="753" customFormat="1">
      <c r="A208" s="756" t="s">
        <v>4579</v>
      </c>
      <c r="B208" s="757"/>
      <c r="C208" s="758"/>
      <c r="D208" s="773" t="s">
        <v>9611</v>
      </c>
      <c r="E208" s="782"/>
      <c r="F208" s="774" t="s">
        <v>8748</v>
      </c>
      <c r="G208" s="981" t="s">
        <v>11170</v>
      </c>
      <c r="H208" s="772" t="str">
        <f>VLOOKUP($D208,transmitter_from_BP!$B:$F,2,0)</f>
        <v>LIQ.RELIEF HEADER TO DZ3004</v>
      </c>
      <c r="I208" s="981" t="s">
        <v>11170</v>
      </c>
      <c r="J208" s="772" t="str">
        <f>VLOOKUP($D208,transmitter_from_BP!$B:$F,2,0)</f>
        <v>LIQ.RELIEF HEADER TO DZ3004</v>
      </c>
      <c r="K208" s="981" t="s">
        <v>11689</v>
      </c>
      <c r="L208" s="1064" t="str">
        <f>VLOOKUP($D208,transmitter_from_BP!$B:$F,5,0)</f>
        <v>BARG</v>
      </c>
      <c r="M208" s="783">
        <v>2</v>
      </c>
      <c r="N208" s="772">
        <v>2</v>
      </c>
      <c r="O208" s="783">
        <v>1</v>
      </c>
      <c r="P208" s="772">
        <v>1</v>
      </c>
      <c r="Q208" s="783">
        <v>1</v>
      </c>
      <c r="R208" s="772">
        <v>1</v>
      </c>
      <c r="S208" s="783">
        <v>0</v>
      </c>
      <c r="T208" s="991">
        <f>VLOOKUP($D208,transmitter_from_BP!$B:$F,4,0)</f>
        <v>0</v>
      </c>
      <c r="U208" s="783">
        <v>5</v>
      </c>
      <c r="V208" s="991">
        <f>VLOOKUP($D208,transmitter_from_BP!$B:$F,3,0)</f>
        <v>5</v>
      </c>
      <c r="W208" s="783">
        <v>0</v>
      </c>
      <c r="X208" s="772"/>
      <c r="Y208" s="783">
        <v>2.7899811357519101E-2</v>
      </c>
      <c r="Z208" s="772"/>
    </row>
    <row r="209" spans="1:26" s="753" customFormat="1">
      <c r="A209" s="756" t="s">
        <v>4579</v>
      </c>
      <c r="B209" s="757"/>
      <c r="C209" s="758"/>
      <c r="D209" s="773" t="s">
        <v>9612</v>
      </c>
      <c r="E209" s="782"/>
      <c r="F209" s="774" t="s">
        <v>9253</v>
      </c>
      <c r="G209" s="981" t="s">
        <v>11171</v>
      </c>
      <c r="H209" s="772" t="str">
        <f>VLOOKUP($D209,transmitter_from_BP!$B:$F,2,0)</f>
        <v>GAS RELIEF HEADER TO DZ3004</v>
      </c>
      <c r="I209" s="981" t="s">
        <v>11171</v>
      </c>
      <c r="J209" s="772" t="str">
        <f>VLOOKUP($D209,transmitter_from_BP!$B:$F,2,0)</f>
        <v>GAS RELIEF HEADER TO DZ3004</v>
      </c>
      <c r="K209" s="981" t="s">
        <v>11689</v>
      </c>
      <c r="L209" s="1064" t="str">
        <f>VLOOKUP($D209,transmitter_from_BP!$B:$F,5,0)</f>
        <v>BARG</v>
      </c>
      <c r="M209" s="783">
        <v>2</v>
      </c>
      <c r="N209" s="772">
        <v>2</v>
      </c>
      <c r="O209" s="783">
        <v>1</v>
      </c>
      <c r="P209" s="772">
        <v>1</v>
      </c>
      <c r="Q209" s="783">
        <v>1</v>
      </c>
      <c r="R209" s="772">
        <v>1</v>
      </c>
      <c r="S209" s="783">
        <v>0</v>
      </c>
      <c r="T209" s="991">
        <f>VLOOKUP($D209,transmitter_from_BP!$B:$F,4,0)</f>
        <v>0</v>
      </c>
      <c r="U209" s="783">
        <v>5</v>
      </c>
      <c r="V209" s="991">
        <f>VLOOKUP($D209,transmitter_from_BP!$B:$F,3,0)</f>
        <v>5</v>
      </c>
      <c r="W209" s="783">
        <v>0</v>
      </c>
      <c r="X209" s="772"/>
      <c r="Y209" s="783">
        <v>0.10051345306937499</v>
      </c>
      <c r="Z209" s="772"/>
    </row>
    <row r="210" spans="1:26" s="753" customFormat="1">
      <c r="A210" s="756" t="s">
        <v>4579</v>
      </c>
      <c r="B210" s="757"/>
      <c r="C210" s="758"/>
      <c r="D210" s="773" t="s">
        <v>9613</v>
      </c>
      <c r="E210" s="782"/>
      <c r="F210" s="774" t="s">
        <v>8781</v>
      </c>
      <c r="G210" s="981" t="s">
        <v>11172</v>
      </c>
      <c r="H210" s="772" t="str">
        <f>VLOOKUP($D210,transmitter_from_BP!$B:$F,2,0)</f>
        <v>RELIEF HEADER GOH3 TO DZ3004</v>
      </c>
      <c r="I210" s="981" t="s">
        <v>11172</v>
      </c>
      <c r="J210" s="772" t="str">
        <f>VLOOKUP($D210,transmitter_from_BP!$B:$F,2,0)</f>
        <v>RELIEF HEADER GOH3 TO DZ3004</v>
      </c>
      <c r="K210" s="981" t="s">
        <v>11689</v>
      </c>
      <c r="L210" s="1064" t="str">
        <f>VLOOKUP($D210,transmitter_from_BP!$B:$F,5,0)</f>
        <v>BARG</v>
      </c>
      <c r="M210" s="783">
        <v>2</v>
      </c>
      <c r="N210" s="772">
        <v>2</v>
      </c>
      <c r="O210" s="783">
        <v>1</v>
      </c>
      <c r="P210" s="772">
        <v>1</v>
      </c>
      <c r="Q210" s="783">
        <v>1</v>
      </c>
      <c r="R210" s="772">
        <v>1</v>
      </c>
      <c r="S210" s="783">
        <v>0</v>
      </c>
      <c r="T210" s="991">
        <f>VLOOKUP($D210,transmitter_from_BP!$B:$F,4,0)</f>
        <v>0</v>
      </c>
      <c r="U210" s="783">
        <v>5</v>
      </c>
      <c r="V210" s="991">
        <f>VLOOKUP($D210,transmitter_from_BP!$B:$F,3,0)</f>
        <v>5</v>
      </c>
      <c r="W210" s="783">
        <v>0</v>
      </c>
      <c r="X210" s="772"/>
      <c r="Y210" s="783">
        <v>0</v>
      </c>
      <c r="Z210" s="772"/>
    </row>
    <row r="211" spans="1:26" s="753" customFormat="1">
      <c r="A211" s="756" t="s">
        <v>4579</v>
      </c>
      <c r="B211" s="757"/>
      <c r="C211" s="758"/>
      <c r="D211" s="773" t="s">
        <v>9614</v>
      </c>
      <c r="E211" s="782"/>
      <c r="F211" s="774" t="s">
        <v>6352</v>
      </c>
      <c r="G211" s="981" t="s">
        <v>11173</v>
      </c>
      <c r="H211" s="772" t="str">
        <f>VLOOKUP($D211,transmitter_from_BP!$B:$F,2,0)</f>
        <v>DHT COMPRESSOR DISCHARGE</v>
      </c>
      <c r="I211" s="981" t="s">
        <v>11173</v>
      </c>
      <c r="J211" s="772" t="str">
        <f>VLOOKUP($D211,transmitter_from_BP!$B:$F,2,0)</f>
        <v>DHT COMPRESSOR DISCHARGE</v>
      </c>
      <c r="K211" s="981" t="s">
        <v>11680</v>
      </c>
      <c r="L211" s="1064" t="str">
        <f>VLOOKUP($D211,transmitter_from_BP!$B:$F,5,0)</f>
        <v>BAR</v>
      </c>
      <c r="M211" s="783">
        <v>2</v>
      </c>
      <c r="N211" s="772">
        <v>2</v>
      </c>
      <c r="O211" s="783">
        <v>1</v>
      </c>
      <c r="P211" s="772">
        <v>1</v>
      </c>
      <c r="Q211" s="783">
        <v>1</v>
      </c>
      <c r="R211" s="772">
        <v>1</v>
      </c>
      <c r="S211" s="783">
        <v>0</v>
      </c>
      <c r="T211" s="991">
        <f>VLOOKUP($D211,transmitter_from_BP!$B:$F,4,0)</f>
        <v>0</v>
      </c>
      <c r="U211" s="783">
        <v>60</v>
      </c>
      <c r="V211" s="991">
        <f>VLOOKUP($D211,transmitter_from_BP!$B:$F,3,0)</f>
        <v>60</v>
      </c>
      <c r="W211" s="783">
        <v>0</v>
      </c>
      <c r="X211" s="772"/>
      <c r="Y211" s="783">
        <v>39.228160653419899</v>
      </c>
      <c r="Z211" s="772"/>
    </row>
    <row r="212" spans="1:26" s="753" customFormat="1">
      <c r="A212" s="756" t="s">
        <v>4579</v>
      </c>
      <c r="B212" s="757"/>
      <c r="C212" s="758"/>
      <c r="D212" s="773" t="s">
        <v>9615</v>
      </c>
      <c r="E212" s="782"/>
      <c r="F212" s="774" t="s">
        <v>6420</v>
      </c>
      <c r="G212" s="981" t="s">
        <v>11174</v>
      </c>
      <c r="H212" s="772" t="str">
        <f>VLOOKUP($D212,transmitter_from_BP!$B:$F,2,0)</f>
        <v>PRESSURE HZ2151</v>
      </c>
      <c r="I212" s="981" t="s">
        <v>11174</v>
      </c>
      <c r="J212" s="772" t="str">
        <f>VLOOKUP($D212,transmitter_from_BP!$B:$F,2,0)</f>
        <v>PRESSURE HZ2151</v>
      </c>
      <c r="K212" s="981" t="s">
        <v>11692</v>
      </c>
      <c r="L212" s="1064" t="str">
        <f>VLOOKUP($D212,transmitter_from_BP!$B:$F,5,0)</f>
        <v>MBARG</v>
      </c>
      <c r="M212" s="783">
        <v>2</v>
      </c>
      <c r="N212" s="772">
        <v>2</v>
      </c>
      <c r="O212" s="783">
        <v>1</v>
      </c>
      <c r="P212" s="772">
        <v>1</v>
      </c>
      <c r="Q212" s="783">
        <v>1000</v>
      </c>
      <c r="R212" s="772">
        <v>1000</v>
      </c>
      <c r="S212" s="783">
        <v>-7</v>
      </c>
      <c r="T212" s="991">
        <f>VLOOKUP($D212,transmitter_from_BP!$B:$F,4,0)</f>
        <v>-7</v>
      </c>
      <c r="U212" s="783">
        <v>7</v>
      </c>
      <c r="V212" s="991">
        <f>VLOOKUP($D212,transmitter_from_BP!$B:$F,3,0)</f>
        <v>7</v>
      </c>
      <c r="W212" s="783">
        <v>0</v>
      </c>
      <c r="X212" s="772"/>
      <c r="Y212" s="783">
        <v>-2.91327903836864</v>
      </c>
      <c r="Z212" s="772"/>
    </row>
    <row r="213" spans="1:26" s="753" customFormat="1">
      <c r="A213" s="756" t="s">
        <v>4579</v>
      </c>
      <c r="B213" s="757"/>
      <c r="C213" s="758"/>
      <c r="D213" s="773" t="s">
        <v>9616</v>
      </c>
      <c r="E213" s="782"/>
      <c r="F213" s="774" t="s">
        <v>7943</v>
      </c>
      <c r="G213" s="981" t="s">
        <v>11175</v>
      </c>
      <c r="H213" s="772" t="str">
        <f>VLOOKUP($D213,transmitter_from_BP!$B:$F,2,0)</f>
        <v>PRESSURE HZ2201</v>
      </c>
      <c r="I213" s="981" t="s">
        <v>11175</v>
      </c>
      <c r="J213" s="772" t="str">
        <f>VLOOKUP($D213,transmitter_from_BP!$B:$F,2,0)</f>
        <v>PRESSURE HZ2201</v>
      </c>
      <c r="K213" s="981" t="s">
        <v>11692</v>
      </c>
      <c r="L213" s="1064" t="str">
        <f>VLOOKUP($D213,transmitter_from_BP!$B:$F,5,0)</f>
        <v>MBARG</v>
      </c>
      <c r="M213" s="783">
        <v>2</v>
      </c>
      <c r="N213" s="772">
        <v>2</v>
      </c>
      <c r="O213" s="783">
        <v>1</v>
      </c>
      <c r="P213" s="772">
        <v>1</v>
      </c>
      <c r="Q213" s="783">
        <v>1000</v>
      </c>
      <c r="R213" s="772">
        <v>1000</v>
      </c>
      <c r="S213" s="783">
        <v>-7</v>
      </c>
      <c r="T213" s="991">
        <f>VLOOKUP($D213,transmitter_from_BP!$B:$F,4,0)</f>
        <v>-7</v>
      </c>
      <c r="U213" s="783">
        <v>7</v>
      </c>
      <c r="V213" s="991">
        <f>VLOOKUP($D213,transmitter_from_BP!$B:$F,3,0)</f>
        <v>7</v>
      </c>
      <c r="W213" s="783">
        <v>0</v>
      </c>
      <c r="X213" s="772"/>
      <c r="Y213" s="783">
        <v>-3.17457139983089</v>
      </c>
      <c r="Z213" s="772"/>
    </row>
    <row r="214" spans="1:26" s="753" customFormat="1">
      <c r="A214" s="756" t="s">
        <v>4579</v>
      </c>
      <c r="B214" s="757"/>
      <c r="C214" s="758"/>
      <c r="D214" s="773" t="s">
        <v>9616</v>
      </c>
      <c r="E214" s="782"/>
      <c r="F214" s="774" t="s">
        <v>5960</v>
      </c>
      <c r="G214" s="981" t="s">
        <v>11175</v>
      </c>
      <c r="H214" s="772" t="str">
        <f>VLOOKUP($D214,transmitter_from_BP!$B:$F,2,0)</f>
        <v>PRESSURE HZ2201</v>
      </c>
      <c r="I214" s="981" t="s">
        <v>11175</v>
      </c>
      <c r="J214" s="772" t="str">
        <f>VLOOKUP($D214,transmitter_from_BP!$B:$F,2,0)</f>
        <v>PRESSURE HZ2201</v>
      </c>
      <c r="K214" s="981" t="s">
        <v>11692</v>
      </c>
      <c r="L214" s="1064" t="str">
        <f>VLOOKUP($D214,transmitter_from_BP!$B:$F,5,0)</f>
        <v>MBARG</v>
      </c>
      <c r="M214" s="783">
        <v>2</v>
      </c>
      <c r="N214" s="772">
        <v>2</v>
      </c>
      <c r="O214" s="783">
        <v>1</v>
      </c>
      <c r="P214" s="772">
        <v>1</v>
      </c>
      <c r="Q214" s="783">
        <v>1000</v>
      </c>
      <c r="R214" s="772">
        <v>1000</v>
      </c>
      <c r="S214" s="783">
        <v>-7</v>
      </c>
      <c r="T214" s="991">
        <f>VLOOKUP($D214,transmitter_from_BP!$B:$F,4,0)</f>
        <v>-7</v>
      </c>
      <c r="U214" s="783">
        <v>7</v>
      </c>
      <c r="V214" s="991">
        <f>VLOOKUP($D214,transmitter_from_BP!$B:$F,3,0)</f>
        <v>7</v>
      </c>
      <c r="W214" s="783">
        <v>0</v>
      </c>
      <c r="X214" s="772"/>
      <c r="Y214" s="783">
        <v>-3.17457139983089</v>
      </c>
      <c r="Z214" s="772"/>
    </row>
    <row r="215" spans="1:26" s="753" customFormat="1">
      <c r="A215" s="756" t="s">
        <v>4579</v>
      </c>
      <c r="B215" s="757"/>
      <c r="C215" s="758"/>
      <c r="D215" s="773" t="s">
        <v>9616</v>
      </c>
      <c r="E215" s="782"/>
      <c r="F215" s="774" t="s">
        <v>5961</v>
      </c>
      <c r="G215" s="981" t="s">
        <v>11175</v>
      </c>
      <c r="H215" s="772" t="str">
        <f>VLOOKUP($D215,transmitter_from_BP!$B:$F,2,0)</f>
        <v>PRESSURE HZ2201</v>
      </c>
      <c r="I215" s="981" t="s">
        <v>11175</v>
      </c>
      <c r="J215" s="772" t="str">
        <f>VLOOKUP($D215,transmitter_from_BP!$B:$F,2,0)</f>
        <v>PRESSURE HZ2201</v>
      </c>
      <c r="K215" s="981" t="s">
        <v>11692</v>
      </c>
      <c r="L215" s="1064" t="str">
        <f>VLOOKUP($D215,transmitter_from_BP!$B:$F,5,0)</f>
        <v>MBARG</v>
      </c>
      <c r="M215" s="783">
        <v>2</v>
      </c>
      <c r="N215" s="772">
        <v>2</v>
      </c>
      <c r="O215" s="783">
        <v>1</v>
      </c>
      <c r="P215" s="772">
        <v>1</v>
      </c>
      <c r="Q215" s="783">
        <v>1000</v>
      </c>
      <c r="R215" s="772">
        <v>1000</v>
      </c>
      <c r="S215" s="783">
        <v>-7</v>
      </c>
      <c r="T215" s="991">
        <f>VLOOKUP($D215,transmitter_from_BP!$B:$F,4,0)</f>
        <v>-7</v>
      </c>
      <c r="U215" s="783">
        <v>7</v>
      </c>
      <c r="V215" s="991">
        <f>VLOOKUP($D215,transmitter_from_BP!$B:$F,3,0)</f>
        <v>7</v>
      </c>
      <c r="W215" s="783">
        <v>0</v>
      </c>
      <c r="X215" s="772"/>
      <c r="Y215" s="783">
        <v>-3.17457139983089</v>
      </c>
      <c r="Z215" s="772"/>
    </row>
    <row r="216" spans="1:26" s="753" customFormat="1">
      <c r="A216" s="756" t="s">
        <v>4579</v>
      </c>
      <c r="B216" s="757"/>
      <c r="C216" s="758"/>
      <c r="D216" s="773" t="s">
        <v>9617</v>
      </c>
      <c r="E216" s="782"/>
      <c r="F216" s="774" t="s">
        <v>7942</v>
      </c>
      <c r="G216" s="981" t="s">
        <v>11176</v>
      </c>
      <c r="H216" s="772" t="str">
        <f>VLOOKUP($D216,transmitter_from_BP!$B:$F,2,0)</f>
        <v>FUEL GAS HEADER</v>
      </c>
      <c r="I216" s="981" t="s">
        <v>11176</v>
      </c>
      <c r="J216" s="772" t="str">
        <f>VLOOKUP($D216,transmitter_from_BP!$B:$F,2,0)</f>
        <v>FUEL GAS HEADER</v>
      </c>
      <c r="K216" s="981" t="s">
        <v>11680</v>
      </c>
      <c r="L216" s="1064" t="str">
        <f>VLOOKUP($D216,transmitter_from_BP!$B:$F,5,0)</f>
        <v>BAR</v>
      </c>
      <c r="M216" s="783">
        <v>2</v>
      </c>
      <c r="N216" s="772">
        <v>2</v>
      </c>
      <c r="O216" s="783">
        <v>1</v>
      </c>
      <c r="P216" s="772">
        <v>1</v>
      </c>
      <c r="Q216" s="783">
        <v>1</v>
      </c>
      <c r="R216" s="772">
        <v>1</v>
      </c>
      <c r="S216" s="783">
        <v>0</v>
      </c>
      <c r="T216" s="991">
        <f>VLOOKUP($D216,transmitter_from_BP!$B:$F,4,0)</f>
        <v>0</v>
      </c>
      <c r="U216" s="783">
        <v>5</v>
      </c>
      <c r="V216" s="991">
        <f>VLOOKUP($D216,transmitter_from_BP!$B:$F,3,0)</f>
        <v>5</v>
      </c>
      <c r="W216" s="783">
        <v>0</v>
      </c>
      <c r="X216" s="772"/>
      <c r="Y216" s="783">
        <v>3.2994464217028199</v>
      </c>
      <c r="Z216" s="772"/>
    </row>
    <row r="217" spans="1:26" s="753" customFormat="1">
      <c r="A217" s="756" t="s">
        <v>4579</v>
      </c>
      <c r="B217" s="757"/>
      <c r="C217" s="758"/>
      <c r="D217" s="773" t="s">
        <v>9618</v>
      </c>
      <c r="E217" s="782"/>
      <c r="F217" s="774" t="s">
        <v>9227</v>
      </c>
      <c r="G217" s="981" t="s">
        <v>11177</v>
      </c>
      <c r="H217" s="772" t="str">
        <f>VLOOKUP($D217,transmitter_from_BP!$B:$F,2,0)</f>
        <v>LPG C5 PREDICTION</v>
      </c>
      <c r="I217" s="981" t="s">
        <v>11177</v>
      </c>
      <c r="J217" s="772" t="str">
        <f>VLOOKUP($D217,transmitter_from_BP!$B:$F,2,0)</f>
        <v>LPG C5 PREDICTION</v>
      </c>
      <c r="K217" s="981" t="s">
        <v>11683</v>
      </c>
      <c r="L217" s="1064" t="str">
        <f>VLOOKUP($D217,transmitter_from_BP!$B:$F,5,0)</f>
        <v>MOL%</v>
      </c>
      <c r="M217" s="783">
        <v>0</v>
      </c>
      <c r="N217" s="772">
        <v>0</v>
      </c>
      <c r="O217" s="783">
        <v>1</v>
      </c>
      <c r="P217" s="772">
        <v>1</v>
      </c>
      <c r="Q217" s="783">
        <v>100</v>
      </c>
      <c r="R217" s="772">
        <v>100</v>
      </c>
      <c r="S217" s="783">
        <v>-50</v>
      </c>
      <c r="T217" s="991">
        <f>VLOOKUP($D217,transmitter_from_BP!$B:$F,4,0)</f>
        <v>-50</v>
      </c>
      <c r="U217" s="783">
        <v>50</v>
      </c>
      <c r="V217" s="991">
        <f>VLOOKUP($D217,transmitter_from_BP!$B:$F,3,0)</f>
        <v>50</v>
      </c>
      <c r="W217" s="783">
        <v>0</v>
      </c>
      <c r="X217" s="772"/>
      <c r="Y217" s="783">
        <v>8.8444848489861592</v>
      </c>
      <c r="Z217" s="772"/>
    </row>
    <row r="218" spans="1:26" s="753" customFormat="1">
      <c r="A218" s="756" t="s">
        <v>4579</v>
      </c>
      <c r="B218" s="757"/>
      <c r="C218" s="758"/>
      <c r="D218" s="773" t="s">
        <v>9619</v>
      </c>
      <c r="E218" s="782"/>
      <c r="F218" s="774" t="s">
        <v>9194</v>
      </c>
      <c r="G218" s="981" t="s">
        <v>11178</v>
      </c>
      <c r="H218" s="772" t="str">
        <f>VLOOKUP($D218,transmitter_from_BP!$B:$F,2,0)</f>
        <v>DHT COMPRESSOR SPEED</v>
      </c>
      <c r="I218" s="981" t="s">
        <v>11178</v>
      </c>
      <c r="J218" s="772" t="str">
        <f>VLOOKUP($D218,transmitter_from_BP!$B:$F,2,0)</f>
        <v>DHT COMPRESSOR SPEED</v>
      </c>
      <c r="K218" s="981" t="s">
        <v>11694</v>
      </c>
      <c r="L218" s="1064" t="str">
        <f>VLOOKUP($D218,transmitter_from_BP!$B:$F,5,0)</f>
        <v>RPM</v>
      </c>
      <c r="M218" s="783">
        <v>0</v>
      </c>
      <c r="N218" s="772">
        <v>0</v>
      </c>
      <c r="O218" s="783">
        <v>1</v>
      </c>
      <c r="P218" s="772">
        <v>1</v>
      </c>
      <c r="Q218" s="783">
        <v>1</v>
      </c>
      <c r="R218" s="772">
        <v>1</v>
      </c>
      <c r="S218" s="783">
        <v>0</v>
      </c>
      <c r="T218" s="991">
        <f>VLOOKUP($D218,transmitter_from_BP!$B:$F,4,0)</f>
        <v>0</v>
      </c>
      <c r="U218" s="783">
        <v>20000</v>
      </c>
      <c r="V218" s="991">
        <f>VLOOKUP($D218,transmitter_from_BP!$B:$F,3,0)</f>
        <v>20000</v>
      </c>
      <c r="W218" s="783">
        <v>0</v>
      </c>
      <c r="X218" s="772"/>
      <c r="Y218" s="783">
        <v>10099.5959721745</v>
      </c>
      <c r="Z218" s="772"/>
    </row>
    <row r="219" spans="1:26" s="753" customFormat="1">
      <c r="A219" s="756" t="s">
        <v>4579</v>
      </c>
      <c r="B219" s="757"/>
      <c r="C219" s="758"/>
      <c r="D219" s="773" t="s">
        <v>9620</v>
      </c>
      <c r="E219" s="782"/>
      <c r="F219" s="774" t="s">
        <v>9193</v>
      </c>
      <c r="G219" s="981" t="s">
        <v>11179</v>
      </c>
      <c r="H219" s="772" t="str">
        <f>VLOOKUP($D219,transmitter_from_BP!$B:$F,2,0)</f>
        <v>OUTPUT SICZ2002 FEEDBACK</v>
      </c>
      <c r="I219" s="981" t="s">
        <v>11179</v>
      </c>
      <c r="J219" s="772" t="str">
        <f>VLOOKUP($D219,transmitter_from_BP!$B:$F,2,0)</f>
        <v>OUTPUT SICZ2002 FEEDBACK</v>
      </c>
      <c r="K219" s="981" t="s">
        <v>11678</v>
      </c>
      <c r="L219" s="1064" t="str">
        <f>VLOOKUP($D219,transmitter_from_BP!$B:$F,5,0)</f>
        <v>PCT</v>
      </c>
      <c r="M219" s="783">
        <v>0</v>
      </c>
      <c r="N219" s="772">
        <v>0</v>
      </c>
      <c r="O219" s="783">
        <v>1</v>
      </c>
      <c r="P219" s="772">
        <v>1</v>
      </c>
      <c r="Q219" s="783">
        <v>1</v>
      </c>
      <c r="R219" s="772">
        <v>1</v>
      </c>
      <c r="S219" s="783">
        <v>0</v>
      </c>
      <c r="T219" s="991">
        <f>VLOOKUP($D219,transmitter_from_BP!$B:$F,4,0)</f>
        <v>0</v>
      </c>
      <c r="U219" s="783">
        <v>15000</v>
      </c>
      <c r="V219" s="991"/>
      <c r="W219" s="783">
        <v>1</v>
      </c>
      <c r="X219" s="772">
        <v>1</v>
      </c>
      <c r="Y219" s="783">
        <v>67.330639814496493</v>
      </c>
      <c r="Z219" s="772"/>
    </row>
    <row r="220" spans="1:26" s="753" customFormat="1">
      <c r="A220" s="756" t="s">
        <v>4579</v>
      </c>
      <c r="B220" s="757"/>
      <c r="C220" s="758"/>
      <c r="D220" s="773" t="s">
        <v>9621</v>
      </c>
      <c r="E220" s="782"/>
      <c r="F220" s="774" t="s">
        <v>5877</v>
      </c>
      <c r="G220" s="981" t="s">
        <v>11180</v>
      </c>
      <c r="H220" s="772" t="str">
        <f>VLOOKUP($D220,transmitter_from_BP!$B:$F,2,0)</f>
        <v>HZ2101 HOT AIR DUCT</v>
      </c>
      <c r="I220" s="981" t="s">
        <v>11180</v>
      </c>
      <c r="J220" s="772" t="str">
        <f>VLOOKUP($D220,transmitter_from_BP!$B:$F,2,0)</f>
        <v>HZ2101 HOT AIR DUCT</v>
      </c>
      <c r="K220" s="981" t="s">
        <v>11676</v>
      </c>
      <c r="L220" s="1064" t="str">
        <f>VLOOKUP($D220,transmitter_from_BP!$B:$F,5,0)</f>
        <v>DEGC</v>
      </c>
      <c r="M220" s="783">
        <v>6</v>
      </c>
      <c r="N220" s="772">
        <v>6</v>
      </c>
      <c r="O220" s="783">
        <v>1</v>
      </c>
      <c r="P220" s="772">
        <v>1</v>
      </c>
      <c r="Q220" s="783">
        <v>1</v>
      </c>
      <c r="R220" s="772">
        <v>1</v>
      </c>
      <c r="S220" s="783">
        <v>-25</v>
      </c>
      <c r="T220" s="991">
        <f>VLOOKUP($D220,transmitter_from_BP!$B:$F,4,0)</f>
        <v>-25</v>
      </c>
      <c r="U220" s="783">
        <v>523</v>
      </c>
      <c r="V220" s="991">
        <f>VLOOKUP($D220,transmitter_from_BP!$B:$F,3,0)</f>
        <v>523</v>
      </c>
      <c r="W220" s="783">
        <v>0</v>
      </c>
      <c r="X220" s="772"/>
      <c r="Y220" s="783">
        <v>231.44123917836001</v>
      </c>
      <c r="Z220" s="772"/>
    </row>
    <row r="221" spans="1:26" s="753" customFormat="1">
      <c r="A221" s="756" t="s">
        <v>4579</v>
      </c>
      <c r="B221" s="757"/>
      <c r="C221" s="758"/>
      <c r="D221" s="773" t="s">
        <v>9622</v>
      </c>
      <c r="E221" s="782"/>
      <c r="F221" s="774" t="s">
        <v>6194</v>
      </c>
      <c r="G221" s="981" t="s">
        <v>11181</v>
      </c>
      <c r="H221" s="772" t="str">
        <f>VLOOKUP($D221,[1]transmitter_fromclient!$B:$F,2,0)</f>
        <v>TDIFF FLASH/REBOIL OUTLET</v>
      </c>
      <c r="I221" s="981" t="s">
        <v>11181</v>
      </c>
      <c r="J221" s="772" t="str">
        <f>VLOOKUP($D221,[1]transmitter_fromclient!$B:$F,2,0)</f>
        <v>TDIFF FLASH/REBOIL OUTLET</v>
      </c>
      <c r="K221" s="981" t="s">
        <v>11676</v>
      </c>
      <c r="L221" s="1064" t="str">
        <f>VLOOKUP($D221,transmitter_from_BP!$B:$F,5,0)</f>
        <v>DEGC</v>
      </c>
      <c r="M221" s="783">
        <v>6</v>
      </c>
      <c r="N221" s="772">
        <v>6</v>
      </c>
      <c r="O221" s="783">
        <v>1</v>
      </c>
      <c r="P221" s="772">
        <v>1</v>
      </c>
      <c r="Q221" s="783">
        <v>1</v>
      </c>
      <c r="R221" s="772">
        <v>1</v>
      </c>
      <c r="S221" s="783">
        <v>-25</v>
      </c>
      <c r="T221" s="991">
        <f>VLOOKUP($D221,transmitter_from_BP!$B:$F,4,0)</f>
        <v>-25</v>
      </c>
      <c r="U221" s="783">
        <v>25</v>
      </c>
      <c r="V221" s="991">
        <f>VLOOKUP($D221,transmitter_from_BP!$B:$F,3,0)</f>
        <v>25</v>
      </c>
      <c r="W221" s="783">
        <v>0</v>
      </c>
      <c r="X221" s="772"/>
      <c r="Y221" s="783">
        <v>25</v>
      </c>
      <c r="Z221" s="772"/>
    </row>
    <row r="222" spans="1:26" s="753" customFormat="1">
      <c r="A222" s="756" t="s">
        <v>4579</v>
      </c>
      <c r="B222" s="757"/>
      <c r="C222" s="758"/>
      <c r="D222" s="773" t="s">
        <v>9624</v>
      </c>
      <c r="E222" s="782"/>
      <c r="F222" s="774" t="s">
        <v>8787</v>
      </c>
      <c r="G222" s="981" t="s">
        <v>11182</v>
      </c>
      <c r="H222" s="772" t="str">
        <f>VLOOKUP($D222,transmitter_from_BP!$B:$F,2,0)</f>
        <v>DIFF TEMP LEAN AMIVS VAPOUR</v>
      </c>
      <c r="I222" s="981" t="s">
        <v>11182</v>
      </c>
      <c r="J222" s="772" t="str">
        <f>VLOOKUP($D222,transmitter_from_BP!$B:$F,2,0)</f>
        <v>DIFF TEMP LEAN AMIVS VAPOUR</v>
      </c>
      <c r="K222" s="981" t="s">
        <v>11676</v>
      </c>
      <c r="L222" s="1064" t="str">
        <f>VLOOKUP($D222,transmitter_from_BP!$B:$F,5,0)</f>
        <v>DEGC</v>
      </c>
      <c r="M222" s="783">
        <v>0</v>
      </c>
      <c r="N222" s="772">
        <v>0</v>
      </c>
      <c r="O222" s="783">
        <v>1</v>
      </c>
      <c r="P222" s="772">
        <v>1</v>
      </c>
      <c r="Q222" s="783">
        <v>1</v>
      </c>
      <c r="R222" s="772">
        <v>1</v>
      </c>
      <c r="S222" s="783">
        <v>0</v>
      </c>
      <c r="T222" s="991">
        <f>VLOOKUP($D222,transmitter_from_BP!$B:$F,4,0)</f>
        <v>0</v>
      </c>
      <c r="U222" s="783">
        <v>50</v>
      </c>
      <c r="V222" s="991">
        <f>VLOOKUP($D222,transmitter_from_BP!$B:$F,3,0)</f>
        <v>50</v>
      </c>
      <c r="W222" s="783">
        <v>0</v>
      </c>
      <c r="X222" s="772"/>
      <c r="Y222" s="783">
        <v>6.1680771128592902</v>
      </c>
      <c r="Z222" s="772"/>
    </row>
    <row r="223" spans="1:26" s="753" customFormat="1">
      <c r="A223" s="756" t="s">
        <v>4579</v>
      </c>
      <c r="B223" s="757"/>
      <c r="C223" s="758"/>
      <c r="D223" s="773" t="s">
        <v>9625</v>
      </c>
      <c r="E223" s="782"/>
      <c r="F223" s="774" t="s">
        <v>9308</v>
      </c>
      <c r="G223" s="981" t="s">
        <v>11183</v>
      </c>
      <c r="H223" s="772" t="str">
        <f>VLOOKUP($D223,transmitter_from_BP!$B:$F,2,0)</f>
        <v>FLSHZONE DIFF TEMPERATURE</v>
      </c>
      <c r="I223" s="981" t="s">
        <v>11183</v>
      </c>
      <c r="J223" s="772" t="str">
        <f>VLOOKUP($D223,transmitter_from_BP!$B:$F,2,0)</f>
        <v>FLSHZONE DIFF TEMPERATURE</v>
      </c>
      <c r="K223" s="981" t="s">
        <v>11676</v>
      </c>
      <c r="L223" s="1064" t="str">
        <f>VLOOKUP($D223,transmitter_from_BP!$B:$F,5,0)</f>
        <v>DEGC</v>
      </c>
      <c r="M223" s="783">
        <v>0</v>
      </c>
      <c r="N223" s="772">
        <v>0</v>
      </c>
      <c r="O223" s="783">
        <v>1</v>
      </c>
      <c r="P223" s="772">
        <v>1</v>
      </c>
      <c r="Q223" s="783">
        <v>1</v>
      </c>
      <c r="R223" s="772">
        <v>1</v>
      </c>
      <c r="S223" s="783">
        <v>-10</v>
      </c>
      <c r="T223" s="991">
        <f>VLOOKUP($D223,transmitter_from_BP!$B:$F,4,0)</f>
        <v>-10</v>
      </c>
      <c r="U223" s="783">
        <v>25</v>
      </c>
      <c r="V223" s="991">
        <f>VLOOKUP($D223,transmitter_from_BP!$B:$F,3,0)</f>
        <v>25</v>
      </c>
      <c r="W223" s="783">
        <v>0</v>
      </c>
      <c r="X223" s="772"/>
      <c r="Y223" s="783">
        <v>4.2288637018827999E-5</v>
      </c>
      <c r="Z223" s="772"/>
    </row>
    <row r="224" spans="1:26" s="753" customFormat="1">
      <c r="A224" s="756" t="s">
        <v>4579</v>
      </c>
      <c r="B224" s="757"/>
      <c r="C224" s="758"/>
      <c r="D224" s="773" t="s">
        <v>3642</v>
      </c>
      <c r="E224" s="782"/>
      <c r="F224" s="774" t="s">
        <v>6196</v>
      </c>
      <c r="G224" s="981" t="s">
        <v>11184</v>
      </c>
      <c r="H224" s="772" t="str">
        <f>VLOOKUP($D224,[1]transmitter_fromclient!$B:$F,2,0)</f>
        <v>DFU STRIPPER DIFF. TEMP.</v>
      </c>
      <c r="I224" s="981" t="s">
        <v>11184</v>
      </c>
      <c r="J224" s="772" t="str">
        <f>VLOOKUP($D224,[1]transmitter_fromclient!$B:$F,2,0)</f>
        <v>DFU STRIPPER DIFF. TEMP.</v>
      </c>
      <c r="K224" s="981" t="s">
        <v>11676</v>
      </c>
      <c r="L224" s="1064" t="str">
        <f>VLOOKUP($D224,transmitter_from_BP!$B:$F,5,0)</f>
        <v>DEGC</v>
      </c>
      <c r="M224" s="783">
        <v>0</v>
      </c>
      <c r="N224" s="772">
        <v>0</v>
      </c>
      <c r="O224" s="783">
        <v>1</v>
      </c>
      <c r="P224" s="772">
        <v>1</v>
      </c>
      <c r="Q224" s="783">
        <v>1</v>
      </c>
      <c r="R224" s="772">
        <v>1</v>
      </c>
      <c r="S224" s="783">
        <v>-10</v>
      </c>
      <c r="T224" s="991">
        <f>VLOOKUP($D224,transmitter_from_BP!$B:$F,4,0)</f>
        <v>-10</v>
      </c>
      <c r="U224" s="783">
        <v>20</v>
      </c>
      <c r="V224" s="991">
        <f>VLOOKUP($D224,transmitter_from_BP!$B:$F,3,0)</f>
        <v>20</v>
      </c>
      <c r="W224" s="783">
        <v>0</v>
      </c>
      <c r="X224" s="772"/>
      <c r="Y224" s="783">
        <v>11.025514040886801</v>
      </c>
      <c r="Z224" s="772"/>
    </row>
    <row r="225" spans="1:26" s="753" customFormat="1">
      <c r="A225" s="756" t="s">
        <v>4579</v>
      </c>
      <c r="B225" s="757"/>
      <c r="C225" s="758"/>
      <c r="D225" s="773" t="s">
        <v>9626</v>
      </c>
      <c r="E225" s="782"/>
      <c r="F225" s="774" t="s">
        <v>6410</v>
      </c>
      <c r="G225" s="981" t="s">
        <v>11185</v>
      </c>
      <c r="H225" s="772" t="str">
        <f>VLOOKUP($D225,transmitter_from_BP!$B:$F,2,0)</f>
        <v>TEMP. LUBE OIL VOITH</v>
      </c>
      <c r="I225" s="981" t="s">
        <v>11185</v>
      </c>
      <c r="J225" s="772" t="str">
        <f>VLOOKUP($D225,transmitter_from_BP!$B:$F,2,0)</f>
        <v>TEMP. LUBE OIL VOITH</v>
      </c>
      <c r="K225" s="981" t="s">
        <v>11676</v>
      </c>
      <c r="L225" s="1064" t="str">
        <f>VLOOKUP($D225,transmitter_from_BP!$B:$F,5,0)</f>
        <v>DEGC</v>
      </c>
      <c r="M225" s="783">
        <v>6</v>
      </c>
      <c r="N225" s="772">
        <v>6</v>
      </c>
      <c r="O225" s="783">
        <v>1</v>
      </c>
      <c r="P225" s="772">
        <v>1</v>
      </c>
      <c r="Q225" s="783">
        <v>1</v>
      </c>
      <c r="R225" s="772">
        <v>1</v>
      </c>
      <c r="S225" s="783">
        <v>0</v>
      </c>
      <c r="T225" s="991">
        <f>VLOOKUP($D225,transmitter_from_BP!$B:$F,4,0)</f>
        <v>0</v>
      </c>
      <c r="U225" s="783">
        <v>150</v>
      </c>
      <c r="V225" s="991">
        <f>VLOOKUP($D225,transmitter_from_BP!$B:$F,3,0)</f>
        <v>150</v>
      </c>
      <c r="W225" s="783">
        <v>0</v>
      </c>
      <c r="X225" s="772"/>
      <c r="Y225" s="783">
        <v>46.064904703659003</v>
      </c>
      <c r="Z225" s="772"/>
    </row>
    <row r="226" spans="1:26" s="753" customFormat="1">
      <c r="A226" s="756" t="s">
        <v>4579</v>
      </c>
      <c r="B226" s="757"/>
      <c r="C226" s="758"/>
      <c r="D226" s="773" t="s">
        <v>9626</v>
      </c>
      <c r="E226" s="782"/>
      <c r="F226" s="774" t="s">
        <v>6411</v>
      </c>
      <c r="G226" s="981" t="s">
        <v>11185</v>
      </c>
      <c r="H226" s="772" t="str">
        <f>VLOOKUP($D226,transmitter_from_BP!$B:$F,2,0)</f>
        <v>TEMP. LUBE OIL VOITH</v>
      </c>
      <c r="I226" s="981" t="s">
        <v>11185</v>
      </c>
      <c r="J226" s="772" t="str">
        <f>VLOOKUP($D226,transmitter_from_BP!$B:$F,2,0)</f>
        <v>TEMP. LUBE OIL VOITH</v>
      </c>
      <c r="K226" s="981" t="s">
        <v>11676</v>
      </c>
      <c r="L226" s="1064" t="str">
        <f>VLOOKUP($D226,transmitter_from_BP!$B:$F,5,0)</f>
        <v>DEGC</v>
      </c>
      <c r="M226" s="783">
        <v>6</v>
      </c>
      <c r="N226" s="772">
        <v>6</v>
      </c>
      <c r="O226" s="783">
        <v>1</v>
      </c>
      <c r="P226" s="772">
        <v>1</v>
      </c>
      <c r="Q226" s="783">
        <v>1</v>
      </c>
      <c r="R226" s="772">
        <v>1</v>
      </c>
      <c r="S226" s="783">
        <v>0</v>
      </c>
      <c r="T226" s="991">
        <f>VLOOKUP($D226,transmitter_from_BP!$B:$F,4,0)</f>
        <v>0</v>
      </c>
      <c r="U226" s="783">
        <v>150</v>
      </c>
      <c r="V226" s="991">
        <f>VLOOKUP($D226,transmitter_from_BP!$B:$F,3,0)</f>
        <v>150</v>
      </c>
      <c r="W226" s="783">
        <v>0</v>
      </c>
      <c r="X226" s="772"/>
      <c r="Y226" s="783">
        <v>46.064904703659003</v>
      </c>
      <c r="Z226" s="772"/>
    </row>
    <row r="227" spans="1:26" s="514" customFormat="1">
      <c r="A227" s="519" t="s">
        <v>4579</v>
      </c>
      <c r="B227" s="520"/>
      <c r="C227" s="521"/>
      <c r="D227" s="759" t="s">
        <v>9627</v>
      </c>
      <c r="E227" s="754"/>
      <c r="F227" s="760" t="s">
        <v>6412</v>
      </c>
      <c r="G227" s="981" t="s">
        <v>11186</v>
      </c>
      <c r="H227" s="555" t="str">
        <f>VLOOKUP($D227,transmitter_from_BP!$B:$F,2,0)</f>
        <v>TEMP. WORKING OIL VOITH</v>
      </c>
      <c r="I227" s="981" t="s">
        <v>11186</v>
      </c>
      <c r="J227" s="755" t="str">
        <f>VLOOKUP($D227,transmitter_from_BP!$B:$F,2,0)</f>
        <v>TEMP. WORKING OIL VOITH</v>
      </c>
      <c r="K227" s="981" t="s">
        <v>11676</v>
      </c>
      <c r="L227" s="1064" t="str">
        <f>VLOOKUP($D227,transmitter_from_BP!$B:$F,5,0)</f>
        <v>DEGC</v>
      </c>
      <c r="M227" s="570">
        <v>6</v>
      </c>
      <c r="N227" s="610">
        <v>6</v>
      </c>
      <c r="O227" s="570">
        <v>1</v>
      </c>
      <c r="P227" s="765">
        <v>1</v>
      </c>
      <c r="Q227" s="570">
        <v>1</v>
      </c>
      <c r="R227" s="555">
        <v>1</v>
      </c>
      <c r="S227" s="570">
        <v>0</v>
      </c>
      <c r="T227" s="555">
        <f>VLOOKUP($D227,transmitter_from_BP!$B:$F,4,0)</f>
        <v>0</v>
      </c>
      <c r="U227" s="570">
        <v>150</v>
      </c>
      <c r="V227" s="555">
        <f>VLOOKUP($D227,transmitter_from_BP!$B:$F,3,0)</f>
        <v>150</v>
      </c>
      <c r="W227" s="570">
        <v>0</v>
      </c>
      <c r="X227" s="555"/>
      <c r="Y227" s="614">
        <v>84.2104933335129</v>
      </c>
      <c r="Z227" s="610"/>
    </row>
    <row r="228" spans="1:26" s="514" customFormat="1">
      <c r="A228" s="519" t="s">
        <v>4579</v>
      </c>
      <c r="B228" s="520"/>
      <c r="C228" s="521"/>
      <c r="D228" s="759" t="s">
        <v>9627</v>
      </c>
      <c r="E228" s="782"/>
      <c r="F228" s="760" t="s">
        <v>6413</v>
      </c>
      <c r="G228" s="981" t="s">
        <v>11186</v>
      </c>
      <c r="H228" s="555" t="str">
        <f>VLOOKUP($D228,transmitter_from_BP!$B:$F,2,0)</f>
        <v>TEMP. WORKING OIL VOITH</v>
      </c>
      <c r="I228" s="981" t="s">
        <v>11186</v>
      </c>
      <c r="J228" s="755" t="str">
        <f>VLOOKUP($D228,transmitter_from_BP!$B:$F,2,0)</f>
        <v>TEMP. WORKING OIL VOITH</v>
      </c>
      <c r="K228" s="981" t="s">
        <v>11676</v>
      </c>
      <c r="L228" s="1064" t="str">
        <f>VLOOKUP($D228,transmitter_from_BP!$B:$F,5,0)</f>
        <v>DEGC</v>
      </c>
      <c r="M228" s="570">
        <v>6</v>
      </c>
      <c r="N228" s="610">
        <v>6</v>
      </c>
      <c r="O228" s="570">
        <v>1</v>
      </c>
      <c r="P228" s="765">
        <v>1</v>
      </c>
      <c r="Q228" s="570">
        <v>1</v>
      </c>
      <c r="R228" s="555">
        <v>1</v>
      </c>
      <c r="S228" s="570">
        <v>0</v>
      </c>
      <c r="T228" s="991">
        <f>VLOOKUP($D228,transmitter_from_BP!$B:$F,4,0)</f>
        <v>0</v>
      </c>
      <c r="U228" s="570">
        <v>150</v>
      </c>
      <c r="V228" s="991">
        <f>VLOOKUP($D228,transmitter_from_BP!$B:$F,3,0)</f>
        <v>150</v>
      </c>
      <c r="W228" s="570">
        <v>0</v>
      </c>
      <c r="X228" s="555"/>
      <c r="Y228" s="614">
        <v>84.2104933335129</v>
      </c>
      <c r="Z228" s="610"/>
    </row>
    <row r="229" spans="1:26" s="514" customFormat="1">
      <c r="A229" s="519" t="s">
        <v>4579</v>
      </c>
      <c r="B229" s="520"/>
      <c r="C229" s="521"/>
      <c r="D229" s="759" t="s">
        <v>9628</v>
      </c>
      <c r="E229" s="754"/>
      <c r="F229" s="760" t="s">
        <v>5810</v>
      </c>
      <c r="G229" s="981" t="s">
        <v>11187</v>
      </c>
      <c r="H229" s="555" t="str">
        <f>VLOOKUP($D229,transmitter_from_BP!$B:$F,2,0)</f>
        <v>CDU HEATER PASS 1 SKIN</v>
      </c>
      <c r="I229" s="981" t="s">
        <v>11187</v>
      </c>
      <c r="J229" s="755" t="str">
        <f>VLOOKUP($D229,transmitter_from_BP!$B:$F,2,0)</f>
        <v>CDU HEATER PASS 1 SKIN</v>
      </c>
      <c r="K229" s="981" t="s">
        <v>11676</v>
      </c>
      <c r="L229" s="1064" t="str">
        <f>VLOOKUP($D229,transmitter_from_BP!$B:$F,5,0)</f>
        <v>DEGC</v>
      </c>
      <c r="M229" s="570">
        <v>6</v>
      </c>
      <c r="N229" s="610">
        <v>6</v>
      </c>
      <c r="O229" s="570">
        <v>1</v>
      </c>
      <c r="P229" s="765">
        <v>1</v>
      </c>
      <c r="Q229" s="570">
        <v>1</v>
      </c>
      <c r="R229" s="555">
        <v>1</v>
      </c>
      <c r="S229" s="570">
        <v>-25</v>
      </c>
      <c r="T229" s="991">
        <f>VLOOKUP($D229,transmitter_from_BP!$B:$F,4,0)</f>
        <v>-25</v>
      </c>
      <c r="U229" s="570">
        <v>1116</v>
      </c>
      <c r="V229" s="991">
        <f>VLOOKUP($D229,transmitter_from_BP!$B:$F,3,0)</f>
        <v>1116</v>
      </c>
      <c r="W229" s="570">
        <v>0</v>
      </c>
      <c r="X229" s="555"/>
      <c r="Y229" s="614">
        <v>427.98126751088898</v>
      </c>
      <c r="Z229" s="610"/>
    </row>
    <row r="230" spans="1:26" s="514" customFormat="1">
      <c r="A230" s="519" t="s">
        <v>4579</v>
      </c>
      <c r="B230" s="520"/>
      <c r="C230" s="521"/>
      <c r="D230" s="759" t="s">
        <v>1692</v>
      </c>
      <c r="E230" s="782"/>
      <c r="F230" s="760" t="s">
        <v>5812</v>
      </c>
      <c r="G230" s="981" t="s">
        <v>11188</v>
      </c>
      <c r="H230" s="555" t="str">
        <f>VLOOKUP($D230,transmitter_from_BP!$B:$F,2,0)</f>
        <v>CDU HEATER PASS 2 SKIN</v>
      </c>
      <c r="I230" s="981" t="s">
        <v>11188</v>
      </c>
      <c r="J230" s="755" t="str">
        <f>VLOOKUP($D230,transmitter_from_BP!$B:$F,2,0)</f>
        <v>CDU HEATER PASS 2 SKIN</v>
      </c>
      <c r="K230" s="981" t="s">
        <v>11676</v>
      </c>
      <c r="L230" s="1064" t="str">
        <f>VLOOKUP($D230,transmitter_from_BP!$B:$F,5,0)</f>
        <v>DEGC</v>
      </c>
      <c r="M230" s="570">
        <v>6</v>
      </c>
      <c r="N230" s="610">
        <v>6</v>
      </c>
      <c r="O230" s="570">
        <v>1</v>
      </c>
      <c r="P230" s="765">
        <v>1</v>
      </c>
      <c r="Q230" s="570">
        <v>1</v>
      </c>
      <c r="R230" s="555">
        <v>1</v>
      </c>
      <c r="S230" s="570">
        <v>-25</v>
      </c>
      <c r="T230" s="991">
        <f>VLOOKUP($D230,transmitter_from_BP!$B:$F,4,0)</f>
        <v>-25</v>
      </c>
      <c r="U230" s="570">
        <v>1116</v>
      </c>
      <c r="V230" s="991">
        <f>VLOOKUP($D230,transmitter_from_BP!$B:$F,3,0)</f>
        <v>1116</v>
      </c>
      <c r="W230" s="570">
        <v>0</v>
      </c>
      <c r="X230" s="555"/>
      <c r="Y230" s="614">
        <v>430.48945521792302</v>
      </c>
      <c r="Z230" s="610"/>
    </row>
    <row r="231" spans="1:26" s="514" customFormat="1">
      <c r="A231" s="519" t="s">
        <v>4579</v>
      </c>
      <c r="B231" s="520"/>
      <c r="C231" s="521"/>
      <c r="D231" s="759" t="s">
        <v>9629</v>
      </c>
      <c r="E231" s="754"/>
      <c r="F231" s="760" t="s">
        <v>5816</v>
      </c>
      <c r="G231" s="981" t="s">
        <v>11189</v>
      </c>
      <c r="H231" s="555" t="str">
        <f>VLOOKUP($D231,transmitter_from_BP!$B:$F,2,0)</f>
        <v>CDU HEATER PASS 3 SKIN</v>
      </c>
      <c r="I231" s="981" t="s">
        <v>11189</v>
      </c>
      <c r="J231" s="755" t="str">
        <f>VLOOKUP($D231,transmitter_from_BP!$B:$F,2,0)</f>
        <v>CDU HEATER PASS 3 SKIN</v>
      </c>
      <c r="K231" s="981" t="s">
        <v>11676</v>
      </c>
      <c r="L231" s="1064" t="str">
        <f>VLOOKUP($D231,transmitter_from_BP!$B:$F,5,0)</f>
        <v>DEGC</v>
      </c>
      <c r="M231" s="570">
        <v>6</v>
      </c>
      <c r="N231" s="610">
        <v>6</v>
      </c>
      <c r="O231" s="570">
        <v>1</v>
      </c>
      <c r="P231" s="765">
        <v>1</v>
      </c>
      <c r="Q231" s="570">
        <v>1</v>
      </c>
      <c r="R231" s="555">
        <v>1</v>
      </c>
      <c r="S231" s="570">
        <v>-25</v>
      </c>
      <c r="T231" s="991">
        <f>VLOOKUP($D231,transmitter_from_BP!$B:$F,4,0)</f>
        <v>-25</v>
      </c>
      <c r="U231" s="570">
        <v>1116</v>
      </c>
      <c r="V231" s="991">
        <f>VLOOKUP($D231,transmitter_from_BP!$B:$F,3,0)</f>
        <v>1116</v>
      </c>
      <c r="W231" s="570">
        <v>0</v>
      </c>
      <c r="X231" s="555"/>
      <c r="Y231" s="614">
        <v>437.41699387553098</v>
      </c>
      <c r="Z231" s="610"/>
    </row>
    <row r="232" spans="1:26" s="753" customFormat="1">
      <c r="A232" s="756" t="s">
        <v>4579</v>
      </c>
      <c r="B232" s="757"/>
      <c r="C232" s="758"/>
      <c r="D232" s="773" t="s">
        <v>1698</v>
      </c>
      <c r="E232" s="782"/>
      <c r="F232" s="774" t="s">
        <v>5819</v>
      </c>
      <c r="G232" s="981" t="s">
        <v>11190</v>
      </c>
      <c r="H232" s="772" t="str">
        <f>VLOOKUP($D232,transmitter_from_BP!$B:$F,2,0)</f>
        <v>CDU HEATER PASS 4 SKIN</v>
      </c>
      <c r="I232" s="981" t="s">
        <v>11190</v>
      </c>
      <c r="J232" s="772" t="str">
        <f>VLOOKUP($D232,transmitter_from_BP!$B:$F,2,0)</f>
        <v>CDU HEATER PASS 4 SKIN</v>
      </c>
      <c r="K232" s="981" t="s">
        <v>11676</v>
      </c>
      <c r="L232" s="1064" t="str">
        <f>VLOOKUP($D232,transmitter_from_BP!$B:$F,5,0)</f>
        <v>DEGC</v>
      </c>
      <c r="M232" s="783">
        <v>6</v>
      </c>
      <c r="N232" s="772">
        <v>6</v>
      </c>
      <c r="O232" s="783">
        <v>1</v>
      </c>
      <c r="P232" s="772">
        <v>1</v>
      </c>
      <c r="Q232" s="783">
        <v>1</v>
      </c>
      <c r="R232" s="772">
        <v>1</v>
      </c>
      <c r="S232" s="783">
        <v>-25</v>
      </c>
      <c r="T232" s="991">
        <f>VLOOKUP($D232,transmitter_from_BP!$B:$F,4,0)</f>
        <v>-25</v>
      </c>
      <c r="U232" s="783">
        <v>1116</v>
      </c>
      <c r="V232" s="991">
        <f>VLOOKUP($D232,transmitter_from_BP!$B:$F,3,0)</f>
        <v>1116</v>
      </c>
      <c r="W232" s="783">
        <v>0</v>
      </c>
      <c r="X232" s="772"/>
      <c r="Y232" s="783">
        <v>426.21279113117902</v>
      </c>
      <c r="Z232" s="772"/>
    </row>
    <row r="233" spans="1:26" s="753" customFormat="1">
      <c r="A233" s="756" t="s">
        <v>4579</v>
      </c>
      <c r="B233" s="757"/>
      <c r="C233" s="758"/>
      <c r="D233" s="773" t="s">
        <v>9630</v>
      </c>
      <c r="E233" s="782"/>
      <c r="F233" s="774" t="s">
        <v>5821</v>
      </c>
      <c r="G233" s="981" t="s">
        <v>11191</v>
      </c>
      <c r="H233" s="772" t="str">
        <f>VLOOKUP($D233,transmitter_from_BP!$B:$F,2,0)</f>
        <v>CDU HEATER PASS 5 SKIN</v>
      </c>
      <c r="I233" s="981" t="s">
        <v>11191</v>
      </c>
      <c r="J233" s="772" t="str">
        <f>VLOOKUP($D233,transmitter_from_BP!$B:$F,2,0)</f>
        <v>CDU HEATER PASS 5 SKIN</v>
      </c>
      <c r="K233" s="981" t="s">
        <v>11676</v>
      </c>
      <c r="L233" s="1064" t="str">
        <f>VLOOKUP($D233,transmitter_from_BP!$B:$F,5,0)</f>
        <v>DEGC</v>
      </c>
      <c r="M233" s="783">
        <v>6</v>
      </c>
      <c r="N233" s="772">
        <v>6</v>
      </c>
      <c r="O233" s="783">
        <v>1</v>
      </c>
      <c r="P233" s="772">
        <v>1</v>
      </c>
      <c r="Q233" s="783">
        <v>1</v>
      </c>
      <c r="R233" s="772">
        <v>1</v>
      </c>
      <c r="S233" s="783">
        <v>-25</v>
      </c>
      <c r="T233" s="991">
        <f>VLOOKUP($D233,transmitter_from_BP!$B:$F,4,0)</f>
        <v>-25</v>
      </c>
      <c r="U233" s="783">
        <v>1116</v>
      </c>
      <c r="V233" s="991">
        <f>VLOOKUP($D233,transmitter_from_BP!$B:$F,3,0)</f>
        <v>1116</v>
      </c>
      <c r="W233" s="783">
        <v>0</v>
      </c>
      <c r="X233" s="772"/>
      <c r="Y233" s="783">
        <v>425.42407988116798</v>
      </c>
      <c r="Z233" s="772"/>
    </row>
    <row r="234" spans="1:26" s="753" customFormat="1">
      <c r="A234" s="756" t="s">
        <v>4579</v>
      </c>
      <c r="B234" s="757"/>
      <c r="C234" s="758"/>
      <c r="D234" s="773" t="s">
        <v>9631</v>
      </c>
      <c r="E234" s="782"/>
      <c r="F234" s="774" t="s">
        <v>5823</v>
      </c>
      <c r="G234" s="981" t="s">
        <v>11192</v>
      </c>
      <c r="H234" s="772" t="str">
        <f>VLOOKUP($D234,transmitter_from_BP!$B:$F,2,0)</f>
        <v>CDU HEATER PASS 6 SKIN</v>
      </c>
      <c r="I234" s="981" t="s">
        <v>11192</v>
      </c>
      <c r="J234" s="772" t="str">
        <f>VLOOKUP($D234,transmitter_from_BP!$B:$F,2,0)</f>
        <v>CDU HEATER PASS 6 SKIN</v>
      </c>
      <c r="K234" s="981" t="s">
        <v>11676</v>
      </c>
      <c r="L234" s="1064" t="str">
        <f>VLOOKUP($D234,transmitter_from_BP!$B:$F,5,0)</f>
        <v>DEGC</v>
      </c>
      <c r="M234" s="783">
        <v>6</v>
      </c>
      <c r="N234" s="772">
        <v>6</v>
      </c>
      <c r="O234" s="783">
        <v>1</v>
      </c>
      <c r="P234" s="772">
        <v>1</v>
      </c>
      <c r="Q234" s="783">
        <v>1</v>
      </c>
      <c r="R234" s="772">
        <v>1</v>
      </c>
      <c r="S234" s="783">
        <v>-25</v>
      </c>
      <c r="T234" s="991">
        <f>VLOOKUP($D234,transmitter_from_BP!$B:$F,4,0)</f>
        <v>-25</v>
      </c>
      <c r="U234" s="783">
        <v>1116</v>
      </c>
      <c r="V234" s="991">
        <f>VLOOKUP($D234,transmitter_from_BP!$B:$F,3,0)</f>
        <v>1116</v>
      </c>
      <c r="W234" s="783">
        <v>0</v>
      </c>
      <c r="X234" s="772"/>
      <c r="Y234" s="783">
        <v>428.351410625185</v>
      </c>
      <c r="Z234" s="772"/>
    </row>
    <row r="235" spans="1:26" s="753" customFormat="1">
      <c r="A235" s="756" t="s">
        <v>4579</v>
      </c>
      <c r="B235" s="757"/>
      <c r="C235" s="758"/>
      <c r="D235" s="773" t="s">
        <v>1707</v>
      </c>
      <c r="E235" s="782"/>
      <c r="F235" s="774" t="s">
        <v>5825</v>
      </c>
      <c r="G235" s="981" t="s">
        <v>11193</v>
      </c>
      <c r="H235" s="772" t="str">
        <f>VLOOKUP($D235,transmitter_from_BP!$B:$F,2,0)</f>
        <v>CDU HEATER PASS 7 SKIN</v>
      </c>
      <c r="I235" s="981" t="s">
        <v>11193</v>
      </c>
      <c r="J235" s="772" t="str">
        <f>VLOOKUP($D235,transmitter_from_BP!$B:$F,2,0)</f>
        <v>CDU HEATER PASS 7 SKIN</v>
      </c>
      <c r="K235" s="981" t="s">
        <v>11676</v>
      </c>
      <c r="L235" s="1064" t="str">
        <f>VLOOKUP($D235,transmitter_from_BP!$B:$F,5,0)</f>
        <v>DEGC</v>
      </c>
      <c r="M235" s="783">
        <v>6</v>
      </c>
      <c r="N235" s="772">
        <v>6</v>
      </c>
      <c r="O235" s="783">
        <v>1</v>
      </c>
      <c r="P235" s="772">
        <v>1</v>
      </c>
      <c r="Q235" s="783">
        <v>1</v>
      </c>
      <c r="R235" s="772">
        <v>1</v>
      </c>
      <c r="S235" s="783">
        <v>-25</v>
      </c>
      <c r="T235" s="991">
        <f>VLOOKUP($D235,transmitter_from_BP!$B:$F,4,0)</f>
        <v>-25</v>
      </c>
      <c r="U235" s="783">
        <v>1116</v>
      </c>
      <c r="V235" s="991">
        <f>VLOOKUP($D235,transmitter_from_BP!$B:$F,3,0)</f>
        <v>1116</v>
      </c>
      <c r="W235" s="783">
        <v>0</v>
      </c>
      <c r="X235" s="772"/>
      <c r="Y235" s="783">
        <v>425.64958380501798</v>
      </c>
      <c r="Z235" s="772"/>
    </row>
    <row r="236" spans="1:26" s="753" customFormat="1">
      <c r="A236" s="756" t="s">
        <v>4579</v>
      </c>
      <c r="B236" s="757"/>
      <c r="C236" s="758"/>
      <c r="D236" s="773" t="s">
        <v>1710</v>
      </c>
      <c r="E236" s="782"/>
      <c r="F236" s="774" t="s">
        <v>5829</v>
      </c>
      <c r="G236" s="981" t="s">
        <v>11194</v>
      </c>
      <c r="H236" s="772" t="str">
        <f>VLOOKUP($D236,transmitter_from_BP!$B:$F,2,0)</f>
        <v>CDU HEATER PASS 8 SKIN</v>
      </c>
      <c r="I236" s="981" t="s">
        <v>11194</v>
      </c>
      <c r="J236" s="772" t="str">
        <f>VLOOKUP($D236,transmitter_from_BP!$B:$F,2,0)</f>
        <v>CDU HEATER PASS 8 SKIN</v>
      </c>
      <c r="K236" s="981" t="s">
        <v>11676</v>
      </c>
      <c r="L236" s="1064" t="str">
        <f>VLOOKUP($D236,transmitter_from_BP!$B:$F,5,0)</f>
        <v>DEGC</v>
      </c>
      <c r="M236" s="783">
        <v>6</v>
      </c>
      <c r="N236" s="772">
        <v>6</v>
      </c>
      <c r="O236" s="783">
        <v>1</v>
      </c>
      <c r="P236" s="772">
        <v>1</v>
      </c>
      <c r="Q236" s="783">
        <v>1</v>
      </c>
      <c r="R236" s="772">
        <v>1</v>
      </c>
      <c r="S236" s="783">
        <v>-25</v>
      </c>
      <c r="T236" s="991">
        <f>VLOOKUP($D236,transmitter_from_BP!$B:$F,4,0)</f>
        <v>-25</v>
      </c>
      <c r="U236" s="783">
        <v>1116</v>
      </c>
      <c r="V236" s="991">
        <f>VLOOKUP($D236,transmitter_from_BP!$B:$F,3,0)</f>
        <v>1116</v>
      </c>
      <c r="W236" s="783">
        <v>0</v>
      </c>
      <c r="X236" s="772"/>
      <c r="Y236" s="783">
        <v>415.35718263620601</v>
      </c>
      <c r="Z236" s="772"/>
    </row>
    <row r="237" spans="1:26" s="753" customFormat="1">
      <c r="A237" s="756" t="s">
        <v>4579</v>
      </c>
      <c r="B237" s="757"/>
      <c r="C237" s="758"/>
      <c r="D237" s="773" t="s">
        <v>2918</v>
      </c>
      <c r="E237" s="782"/>
      <c r="F237" s="774" t="s">
        <v>6392</v>
      </c>
      <c r="G237" s="981" t="s">
        <v>11195</v>
      </c>
      <c r="H237" s="772" t="str">
        <f>VLOOKUP($D237,transmitter_from_BP!$B:$F,2,0)</f>
        <v>DHT HEATER PASS 1 SKIN</v>
      </c>
      <c r="I237" s="981" t="s">
        <v>11195</v>
      </c>
      <c r="J237" s="772" t="str">
        <f>VLOOKUP($D237,transmitter_from_BP!$B:$F,2,0)</f>
        <v>DHT HEATER PASS 1 SKIN</v>
      </c>
      <c r="K237" s="981" t="s">
        <v>11676</v>
      </c>
      <c r="L237" s="1064" t="str">
        <f>VLOOKUP($D237,transmitter_from_BP!$B:$F,5,0)</f>
        <v>DEGC</v>
      </c>
      <c r="M237" s="783">
        <v>6</v>
      </c>
      <c r="N237" s="772">
        <v>6</v>
      </c>
      <c r="O237" s="783">
        <v>1</v>
      </c>
      <c r="P237" s="772">
        <v>1</v>
      </c>
      <c r="Q237" s="783">
        <v>1</v>
      </c>
      <c r="R237" s="772">
        <v>1</v>
      </c>
      <c r="S237" s="783">
        <v>-25</v>
      </c>
      <c r="T237" s="991">
        <f>VLOOKUP($D237,transmitter_from_BP!$B:$F,4,0)</f>
        <v>-25</v>
      </c>
      <c r="U237" s="783">
        <v>523</v>
      </c>
      <c r="V237" s="991">
        <f>VLOOKUP($D237,transmitter_from_BP!$B:$F,3,0)</f>
        <v>523</v>
      </c>
      <c r="W237" s="783">
        <v>0</v>
      </c>
      <c r="X237" s="772"/>
      <c r="Y237" s="783">
        <v>383.72702528358298</v>
      </c>
      <c r="Z237" s="772"/>
    </row>
    <row r="238" spans="1:26" s="753" customFormat="1">
      <c r="A238" s="756" t="s">
        <v>4579</v>
      </c>
      <c r="B238" s="757"/>
      <c r="C238" s="758"/>
      <c r="D238" s="773" t="s">
        <v>9632</v>
      </c>
      <c r="E238" s="782"/>
      <c r="F238" s="774" t="s">
        <v>6393</v>
      </c>
      <c r="G238" s="981" t="s">
        <v>11196</v>
      </c>
      <c r="H238" s="772" t="str">
        <f>VLOOKUP($D238,transmitter_from_BP!$B:$F,2,0)</f>
        <v>DHT HEATER PASS 2 SKIN</v>
      </c>
      <c r="I238" s="981" t="s">
        <v>11196</v>
      </c>
      <c r="J238" s="772" t="str">
        <f>VLOOKUP($D238,transmitter_from_BP!$B:$F,2,0)</f>
        <v>DHT HEATER PASS 2 SKIN</v>
      </c>
      <c r="K238" s="981" t="s">
        <v>11676</v>
      </c>
      <c r="L238" s="1064" t="str">
        <f>VLOOKUP($D238,transmitter_from_BP!$B:$F,5,0)</f>
        <v>DEGC</v>
      </c>
      <c r="M238" s="783">
        <v>6</v>
      </c>
      <c r="N238" s="772">
        <v>6</v>
      </c>
      <c r="O238" s="783">
        <v>1</v>
      </c>
      <c r="P238" s="772">
        <v>1</v>
      </c>
      <c r="Q238" s="783">
        <v>1</v>
      </c>
      <c r="R238" s="772">
        <v>1</v>
      </c>
      <c r="S238" s="783">
        <v>-25</v>
      </c>
      <c r="T238" s="991">
        <f>VLOOKUP($D238,transmitter_from_BP!$B:$F,4,0)</f>
        <v>-25</v>
      </c>
      <c r="U238" s="783">
        <v>523</v>
      </c>
      <c r="V238" s="991">
        <f>VLOOKUP($D238,transmitter_from_BP!$B:$F,3,0)</f>
        <v>523</v>
      </c>
      <c r="W238" s="783">
        <v>0</v>
      </c>
      <c r="X238" s="772"/>
      <c r="Y238" s="783">
        <v>372.694349124903</v>
      </c>
      <c r="Z238" s="772"/>
    </row>
    <row r="239" spans="1:26" s="753" customFormat="1">
      <c r="A239" s="756" t="s">
        <v>4579</v>
      </c>
      <c r="B239" s="757"/>
      <c r="C239" s="758"/>
      <c r="D239" s="773" t="s">
        <v>9633</v>
      </c>
      <c r="E239" s="782"/>
      <c r="F239" s="774" t="s">
        <v>6394</v>
      </c>
      <c r="G239" s="981" t="s">
        <v>11197</v>
      </c>
      <c r="H239" s="772" t="str">
        <f>VLOOKUP($D239,transmitter_from_BP!$B:$F,2,0)</f>
        <v>DHT HEATER PASS 3 SKIN</v>
      </c>
      <c r="I239" s="981" t="s">
        <v>11197</v>
      </c>
      <c r="J239" s="772" t="str">
        <f>VLOOKUP($D239,transmitter_from_BP!$B:$F,2,0)</f>
        <v>DHT HEATER PASS 3 SKIN</v>
      </c>
      <c r="K239" s="981" t="s">
        <v>11676</v>
      </c>
      <c r="L239" s="1064" t="str">
        <f>VLOOKUP($D239,transmitter_from_BP!$B:$F,5,0)</f>
        <v>DEGC</v>
      </c>
      <c r="M239" s="783">
        <v>6</v>
      </c>
      <c r="N239" s="772">
        <v>6</v>
      </c>
      <c r="O239" s="783">
        <v>1</v>
      </c>
      <c r="P239" s="772">
        <v>1</v>
      </c>
      <c r="Q239" s="783">
        <v>1</v>
      </c>
      <c r="R239" s="772">
        <v>1</v>
      </c>
      <c r="S239" s="783">
        <v>-25</v>
      </c>
      <c r="T239" s="991">
        <f>VLOOKUP($D239,transmitter_from_BP!$B:$F,4,0)</f>
        <v>-25</v>
      </c>
      <c r="U239" s="783">
        <v>523</v>
      </c>
      <c r="V239" s="991">
        <f>VLOOKUP($D239,transmitter_from_BP!$B:$F,3,0)</f>
        <v>523</v>
      </c>
      <c r="W239" s="783">
        <v>0</v>
      </c>
      <c r="X239" s="772"/>
      <c r="Y239" s="783">
        <v>391.078127625229</v>
      </c>
      <c r="Z239" s="772"/>
    </row>
    <row r="240" spans="1:26" s="753" customFormat="1">
      <c r="A240" s="756" t="s">
        <v>4579</v>
      </c>
      <c r="B240" s="757"/>
      <c r="C240" s="758"/>
      <c r="D240" s="773" t="s">
        <v>9634</v>
      </c>
      <c r="E240" s="782"/>
      <c r="F240" s="774" t="s">
        <v>6395</v>
      </c>
      <c r="G240" s="981" t="s">
        <v>11198</v>
      </c>
      <c r="H240" s="772" t="str">
        <f>VLOOKUP($D240,transmitter_from_BP!$B:$F,2,0)</f>
        <v>DHT HEATER PASS 4 SKIN</v>
      </c>
      <c r="I240" s="981" t="s">
        <v>11198</v>
      </c>
      <c r="J240" s="772" t="str">
        <f>VLOOKUP($D240,transmitter_from_BP!$B:$F,2,0)</f>
        <v>DHT HEATER PASS 4 SKIN</v>
      </c>
      <c r="K240" s="981" t="s">
        <v>11676</v>
      </c>
      <c r="L240" s="1064" t="str">
        <f>VLOOKUP($D240,transmitter_from_BP!$B:$F,5,0)</f>
        <v>DEGC</v>
      </c>
      <c r="M240" s="783">
        <v>6</v>
      </c>
      <c r="N240" s="772">
        <v>6</v>
      </c>
      <c r="O240" s="783">
        <v>1</v>
      </c>
      <c r="P240" s="772">
        <v>1</v>
      </c>
      <c r="Q240" s="783">
        <v>1</v>
      </c>
      <c r="R240" s="772">
        <v>1</v>
      </c>
      <c r="S240" s="783">
        <v>-25</v>
      </c>
      <c r="T240" s="991">
        <f>VLOOKUP($D240,transmitter_from_BP!$B:$F,4,0)</f>
        <v>-25</v>
      </c>
      <c r="U240" s="783">
        <v>523</v>
      </c>
      <c r="V240" s="991">
        <f>VLOOKUP($D240,transmitter_from_BP!$B:$F,3,0)</f>
        <v>523</v>
      </c>
      <c r="W240" s="783">
        <v>0</v>
      </c>
      <c r="X240" s="772"/>
      <c r="Y240" s="783">
        <v>365.337093216916</v>
      </c>
      <c r="Z240" s="772"/>
    </row>
    <row r="241" spans="1:26" s="753" customFormat="1">
      <c r="A241" s="756" t="s">
        <v>4579</v>
      </c>
      <c r="B241" s="757"/>
      <c r="C241" s="758"/>
      <c r="D241" s="773" t="s">
        <v>9635</v>
      </c>
      <c r="E241" s="782"/>
      <c r="F241" s="774" t="s">
        <v>6396</v>
      </c>
      <c r="G241" s="981" t="s">
        <v>11199</v>
      </c>
      <c r="H241" s="772" t="str">
        <f>VLOOKUP($D241,transmitter_from_BP!$B:$F,2,0)</f>
        <v>DHT HEATER PASS 5 SKIN</v>
      </c>
      <c r="I241" s="981" t="s">
        <v>11199</v>
      </c>
      <c r="J241" s="772" t="str">
        <f>VLOOKUP($D241,transmitter_from_BP!$B:$F,2,0)</f>
        <v>DHT HEATER PASS 5 SKIN</v>
      </c>
      <c r="K241" s="981" t="s">
        <v>11676</v>
      </c>
      <c r="L241" s="1064" t="str">
        <f>VLOOKUP($D241,transmitter_from_BP!$B:$F,5,0)</f>
        <v>DEGC</v>
      </c>
      <c r="M241" s="783">
        <v>6</v>
      </c>
      <c r="N241" s="772">
        <v>6</v>
      </c>
      <c r="O241" s="783">
        <v>1</v>
      </c>
      <c r="P241" s="772">
        <v>1</v>
      </c>
      <c r="Q241" s="783">
        <v>1</v>
      </c>
      <c r="R241" s="772">
        <v>1</v>
      </c>
      <c r="S241" s="783">
        <v>-25</v>
      </c>
      <c r="T241" s="991">
        <f>VLOOKUP($D241,transmitter_from_BP!$B:$F,4,0)</f>
        <v>-25</v>
      </c>
      <c r="U241" s="783">
        <v>523</v>
      </c>
      <c r="V241" s="991">
        <f>VLOOKUP($D241,transmitter_from_BP!$B:$F,3,0)</f>
        <v>523</v>
      </c>
      <c r="W241" s="783">
        <v>0</v>
      </c>
      <c r="X241" s="772"/>
      <c r="Y241" s="783">
        <v>357.98132496343902</v>
      </c>
      <c r="Z241" s="772"/>
    </row>
    <row r="242" spans="1:26" s="753" customFormat="1">
      <c r="A242" s="756" t="s">
        <v>4579</v>
      </c>
      <c r="B242" s="757"/>
      <c r="C242" s="758"/>
      <c r="D242" s="773" t="s">
        <v>9636</v>
      </c>
      <c r="E242" s="782"/>
      <c r="F242" s="774" t="s">
        <v>6397</v>
      </c>
      <c r="G242" s="981" t="s">
        <v>11200</v>
      </c>
      <c r="H242" s="772" t="str">
        <f>VLOOKUP($D242,transmitter_from_BP!$B:$F,2,0)</f>
        <v>DHT HEATER PASS 6 SKIN</v>
      </c>
      <c r="I242" s="981" t="s">
        <v>11200</v>
      </c>
      <c r="J242" s="772" t="str">
        <f>VLOOKUP($D242,transmitter_from_BP!$B:$F,2,0)</f>
        <v>DHT HEATER PASS 6 SKIN</v>
      </c>
      <c r="K242" s="981" t="s">
        <v>11676</v>
      </c>
      <c r="L242" s="1064" t="str">
        <f>VLOOKUP($D242,transmitter_from_BP!$B:$F,5,0)</f>
        <v>DEGC</v>
      </c>
      <c r="M242" s="783">
        <v>6</v>
      </c>
      <c r="N242" s="772">
        <v>6</v>
      </c>
      <c r="O242" s="783">
        <v>1</v>
      </c>
      <c r="P242" s="772">
        <v>1</v>
      </c>
      <c r="Q242" s="783">
        <v>1</v>
      </c>
      <c r="R242" s="772">
        <v>1</v>
      </c>
      <c r="S242" s="783">
        <v>-25</v>
      </c>
      <c r="T242" s="991">
        <f>VLOOKUP($D242,transmitter_from_BP!$B:$F,4,0)</f>
        <v>-25</v>
      </c>
      <c r="U242" s="783">
        <v>523</v>
      </c>
      <c r="V242" s="991">
        <f>VLOOKUP($D242,transmitter_from_BP!$B:$F,3,0)</f>
        <v>523</v>
      </c>
      <c r="W242" s="783">
        <v>0</v>
      </c>
      <c r="X242" s="772"/>
      <c r="Y242" s="783">
        <v>371.420815039199</v>
      </c>
      <c r="Z242" s="772"/>
    </row>
    <row r="243" spans="1:26" s="753" customFormat="1">
      <c r="A243" s="756" t="s">
        <v>4579</v>
      </c>
      <c r="B243" s="757"/>
      <c r="C243" s="758"/>
      <c r="D243" s="773" t="s">
        <v>9637</v>
      </c>
      <c r="E243" s="782"/>
      <c r="F243" s="774" t="s">
        <v>6353</v>
      </c>
      <c r="G243" s="981" t="s">
        <v>11201</v>
      </c>
      <c r="H243" s="772" t="str">
        <f>VLOOKUP($D243,transmitter_from_BP!$B:$F,2,0)</f>
        <v>DHT COMP D2152 DISCHARGE</v>
      </c>
      <c r="I243" s="981" t="s">
        <v>11201</v>
      </c>
      <c r="J243" s="772" t="str">
        <f>VLOOKUP($D243,transmitter_from_BP!$B:$F,2,0)</f>
        <v>DHT COMP D2152 DISCHARGE</v>
      </c>
      <c r="K243" s="981" t="s">
        <v>11676</v>
      </c>
      <c r="L243" s="1064" t="str">
        <f>VLOOKUP($D243,transmitter_from_BP!$B:$F,5,0)</f>
        <v>DEGC</v>
      </c>
      <c r="M243" s="783">
        <v>6</v>
      </c>
      <c r="N243" s="772">
        <v>6</v>
      </c>
      <c r="O243" s="783">
        <v>1</v>
      </c>
      <c r="P243" s="772">
        <v>1</v>
      </c>
      <c r="Q243" s="783">
        <v>1</v>
      </c>
      <c r="R243" s="772">
        <v>1</v>
      </c>
      <c r="S243" s="783">
        <v>-25</v>
      </c>
      <c r="T243" s="991">
        <f>VLOOKUP($D243,transmitter_from_BP!$B:$F,4,0)</f>
        <v>-25</v>
      </c>
      <c r="U243" s="783">
        <v>523</v>
      </c>
      <c r="V243" s="991">
        <f>VLOOKUP($D243,transmitter_from_BP!$B:$F,3,0)</f>
        <v>523</v>
      </c>
      <c r="W243" s="783">
        <v>0</v>
      </c>
      <c r="X243" s="772"/>
      <c r="Y243" s="783">
        <v>91.019220861928105</v>
      </c>
      <c r="Z243" s="772"/>
    </row>
    <row r="244" spans="1:26" s="753" customFormat="1">
      <c r="A244" s="756" t="s">
        <v>4579</v>
      </c>
      <c r="B244" s="757"/>
      <c r="C244" s="758"/>
      <c r="D244" s="773" t="s">
        <v>9638</v>
      </c>
      <c r="E244" s="782"/>
      <c r="F244" s="774" t="s">
        <v>5941</v>
      </c>
      <c r="G244" s="981" t="s">
        <v>11202</v>
      </c>
      <c r="H244" s="772" t="str">
        <f>VLOOKUP($D244,transmitter_from_BP!$B:$F,2,0)</f>
        <v>SPLITTER HEATER PASS 8 SKIN</v>
      </c>
      <c r="I244" s="981" t="s">
        <v>11202</v>
      </c>
      <c r="J244" s="772" t="str">
        <f>VLOOKUP($D244,transmitter_from_BP!$B:$F,2,0)</f>
        <v>SPLITTER HEATER PASS 8 SKIN</v>
      </c>
      <c r="K244" s="981" t="s">
        <v>11676</v>
      </c>
      <c r="L244" s="1064" t="str">
        <f>VLOOKUP($D244,transmitter_from_BP!$B:$F,5,0)</f>
        <v>DEGC</v>
      </c>
      <c r="M244" s="783">
        <v>6</v>
      </c>
      <c r="N244" s="772">
        <v>6</v>
      </c>
      <c r="O244" s="783">
        <v>1</v>
      </c>
      <c r="P244" s="772">
        <v>1</v>
      </c>
      <c r="Q244" s="783">
        <v>1</v>
      </c>
      <c r="R244" s="772">
        <v>1</v>
      </c>
      <c r="S244" s="783">
        <v>-25</v>
      </c>
      <c r="T244" s="991">
        <f>VLOOKUP($D244,transmitter_from_BP!$B:$F,4,0)</f>
        <v>-25</v>
      </c>
      <c r="U244" s="783">
        <v>523</v>
      </c>
      <c r="V244" s="991">
        <f>VLOOKUP($D244,transmitter_from_BP!$B:$F,3,0)</f>
        <v>523</v>
      </c>
      <c r="W244" s="783">
        <v>0</v>
      </c>
      <c r="X244" s="772"/>
      <c r="Y244" s="783">
        <v>274.85245964829801</v>
      </c>
      <c r="Z244" s="772"/>
    </row>
    <row r="245" spans="1:26" s="753" customFormat="1">
      <c r="A245" s="756" t="s">
        <v>4579</v>
      </c>
      <c r="B245" s="757"/>
      <c r="C245" s="758"/>
      <c r="D245" s="773" t="s">
        <v>9639</v>
      </c>
      <c r="E245" s="782"/>
      <c r="F245" s="774" t="s">
        <v>5942</v>
      </c>
      <c r="G245" s="981" t="s">
        <v>11203</v>
      </c>
      <c r="H245" s="772" t="str">
        <f>VLOOKUP($D245,transmitter_from_BP!$B:$F,2,0)</f>
        <v>SPLITTER HEATER PASS 7 SKIN</v>
      </c>
      <c r="I245" s="981" t="s">
        <v>11203</v>
      </c>
      <c r="J245" s="772" t="str">
        <f>VLOOKUP($D245,transmitter_from_BP!$B:$F,2,0)</f>
        <v>SPLITTER HEATER PASS 7 SKIN</v>
      </c>
      <c r="K245" s="981" t="s">
        <v>11676</v>
      </c>
      <c r="L245" s="1064" t="str">
        <f>VLOOKUP($D245,transmitter_from_BP!$B:$F,5,0)</f>
        <v>DEGC</v>
      </c>
      <c r="M245" s="783">
        <v>6</v>
      </c>
      <c r="N245" s="772">
        <v>6</v>
      </c>
      <c r="O245" s="783">
        <v>1</v>
      </c>
      <c r="P245" s="772">
        <v>1</v>
      </c>
      <c r="Q245" s="783">
        <v>1</v>
      </c>
      <c r="R245" s="772">
        <v>1</v>
      </c>
      <c r="S245" s="783">
        <v>-25</v>
      </c>
      <c r="T245" s="991">
        <f>VLOOKUP($D245,transmitter_from_BP!$B:$F,4,0)</f>
        <v>-25</v>
      </c>
      <c r="U245" s="783">
        <v>523</v>
      </c>
      <c r="V245" s="991">
        <f>VLOOKUP($D245,transmitter_from_BP!$B:$F,3,0)</f>
        <v>523</v>
      </c>
      <c r="W245" s="783">
        <v>0</v>
      </c>
      <c r="X245" s="772"/>
      <c r="Y245" s="783">
        <v>293.48337388870999</v>
      </c>
      <c r="Z245" s="772"/>
    </row>
    <row r="246" spans="1:26" s="753" customFormat="1">
      <c r="A246" s="756" t="s">
        <v>4579</v>
      </c>
      <c r="B246" s="757"/>
      <c r="C246" s="758"/>
      <c r="D246" s="773" t="s">
        <v>9640</v>
      </c>
      <c r="E246" s="782"/>
      <c r="F246" s="774" t="s">
        <v>5943</v>
      </c>
      <c r="G246" s="981" t="s">
        <v>11204</v>
      </c>
      <c r="H246" s="772" t="str">
        <f>VLOOKUP($D246,transmitter_from_BP!$B:$F,2,0)</f>
        <v>SPLITTER HEATER PASS 6 SKIN</v>
      </c>
      <c r="I246" s="981" t="s">
        <v>11204</v>
      </c>
      <c r="J246" s="772" t="str">
        <f>VLOOKUP($D246,transmitter_from_BP!$B:$F,2,0)</f>
        <v>SPLITTER HEATER PASS 6 SKIN</v>
      </c>
      <c r="K246" s="981" t="s">
        <v>11676</v>
      </c>
      <c r="L246" s="1064" t="str">
        <f>VLOOKUP($D246,transmitter_from_BP!$B:$F,5,0)</f>
        <v>DEGC</v>
      </c>
      <c r="M246" s="783">
        <v>6</v>
      </c>
      <c r="N246" s="772">
        <v>6</v>
      </c>
      <c r="O246" s="783">
        <v>1</v>
      </c>
      <c r="P246" s="772">
        <v>1</v>
      </c>
      <c r="Q246" s="783">
        <v>1</v>
      </c>
      <c r="R246" s="772">
        <v>1</v>
      </c>
      <c r="S246" s="783">
        <v>-25</v>
      </c>
      <c r="T246" s="991">
        <f>VLOOKUP($D246,transmitter_from_BP!$B:$F,4,0)</f>
        <v>-25</v>
      </c>
      <c r="U246" s="783">
        <v>523</v>
      </c>
      <c r="V246" s="991">
        <f>VLOOKUP($D246,transmitter_from_BP!$B:$F,3,0)</f>
        <v>523</v>
      </c>
      <c r="W246" s="783">
        <v>0</v>
      </c>
      <c r="X246" s="772"/>
      <c r="Y246" s="783">
        <v>291.06665891856301</v>
      </c>
      <c r="Z246" s="772"/>
    </row>
    <row r="247" spans="1:26" s="753" customFormat="1">
      <c r="A247" s="756" t="s">
        <v>4579</v>
      </c>
      <c r="B247" s="757"/>
      <c r="C247" s="758"/>
      <c r="D247" s="773" t="s">
        <v>9641</v>
      </c>
      <c r="E247" s="782"/>
      <c r="F247" s="774" t="s">
        <v>5944</v>
      </c>
      <c r="G247" s="981" t="s">
        <v>11205</v>
      </c>
      <c r="H247" s="772" t="str">
        <f>VLOOKUP($D247,transmitter_from_BP!$B:$F,2,0)</f>
        <v>SPLITTER HEATER PASS 5 SKIN</v>
      </c>
      <c r="I247" s="981" t="s">
        <v>11205</v>
      </c>
      <c r="J247" s="772" t="str">
        <f>VLOOKUP($D247,transmitter_from_BP!$B:$F,2,0)</f>
        <v>SPLITTER HEATER PASS 5 SKIN</v>
      </c>
      <c r="K247" s="981" t="s">
        <v>11676</v>
      </c>
      <c r="L247" s="1064" t="str">
        <f>VLOOKUP($D247,transmitter_from_BP!$B:$F,5,0)</f>
        <v>DEGC</v>
      </c>
      <c r="M247" s="783">
        <v>6</v>
      </c>
      <c r="N247" s="772">
        <v>6</v>
      </c>
      <c r="O247" s="783">
        <v>1</v>
      </c>
      <c r="P247" s="772">
        <v>1</v>
      </c>
      <c r="Q247" s="783">
        <v>1</v>
      </c>
      <c r="R247" s="772">
        <v>1</v>
      </c>
      <c r="S247" s="783">
        <v>-25</v>
      </c>
      <c r="T247" s="991">
        <f>VLOOKUP($D247,transmitter_from_BP!$B:$F,4,0)</f>
        <v>-25</v>
      </c>
      <c r="U247" s="783">
        <v>523</v>
      </c>
      <c r="V247" s="991">
        <f>VLOOKUP($D247,transmitter_from_BP!$B:$F,3,0)</f>
        <v>523</v>
      </c>
      <c r="W247" s="783">
        <v>0</v>
      </c>
      <c r="X247" s="772"/>
      <c r="Y247" s="783">
        <v>283.475893336105</v>
      </c>
      <c r="Z247" s="772"/>
    </row>
    <row r="248" spans="1:26" s="753" customFormat="1">
      <c r="A248" s="756" t="s">
        <v>4579</v>
      </c>
      <c r="B248" s="757"/>
      <c r="C248" s="758"/>
      <c r="D248" s="773" t="s">
        <v>9642</v>
      </c>
      <c r="E248" s="782"/>
      <c r="F248" s="774" t="s">
        <v>5945</v>
      </c>
      <c r="G248" s="981" t="s">
        <v>11206</v>
      </c>
      <c r="H248" s="772" t="str">
        <f>VLOOKUP($D248,transmitter_from_BP!$B:$F,2,0)</f>
        <v>SPLITTER HEATER PASS 1 SKIN</v>
      </c>
      <c r="I248" s="981" t="s">
        <v>11206</v>
      </c>
      <c r="J248" s="772" t="str">
        <f>VLOOKUP($D248,transmitter_from_BP!$B:$F,2,0)</f>
        <v>SPLITTER HEATER PASS 1 SKIN</v>
      </c>
      <c r="K248" s="981" t="s">
        <v>11676</v>
      </c>
      <c r="L248" s="1064" t="str">
        <f>VLOOKUP($D248,transmitter_from_BP!$B:$F,5,0)</f>
        <v>DEGC</v>
      </c>
      <c r="M248" s="783">
        <v>6</v>
      </c>
      <c r="N248" s="772">
        <v>6</v>
      </c>
      <c r="O248" s="783">
        <v>1</v>
      </c>
      <c r="P248" s="772">
        <v>1</v>
      </c>
      <c r="Q248" s="783">
        <v>1</v>
      </c>
      <c r="R248" s="772">
        <v>1</v>
      </c>
      <c r="S248" s="783">
        <v>-25</v>
      </c>
      <c r="T248" s="991">
        <f>VLOOKUP($D248,transmitter_from_BP!$B:$F,4,0)</f>
        <v>-25</v>
      </c>
      <c r="U248" s="783">
        <v>523</v>
      </c>
      <c r="V248" s="991">
        <f>VLOOKUP($D248,transmitter_from_BP!$B:$F,3,0)</f>
        <v>523</v>
      </c>
      <c r="W248" s="783">
        <v>0</v>
      </c>
      <c r="X248" s="772"/>
      <c r="Y248" s="783">
        <v>293.48145240666298</v>
      </c>
      <c r="Z248" s="772"/>
    </row>
    <row r="249" spans="1:26" s="753" customFormat="1">
      <c r="A249" s="756" t="s">
        <v>4579</v>
      </c>
      <c r="B249" s="757"/>
      <c r="C249" s="758"/>
      <c r="D249" s="773" t="s">
        <v>9643</v>
      </c>
      <c r="E249" s="782"/>
      <c r="F249" s="774" t="s">
        <v>5946</v>
      </c>
      <c r="G249" s="981" t="s">
        <v>11207</v>
      </c>
      <c r="H249" s="772" t="str">
        <f>VLOOKUP($D249,transmitter_from_BP!$B:$F,2,0)</f>
        <v>SPLITTER HEATER PASS 2 SKIN</v>
      </c>
      <c r="I249" s="981" t="s">
        <v>11207</v>
      </c>
      <c r="J249" s="772" t="str">
        <f>VLOOKUP($D249,transmitter_from_BP!$B:$F,2,0)</f>
        <v>SPLITTER HEATER PASS 2 SKIN</v>
      </c>
      <c r="K249" s="981" t="s">
        <v>11676</v>
      </c>
      <c r="L249" s="1064" t="str">
        <f>VLOOKUP($D249,transmitter_from_BP!$B:$F,5,0)</f>
        <v>DEGC</v>
      </c>
      <c r="M249" s="783">
        <v>6</v>
      </c>
      <c r="N249" s="772">
        <v>6</v>
      </c>
      <c r="O249" s="783">
        <v>1</v>
      </c>
      <c r="P249" s="772">
        <v>1</v>
      </c>
      <c r="Q249" s="783">
        <v>1</v>
      </c>
      <c r="R249" s="772">
        <v>1</v>
      </c>
      <c r="S249" s="783">
        <v>-25</v>
      </c>
      <c r="T249" s="991">
        <f>VLOOKUP($D249,transmitter_from_BP!$B:$F,4,0)</f>
        <v>-25</v>
      </c>
      <c r="U249" s="783">
        <v>523</v>
      </c>
      <c r="V249" s="991">
        <f>VLOOKUP($D249,transmitter_from_BP!$B:$F,3,0)</f>
        <v>523</v>
      </c>
      <c r="W249" s="783">
        <v>0</v>
      </c>
      <c r="X249" s="772"/>
      <c r="Y249" s="783">
        <v>293.13701606792398</v>
      </c>
      <c r="Z249" s="772"/>
    </row>
    <row r="250" spans="1:26" s="753" customFormat="1">
      <c r="A250" s="756" t="s">
        <v>4579</v>
      </c>
      <c r="B250" s="757"/>
      <c r="C250" s="758"/>
      <c r="D250" s="773" t="s">
        <v>9644</v>
      </c>
      <c r="E250" s="782"/>
      <c r="F250" s="774" t="s">
        <v>5947</v>
      </c>
      <c r="G250" s="981" t="s">
        <v>11208</v>
      </c>
      <c r="H250" s="772" t="str">
        <f>VLOOKUP($D250,transmitter_from_BP!$B:$F,2,0)</f>
        <v>SPLITTER HEATER PASS 3 SKIN</v>
      </c>
      <c r="I250" s="981" t="s">
        <v>11208</v>
      </c>
      <c r="J250" s="772" t="str">
        <f>VLOOKUP($D250,transmitter_from_BP!$B:$F,2,0)</f>
        <v>SPLITTER HEATER PASS 3 SKIN</v>
      </c>
      <c r="K250" s="981" t="s">
        <v>11676</v>
      </c>
      <c r="L250" s="1064" t="str">
        <f>VLOOKUP($D250,transmitter_from_BP!$B:$F,5,0)</f>
        <v>DEGC</v>
      </c>
      <c r="M250" s="783">
        <v>6</v>
      </c>
      <c r="N250" s="772">
        <v>6</v>
      </c>
      <c r="O250" s="783">
        <v>1</v>
      </c>
      <c r="P250" s="772">
        <v>1</v>
      </c>
      <c r="Q250" s="783">
        <v>1</v>
      </c>
      <c r="R250" s="772">
        <v>1</v>
      </c>
      <c r="S250" s="783">
        <v>-25</v>
      </c>
      <c r="T250" s="991">
        <f>VLOOKUP($D250,transmitter_from_BP!$B:$F,4,0)</f>
        <v>-25</v>
      </c>
      <c r="U250" s="783">
        <v>523</v>
      </c>
      <c r="V250" s="991">
        <f>VLOOKUP($D250,transmitter_from_BP!$B:$F,3,0)</f>
        <v>523</v>
      </c>
      <c r="W250" s="783">
        <v>0</v>
      </c>
      <c r="X250" s="772"/>
      <c r="Y250" s="783">
        <v>262.74080350002203</v>
      </c>
      <c r="Z250" s="772"/>
    </row>
    <row r="251" spans="1:26" s="753" customFormat="1">
      <c r="A251" s="756" t="s">
        <v>4579</v>
      </c>
      <c r="B251" s="757"/>
      <c r="C251" s="758"/>
      <c r="D251" s="773" t="s">
        <v>9645</v>
      </c>
      <c r="E251" s="782"/>
      <c r="F251" s="774" t="s">
        <v>5948</v>
      </c>
      <c r="G251" s="981" t="s">
        <v>11209</v>
      </c>
      <c r="H251" s="772" t="str">
        <f>VLOOKUP($D251,transmitter_from_BP!$B:$F,2,0)</f>
        <v>SPLITTER HEATER PASS 4 SKIN</v>
      </c>
      <c r="I251" s="981" t="s">
        <v>11209</v>
      </c>
      <c r="J251" s="772" t="str">
        <f>VLOOKUP($D251,transmitter_from_BP!$B:$F,2,0)</f>
        <v>SPLITTER HEATER PASS 4 SKIN</v>
      </c>
      <c r="K251" s="981" t="s">
        <v>11676</v>
      </c>
      <c r="L251" s="1064" t="str">
        <f>VLOOKUP($D251,transmitter_from_BP!$B:$F,5,0)</f>
        <v>DEGC</v>
      </c>
      <c r="M251" s="783">
        <v>6</v>
      </c>
      <c r="N251" s="772">
        <v>6</v>
      </c>
      <c r="O251" s="783">
        <v>1</v>
      </c>
      <c r="P251" s="772">
        <v>1</v>
      </c>
      <c r="Q251" s="783">
        <v>1</v>
      </c>
      <c r="R251" s="772">
        <v>1</v>
      </c>
      <c r="S251" s="783">
        <v>-25</v>
      </c>
      <c r="T251" s="991">
        <f>VLOOKUP($D251,transmitter_from_BP!$B:$F,4,0)</f>
        <v>-25</v>
      </c>
      <c r="U251" s="783">
        <v>523</v>
      </c>
      <c r="V251" s="991">
        <f>VLOOKUP($D251,transmitter_from_BP!$B:$F,3,0)</f>
        <v>523</v>
      </c>
      <c r="W251" s="783">
        <v>0</v>
      </c>
      <c r="X251" s="772"/>
      <c r="Y251" s="783">
        <v>264.46606987399701</v>
      </c>
      <c r="Z251" s="772"/>
    </row>
    <row r="252" spans="1:26" s="753" customFormat="1">
      <c r="A252" s="756" t="s">
        <v>4579</v>
      </c>
      <c r="B252" s="757"/>
      <c r="C252" s="758"/>
      <c r="D252" s="773" t="s">
        <v>9652</v>
      </c>
      <c r="E252" s="782"/>
      <c r="F252" s="774" t="s">
        <v>8786</v>
      </c>
      <c r="G252" s="981" t="s">
        <v>11210</v>
      </c>
      <c r="H252" s="772" t="str">
        <f>VLOOKUP($D252,transmitter_from_BP!$B:$F,2,0)</f>
        <v>CDU M.P.A. EZ2114 LOUVRES</v>
      </c>
      <c r="I252" s="981" t="s">
        <v>11210</v>
      </c>
      <c r="J252" s="772" t="str">
        <f>VLOOKUP($D252,transmitter_from_BP!$B:$F,2,0)</f>
        <v>CDU M.P.A. EZ2114 LOUVRES</v>
      </c>
      <c r="K252" s="981" t="s">
        <v>11676</v>
      </c>
      <c r="L252" s="1064" t="str">
        <f>VLOOKUP($D252,transmitter_from_BP!$B:$F,5,0)</f>
        <v>DEGC</v>
      </c>
      <c r="M252" s="783">
        <v>6</v>
      </c>
      <c r="N252" s="772">
        <v>6</v>
      </c>
      <c r="O252" s="783">
        <v>1</v>
      </c>
      <c r="P252" s="772">
        <v>1</v>
      </c>
      <c r="Q252" s="783">
        <v>1</v>
      </c>
      <c r="R252" s="772">
        <v>1</v>
      </c>
      <c r="S252" s="783">
        <v>-19</v>
      </c>
      <c r="T252" s="991">
        <f>VLOOKUP($D252,transmitter_from_BP!$B:$F,4,0)</f>
        <v>-19</v>
      </c>
      <c r="U252" s="783">
        <v>624</v>
      </c>
      <c r="V252" s="991">
        <f>VLOOKUP($D252,transmitter_from_BP!$B:$F,3,0)</f>
        <v>624</v>
      </c>
      <c r="W252" s="783">
        <v>0</v>
      </c>
      <c r="X252" s="772"/>
      <c r="Y252" s="783">
        <v>183.693074720488</v>
      </c>
      <c r="Z252" s="772"/>
    </row>
    <row r="253" spans="1:26" s="753" customFormat="1">
      <c r="A253" s="756" t="s">
        <v>4579</v>
      </c>
      <c r="B253" s="757"/>
      <c r="C253" s="758"/>
      <c r="D253" s="773" t="s">
        <v>9653</v>
      </c>
      <c r="E253" s="782"/>
      <c r="F253" s="774" t="s">
        <v>8651</v>
      </c>
      <c r="G253" s="981" t="s">
        <v>11211</v>
      </c>
      <c r="H253" s="772" t="str">
        <f>VLOOKUP($D253,transmitter_from_BP!$B:$F,2,0)</f>
        <v>EZ2110A OUTLT FROM BPA</v>
      </c>
      <c r="I253" s="981" t="s">
        <v>11211</v>
      </c>
      <c r="J253" s="772" t="str">
        <f>VLOOKUP($D253,transmitter_from_BP!$B:$F,2,0)</f>
        <v>EZ2110A OUTLT FROM BPA</v>
      </c>
      <c r="K253" s="981" t="s">
        <v>11676</v>
      </c>
      <c r="L253" s="1064" t="str">
        <f>VLOOKUP($D253,transmitter_from_BP!$B:$F,5,0)</f>
        <v>DEGC</v>
      </c>
      <c r="M253" s="783">
        <v>6</v>
      </c>
      <c r="N253" s="772">
        <v>6</v>
      </c>
      <c r="O253" s="783">
        <v>1</v>
      </c>
      <c r="P253" s="772">
        <v>1</v>
      </c>
      <c r="Q253" s="783">
        <v>1</v>
      </c>
      <c r="R253" s="772">
        <v>1</v>
      </c>
      <c r="S253" s="783">
        <v>0</v>
      </c>
      <c r="T253" s="991">
        <f>VLOOKUP($D253,transmitter_from_BP!$B:$F,4,0)</f>
        <v>0</v>
      </c>
      <c r="U253" s="783">
        <v>600</v>
      </c>
      <c r="V253" s="991">
        <f>VLOOKUP($D253,transmitter_from_BP!$B:$F,3,0)</f>
        <v>600</v>
      </c>
      <c r="W253" s="783">
        <v>0</v>
      </c>
      <c r="X253" s="772"/>
      <c r="Y253" s="783">
        <v>307.48478030089899</v>
      </c>
      <c r="Z253" s="772"/>
    </row>
    <row r="254" spans="1:26" s="753" customFormat="1">
      <c r="A254" s="756" t="s">
        <v>4579</v>
      </c>
      <c r="B254" s="757"/>
      <c r="C254" s="758"/>
      <c r="D254" s="773" t="s">
        <v>3648</v>
      </c>
      <c r="E254" s="782"/>
      <c r="F254" s="774" t="s">
        <v>5932</v>
      </c>
      <c r="G254" s="981" t="s">
        <v>11212</v>
      </c>
      <c r="H254" s="772" t="str">
        <f>VLOOKUP($D254,transmitter_from_BP!$B:$F,2,0)</f>
        <v>DFU SPLITTER REBOIL.OUTLET</v>
      </c>
      <c r="I254" s="981" t="s">
        <v>11212</v>
      </c>
      <c r="J254" s="772" t="str">
        <f>VLOOKUP($D254,transmitter_from_BP!$B:$F,2,0)</f>
        <v>DFU SPLITTER REBOIL.OUTLET</v>
      </c>
      <c r="K254" s="981" t="s">
        <v>11676</v>
      </c>
      <c r="L254" s="1064" t="str">
        <f>VLOOKUP($D254,transmitter_from_BP!$B:$F,5,0)</f>
        <v>DEGC</v>
      </c>
      <c r="M254" s="783">
        <v>6</v>
      </c>
      <c r="N254" s="772">
        <v>6</v>
      </c>
      <c r="O254" s="783">
        <v>1</v>
      </c>
      <c r="P254" s="772">
        <v>1</v>
      </c>
      <c r="Q254" s="783">
        <v>1</v>
      </c>
      <c r="R254" s="772">
        <v>1</v>
      </c>
      <c r="S254" s="783">
        <v>0</v>
      </c>
      <c r="T254" s="991">
        <f>VLOOKUP($D254,transmitter_from_BP!$B:$F,4,0)</f>
        <v>0</v>
      </c>
      <c r="U254" s="783">
        <v>250</v>
      </c>
      <c r="V254" s="991">
        <f>VLOOKUP($D254,transmitter_from_BP!$B:$F,3,0)</f>
        <v>250</v>
      </c>
      <c r="W254" s="783">
        <v>0</v>
      </c>
      <c r="X254" s="772"/>
      <c r="Y254" s="783">
        <v>209.22712218600199</v>
      </c>
      <c r="Z254" s="772"/>
    </row>
    <row r="255" spans="1:26" s="514" customFormat="1">
      <c r="A255" s="519" t="s">
        <v>4579</v>
      </c>
      <c r="B255" s="520"/>
      <c r="C255" s="521"/>
      <c r="D255" s="759" t="s">
        <v>2016</v>
      </c>
      <c r="E255" s="782"/>
      <c r="F255" s="760" t="s">
        <v>9283</v>
      </c>
      <c r="G255" s="981" t="s">
        <v>11213</v>
      </c>
      <c r="H255" s="555" t="str">
        <f>VLOOKUP($D255,transmitter_from_BP!$B:$F,2,0)</f>
        <v>HZ2101 COMBINED OUTLET</v>
      </c>
      <c r="I255" s="981" t="s">
        <v>11213</v>
      </c>
      <c r="J255" s="755" t="str">
        <f>VLOOKUP($D255,transmitter_from_BP!$B:$F,2,0)</f>
        <v>HZ2101 COMBINED OUTLET</v>
      </c>
      <c r="K255" s="981" t="s">
        <v>11676</v>
      </c>
      <c r="L255" s="555" t="str">
        <f>VLOOKUP($D255,transmitter_from_BP!$B:$F,5,0)</f>
        <v>DEGC</v>
      </c>
      <c r="M255" s="570">
        <v>6</v>
      </c>
      <c r="N255" s="772">
        <v>6</v>
      </c>
      <c r="O255" s="570">
        <v>1</v>
      </c>
      <c r="P255" s="765">
        <v>1</v>
      </c>
      <c r="Q255" s="570">
        <v>1</v>
      </c>
      <c r="R255" s="555">
        <v>1</v>
      </c>
      <c r="S255" s="570">
        <v>-19</v>
      </c>
      <c r="T255" s="991">
        <f>VLOOKUP($D255,transmitter_from_BP!$B:$F,4,0)</f>
        <v>-19</v>
      </c>
      <c r="U255" s="570">
        <v>624</v>
      </c>
      <c r="V255" s="991">
        <f>VLOOKUP($D255,transmitter_from_BP!$B:$F,3,0)</f>
        <v>624</v>
      </c>
      <c r="W255" s="570">
        <v>0</v>
      </c>
      <c r="X255" s="555"/>
      <c r="Y255" s="614">
        <v>375.42652978776903</v>
      </c>
      <c r="Z255" s="610"/>
    </row>
    <row r="256" spans="1:26" s="514" customFormat="1">
      <c r="A256" s="519" t="s">
        <v>4579</v>
      </c>
      <c r="B256" s="520"/>
      <c r="C256" s="521"/>
      <c r="D256" s="759" t="s">
        <v>2119</v>
      </c>
      <c r="E256" s="782"/>
      <c r="F256" s="556" t="s">
        <v>9289</v>
      </c>
      <c r="G256" s="981" t="s">
        <v>11117</v>
      </c>
      <c r="H256" s="555" t="str">
        <f>VLOOKUP($D256,transmitter_from_BP!$B:$F,2,0)</f>
        <v>CDU TOWER TOP</v>
      </c>
      <c r="I256" s="981" t="s">
        <v>11117</v>
      </c>
      <c r="J256" s="755" t="str">
        <f>VLOOKUP($D256,transmitter_from_BP!$B:$F,2,0)</f>
        <v>CDU TOWER TOP</v>
      </c>
      <c r="K256" s="981" t="s">
        <v>11676</v>
      </c>
      <c r="L256" s="1064" t="str">
        <f>VLOOKUP($D256,transmitter_from_BP!$B:$F,5,0)</f>
        <v>DEGC</v>
      </c>
      <c r="M256" s="570">
        <v>6</v>
      </c>
      <c r="N256" s="772">
        <v>6</v>
      </c>
      <c r="O256" s="570">
        <v>1</v>
      </c>
      <c r="P256" s="765">
        <v>1</v>
      </c>
      <c r="Q256" s="570">
        <v>1</v>
      </c>
      <c r="R256" s="555">
        <v>1</v>
      </c>
      <c r="S256" s="570">
        <v>-19</v>
      </c>
      <c r="T256" s="991">
        <f>VLOOKUP($D256,transmitter_from_BP!$B:$F,4,0)</f>
        <v>-19</v>
      </c>
      <c r="U256" s="570">
        <v>624</v>
      </c>
      <c r="V256" s="991">
        <f>VLOOKUP($D256,transmitter_from_BP!$B:$F,3,0)</f>
        <v>624</v>
      </c>
      <c r="W256" s="570">
        <v>0</v>
      </c>
      <c r="X256" s="555"/>
      <c r="Y256" s="614">
        <v>202.562763512461</v>
      </c>
      <c r="Z256" s="610"/>
    </row>
    <row r="257" spans="1:26" s="514" customFormat="1">
      <c r="A257" s="519" t="s">
        <v>4579</v>
      </c>
      <c r="B257" s="520"/>
      <c r="C257" s="521"/>
      <c r="D257" s="759" t="s">
        <v>1713</v>
      </c>
      <c r="E257" s="782"/>
      <c r="F257" s="556" t="s">
        <v>9304</v>
      </c>
      <c r="G257" s="981" t="s">
        <v>11214</v>
      </c>
      <c r="H257" s="555" t="str">
        <f>VLOOKUP($D257,transmitter_from_BP!$B:$F,2,0)</f>
        <v>RESIDUE TO EZ2101</v>
      </c>
      <c r="I257" s="981" t="s">
        <v>11214</v>
      </c>
      <c r="J257" s="755" t="str">
        <f>VLOOKUP($D257,transmitter_from_BP!$B:$F,2,0)</f>
        <v>RESIDUE TO EZ2101</v>
      </c>
      <c r="K257" s="981" t="s">
        <v>11676</v>
      </c>
      <c r="L257" s="1064" t="str">
        <f>VLOOKUP($D257,transmitter_from_BP!$B:$F,5,0)</f>
        <v>DEGC</v>
      </c>
      <c r="M257" s="570">
        <v>6</v>
      </c>
      <c r="N257" s="772">
        <v>6</v>
      </c>
      <c r="O257" s="570">
        <v>1</v>
      </c>
      <c r="P257" s="765">
        <v>1</v>
      </c>
      <c r="Q257" s="570">
        <v>1</v>
      </c>
      <c r="R257" s="555">
        <v>1</v>
      </c>
      <c r="S257" s="570">
        <v>-25</v>
      </c>
      <c r="T257" s="991">
        <f>VLOOKUP($D257,transmitter_from_BP!$B:$F,4,0)</f>
        <v>-25</v>
      </c>
      <c r="U257" s="570">
        <v>523</v>
      </c>
      <c r="V257" s="991">
        <f>VLOOKUP($D257,transmitter_from_BP!$B:$F,3,0)</f>
        <v>523</v>
      </c>
      <c r="W257" s="570">
        <v>0</v>
      </c>
      <c r="X257" s="555"/>
      <c r="Y257" s="614">
        <v>174.669286191141</v>
      </c>
      <c r="Z257" s="610"/>
    </row>
    <row r="258" spans="1:26" s="514" customFormat="1">
      <c r="A258" s="519" t="s">
        <v>4579</v>
      </c>
      <c r="B258" s="520"/>
      <c r="C258" s="521"/>
      <c r="D258" s="759" t="s">
        <v>9663</v>
      </c>
      <c r="E258" s="517"/>
      <c r="F258" s="556" t="s">
        <v>8750</v>
      </c>
      <c r="G258" s="981" t="s">
        <v>11215</v>
      </c>
      <c r="H258" s="755" t="str">
        <f>VLOOKUP($D258,transmitter_from_BP!$B:$F,2,0)</f>
        <v>COLD CRUDE FEED</v>
      </c>
      <c r="I258" s="981" t="s">
        <v>11215</v>
      </c>
      <c r="J258" s="755" t="str">
        <f>VLOOKUP($D258,transmitter_from_BP!$B:$F,2,0)</f>
        <v>COLD CRUDE FEED</v>
      </c>
      <c r="K258" s="981" t="s">
        <v>11676</v>
      </c>
      <c r="L258" s="1064" t="str">
        <f>VLOOKUP($D258,transmitter_from_BP!$B:$F,5,0)</f>
        <v>DEGC</v>
      </c>
      <c r="M258" s="570">
        <v>6</v>
      </c>
      <c r="N258" s="772">
        <v>6</v>
      </c>
      <c r="O258" s="570">
        <v>1</v>
      </c>
      <c r="P258" s="765">
        <v>1</v>
      </c>
      <c r="Q258" s="570">
        <v>1</v>
      </c>
      <c r="R258" s="555">
        <v>1</v>
      </c>
      <c r="S258" s="570">
        <v>-25</v>
      </c>
      <c r="T258" s="991">
        <f>VLOOKUP($D258,transmitter_from_BP!$B:$F,4,0)</f>
        <v>-25</v>
      </c>
      <c r="U258" s="570">
        <v>238</v>
      </c>
      <c r="V258" s="991">
        <f>VLOOKUP($D258,transmitter_from_BP!$B:$F,3,0)</f>
        <v>238</v>
      </c>
      <c r="W258" s="570">
        <v>0</v>
      </c>
      <c r="X258" s="555"/>
      <c r="Y258" s="614">
        <v>21.457728855711999</v>
      </c>
      <c r="Z258" s="610"/>
    </row>
    <row r="259" spans="1:26" s="514" customFormat="1">
      <c r="A259" s="519" t="s">
        <v>4579</v>
      </c>
      <c r="B259" s="520"/>
      <c r="C259" s="521"/>
      <c r="D259" s="759" t="s">
        <v>9664</v>
      </c>
      <c r="E259" s="517"/>
      <c r="F259" s="556" t="s">
        <v>9312</v>
      </c>
      <c r="G259" s="981" t="s">
        <v>11030</v>
      </c>
      <c r="H259" s="755" t="str">
        <f>VLOOKUP($D259,transmitter_from_BP!$B:$F,2,0)</f>
        <v>RESIDUE RUNDOWN</v>
      </c>
      <c r="I259" s="981" t="s">
        <v>11030</v>
      </c>
      <c r="J259" s="755" t="str">
        <f>VLOOKUP($D259,transmitter_from_BP!$B:$F,2,0)</f>
        <v>RESIDUE RUNDOWN</v>
      </c>
      <c r="K259" s="981" t="s">
        <v>11676</v>
      </c>
      <c r="L259" s="1064" t="str">
        <f>VLOOKUP($D259,transmitter_from_BP!$B:$F,5,0)</f>
        <v>DEGC</v>
      </c>
      <c r="M259" s="570">
        <v>0</v>
      </c>
      <c r="N259" s="772">
        <v>0</v>
      </c>
      <c r="O259" s="570">
        <v>1</v>
      </c>
      <c r="P259" s="765">
        <v>1</v>
      </c>
      <c r="Q259" s="570">
        <v>1</v>
      </c>
      <c r="R259" s="555">
        <v>1</v>
      </c>
      <c r="S259" s="570">
        <v>-25</v>
      </c>
      <c r="T259" s="991">
        <f>VLOOKUP($D259,transmitter_from_BP!$B:$F,4,0)</f>
        <v>-25</v>
      </c>
      <c r="U259" s="570">
        <v>523</v>
      </c>
      <c r="V259" s="991">
        <f>VLOOKUP($D259,transmitter_from_BP!$B:$F,3,0)</f>
        <v>523</v>
      </c>
      <c r="W259" s="570">
        <v>0</v>
      </c>
      <c r="X259" s="555"/>
      <c r="Y259" s="614">
        <v>83.611289481811397</v>
      </c>
      <c r="Z259" s="610"/>
    </row>
    <row r="260" spans="1:26" s="514" customFormat="1">
      <c r="A260" s="519" t="s">
        <v>4579</v>
      </c>
      <c r="B260" s="520"/>
      <c r="C260" s="521"/>
      <c r="D260" s="759" t="s">
        <v>8686</v>
      </c>
      <c r="E260" s="782"/>
      <c r="F260" s="556" t="s">
        <v>8687</v>
      </c>
      <c r="G260" s="981" t="s">
        <v>11216</v>
      </c>
      <c r="H260" s="755" t="str">
        <f>VLOOKUP($D260,transmitter_from_BP!$B:$F,2,0)</f>
        <v>TEMPERED WATER CIRCULATION</v>
      </c>
      <c r="I260" s="981" t="s">
        <v>11216</v>
      </c>
      <c r="J260" s="755" t="str">
        <f>VLOOKUP($D260,transmitter_from_BP!$B:$F,2,0)</f>
        <v>TEMPERED WATER CIRCULATION</v>
      </c>
      <c r="K260" s="981" t="s">
        <v>11676</v>
      </c>
      <c r="L260" s="1064" t="str">
        <f>VLOOKUP($D260,transmitter_from_BP!$B:$F,5,0)</f>
        <v>DEGC</v>
      </c>
      <c r="M260" s="570">
        <v>6</v>
      </c>
      <c r="N260" s="772">
        <v>6</v>
      </c>
      <c r="O260" s="570">
        <v>1</v>
      </c>
      <c r="P260" s="765">
        <v>1</v>
      </c>
      <c r="Q260" s="570">
        <v>1</v>
      </c>
      <c r="R260" s="555">
        <v>1</v>
      </c>
      <c r="S260" s="570">
        <v>-25</v>
      </c>
      <c r="T260" s="991">
        <f>VLOOKUP($D260,transmitter_from_BP!$B:$F,4,0)</f>
        <v>-25</v>
      </c>
      <c r="U260" s="570">
        <v>150</v>
      </c>
      <c r="V260" s="991">
        <f>VLOOKUP($D260,transmitter_from_BP!$B:$F,3,0)</f>
        <v>150</v>
      </c>
      <c r="W260" s="570">
        <v>0</v>
      </c>
      <c r="X260" s="555"/>
      <c r="Y260" s="614">
        <v>73.622507714174702</v>
      </c>
      <c r="Z260" s="610"/>
    </row>
    <row r="261" spans="1:26" s="514" customFormat="1">
      <c r="A261" s="519" t="s">
        <v>4579</v>
      </c>
      <c r="B261" s="520"/>
      <c r="C261" s="521"/>
      <c r="D261" s="759" t="s">
        <v>9665</v>
      </c>
      <c r="E261" s="517"/>
      <c r="F261" s="556" t="s">
        <v>8676</v>
      </c>
      <c r="G261" s="981" t="s">
        <v>11217</v>
      </c>
      <c r="H261" s="755" t="str">
        <f>VLOOKUP($D261,transmitter_from_BP!$B:$F,2,0)</f>
        <v>OVERHEADS DZ2102 OUTLET TO DHT</v>
      </c>
      <c r="I261" s="981" t="s">
        <v>11217</v>
      </c>
      <c r="J261" s="755" t="str">
        <f>VLOOKUP($D261,transmitter_from_BP!$B:$F,2,0)</f>
        <v>OVERHEADS DZ2102 OUTLET TO DHT</v>
      </c>
      <c r="K261" s="981" t="s">
        <v>11676</v>
      </c>
      <c r="L261" s="1064" t="str">
        <f>VLOOKUP($D261,transmitter_from_BP!$B:$F,5,0)</f>
        <v>DEGC</v>
      </c>
      <c r="M261" s="570">
        <v>6</v>
      </c>
      <c r="N261" s="772">
        <v>6</v>
      </c>
      <c r="O261" s="570">
        <v>1</v>
      </c>
      <c r="P261" s="765">
        <v>1</v>
      </c>
      <c r="Q261" s="570">
        <v>1</v>
      </c>
      <c r="R261" s="555">
        <v>1</v>
      </c>
      <c r="S261" s="570">
        <v>0</v>
      </c>
      <c r="T261" s="991">
        <f>VLOOKUP($D261,transmitter_from_BP!$B:$F,4,0)</f>
        <v>0</v>
      </c>
      <c r="U261" s="570">
        <v>100</v>
      </c>
      <c r="V261" s="991">
        <f>VLOOKUP($D261,transmitter_from_BP!$B:$F,3,0)</f>
        <v>100</v>
      </c>
      <c r="W261" s="570">
        <v>0</v>
      </c>
      <c r="X261" s="555"/>
      <c r="Y261" s="614">
        <v>51.503318477406197</v>
      </c>
      <c r="Z261" s="610"/>
    </row>
    <row r="262" spans="1:26" s="514" customFormat="1">
      <c r="A262" s="519" t="s">
        <v>4579</v>
      </c>
      <c r="B262" s="520"/>
      <c r="C262" s="521"/>
      <c r="D262" s="759" t="s">
        <v>9666</v>
      </c>
      <c r="E262" s="782"/>
      <c r="F262" s="556" t="s">
        <v>9315</v>
      </c>
      <c r="G262" s="981" t="s">
        <v>11218</v>
      </c>
      <c r="H262" s="755" t="str">
        <f>VLOOKUP($D262,transmitter_from_BP!$B:$F,2,0)</f>
        <v>CDU OVERHEADS DZ2102</v>
      </c>
      <c r="I262" s="981" t="s">
        <v>11218</v>
      </c>
      <c r="J262" s="755" t="str">
        <f>VLOOKUP($D262,transmitter_from_BP!$B:$F,2,0)</f>
        <v>CDU OVERHEADS DZ2102</v>
      </c>
      <c r="K262" s="981" t="s">
        <v>11676</v>
      </c>
      <c r="L262" s="1064" t="str">
        <f>VLOOKUP($D262,transmitter_from_BP!$B:$F,5,0)</f>
        <v>DEGC</v>
      </c>
      <c r="M262" s="570">
        <v>6</v>
      </c>
      <c r="N262" s="772">
        <v>6</v>
      </c>
      <c r="O262" s="570">
        <v>1</v>
      </c>
      <c r="P262" s="765">
        <v>1</v>
      </c>
      <c r="Q262" s="570">
        <v>1</v>
      </c>
      <c r="R262" s="555">
        <v>1</v>
      </c>
      <c r="S262" s="570">
        <v>-25</v>
      </c>
      <c r="T262" s="991">
        <f>VLOOKUP($D262,transmitter_from_BP!$B:$F,4,0)</f>
        <v>-25</v>
      </c>
      <c r="U262" s="570">
        <v>200</v>
      </c>
      <c r="V262" s="991">
        <f>VLOOKUP($D262,transmitter_from_BP!$B:$F,3,0)</f>
        <v>200</v>
      </c>
      <c r="W262" s="570">
        <v>0</v>
      </c>
      <c r="X262" s="555"/>
      <c r="Y262" s="614">
        <v>51.506402301125</v>
      </c>
      <c r="Z262" s="610"/>
    </row>
    <row r="263" spans="1:26" s="514" customFormat="1">
      <c r="A263" s="519" t="s">
        <v>4579</v>
      </c>
      <c r="B263" s="520"/>
      <c r="C263" s="521"/>
      <c r="D263" s="759" t="s">
        <v>9667</v>
      </c>
      <c r="E263" s="517"/>
      <c r="F263" s="726" t="s">
        <v>8738</v>
      </c>
      <c r="G263" s="981" t="s">
        <v>11219</v>
      </c>
      <c r="H263" s="755" t="str">
        <f>VLOOKUP($D263,transmitter_from_BP!$B:$F,2,0)</f>
        <v>TPA RETURN</v>
      </c>
      <c r="I263" s="981" t="s">
        <v>11219</v>
      </c>
      <c r="J263" s="755" t="str">
        <f>VLOOKUP($D263,transmitter_from_BP!$B:$F,2,0)</f>
        <v>TPA RETURN</v>
      </c>
      <c r="K263" s="981" t="s">
        <v>11676</v>
      </c>
      <c r="L263" s="1064" t="str">
        <f>VLOOKUP($D263,transmitter_from_BP!$B:$F,5,0)</f>
        <v>DEGC</v>
      </c>
      <c r="M263" s="727">
        <v>6</v>
      </c>
      <c r="N263" s="772">
        <v>6</v>
      </c>
      <c r="O263" s="727">
        <v>1</v>
      </c>
      <c r="P263" s="765">
        <v>1</v>
      </c>
      <c r="Q263" s="727">
        <v>1</v>
      </c>
      <c r="R263" s="555">
        <v>1</v>
      </c>
      <c r="S263" s="727">
        <v>-25</v>
      </c>
      <c r="T263" s="991">
        <f>VLOOKUP($D263,transmitter_from_BP!$B:$F,4,0)</f>
        <v>-25</v>
      </c>
      <c r="U263" s="727">
        <v>523</v>
      </c>
      <c r="V263" s="991">
        <f>VLOOKUP($D263,transmitter_from_BP!$B:$F,3,0)</f>
        <v>523</v>
      </c>
      <c r="W263" s="727">
        <v>0</v>
      </c>
      <c r="X263" s="555"/>
      <c r="Y263" s="727">
        <v>162.43225215293899</v>
      </c>
      <c r="Z263" s="610"/>
    </row>
    <row r="264" spans="1:26" s="514" customFormat="1">
      <c r="A264" s="519" t="s">
        <v>4579</v>
      </c>
      <c r="B264" s="520"/>
      <c r="C264" s="521"/>
      <c r="D264" s="759" t="s">
        <v>9668</v>
      </c>
      <c r="E264" s="517"/>
      <c r="F264" s="556" t="s">
        <v>6433</v>
      </c>
      <c r="G264" s="981" t="s">
        <v>11040</v>
      </c>
      <c r="H264" s="755" t="str">
        <f>VLOOKUP($D264,transmitter_from_BP!$B:$F,2,0)</f>
        <v>CRUDE TO A DESALTER</v>
      </c>
      <c r="I264" s="981" t="s">
        <v>11040</v>
      </c>
      <c r="J264" s="755" t="str">
        <f>VLOOKUP($D264,transmitter_from_BP!$B:$F,2,0)</f>
        <v>CRUDE TO A DESALTER</v>
      </c>
      <c r="K264" s="981" t="s">
        <v>11676</v>
      </c>
      <c r="L264" s="1064" t="str">
        <f>VLOOKUP($D264,transmitter_from_BP!$B:$F,5,0)</f>
        <v>DEGC</v>
      </c>
      <c r="M264" s="570">
        <v>6</v>
      </c>
      <c r="N264" s="610">
        <v>6</v>
      </c>
      <c r="O264" s="570">
        <v>1</v>
      </c>
      <c r="P264" s="765">
        <v>1</v>
      </c>
      <c r="Q264" s="570">
        <v>1</v>
      </c>
      <c r="R264" s="555">
        <v>1</v>
      </c>
      <c r="S264" s="570">
        <v>-25</v>
      </c>
      <c r="T264" s="991">
        <f>VLOOKUP($D264,transmitter_from_BP!$B:$F,4,0)</f>
        <v>-25</v>
      </c>
      <c r="U264" s="570">
        <v>200</v>
      </c>
      <c r="V264" s="991">
        <f>VLOOKUP($D264,transmitter_from_BP!$B:$F,3,0)</f>
        <v>200</v>
      </c>
      <c r="W264" s="570">
        <v>0</v>
      </c>
      <c r="X264" s="555"/>
      <c r="Y264" s="614">
        <v>125.561316162699</v>
      </c>
      <c r="Z264" s="610"/>
    </row>
    <row r="265" spans="1:26" s="514" customFormat="1">
      <c r="A265" s="519" t="s">
        <v>4579</v>
      </c>
      <c r="B265" s="520"/>
      <c r="C265" s="521"/>
      <c r="D265" s="759" t="s">
        <v>9669</v>
      </c>
      <c r="E265" s="782"/>
      <c r="F265" s="556" t="s">
        <v>6434</v>
      </c>
      <c r="G265" s="981" t="s">
        <v>11042</v>
      </c>
      <c r="H265" s="755" t="str">
        <f>VLOOKUP($D265,transmitter_from_BP!$B:$F,2,0)</f>
        <v>CRUDE TO B DESALTER</v>
      </c>
      <c r="I265" s="981" t="s">
        <v>11042</v>
      </c>
      <c r="J265" s="755" t="str">
        <f>VLOOKUP($D265,transmitter_from_BP!$B:$F,2,0)</f>
        <v>CRUDE TO B DESALTER</v>
      </c>
      <c r="K265" s="981" t="s">
        <v>11676</v>
      </c>
      <c r="L265" s="1064" t="str">
        <f>VLOOKUP($D265,transmitter_from_BP!$B:$F,5,0)</f>
        <v>DEGC</v>
      </c>
      <c r="M265" s="570">
        <v>6</v>
      </c>
      <c r="N265" s="610">
        <v>6</v>
      </c>
      <c r="O265" s="570">
        <v>1</v>
      </c>
      <c r="P265" s="765">
        <v>1</v>
      </c>
      <c r="Q265" s="570">
        <v>1</v>
      </c>
      <c r="R265" s="555">
        <v>1</v>
      </c>
      <c r="S265" s="570">
        <v>-25</v>
      </c>
      <c r="T265" s="991">
        <f>VLOOKUP($D265,transmitter_from_BP!$B:$F,4,0)</f>
        <v>-25</v>
      </c>
      <c r="U265" s="570">
        <v>200</v>
      </c>
      <c r="V265" s="991">
        <f>VLOOKUP($D265,transmitter_from_BP!$B:$F,3,0)</f>
        <v>200</v>
      </c>
      <c r="W265" s="570">
        <v>0</v>
      </c>
      <c r="X265" s="555"/>
      <c r="Y265" s="614">
        <v>125.561169479108</v>
      </c>
      <c r="Z265" s="610"/>
    </row>
    <row r="266" spans="1:26" s="514" customFormat="1">
      <c r="A266" s="519" t="s">
        <v>4579</v>
      </c>
      <c r="B266" s="520"/>
      <c r="C266" s="521"/>
      <c r="D266" s="759" t="s">
        <v>9670</v>
      </c>
      <c r="E266" s="782"/>
      <c r="F266" s="556" t="s">
        <v>7918</v>
      </c>
      <c r="G266" s="981" t="s">
        <v>11220</v>
      </c>
      <c r="H266" s="755" t="str">
        <f>VLOOKUP($D266,transmitter_from_BP!$B:$F,2,0)</f>
        <v>CDU HEATER PASS 1 INTERMEDIATE</v>
      </c>
      <c r="I266" s="981" t="s">
        <v>11220</v>
      </c>
      <c r="J266" s="755" t="str">
        <f>VLOOKUP($D266,transmitter_from_BP!$B:$F,2,0)</f>
        <v>CDU HEATER PASS 1 INTERMEDIATE</v>
      </c>
      <c r="K266" s="981" t="s">
        <v>11676</v>
      </c>
      <c r="L266" s="1064" t="str">
        <f>VLOOKUP($D266,transmitter_from_BP!$B:$F,5,0)</f>
        <v>DEGC</v>
      </c>
      <c r="M266" s="570">
        <v>6</v>
      </c>
      <c r="N266" s="610">
        <v>6</v>
      </c>
      <c r="O266" s="570">
        <v>1</v>
      </c>
      <c r="P266" s="765">
        <v>1</v>
      </c>
      <c r="Q266" s="570">
        <v>1</v>
      </c>
      <c r="R266" s="555">
        <v>1</v>
      </c>
      <c r="S266" s="570">
        <v>0</v>
      </c>
      <c r="T266" s="991">
        <f>VLOOKUP($D266,transmitter_from_BP!$B:$F,4,0)</f>
        <v>0</v>
      </c>
      <c r="U266" s="570">
        <v>400</v>
      </c>
      <c r="V266" s="991">
        <f>VLOOKUP($D266,transmitter_from_BP!$B:$F,3,0)</f>
        <v>400</v>
      </c>
      <c r="W266" s="570">
        <v>0</v>
      </c>
      <c r="X266" s="555"/>
      <c r="Y266" s="614">
        <v>249.040538210726</v>
      </c>
      <c r="Z266" s="610"/>
    </row>
    <row r="267" spans="1:26" s="514" customFormat="1">
      <c r="A267" s="519" t="s">
        <v>4579</v>
      </c>
      <c r="B267" s="520"/>
      <c r="C267" s="521"/>
      <c r="D267" s="759" t="s">
        <v>9671</v>
      </c>
      <c r="E267" s="782"/>
      <c r="F267" s="556" t="s">
        <v>7919</v>
      </c>
      <c r="G267" s="981" t="s">
        <v>11221</v>
      </c>
      <c r="H267" s="755" t="str">
        <f>VLOOKUP($D267,transmitter_from_BP!$B:$F,2,0)</f>
        <v>CDU HEATER PASS 2 INTERMEDIATE</v>
      </c>
      <c r="I267" s="981" t="s">
        <v>11221</v>
      </c>
      <c r="J267" s="755" t="str">
        <f>VLOOKUP($D267,transmitter_from_BP!$B:$F,2,0)</f>
        <v>CDU HEATER PASS 2 INTERMEDIATE</v>
      </c>
      <c r="K267" s="981" t="s">
        <v>11676</v>
      </c>
      <c r="L267" s="1064" t="str">
        <f>VLOOKUP($D267,transmitter_from_BP!$B:$F,5,0)</f>
        <v>DEGC</v>
      </c>
      <c r="M267" s="570">
        <v>6</v>
      </c>
      <c r="N267" s="610">
        <v>6</v>
      </c>
      <c r="O267" s="570">
        <v>1</v>
      </c>
      <c r="P267" s="765">
        <v>1</v>
      </c>
      <c r="Q267" s="570">
        <v>1</v>
      </c>
      <c r="R267" s="555">
        <v>1</v>
      </c>
      <c r="S267" s="570">
        <v>0</v>
      </c>
      <c r="T267" s="991">
        <f>VLOOKUP($D267,transmitter_from_BP!$B:$F,4,0)</f>
        <v>0</v>
      </c>
      <c r="U267" s="570">
        <v>400</v>
      </c>
      <c r="V267" s="991">
        <f>VLOOKUP($D267,transmitter_from_BP!$B:$F,3,0)</f>
        <v>400</v>
      </c>
      <c r="W267" s="570">
        <v>0</v>
      </c>
      <c r="X267" s="555"/>
      <c r="Y267" s="614">
        <v>249.04139530170499</v>
      </c>
      <c r="Z267" s="610"/>
    </row>
    <row r="268" spans="1:26" s="514" customFormat="1">
      <c r="A268" s="519" t="s">
        <v>4579</v>
      </c>
      <c r="B268" s="520"/>
      <c r="C268" s="521"/>
      <c r="D268" s="759" t="s">
        <v>9672</v>
      </c>
      <c r="E268" s="782"/>
      <c r="F268" s="556" t="s">
        <v>7920</v>
      </c>
      <c r="G268" s="981" t="s">
        <v>11222</v>
      </c>
      <c r="H268" s="555" t="str">
        <f>VLOOKUP($D268,transmitter_from_BP!$B:$F,2,0)</f>
        <v>CDU HEATER PASS 3 INTERMEDIATE</v>
      </c>
      <c r="I268" s="981" t="s">
        <v>11222</v>
      </c>
      <c r="J268" s="755" t="str">
        <f>VLOOKUP($D268,transmitter_from_BP!$B:$F,2,0)</f>
        <v>CDU HEATER PASS 3 INTERMEDIATE</v>
      </c>
      <c r="K268" s="981" t="s">
        <v>11676</v>
      </c>
      <c r="L268" s="1064" t="str">
        <f>VLOOKUP($D268,transmitter_from_BP!$B:$F,5,0)</f>
        <v>DEGC</v>
      </c>
      <c r="M268" s="727">
        <v>6</v>
      </c>
      <c r="N268" s="610">
        <v>6</v>
      </c>
      <c r="O268" s="727">
        <v>1</v>
      </c>
      <c r="P268" s="765">
        <v>1</v>
      </c>
      <c r="Q268" s="727">
        <v>1</v>
      </c>
      <c r="R268" s="555">
        <v>1</v>
      </c>
      <c r="S268" s="727">
        <v>0</v>
      </c>
      <c r="T268" s="991">
        <f>VLOOKUP($D268,transmitter_from_BP!$B:$F,4,0)</f>
        <v>0</v>
      </c>
      <c r="U268" s="727">
        <v>400</v>
      </c>
      <c r="V268" s="991">
        <f>VLOOKUP($D268,transmitter_from_BP!$B:$F,3,0)</f>
        <v>400</v>
      </c>
      <c r="W268" s="727">
        <v>0</v>
      </c>
      <c r="X268" s="555"/>
      <c r="Y268" s="727">
        <v>249.04172883490901</v>
      </c>
      <c r="Z268" s="610"/>
    </row>
    <row r="269" spans="1:26" s="514" customFormat="1">
      <c r="A269" s="519" t="s">
        <v>4579</v>
      </c>
      <c r="B269" s="520"/>
      <c r="C269" s="521"/>
      <c r="D269" s="759" t="s">
        <v>9673</v>
      </c>
      <c r="E269" s="782"/>
      <c r="F269" s="743" t="s">
        <v>7921</v>
      </c>
      <c r="G269" s="981" t="s">
        <v>11223</v>
      </c>
      <c r="H269" s="555" t="str">
        <f>VLOOKUP($D269,transmitter_from_BP!$B:$F,2,0)</f>
        <v>CDU HEATER PASS 4 INTERMEDIATE</v>
      </c>
      <c r="I269" s="981" t="s">
        <v>11223</v>
      </c>
      <c r="J269" s="755" t="str">
        <f>VLOOKUP($D269,transmitter_from_BP!$B:$F,2,0)</f>
        <v>CDU HEATER PASS 4 INTERMEDIATE</v>
      </c>
      <c r="K269" s="981" t="s">
        <v>11676</v>
      </c>
      <c r="L269" s="1064" t="str">
        <f>VLOOKUP($D269,transmitter_from_BP!$B:$F,5,0)</f>
        <v>DEGC</v>
      </c>
      <c r="M269" s="744">
        <v>6</v>
      </c>
      <c r="N269" s="610">
        <v>6</v>
      </c>
      <c r="O269" s="744">
        <v>1</v>
      </c>
      <c r="P269" s="765">
        <v>1</v>
      </c>
      <c r="Q269" s="744">
        <v>1</v>
      </c>
      <c r="R269" s="555">
        <v>1</v>
      </c>
      <c r="S269" s="744">
        <v>0</v>
      </c>
      <c r="T269" s="991">
        <f>VLOOKUP($D269,transmitter_from_BP!$B:$F,4,0)</f>
        <v>0</v>
      </c>
      <c r="U269" s="744">
        <v>400</v>
      </c>
      <c r="V269" s="991">
        <f>VLOOKUP($D269,transmitter_from_BP!$B:$F,3,0)</f>
        <v>400</v>
      </c>
      <c r="W269" s="744">
        <v>0</v>
      </c>
      <c r="X269" s="555"/>
      <c r="Y269" s="744">
        <v>249.04172244280599</v>
      </c>
      <c r="Z269" s="610"/>
    </row>
    <row r="270" spans="1:26" s="514" customFormat="1">
      <c r="A270" s="519" t="s">
        <v>4579</v>
      </c>
      <c r="B270" s="520"/>
      <c r="C270" s="521"/>
      <c r="D270" s="759" t="s">
        <v>9674</v>
      </c>
      <c r="E270" s="782"/>
      <c r="F270" s="556" t="s">
        <v>7922</v>
      </c>
      <c r="G270" s="981" t="s">
        <v>11224</v>
      </c>
      <c r="H270" s="555" t="str">
        <f>VLOOKUP($D270,transmitter_from_BP!$B:$F,2,0)</f>
        <v>CDU HEATER PASS 5 INTERMEDIATE</v>
      </c>
      <c r="I270" s="981" t="s">
        <v>11224</v>
      </c>
      <c r="J270" s="755" t="str">
        <f>VLOOKUP($D270,transmitter_from_BP!$B:$F,2,0)</f>
        <v>CDU HEATER PASS 5 INTERMEDIATE</v>
      </c>
      <c r="K270" s="981" t="s">
        <v>11676</v>
      </c>
      <c r="L270" s="1064" t="str">
        <f>VLOOKUP($D270,transmitter_from_BP!$B:$F,5,0)</f>
        <v>DEGC</v>
      </c>
      <c r="M270" s="727">
        <v>6</v>
      </c>
      <c r="N270" s="610">
        <v>6</v>
      </c>
      <c r="O270" s="727">
        <v>1</v>
      </c>
      <c r="P270" s="765">
        <v>1</v>
      </c>
      <c r="Q270" s="727">
        <v>1</v>
      </c>
      <c r="R270" s="555">
        <v>1</v>
      </c>
      <c r="S270" s="727">
        <v>0</v>
      </c>
      <c r="T270" s="991">
        <f>VLOOKUP($D270,transmitter_from_BP!$B:$F,4,0)</f>
        <v>0</v>
      </c>
      <c r="U270" s="727">
        <v>400</v>
      </c>
      <c r="V270" s="991">
        <f>VLOOKUP($D270,transmitter_from_BP!$B:$F,3,0)</f>
        <v>400</v>
      </c>
      <c r="W270" s="727">
        <v>0</v>
      </c>
      <c r="X270" s="555"/>
      <c r="Y270" s="727">
        <v>249.04172244152801</v>
      </c>
      <c r="Z270" s="610"/>
    </row>
    <row r="271" spans="1:26" s="514" customFormat="1">
      <c r="A271" s="519" t="s">
        <v>4579</v>
      </c>
      <c r="B271" s="520"/>
      <c r="C271" s="521"/>
      <c r="D271" s="759" t="s">
        <v>9675</v>
      </c>
      <c r="E271" s="724"/>
      <c r="F271" s="556" t="s">
        <v>7923</v>
      </c>
      <c r="G271" s="981" t="s">
        <v>11225</v>
      </c>
      <c r="H271" s="755" t="str">
        <f>VLOOKUP($D271,transmitter_from_BP!$B:$F,2,0)</f>
        <v>CDU HEATER PASS 6 INTERMEDIATE</v>
      </c>
      <c r="I271" s="981" t="s">
        <v>11225</v>
      </c>
      <c r="J271" s="755" t="str">
        <f>VLOOKUP($D271,transmitter_from_BP!$B:$F,2,0)</f>
        <v>CDU HEATER PASS 6 INTERMEDIATE</v>
      </c>
      <c r="K271" s="981" t="s">
        <v>11676</v>
      </c>
      <c r="L271" s="1064" t="str">
        <f>VLOOKUP($D271,transmitter_from_BP!$B:$F,5,0)</f>
        <v>DEGC</v>
      </c>
      <c r="M271" s="727">
        <v>6</v>
      </c>
      <c r="N271" s="610">
        <v>6</v>
      </c>
      <c r="O271" s="727">
        <v>1</v>
      </c>
      <c r="P271" s="765">
        <v>1</v>
      </c>
      <c r="Q271" s="727">
        <v>1</v>
      </c>
      <c r="R271" s="555">
        <v>1</v>
      </c>
      <c r="S271" s="727">
        <v>0</v>
      </c>
      <c r="T271" s="991">
        <f>VLOOKUP($D271,transmitter_from_BP!$B:$F,4,0)</f>
        <v>0</v>
      </c>
      <c r="U271" s="727">
        <v>400</v>
      </c>
      <c r="V271" s="991">
        <f>VLOOKUP($D271,transmitter_from_BP!$B:$F,3,0)</f>
        <v>400</v>
      </c>
      <c r="W271" s="727">
        <v>0</v>
      </c>
      <c r="X271" s="555"/>
      <c r="Y271" s="727">
        <v>249.041728834606</v>
      </c>
      <c r="Z271" s="610"/>
    </row>
    <row r="272" spans="1:26" s="514" customFormat="1">
      <c r="A272" s="519" t="s">
        <v>4579</v>
      </c>
      <c r="B272" s="520"/>
      <c r="C272" s="521"/>
      <c r="D272" s="759" t="s">
        <v>9676</v>
      </c>
      <c r="E272" s="724"/>
      <c r="F272" s="556" t="s">
        <v>5800</v>
      </c>
      <c r="G272" s="981" t="s">
        <v>11226</v>
      </c>
      <c r="H272" s="755" t="str">
        <f>VLOOKUP($D272,transmitter_from_BP!$B:$F,2,0)</f>
        <v>CDU HEATER PASS 7 INTERMEDIATE</v>
      </c>
      <c r="I272" s="981" t="s">
        <v>11226</v>
      </c>
      <c r="J272" s="755" t="str">
        <f>VLOOKUP($D272,transmitter_from_BP!$B:$F,2,0)</f>
        <v>CDU HEATER PASS 7 INTERMEDIATE</v>
      </c>
      <c r="K272" s="981" t="s">
        <v>11676</v>
      </c>
      <c r="L272" s="1064" t="str">
        <f>VLOOKUP($D272,transmitter_from_BP!$B:$F,5,0)</f>
        <v>DEGC</v>
      </c>
      <c r="M272" s="727">
        <v>6</v>
      </c>
      <c r="N272" s="610">
        <v>6</v>
      </c>
      <c r="O272" s="727">
        <v>1</v>
      </c>
      <c r="P272" s="765">
        <v>1</v>
      </c>
      <c r="Q272" s="727">
        <v>1</v>
      </c>
      <c r="R272" s="555">
        <v>1</v>
      </c>
      <c r="S272" s="727">
        <v>0</v>
      </c>
      <c r="T272" s="991">
        <f>VLOOKUP($D272,transmitter_from_BP!$B:$F,4,0)</f>
        <v>0</v>
      </c>
      <c r="U272" s="727">
        <v>400</v>
      </c>
      <c r="V272" s="991">
        <f>VLOOKUP($D272,transmitter_from_BP!$B:$F,3,0)</f>
        <v>400</v>
      </c>
      <c r="W272" s="727">
        <v>0</v>
      </c>
      <c r="X272" s="555"/>
      <c r="Y272" s="727">
        <v>249.04139530102501</v>
      </c>
      <c r="Z272" s="610"/>
    </row>
    <row r="273" spans="1:26" s="514" customFormat="1">
      <c r="A273" s="519" t="s">
        <v>4579</v>
      </c>
      <c r="B273" s="520"/>
      <c r="C273" s="521"/>
      <c r="D273" s="759" t="s">
        <v>9677</v>
      </c>
      <c r="E273" s="724"/>
      <c r="F273" s="556" t="s">
        <v>5801</v>
      </c>
      <c r="G273" s="981" t="s">
        <v>11227</v>
      </c>
      <c r="H273" s="755" t="str">
        <f>VLOOKUP($D273,transmitter_from_BP!$B:$F,2,0)</f>
        <v>CDU HEATER PASS 8 INTERMEDIATE</v>
      </c>
      <c r="I273" s="981" t="s">
        <v>11227</v>
      </c>
      <c r="J273" s="755" t="str">
        <f>VLOOKUP($D273,transmitter_from_BP!$B:$F,2,0)</f>
        <v>CDU HEATER PASS 8 INTERMEDIATE</v>
      </c>
      <c r="K273" s="981" t="s">
        <v>11676</v>
      </c>
      <c r="L273" s="1064" t="str">
        <f>VLOOKUP($D273,transmitter_from_BP!$B:$F,5,0)</f>
        <v>DEGC</v>
      </c>
      <c r="M273" s="727">
        <v>6</v>
      </c>
      <c r="N273" s="610">
        <v>6</v>
      </c>
      <c r="O273" s="727">
        <v>1</v>
      </c>
      <c r="P273" s="765">
        <v>1</v>
      </c>
      <c r="Q273" s="727">
        <v>1</v>
      </c>
      <c r="R273" s="555">
        <v>1</v>
      </c>
      <c r="S273" s="727">
        <v>0</v>
      </c>
      <c r="T273" s="991">
        <f>VLOOKUP($D273,transmitter_from_BP!$B:$F,4,0)</f>
        <v>0</v>
      </c>
      <c r="U273" s="727">
        <v>400</v>
      </c>
      <c r="V273" s="991">
        <f>VLOOKUP($D273,transmitter_from_BP!$B:$F,3,0)</f>
        <v>400</v>
      </c>
      <c r="W273" s="727">
        <v>0</v>
      </c>
      <c r="X273" s="555"/>
      <c r="Y273" s="727">
        <v>249.041249869799</v>
      </c>
      <c r="Z273" s="610"/>
    </row>
    <row r="274" spans="1:26" s="514" customFormat="1">
      <c r="A274" s="519" t="s">
        <v>4579</v>
      </c>
      <c r="B274" s="520"/>
      <c r="C274" s="521"/>
      <c r="D274" s="759" t="s">
        <v>9678</v>
      </c>
      <c r="E274" s="724"/>
      <c r="F274" s="556" t="s">
        <v>5814</v>
      </c>
      <c r="G274" s="981" t="s">
        <v>11228</v>
      </c>
      <c r="H274" s="755" t="str">
        <f>VLOOKUP($D274,transmitter_from_BP!$B:$F,2,0)</f>
        <v>CDU HEATER PASS 3 RADIATION SKIN</v>
      </c>
      <c r="I274" s="981" t="s">
        <v>11228</v>
      </c>
      <c r="J274" s="755" t="str">
        <f>VLOOKUP($D274,transmitter_from_BP!$B:$F,2,0)</f>
        <v>CDU HEATER PASS 3 RADIATION SKIN</v>
      </c>
      <c r="K274" s="981" t="s">
        <v>11676</v>
      </c>
      <c r="L274" s="1064" t="str">
        <f>VLOOKUP($D274,transmitter_from_BP!$B:$F,5,0)</f>
        <v>DEGC</v>
      </c>
      <c r="M274" s="727">
        <v>6</v>
      </c>
      <c r="N274" s="610">
        <v>6</v>
      </c>
      <c r="O274" s="727">
        <v>1</v>
      </c>
      <c r="P274" s="765">
        <v>1</v>
      </c>
      <c r="Q274" s="727">
        <v>1</v>
      </c>
      <c r="R274" s="555">
        <v>1</v>
      </c>
      <c r="S274" s="727">
        <v>0</v>
      </c>
      <c r="T274" s="991">
        <f>VLOOKUP($D274,transmitter_from_BP!$B:$F,4,0)</f>
        <v>0</v>
      </c>
      <c r="U274" s="727">
        <v>750</v>
      </c>
      <c r="V274" s="991">
        <f>VLOOKUP($D274,transmitter_from_BP!$B:$F,3,0)</f>
        <v>750</v>
      </c>
      <c r="W274" s="727">
        <v>0</v>
      </c>
      <c r="X274" s="555"/>
      <c r="Y274" s="727">
        <v>431.11050664904502</v>
      </c>
      <c r="Z274" s="610"/>
    </row>
    <row r="275" spans="1:26" s="514" customFormat="1">
      <c r="A275" s="519" t="s">
        <v>4579</v>
      </c>
      <c r="B275" s="520"/>
      <c r="C275" s="521"/>
      <c r="D275" s="759" t="s">
        <v>9679</v>
      </c>
      <c r="E275" s="724"/>
      <c r="F275" s="556" t="s">
        <v>8785</v>
      </c>
      <c r="G275" s="981" t="s">
        <v>11229</v>
      </c>
      <c r="H275" s="755" t="str">
        <f>VLOOKUP($D275,transmitter_from_BP!$B:$F,2,0)</f>
        <v>WET HGO TO DRIER</v>
      </c>
      <c r="I275" s="981" t="s">
        <v>11229</v>
      </c>
      <c r="J275" s="755" t="str">
        <f>VLOOKUP($D275,transmitter_from_BP!$B:$F,2,0)</f>
        <v>WET HGO TO DRIER</v>
      </c>
      <c r="K275" s="981" t="s">
        <v>11676</v>
      </c>
      <c r="L275" s="1064" t="str">
        <f>VLOOKUP($D275,transmitter_from_BP!$B:$F,5,0)</f>
        <v>DEGC</v>
      </c>
      <c r="M275" s="727">
        <v>6</v>
      </c>
      <c r="N275" s="772">
        <v>6</v>
      </c>
      <c r="O275" s="727">
        <v>1</v>
      </c>
      <c r="P275" s="765">
        <v>1</v>
      </c>
      <c r="Q275" s="727">
        <v>1</v>
      </c>
      <c r="R275" s="555">
        <v>1</v>
      </c>
      <c r="S275" s="727">
        <v>-25</v>
      </c>
      <c r="T275" s="991">
        <f>VLOOKUP($D275,transmitter_from_BP!$B:$F,4,0)</f>
        <v>-25</v>
      </c>
      <c r="U275" s="727">
        <v>523</v>
      </c>
      <c r="V275" s="991">
        <f>VLOOKUP($D275,transmitter_from_BP!$B:$F,3,0)</f>
        <v>523</v>
      </c>
      <c r="W275" s="727">
        <v>0</v>
      </c>
      <c r="X275" s="555"/>
      <c r="Y275" s="727">
        <v>166.396248654711</v>
      </c>
      <c r="Z275" s="610"/>
    </row>
    <row r="276" spans="1:26" s="514" customFormat="1">
      <c r="A276" s="519" t="s">
        <v>4579</v>
      </c>
      <c r="B276" s="520"/>
      <c r="C276" s="521"/>
      <c r="D276" s="759" t="s">
        <v>9680</v>
      </c>
      <c r="E276" s="724"/>
      <c r="F276" s="556" t="s">
        <v>5815</v>
      </c>
      <c r="G276" s="981" t="s">
        <v>11228</v>
      </c>
      <c r="H276" s="755" t="str">
        <f>VLOOKUP($D276,transmitter_from_BP!$B:$F,2,0)</f>
        <v>CDU HEATER PASS 3 RADIATION SKIN</v>
      </c>
      <c r="I276" s="981" t="s">
        <v>11228</v>
      </c>
      <c r="J276" s="755" t="str">
        <f>VLOOKUP($D276,transmitter_from_BP!$B:$F,2,0)</f>
        <v>CDU HEATER PASS 3 RADIATION SKIN</v>
      </c>
      <c r="K276" s="981" t="s">
        <v>11676</v>
      </c>
      <c r="L276" s="1064" t="str">
        <f>VLOOKUP($D276,transmitter_from_BP!$B:$F,5,0)</f>
        <v>DEGC</v>
      </c>
      <c r="M276" s="727">
        <v>6</v>
      </c>
      <c r="N276" s="610">
        <v>6</v>
      </c>
      <c r="O276" s="727">
        <v>1</v>
      </c>
      <c r="P276" s="765">
        <v>1</v>
      </c>
      <c r="Q276" s="727">
        <v>1</v>
      </c>
      <c r="R276" s="555">
        <v>1</v>
      </c>
      <c r="S276" s="727">
        <v>0</v>
      </c>
      <c r="T276" s="991">
        <f>VLOOKUP($D276,transmitter_from_BP!$B:$F,4,0)</f>
        <v>0</v>
      </c>
      <c r="U276" s="727">
        <v>750</v>
      </c>
      <c r="V276" s="991">
        <f>VLOOKUP($D276,transmitter_from_BP!$B:$F,3,0)</f>
        <v>750</v>
      </c>
      <c r="W276" s="727">
        <v>0</v>
      </c>
      <c r="X276" s="555"/>
      <c r="Y276" s="727">
        <v>418.49753219607197</v>
      </c>
      <c r="Z276" s="610"/>
    </row>
    <row r="277" spans="1:26" s="514" customFormat="1">
      <c r="A277" s="519" t="s">
        <v>4579</v>
      </c>
      <c r="B277" s="520"/>
      <c r="C277" s="521"/>
      <c r="D277" s="759" t="s">
        <v>9681</v>
      </c>
      <c r="E277" s="724"/>
      <c r="F277" s="556" t="s">
        <v>5827</v>
      </c>
      <c r="G277" s="981" t="s">
        <v>11230</v>
      </c>
      <c r="H277" s="755" t="str">
        <f>VLOOKUP($D277,transmitter_from_BP!$B:$F,2,0)</f>
        <v>CDU HEATER PASS 8 RADIATION SKIN</v>
      </c>
      <c r="I277" s="981" t="s">
        <v>11230</v>
      </c>
      <c r="J277" s="755" t="str">
        <f>VLOOKUP($D277,transmitter_from_BP!$B:$F,2,0)</f>
        <v>CDU HEATER PASS 8 RADIATION SKIN</v>
      </c>
      <c r="K277" s="981" t="s">
        <v>11676</v>
      </c>
      <c r="L277" s="1064" t="str">
        <f>VLOOKUP($D277,transmitter_from_BP!$B:$F,5,0)</f>
        <v>DEGC</v>
      </c>
      <c r="M277" s="727">
        <v>6</v>
      </c>
      <c r="N277" s="610">
        <v>6</v>
      </c>
      <c r="O277" s="727">
        <v>1</v>
      </c>
      <c r="P277" s="765">
        <v>1</v>
      </c>
      <c r="Q277" s="727">
        <v>1</v>
      </c>
      <c r="R277" s="555">
        <v>1</v>
      </c>
      <c r="S277" s="727">
        <v>0</v>
      </c>
      <c r="T277" s="555">
        <f>VLOOKUP($D277,transmitter_from_BP!$B:$F,4,0)</f>
        <v>0</v>
      </c>
      <c r="U277" s="727">
        <v>750</v>
      </c>
      <c r="V277" s="555">
        <f>VLOOKUP($D277,transmitter_from_BP!$B:$F,3,0)</f>
        <v>750</v>
      </c>
      <c r="W277" s="727">
        <v>0</v>
      </c>
      <c r="X277" s="555"/>
      <c r="Y277" s="727">
        <v>427.976614421227</v>
      </c>
      <c r="Z277" s="610"/>
    </row>
    <row r="278" spans="1:26" s="514" customFormat="1">
      <c r="A278" s="519" t="s">
        <v>4579</v>
      </c>
      <c r="B278" s="520"/>
      <c r="C278" s="521"/>
      <c r="D278" s="759" t="s">
        <v>9682</v>
      </c>
      <c r="E278" s="724"/>
      <c r="F278" s="556" t="s">
        <v>5828</v>
      </c>
      <c r="G278" s="981" t="s">
        <v>11230</v>
      </c>
      <c r="H278" s="755" t="str">
        <f>VLOOKUP($D278,transmitter_from_BP!$B:$F,2,0)</f>
        <v>CDU HEATER PASS 8 RADIATION SKIN</v>
      </c>
      <c r="I278" s="981" t="s">
        <v>11230</v>
      </c>
      <c r="J278" s="755" t="str">
        <f>VLOOKUP($D278,transmitter_from_BP!$B:$F,2,0)</f>
        <v>CDU HEATER PASS 8 RADIATION SKIN</v>
      </c>
      <c r="K278" s="981" t="s">
        <v>11676</v>
      </c>
      <c r="L278" s="1064" t="str">
        <f>VLOOKUP($D278,transmitter_from_BP!$B:$F,5,0)</f>
        <v>DEGC</v>
      </c>
      <c r="M278" s="727">
        <v>6</v>
      </c>
      <c r="N278" s="610">
        <v>6</v>
      </c>
      <c r="O278" s="727">
        <v>1</v>
      </c>
      <c r="P278" s="765">
        <v>1</v>
      </c>
      <c r="Q278" s="727">
        <v>1</v>
      </c>
      <c r="R278" s="555">
        <v>1</v>
      </c>
      <c r="S278" s="727">
        <v>0</v>
      </c>
      <c r="T278" s="991">
        <f>VLOOKUP($D278,transmitter_from_BP!$B:$F,4,0)</f>
        <v>0</v>
      </c>
      <c r="U278" s="727">
        <v>750</v>
      </c>
      <c r="V278" s="991">
        <f>VLOOKUP($D278,transmitter_from_BP!$B:$F,3,0)</f>
        <v>750</v>
      </c>
      <c r="W278" s="727">
        <v>0</v>
      </c>
      <c r="X278" s="555"/>
      <c r="Y278" s="727">
        <v>415.35717723407703</v>
      </c>
      <c r="Z278" s="610"/>
    </row>
    <row r="279" spans="1:26" s="514" customFormat="1">
      <c r="A279" s="519" t="s">
        <v>4579</v>
      </c>
      <c r="B279" s="520"/>
      <c r="C279" s="521"/>
      <c r="D279" s="759" t="s">
        <v>9683</v>
      </c>
      <c r="E279" s="724"/>
      <c r="F279" s="556" t="s">
        <v>5890</v>
      </c>
      <c r="G279" s="981" t="s">
        <v>11231</v>
      </c>
      <c r="H279" s="555" t="str">
        <f>VLOOKUP($D279,transmitter_from_BP!$B:$F,2,0)</f>
        <v>CDU HEATER FLUEGASCELL 3</v>
      </c>
      <c r="I279" s="981" t="s">
        <v>11231</v>
      </c>
      <c r="J279" s="755" t="str">
        <f>VLOOKUP($D279,transmitter_from_BP!$B:$F,2,0)</f>
        <v>CDU HEATER FLUEGASCELL 3</v>
      </c>
      <c r="K279" s="981" t="s">
        <v>11676</v>
      </c>
      <c r="L279" s="1064" t="str">
        <f>VLOOKUP($D279,transmitter_from_BP!$B:$F,5,0)</f>
        <v>DEGC</v>
      </c>
      <c r="M279" s="727">
        <v>6</v>
      </c>
      <c r="N279" s="610">
        <v>6</v>
      </c>
      <c r="O279" s="727">
        <v>1</v>
      </c>
      <c r="P279" s="765">
        <v>1</v>
      </c>
      <c r="Q279" s="727">
        <v>1</v>
      </c>
      <c r="R279" s="555">
        <v>1</v>
      </c>
      <c r="S279" s="727">
        <v>0</v>
      </c>
      <c r="T279" s="991">
        <f>VLOOKUP($D279,transmitter_from_BP!$B:$F,4,0)</f>
        <v>0</v>
      </c>
      <c r="U279" s="727">
        <v>1200</v>
      </c>
      <c r="V279" s="991">
        <f>VLOOKUP($D279,transmitter_from_BP!$B:$F,3,0)</f>
        <v>1200</v>
      </c>
      <c r="W279" s="727">
        <v>0</v>
      </c>
      <c r="X279" s="555"/>
      <c r="Y279" s="727">
        <v>783.95801051027399</v>
      </c>
      <c r="Z279" s="610"/>
    </row>
    <row r="280" spans="1:26" s="514" customFormat="1">
      <c r="A280" s="519" t="s">
        <v>4579</v>
      </c>
      <c r="B280" s="520"/>
      <c r="C280" s="521"/>
      <c r="D280" s="759" t="s">
        <v>9684</v>
      </c>
      <c r="E280" s="724"/>
      <c r="F280" s="556" t="s">
        <v>5891</v>
      </c>
      <c r="G280" s="981" t="s">
        <v>11232</v>
      </c>
      <c r="H280" s="755" t="str">
        <f>VLOOKUP($D280,transmitter_from_BP!$B:$F,2,0)</f>
        <v>CDU HEATER FLUEGASCELL 5</v>
      </c>
      <c r="I280" s="981" t="s">
        <v>11232</v>
      </c>
      <c r="J280" s="755" t="str">
        <f>VLOOKUP($D280,transmitter_from_BP!$B:$F,2,0)</f>
        <v>CDU HEATER FLUEGASCELL 5</v>
      </c>
      <c r="K280" s="981" t="s">
        <v>11676</v>
      </c>
      <c r="L280" s="1064" t="str">
        <f>VLOOKUP($D280,transmitter_from_BP!$B:$F,5,0)</f>
        <v>DEGC</v>
      </c>
      <c r="M280" s="727">
        <v>6</v>
      </c>
      <c r="N280" s="610">
        <v>6</v>
      </c>
      <c r="O280" s="727">
        <v>1</v>
      </c>
      <c r="P280" s="765">
        <v>1</v>
      </c>
      <c r="Q280" s="727">
        <v>1</v>
      </c>
      <c r="R280" s="555">
        <v>1</v>
      </c>
      <c r="S280" s="727">
        <v>0</v>
      </c>
      <c r="T280" s="991">
        <f>VLOOKUP($D280,transmitter_from_BP!$B:$F,4,0)</f>
        <v>0</v>
      </c>
      <c r="U280" s="727">
        <v>1200</v>
      </c>
      <c r="V280" s="991">
        <f>VLOOKUP($D280,transmitter_from_BP!$B:$F,3,0)</f>
        <v>1200</v>
      </c>
      <c r="W280" s="727">
        <v>0</v>
      </c>
      <c r="X280" s="555"/>
      <c r="Y280" s="727">
        <v>783.95801051027399</v>
      </c>
      <c r="Z280" s="610"/>
    </row>
    <row r="281" spans="1:26" s="514" customFormat="1">
      <c r="A281" s="519" t="s">
        <v>4579</v>
      </c>
      <c r="B281" s="520"/>
      <c r="C281" s="521"/>
      <c r="D281" s="759" t="s">
        <v>9685</v>
      </c>
      <c r="E281" s="724"/>
      <c r="F281" s="556" t="s">
        <v>5892</v>
      </c>
      <c r="G281" s="981" t="s">
        <v>11233</v>
      </c>
      <c r="H281" s="755" t="str">
        <f>VLOOKUP($D281,transmitter_from_BP!$B:$F,2,0)</f>
        <v>CDU HEATER FLUEGASCELL 6</v>
      </c>
      <c r="I281" s="981" t="s">
        <v>11233</v>
      </c>
      <c r="J281" s="755" t="str">
        <f>VLOOKUP($D281,transmitter_from_BP!$B:$F,2,0)</f>
        <v>CDU HEATER FLUEGASCELL 6</v>
      </c>
      <c r="K281" s="981" t="s">
        <v>11676</v>
      </c>
      <c r="L281" s="1064" t="str">
        <f>VLOOKUP($D281,transmitter_from_BP!$B:$F,5,0)</f>
        <v>DEGC</v>
      </c>
      <c r="M281" s="727">
        <v>6</v>
      </c>
      <c r="N281" s="610">
        <v>6</v>
      </c>
      <c r="O281" s="727">
        <v>1</v>
      </c>
      <c r="P281" s="765">
        <v>1</v>
      </c>
      <c r="Q281" s="727">
        <v>1</v>
      </c>
      <c r="R281" s="555">
        <v>1</v>
      </c>
      <c r="S281" s="727">
        <v>0</v>
      </c>
      <c r="T281" s="991">
        <f>VLOOKUP($D281,transmitter_from_BP!$B:$F,4,0)</f>
        <v>0</v>
      </c>
      <c r="U281" s="727">
        <v>1200</v>
      </c>
      <c r="V281" s="991">
        <f>VLOOKUP($D281,transmitter_from_BP!$B:$F,3,0)</f>
        <v>1200</v>
      </c>
      <c r="W281" s="727">
        <v>0</v>
      </c>
      <c r="X281" s="555"/>
      <c r="Y281" s="727">
        <v>783.95801051027399</v>
      </c>
      <c r="Z281" s="610"/>
    </row>
    <row r="282" spans="1:26" s="514" customFormat="1">
      <c r="A282" s="519" t="s">
        <v>4579</v>
      </c>
      <c r="B282" s="520"/>
      <c r="C282" s="521"/>
      <c r="D282" s="759" t="s">
        <v>9686</v>
      </c>
      <c r="E282" s="724"/>
      <c r="F282" s="556" t="s">
        <v>5893</v>
      </c>
      <c r="G282" s="981" t="s">
        <v>11234</v>
      </c>
      <c r="H282" s="755" t="str">
        <f>VLOOKUP($D282,transmitter_from_BP!$B:$F,2,0)</f>
        <v>CDU HEATER FLUEGASCELL 7</v>
      </c>
      <c r="I282" s="981" t="s">
        <v>11234</v>
      </c>
      <c r="J282" s="755" t="str">
        <f>VLOOKUP($D282,transmitter_from_BP!$B:$F,2,0)</f>
        <v>CDU HEATER FLUEGASCELL 7</v>
      </c>
      <c r="K282" s="981" t="s">
        <v>11676</v>
      </c>
      <c r="L282" s="1064" t="str">
        <f>VLOOKUP($D282,transmitter_from_BP!$B:$F,5,0)</f>
        <v>DEGC</v>
      </c>
      <c r="M282" s="727">
        <v>6</v>
      </c>
      <c r="N282" s="610">
        <v>6</v>
      </c>
      <c r="O282" s="727">
        <v>1</v>
      </c>
      <c r="P282" s="765">
        <v>1</v>
      </c>
      <c r="Q282" s="727">
        <v>1</v>
      </c>
      <c r="R282" s="555">
        <v>1</v>
      </c>
      <c r="S282" s="727">
        <v>0</v>
      </c>
      <c r="T282" s="991">
        <f>VLOOKUP($D282,transmitter_from_BP!$B:$F,4,0)</f>
        <v>0</v>
      </c>
      <c r="U282" s="727">
        <v>1200</v>
      </c>
      <c r="V282" s="991">
        <f>VLOOKUP($D282,transmitter_from_BP!$B:$F,3,0)</f>
        <v>1200</v>
      </c>
      <c r="W282" s="727">
        <v>0</v>
      </c>
      <c r="X282" s="555"/>
      <c r="Y282" s="727">
        <v>783.95801051027399</v>
      </c>
      <c r="Z282" s="610"/>
    </row>
    <row r="283" spans="1:26" s="514" customFormat="1">
      <c r="A283" s="519" t="s">
        <v>4579</v>
      </c>
      <c r="B283" s="520"/>
      <c r="C283" s="521"/>
      <c r="D283" s="759" t="s">
        <v>2394</v>
      </c>
      <c r="E283" s="724"/>
      <c r="F283" s="556" t="s">
        <v>5894</v>
      </c>
      <c r="G283" s="981" t="s">
        <v>11235</v>
      </c>
      <c r="H283" s="755" t="str">
        <f>VLOOKUP($D283,transmitter_from_BP!$B:$F,2,0)</f>
        <v>CDU HEATER FLUEGASCELL 9</v>
      </c>
      <c r="I283" s="981" t="s">
        <v>11235</v>
      </c>
      <c r="J283" s="755" t="str">
        <f>VLOOKUP($D283,transmitter_from_BP!$B:$F,2,0)</f>
        <v>CDU HEATER FLUEGASCELL 9</v>
      </c>
      <c r="K283" s="981" t="s">
        <v>11676</v>
      </c>
      <c r="L283" s="1064" t="str">
        <f>VLOOKUP($D283,transmitter_from_BP!$B:$F,5,0)</f>
        <v>DEGC</v>
      </c>
      <c r="M283" s="727">
        <v>6</v>
      </c>
      <c r="N283" s="610">
        <v>6</v>
      </c>
      <c r="O283" s="727">
        <v>1</v>
      </c>
      <c r="P283" s="765">
        <v>1</v>
      </c>
      <c r="Q283" s="727">
        <v>1</v>
      </c>
      <c r="R283" s="555">
        <v>1</v>
      </c>
      <c r="S283" s="727">
        <v>0</v>
      </c>
      <c r="T283" s="991">
        <f>VLOOKUP($D283,transmitter_from_BP!$B:$F,4,0)</f>
        <v>0</v>
      </c>
      <c r="U283" s="727">
        <v>1200</v>
      </c>
      <c r="V283" s="991">
        <f>VLOOKUP($D283,transmitter_from_BP!$B:$F,3,0)</f>
        <v>1200</v>
      </c>
      <c r="W283" s="727">
        <v>0</v>
      </c>
      <c r="X283" s="555"/>
      <c r="Y283" s="727">
        <v>783.95801051027399</v>
      </c>
      <c r="Z283" s="610"/>
    </row>
    <row r="284" spans="1:26" s="514" customFormat="1">
      <c r="A284" s="519" t="s">
        <v>4579</v>
      </c>
      <c r="B284" s="520"/>
      <c r="C284" s="521"/>
      <c r="D284" s="759" t="s">
        <v>9687</v>
      </c>
      <c r="E284" s="724"/>
      <c r="F284" s="556" t="s">
        <v>5818</v>
      </c>
      <c r="G284" s="981" t="s">
        <v>11236</v>
      </c>
      <c r="H284" s="755" t="str">
        <f>VLOOKUP($D284,transmitter_from_BP!$B:$F,2,0)</f>
        <v>CDU HEATER PASS 3 OUTLET SKIN</v>
      </c>
      <c r="I284" s="981" t="s">
        <v>11236</v>
      </c>
      <c r="J284" s="755" t="str">
        <f>VLOOKUP($D284,transmitter_from_BP!$B:$F,2,0)</f>
        <v>CDU HEATER PASS 3 OUTLET SKIN</v>
      </c>
      <c r="K284" s="981" t="s">
        <v>11676</v>
      </c>
      <c r="L284" s="1064" t="str">
        <f>VLOOKUP($D284,transmitter_from_BP!$B:$F,5,0)</f>
        <v>DEGC</v>
      </c>
      <c r="M284" s="727">
        <v>6</v>
      </c>
      <c r="N284" s="610">
        <v>6</v>
      </c>
      <c r="O284" s="727">
        <v>1</v>
      </c>
      <c r="P284" s="765">
        <v>1</v>
      </c>
      <c r="Q284" s="727">
        <v>1</v>
      </c>
      <c r="R284" s="555">
        <v>1</v>
      </c>
      <c r="S284" s="727">
        <v>0</v>
      </c>
      <c r="T284" s="991">
        <f>VLOOKUP($D284,transmitter_from_BP!$B:$F,4,0)</f>
        <v>0</v>
      </c>
      <c r="U284" s="727">
        <v>750</v>
      </c>
      <c r="V284" s="991">
        <f>VLOOKUP($D284,transmitter_from_BP!$B:$F,3,0)</f>
        <v>750</v>
      </c>
      <c r="W284" s="727">
        <v>0</v>
      </c>
      <c r="X284" s="555"/>
      <c r="Y284" s="727">
        <v>437.41699387553098</v>
      </c>
      <c r="Z284" s="610"/>
    </row>
    <row r="285" spans="1:26" s="514" customFormat="1">
      <c r="A285" s="519" t="s">
        <v>4579</v>
      </c>
      <c r="B285" s="520"/>
      <c r="C285" s="521"/>
      <c r="D285" s="759" t="s">
        <v>9688</v>
      </c>
      <c r="E285" s="724"/>
      <c r="F285" s="556" t="s">
        <v>5831</v>
      </c>
      <c r="G285" s="981" t="s">
        <v>11237</v>
      </c>
      <c r="H285" s="755" t="str">
        <f>VLOOKUP($D285,transmitter_from_BP!$B:$F,2,0)</f>
        <v>CDU HEATER PASS 8 OUTLET SKIN</v>
      </c>
      <c r="I285" s="981" t="s">
        <v>11237</v>
      </c>
      <c r="J285" s="755" t="str">
        <f>VLOOKUP($D285,transmitter_from_BP!$B:$F,2,0)</f>
        <v>CDU HEATER PASS 8 OUTLET SKIN</v>
      </c>
      <c r="K285" s="981" t="s">
        <v>11676</v>
      </c>
      <c r="L285" s="1064" t="str">
        <f>VLOOKUP($D285,transmitter_from_BP!$B:$F,5,0)</f>
        <v>DEGC</v>
      </c>
      <c r="M285" s="727">
        <v>6</v>
      </c>
      <c r="N285" s="610">
        <v>6</v>
      </c>
      <c r="O285" s="727">
        <v>1</v>
      </c>
      <c r="P285" s="765">
        <v>1</v>
      </c>
      <c r="Q285" s="727">
        <v>1</v>
      </c>
      <c r="R285" s="555">
        <v>1</v>
      </c>
      <c r="S285" s="727">
        <v>0</v>
      </c>
      <c r="T285" s="991">
        <f>VLOOKUP($D285,transmitter_from_BP!$B:$F,4,0)</f>
        <v>0</v>
      </c>
      <c r="U285" s="727">
        <v>750</v>
      </c>
      <c r="V285" s="991">
        <f>VLOOKUP($D285,transmitter_from_BP!$B:$F,3,0)</f>
        <v>750</v>
      </c>
      <c r="W285" s="727">
        <v>0</v>
      </c>
      <c r="X285" s="555"/>
      <c r="Y285" s="727">
        <v>436.52526541897402</v>
      </c>
      <c r="Z285" s="610"/>
    </row>
    <row r="286" spans="1:26" s="514" customFormat="1">
      <c r="A286" s="519" t="s">
        <v>4579</v>
      </c>
      <c r="B286" s="520"/>
      <c r="C286" s="521"/>
      <c r="D286" s="759" t="s">
        <v>9689</v>
      </c>
      <c r="E286" s="724"/>
      <c r="F286" s="556" t="s">
        <v>8551</v>
      </c>
      <c r="G286" s="981" t="s">
        <v>11238</v>
      </c>
      <c r="H286" s="755" t="str">
        <f>VLOOKUP($D286,transmitter_from_BP!$B:$F,2,0)</f>
        <v>WET LGO TO COOLER</v>
      </c>
      <c r="I286" s="981" t="s">
        <v>11238</v>
      </c>
      <c r="J286" s="755" t="str">
        <f>VLOOKUP($D286,transmitter_from_BP!$B:$F,2,0)</f>
        <v>WET LGO TO COOLER</v>
      </c>
      <c r="K286" s="981" t="s">
        <v>11676</v>
      </c>
      <c r="L286" s="1064" t="str">
        <f>VLOOKUP($D286,transmitter_from_BP!$B:$F,5,0)</f>
        <v>DEGC</v>
      </c>
      <c r="M286" s="727">
        <v>6</v>
      </c>
      <c r="N286" s="610">
        <v>6</v>
      </c>
      <c r="O286" s="727">
        <v>1</v>
      </c>
      <c r="P286" s="765">
        <v>1</v>
      </c>
      <c r="Q286" s="727">
        <v>1</v>
      </c>
      <c r="R286" s="555">
        <v>1</v>
      </c>
      <c r="S286" s="727">
        <v>-25</v>
      </c>
      <c r="T286" s="991">
        <f>VLOOKUP($D286,transmitter_from_BP!$B:$F,4,0)</f>
        <v>-25</v>
      </c>
      <c r="U286" s="727">
        <v>523</v>
      </c>
      <c r="V286" s="991">
        <f>VLOOKUP($D286,transmitter_from_BP!$B:$F,3,0)</f>
        <v>523</v>
      </c>
      <c r="W286" s="727">
        <v>0</v>
      </c>
      <c r="X286" s="555"/>
      <c r="Y286" s="727">
        <v>184.08204454247399</v>
      </c>
      <c r="Z286" s="610"/>
    </row>
    <row r="287" spans="1:26" s="514" customFormat="1">
      <c r="A287" s="519" t="s">
        <v>4579</v>
      </c>
      <c r="B287" s="520"/>
      <c r="C287" s="521"/>
      <c r="D287" s="759" t="s">
        <v>9690</v>
      </c>
      <c r="E287" s="724"/>
      <c r="F287" s="556" t="s">
        <v>8530</v>
      </c>
      <c r="G287" s="981" t="s">
        <v>11239</v>
      </c>
      <c r="H287" s="755" t="str">
        <f>VLOOKUP($D287,transmitter_from_BP!$B:$F,2,0)</f>
        <v>EZ2104A/B OUTLET FROM TPA</v>
      </c>
      <c r="I287" s="981" t="s">
        <v>11239</v>
      </c>
      <c r="J287" s="755" t="str">
        <f>VLOOKUP($D287,transmitter_from_BP!$B:$F,2,0)</f>
        <v>EZ2104A/B OUTLET FROM TPA</v>
      </c>
      <c r="K287" s="981" t="s">
        <v>11676</v>
      </c>
      <c r="L287" s="1064" t="str">
        <f>VLOOKUP($D287,transmitter_from_BP!$B:$F,5,0)</f>
        <v>DEGC</v>
      </c>
      <c r="M287" s="727">
        <v>6</v>
      </c>
      <c r="N287" s="610">
        <v>6</v>
      </c>
      <c r="O287" s="727">
        <v>1</v>
      </c>
      <c r="P287" s="765">
        <v>1</v>
      </c>
      <c r="Q287" s="727">
        <v>1</v>
      </c>
      <c r="R287" s="555">
        <v>1</v>
      </c>
      <c r="S287" s="727">
        <v>0</v>
      </c>
      <c r="T287" s="991">
        <f>VLOOKUP($D287,transmitter_from_BP!$B:$F,4,0)</f>
        <v>0</v>
      </c>
      <c r="U287" s="727">
        <v>650</v>
      </c>
      <c r="V287" s="991">
        <f>VLOOKUP($D287,transmitter_from_BP!$B:$F,3,0)</f>
        <v>650</v>
      </c>
      <c r="W287" s="727">
        <v>0</v>
      </c>
      <c r="X287" s="555"/>
      <c r="Y287" s="727">
        <v>187.007712468882</v>
      </c>
      <c r="Z287" s="610"/>
    </row>
    <row r="288" spans="1:26" s="514" customFormat="1">
      <c r="A288" s="519" t="s">
        <v>4579</v>
      </c>
      <c r="B288" s="520"/>
      <c r="C288" s="521"/>
      <c r="D288" s="759" t="s">
        <v>9691</v>
      </c>
      <c r="E288" s="724"/>
      <c r="F288" s="556" t="s">
        <v>8558</v>
      </c>
      <c r="G288" s="981" t="s">
        <v>11240</v>
      </c>
      <c r="H288" s="755" t="str">
        <f>VLOOKUP($D288,transmitter_from_BP!$B:$F,2,0)</f>
        <v>DESALTER EFFLUENT TEMPERATUUR</v>
      </c>
      <c r="I288" s="981" t="s">
        <v>11240</v>
      </c>
      <c r="J288" s="755" t="str">
        <f>VLOOKUP($D288,transmitter_from_BP!$B:$F,2,0)</f>
        <v>DESALTER EFFLUENT TEMPERATUUR</v>
      </c>
      <c r="K288" s="981" t="s">
        <v>11676</v>
      </c>
      <c r="L288" s="1064" t="str">
        <f>VLOOKUP($D288,transmitter_from_BP!$B:$F,5,0)</f>
        <v>DEGC</v>
      </c>
      <c r="M288" s="727">
        <v>6</v>
      </c>
      <c r="N288" s="772">
        <v>6</v>
      </c>
      <c r="O288" s="727">
        <v>1</v>
      </c>
      <c r="P288" s="765">
        <v>1</v>
      </c>
      <c r="Q288" s="727">
        <v>1</v>
      </c>
      <c r="R288" s="555">
        <v>1</v>
      </c>
      <c r="S288" s="727">
        <v>0</v>
      </c>
      <c r="T288" s="991">
        <f>VLOOKUP($D288,transmitter_from_BP!$B:$F,4,0)</f>
        <v>0</v>
      </c>
      <c r="U288" s="727">
        <v>100</v>
      </c>
      <c r="V288" s="991">
        <f>VLOOKUP($D288,transmitter_from_BP!$B:$F,3,0)</f>
        <v>100</v>
      </c>
      <c r="W288" s="727">
        <v>0</v>
      </c>
      <c r="X288" s="555"/>
      <c r="Y288" s="727">
        <v>46.698674691666298</v>
      </c>
      <c r="Z288" s="610"/>
    </row>
    <row r="289" spans="1:26" s="514" customFormat="1">
      <c r="A289" s="729" t="s">
        <v>4579</v>
      </c>
      <c r="B289" s="520"/>
      <c r="C289" s="521"/>
      <c r="D289" s="759" t="s">
        <v>1743</v>
      </c>
      <c r="E289" s="724"/>
      <c r="F289" s="743" t="s">
        <v>8724</v>
      </c>
      <c r="G289" s="981" t="s">
        <v>11241</v>
      </c>
      <c r="H289" s="741" t="str">
        <f>VLOOKUP($D289,transmitter_from_BP!$B:$F,2,0)</f>
        <v>CRUDE INLET EZ2102A</v>
      </c>
      <c r="I289" s="981" t="s">
        <v>11241</v>
      </c>
      <c r="J289" s="755" t="str">
        <f>VLOOKUP($D289,transmitter_from_BP!$B:$F,2,0)</f>
        <v>CRUDE INLET EZ2102A</v>
      </c>
      <c r="K289" s="981" t="s">
        <v>11676</v>
      </c>
      <c r="L289" s="1064" t="str">
        <f>VLOOKUP($D289,transmitter_from_BP!$B:$F,5,0)</f>
        <v>DEGC</v>
      </c>
      <c r="M289" s="744">
        <v>6</v>
      </c>
      <c r="N289" s="772">
        <v>6</v>
      </c>
      <c r="O289" s="744">
        <v>1</v>
      </c>
      <c r="P289" s="765">
        <v>1</v>
      </c>
      <c r="Q289" s="744">
        <v>1</v>
      </c>
      <c r="R289" s="555">
        <v>1</v>
      </c>
      <c r="S289" s="744">
        <v>-25</v>
      </c>
      <c r="T289" s="991">
        <f>VLOOKUP($D289,transmitter_from_BP!$B:$F,4,0)</f>
        <v>-25</v>
      </c>
      <c r="U289" s="744">
        <v>1116</v>
      </c>
      <c r="V289" s="991">
        <f>VLOOKUP($D289,transmitter_from_BP!$B:$F,3,0)</f>
        <v>1116</v>
      </c>
      <c r="W289" s="744">
        <v>0</v>
      </c>
      <c r="X289" s="555"/>
      <c r="Y289" s="744">
        <v>48.154989965123796</v>
      </c>
      <c r="Z289" s="610"/>
    </row>
    <row r="290" spans="1:26" s="514" customFormat="1">
      <c r="A290" s="519" t="s">
        <v>4579</v>
      </c>
      <c r="B290" s="520"/>
      <c r="C290" s="521"/>
      <c r="D290" s="759" t="s">
        <v>9692</v>
      </c>
      <c r="E290" s="517"/>
      <c r="F290" s="556" t="s">
        <v>8783</v>
      </c>
      <c r="G290" s="981" t="s">
        <v>11242</v>
      </c>
      <c r="H290" s="755" t="str">
        <f>VLOOKUP($D290,transmitter_from_BP!$B:$F,2,0)</f>
        <v>CRUDE INLET EZ2102C</v>
      </c>
      <c r="I290" s="981" t="s">
        <v>11242</v>
      </c>
      <c r="J290" s="755" t="str">
        <f>VLOOKUP($D290,transmitter_from_BP!$B:$F,2,0)</f>
        <v>CRUDE INLET EZ2102C</v>
      </c>
      <c r="K290" s="981" t="s">
        <v>11676</v>
      </c>
      <c r="L290" s="1064" t="str">
        <f>VLOOKUP($D290,transmitter_from_BP!$B:$F,5,0)</f>
        <v>DEGC</v>
      </c>
      <c r="M290" s="570">
        <v>6</v>
      </c>
      <c r="N290" s="772">
        <v>6</v>
      </c>
      <c r="O290" s="570">
        <v>1</v>
      </c>
      <c r="P290" s="765">
        <v>1</v>
      </c>
      <c r="Q290" s="570">
        <v>1</v>
      </c>
      <c r="R290" s="555">
        <v>1</v>
      </c>
      <c r="S290" s="570">
        <v>-25</v>
      </c>
      <c r="T290" s="991">
        <f>VLOOKUP($D290,transmitter_from_BP!$B:$F,4,0)</f>
        <v>-25</v>
      </c>
      <c r="U290" s="570">
        <v>1116</v>
      </c>
      <c r="V290" s="991">
        <f>VLOOKUP($D290,transmitter_from_BP!$B:$F,3,0)</f>
        <v>1116</v>
      </c>
      <c r="W290" s="570">
        <v>0</v>
      </c>
      <c r="X290" s="555"/>
      <c r="Y290" s="614">
        <v>48.154913825511102</v>
      </c>
      <c r="Z290" s="610"/>
    </row>
    <row r="291" spans="1:26" s="514" customFormat="1">
      <c r="A291" s="519" t="s">
        <v>4579</v>
      </c>
      <c r="B291" s="520"/>
      <c r="C291" s="521"/>
      <c r="D291" s="759" t="s">
        <v>9693</v>
      </c>
      <c r="E291" s="517"/>
      <c r="F291" s="556" t="s">
        <v>8795</v>
      </c>
      <c r="G291" s="981" t="s">
        <v>11243</v>
      </c>
      <c r="H291" s="555" t="str">
        <f>VLOOKUP($D291,transmitter_from_BP!$B:$F,2,0)</f>
        <v>WET LGO TO DRIER</v>
      </c>
      <c r="I291" s="981" t="s">
        <v>11243</v>
      </c>
      <c r="J291" s="755" t="str">
        <f>VLOOKUP($D291,transmitter_from_BP!$B:$F,2,0)</f>
        <v>WET LGO TO DRIER</v>
      </c>
      <c r="K291" s="981" t="s">
        <v>11676</v>
      </c>
      <c r="L291" s="1064" t="str">
        <f>VLOOKUP($D291,transmitter_from_BP!$B:$F,5,0)</f>
        <v>DEGC</v>
      </c>
      <c r="M291" s="570">
        <v>6</v>
      </c>
      <c r="N291" s="772">
        <v>6</v>
      </c>
      <c r="O291" s="570">
        <v>1</v>
      </c>
      <c r="P291" s="765">
        <v>1</v>
      </c>
      <c r="Q291" s="570">
        <v>1</v>
      </c>
      <c r="R291" s="555">
        <v>1</v>
      </c>
      <c r="S291" s="570">
        <v>-25</v>
      </c>
      <c r="T291" s="991">
        <f>VLOOKUP($D291,transmitter_from_BP!$B:$F,4,0)</f>
        <v>-25</v>
      </c>
      <c r="U291" s="570">
        <v>523</v>
      </c>
      <c r="V291" s="991">
        <f>VLOOKUP($D291,transmitter_from_BP!$B:$F,3,0)</f>
        <v>523</v>
      </c>
      <c r="W291" s="570">
        <v>0</v>
      </c>
      <c r="X291" s="555"/>
      <c r="Y291" s="614">
        <v>158.44105295880601</v>
      </c>
      <c r="Z291" s="610"/>
    </row>
    <row r="292" spans="1:26" s="514" customFormat="1">
      <c r="A292" s="519" t="s">
        <v>4579</v>
      </c>
      <c r="B292" s="520"/>
      <c r="C292" s="521"/>
      <c r="D292" s="759" t="s">
        <v>9694</v>
      </c>
      <c r="E292" s="517"/>
      <c r="F292" s="556" t="s">
        <v>9280</v>
      </c>
      <c r="G292" s="981" t="s">
        <v>11244</v>
      </c>
      <c r="H292" s="755" t="str">
        <f>VLOOKUP($D292,transmitter_from_BP!$B:$F,2,0)</f>
        <v>CRUDE TO DESALTER DZ2121C</v>
      </c>
      <c r="I292" s="981" t="s">
        <v>11244</v>
      </c>
      <c r="J292" s="755" t="str">
        <f>VLOOKUP($D292,transmitter_from_BP!$B:$F,2,0)</f>
        <v>CRUDE TO DESALTER DZ2121C</v>
      </c>
      <c r="K292" s="981" t="s">
        <v>11676</v>
      </c>
      <c r="L292" s="1064" t="str">
        <f>VLOOKUP($D292,transmitter_from_BP!$B:$F,5,0)</f>
        <v>DEGC</v>
      </c>
      <c r="M292" s="570">
        <v>6</v>
      </c>
      <c r="N292" s="772">
        <v>6</v>
      </c>
      <c r="O292" s="570">
        <v>1</v>
      </c>
      <c r="P292" s="765">
        <v>1</v>
      </c>
      <c r="Q292" s="570">
        <v>1</v>
      </c>
      <c r="R292" s="555">
        <v>1</v>
      </c>
      <c r="S292" s="570">
        <v>0</v>
      </c>
      <c r="T292" s="991">
        <f>VLOOKUP($D292,transmitter_from_BP!$B:$F,4,0)</f>
        <v>0</v>
      </c>
      <c r="U292" s="570">
        <v>180</v>
      </c>
      <c r="V292" s="991">
        <f>VLOOKUP($D292,transmitter_from_BP!$B:$F,3,0)</f>
        <v>180</v>
      </c>
      <c r="W292" s="570">
        <v>0</v>
      </c>
      <c r="X292" s="555"/>
      <c r="Y292" s="614">
        <v>120.77568482775899</v>
      </c>
      <c r="Z292" s="610"/>
    </row>
    <row r="293" spans="1:26" s="753" customFormat="1">
      <c r="A293" s="756" t="s">
        <v>4579</v>
      </c>
      <c r="B293" s="757"/>
      <c r="C293" s="758"/>
      <c r="D293" s="773" t="s">
        <v>9695</v>
      </c>
      <c r="E293" s="782"/>
      <c r="F293" s="774" t="s">
        <v>7973</v>
      </c>
      <c r="G293" s="981" t="s">
        <v>11245</v>
      </c>
      <c r="H293" s="772" t="str">
        <f>VLOOKUP($D293,transmitter_from_BP!$B:$F,2,0)</f>
        <v>BRINE INLET EZ-2121A/B</v>
      </c>
      <c r="I293" s="981" t="s">
        <v>11245</v>
      </c>
      <c r="J293" s="772" t="str">
        <f>VLOOKUP($D293,transmitter_from_BP!$B:$F,2,0)</f>
        <v>BRINE INLET EZ-2121A/B</v>
      </c>
      <c r="K293" s="981" t="s">
        <v>11676</v>
      </c>
      <c r="L293" s="1064" t="str">
        <f>VLOOKUP($D293,transmitter_from_BP!$B:$F,5,0)</f>
        <v>DEGC</v>
      </c>
      <c r="M293" s="783">
        <v>6</v>
      </c>
      <c r="N293" s="772">
        <v>6</v>
      </c>
      <c r="O293" s="783">
        <v>1</v>
      </c>
      <c r="P293" s="772">
        <v>1</v>
      </c>
      <c r="Q293" s="783">
        <v>1</v>
      </c>
      <c r="R293" s="772">
        <v>1</v>
      </c>
      <c r="S293" s="783">
        <v>0</v>
      </c>
      <c r="T293" s="991">
        <f>VLOOKUP($D293,transmitter_from_BP!$B:$F,4,0)</f>
        <v>0</v>
      </c>
      <c r="U293" s="783">
        <v>180</v>
      </c>
      <c r="V293" s="991">
        <f>VLOOKUP($D293,transmitter_from_BP!$B:$F,3,0)</f>
        <v>180</v>
      </c>
      <c r="W293" s="783">
        <v>0</v>
      </c>
      <c r="X293" s="772"/>
      <c r="Y293" s="783">
        <v>125.54875722960701</v>
      </c>
      <c r="Z293" s="772"/>
    </row>
    <row r="294" spans="1:26" s="753" customFormat="1">
      <c r="A294" s="756" t="s">
        <v>4579</v>
      </c>
      <c r="B294" s="757"/>
      <c r="C294" s="758"/>
      <c r="D294" s="773" t="s">
        <v>7974</v>
      </c>
      <c r="E294" s="782"/>
      <c r="F294" s="774" t="s">
        <v>7975</v>
      </c>
      <c r="G294" s="981" t="s">
        <v>11246</v>
      </c>
      <c r="H294" s="772" t="str">
        <f>VLOOKUP($D294,transmitter_from_BP!$B:$F,2,0)</f>
        <v>WASH WATER TO DZ-2101A/B</v>
      </c>
      <c r="I294" s="981" t="s">
        <v>11246</v>
      </c>
      <c r="J294" s="772" t="str">
        <f>VLOOKUP($D294,transmitter_from_BP!$B:$F,2,0)</f>
        <v>WASH WATER TO DZ-2101A/B</v>
      </c>
      <c r="K294" s="981" t="s">
        <v>11676</v>
      </c>
      <c r="L294" s="1064" t="str">
        <f>VLOOKUP($D294,transmitter_from_BP!$B:$F,5,0)</f>
        <v>DEGC</v>
      </c>
      <c r="M294" s="783">
        <v>6</v>
      </c>
      <c r="N294" s="772">
        <v>6</v>
      </c>
      <c r="O294" s="783">
        <v>1</v>
      </c>
      <c r="P294" s="772">
        <v>1</v>
      </c>
      <c r="Q294" s="783">
        <v>1</v>
      </c>
      <c r="R294" s="772">
        <v>1</v>
      </c>
      <c r="S294" s="783">
        <v>0</v>
      </c>
      <c r="T294" s="991">
        <f>VLOOKUP($D294,transmitter_from_BP!$B:$F,4,0)</f>
        <v>0</v>
      </c>
      <c r="U294" s="783">
        <v>180</v>
      </c>
      <c r="V294" s="991">
        <f>VLOOKUP($D294,transmitter_from_BP!$B:$F,3,0)</f>
        <v>180</v>
      </c>
      <c r="W294" s="783">
        <v>0</v>
      </c>
      <c r="X294" s="772"/>
      <c r="Y294" s="783">
        <v>120.85477569969299</v>
      </c>
      <c r="Z294" s="772"/>
    </row>
    <row r="295" spans="1:26" s="753" customFormat="1">
      <c r="A295" s="756" t="s">
        <v>4579</v>
      </c>
      <c r="B295" s="757"/>
      <c r="C295" s="758"/>
      <c r="D295" s="773" t="s">
        <v>2563</v>
      </c>
      <c r="E295" s="782"/>
      <c r="F295" s="774" t="s">
        <v>8531</v>
      </c>
      <c r="G295" s="981" t="s">
        <v>11247</v>
      </c>
      <c r="H295" s="772" t="str">
        <f>VLOOKUP($D295,transmitter_from_BP!$B:$F,2,0)</f>
        <v>CRUDE TO PZ-2102A/B/C</v>
      </c>
      <c r="I295" s="981" t="s">
        <v>11247</v>
      </c>
      <c r="J295" s="772" t="str">
        <f>VLOOKUP($D295,transmitter_from_BP!$B:$F,2,0)</f>
        <v>CRUDE TO PZ-2102A/B/C</v>
      </c>
      <c r="K295" s="981" t="s">
        <v>11676</v>
      </c>
      <c r="L295" s="1064" t="str">
        <f>VLOOKUP($D295,transmitter_from_BP!$B:$F,5,0)</f>
        <v>DEGC</v>
      </c>
      <c r="M295" s="783">
        <v>6</v>
      </c>
      <c r="N295" s="772">
        <v>6</v>
      </c>
      <c r="O295" s="783">
        <v>1</v>
      </c>
      <c r="P295" s="772">
        <v>1</v>
      </c>
      <c r="Q295" s="783">
        <v>1</v>
      </c>
      <c r="R295" s="772">
        <v>1</v>
      </c>
      <c r="S295" s="783">
        <v>0</v>
      </c>
      <c r="T295" s="991">
        <f>VLOOKUP($D295,transmitter_from_BP!$B:$F,4,0)</f>
        <v>0</v>
      </c>
      <c r="U295" s="783">
        <v>180</v>
      </c>
      <c r="V295" s="991">
        <f>VLOOKUP($D295,transmitter_from_BP!$B:$F,3,0)</f>
        <v>180</v>
      </c>
      <c r="W295" s="783">
        <v>0</v>
      </c>
      <c r="X295" s="772"/>
      <c r="Y295" s="783">
        <v>120.791719988426</v>
      </c>
      <c r="Z295" s="772"/>
    </row>
    <row r="296" spans="1:26" s="753" customFormat="1">
      <c r="A296" s="756" t="s">
        <v>4579</v>
      </c>
      <c r="B296" s="757"/>
      <c r="C296" s="758"/>
      <c r="D296" s="773" t="s">
        <v>8682</v>
      </c>
      <c r="E296" s="782"/>
      <c r="F296" s="774" t="s">
        <v>8683</v>
      </c>
      <c r="G296" s="981" t="s">
        <v>11248</v>
      </c>
      <c r="H296" s="772" t="str">
        <f>VLOOKUP($D296,transmitter_from_BP!$B:$F,2,0)</f>
        <v>BPA RETURN</v>
      </c>
      <c r="I296" s="981" t="s">
        <v>11248</v>
      </c>
      <c r="J296" s="772" t="str">
        <f>VLOOKUP($D296,transmitter_from_BP!$B:$F,2,0)</f>
        <v>BPA RETURN</v>
      </c>
      <c r="K296" s="981" t="s">
        <v>11676</v>
      </c>
      <c r="L296" s="1064" t="str">
        <f>VLOOKUP($D296,transmitter_from_BP!$B:$F,5,0)</f>
        <v>DEGC</v>
      </c>
      <c r="M296" s="783">
        <v>6</v>
      </c>
      <c r="N296" s="772">
        <v>6</v>
      </c>
      <c r="O296" s="783">
        <v>1</v>
      </c>
      <c r="P296" s="772">
        <v>1</v>
      </c>
      <c r="Q296" s="783">
        <v>1</v>
      </c>
      <c r="R296" s="772">
        <v>1</v>
      </c>
      <c r="S296" s="783">
        <v>-25</v>
      </c>
      <c r="T296" s="991">
        <f>VLOOKUP($D296,transmitter_from_BP!$B:$F,4,0)</f>
        <v>-25</v>
      </c>
      <c r="U296" s="783">
        <v>523</v>
      </c>
      <c r="V296" s="991">
        <f>VLOOKUP($D296,transmitter_from_BP!$B:$F,3,0)</f>
        <v>523</v>
      </c>
      <c r="W296" s="783">
        <v>0</v>
      </c>
      <c r="X296" s="772"/>
      <c r="Y296" s="783">
        <v>73.620556762762405</v>
      </c>
      <c r="Z296" s="772"/>
    </row>
    <row r="297" spans="1:26" s="753" customFormat="1">
      <c r="A297" s="756" t="s">
        <v>4579</v>
      </c>
      <c r="B297" s="757"/>
      <c r="C297" s="758"/>
      <c r="D297" s="773" t="s">
        <v>9696</v>
      </c>
      <c r="E297" s="782"/>
      <c r="F297" s="774" t="s">
        <v>8771</v>
      </c>
      <c r="G297" s="981" t="s">
        <v>11249</v>
      </c>
      <c r="H297" s="772" t="str">
        <f>VLOOKUP($D297,transmitter_from_BP!$B:$F,2,0)</f>
        <v>CRUDE OVHD INLET EZ2102B</v>
      </c>
      <c r="I297" s="981" t="s">
        <v>11249</v>
      </c>
      <c r="J297" s="772" t="str">
        <f>VLOOKUP($D297,transmitter_from_BP!$B:$F,2,0)</f>
        <v>CRUDE OVHD INLET EZ2102B</v>
      </c>
      <c r="K297" s="981" t="s">
        <v>11676</v>
      </c>
      <c r="L297" s="1064" t="str">
        <f>VLOOKUP($D297,transmitter_from_BP!$B:$F,5,0)</f>
        <v>DEGC</v>
      </c>
      <c r="M297" s="783">
        <v>6</v>
      </c>
      <c r="N297" s="772">
        <v>6</v>
      </c>
      <c r="O297" s="783">
        <v>1</v>
      </c>
      <c r="P297" s="772">
        <v>1</v>
      </c>
      <c r="Q297" s="783">
        <v>1</v>
      </c>
      <c r="R297" s="772">
        <v>1</v>
      </c>
      <c r="S297" s="783">
        <v>-25</v>
      </c>
      <c r="T297" s="991">
        <f>VLOOKUP($D297,transmitter_from_BP!$B:$F,4,0)</f>
        <v>-25</v>
      </c>
      <c r="U297" s="783">
        <v>1116</v>
      </c>
      <c r="V297" s="991">
        <f>VLOOKUP($D297,transmitter_from_BP!$B:$F,3,0)</f>
        <v>1116</v>
      </c>
      <c r="W297" s="783">
        <v>0</v>
      </c>
      <c r="X297" s="772"/>
      <c r="Y297" s="783">
        <v>202.20076302862299</v>
      </c>
      <c r="Z297" s="772"/>
    </row>
    <row r="298" spans="1:26" s="753" customFormat="1">
      <c r="A298" s="756" t="s">
        <v>4579</v>
      </c>
      <c r="B298" s="757"/>
      <c r="C298" s="758"/>
      <c r="D298" s="773" t="s">
        <v>9697</v>
      </c>
      <c r="E298" s="782"/>
      <c r="F298" s="774" t="s">
        <v>8751</v>
      </c>
      <c r="G298" s="981" t="s">
        <v>11250</v>
      </c>
      <c r="H298" s="772" t="str">
        <f>VLOOKUP($D298,transmitter_from_BP!$B:$F,2,0)</f>
        <v>CRUDE OUTLET EZ2102B</v>
      </c>
      <c r="I298" s="981" t="s">
        <v>11250</v>
      </c>
      <c r="J298" s="772" t="str">
        <f>VLOOKUP($D298,transmitter_from_BP!$B:$F,2,0)</f>
        <v>CRUDE OUTLET EZ2102B</v>
      </c>
      <c r="K298" s="981" t="s">
        <v>11676</v>
      </c>
      <c r="L298" s="1064" t="str">
        <f>VLOOKUP($D298,transmitter_from_BP!$B:$F,5,0)</f>
        <v>DEGC</v>
      </c>
      <c r="M298" s="783">
        <v>6</v>
      </c>
      <c r="N298" s="772">
        <v>6</v>
      </c>
      <c r="O298" s="783">
        <v>1</v>
      </c>
      <c r="P298" s="772">
        <v>1</v>
      </c>
      <c r="Q298" s="783">
        <v>1</v>
      </c>
      <c r="R298" s="772">
        <v>1</v>
      </c>
      <c r="S298" s="783">
        <v>-25</v>
      </c>
      <c r="T298" s="991">
        <f>VLOOKUP($D298,transmitter_from_BP!$B:$F,4,0)</f>
        <v>-25</v>
      </c>
      <c r="U298" s="783">
        <v>1116</v>
      </c>
      <c r="V298" s="991">
        <f>VLOOKUP($D298,transmitter_from_BP!$B:$F,3,0)</f>
        <v>1116</v>
      </c>
      <c r="W298" s="783">
        <v>0</v>
      </c>
      <c r="X298" s="772"/>
      <c r="Y298" s="783">
        <v>116.874497463675</v>
      </c>
      <c r="Z298" s="772"/>
    </row>
    <row r="299" spans="1:26" s="753" customFormat="1">
      <c r="A299" s="756" t="s">
        <v>4579</v>
      </c>
      <c r="B299" s="757"/>
      <c r="C299" s="758"/>
      <c r="D299" s="773" t="s">
        <v>9698</v>
      </c>
      <c r="E299" s="782"/>
      <c r="F299" s="774" t="s">
        <v>8767</v>
      </c>
      <c r="G299" s="981" t="s">
        <v>11251</v>
      </c>
      <c r="H299" s="772" t="str">
        <f>VLOOKUP($D299,transmitter_from_BP!$B:$F,2,0)</f>
        <v>CRUDE OVHD INLET EZ2102D</v>
      </c>
      <c r="I299" s="981" t="s">
        <v>11251</v>
      </c>
      <c r="J299" s="772" t="str">
        <f>VLOOKUP($D299,transmitter_from_BP!$B:$F,2,0)</f>
        <v>CRUDE OVHD INLET EZ2102D</v>
      </c>
      <c r="K299" s="981" t="s">
        <v>11676</v>
      </c>
      <c r="L299" s="1064" t="str">
        <f>VLOOKUP($D299,transmitter_from_BP!$B:$F,5,0)</f>
        <v>DEGC</v>
      </c>
      <c r="M299" s="783">
        <v>6</v>
      </c>
      <c r="N299" s="772">
        <v>6</v>
      </c>
      <c r="O299" s="783">
        <v>1</v>
      </c>
      <c r="P299" s="772">
        <v>1</v>
      </c>
      <c r="Q299" s="783">
        <v>1</v>
      </c>
      <c r="R299" s="772">
        <v>1</v>
      </c>
      <c r="S299" s="783">
        <v>-25</v>
      </c>
      <c r="T299" s="991">
        <f>VLOOKUP($D299,transmitter_from_BP!$B:$F,4,0)</f>
        <v>-25</v>
      </c>
      <c r="U299" s="783">
        <v>1116</v>
      </c>
      <c r="V299" s="991">
        <f>VLOOKUP($D299,transmitter_from_BP!$B:$F,3,0)</f>
        <v>1116</v>
      </c>
      <c r="W299" s="783">
        <v>0</v>
      </c>
      <c r="X299" s="772"/>
      <c r="Y299" s="783">
        <v>202.20076302862299</v>
      </c>
      <c r="Z299" s="772"/>
    </row>
    <row r="300" spans="1:26" s="753" customFormat="1">
      <c r="A300" s="756" t="s">
        <v>4579</v>
      </c>
      <c r="B300" s="757"/>
      <c r="C300" s="758"/>
      <c r="D300" s="773" t="s">
        <v>9699</v>
      </c>
      <c r="E300" s="782"/>
      <c r="F300" s="774" t="s">
        <v>8796</v>
      </c>
      <c r="G300" s="981" t="s">
        <v>11252</v>
      </c>
      <c r="H300" s="772" t="str">
        <f>VLOOKUP($D300,transmitter_from_BP!$B:$F,2,0)</f>
        <v>CRUDE OUTLET EZ2102D</v>
      </c>
      <c r="I300" s="981" t="s">
        <v>11252</v>
      </c>
      <c r="J300" s="772" t="str">
        <f>VLOOKUP($D300,transmitter_from_BP!$B:$F,2,0)</f>
        <v>CRUDE OUTLET EZ2102D</v>
      </c>
      <c r="K300" s="981" t="s">
        <v>11676</v>
      </c>
      <c r="L300" s="1064" t="str">
        <f>VLOOKUP($D300,transmitter_from_BP!$B:$F,5,0)</f>
        <v>DEGC</v>
      </c>
      <c r="M300" s="783">
        <v>6</v>
      </c>
      <c r="N300" s="772">
        <v>6</v>
      </c>
      <c r="O300" s="783">
        <v>1</v>
      </c>
      <c r="P300" s="772">
        <v>1</v>
      </c>
      <c r="Q300" s="783">
        <v>1</v>
      </c>
      <c r="R300" s="772">
        <v>1</v>
      </c>
      <c r="S300" s="783">
        <v>-25</v>
      </c>
      <c r="T300" s="991">
        <f>VLOOKUP($D300,transmitter_from_BP!$B:$F,4,0)</f>
        <v>-25</v>
      </c>
      <c r="U300" s="783">
        <v>1116</v>
      </c>
      <c r="V300" s="991">
        <f>VLOOKUP($D300,transmitter_from_BP!$B:$F,3,0)</f>
        <v>1116</v>
      </c>
      <c r="W300" s="783">
        <v>0</v>
      </c>
      <c r="X300" s="772"/>
      <c r="Y300" s="783">
        <v>116.87432705637799</v>
      </c>
      <c r="Z300" s="772"/>
    </row>
    <row r="301" spans="1:26" s="753" customFormat="1">
      <c r="A301" s="756" t="s">
        <v>4579</v>
      </c>
      <c r="B301" s="757"/>
      <c r="C301" s="758"/>
      <c r="D301" s="773" t="s">
        <v>9700</v>
      </c>
      <c r="E301" s="782"/>
      <c r="F301" s="774" t="s">
        <v>8650</v>
      </c>
      <c r="G301" s="981" t="s">
        <v>11253</v>
      </c>
      <c r="H301" s="772" t="str">
        <f>VLOOKUP($D301,transmitter_from_BP!$B:$F,2,0)</f>
        <v>RESIDUE EX EZ2111 A/B</v>
      </c>
      <c r="I301" s="981" t="s">
        <v>11253</v>
      </c>
      <c r="J301" s="772" t="str">
        <f>VLOOKUP($D301,transmitter_from_BP!$B:$F,2,0)</f>
        <v>RESIDUE EX EZ2111 A/B</v>
      </c>
      <c r="K301" s="981" t="s">
        <v>11676</v>
      </c>
      <c r="L301" s="1064" t="str">
        <f>VLOOKUP($D301,transmitter_from_BP!$B:$F,5,0)</f>
        <v>DEGC</v>
      </c>
      <c r="M301" s="783">
        <v>6</v>
      </c>
      <c r="N301" s="772">
        <v>6</v>
      </c>
      <c r="O301" s="783">
        <v>1</v>
      </c>
      <c r="P301" s="772">
        <v>1</v>
      </c>
      <c r="Q301" s="783">
        <v>1</v>
      </c>
      <c r="R301" s="772">
        <v>1</v>
      </c>
      <c r="S301" s="783">
        <v>-25</v>
      </c>
      <c r="T301" s="991">
        <f>VLOOKUP($D301,transmitter_from_BP!$B:$F,4,0)</f>
        <v>-25</v>
      </c>
      <c r="U301" s="783">
        <v>1116</v>
      </c>
      <c r="V301" s="991">
        <f>VLOOKUP($D301,transmitter_from_BP!$B:$F,3,0)</f>
        <v>1116</v>
      </c>
      <c r="W301" s="783">
        <v>0</v>
      </c>
      <c r="X301" s="772"/>
      <c r="Y301" s="783">
        <v>322.72974084540601</v>
      </c>
      <c r="Z301" s="772"/>
    </row>
    <row r="302" spans="1:26" s="753" customFormat="1">
      <c r="A302" s="756" t="s">
        <v>4579</v>
      </c>
      <c r="B302" s="757"/>
      <c r="C302" s="758"/>
      <c r="D302" s="773" t="s">
        <v>9701</v>
      </c>
      <c r="E302" s="782"/>
      <c r="F302" s="774" t="s">
        <v>8765</v>
      </c>
      <c r="G302" s="981" t="s">
        <v>11254</v>
      </c>
      <c r="H302" s="772" t="str">
        <f>VLOOKUP($D302,transmitter_from_BP!$B:$F,2,0)</f>
        <v>TEMP DZ2179</v>
      </c>
      <c r="I302" s="981" t="s">
        <v>11254</v>
      </c>
      <c r="J302" s="772" t="str">
        <f>VLOOKUP($D302,transmitter_from_BP!$B:$F,2,0)</f>
        <v>TEMP DZ2179</v>
      </c>
      <c r="K302" s="981" t="s">
        <v>11676</v>
      </c>
      <c r="L302" s="1064" t="str">
        <f>VLOOKUP($D302,transmitter_from_BP!$B:$F,5,0)</f>
        <v>DEGC</v>
      </c>
      <c r="M302" s="783">
        <v>6</v>
      </c>
      <c r="N302" s="772">
        <v>6</v>
      </c>
      <c r="O302" s="783">
        <v>1</v>
      </c>
      <c r="P302" s="772">
        <v>1</v>
      </c>
      <c r="Q302" s="783">
        <v>1</v>
      </c>
      <c r="R302" s="772">
        <v>1</v>
      </c>
      <c r="S302" s="783">
        <v>0</v>
      </c>
      <c r="T302" s="991">
        <f>VLOOKUP($D302,transmitter_from_BP!$B:$F,4,0)</f>
        <v>0</v>
      </c>
      <c r="U302" s="783">
        <v>100</v>
      </c>
      <c r="V302" s="991">
        <f>VLOOKUP($D302,transmitter_from_BP!$B:$F,3,0)</f>
        <v>100</v>
      </c>
      <c r="W302" s="783">
        <v>0</v>
      </c>
      <c r="X302" s="772"/>
      <c r="Y302" s="783">
        <v>26.859405706673002</v>
      </c>
      <c r="Z302" s="772"/>
    </row>
    <row r="303" spans="1:26" s="753" customFormat="1">
      <c r="A303" s="756" t="s">
        <v>4579</v>
      </c>
      <c r="B303" s="757"/>
      <c r="C303" s="758"/>
      <c r="D303" s="773" t="s">
        <v>9702</v>
      </c>
      <c r="E303" s="782"/>
      <c r="F303" s="774" t="s">
        <v>5875</v>
      </c>
      <c r="G303" s="981" t="s">
        <v>11151</v>
      </c>
      <c r="H303" s="772" t="str">
        <f>VLOOKUP($D303,transmitter_from_BP!$B:$F,2,0)</f>
        <v>HOT AIR OUTLET EZ2125A</v>
      </c>
      <c r="I303" s="981" t="s">
        <v>11151</v>
      </c>
      <c r="J303" s="772" t="str">
        <f>VLOOKUP($D303,transmitter_from_BP!$B:$F,2,0)</f>
        <v>HOT AIR OUTLET EZ2125A</v>
      </c>
      <c r="K303" s="981" t="s">
        <v>11676</v>
      </c>
      <c r="L303" s="1064" t="str">
        <f>VLOOKUP($D303,transmitter_from_BP!$B:$F,5,0)</f>
        <v>DEGC</v>
      </c>
      <c r="M303" s="783">
        <v>6</v>
      </c>
      <c r="N303" s="772">
        <v>6</v>
      </c>
      <c r="O303" s="783">
        <v>1</v>
      </c>
      <c r="P303" s="772">
        <v>1</v>
      </c>
      <c r="Q303" s="783">
        <v>1</v>
      </c>
      <c r="R303" s="772">
        <v>1</v>
      </c>
      <c r="S303" s="783">
        <v>-20</v>
      </c>
      <c r="T303" s="991">
        <f>VLOOKUP($D303,transmitter_from_BP!$B:$F,4,0)</f>
        <v>-20</v>
      </c>
      <c r="U303" s="783">
        <v>500</v>
      </c>
      <c r="V303" s="991">
        <f>VLOOKUP($D303,transmitter_from_BP!$B:$F,3,0)</f>
        <v>500</v>
      </c>
      <c r="W303" s="783">
        <v>0</v>
      </c>
      <c r="X303" s="772"/>
      <c r="Y303" s="783">
        <v>231.45877122709001</v>
      </c>
      <c r="Z303" s="772"/>
    </row>
    <row r="304" spans="1:26" s="753" customFormat="1">
      <c r="A304" s="756" t="s">
        <v>4579</v>
      </c>
      <c r="B304" s="757"/>
      <c r="C304" s="758"/>
      <c r="D304" s="773" t="s">
        <v>9703</v>
      </c>
      <c r="E304" s="782"/>
      <c r="F304" s="774" t="s">
        <v>5881</v>
      </c>
      <c r="G304" s="981" t="s">
        <v>11152</v>
      </c>
      <c r="H304" s="772" t="str">
        <f>VLOOKUP($D304,transmitter_from_BP!$B:$F,2,0)</f>
        <v>FLUEGAS INLET EZ2125A</v>
      </c>
      <c r="I304" s="981" t="s">
        <v>11152</v>
      </c>
      <c r="J304" s="772" t="str">
        <f>VLOOKUP($D304,transmitter_from_BP!$B:$F,2,0)</f>
        <v>FLUEGAS INLET EZ2125A</v>
      </c>
      <c r="K304" s="981" t="s">
        <v>11676</v>
      </c>
      <c r="L304" s="1064" t="str">
        <f>VLOOKUP($D304,transmitter_from_BP!$B:$F,5,0)</f>
        <v>DEGC</v>
      </c>
      <c r="M304" s="783">
        <v>6</v>
      </c>
      <c r="N304" s="772">
        <v>6</v>
      </c>
      <c r="O304" s="783">
        <v>1</v>
      </c>
      <c r="P304" s="772">
        <v>1</v>
      </c>
      <c r="Q304" s="783">
        <v>1</v>
      </c>
      <c r="R304" s="772">
        <v>1</v>
      </c>
      <c r="S304" s="783">
        <v>-20</v>
      </c>
      <c r="T304" s="991">
        <f>VLOOKUP($D304,transmitter_from_BP!$B:$F,4,0)</f>
        <v>-20</v>
      </c>
      <c r="U304" s="783">
        <v>600</v>
      </c>
      <c r="V304" s="991">
        <f>VLOOKUP($D304,transmitter_from_BP!$B:$F,3,0)</f>
        <v>600</v>
      </c>
      <c r="W304" s="783">
        <v>0</v>
      </c>
      <c r="X304" s="772"/>
      <c r="Y304" s="783">
        <v>439.80536192594502</v>
      </c>
      <c r="Z304" s="772"/>
    </row>
    <row r="305" spans="1:26" s="753" customFormat="1">
      <c r="A305" s="756" t="s">
        <v>4579</v>
      </c>
      <c r="B305" s="757"/>
      <c r="C305" s="758"/>
      <c r="D305" s="773" t="s">
        <v>9704</v>
      </c>
      <c r="E305" s="782"/>
      <c r="F305" s="774" t="s">
        <v>5883</v>
      </c>
      <c r="G305" s="981" t="s">
        <v>11153</v>
      </c>
      <c r="H305" s="772" t="str">
        <f>VLOOKUP($D305,transmitter_from_BP!$B:$F,2,0)</f>
        <v>FLUEGAS OUTLET EZ2125A</v>
      </c>
      <c r="I305" s="981" t="s">
        <v>11153</v>
      </c>
      <c r="J305" s="772" t="str">
        <f>VLOOKUP($D305,transmitter_from_BP!$B:$F,2,0)</f>
        <v>FLUEGAS OUTLET EZ2125A</v>
      </c>
      <c r="K305" s="981" t="s">
        <v>11676</v>
      </c>
      <c r="L305" s="772" t="str">
        <f>VLOOKUP($D305,transmitter_from_BP!$B:$F,5,0)</f>
        <v>DEGC</v>
      </c>
      <c r="M305" s="783">
        <v>6</v>
      </c>
      <c r="N305" s="772">
        <v>6</v>
      </c>
      <c r="O305" s="783">
        <v>1</v>
      </c>
      <c r="P305" s="772">
        <v>1</v>
      </c>
      <c r="Q305" s="783">
        <v>1</v>
      </c>
      <c r="R305" s="772">
        <v>1</v>
      </c>
      <c r="S305" s="783">
        <v>-20</v>
      </c>
      <c r="T305" s="991">
        <f>VLOOKUP($D305,transmitter_from_BP!$B:$F,4,0)</f>
        <v>-20</v>
      </c>
      <c r="U305" s="783">
        <v>300</v>
      </c>
      <c r="V305" s="991">
        <f>VLOOKUP($D305,transmitter_from_BP!$B:$F,3,0)</f>
        <v>300</v>
      </c>
      <c r="W305" s="783">
        <v>0</v>
      </c>
      <c r="X305" s="772"/>
      <c r="Y305" s="783">
        <v>214.945828498075</v>
      </c>
      <c r="Z305" s="772"/>
    </row>
    <row r="306" spans="1:26" s="753" customFormat="1">
      <c r="A306" s="756" t="s">
        <v>4579</v>
      </c>
      <c r="B306" s="757"/>
      <c r="C306" s="758"/>
      <c r="D306" s="773" t="s">
        <v>9705</v>
      </c>
      <c r="E306" s="782"/>
      <c r="F306" s="774" t="s">
        <v>5876</v>
      </c>
      <c r="G306" s="981" t="s">
        <v>11154</v>
      </c>
      <c r="H306" s="772" t="str">
        <f>VLOOKUP($D306,transmitter_from_BP!$B:$F,2,0)</f>
        <v>HOT AIR OUTLET EZ2125B</v>
      </c>
      <c r="I306" s="981" t="s">
        <v>11154</v>
      </c>
      <c r="J306" s="772" t="str">
        <f>VLOOKUP($D306,transmitter_from_BP!$B:$F,2,0)</f>
        <v>HOT AIR OUTLET EZ2125B</v>
      </c>
      <c r="K306" s="981" t="s">
        <v>11676</v>
      </c>
      <c r="L306" s="1064" t="str">
        <f>VLOOKUP($D306,transmitter_from_BP!$B:$F,5,0)</f>
        <v>DEGC</v>
      </c>
      <c r="M306" s="783">
        <v>6</v>
      </c>
      <c r="N306" s="772">
        <v>6</v>
      </c>
      <c r="O306" s="783">
        <v>1</v>
      </c>
      <c r="P306" s="772">
        <v>1</v>
      </c>
      <c r="Q306" s="783">
        <v>1</v>
      </c>
      <c r="R306" s="772">
        <v>1</v>
      </c>
      <c r="S306" s="783">
        <v>-20</v>
      </c>
      <c r="T306" s="991">
        <f>VLOOKUP($D306,transmitter_from_BP!$B:$F,4,0)</f>
        <v>-20</v>
      </c>
      <c r="U306" s="783">
        <v>500</v>
      </c>
      <c r="V306" s="991">
        <f>VLOOKUP($D306,transmitter_from_BP!$B:$F,3,0)</f>
        <v>500</v>
      </c>
      <c r="W306" s="783">
        <v>0</v>
      </c>
      <c r="X306" s="772"/>
      <c r="Y306" s="783">
        <v>231.458771226625</v>
      </c>
      <c r="Z306" s="772"/>
    </row>
    <row r="307" spans="1:26" s="753" customFormat="1">
      <c r="A307" s="756" t="s">
        <v>4579</v>
      </c>
      <c r="B307" s="757"/>
      <c r="C307" s="758"/>
      <c r="D307" s="773" t="s">
        <v>9706</v>
      </c>
      <c r="E307" s="782"/>
      <c r="F307" s="774" t="s">
        <v>8652</v>
      </c>
      <c r="G307" s="981" t="s">
        <v>11255</v>
      </c>
      <c r="H307" s="772" t="str">
        <f>VLOOKUP($D307,transmitter_from_BP!$B:$F,2,0)</f>
        <v>CRUDE EX EZ2111 A</v>
      </c>
      <c r="I307" s="981" t="s">
        <v>11255</v>
      </c>
      <c r="J307" s="772" t="str">
        <f>VLOOKUP($D307,transmitter_from_BP!$B:$F,2,0)</f>
        <v>CRUDE EX EZ2111 A</v>
      </c>
      <c r="K307" s="981" t="s">
        <v>11676</v>
      </c>
      <c r="L307" s="1064" t="str">
        <f>VLOOKUP($D307,transmitter_from_BP!$B:$F,5,0)</f>
        <v>DEGC</v>
      </c>
      <c r="M307" s="783">
        <v>6</v>
      </c>
      <c r="N307" s="772">
        <v>6</v>
      </c>
      <c r="O307" s="783">
        <v>1</v>
      </c>
      <c r="P307" s="772">
        <v>1</v>
      </c>
      <c r="Q307" s="783">
        <v>1</v>
      </c>
      <c r="R307" s="772">
        <v>1</v>
      </c>
      <c r="S307" s="783">
        <v>-25</v>
      </c>
      <c r="T307" s="991">
        <f>VLOOKUP($D307,transmitter_from_BP!$B:$F,4,0)</f>
        <v>-25</v>
      </c>
      <c r="U307" s="783">
        <v>1116</v>
      </c>
      <c r="V307" s="991">
        <f>VLOOKUP($D307,transmitter_from_BP!$B:$F,3,0)</f>
        <v>1116</v>
      </c>
      <c r="W307" s="783">
        <v>0</v>
      </c>
      <c r="X307" s="772"/>
      <c r="Y307" s="783">
        <v>253.50523420049601</v>
      </c>
      <c r="Z307" s="772"/>
    </row>
    <row r="308" spans="1:26" s="753" customFormat="1">
      <c r="A308" s="756" t="s">
        <v>4579</v>
      </c>
      <c r="B308" s="757"/>
      <c r="C308" s="758"/>
      <c r="D308" s="773" t="s">
        <v>9707</v>
      </c>
      <c r="E308" s="782"/>
      <c r="F308" s="774" t="s">
        <v>5882</v>
      </c>
      <c r="G308" s="981" t="s">
        <v>11155</v>
      </c>
      <c r="H308" s="772" t="str">
        <f>VLOOKUP($D308,transmitter_from_BP!$B:$F,2,0)</f>
        <v>FLUEGAS INLET EZ2125B</v>
      </c>
      <c r="I308" s="981" t="s">
        <v>11155</v>
      </c>
      <c r="J308" s="772" t="str">
        <f>VLOOKUP($D308,transmitter_from_BP!$B:$F,2,0)</f>
        <v>FLUEGAS INLET EZ2125B</v>
      </c>
      <c r="K308" s="981" t="s">
        <v>11676</v>
      </c>
      <c r="L308" s="1064" t="str">
        <f>VLOOKUP($D308,transmitter_from_BP!$B:$F,5,0)</f>
        <v>DEGC</v>
      </c>
      <c r="M308" s="783">
        <v>6</v>
      </c>
      <c r="N308" s="772">
        <v>6</v>
      </c>
      <c r="O308" s="783">
        <v>1</v>
      </c>
      <c r="P308" s="772">
        <v>1</v>
      </c>
      <c r="Q308" s="783">
        <v>1</v>
      </c>
      <c r="R308" s="772">
        <v>1</v>
      </c>
      <c r="S308" s="783">
        <v>-20</v>
      </c>
      <c r="T308" s="991">
        <f>VLOOKUP($D308,transmitter_from_BP!$B:$F,4,0)</f>
        <v>-20</v>
      </c>
      <c r="U308" s="783">
        <v>600</v>
      </c>
      <c r="V308" s="991">
        <f>VLOOKUP($D308,transmitter_from_BP!$B:$F,3,0)</f>
        <v>600</v>
      </c>
      <c r="W308" s="783">
        <v>0</v>
      </c>
      <c r="X308" s="772"/>
      <c r="Y308" s="783">
        <v>439.80536192594502</v>
      </c>
      <c r="Z308" s="772"/>
    </row>
    <row r="309" spans="1:26" s="753" customFormat="1">
      <c r="A309" s="756" t="s">
        <v>4579</v>
      </c>
      <c r="B309" s="757"/>
      <c r="C309" s="758"/>
      <c r="D309" s="773" t="s">
        <v>9708</v>
      </c>
      <c r="E309" s="782"/>
      <c r="F309" s="774" t="s">
        <v>5884</v>
      </c>
      <c r="G309" s="981" t="s">
        <v>11156</v>
      </c>
      <c r="H309" s="772" t="str">
        <f>VLOOKUP($D309,transmitter_from_BP!$B:$F,2,0)</f>
        <v>FLUEGAS OUTLET EZ2125B</v>
      </c>
      <c r="I309" s="981" t="s">
        <v>11156</v>
      </c>
      <c r="J309" s="772" t="str">
        <f>VLOOKUP($D309,transmitter_from_BP!$B:$F,2,0)</f>
        <v>FLUEGAS OUTLET EZ2125B</v>
      </c>
      <c r="K309" s="981" t="s">
        <v>11676</v>
      </c>
      <c r="L309" s="1064" t="str">
        <f>VLOOKUP($D309,transmitter_from_BP!$B:$F,5,0)</f>
        <v>DEGC</v>
      </c>
      <c r="M309" s="783">
        <v>6</v>
      </c>
      <c r="N309" s="772">
        <v>6</v>
      </c>
      <c r="O309" s="783">
        <v>1</v>
      </c>
      <c r="P309" s="772">
        <v>1</v>
      </c>
      <c r="Q309" s="783">
        <v>1</v>
      </c>
      <c r="R309" s="772">
        <v>1</v>
      </c>
      <c r="S309" s="783">
        <v>-20</v>
      </c>
      <c r="T309" s="991">
        <f>VLOOKUP($D309,transmitter_from_BP!$B:$F,4,0)</f>
        <v>-20</v>
      </c>
      <c r="U309" s="783">
        <v>300</v>
      </c>
      <c r="V309" s="991">
        <f>VLOOKUP($D309,transmitter_from_BP!$B:$F,3,0)</f>
        <v>300</v>
      </c>
      <c r="W309" s="783">
        <v>0</v>
      </c>
      <c r="X309" s="772"/>
      <c r="Y309" s="783">
        <v>214.94582856742099</v>
      </c>
      <c r="Z309" s="772"/>
    </row>
    <row r="310" spans="1:26" s="753" customFormat="1">
      <c r="A310" s="756" t="s">
        <v>4579</v>
      </c>
      <c r="B310" s="757"/>
      <c r="C310" s="758"/>
      <c r="D310" s="773" t="s">
        <v>9709</v>
      </c>
      <c r="E310" s="782"/>
      <c r="F310" s="774" t="s">
        <v>5840</v>
      </c>
      <c r="G310" s="981" t="s">
        <v>11256</v>
      </c>
      <c r="H310" s="772" t="str">
        <f>VLOOKUP($D310,transmitter_from_BP!$B:$F,2,0)</f>
        <v>SKIN TEMP. PASS1 HZ2101</v>
      </c>
      <c r="I310" s="981" t="s">
        <v>11256</v>
      </c>
      <c r="J310" s="772" t="str">
        <f>VLOOKUP($D310,transmitter_from_BP!$B:$F,2,0)</f>
        <v>SKIN TEMP. PASS1 HZ2101</v>
      </c>
      <c r="K310" s="981" t="s">
        <v>11676</v>
      </c>
      <c r="L310" s="1064" t="str">
        <f>VLOOKUP($D310,transmitter_from_BP!$B:$F,5,0)</f>
        <v>DEGC</v>
      </c>
      <c r="M310" s="783">
        <v>6</v>
      </c>
      <c r="N310" s="772">
        <v>6</v>
      </c>
      <c r="O310" s="783">
        <v>1</v>
      </c>
      <c r="P310" s="772">
        <v>1</v>
      </c>
      <c r="Q310" s="783">
        <v>1</v>
      </c>
      <c r="R310" s="772">
        <v>1</v>
      </c>
      <c r="S310" s="783">
        <v>0</v>
      </c>
      <c r="T310" s="991">
        <f>VLOOKUP($D310,transmitter_from_BP!$B:$F,4,0)</f>
        <v>0</v>
      </c>
      <c r="U310" s="783">
        <v>750</v>
      </c>
      <c r="V310" s="991">
        <f>VLOOKUP($D310,transmitter_from_BP!$B:$F,3,0)</f>
        <v>750</v>
      </c>
      <c r="W310" s="783">
        <v>0</v>
      </c>
      <c r="X310" s="772"/>
      <c r="Y310" s="783">
        <v>419.02579141437798</v>
      </c>
      <c r="Z310" s="772"/>
    </row>
    <row r="311" spans="1:26" s="753" customFormat="1">
      <c r="A311" s="756" t="s">
        <v>4579</v>
      </c>
      <c r="B311" s="757"/>
      <c r="C311" s="758"/>
      <c r="D311" s="773" t="s">
        <v>9710</v>
      </c>
      <c r="E311" s="782"/>
      <c r="F311" s="774" t="s">
        <v>5841</v>
      </c>
      <c r="G311" s="981" t="s">
        <v>11256</v>
      </c>
      <c r="H311" s="772" t="str">
        <f>VLOOKUP($D311,transmitter_from_BP!$B:$F,2,0)</f>
        <v>SKIN TEMP. PASS1 HZ2101</v>
      </c>
      <c r="I311" s="981" t="s">
        <v>11256</v>
      </c>
      <c r="J311" s="772" t="str">
        <f>VLOOKUP($D311,transmitter_from_BP!$B:$F,2,0)</f>
        <v>SKIN TEMP. PASS1 HZ2101</v>
      </c>
      <c r="K311" s="981" t="s">
        <v>11676</v>
      </c>
      <c r="L311" s="1064" t="str">
        <f>VLOOKUP($D311,transmitter_from_BP!$B:$F,5,0)</f>
        <v>DEGC</v>
      </c>
      <c r="M311" s="783">
        <v>6</v>
      </c>
      <c r="N311" s="772">
        <v>6</v>
      </c>
      <c r="O311" s="783">
        <v>1</v>
      </c>
      <c r="P311" s="772">
        <v>1</v>
      </c>
      <c r="Q311" s="783">
        <v>1</v>
      </c>
      <c r="R311" s="772">
        <v>1</v>
      </c>
      <c r="S311" s="783">
        <v>0</v>
      </c>
      <c r="T311" s="991">
        <f>VLOOKUP($D311,transmitter_from_BP!$B:$F,4,0)</f>
        <v>0</v>
      </c>
      <c r="U311" s="783">
        <v>750</v>
      </c>
      <c r="V311" s="991">
        <f>VLOOKUP($D311,transmitter_from_BP!$B:$F,3,0)</f>
        <v>750</v>
      </c>
      <c r="W311" s="783">
        <v>0</v>
      </c>
      <c r="X311" s="772"/>
      <c r="Y311" s="783">
        <v>424.72482630907302</v>
      </c>
      <c r="Z311" s="772"/>
    </row>
    <row r="312" spans="1:26" s="753" customFormat="1">
      <c r="A312" s="756" t="s">
        <v>4579</v>
      </c>
      <c r="B312" s="757"/>
      <c r="C312" s="758"/>
      <c r="D312" s="773" t="s">
        <v>9711</v>
      </c>
      <c r="E312" s="782"/>
      <c r="F312" s="774" t="s">
        <v>8653</v>
      </c>
      <c r="G312" s="981" t="s">
        <v>11257</v>
      </c>
      <c r="H312" s="772" t="str">
        <f>VLOOKUP($D312,transmitter_from_BP!$B:$F,2,0)</f>
        <v>CRUDE EX EZ2111 B</v>
      </c>
      <c r="I312" s="981" t="s">
        <v>11257</v>
      </c>
      <c r="J312" s="772" t="str">
        <f>VLOOKUP($D312,transmitter_from_BP!$B:$F,2,0)</f>
        <v>CRUDE EX EZ2111 B</v>
      </c>
      <c r="K312" s="981" t="s">
        <v>11676</v>
      </c>
      <c r="L312" s="1064" t="str">
        <f>VLOOKUP($D312,transmitter_from_BP!$B:$F,5,0)</f>
        <v>DEGC</v>
      </c>
      <c r="M312" s="783">
        <v>6</v>
      </c>
      <c r="N312" s="772">
        <v>6</v>
      </c>
      <c r="O312" s="783">
        <v>1</v>
      </c>
      <c r="P312" s="772">
        <v>1</v>
      </c>
      <c r="Q312" s="783">
        <v>1</v>
      </c>
      <c r="R312" s="772">
        <v>1</v>
      </c>
      <c r="S312" s="783">
        <v>-25</v>
      </c>
      <c r="T312" s="991">
        <f>VLOOKUP($D312,transmitter_from_BP!$B:$F,4,0)</f>
        <v>-25</v>
      </c>
      <c r="U312" s="783">
        <v>1116</v>
      </c>
      <c r="V312" s="991">
        <f>VLOOKUP($D312,transmitter_from_BP!$B:$F,3,0)</f>
        <v>1116</v>
      </c>
      <c r="W312" s="783">
        <v>0</v>
      </c>
      <c r="X312" s="772"/>
      <c r="Y312" s="783">
        <v>255.313195651256</v>
      </c>
      <c r="Z312" s="772"/>
    </row>
    <row r="313" spans="1:26" s="753" customFormat="1">
      <c r="A313" s="756" t="s">
        <v>4579</v>
      </c>
      <c r="B313" s="757"/>
      <c r="C313" s="758"/>
      <c r="D313" s="773" t="s">
        <v>9712</v>
      </c>
      <c r="E313" s="782"/>
      <c r="F313" s="774" t="s">
        <v>5844</v>
      </c>
      <c r="G313" s="981" t="s">
        <v>11258</v>
      </c>
      <c r="H313" s="772" t="str">
        <f>VLOOKUP($D313,transmitter_from_BP!$B:$F,2,0)</f>
        <v>SKIN TEMP. PASS2 HZ2101</v>
      </c>
      <c r="I313" s="981" t="s">
        <v>11258</v>
      </c>
      <c r="J313" s="772" t="str">
        <f>VLOOKUP($D313,transmitter_from_BP!$B:$F,2,0)</f>
        <v>SKIN TEMP. PASS2 HZ2101</v>
      </c>
      <c r="K313" s="981" t="s">
        <v>11676</v>
      </c>
      <c r="L313" s="1064" t="str">
        <f>VLOOKUP($D313,transmitter_from_BP!$B:$F,5,0)</f>
        <v>DEGC</v>
      </c>
      <c r="M313" s="783">
        <v>6</v>
      </c>
      <c r="N313" s="772">
        <v>6</v>
      </c>
      <c r="O313" s="783">
        <v>1</v>
      </c>
      <c r="P313" s="772">
        <v>1</v>
      </c>
      <c r="Q313" s="783">
        <v>1</v>
      </c>
      <c r="R313" s="772">
        <v>1</v>
      </c>
      <c r="S313" s="783">
        <v>0</v>
      </c>
      <c r="T313" s="991">
        <f>VLOOKUP($D313,transmitter_from_BP!$B:$F,4,0)</f>
        <v>0</v>
      </c>
      <c r="U313" s="783">
        <v>750</v>
      </c>
      <c r="V313" s="991">
        <f>VLOOKUP($D313,transmitter_from_BP!$B:$F,3,0)</f>
        <v>750</v>
      </c>
      <c r="W313" s="783">
        <v>0</v>
      </c>
      <c r="X313" s="772"/>
      <c r="Y313" s="783">
        <v>424.84299972005903</v>
      </c>
      <c r="Z313" s="772"/>
    </row>
    <row r="314" spans="1:26" s="753" customFormat="1">
      <c r="A314" s="756" t="s">
        <v>4579</v>
      </c>
      <c r="B314" s="757"/>
      <c r="C314" s="758"/>
      <c r="D314" s="773" t="s">
        <v>9713</v>
      </c>
      <c r="E314" s="782"/>
      <c r="F314" s="774" t="s">
        <v>5845</v>
      </c>
      <c r="G314" s="981" t="s">
        <v>11258</v>
      </c>
      <c r="H314" s="772" t="str">
        <f>VLOOKUP($D314,transmitter_from_BP!$B:$F,2,0)</f>
        <v>SKIN TEMP. PASS2 HZ2101</v>
      </c>
      <c r="I314" s="981" t="s">
        <v>11258</v>
      </c>
      <c r="J314" s="772" t="str">
        <f>VLOOKUP($D314,transmitter_from_BP!$B:$F,2,0)</f>
        <v>SKIN TEMP. PASS2 HZ2101</v>
      </c>
      <c r="K314" s="981" t="s">
        <v>11676</v>
      </c>
      <c r="L314" s="1064" t="str">
        <f>VLOOKUP($D314,transmitter_from_BP!$B:$F,5,0)</f>
        <v>DEGC</v>
      </c>
      <c r="M314" s="783">
        <v>6</v>
      </c>
      <c r="N314" s="772">
        <v>6</v>
      </c>
      <c r="O314" s="783">
        <v>1</v>
      </c>
      <c r="P314" s="772">
        <v>1</v>
      </c>
      <c r="Q314" s="783">
        <v>1</v>
      </c>
      <c r="R314" s="772">
        <v>1</v>
      </c>
      <c r="S314" s="783">
        <v>0</v>
      </c>
      <c r="T314" s="991">
        <f>VLOOKUP($D314,transmitter_from_BP!$B:$F,4,0)</f>
        <v>0</v>
      </c>
      <c r="U314" s="783">
        <v>750</v>
      </c>
      <c r="V314" s="991">
        <f>VLOOKUP($D314,transmitter_from_BP!$B:$F,3,0)</f>
        <v>750</v>
      </c>
      <c r="W314" s="783">
        <v>0</v>
      </c>
      <c r="X314" s="772"/>
      <c r="Y314" s="783">
        <v>415.96995946936499</v>
      </c>
      <c r="Z314" s="772"/>
    </row>
    <row r="315" spans="1:26" s="753" customFormat="1">
      <c r="A315" s="756" t="s">
        <v>4579</v>
      </c>
      <c r="B315" s="757"/>
      <c r="C315" s="758"/>
      <c r="D315" s="773" t="s">
        <v>9714</v>
      </c>
      <c r="E315" s="782"/>
      <c r="F315" s="774" t="s">
        <v>5847</v>
      </c>
      <c r="G315" s="981" t="s">
        <v>11259</v>
      </c>
      <c r="H315" s="772" t="str">
        <f>VLOOKUP($D315,transmitter_from_BP!$B:$F,2,0)</f>
        <v>SKIN TEMP. PASS4 HZ2101</v>
      </c>
      <c r="I315" s="981" t="s">
        <v>11259</v>
      </c>
      <c r="J315" s="772" t="str">
        <f>VLOOKUP($D315,transmitter_from_BP!$B:$F,2,0)</f>
        <v>SKIN TEMP. PASS4 HZ2101</v>
      </c>
      <c r="K315" s="981" t="s">
        <v>11676</v>
      </c>
      <c r="L315" s="1064" t="str">
        <f>VLOOKUP($D315,transmitter_from_BP!$B:$F,5,0)</f>
        <v>DEGC</v>
      </c>
      <c r="M315" s="783">
        <v>6</v>
      </c>
      <c r="N315" s="772">
        <v>6</v>
      </c>
      <c r="O315" s="783">
        <v>1</v>
      </c>
      <c r="P315" s="772">
        <v>1</v>
      </c>
      <c r="Q315" s="783">
        <v>1</v>
      </c>
      <c r="R315" s="772">
        <v>1</v>
      </c>
      <c r="S315" s="783">
        <v>0</v>
      </c>
      <c r="T315" s="991">
        <f>VLOOKUP($D315,transmitter_from_BP!$B:$F,4,0)</f>
        <v>0</v>
      </c>
      <c r="U315" s="783">
        <v>750</v>
      </c>
      <c r="V315" s="991">
        <f>VLOOKUP($D315,transmitter_from_BP!$B:$F,3,0)</f>
        <v>750</v>
      </c>
      <c r="W315" s="783">
        <v>0</v>
      </c>
      <c r="X315" s="772"/>
      <c r="Y315" s="783">
        <v>423.452415556527</v>
      </c>
      <c r="Z315" s="772"/>
    </row>
    <row r="316" spans="1:26" s="753" customFormat="1">
      <c r="A316" s="756" t="s">
        <v>4579</v>
      </c>
      <c r="B316" s="757"/>
      <c r="C316" s="758"/>
      <c r="D316" s="773" t="s">
        <v>9715</v>
      </c>
      <c r="E316" s="782"/>
      <c r="F316" s="774" t="s">
        <v>5848</v>
      </c>
      <c r="G316" s="981" t="s">
        <v>11259</v>
      </c>
      <c r="H316" s="772" t="str">
        <f>VLOOKUP($D316,transmitter_from_BP!$B:$F,2,0)</f>
        <v>SKIN TEMP. PASS4 HZ2101</v>
      </c>
      <c r="I316" s="981" t="s">
        <v>11259</v>
      </c>
      <c r="J316" s="772" t="str">
        <f>VLOOKUP($D316,transmitter_from_BP!$B:$F,2,0)</f>
        <v>SKIN TEMP. PASS4 HZ2101</v>
      </c>
      <c r="K316" s="981" t="s">
        <v>11676</v>
      </c>
      <c r="L316" s="1064" t="str">
        <f>VLOOKUP($D316,transmitter_from_BP!$B:$F,5,0)</f>
        <v>DEGC</v>
      </c>
      <c r="M316" s="783">
        <v>6</v>
      </c>
      <c r="N316" s="772">
        <v>6</v>
      </c>
      <c r="O316" s="783">
        <v>1</v>
      </c>
      <c r="P316" s="772">
        <v>1</v>
      </c>
      <c r="Q316" s="783">
        <v>1</v>
      </c>
      <c r="R316" s="772">
        <v>1</v>
      </c>
      <c r="S316" s="783">
        <v>0</v>
      </c>
      <c r="T316" s="991">
        <f>VLOOKUP($D316,transmitter_from_BP!$B:$F,4,0)</f>
        <v>0</v>
      </c>
      <c r="U316" s="783">
        <v>750</v>
      </c>
      <c r="V316" s="991">
        <f>VLOOKUP($D316,transmitter_from_BP!$B:$F,3,0)</f>
        <v>750</v>
      </c>
      <c r="W316" s="783">
        <v>0</v>
      </c>
      <c r="X316" s="772"/>
      <c r="Y316" s="783">
        <v>418.72034264981602</v>
      </c>
      <c r="Z316" s="772"/>
    </row>
    <row r="317" spans="1:26" s="753" customFormat="1">
      <c r="A317" s="756" t="s">
        <v>4579</v>
      </c>
      <c r="B317" s="757"/>
      <c r="C317" s="758"/>
      <c r="D317" s="773" t="s">
        <v>9716</v>
      </c>
      <c r="E317" s="782"/>
      <c r="F317" s="774" t="s">
        <v>5850</v>
      </c>
      <c r="G317" s="981" t="s">
        <v>11260</v>
      </c>
      <c r="H317" s="772" t="str">
        <f>VLOOKUP($D317,transmitter_from_BP!$B:$F,2,0)</f>
        <v>SKIN TEMP. PASS5 HZ2101</v>
      </c>
      <c r="I317" s="981" t="s">
        <v>11260</v>
      </c>
      <c r="J317" s="772" t="str">
        <f>VLOOKUP($D317,transmitter_from_BP!$B:$F,2,0)</f>
        <v>SKIN TEMP. PASS5 HZ2101</v>
      </c>
      <c r="K317" s="981" t="s">
        <v>11676</v>
      </c>
      <c r="L317" s="1064" t="str">
        <f>VLOOKUP($D317,transmitter_from_BP!$B:$F,5,0)</f>
        <v>DEGC</v>
      </c>
      <c r="M317" s="783">
        <v>6</v>
      </c>
      <c r="N317" s="772">
        <v>6</v>
      </c>
      <c r="O317" s="783">
        <v>1</v>
      </c>
      <c r="P317" s="772">
        <v>1</v>
      </c>
      <c r="Q317" s="783">
        <v>1</v>
      </c>
      <c r="R317" s="772">
        <v>1</v>
      </c>
      <c r="S317" s="783">
        <v>0</v>
      </c>
      <c r="T317" s="991">
        <f>VLOOKUP($D317,transmitter_from_BP!$B:$F,4,0)</f>
        <v>0</v>
      </c>
      <c r="U317" s="783">
        <v>750</v>
      </c>
      <c r="V317" s="991">
        <f>VLOOKUP($D317,transmitter_from_BP!$B:$F,3,0)</f>
        <v>750</v>
      </c>
      <c r="W317" s="783">
        <v>0</v>
      </c>
      <c r="X317" s="772"/>
      <c r="Y317" s="783">
        <v>429.76181104269398</v>
      </c>
      <c r="Z317" s="772"/>
    </row>
    <row r="318" spans="1:26" s="753" customFormat="1">
      <c r="A318" s="756" t="s">
        <v>4579</v>
      </c>
      <c r="B318" s="757"/>
      <c r="C318" s="758"/>
      <c r="D318" s="773" t="s">
        <v>9717</v>
      </c>
      <c r="E318" s="782"/>
      <c r="F318" s="774" t="s">
        <v>5851</v>
      </c>
      <c r="G318" s="981" t="s">
        <v>11260</v>
      </c>
      <c r="H318" s="772" t="str">
        <f>VLOOKUP($D318,transmitter_from_BP!$B:$F,2,0)</f>
        <v>SKIN TEMP. PASS5 HZ2101</v>
      </c>
      <c r="I318" s="981" t="s">
        <v>11260</v>
      </c>
      <c r="J318" s="772" t="str">
        <f>VLOOKUP($D318,transmitter_from_BP!$B:$F,2,0)</f>
        <v>SKIN TEMP. PASS5 HZ2101</v>
      </c>
      <c r="K318" s="981" t="s">
        <v>11676</v>
      </c>
      <c r="L318" s="1064" t="str">
        <f>VLOOKUP($D318,transmitter_from_BP!$B:$F,5,0)</f>
        <v>DEGC</v>
      </c>
      <c r="M318" s="783">
        <v>6</v>
      </c>
      <c r="N318" s="772">
        <v>6</v>
      </c>
      <c r="O318" s="783">
        <v>1</v>
      </c>
      <c r="P318" s="772">
        <v>1</v>
      </c>
      <c r="Q318" s="783">
        <v>1</v>
      </c>
      <c r="R318" s="772">
        <v>1</v>
      </c>
      <c r="S318" s="783">
        <v>0</v>
      </c>
      <c r="T318" s="991">
        <f>VLOOKUP($D318,transmitter_from_BP!$B:$F,4,0)</f>
        <v>0</v>
      </c>
      <c r="U318" s="783">
        <v>750</v>
      </c>
      <c r="V318" s="991">
        <f>VLOOKUP($D318,transmitter_from_BP!$B:$F,3,0)</f>
        <v>750</v>
      </c>
      <c r="W318" s="783">
        <v>0</v>
      </c>
      <c r="X318" s="772"/>
      <c r="Y318" s="783">
        <v>425.42407711971902</v>
      </c>
      <c r="Z318" s="772"/>
    </row>
    <row r="319" spans="1:26" s="753" customFormat="1">
      <c r="A319" s="756" t="s">
        <v>4579</v>
      </c>
      <c r="B319" s="757"/>
      <c r="C319" s="758"/>
      <c r="D319" s="773" t="s">
        <v>9718</v>
      </c>
      <c r="E319" s="782"/>
      <c r="F319" s="774" t="s">
        <v>5853</v>
      </c>
      <c r="G319" s="981" t="s">
        <v>11261</v>
      </c>
      <c r="H319" s="772" t="str">
        <f>VLOOKUP($D319,transmitter_from_BP!$B:$F,2,0)</f>
        <v>SKIN TEMP. PASS6 HZ2101</v>
      </c>
      <c r="I319" s="981" t="s">
        <v>11261</v>
      </c>
      <c r="J319" s="772" t="str">
        <f>VLOOKUP($D319,transmitter_from_BP!$B:$F,2,0)</f>
        <v>SKIN TEMP. PASS6 HZ2101</v>
      </c>
      <c r="K319" s="981" t="s">
        <v>11676</v>
      </c>
      <c r="L319" s="1064" t="str">
        <f>VLOOKUP($D319,transmitter_from_BP!$B:$F,5,0)</f>
        <v>DEGC</v>
      </c>
      <c r="M319" s="783">
        <v>6</v>
      </c>
      <c r="N319" s="772">
        <v>6</v>
      </c>
      <c r="O319" s="783">
        <v>1</v>
      </c>
      <c r="P319" s="772">
        <v>1</v>
      </c>
      <c r="Q319" s="783">
        <v>1</v>
      </c>
      <c r="R319" s="772">
        <v>1</v>
      </c>
      <c r="S319" s="783">
        <v>0</v>
      </c>
      <c r="T319" s="991">
        <f>VLOOKUP($D319,transmitter_from_BP!$B:$F,4,0)</f>
        <v>0</v>
      </c>
      <c r="U319" s="783">
        <v>750</v>
      </c>
      <c r="V319" s="991">
        <f>VLOOKUP($D319,transmitter_from_BP!$B:$F,3,0)</f>
        <v>750</v>
      </c>
      <c r="W319" s="783">
        <v>0</v>
      </c>
      <c r="X319" s="772"/>
      <c r="Y319" s="783">
        <v>427.56310050998002</v>
      </c>
      <c r="Z319" s="772"/>
    </row>
    <row r="320" spans="1:26" s="753" customFormat="1">
      <c r="A320" s="756" t="s">
        <v>4579</v>
      </c>
      <c r="B320" s="757"/>
      <c r="C320" s="758"/>
      <c r="D320" s="773" t="s">
        <v>9719</v>
      </c>
      <c r="E320" s="782"/>
      <c r="F320" s="774" t="s">
        <v>5854</v>
      </c>
      <c r="G320" s="981" t="s">
        <v>11261</v>
      </c>
      <c r="H320" s="772" t="str">
        <f>VLOOKUP($D320,transmitter_from_BP!$B:$F,2,0)</f>
        <v>SKIN TEMP. PASS6 HZ2101</v>
      </c>
      <c r="I320" s="981" t="s">
        <v>11261</v>
      </c>
      <c r="J320" s="772" t="str">
        <f>VLOOKUP($D320,transmitter_from_BP!$B:$F,2,0)</f>
        <v>SKIN TEMP. PASS6 HZ2101</v>
      </c>
      <c r="K320" s="981" t="s">
        <v>11676</v>
      </c>
      <c r="L320" s="1064" t="str">
        <f>VLOOKUP($D320,transmitter_from_BP!$B:$F,5,0)</f>
        <v>DEGC</v>
      </c>
      <c r="M320" s="783">
        <v>6</v>
      </c>
      <c r="N320" s="772">
        <v>6</v>
      </c>
      <c r="O320" s="783">
        <v>1</v>
      </c>
      <c r="P320" s="772">
        <v>1</v>
      </c>
      <c r="Q320" s="783">
        <v>1</v>
      </c>
      <c r="R320" s="772">
        <v>1</v>
      </c>
      <c r="S320" s="783">
        <v>0</v>
      </c>
      <c r="T320" s="991">
        <f>VLOOKUP($D320,transmitter_from_BP!$B:$F,4,0)</f>
        <v>0</v>
      </c>
      <c r="U320" s="783">
        <v>750</v>
      </c>
      <c r="V320" s="991">
        <f>VLOOKUP($D320,transmitter_from_BP!$B:$F,3,0)</f>
        <v>750</v>
      </c>
      <c r="W320" s="783">
        <v>0</v>
      </c>
      <c r="X320" s="772"/>
      <c r="Y320" s="783">
        <v>422.04491403422799</v>
      </c>
      <c r="Z320" s="772"/>
    </row>
    <row r="321" spans="1:26" s="753" customFormat="1">
      <c r="A321" s="756" t="s">
        <v>4579</v>
      </c>
      <c r="B321" s="757"/>
      <c r="C321" s="758"/>
      <c r="D321" s="773" t="s">
        <v>9720</v>
      </c>
      <c r="E321" s="782"/>
      <c r="F321" s="774" t="s">
        <v>5857</v>
      </c>
      <c r="G321" s="981" t="s">
        <v>11262</v>
      </c>
      <c r="H321" s="772" t="str">
        <f>VLOOKUP($D321,transmitter_from_BP!$B:$F,2,0)</f>
        <v>SKIN TEMP. PASS7 HZ2101</v>
      </c>
      <c r="I321" s="981" t="s">
        <v>11262</v>
      </c>
      <c r="J321" s="772" t="str">
        <f>VLOOKUP($D321,transmitter_from_BP!$B:$F,2,0)</f>
        <v>SKIN TEMP. PASS7 HZ2101</v>
      </c>
      <c r="K321" s="981" t="s">
        <v>11676</v>
      </c>
      <c r="L321" s="1064" t="str">
        <f>VLOOKUP($D321,transmitter_from_BP!$B:$F,5,0)</f>
        <v>DEGC</v>
      </c>
      <c r="M321" s="783">
        <v>6</v>
      </c>
      <c r="N321" s="772">
        <v>6</v>
      </c>
      <c r="O321" s="783">
        <v>1</v>
      </c>
      <c r="P321" s="772">
        <v>1</v>
      </c>
      <c r="Q321" s="783">
        <v>1</v>
      </c>
      <c r="R321" s="772">
        <v>1</v>
      </c>
      <c r="S321" s="783">
        <v>0</v>
      </c>
      <c r="T321" s="991">
        <f>VLOOKUP($D321,transmitter_from_BP!$B:$F,4,0)</f>
        <v>0</v>
      </c>
      <c r="U321" s="783">
        <v>750</v>
      </c>
      <c r="V321" s="991">
        <f>VLOOKUP($D321,transmitter_from_BP!$B:$F,3,0)</f>
        <v>750</v>
      </c>
      <c r="W321" s="783">
        <v>0</v>
      </c>
      <c r="X321" s="772"/>
      <c r="Y321" s="783">
        <v>413.14667694399498</v>
      </c>
      <c r="Z321" s="772"/>
    </row>
    <row r="322" spans="1:26" s="753" customFormat="1">
      <c r="A322" s="756" t="s">
        <v>4579</v>
      </c>
      <c r="B322" s="757"/>
      <c r="C322" s="758"/>
      <c r="D322" s="773" t="s">
        <v>9721</v>
      </c>
      <c r="E322" s="782"/>
      <c r="F322" s="774" t="s">
        <v>5858</v>
      </c>
      <c r="G322" s="981" t="s">
        <v>11262</v>
      </c>
      <c r="H322" s="772" t="str">
        <f>VLOOKUP($D322,transmitter_from_BP!$B:$F,2,0)</f>
        <v>SKIN TEMP. PASS7 HZ2101</v>
      </c>
      <c r="I322" s="981" t="s">
        <v>11262</v>
      </c>
      <c r="J322" s="772" t="str">
        <f>VLOOKUP($D322,transmitter_from_BP!$B:$F,2,0)</f>
        <v>SKIN TEMP. PASS7 HZ2101</v>
      </c>
      <c r="K322" s="981" t="s">
        <v>11676</v>
      </c>
      <c r="L322" s="1064" t="str">
        <f>VLOOKUP($D322,transmitter_from_BP!$B:$F,5,0)</f>
        <v>DEGC</v>
      </c>
      <c r="M322" s="783">
        <v>6</v>
      </c>
      <c r="N322" s="772">
        <v>6</v>
      </c>
      <c r="O322" s="783">
        <v>1</v>
      </c>
      <c r="P322" s="772">
        <v>1</v>
      </c>
      <c r="Q322" s="783">
        <v>1</v>
      </c>
      <c r="R322" s="772">
        <v>1</v>
      </c>
      <c r="S322" s="783">
        <v>0</v>
      </c>
      <c r="T322" s="991">
        <f>VLOOKUP($D322,transmitter_from_BP!$B:$F,4,0)</f>
        <v>0</v>
      </c>
      <c r="U322" s="783">
        <v>750</v>
      </c>
      <c r="V322" s="991">
        <f>VLOOKUP($D322,transmitter_from_BP!$B:$F,3,0)</f>
        <v>750</v>
      </c>
      <c r="W322" s="783">
        <v>0</v>
      </c>
      <c r="X322" s="772"/>
      <c r="Y322" s="783">
        <v>436.53924025776701</v>
      </c>
      <c r="Z322" s="772"/>
    </row>
    <row r="323" spans="1:26" s="753" customFormat="1">
      <c r="A323" s="756" t="s">
        <v>4579</v>
      </c>
      <c r="B323" s="757"/>
      <c r="C323" s="758"/>
      <c r="D323" s="773" t="s">
        <v>1779</v>
      </c>
      <c r="E323" s="782"/>
      <c r="F323" s="774" t="s">
        <v>8654</v>
      </c>
      <c r="G323" s="981" t="s">
        <v>11263</v>
      </c>
      <c r="H323" s="772" t="str">
        <f>VLOOKUP($D323,transmitter_from_BP!$B:$F,2,0)</f>
        <v>HZ2101 PREHEAT TEMPERATUR</v>
      </c>
      <c r="I323" s="981" t="s">
        <v>11263</v>
      </c>
      <c r="J323" s="772" t="str">
        <f>VLOOKUP($D323,transmitter_from_BP!$B:$F,2,0)</f>
        <v>HZ2101 PREHEAT TEMPERATUR</v>
      </c>
      <c r="K323" s="981" t="s">
        <v>11676</v>
      </c>
      <c r="L323" s="1064" t="str">
        <f>VLOOKUP($D323,transmitter_from_BP!$B:$F,5,0)</f>
        <v>DEGC</v>
      </c>
      <c r="M323" s="783">
        <v>6</v>
      </c>
      <c r="N323" s="772">
        <v>6</v>
      </c>
      <c r="O323" s="783">
        <v>1</v>
      </c>
      <c r="P323" s="772">
        <v>1</v>
      </c>
      <c r="Q323" s="783">
        <v>1</v>
      </c>
      <c r="R323" s="772">
        <v>1</v>
      </c>
      <c r="S323" s="783">
        <v>-25</v>
      </c>
      <c r="T323" s="991">
        <f>VLOOKUP($D323,transmitter_from_BP!$B:$F,4,0)</f>
        <v>-25</v>
      </c>
      <c r="U323" s="783">
        <v>1116</v>
      </c>
      <c r="V323" s="991">
        <f>VLOOKUP($D323,transmitter_from_BP!$B:$F,3,0)</f>
        <v>1116</v>
      </c>
      <c r="W323" s="783">
        <v>0</v>
      </c>
      <c r="X323" s="772"/>
      <c r="Y323" s="783">
        <v>253.84322721911801</v>
      </c>
      <c r="Z323" s="772"/>
    </row>
    <row r="324" spans="1:26" s="753" customFormat="1">
      <c r="A324" s="756" t="s">
        <v>4579</v>
      </c>
      <c r="B324" s="757"/>
      <c r="C324" s="758"/>
      <c r="D324" s="773" t="s">
        <v>9722</v>
      </c>
      <c r="E324" s="782"/>
      <c r="F324" s="774" t="s">
        <v>5838</v>
      </c>
      <c r="G324" s="981" t="s">
        <v>11256</v>
      </c>
      <c r="H324" s="772" t="str">
        <f>VLOOKUP($D324,transmitter_from_BP!$B:$F,2,0)</f>
        <v>SKIN TEMP. PASS1 HZ2101</v>
      </c>
      <c r="I324" s="981" t="s">
        <v>11256</v>
      </c>
      <c r="J324" s="772" t="str">
        <f>VLOOKUP($D324,transmitter_from_BP!$B:$F,2,0)</f>
        <v>SKIN TEMP. PASS1 HZ2101</v>
      </c>
      <c r="K324" s="981" t="s">
        <v>11676</v>
      </c>
      <c r="L324" s="1064" t="str">
        <f>VLOOKUP($D324,transmitter_from_BP!$B:$F,5,0)</f>
        <v>DEGC</v>
      </c>
      <c r="M324" s="783">
        <v>6</v>
      </c>
      <c r="N324" s="772">
        <v>6</v>
      </c>
      <c r="O324" s="783">
        <v>1</v>
      </c>
      <c r="P324" s="772">
        <v>1</v>
      </c>
      <c r="Q324" s="783">
        <v>1</v>
      </c>
      <c r="R324" s="772">
        <v>1</v>
      </c>
      <c r="S324" s="783">
        <v>0</v>
      </c>
      <c r="T324" s="991">
        <f>VLOOKUP($D324,transmitter_from_BP!$B:$F,4,0)</f>
        <v>0</v>
      </c>
      <c r="U324" s="783">
        <v>750</v>
      </c>
      <c r="V324" s="991">
        <f>VLOOKUP($D324,transmitter_from_BP!$B:$F,3,0)</f>
        <v>750</v>
      </c>
      <c r="W324" s="783">
        <v>0</v>
      </c>
      <c r="X324" s="772"/>
      <c r="Y324" s="783">
        <v>419.02579141437798</v>
      </c>
      <c r="Z324" s="772"/>
    </row>
    <row r="325" spans="1:26" s="753" customFormat="1">
      <c r="A325" s="756" t="s">
        <v>4579</v>
      </c>
      <c r="B325" s="757"/>
      <c r="C325" s="758"/>
      <c r="D325" s="773" t="s">
        <v>9723</v>
      </c>
      <c r="E325" s="782"/>
      <c r="F325" s="774" t="s">
        <v>5839</v>
      </c>
      <c r="G325" s="981" t="s">
        <v>11256</v>
      </c>
      <c r="H325" s="772" t="str">
        <f>VLOOKUP($D325,transmitter_from_BP!$B:$F,2,0)</f>
        <v>SKIN TEMP. PASS1 HZ2101</v>
      </c>
      <c r="I325" s="981" t="s">
        <v>11256</v>
      </c>
      <c r="J325" s="772" t="str">
        <f>VLOOKUP($D325,transmitter_from_BP!$B:$F,2,0)</f>
        <v>SKIN TEMP. PASS1 HZ2101</v>
      </c>
      <c r="K325" s="981" t="s">
        <v>11676</v>
      </c>
      <c r="L325" s="1064" t="str">
        <f>VLOOKUP($D325,transmitter_from_BP!$B:$F,5,0)</f>
        <v>DEGC</v>
      </c>
      <c r="M325" s="783">
        <v>6</v>
      </c>
      <c r="N325" s="772">
        <v>6</v>
      </c>
      <c r="O325" s="783">
        <v>1</v>
      </c>
      <c r="P325" s="772">
        <v>1</v>
      </c>
      <c r="Q325" s="783">
        <v>1</v>
      </c>
      <c r="R325" s="772">
        <v>1</v>
      </c>
      <c r="S325" s="783">
        <v>0</v>
      </c>
      <c r="T325" s="991">
        <f>VLOOKUP($D325,transmitter_from_BP!$B:$F,4,0)</f>
        <v>0</v>
      </c>
      <c r="U325" s="783">
        <v>750</v>
      </c>
      <c r="V325" s="991">
        <f>VLOOKUP($D325,transmitter_from_BP!$B:$F,3,0)</f>
        <v>750</v>
      </c>
      <c r="W325" s="783">
        <v>0</v>
      </c>
      <c r="X325" s="772"/>
      <c r="Y325" s="783">
        <v>449.556335493105</v>
      </c>
      <c r="Z325" s="772"/>
    </row>
    <row r="326" spans="1:26" s="753" customFormat="1">
      <c r="A326" s="756" t="s">
        <v>4579</v>
      </c>
      <c r="B326" s="757"/>
      <c r="C326" s="758"/>
      <c r="D326" s="773" t="s">
        <v>9724</v>
      </c>
      <c r="E326" s="782"/>
      <c r="F326" s="774" t="s">
        <v>5842</v>
      </c>
      <c r="G326" s="981" t="s">
        <v>11258</v>
      </c>
      <c r="H326" s="772" t="str">
        <f>VLOOKUP($D326,transmitter_from_BP!$B:$F,2,0)</f>
        <v>SKIN TEMP. PASS2 HZ2101</v>
      </c>
      <c r="I326" s="981" t="s">
        <v>11258</v>
      </c>
      <c r="J326" s="772" t="str">
        <f>VLOOKUP($D326,transmitter_from_BP!$B:$F,2,0)</f>
        <v>SKIN TEMP. PASS2 HZ2101</v>
      </c>
      <c r="K326" s="981" t="s">
        <v>11676</v>
      </c>
      <c r="L326" s="1064" t="str">
        <f>VLOOKUP($D326,transmitter_from_BP!$B:$F,5,0)</f>
        <v>DEGC</v>
      </c>
      <c r="M326" s="783">
        <v>6</v>
      </c>
      <c r="N326" s="772">
        <v>6</v>
      </c>
      <c r="O326" s="783">
        <v>1</v>
      </c>
      <c r="P326" s="772">
        <v>1</v>
      </c>
      <c r="Q326" s="783">
        <v>1</v>
      </c>
      <c r="R326" s="772">
        <v>1</v>
      </c>
      <c r="S326" s="783">
        <v>0</v>
      </c>
      <c r="T326" s="991">
        <f>VLOOKUP($D326,transmitter_from_BP!$B:$F,4,0)</f>
        <v>0</v>
      </c>
      <c r="U326" s="783">
        <v>750</v>
      </c>
      <c r="V326" s="991">
        <f>VLOOKUP($D326,transmitter_from_BP!$B:$F,3,0)</f>
        <v>750</v>
      </c>
      <c r="W326" s="783">
        <v>0</v>
      </c>
      <c r="X326" s="772"/>
      <c r="Y326" s="783">
        <v>405.48363917308899</v>
      </c>
      <c r="Z326" s="772"/>
    </row>
    <row r="327" spans="1:26" s="753" customFormat="1">
      <c r="A327" s="756" t="s">
        <v>4579</v>
      </c>
      <c r="B327" s="757"/>
      <c r="C327" s="758"/>
      <c r="D327" s="773" t="s">
        <v>9725</v>
      </c>
      <c r="E327" s="782"/>
      <c r="F327" s="774" t="s">
        <v>5843</v>
      </c>
      <c r="G327" s="981" t="s">
        <v>11258</v>
      </c>
      <c r="H327" s="772" t="str">
        <f>VLOOKUP($D327,transmitter_from_BP!$B:$F,2,0)</f>
        <v>SKIN TEMP. PASS2 HZ2101</v>
      </c>
      <c r="I327" s="981" t="s">
        <v>11258</v>
      </c>
      <c r="J327" s="772" t="str">
        <f>VLOOKUP($D327,transmitter_from_BP!$B:$F,2,0)</f>
        <v>SKIN TEMP. PASS2 HZ2101</v>
      </c>
      <c r="K327" s="981" t="s">
        <v>11676</v>
      </c>
      <c r="L327" s="1064" t="str">
        <f>VLOOKUP($D327,transmitter_from_BP!$B:$F,5,0)</f>
        <v>DEGC</v>
      </c>
      <c r="M327" s="783">
        <v>6</v>
      </c>
      <c r="N327" s="772">
        <v>6</v>
      </c>
      <c r="O327" s="783">
        <v>1</v>
      </c>
      <c r="P327" s="772">
        <v>1</v>
      </c>
      <c r="Q327" s="783">
        <v>1</v>
      </c>
      <c r="R327" s="772">
        <v>1</v>
      </c>
      <c r="S327" s="783">
        <v>0</v>
      </c>
      <c r="T327" s="772">
        <f>VLOOKUP($D327,transmitter_from_BP!$B:$F,4,0)</f>
        <v>0</v>
      </c>
      <c r="U327" s="783">
        <v>750</v>
      </c>
      <c r="V327" s="772">
        <f>VLOOKUP($D327,transmitter_from_BP!$B:$F,3,0)</f>
        <v>750</v>
      </c>
      <c r="W327" s="783">
        <v>0</v>
      </c>
      <c r="X327" s="772"/>
      <c r="Y327" s="783">
        <v>384.510998580538</v>
      </c>
      <c r="Z327" s="772"/>
    </row>
    <row r="328" spans="1:26" s="753" customFormat="1">
      <c r="A328" s="756" t="s">
        <v>4579</v>
      </c>
      <c r="B328" s="757"/>
      <c r="C328" s="758"/>
      <c r="D328" s="773" t="s">
        <v>9726</v>
      </c>
      <c r="E328" s="782"/>
      <c r="F328" s="774" t="s">
        <v>7924</v>
      </c>
      <c r="G328" s="981" t="s">
        <v>11264</v>
      </c>
      <c r="H328" s="772" t="str">
        <f>VLOOKUP($D328,transmitter_from_BP!$B:$F,2,0)</f>
        <v>SKIN TEMP. PASS3 HZ2101</v>
      </c>
      <c r="I328" s="981" t="s">
        <v>11264</v>
      </c>
      <c r="J328" s="772" t="str">
        <f>VLOOKUP($D328,transmitter_from_BP!$B:$F,2,0)</f>
        <v>SKIN TEMP. PASS3 HZ2101</v>
      </c>
      <c r="K328" s="981" t="s">
        <v>11676</v>
      </c>
      <c r="L328" s="1064" t="str">
        <f>VLOOKUP($D328,transmitter_from_BP!$B:$F,5,0)</f>
        <v>DEGC</v>
      </c>
      <c r="M328" s="783">
        <v>6</v>
      </c>
      <c r="N328" s="772">
        <v>6</v>
      </c>
      <c r="O328" s="783">
        <v>1</v>
      </c>
      <c r="P328" s="772">
        <v>1</v>
      </c>
      <c r="Q328" s="783">
        <v>1</v>
      </c>
      <c r="R328" s="772">
        <v>1</v>
      </c>
      <c r="S328" s="783">
        <v>0</v>
      </c>
      <c r="T328" s="991">
        <f>VLOOKUP($D328,transmitter_from_BP!$B:$F,4,0)</f>
        <v>0</v>
      </c>
      <c r="U328" s="783">
        <v>750</v>
      </c>
      <c r="V328" s="991">
        <f>VLOOKUP($D328,transmitter_from_BP!$B:$F,3,0)</f>
        <v>750</v>
      </c>
      <c r="W328" s="783">
        <v>0</v>
      </c>
      <c r="X328" s="772"/>
      <c r="Y328" s="783">
        <v>393.66567789637003</v>
      </c>
      <c r="Z328" s="772"/>
    </row>
    <row r="329" spans="1:26" s="753" customFormat="1">
      <c r="A329" s="756" t="s">
        <v>4579</v>
      </c>
      <c r="B329" s="757"/>
      <c r="C329" s="758"/>
      <c r="D329" s="773" t="s">
        <v>5835</v>
      </c>
      <c r="E329" s="782"/>
      <c r="F329" s="774" t="s">
        <v>5846</v>
      </c>
      <c r="G329" s="981" t="s">
        <v>11259</v>
      </c>
      <c r="H329" s="772" t="str">
        <f>VLOOKUP($D329,transmitter_from_BP!$B:$F,2,0)</f>
        <v>SKIN TEMP. PASS4 HZ2101</v>
      </c>
      <c r="I329" s="981" t="s">
        <v>11259</v>
      </c>
      <c r="J329" s="772" t="str">
        <f>VLOOKUP($D329,transmitter_from_BP!$B:$F,2,0)</f>
        <v>SKIN TEMP. PASS4 HZ2101</v>
      </c>
      <c r="K329" s="981" t="s">
        <v>11676</v>
      </c>
      <c r="L329" s="1064" t="str">
        <f>VLOOKUP($D329,transmitter_from_BP!$B:$F,5,0)</f>
        <v>DEGC</v>
      </c>
      <c r="M329" s="783">
        <v>6</v>
      </c>
      <c r="N329" s="772">
        <v>6</v>
      </c>
      <c r="O329" s="783">
        <v>1</v>
      </c>
      <c r="P329" s="772">
        <v>1</v>
      </c>
      <c r="Q329" s="783">
        <v>1</v>
      </c>
      <c r="R329" s="772">
        <v>1</v>
      </c>
      <c r="S329" s="783">
        <v>0</v>
      </c>
      <c r="T329" s="991">
        <f>VLOOKUP($D329,transmitter_from_BP!$B:$F,4,0)</f>
        <v>0</v>
      </c>
      <c r="U329" s="783">
        <v>750</v>
      </c>
      <c r="V329" s="991">
        <f>VLOOKUP($D329,transmitter_from_BP!$B:$F,3,0)</f>
        <v>750</v>
      </c>
      <c r="W329" s="783">
        <v>0</v>
      </c>
      <c r="X329" s="772"/>
      <c r="Y329" s="783">
        <v>412.01657269864302</v>
      </c>
      <c r="Z329" s="772"/>
    </row>
    <row r="330" spans="1:26" s="753" customFormat="1">
      <c r="A330" s="756" t="s">
        <v>4579</v>
      </c>
      <c r="B330" s="757"/>
      <c r="C330" s="758"/>
      <c r="D330" s="773" t="s">
        <v>5836</v>
      </c>
      <c r="E330" s="782"/>
      <c r="F330" s="774" t="s">
        <v>5849</v>
      </c>
      <c r="G330" s="981" t="s">
        <v>11260</v>
      </c>
      <c r="H330" s="772" t="str">
        <f>VLOOKUP($D330,transmitter_from_BP!$B:$F,2,0)</f>
        <v>SKIN TEMP. PASS5 HZ2101</v>
      </c>
      <c r="I330" s="981" t="s">
        <v>11260</v>
      </c>
      <c r="J330" s="772" t="str">
        <f>VLOOKUP($D330,transmitter_from_BP!$B:$F,2,0)</f>
        <v>SKIN TEMP. PASS5 HZ2101</v>
      </c>
      <c r="K330" s="981" t="s">
        <v>11676</v>
      </c>
      <c r="L330" s="1064" t="str">
        <f>VLOOKUP($D330,transmitter_from_BP!$B:$F,5,0)</f>
        <v>DEGC</v>
      </c>
      <c r="M330" s="783">
        <v>6</v>
      </c>
      <c r="N330" s="772">
        <v>6</v>
      </c>
      <c r="O330" s="783">
        <v>1</v>
      </c>
      <c r="P330" s="772">
        <v>1</v>
      </c>
      <c r="Q330" s="783">
        <v>1</v>
      </c>
      <c r="R330" s="772">
        <v>1</v>
      </c>
      <c r="S330" s="783">
        <v>0</v>
      </c>
      <c r="T330" s="991">
        <f>VLOOKUP($D330,transmitter_from_BP!$B:$F,4,0)</f>
        <v>0</v>
      </c>
      <c r="U330" s="783">
        <v>750</v>
      </c>
      <c r="V330" s="991">
        <f>VLOOKUP($D330,transmitter_from_BP!$B:$F,3,0)</f>
        <v>750</v>
      </c>
      <c r="W330" s="783">
        <v>0</v>
      </c>
      <c r="X330" s="772"/>
      <c r="Y330" s="783">
        <v>423.45237988200302</v>
      </c>
      <c r="Z330" s="772"/>
    </row>
    <row r="331" spans="1:26" s="753" customFormat="1">
      <c r="A331" s="756" t="s">
        <v>4579</v>
      </c>
      <c r="B331" s="757"/>
      <c r="C331" s="758"/>
      <c r="D331" s="773" t="s">
        <v>9727</v>
      </c>
      <c r="E331" s="782"/>
      <c r="F331" s="774" t="s">
        <v>5852</v>
      </c>
      <c r="G331" s="981" t="s">
        <v>11261</v>
      </c>
      <c r="H331" s="772" t="str">
        <f>VLOOKUP($D331,transmitter_from_BP!$B:$F,2,0)</f>
        <v>SKIN TEMP. PASS6 HZ2101</v>
      </c>
      <c r="I331" s="981" t="s">
        <v>11261</v>
      </c>
      <c r="J331" s="772" t="str">
        <f>VLOOKUP($D331,transmitter_from_BP!$B:$F,2,0)</f>
        <v>SKIN TEMP. PASS6 HZ2101</v>
      </c>
      <c r="K331" s="981" t="s">
        <v>11676</v>
      </c>
      <c r="L331" s="1064" t="str">
        <f>VLOOKUP($D331,transmitter_from_BP!$B:$F,5,0)</f>
        <v>DEGC</v>
      </c>
      <c r="M331" s="783">
        <v>6</v>
      </c>
      <c r="N331" s="772">
        <v>6</v>
      </c>
      <c r="O331" s="783">
        <v>1</v>
      </c>
      <c r="P331" s="772">
        <v>1</v>
      </c>
      <c r="Q331" s="783">
        <v>1</v>
      </c>
      <c r="R331" s="772">
        <v>1</v>
      </c>
      <c r="S331" s="783">
        <v>0</v>
      </c>
      <c r="T331" s="991">
        <f>VLOOKUP($D331,transmitter_from_BP!$B:$F,4,0)</f>
        <v>0</v>
      </c>
      <c r="U331" s="783">
        <v>750</v>
      </c>
      <c r="V331" s="991">
        <f>VLOOKUP($D331,transmitter_from_BP!$B:$F,3,0)</f>
        <v>750</v>
      </c>
      <c r="W331" s="783">
        <v>0</v>
      </c>
      <c r="X331" s="772"/>
      <c r="Y331" s="783">
        <v>393.66566930179198</v>
      </c>
      <c r="Z331" s="772"/>
    </row>
    <row r="332" spans="1:26" s="753" customFormat="1">
      <c r="A332" s="756" t="s">
        <v>4579</v>
      </c>
      <c r="B332" s="757"/>
      <c r="C332" s="758"/>
      <c r="D332" s="773" t="s">
        <v>9728</v>
      </c>
      <c r="E332" s="782"/>
      <c r="F332" s="774" t="s">
        <v>5855</v>
      </c>
      <c r="G332" s="981" t="s">
        <v>11262</v>
      </c>
      <c r="H332" s="772" t="str">
        <f>VLOOKUP($D332,transmitter_from_BP!$B:$F,2,0)</f>
        <v>SKIN TEMP. PASS7 HZ2101</v>
      </c>
      <c r="I332" s="981" t="s">
        <v>11262</v>
      </c>
      <c r="J332" s="772" t="str">
        <f>VLOOKUP($D332,transmitter_from_BP!$B:$F,2,0)</f>
        <v>SKIN TEMP. PASS7 HZ2101</v>
      </c>
      <c r="K332" s="981" t="s">
        <v>11676</v>
      </c>
      <c r="L332" s="1064" t="str">
        <f>VLOOKUP($D332,transmitter_from_BP!$B:$F,5,0)</f>
        <v>DEGC</v>
      </c>
      <c r="M332" s="783">
        <v>6</v>
      </c>
      <c r="N332" s="772">
        <v>6</v>
      </c>
      <c r="O332" s="783">
        <v>1</v>
      </c>
      <c r="P332" s="772">
        <v>1</v>
      </c>
      <c r="Q332" s="783">
        <v>1</v>
      </c>
      <c r="R332" s="772">
        <v>1</v>
      </c>
      <c r="S332" s="783">
        <v>0</v>
      </c>
      <c r="T332" s="991">
        <f>VLOOKUP($D332,transmitter_from_BP!$B:$F,4,0)</f>
        <v>0</v>
      </c>
      <c r="U332" s="783">
        <v>750</v>
      </c>
      <c r="V332" s="991">
        <f>VLOOKUP($D332,transmitter_from_BP!$B:$F,3,0)</f>
        <v>750</v>
      </c>
      <c r="W332" s="783">
        <v>0</v>
      </c>
      <c r="X332" s="772"/>
      <c r="Y332" s="783">
        <v>413.14667694399498</v>
      </c>
      <c r="Z332" s="772"/>
    </row>
    <row r="333" spans="1:26" s="753" customFormat="1">
      <c r="A333" s="756" t="s">
        <v>4579</v>
      </c>
      <c r="B333" s="757"/>
      <c r="C333" s="758"/>
      <c r="D333" s="773" t="s">
        <v>9729</v>
      </c>
      <c r="E333" s="782"/>
      <c r="F333" s="774" t="s">
        <v>5856</v>
      </c>
      <c r="G333" s="981" t="s">
        <v>11262</v>
      </c>
      <c r="H333" s="772" t="str">
        <f>VLOOKUP($D333,transmitter_from_BP!$B:$F,2,0)</f>
        <v>SKIN TEMP. PASS7 HZ2101</v>
      </c>
      <c r="I333" s="981" t="s">
        <v>11262</v>
      </c>
      <c r="J333" s="772" t="str">
        <f>VLOOKUP($D333,transmitter_from_BP!$B:$F,2,0)</f>
        <v>SKIN TEMP. PASS7 HZ2101</v>
      </c>
      <c r="K333" s="981" t="s">
        <v>11676</v>
      </c>
      <c r="L333" s="1064" t="str">
        <f>VLOOKUP($D333,transmitter_from_BP!$B:$F,5,0)</f>
        <v>DEGC</v>
      </c>
      <c r="M333" s="783">
        <v>6</v>
      </c>
      <c r="N333" s="772">
        <v>6</v>
      </c>
      <c r="O333" s="783">
        <v>1</v>
      </c>
      <c r="P333" s="772">
        <v>1</v>
      </c>
      <c r="Q333" s="783">
        <v>1</v>
      </c>
      <c r="R333" s="772">
        <v>1</v>
      </c>
      <c r="S333" s="783">
        <v>0</v>
      </c>
      <c r="T333" s="991">
        <f>VLOOKUP($D333,transmitter_from_BP!$B:$F,4,0)</f>
        <v>0</v>
      </c>
      <c r="U333" s="783">
        <v>750</v>
      </c>
      <c r="V333" s="991">
        <f>VLOOKUP($D333,transmitter_from_BP!$B:$F,3,0)</f>
        <v>750</v>
      </c>
      <c r="W333" s="783">
        <v>0</v>
      </c>
      <c r="X333" s="772"/>
      <c r="Y333" s="783">
        <v>439.36248065770502</v>
      </c>
      <c r="Z333" s="772"/>
    </row>
    <row r="334" spans="1:26" s="753" customFormat="1">
      <c r="A334" s="756" t="s">
        <v>4579</v>
      </c>
      <c r="B334" s="757"/>
      <c r="C334" s="758"/>
      <c r="D334" s="773" t="s">
        <v>9730</v>
      </c>
      <c r="E334" s="782"/>
      <c r="F334" s="774" t="s">
        <v>5859</v>
      </c>
      <c r="G334" s="981" t="s">
        <v>11265</v>
      </c>
      <c r="H334" s="772" t="str">
        <f>VLOOKUP($D334,transmitter_from_BP!$B:$F,2,0)</f>
        <v>SKIN TEMP. PASS8 HZ2101</v>
      </c>
      <c r="I334" s="981" t="s">
        <v>11265</v>
      </c>
      <c r="J334" s="772" t="str">
        <f>VLOOKUP($D334,transmitter_from_BP!$B:$F,2,0)</f>
        <v>SKIN TEMP. PASS8 HZ2101</v>
      </c>
      <c r="K334" s="981" t="s">
        <v>11676</v>
      </c>
      <c r="L334" s="1064" t="str">
        <f>VLOOKUP($D334,transmitter_from_BP!$B:$F,5,0)</f>
        <v>DEGC</v>
      </c>
      <c r="M334" s="783">
        <v>6</v>
      </c>
      <c r="N334" s="772">
        <v>6</v>
      </c>
      <c r="O334" s="783">
        <v>1</v>
      </c>
      <c r="P334" s="772">
        <v>1</v>
      </c>
      <c r="Q334" s="783">
        <v>1</v>
      </c>
      <c r="R334" s="772">
        <v>1</v>
      </c>
      <c r="S334" s="783">
        <v>0</v>
      </c>
      <c r="T334" s="991">
        <f>VLOOKUP($D334,transmitter_from_BP!$B:$F,4,0)</f>
        <v>0</v>
      </c>
      <c r="U334" s="783">
        <v>750</v>
      </c>
      <c r="V334" s="991">
        <f>VLOOKUP($D334,transmitter_from_BP!$B:$F,3,0)</f>
        <v>750</v>
      </c>
      <c r="W334" s="783">
        <v>0</v>
      </c>
      <c r="X334" s="772"/>
      <c r="Y334" s="783">
        <v>403.55188207546701</v>
      </c>
      <c r="Z334" s="772"/>
    </row>
    <row r="335" spans="1:26" s="753" customFormat="1">
      <c r="A335" s="756" t="s">
        <v>4579</v>
      </c>
      <c r="B335" s="757"/>
      <c r="C335" s="758"/>
      <c r="D335" s="773" t="s">
        <v>5837</v>
      </c>
      <c r="E335" s="782"/>
      <c r="F335" s="774" t="s">
        <v>5860</v>
      </c>
      <c r="G335" s="981" t="s">
        <v>11265</v>
      </c>
      <c r="H335" s="772" t="str">
        <f>VLOOKUP($D335,transmitter_from_BP!$B:$F,2,0)</f>
        <v>SKIN TEMP. PASS8 HZ2101</v>
      </c>
      <c r="I335" s="981" t="s">
        <v>11265</v>
      </c>
      <c r="J335" s="772" t="str">
        <f>VLOOKUP($D335,transmitter_from_BP!$B:$F,2,0)</f>
        <v>SKIN TEMP. PASS8 HZ2101</v>
      </c>
      <c r="K335" s="981" t="s">
        <v>11676</v>
      </c>
      <c r="L335" s="1064" t="str">
        <f>VLOOKUP($D335,transmitter_from_BP!$B:$F,5,0)</f>
        <v>DEGC</v>
      </c>
      <c r="M335" s="783">
        <v>6</v>
      </c>
      <c r="N335" s="772">
        <v>6</v>
      </c>
      <c r="O335" s="783">
        <v>1</v>
      </c>
      <c r="P335" s="772">
        <v>1</v>
      </c>
      <c r="Q335" s="783">
        <v>1</v>
      </c>
      <c r="R335" s="772">
        <v>1</v>
      </c>
      <c r="S335" s="783">
        <v>0</v>
      </c>
      <c r="T335" s="991">
        <f>VLOOKUP($D335,transmitter_from_BP!$B:$F,4,0)</f>
        <v>0</v>
      </c>
      <c r="U335" s="783">
        <v>750</v>
      </c>
      <c r="V335" s="991">
        <f>VLOOKUP($D335,transmitter_from_BP!$B:$F,3,0)</f>
        <v>750</v>
      </c>
      <c r="W335" s="783">
        <v>0</v>
      </c>
      <c r="X335" s="772"/>
      <c r="Y335" s="783">
        <v>403.55188207546701</v>
      </c>
      <c r="Z335" s="772"/>
    </row>
    <row r="336" spans="1:26" s="514" customFormat="1">
      <c r="A336" s="519" t="s">
        <v>4579</v>
      </c>
      <c r="B336" s="520"/>
      <c r="C336" s="521"/>
      <c r="D336" s="759" t="s">
        <v>9731</v>
      </c>
      <c r="E336" s="517"/>
      <c r="F336" s="556" t="s">
        <v>7925</v>
      </c>
      <c r="G336" s="981" t="s">
        <v>11266</v>
      </c>
      <c r="H336" s="555" t="str">
        <f>VLOOKUP($D336,transmitter_from_BP!$B:$F,2,0)</f>
        <v>SUPERHEATED STEAM EX HZ2101</v>
      </c>
      <c r="I336" s="981" t="s">
        <v>11266</v>
      </c>
      <c r="J336" s="755" t="str">
        <f>VLOOKUP($D336,transmitter_from_BP!$B:$F,2,0)</f>
        <v>SUPERHEATED STEAM EX HZ2101</v>
      </c>
      <c r="K336" s="981" t="s">
        <v>11676</v>
      </c>
      <c r="L336" s="1064" t="str">
        <f>VLOOKUP($D336,transmitter_from_BP!$B:$F,5,0)</f>
        <v>DEGC</v>
      </c>
      <c r="M336" s="570">
        <v>6</v>
      </c>
      <c r="N336" s="610">
        <v>6</v>
      </c>
      <c r="O336" s="570">
        <v>1</v>
      </c>
      <c r="P336" s="765">
        <v>1</v>
      </c>
      <c r="Q336" s="570">
        <v>1</v>
      </c>
      <c r="R336" s="555">
        <v>1</v>
      </c>
      <c r="S336" s="570">
        <v>-25</v>
      </c>
      <c r="T336" s="991">
        <f>VLOOKUP($D336,transmitter_from_BP!$B:$F,4,0)</f>
        <v>-25</v>
      </c>
      <c r="U336" s="570">
        <v>1116</v>
      </c>
      <c r="V336" s="991">
        <f>VLOOKUP($D336,transmitter_from_BP!$B:$F,3,0)</f>
        <v>1116</v>
      </c>
      <c r="W336" s="570">
        <v>0</v>
      </c>
      <c r="X336" s="555"/>
      <c r="Y336" s="614">
        <v>375.94011633071699</v>
      </c>
      <c r="Z336" s="610"/>
    </row>
    <row r="337" spans="1:26" s="514" customFormat="1">
      <c r="A337" s="519" t="s">
        <v>4579</v>
      </c>
      <c r="B337" s="520"/>
      <c r="C337" s="521"/>
      <c r="D337" s="759" t="s">
        <v>9732</v>
      </c>
      <c r="E337" s="517"/>
      <c r="F337" s="556" t="s">
        <v>5811</v>
      </c>
      <c r="G337" s="981" t="s">
        <v>11267</v>
      </c>
      <c r="H337" s="555" t="str">
        <f>VLOOKUP($D337,transmitter_from_BP!$B:$F,2,0)</f>
        <v>CDU HEATER PASS 1 SKIN LOWER</v>
      </c>
      <c r="I337" s="981" t="s">
        <v>11267</v>
      </c>
      <c r="J337" s="755" t="str">
        <f>VLOOKUP($D337,transmitter_from_BP!$B:$F,2,0)</f>
        <v>CDU HEATER PASS 1 SKIN LOWER</v>
      </c>
      <c r="K337" s="981" t="s">
        <v>11676</v>
      </c>
      <c r="L337" s="1064" t="str">
        <f>VLOOKUP($D337,transmitter_from_BP!$B:$F,5,0)</f>
        <v>DEGC</v>
      </c>
      <c r="M337" s="570">
        <v>6</v>
      </c>
      <c r="N337" s="610">
        <v>6</v>
      </c>
      <c r="O337" s="570">
        <v>1</v>
      </c>
      <c r="P337" s="765">
        <v>1</v>
      </c>
      <c r="Q337" s="570">
        <v>1</v>
      </c>
      <c r="R337" s="555">
        <v>1</v>
      </c>
      <c r="S337" s="570">
        <v>-25</v>
      </c>
      <c r="T337" s="991">
        <f>VLOOKUP($D337,transmitter_from_BP!$B:$F,4,0)</f>
        <v>-25</v>
      </c>
      <c r="U337" s="570">
        <v>1116</v>
      </c>
      <c r="V337" s="991">
        <f>VLOOKUP($D337,transmitter_from_BP!$B:$F,3,0)</f>
        <v>1116</v>
      </c>
      <c r="W337" s="570">
        <v>0</v>
      </c>
      <c r="X337" s="555"/>
      <c r="Y337" s="614">
        <v>418.21164357227798</v>
      </c>
      <c r="Z337" s="610"/>
    </row>
    <row r="338" spans="1:26" s="514" customFormat="1">
      <c r="A338" s="519" t="s">
        <v>4579</v>
      </c>
      <c r="B338" s="520"/>
      <c r="C338" s="521"/>
      <c r="D338" s="759" t="s">
        <v>9733</v>
      </c>
      <c r="E338" s="517"/>
      <c r="F338" s="556" t="s">
        <v>5813</v>
      </c>
      <c r="G338" s="981" t="s">
        <v>11268</v>
      </c>
      <c r="H338" s="555" t="str">
        <f>VLOOKUP($D338,transmitter_from_BP!$B:$F,2,0)</f>
        <v>CDU HEATER PASS 2 SKIN LOWER</v>
      </c>
      <c r="I338" s="981" t="s">
        <v>11268</v>
      </c>
      <c r="J338" s="755" t="str">
        <f>VLOOKUP($D338,transmitter_from_BP!$B:$F,2,0)</f>
        <v>CDU HEATER PASS 2 SKIN LOWER</v>
      </c>
      <c r="K338" s="981" t="s">
        <v>11676</v>
      </c>
      <c r="L338" s="1064" t="str">
        <f>VLOOKUP($D338,transmitter_from_BP!$B:$F,5,0)</f>
        <v>DEGC</v>
      </c>
      <c r="M338" s="570">
        <v>6</v>
      </c>
      <c r="N338" s="610">
        <v>6</v>
      </c>
      <c r="O338" s="570">
        <v>1</v>
      </c>
      <c r="P338" s="765">
        <v>1</v>
      </c>
      <c r="Q338" s="570">
        <v>1</v>
      </c>
      <c r="R338" s="555">
        <v>1</v>
      </c>
      <c r="S338" s="570">
        <v>-25</v>
      </c>
      <c r="T338" s="991">
        <f>VLOOKUP($D338,transmitter_from_BP!$B:$F,4,0)</f>
        <v>-25</v>
      </c>
      <c r="U338" s="570">
        <v>1116</v>
      </c>
      <c r="V338" s="991">
        <f>VLOOKUP($D338,transmitter_from_BP!$B:$F,3,0)</f>
        <v>1116</v>
      </c>
      <c r="W338" s="570">
        <v>0</v>
      </c>
      <c r="X338" s="555"/>
      <c r="Y338" s="614">
        <v>427.66623979982597</v>
      </c>
      <c r="Z338" s="610"/>
    </row>
    <row r="339" spans="1:26" s="514" customFormat="1">
      <c r="A339" s="519" t="s">
        <v>4579</v>
      </c>
      <c r="B339" s="520"/>
      <c r="C339" s="521"/>
      <c r="D339" s="759" t="s">
        <v>9734</v>
      </c>
      <c r="E339" s="782"/>
      <c r="F339" s="760" t="s">
        <v>5817</v>
      </c>
      <c r="G339" s="981" t="s">
        <v>11269</v>
      </c>
      <c r="H339" s="755" t="str">
        <f>VLOOKUP($D339,transmitter_from_BP!$B:$F,2,0)</f>
        <v>CDU HEATER PASS 3 SKIN LOWER</v>
      </c>
      <c r="I339" s="981" t="s">
        <v>11269</v>
      </c>
      <c r="J339" s="755" t="str">
        <f>VLOOKUP($D339,transmitter_from_BP!$B:$F,2,0)</f>
        <v>CDU HEATER PASS 3 SKIN LOWER</v>
      </c>
      <c r="K339" s="981" t="s">
        <v>11676</v>
      </c>
      <c r="L339" s="1064" t="str">
        <f>VLOOKUP($D339,transmitter_from_BP!$B:$F,5,0)</f>
        <v>DEGC</v>
      </c>
      <c r="M339" s="570">
        <v>6</v>
      </c>
      <c r="N339" s="610">
        <v>6</v>
      </c>
      <c r="O339" s="570">
        <v>1</v>
      </c>
      <c r="P339" s="765">
        <v>1</v>
      </c>
      <c r="Q339" s="570">
        <v>1</v>
      </c>
      <c r="R339" s="555">
        <v>1</v>
      </c>
      <c r="S339" s="570">
        <v>-25</v>
      </c>
      <c r="T339" s="991">
        <f>VLOOKUP($D339,transmitter_from_BP!$B:$F,4,0)</f>
        <v>-25</v>
      </c>
      <c r="U339" s="570">
        <v>1116</v>
      </c>
      <c r="V339" s="991">
        <f>VLOOKUP($D339,transmitter_from_BP!$B:$F,3,0)</f>
        <v>1116</v>
      </c>
      <c r="W339" s="570">
        <v>0</v>
      </c>
      <c r="X339" s="555"/>
      <c r="Y339" s="614">
        <v>423.62154668232301</v>
      </c>
      <c r="Z339" s="610"/>
    </row>
    <row r="340" spans="1:26" s="514" customFormat="1">
      <c r="A340" s="519" t="s">
        <v>4579</v>
      </c>
      <c r="B340" s="520"/>
      <c r="C340" s="521"/>
      <c r="D340" s="759" t="s">
        <v>9735</v>
      </c>
      <c r="E340" s="782"/>
      <c r="F340" s="556" t="s">
        <v>5820</v>
      </c>
      <c r="G340" s="981" t="s">
        <v>11270</v>
      </c>
      <c r="H340" s="555" t="str">
        <f>VLOOKUP($D340,transmitter_from_BP!$B:$F,2,0)</f>
        <v>CDU HEATER PASS 4 SKIN LOWER</v>
      </c>
      <c r="I340" s="981" t="s">
        <v>11270</v>
      </c>
      <c r="J340" s="755" t="str">
        <f>VLOOKUP($D340,transmitter_from_BP!$B:$F,2,0)</f>
        <v>CDU HEATER PASS 4 SKIN LOWER</v>
      </c>
      <c r="K340" s="981" t="s">
        <v>11676</v>
      </c>
      <c r="L340" s="1064" t="str">
        <f>VLOOKUP($D340,transmitter_from_BP!$B:$F,5,0)</f>
        <v>DEGC</v>
      </c>
      <c r="M340" s="570">
        <v>6</v>
      </c>
      <c r="N340" s="610">
        <v>6</v>
      </c>
      <c r="O340" s="570">
        <v>1</v>
      </c>
      <c r="P340" s="765">
        <v>1</v>
      </c>
      <c r="Q340" s="570">
        <v>1</v>
      </c>
      <c r="R340" s="555">
        <v>1</v>
      </c>
      <c r="S340" s="570">
        <v>-25</v>
      </c>
      <c r="T340" s="991">
        <f>VLOOKUP($D340,transmitter_from_BP!$B:$F,4,0)</f>
        <v>-25</v>
      </c>
      <c r="U340" s="570">
        <v>1116</v>
      </c>
      <c r="V340" s="991">
        <f>VLOOKUP($D340,transmitter_from_BP!$B:$F,3,0)</f>
        <v>1116</v>
      </c>
      <c r="W340" s="570">
        <v>0</v>
      </c>
      <c r="X340" s="555"/>
      <c r="Y340" s="614">
        <v>418.72034264981602</v>
      </c>
      <c r="Z340" s="610"/>
    </row>
    <row r="341" spans="1:26" s="514" customFormat="1">
      <c r="A341" s="519" t="s">
        <v>4579</v>
      </c>
      <c r="B341" s="520"/>
      <c r="C341" s="521"/>
      <c r="D341" s="759" t="s">
        <v>9736</v>
      </c>
      <c r="E341" s="782"/>
      <c r="F341" s="556" t="s">
        <v>5822</v>
      </c>
      <c r="G341" s="981" t="s">
        <v>11271</v>
      </c>
      <c r="H341" s="555" t="str">
        <f>VLOOKUP($D341,transmitter_from_BP!$B:$F,2,0)</f>
        <v>CDU HEATER PASS 5 SKIN LOWER</v>
      </c>
      <c r="I341" s="981" t="s">
        <v>11271</v>
      </c>
      <c r="J341" s="755" t="str">
        <f>VLOOKUP($D341,transmitter_from_BP!$B:$F,2,0)</f>
        <v>CDU HEATER PASS 5 SKIN LOWER</v>
      </c>
      <c r="K341" s="981" t="s">
        <v>11676</v>
      </c>
      <c r="L341" s="1064" t="str">
        <f>VLOOKUP($D341,transmitter_from_BP!$B:$F,5,0)</f>
        <v>DEGC</v>
      </c>
      <c r="M341" s="570">
        <v>6</v>
      </c>
      <c r="N341" s="610">
        <v>6</v>
      </c>
      <c r="O341" s="570">
        <v>1</v>
      </c>
      <c r="P341" s="765">
        <v>1</v>
      </c>
      <c r="Q341" s="570">
        <v>1</v>
      </c>
      <c r="R341" s="555">
        <v>1</v>
      </c>
      <c r="S341" s="570">
        <v>-25</v>
      </c>
      <c r="T341" s="991">
        <f>VLOOKUP($D341,transmitter_from_BP!$B:$F,4,0)</f>
        <v>-25</v>
      </c>
      <c r="U341" s="570">
        <v>1116</v>
      </c>
      <c r="V341" s="991">
        <f>VLOOKUP($D341,transmitter_from_BP!$B:$F,3,0)</f>
        <v>1116</v>
      </c>
      <c r="W341" s="570">
        <v>0</v>
      </c>
      <c r="X341" s="555"/>
      <c r="Y341" s="614">
        <v>424.24105877708899</v>
      </c>
      <c r="Z341" s="610"/>
    </row>
    <row r="342" spans="1:26" s="514" customFormat="1">
      <c r="A342" s="519" t="s">
        <v>4579</v>
      </c>
      <c r="B342" s="520"/>
      <c r="C342" s="521"/>
      <c r="D342" s="759" t="s">
        <v>9737</v>
      </c>
      <c r="E342" s="782"/>
      <c r="F342" s="556" t="s">
        <v>5824</v>
      </c>
      <c r="G342" s="981" t="s">
        <v>11272</v>
      </c>
      <c r="H342" s="755" t="str">
        <f>VLOOKUP($D342,transmitter_from_BP!$B:$F,2,0)</f>
        <v>CDU HEATER PASS 6 SKIN LOWER</v>
      </c>
      <c r="I342" s="981" t="s">
        <v>11272</v>
      </c>
      <c r="J342" s="755" t="str">
        <f>VLOOKUP($D342,transmitter_from_BP!$B:$F,2,0)</f>
        <v>CDU HEATER PASS 6 SKIN LOWER</v>
      </c>
      <c r="K342" s="981" t="s">
        <v>11676</v>
      </c>
      <c r="L342" s="1064" t="str">
        <f>VLOOKUP($D342,transmitter_from_BP!$B:$F,5,0)</f>
        <v>DEGC</v>
      </c>
      <c r="M342" s="570">
        <v>6</v>
      </c>
      <c r="N342" s="610">
        <v>6</v>
      </c>
      <c r="O342" s="570">
        <v>1</v>
      </c>
      <c r="P342" s="765">
        <v>1</v>
      </c>
      <c r="Q342" s="570">
        <v>1</v>
      </c>
      <c r="R342" s="555">
        <v>1</v>
      </c>
      <c r="S342" s="570">
        <v>-25</v>
      </c>
      <c r="T342" s="991">
        <f>VLOOKUP($D342,transmitter_from_BP!$B:$F,4,0)</f>
        <v>-25</v>
      </c>
      <c r="U342" s="570">
        <v>1116</v>
      </c>
      <c r="V342" s="991">
        <f>VLOOKUP($D342,transmitter_from_BP!$B:$F,3,0)</f>
        <v>1116</v>
      </c>
      <c r="W342" s="570">
        <v>0</v>
      </c>
      <c r="X342" s="555"/>
      <c r="Y342" s="761">
        <v>422.04491403422799</v>
      </c>
      <c r="Z342" s="610"/>
    </row>
    <row r="343" spans="1:26" s="514" customFormat="1">
      <c r="A343" s="519" t="s">
        <v>4579</v>
      </c>
      <c r="B343" s="520"/>
      <c r="C343" s="521"/>
      <c r="D343" s="759" t="s">
        <v>9738</v>
      </c>
      <c r="E343" s="782"/>
      <c r="F343" s="556" t="s">
        <v>5826</v>
      </c>
      <c r="G343" s="981" t="s">
        <v>11273</v>
      </c>
      <c r="H343" s="555" t="str">
        <f>VLOOKUP($D343,transmitter_from_BP!$B:$F,2,0)</f>
        <v>CDU HEATER PASS 7 SKIN LOWER</v>
      </c>
      <c r="I343" s="981" t="s">
        <v>11273</v>
      </c>
      <c r="J343" s="755" t="str">
        <f>VLOOKUP($D343,transmitter_from_BP!$B:$F,2,0)</f>
        <v>CDU HEATER PASS 7 SKIN LOWER</v>
      </c>
      <c r="K343" s="981" t="s">
        <v>11676</v>
      </c>
      <c r="L343" s="1064" t="str">
        <f>VLOOKUP($D343,transmitter_from_BP!$B:$F,5,0)</f>
        <v>DEGC</v>
      </c>
      <c r="M343" s="570">
        <v>6</v>
      </c>
      <c r="N343" s="610">
        <v>6</v>
      </c>
      <c r="O343" s="570">
        <v>1</v>
      </c>
      <c r="P343" s="765">
        <v>1</v>
      </c>
      <c r="Q343" s="570">
        <v>1</v>
      </c>
      <c r="R343" s="555">
        <v>1</v>
      </c>
      <c r="S343" s="570">
        <v>-25</v>
      </c>
      <c r="T343" s="991">
        <f>VLOOKUP($D343,transmitter_from_BP!$B:$F,4,0)</f>
        <v>-25</v>
      </c>
      <c r="U343" s="570">
        <v>1116</v>
      </c>
      <c r="V343" s="991">
        <f>VLOOKUP($D343,transmitter_from_BP!$B:$F,3,0)</f>
        <v>1116</v>
      </c>
      <c r="W343" s="570">
        <v>0</v>
      </c>
      <c r="X343" s="555"/>
      <c r="Y343" s="614">
        <v>425.246278658015</v>
      </c>
      <c r="Z343" s="610"/>
    </row>
    <row r="344" spans="1:26" s="514" customFormat="1">
      <c r="A344" s="519" t="s">
        <v>4579</v>
      </c>
      <c r="B344" s="520"/>
      <c r="C344" s="521"/>
      <c r="D344" s="759" t="s">
        <v>9739</v>
      </c>
      <c r="E344" s="517"/>
      <c r="F344" s="556" t="s">
        <v>5830</v>
      </c>
      <c r="G344" s="981" t="s">
        <v>11274</v>
      </c>
      <c r="H344" s="755" t="str">
        <f>VLOOKUP($D344,transmitter_from_BP!$B:$F,2,0)</f>
        <v>CDU HEATER PASS 8 SKIN LOWER</v>
      </c>
      <c r="I344" s="981" t="s">
        <v>11274</v>
      </c>
      <c r="J344" s="755" t="str">
        <f>VLOOKUP($D344,transmitter_from_BP!$B:$F,2,0)</f>
        <v>CDU HEATER PASS 8 SKIN LOWER</v>
      </c>
      <c r="K344" s="981" t="s">
        <v>11676</v>
      </c>
      <c r="L344" s="1064" t="str">
        <f>VLOOKUP($D344,transmitter_from_BP!$B:$F,5,0)</f>
        <v>DEGC</v>
      </c>
      <c r="M344" s="570">
        <v>6</v>
      </c>
      <c r="N344" s="610">
        <v>6</v>
      </c>
      <c r="O344" s="570">
        <v>1</v>
      </c>
      <c r="P344" s="765">
        <v>1</v>
      </c>
      <c r="Q344" s="570">
        <v>1</v>
      </c>
      <c r="R344" s="555">
        <v>1</v>
      </c>
      <c r="S344" s="570">
        <v>-25</v>
      </c>
      <c r="T344" s="991">
        <f>VLOOKUP($D344,transmitter_from_BP!$B:$F,4,0)</f>
        <v>-25</v>
      </c>
      <c r="U344" s="570">
        <v>1116</v>
      </c>
      <c r="V344" s="991">
        <f>VLOOKUP($D344,transmitter_from_BP!$B:$F,3,0)</f>
        <v>1116</v>
      </c>
      <c r="W344" s="570">
        <v>0</v>
      </c>
      <c r="X344" s="555"/>
      <c r="Y344" s="614">
        <v>418.20673794397101</v>
      </c>
      <c r="Z344" s="610"/>
    </row>
    <row r="345" spans="1:26" s="514" customFormat="1">
      <c r="A345" s="519" t="s">
        <v>4579</v>
      </c>
      <c r="B345" s="520"/>
      <c r="C345" s="521"/>
      <c r="D345" s="759" t="s">
        <v>9740</v>
      </c>
      <c r="E345" s="517"/>
      <c r="F345" s="760" t="s">
        <v>5880</v>
      </c>
      <c r="G345" s="981" t="s">
        <v>11275</v>
      </c>
      <c r="H345" s="755" t="str">
        <f>VLOOKUP($D345,transmitter_from_BP!$B:$F,2,0)</f>
        <v>FLUE GAS EX CONV HZ2101</v>
      </c>
      <c r="I345" s="981" t="s">
        <v>11275</v>
      </c>
      <c r="J345" s="755" t="str">
        <f>VLOOKUP($D345,transmitter_from_BP!$B:$F,2,0)</f>
        <v>FLUE GAS EX CONV HZ2101</v>
      </c>
      <c r="K345" s="981" t="s">
        <v>11676</v>
      </c>
      <c r="L345" s="1064" t="str">
        <f>VLOOKUP($D345,transmitter_from_BP!$B:$F,5,0)</f>
        <v>DEGC</v>
      </c>
      <c r="M345" s="570">
        <v>6</v>
      </c>
      <c r="N345" s="610">
        <v>6</v>
      </c>
      <c r="O345" s="570">
        <v>1</v>
      </c>
      <c r="P345" s="765">
        <v>1</v>
      </c>
      <c r="Q345" s="570">
        <v>1</v>
      </c>
      <c r="R345" s="555">
        <v>1</v>
      </c>
      <c r="S345" s="570">
        <v>-25</v>
      </c>
      <c r="T345" s="991">
        <f>VLOOKUP($D345,transmitter_from_BP!$B:$F,4,0)</f>
        <v>-25</v>
      </c>
      <c r="U345" s="570">
        <v>1116</v>
      </c>
      <c r="V345" s="991">
        <f>VLOOKUP($D345,transmitter_from_BP!$B:$F,3,0)</f>
        <v>1116</v>
      </c>
      <c r="W345" s="570">
        <v>0</v>
      </c>
      <c r="X345" s="555"/>
      <c r="Y345" s="614">
        <v>439.80552276441301</v>
      </c>
      <c r="Z345" s="610"/>
    </row>
    <row r="346" spans="1:26" s="514" customFormat="1">
      <c r="A346" s="519" t="s">
        <v>4579</v>
      </c>
      <c r="B346" s="520"/>
      <c r="C346" s="521"/>
      <c r="D346" s="759" t="s">
        <v>9741</v>
      </c>
      <c r="E346" s="782"/>
      <c r="F346" s="774" t="s">
        <v>9286</v>
      </c>
      <c r="G346" s="981" t="s">
        <v>11276</v>
      </c>
      <c r="H346" s="755" t="str">
        <f>VLOOKUP($D346,transmitter_from_BP!$B:$F,2,0)</f>
        <v>LGO FROM EZ2105</v>
      </c>
      <c r="I346" s="981" t="s">
        <v>11276</v>
      </c>
      <c r="J346" s="755" t="str">
        <f>VLOOKUP($D346,transmitter_from_BP!$B:$F,2,0)</f>
        <v>LGO FROM EZ2105</v>
      </c>
      <c r="K346" s="981" t="s">
        <v>11676</v>
      </c>
      <c r="L346" s="1064" t="str">
        <f>VLOOKUP($D346,transmitter_from_BP!$B:$F,5,0)</f>
        <v>DEGC</v>
      </c>
      <c r="M346" s="570">
        <v>6</v>
      </c>
      <c r="N346" s="772">
        <v>6</v>
      </c>
      <c r="O346" s="570">
        <v>1</v>
      </c>
      <c r="P346" s="765">
        <v>1</v>
      </c>
      <c r="Q346" s="570">
        <v>1</v>
      </c>
      <c r="R346" s="555">
        <v>1</v>
      </c>
      <c r="S346" s="570">
        <v>0</v>
      </c>
      <c r="T346" s="991">
        <f>VLOOKUP($D346,transmitter_from_BP!$B:$F,4,0)</f>
        <v>0</v>
      </c>
      <c r="U346" s="570">
        <v>650</v>
      </c>
      <c r="V346" s="991">
        <f>VLOOKUP($D346,transmitter_from_BP!$B:$F,3,0)</f>
        <v>650</v>
      </c>
      <c r="W346" s="570">
        <v>0</v>
      </c>
      <c r="X346" s="555"/>
      <c r="Y346" s="614">
        <v>202.454579175833</v>
      </c>
      <c r="Z346" s="610"/>
    </row>
    <row r="347" spans="1:26" s="514" customFormat="1">
      <c r="A347" s="519" t="s">
        <v>4579</v>
      </c>
      <c r="B347" s="520"/>
      <c r="C347" s="521"/>
      <c r="D347" s="759" t="s">
        <v>9742</v>
      </c>
      <c r="E347" s="782"/>
      <c r="F347" s="774" t="s">
        <v>5802</v>
      </c>
      <c r="G347" s="981" t="s">
        <v>11277</v>
      </c>
      <c r="H347" s="755" t="str">
        <f>VLOOKUP($D347,transmitter_from_BP!$B:$F,2,0)</f>
        <v>CDU HEATER PASS 1 OUTLET</v>
      </c>
      <c r="I347" s="981" t="s">
        <v>11277</v>
      </c>
      <c r="J347" s="755" t="str">
        <f>VLOOKUP($D347,transmitter_from_BP!$B:$F,2,0)</f>
        <v>CDU HEATER PASS 1 OUTLET</v>
      </c>
      <c r="K347" s="981" t="s">
        <v>11676</v>
      </c>
      <c r="L347" s="1064" t="str">
        <f>VLOOKUP($D347,transmitter_from_BP!$B:$F,5,0)</f>
        <v>DEGC</v>
      </c>
      <c r="M347" s="570">
        <v>6</v>
      </c>
      <c r="N347" s="610">
        <v>6</v>
      </c>
      <c r="O347" s="570">
        <v>1</v>
      </c>
      <c r="P347" s="765">
        <v>1</v>
      </c>
      <c r="Q347" s="570">
        <v>1</v>
      </c>
      <c r="R347" s="555">
        <v>1</v>
      </c>
      <c r="S347" s="570">
        <v>-25</v>
      </c>
      <c r="T347" s="991">
        <f>VLOOKUP($D347,transmitter_from_BP!$B:$F,4,0)</f>
        <v>-25</v>
      </c>
      <c r="U347" s="570">
        <v>1116</v>
      </c>
      <c r="V347" s="991">
        <f>VLOOKUP($D347,transmitter_from_BP!$B:$F,3,0)</f>
        <v>1116</v>
      </c>
      <c r="W347" s="570">
        <v>0</v>
      </c>
      <c r="X347" s="555"/>
      <c r="Y347" s="614">
        <v>380.34996119465899</v>
      </c>
      <c r="Z347" s="610"/>
    </row>
    <row r="348" spans="1:26" s="514" customFormat="1">
      <c r="A348" s="519" t="s">
        <v>4579</v>
      </c>
      <c r="B348" s="520"/>
      <c r="C348" s="521"/>
      <c r="D348" s="759" t="s">
        <v>9743</v>
      </c>
      <c r="E348" s="517"/>
      <c r="F348" s="556" t="s">
        <v>5803</v>
      </c>
      <c r="G348" s="981" t="s">
        <v>11278</v>
      </c>
      <c r="H348" s="755" t="str">
        <f>VLOOKUP($D348,transmitter_from_BP!$B:$F,2,0)</f>
        <v>CDU HEATER PASS 2 OUTLET</v>
      </c>
      <c r="I348" s="981" t="s">
        <v>11278</v>
      </c>
      <c r="J348" s="755" t="str">
        <f>VLOOKUP($D348,transmitter_from_BP!$B:$F,2,0)</f>
        <v>CDU HEATER PASS 2 OUTLET</v>
      </c>
      <c r="K348" s="981" t="s">
        <v>11676</v>
      </c>
      <c r="L348" s="1064" t="str">
        <f>VLOOKUP($D348,transmitter_from_BP!$B:$F,5,0)</f>
        <v>DEGC</v>
      </c>
      <c r="M348" s="570">
        <v>6</v>
      </c>
      <c r="N348" s="610">
        <v>6</v>
      </c>
      <c r="O348" s="570">
        <v>1</v>
      </c>
      <c r="P348" s="765">
        <v>1</v>
      </c>
      <c r="Q348" s="570">
        <v>1</v>
      </c>
      <c r="R348" s="555">
        <v>1</v>
      </c>
      <c r="S348" s="570">
        <v>-25</v>
      </c>
      <c r="T348" s="991">
        <f>VLOOKUP($D348,transmitter_from_BP!$B:$F,4,0)</f>
        <v>-25</v>
      </c>
      <c r="U348" s="570">
        <v>1116</v>
      </c>
      <c r="V348" s="991">
        <f>VLOOKUP($D348,transmitter_from_BP!$B:$F,3,0)</f>
        <v>1116</v>
      </c>
      <c r="W348" s="570">
        <v>0</v>
      </c>
      <c r="X348" s="555"/>
      <c r="Y348" s="614">
        <v>384.10369957179</v>
      </c>
      <c r="Z348" s="610"/>
    </row>
    <row r="349" spans="1:26" s="514" customFormat="1">
      <c r="A349" s="519" t="s">
        <v>4579</v>
      </c>
      <c r="B349" s="520"/>
      <c r="C349" s="521"/>
      <c r="D349" s="759" t="s">
        <v>9744</v>
      </c>
      <c r="E349" s="517"/>
      <c r="F349" s="556" t="s">
        <v>5804</v>
      </c>
      <c r="G349" s="981" t="s">
        <v>11279</v>
      </c>
      <c r="H349" s="755" t="str">
        <f>VLOOKUP($D349,transmitter_from_BP!$B:$F,2,0)</f>
        <v>CDU HEATER PASS 3 OUTLET</v>
      </c>
      <c r="I349" s="981" t="s">
        <v>11279</v>
      </c>
      <c r="J349" s="755" t="str">
        <f>VLOOKUP($D349,transmitter_from_BP!$B:$F,2,0)</f>
        <v>CDU HEATER PASS 3 OUTLET</v>
      </c>
      <c r="K349" s="981" t="s">
        <v>11676</v>
      </c>
      <c r="L349" s="1064" t="str">
        <f>VLOOKUP($D349,transmitter_from_BP!$B:$F,5,0)</f>
        <v>DEGC</v>
      </c>
      <c r="M349" s="570">
        <v>6</v>
      </c>
      <c r="N349" s="610">
        <v>6</v>
      </c>
      <c r="O349" s="570">
        <v>1</v>
      </c>
      <c r="P349" s="765">
        <v>1</v>
      </c>
      <c r="Q349" s="570">
        <v>1</v>
      </c>
      <c r="R349" s="555">
        <v>1</v>
      </c>
      <c r="S349" s="570">
        <v>-25</v>
      </c>
      <c r="T349" s="991">
        <f>VLOOKUP($D349,transmitter_from_BP!$B:$F,4,0)</f>
        <v>-25</v>
      </c>
      <c r="U349" s="570">
        <v>1116</v>
      </c>
      <c r="V349" s="991">
        <f>VLOOKUP($D349,transmitter_from_BP!$B:$F,3,0)</f>
        <v>1116</v>
      </c>
      <c r="W349" s="570">
        <v>0</v>
      </c>
      <c r="X349" s="555"/>
      <c r="Y349" s="614">
        <v>393.26743889092302</v>
      </c>
      <c r="Z349" s="610"/>
    </row>
    <row r="350" spans="1:26" s="514" customFormat="1">
      <c r="A350" s="519" t="s">
        <v>4579</v>
      </c>
      <c r="B350" s="520"/>
      <c r="C350" s="521"/>
      <c r="D350" s="759" t="s">
        <v>9745</v>
      </c>
      <c r="E350" s="517"/>
      <c r="F350" s="556" t="s">
        <v>5805</v>
      </c>
      <c r="G350" s="981" t="s">
        <v>11280</v>
      </c>
      <c r="H350" s="755" t="str">
        <f>VLOOKUP($D350,transmitter_from_BP!$B:$F,2,0)</f>
        <v>CDU HEATER PASS 4 OUTLET</v>
      </c>
      <c r="I350" s="981" t="s">
        <v>11280</v>
      </c>
      <c r="J350" s="755" t="str">
        <f>VLOOKUP($D350,transmitter_from_BP!$B:$F,2,0)</f>
        <v>CDU HEATER PASS 4 OUTLET</v>
      </c>
      <c r="K350" s="981" t="s">
        <v>11676</v>
      </c>
      <c r="L350" s="1064" t="str">
        <f>VLOOKUP($D350,transmitter_from_BP!$B:$F,5,0)</f>
        <v>DEGC</v>
      </c>
      <c r="M350" s="570">
        <v>6</v>
      </c>
      <c r="N350" s="610">
        <v>6</v>
      </c>
      <c r="O350" s="570">
        <v>1</v>
      </c>
      <c r="P350" s="765">
        <v>1</v>
      </c>
      <c r="Q350" s="570">
        <v>1</v>
      </c>
      <c r="R350" s="555">
        <v>1</v>
      </c>
      <c r="S350" s="570">
        <v>-25</v>
      </c>
      <c r="T350" s="991">
        <f>VLOOKUP($D350,transmitter_from_BP!$B:$F,4,0)</f>
        <v>-25</v>
      </c>
      <c r="U350" s="570">
        <v>1116</v>
      </c>
      <c r="V350" s="991">
        <f>VLOOKUP($D350,transmitter_from_BP!$B:$F,3,0)</f>
        <v>1116</v>
      </c>
      <c r="W350" s="570">
        <v>0</v>
      </c>
      <c r="X350" s="555"/>
      <c r="Y350" s="614">
        <v>393.08420191797097</v>
      </c>
      <c r="Z350" s="610"/>
    </row>
    <row r="351" spans="1:26" s="514" customFormat="1">
      <c r="A351" s="519" t="s">
        <v>4579</v>
      </c>
      <c r="B351" s="520"/>
      <c r="C351" s="521"/>
      <c r="D351" s="759" t="s">
        <v>9746</v>
      </c>
      <c r="E351" s="782"/>
      <c r="F351" s="774" t="s">
        <v>5806</v>
      </c>
      <c r="G351" s="981" t="s">
        <v>11281</v>
      </c>
      <c r="H351" s="555" t="str">
        <f>VLOOKUP($D351,transmitter_from_BP!$B:$F,2,0)</f>
        <v>CDU HEATER PASS 5 OUTLET</v>
      </c>
      <c r="I351" s="981" t="s">
        <v>11281</v>
      </c>
      <c r="J351" s="755" t="str">
        <f>VLOOKUP($D351,transmitter_from_BP!$B:$F,2,0)</f>
        <v>CDU HEATER PASS 5 OUTLET</v>
      </c>
      <c r="K351" s="981" t="s">
        <v>11676</v>
      </c>
      <c r="L351" s="1064" t="str">
        <f>VLOOKUP($D351,transmitter_from_BP!$B:$F,5,0)</f>
        <v>DEGC</v>
      </c>
      <c r="M351" s="570">
        <v>6</v>
      </c>
      <c r="N351" s="610">
        <v>6</v>
      </c>
      <c r="O351" s="570">
        <v>1</v>
      </c>
      <c r="P351" s="765">
        <v>1</v>
      </c>
      <c r="Q351" s="570">
        <v>1</v>
      </c>
      <c r="R351" s="555">
        <v>1</v>
      </c>
      <c r="S351" s="570">
        <v>-25</v>
      </c>
      <c r="T351" s="991">
        <f>VLOOKUP($D351,transmitter_from_BP!$B:$F,4,0)</f>
        <v>-25</v>
      </c>
      <c r="U351" s="570">
        <v>1116</v>
      </c>
      <c r="V351" s="991">
        <f>VLOOKUP($D351,transmitter_from_BP!$B:$F,3,0)</f>
        <v>1116</v>
      </c>
      <c r="W351" s="570">
        <v>0</v>
      </c>
      <c r="X351" s="555"/>
      <c r="Y351" s="614">
        <v>393.08416338900298</v>
      </c>
      <c r="Z351" s="610"/>
    </row>
    <row r="352" spans="1:26" s="514" customFormat="1">
      <c r="A352" s="519" t="s">
        <v>4579</v>
      </c>
      <c r="B352" s="520"/>
      <c r="C352" s="521"/>
      <c r="D352" s="759" t="s">
        <v>9747</v>
      </c>
      <c r="E352" s="782"/>
      <c r="F352" s="774" t="s">
        <v>5807</v>
      </c>
      <c r="G352" s="981" t="s">
        <v>11282</v>
      </c>
      <c r="H352" s="555" t="str">
        <f>VLOOKUP($D352,transmitter_from_BP!$B:$F,2,0)</f>
        <v>CDU HEATER PASS 6 OUTLET</v>
      </c>
      <c r="I352" s="981" t="s">
        <v>11282</v>
      </c>
      <c r="J352" s="755" t="str">
        <f>VLOOKUP($D352,transmitter_from_BP!$B:$F,2,0)</f>
        <v>CDU HEATER PASS 6 OUTLET</v>
      </c>
      <c r="K352" s="981" t="s">
        <v>11676</v>
      </c>
      <c r="L352" s="1064" t="str">
        <f>VLOOKUP($D352,transmitter_from_BP!$B:$F,5,0)</f>
        <v>DEGC</v>
      </c>
      <c r="M352" s="570">
        <v>6</v>
      </c>
      <c r="N352" s="610">
        <v>6</v>
      </c>
      <c r="O352" s="570">
        <v>1</v>
      </c>
      <c r="P352" s="765">
        <v>1</v>
      </c>
      <c r="Q352" s="570">
        <v>1</v>
      </c>
      <c r="R352" s="555">
        <v>1</v>
      </c>
      <c r="S352" s="570">
        <v>-25</v>
      </c>
      <c r="T352" s="991">
        <f>VLOOKUP($D352,transmitter_from_BP!$B:$F,4,0)</f>
        <v>-25</v>
      </c>
      <c r="U352" s="570">
        <v>1116</v>
      </c>
      <c r="V352" s="991">
        <f>VLOOKUP($D352,transmitter_from_BP!$B:$F,3,0)</f>
        <v>1116</v>
      </c>
      <c r="W352" s="570">
        <v>0</v>
      </c>
      <c r="X352" s="555"/>
      <c r="Y352" s="614">
        <v>393.26743031325702</v>
      </c>
      <c r="Z352" s="610"/>
    </row>
    <row r="353" spans="1:26" s="514" customFormat="1">
      <c r="A353" s="519" t="s">
        <v>4579</v>
      </c>
      <c r="B353" s="520"/>
      <c r="C353" s="521"/>
      <c r="D353" s="759" t="s">
        <v>9748</v>
      </c>
      <c r="E353" s="782"/>
      <c r="F353" s="774" t="s">
        <v>5808</v>
      </c>
      <c r="G353" s="981" t="s">
        <v>11283</v>
      </c>
      <c r="H353" s="555" t="str">
        <f>VLOOKUP($D353,transmitter_from_BP!$B:$F,2,0)</f>
        <v>CDU HEATER PASS 7 OUTLET</v>
      </c>
      <c r="I353" s="981" t="s">
        <v>11283</v>
      </c>
      <c r="J353" s="755" t="str">
        <f>VLOOKUP($D353,transmitter_from_BP!$B:$F,2,0)</f>
        <v>CDU HEATER PASS 7 OUTLET</v>
      </c>
      <c r="K353" s="981" t="s">
        <v>11676</v>
      </c>
      <c r="L353" s="1064" t="str">
        <f>VLOOKUP($D353,transmitter_from_BP!$B:$F,5,0)</f>
        <v>DEGC</v>
      </c>
      <c r="M353" s="570">
        <v>6</v>
      </c>
      <c r="N353" s="610">
        <v>6</v>
      </c>
      <c r="O353" s="570">
        <v>1</v>
      </c>
      <c r="P353" s="765">
        <v>1</v>
      </c>
      <c r="Q353" s="570">
        <v>1</v>
      </c>
      <c r="R353" s="555">
        <v>1</v>
      </c>
      <c r="S353" s="570">
        <v>-25</v>
      </c>
      <c r="T353" s="991">
        <f>VLOOKUP($D353,transmitter_from_BP!$B:$F,4,0)</f>
        <v>-25</v>
      </c>
      <c r="U353" s="570">
        <v>1116</v>
      </c>
      <c r="V353" s="991">
        <f>VLOOKUP($D353,transmitter_from_BP!$B:$F,3,0)</f>
        <v>1116</v>
      </c>
      <c r="W353" s="570">
        <v>0</v>
      </c>
      <c r="X353" s="555"/>
      <c r="Y353" s="614">
        <v>384.10365616138699</v>
      </c>
      <c r="Z353" s="610"/>
    </row>
    <row r="354" spans="1:26" s="514" customFormat="1">
      <c r="A354" s="756" t="s">
        <v>4579</v>
      </c>
      <c r="B354" s="757"/>
      <c r="C354" s="521"/>
      <c r="D354" s="759" t="s">
        <v>9749</v>
      </c>
      <c r="E354" s="517"/>
      <c r="F354" s="556" t="s">
        <v>5809</v>
      </c>
      <c r="G354" s="981" t="s">
        <v>11284</v>
      </c>
      <c r="H354" s="555" t="str">
        <f>VLOOKUP($D354,transmitter_from_BP!$B:$F,2,0)</f>
        <v>CDU HEATER PASS 8 OUTLET</v>
      </c>
      <c r="I354" s="981" t="s">
        <v>11284</v>
      </c>
      <c r="J354" s="755" t="str">
        <f>VLOOKUP($D354,transmitter_from_BP!$B:$F,2,0)</f>
        <v>CDU HEATER PASS 8 OUTLET</v>
      </c>
      <c r="K354" s="981" t="s">
        <v>11676</v>
      </c>
      <c r="L354" s="1064" t="str">
        <f>VLOOKUP($D354,transmitter_from_BP!$B:$F,5,0)</f>
        <v>DEGC</v>
      </c>
      <c r="M354" s="570">
        <v>6</v>
      </c>
      <c r="N354" s="610">
        <v>6</v>
      </c>
      <c r="O354" s="570">
        <v>1</v>
      </c>
      <c r="P354" s="765">
        <v>1</v>
      </c>
      <c r="Q354" s="570">
        <v>1</v>
      </c>
      <c r="R354" s="555">
        <v>1</v>
      </c>
      <c r="S354" s="570">
        <v>-25</v>
      </c>
      <c r="T354" s="991">
        <f>VLOOKUP($D354,transmitter_from_BP!$B:$F,4,0)</f>
        <v>-25</v>
      </c>
      <c r="U354" s="570">
        <v>1116</v>
      </c>
      <c r="V354" s="991">
        <f>VLOOKUP($D354,transmitter_from_BP!$B:$F,3,0)</f>
        <v>1116</v>
      </c>
      <c r="W354" s="570">
        <v>0</v>
      </c>
      <c r="X354" s="555"/>
      <c r="Y354" s="614">
        <v>380.34442352003902</v>
      </c>
      <c r="Z354" s="610"/>
    </row>
    <row r="355" spans="1:26" s="514" customFormat="1">
      <c r="A355" s="519" t="s">
        <v>4579</v>
      </c>
      <c r="B355" s="520"/>
      <c r="C355" s="521"/>
      <c r="D355" s="759" t="s">
        <v>9750</v>
      </c>
      <c r="E355" s="517"/>
      <c r="F355" s="556" t="s">
        <v>5833</v>
      </c>
      <c r="G355" s="981" t="s">
        <v>11285</v>
      </c>
      <c r="H355" s="555" t="str">
        <f>VLOOKUP($D355,transmitter_from_BP!$B:$F,2,0)</f>
        <v>HZ2101 LP STEAM TO STEAM COIL</v>
      </c>
      <c r="I355" s="981" t="s">
        <v>11285</v>
      </c>
      <c r="J355" s="755" t="str">
        <f>VLOOKUP($D355,transmitter_from_BP!$B:$F,2,0)</f>
        <v>HZ2101 LP STEAM TO STEAM COIL</v>
      </c>
      <c r="K355" s="981" t="s">
        <v>11676</v>
      </c>
      <c r="L355" s="555" t="str">
        <f>VLOOKUP($D355,transmitter_from_BP!$B:$F,5,0)</f>
        <v>DEGC</v>
      </c>
      <c r="M355" s="570">
        <v>6</v>
      </c>
      <c r="N355" s="610">
        <v>6</v>
      </c>
      <c r="O355" s="570">
        <v>1</v>
      </c>
      <c r="P355" s="765">
        <v>1</v>
      </c>
      <c r="Q355" s="570">
        <v>1</v>
      </c>
      <c r="R355" s="555">
        <v>1</v>
      </c>
      <c r="S355" s="570">
        <v>-25</v>
      </c>
      <c r="T355" s="991">
        <f>VLOOKUP($D355,transmitter_from_BP!$B:$F,4,0)</f>
        <v>-25</v>
      </c>
      <c r="U355" s="570">
        <v>1116</v>
      </c>
      <c r="V355" s="991">
        <f>VLOOKUP($D355,transmitter_from_BP!$B:$F,3,0)</f>
        <v>1116</v>
      </c>
      <c r="W355" s="570">
        <v>0</v>
      </c>
      <c r="X355" s="555"/>
      <c r="Y355" s="614">
        <v>147.82844418756201</v>
      </c>
      <c r="Z355" s="610"/>
    </row>
    <row r="356" spans="1:26" s="514" customFormat="1">
      <c r="A356" s="519" t="s">
        <v>4579</v>
      </c>
      <c r="B356" s="520"/>
      <c r="C356" s="521"/>
      <c r="D356" s="759" t="s">
        <v>9751</v>
      </c>
      <c r="E356" s="517"/>
      <c r="F356" s="556" t="s">
        <v>5832</v>
      </c>
      <c r="G356" s="981" t="s">
        <v>11286</v>
      </c>
      <c r="H356" s="555" t="str">
        <f>VLOOKUP($D356,transmitter_from_BP!$B:$F,2,0)</f>
        <v>HZ2101 COIL OUTLET</v>
      </c>
      <c r="I356" s="981" t="s">
        <v>11286</v>
      </c>
      <c r="J356" s="755" t="str">
        <f>VLOOKUP($D356,transmitter_from_BP!$B:$F,2,0)</f>
        <v>HZ2101 COIL OUTLET</v>
      </c>
      <c r="K356" s="981" t="s">
        <v>11676</v>
      </c>
      <c r="L356" s="1064" t="str">
        <f>VLOOKUP($D356,transmitter_from_BP!$B:$F,5,0)</f>
        <v>DEGC</v>
      </c>
      <c r="M356" s="570">
        <v>6</v>
      </c>
      <c r="N356" s="610">
        <v>6</v>
      </c>
      <c r="O356" s="570">
        <v>1</v>
      </c>
      <c r="P356" s="765">
        <v>1</v>
      </c>
      <c r="Q356" s="570">
        <v>1</v>
      </c>
      <c r="R356" s="555">
        <v>1</v>
      </c>
      <c r="S356" s="570">
        <v>-25</v>
      </c>
      <c r="T356" s="991">
        <f>VLOOKUP($D356,transmitter_from_BP!$B:$F,4,0)</f>
        <v>-25</v>
      </c>
      <c r="U356" s="570">
        <v>1116</v>
      </c>
      <c r="V356" s="991">
        <f>VLOOKUP($D356,transmitter_from_BP!$B:$F,3,0)</f>
        <v>1116</v>
      </c>
      <c r="W356" s="570">
        <v>0</v>
      </c>
      <c r="X356" s="555"/>
      <c r="Y356" s="614">
        <v>375.42646734833397</v>
      </c>
      <c r="Z356" s="610"/>
    </row>
    <row r="357" spans="1:26" s="514" customFormat="1">
      <c r="A357" s="519" t="s">
        <v>4579</v>
      </c>
      <c r="B357" s="520"/>
      <c r="C357" s="521"/>
      <c r="D357" s="759" t="s">
        <v>9752</v>
      </c>
      <c r="E357" s="782"/>
      <c r="F357" s="556" t="s">
        <v>8616</v>
      </c>
      <c r="G357" s="981" t="s">
        <v>11117</v>
      </c>
      <c r="H357" s="555" t="str">
        <f>VLOOKUP($D357,transmitter_from_BP!$B:$F,2,0)</f>
        <v>CDU TOWER TOP</v>
      </c>
      <c r="I357" s="981" t="s">
        <v>11117</v>
      </c>
      <c r="J357" s="755" t="str">
        <f>VLOOKUP($D357,transmitter_from_BP!$B:$F,2,0)</f>
        <v>CDU TOWER TOP</v>
      </c>
      <c r="K357" s="981" t="s">
        <v>11676</v>
      </c>
      <c r="L357" s="1064" t="str">
        <f>VLOOKUP($D357,transmitter_from_BP!$B:$F,5,0)</f>
        <v>DEGC</v>
      </c>
      <c r="M357" s="570">
        <v>6</v>
      </c>
      <c r="N357" s="610">
        <v>6</v>
      </c>
      <c r="O357" s="570">
        <v>1</v>
      </c>
      <c r="P357" s="765">
        <v>1</v>
      </c>
      <c r="Q357" s="570">
        <v>1</v>
      </c>
      <c r="R357" s="555">
        <v>1</v>
      </c>
      <c r="S357" s="570">
        <v>-25</v>
      </c>
      <c r="T357" s="991">
        <f>VLOOKUP($D357,transmitter_from_BP!$B:$F,4,0)</f>
        <v>-25</v>
      </c>
      <c r="U357" s="570">
        <v>523</v>
      </c>
      <c r="V357" s="991">
        <f>VLOOKUP($D357,transmitter_from_BP!$B:$F,3,0)</f>
        <v>523</v>
      </c>
      <c r="W357" s="570">
        <v>0</v>
      </c>
      <c r="X357" s="555"/>
      <c r="Y357" s="614">
        <v>202.562865967932</v>
      </c>
      <c r="Z357" s="610"/>
    </row>
    <row r="358" spans="1:26" s="753" customFormat="1">
      <c r="A358" s="756" t="s">
        <v>4579</v>
      </c>
      <c r="B358" s="757"/>
      <c r="C358" s="758"/>
      <c r="D358" s="773" t="s">
        <v>9753</v>
      </c>
      <c r="E358" s="782"/>
      <c r="F358" s="774" t="s">
        <v>8617</v>
      </c>
      <c r="G358" s="981" t="s">
        <v>11287</v>
      </c>
      <c r="H358" s="772" t="str">
        <f>VLOOKUP($D358,transmitter_from_BP!$B:$F,2,0)</f>
        <v>TPA EX CDU TOWER</v>
      </c>
      <c r="I358" s="981" t="s">
        <v>11287</v>
      </c>
      <c r="J358" s="772" t="str">
        <f>VLOOKUP($D358,transmitter_from_BP!$B:$F,2,0)</f>
        <v>TPA EX CDU TOWER</v>
      </c>
      <c r="K358" s="981" t="s">
        <v>11676</v>
      </c>
      <c r="L358" s="1064" t="str">
        <f>VLOOKUP($D358,transmitter_from_BP!$B:$F,5,0)</f>
        <v>DEGC</v>
      </c>
      <c r="M358" s="783">
        <v>6</v>
      </c>
      <c r="N358" s="772">
        <v>6</v>
      </c>
      <c r="O358" s="783">
        <v>1</v>
      </c>
      <c r="P358" s="772">
        <v>1</v>
      </c>
      <c r="Q358" s="783">
        <v>1</v>
      </c>
      <c r="R358" s="772">
        <v>1</v>
      </c>
      <c r="S358" s="783">
        <v>-25</v>
      </c>
      <c r="T358" s="991">
        <f>VLOOKUP($D358,transmitter_from_BP!$B:$F,4,0)</f>
        <v>-25</v>
      </c>
      <c r="U358" s="783">
        <v>523</v>
      </c>
      <c r="V358" s="991">
        <f>VLOOKUP($D358,transmitter_from_BP!$B:$F,3,0)</f>
        <v>523</v>
      </c>
      <c r="W358" s="783">
        <v>0</v>
      </c>
      <c r="X358" s="772"/>
      <c r="Y358" s="783">
        <v>214.963926111528</v>
      </c>
      <c r="Z358" s="772"/>
    </row>
    <row r="359" spans="1:26" s="753" customFormat="1">
      <c r="A359" s="756" t="s">
        <v>4579</v>
      </c>
      <c r="B359" s="757"/>
      <c r="C359" s="758"/>
      <c r="D359" s="773" t="s">
        <v>9754</v>
      </c>
      <c r="E359" s="782"/>
      <c r="F359" s="774" t="s">
        <v>8623</v>
      </c>
      <c r="G359" s="981" t="s">
        <v>11288</v>
      </c>
      <c r="H359" s="772" t="str">
        <f>VLOOKUP($D359,transmitter_from_BP!$B:$F,2,0)</f>
        <v>MPA/LGO EX CDU TOWER</v>
      </c>
      <c r="I359" s="981" t="s">
        <v>11288</v>
      </c>
      <c r="J359" s="772" t="str">
        <f>VLOOKUP($D359,transmitter_from_BP!$B:$F,2,0)</f>
        <v>MPA/LGO EX CDU TOWER</v>
      </c>
      <c r="K359" s="981" t="s">
        <v>11676</v>
      </c>
      <c r="L359" s="1064" t="str">
        <f>VLOOKUP($D359,transmitter_from_BP!$B:$F,5,0)</f>
        <v>DEGC</v>
      </c>
      <c r="M359" s="783">
        <v>6</v>
      </c>
      <c r="N359" s="772">
        <v>6</v>
      </c>
      <c r="O359" s="783">
        <v>1</v>
      </c>
      <c r="P359" s="772">
        <v>1</v>
      </c>
      <c r="Q359" s="783">
        <v>1</v>
      </c>
      <c r="R359" s="772">
        <v>1</v>
      </c>
      <c r="S359" s="783">
        <v>-25</v>
      </c>
      <c r="T359" s="991">
        <f>VLOOKUP($D359,transmitter_from_BP!$B:$F,4,0)</f>
        <v>-25</v>
      </c>
      <c r="U359" s="783">
        <v>523</v>
      </c>
      <c r="V359" s="991">
        <f>VLOOKUP($D359,transmitter_from_BP!$B:$F,3,0)</f>
        <v>523</v>
      </c>
      <c r="W359" s="783">
        <v>0</v>
      </c>
      <c r="X359" s="772"/>
      <c r="Y359" s="783">
        <v>271.79566461299999</v>
      </c>
      <c r="Z359" s="772"/>
    </row>
    <row r="360" spans="1:26" s="753" customFormat="1">
      <c r="A360" s="756" t="s">
        <v>4579</v>
      </c>
      <c r="B360" s="757"/>
      <c r="C360" s="758"/>
      <c r="D360" s="773" t="s">
        <v>8624</v>
      </c>
      <c r="E360" s="782"/>
      <c r="F360" s="774" t="s">
        <v>8625</v>
      </c>
      <c r="G360" s="981" t="s">
        <v>11289</v>
      </c>
      <c r="H360" s="772" t="str">
        <f>VLOOKUP($D360,transmitter_from_BP!$B:$F,2,0)</f>
        <v>BPA/HGO EX CDU TOWER</v>
      </c>
      <c r="I360" s="981" t="s">
        <v>11289</v>
      </c>
      <c r="J360" s="772" t="str">
        <f>VLOOKUP($D360,transmitter_from_BP!$B:$F,2,0)</f>
        <v>BPA/HGO EX CDU TOWER</v>
      </c>
      <c r="K360" s="981" t="s">
        <v>11676</v>
      </c>
      <c r="L360" s="1064" t="str">
        <f>VLOOKUP($D360,transmitter_from_BP!$B:$F,5,0)</f>
        <v>DEGC</v>
      </c>
      <c r="M360" s="783">
        <v>6</v>
      </c>
      <c r="N360" s="772">
        <v>6</v>
      </c>
      <c r="O360" s="783">
        <v>1</v>
      </c>
      <c r="P360" s="772">
        <v>1</v>
      </c>
      <c r="Q360" s="783">
        <v>1</v>
      </c>
      <c r="R360" s="772">
        <v>1</v>
      </c>
      <c r="S360" s="783">
        <v>-25</v>
      </c>
      <c r="T360" s="991">
        <f>VLOOKUP($D360,transmitter_from_BP!$B:$F,4,0)</f>
        <v>-25</v>
      </c>
      <c r="U360" s="783">
        <v>523</v>
      </c>
      <c r="V360" s="991">
        <f>VLOOKUP($D360,transmitter_from_BP!$B:$F,3,0)</f>
        <v>523</v>
      </c>
      <c r="W360" s="783">
        <v>0</v>
      </c>
      <c r="X360" s="772"/>
      <c r="Y360" s="783">
        <v>347.62778256786902</v>
      </c>
      <c r="Z360" s="772"/>
    </row>
    <row r="361" spans="1:26" s="753" customFormat="1">
      <c r="A361" s="756" t="s">
        <v>4579</v>
      </c>
      <c r="B361" s="757"/>
      <c r="C361" s="758"/>
      <c r="D361" s="773" t="s">
        <v>9755</v>
      </c>
      <c r="E361" s="782"/>
      <c r="F361" s="774" t="s">
        <v>8618</v>
      </c>
      <c r="G361" s="981" t="s">
        <v>11290</v>
      </c>
      <c r="H361" s="772" t="str">
        <f>VLOOKUP($D361,transmitter_from_BP!$B:$F,2,0)</f>
        <v>RESIDU EX TOWER</v>
      </c>
      <c r="I361" s="981" t="s">
        <v>11290</v>
      </c>
      <c r="J361" s="772" t="str">
        <f>VLOOKUP($D361,transmitter_from_BP!$B:$F,2,0)</f>
        <v>RESIDU EX TOWER</v>
      </c>
      <c r="K361" s="981" t="s">
        <v>11676</v>
      </c>
      <c r="L361" s="1064" t="str">
        <f>VLOOKUP($D361,transmitter_from_BP!$B:$F,5,0)</f>
        <v>DEGC</v>
      </c>
      <c r="M361" s="783">
        <v>6</v>
      </c>
      <c r="N361" s="772">
        <v>6</v>
      </c>
      <c r="O361" s="783">
        <v>1</v>
      </c>
      <c r="P361" s="772">
        <v>1</v>
      </c>
      <c r="Q361" s="783">
        <v>1</v>
      </c>
      <c r="R361" s="772">
        <v>1</v>
      </c>
      <c r="S361" s="783">
        <v>-19</v>
      </c>
      <c r="T361" s="991">
        <f>VLOOKUP($D361,transmitter_from_BP!$B:$F,4,0)</f>
        <v>-19</v>
      </c>
      <c r="U361" s="783">
        <v>624</v>
      </c>
      <c r="V361" s="991">
        <f>VLOOKUP($D361,transmitter_from_BP!$B:$F,3,0)</f>
        <v>624</v>
      </c>
      <c r="W361" s="783">
        <v>0</v>
      </c>
      <c r="X361" s="772"/>
      <c r="Y361" s="783">
        <v>328.25423253640298</v>
      </c>
      <c r="Z361" s="772"/>
    </row>
    <row r="362" spans="1:26" s="753" customFormat="1">
      <c r="A362" s="756" t="s">
        <v>4579</v>
      </c>
      <c r="B362" s="757"/>
      <c r="C362" s="758"/>
      <c r="D362" s="773" t="s">
        <v>1856</v>
      </c>
      <c r="E362" s="782"/>
      <c r="F362" s="774" t="s">
        <v>9318</v>
      </c>
      <c r="G362" s="981" t="s">
        <v>11291</v>
      </c>
      <c r="H362" s="772" t="str">
        <f>VLOOKUP($D362,transmitter_from_BP!$B:$F,2,0)</f>
        <v>LGO EX DRIER</v>
      </c>
      <c r="I362" s="981" t="s">
        <v>11291</v>
      </c>
      <c r="J362" s="772" t="str">
        <f>VLOOKUP($D362,transmitter_from_BP!$B:$F,2,0)</f>
        <v>LGO EX DRIER</v>
      </c>
      <c r="K362" s="981" t="s">
        <v>11676</v>
      </c>
      <c r="L362" s="1064" t="str">
        <f>VLOOKUP($D362,transmitter_from_BP!$B:$F,5,0)</f>
        <v>DEGC</v>
      </c>
      <c r="M362" s="783">
        <v>6</v>
      </c>
      <c r="N362" s="772">
        <v>6</v>
      </c>
      <c r="O362" s="783">
        <v>1</v>
      </c>
      <c r="P362" s="772">
        <v>1</v>
      </c>
      <c r="Q362" s="783">
        <v>1</v>
      </c>
      <c r="R362" s="772">
        <v>1</v>
      </c>
      <c r="S362" s="783">
        <v>-25</v>
      </c>
      <c r="T362" s="991">
        <f>VLOOKUP($D362,transmitter_from_BP!$B:$F,4,0)</f>
        <v>-25</v>
      </c>
      <c r="U362" s="783">
        <v>523</v>
      </c>
      <c r="V362" s="991">
        <f>VLOOKUP($D362,transmitter_from_BP!$B:$F,3,0)</f>
        <v>523</v>
      </c>
      <c r="W362" s="783">
        <v>0</v>
      </c>
      <c r="X362" s="772"/>
      <c r="Y362" s="783">
        <v>156.662442868938</v>
      </c>
      <c r="Z362" s="772"/>
    </row>
    <row r="363" spans="1:26" s="753" customFormat="1">
      <c r="A363" s="756" t="s">
        <v>4579</v>
      </c>
      <c r="B363" s="757"/>
      <c r="C363" s="758"/>
      <c r="D363" s="773" t="s">
        <v>9756</v>
      </c>
      <c r="E363" s="782"/>
      <c r="F363" s="774" t="s">
        <v>8647</v>
      </c>
      <c r="G363" s="981" t="s">
        <v>11292</v>
      </c>
      <c r="H363" s="772" t="str">
        <f>VLOOKUP($D363,transmitter_from_BP!$B:$F,2,0)</f>
        <v>LGO EX STRIPPER</v>
      </c>
      <c r="I363" s="981" t="s">
        <v>11292</v>
      </c>
      <c r="J363" s="772" t="str">
        <f>VLOOKUP($D363,transmitter_from_BP!$B:$F,2,0)</f>
        <v>LGO EX STRIPPER</v>
      </c>
      <c r="K363" s="981" t="s">
        <v>11676</v>
      </c>
      <c r="L363" s="1064" t="str">
        <f>VLOOKUP($D363,transmitter_from_BP!$B:$F,5,0)</f>
        <v>DEGC</v>
      </c>
      <c r="M363" s="783">
        <v>6</v>
      </c>
      <c r="N363" s="772">
        <v>6</v>
      </c>
      <c r="O363" s="783">
        <v>1</v>
      </c>
      <c r="P363" s="772">
        <v>1</v>
      </c>
      <c r="Q363" s="783">
        <v>1</v>
      </c>
      <c r="R363" s="772">
        <v>1</v>
      </c>
      <c r="S363" s="783">
        <v>-25</v>
      </c>
      <c r="T363" s="991">
        <f>VLOOKUP($D363,transmitter_from_BP!$B:$F,4,0)</f>
        <v>-25</v>
      </c>
      <c r="U363" s="783">
        <v>523</v>
      </c>
      <c r="V363" s="991">
        <f>VLOOKUP($D363,transmitter_from_BP!$B:$F,3,0)</f>
        <v>523</v>
      </c>
      <c r="W363" s="783">
        <v>0</v>
      </c>
      <c r="X363" s="772"/>
      <c r="Y363" s="783">
        <v>263.59751444038</v>
      </c>
      <c r="Z363" s="772"/>
    </row>
    <row r="364" spans="1:26" s="753" customFormat="1">
      <c r="A364" s="756" t="s">
        <v>4579</v>
      </c>
      <c r="B364" s="757"/>
      <c r="C364" s="758"/>
      <c r="D364" s="773" t="s">
        <v>9757</v>
      </c>
      <c r="E364" s="782"/>
      <c r="F364" s="774" t="s">
        <v>8780</v>
      </c>
      <c r="G364" s="981" t="s">
        <v>11293</v>
      </c>
      <c r="H364" s="772" t="str">
        <f>VLOOKUP($D364,transmitter_from_BP!$B:$F,2,0)</f>
        <v>HGO EX DRIER</v>
      </c>
      <c r="I364" s="981" t="s">
        <v>11293</v>
      </c>
      <c r="J364" s="772" t="str">
        <f>VLOOKUP($D364,transmitter_from_BP!$B:$F,2,0)</f>
        <v>HGO EX DRIER</v>
      </c>
      <c r="K364" s="981" t="s">
        <v>11676</v>
      </c>
      <c r="L364" s="1064" t="str">
        <f>VLOOKUP($D364,transmitter_from_BP!$B:$F,5,0)</f>
        <v>DEGC</v>
      </c>
      <c r="M364" s="783">
        <v>6</v>
      </c>
      <c r="N364" s="772">
        <v>6</v>
      </c>
      <c r="O364" s="783">
        <v>1</v>
      </c>
      <c r="P364" s="772">
        <v>1</v>
      </c>
      <c r="Q364" s="783">
        <v>1</v>
      </c>
      <c r="R364" s="772">
        <v>1</v>
      </c>
      <c r="S364" s="783">
        <v>-25</v>
      </c>
      <c r="T364" s="991">
        <f>VLOOKUP($D364,transmitter_from_BP!$B:$F,4,0)</f>
        <v>-25</v>
      </c>
      <c r="U364" s="783">
        <v>523</v>
      </c>
      <c r="V364" s="991">
        <f>VLOOKUP($D364,transmitter_from_BP!$B:$F,3,0)</f>
        <v>523</v>
      </c>
      <c r="W364" s="783">
        <v>0</v>
      </c>
      <c r="X364" s="772"/>
      <c r="Y364" s="783">
        <v>166.101430860558</v>
      </c>
      <c r="Z364" s="772"/>
    </row>
    <row r="365" spans="1:26" s="753" customFormat="1">
      <c r="A365" s="756" t="s">
        <v>4579</v>
      </c>
      <c r="B365" s="757"/>
      <c r="C365" s="758"/>
      <c r="D365" s="773" t="s">
        <v>9758</v>
      </c>
      <c r="E365" s="782"/>
      <c r="F365" s="774" t="s">
        <v>8648</v>
      </c>
      <c r="G365" s="981" t="s">
        <v>11294</v>
      </c>
      <c r="H365" s="772" t="str">
        <f>VLOOKUP($D365,transmitter_from_BP!$B:$F,2,0)</f>
        <v>HGO EX STRIPPER</v>
      </c>
      <c r="I365" s="981" t="s">
        <v>11294</v>
      </c>
      <c r="J365" s="772" t="str">
        <f>VLOOKUP($D365,transmitter_from_BP!$B:$F,2,0)</f>
        <v>HGO EX STRIPPER</v>
      </c>
      <c r="K365" s="981" t="s">
        <v>11676</v>
      </c>
      <c r="L365" s="1064" t="str">
        <f>VLOOKUP($D365,transmitter_from_BP!$B:$F,5,0)</f>
        <v>DEGC</v>
      </c>
      <c r="M365" s="783">
        <v>6</v>
      </c>
      <c r="N365" s="772">
        <v>6</v>
      </c>
      <c r="O365" s="783">
        <v>1</v>
      </c>
      <c r="P365" s="772">
        <v>1</v>
      </c>
      <c r="Q365" s="783">
        <v>1</v>
      </c>
      <c r="R365" s="772">
        <v>1</v>
      </c>
      <c r="S365" s="783">
        <v>-25</v>
      </c>
      <c r="T365" s="991">
        <f>VLOOKUP($D365,transmitter_from_BP!$B:$F,4,0)</f>
        <v>-25</v>
      </c>
      <c r="U365" s="783">
        <v>523</v>
      </c>
      <c r="V365" s="991">
        <f>VLOOKUP($D365,transmitter_from_BP!$B:$F,3,0)</f>
        <v>523</v>
      </c>
      <c r="W365" s="783">
        <v>0</v>
      </c>
      <c r="X365" s="772"/>
      <c r="Y365" s="783">
        <v>338.977862005281</v>
      </c>
      <c r="Z365" s="772"/>
    </row>
    <row r="366" spans="1:26" s="753" customFormat="1">
      <c r="A366" s="756" t="s">
        <v>4579</v>
      </c>
      <c r="B366" s="757"/>
      <c r="C366" s="758"/>
      <c r="D366" s="773" t="s">
        <v>9759</v>
      </c>
      <c r="E366" s="782"/>
      <c r="F366" s="774" t="s">
        <v>8717</v>
      </c>
      <c r="G366" s="981" t="s">
        <v>11295</v>
      </c>
      <c r="H366" s="772" t="str">
        <f>VLOOKUP($D366,transmitter_from_BP!$B:$F,2,0)</f>
        <v>MIXED GAS OIL EX L/HGO COND DR</v>
      </c>
      <c r="I366" s="981" t="s">
        <v>11295</v>
      </c>
      <c r="J366" s="772" t="str">
        <f>VLOOKUP($D366,transmitter_from_BP!$B:$F,2,0)</f>
        <v>MIXED GAS OIL EX L/HGO COND DR</v>
      </c>
      <c r="K366" s="981" t="s">
        <v>11676</v>
      </c>
      <c r="L366" s="1064" t="str">
        <f>VLOOKUP($D366,transmitter_from_BP!$B:$F,5,0)</f>
        <v>DEGC</v>
      </c>
      <c r="M366" s="783">
        <v>6</v>
      </c>
      <c r="N366" s="772">
        <v>6</v>
      </c>
      <c r="O366" s="783">
        <v>1</v>
      </c>
      <c r="P366" s="772">
        <v>1</v>
      </c>
      <c r="Q366" s="783">
        <v>1</v>
      </c>
      <c r="R366" s="772">
        <v>1</v>
      </c>
      <c r="S366" s="783">
        <v>-25</v>
      </c>
      <c r="T366" s="991">
        <f>VLOOKUP($D366,transmitter_from_BP!$B:$F,4,0)</f>
        <v>-25</v>
      </c>
      <c r="U366" s="783">
        <v>523</v>
      </c>
      <c r="V366" s="991">
        <f>VLOOKUP($D366,transmitter_from_BP!$B:$F,3,0)</f>
        <v>523</v>
      </c>
      <c r="W366" s="783">
        <v>0</v>
      </c>
      <c r="X366" s="772"/>
      <c r="Y366" s="783">
        <v>37.029061512182999</v>
      </c>
      <c r="Z366" s="772"/>
    </row>
    <row r="367" spans="1:26" s="753" customFormat="1">
      <c r="A367" s="756" t="s">
        <v>4579</v>
      </c>
      <c r="B367" s="757"/>
      <c r="C367" s="758"/>
      <c r="D367" s="773" t="s">
        <v>9760</v>
      </c>
      <c r="E367" s="782"/>
      <c r="F367" s="774" t="s">
        <v>8746</v>
      </c>
      <c r="G367" s="981" t="s">
        <v>11296</v>
      </c>
      <c r="H367" s="772" t="str">
        <f>VLOOKUP($D367,transmitter_from_BP!$B:$F,2,0)</f>
        <v>LGO RUNDOWN</v>
      </c>
      <c r="I367" s="981" t="s">
        <v>11296</v>
      </c>
      <c r="J367" s="772" t="str">
        <f>VLOOKUP($D367,transmitter_from_BP!$B:$F,2,0)</f>
        <v>LGO RUNDOWN</v>
      </c>
      <c r="K367" s="981" t="s">
        <v>11676</v>
      </c>
      <c r="L367" s="1064" t="str">
        <f>VLOOKUP($D367,transmitter_from_BP!$B:$F,5,0)</f>
        <v>DEGC</v>
      </c>
      <c r="M367" s="783">
        <v>6</v>
      </c>
      <c r="N367" s="772">
        <v>6</v>
      </c>
      <c r="O367" s="783">
        <v>1</v>
      </c>
      <c r="P367" s="772">
        <v>1</v>
      </c>
      <c r="Q367" s="783">
        <v>1</v>
      </c>
      <c r="R367" s="772">
        <v>1</v>
      </c>
      <c r="S367" s="783">
        <v>-25</v>
      </c>
      <c r="T367" s="991">
        <f>VLOOKUP($D367,transmitter_from_BP!$B:$F,4,0)</f>
        <v>-25</v>
      </c>
      <c r="U367" s="783">
        <v>523</v>
      </c>
      <c r="V367" s="991">
        <f>VLOOKUP($D367,transmitter_from_BP!$B:$F,3,0)</f>
        <v>523</v>
      </c>
      <c r="W367" s="783">
        <v>0</v>
      </c>
      <c r="X367" s="772"/>
      <c r="Y367" s="783">
        <v>80.3186744918128</v>
      </c>
      <c r="Z367" s="772"/>
    </row>
    <row r="368" spans="1:26" s="753" customFormat="1">
      <c r="A368" s="756" t="s">
        <v>4579</v>
      </c>
      <c r="B368" s="757"/>
      <c r="C368" s="758"/>
      <c r="D368" s="773" t="s">
        <v>9761</v>
      </c>
      <c r="E368" s="782"/>
      <c r="F368" s="774" t="s">
        <v>8735</v>
      </c>
      <c r="G368" s="981" t="s">
        <v>11297</v>
      </c>
      <c r="H368" s="772" t="str">
        <f>VLOOKUP($D368,transmitter_from_BP!$B:$F,2,0)</f>
        <v>CDU VAC COND KO POT A</v>
      </c>
      <c r="I368" s="981" t="s">
        <v>11297</v>
      </c>
      <c r="J368" s="772" t="str">
        <f>VLOOKUP($D368,transmitter_from_BP!$B:$F,2,0)</f>
        <v>CDU VAC COND KO POT A</v>
      </c>
      <c r="K368" s="981" t="s">
        <v>11676</v>
      </c>
      <c r="L368" s="1064" t="str">
        <f>VLOOKUP($D368,transmitter_from_BP!$B:$F,5,0)</f>
        <v>DEGC</v>
      </c>
      <c r="M368" s="783">
        <v>6</v>
      </c>
      <c r="N368" s="772">
        <v>6</v>
      </c>
      <c r="O368" s="783">
        <v>1</v>
      </c>
      <c r="P368" s="772">
        <v>1</v>
      </c>
      <c r="Q368" s="783">
        <v>1</v>
      </c>
      <c r="R368" s="772">
        <v>1</v>
      </c>
      <c r="S368" s="783">
        <v>-25</v>
      </c>
      <c r="T368" s="991">
        <f>VLOOKUP($D368,transmitter_from_BP!$B:$F,4,0)</f>
        <v>-25</v>
      </c>
      <c r="U368" s="783">
        <v>238</v>
      </c>
      <c r="V368" s="991">
        <f>VLOOKUP($D368,transmitter_from_BP!$B:$F,3,0)</f>
        <v>238</v>
      </c>
      <c r="W368" s="783">
        <v>0</v>
      </c>
      <c r="X368" s="772"/>
      <c r="Y368" s="783">
        <v>34.063693963861198</v>
      </c>
      <c r="Z368" s="772"/>
    </row>
    <row r="369" spans="1:26" s="753" customFormat="1">
      <c r="A369" s="756" t="s">
        <v>4579</v>
      </c>
      <c r="B369" s="757"/>
      <c r="C369" s="758"/>
      <c r="D369" s="773" t="s">
        <v>9762</v>
      </c>
      <c r="E369" s="782"/>
      <c r="F369" s="774" t="s">
        <v>8788</v>
      </c>
      <c r="G369" s="981" t="s">
        <v>11298</v>
      </c>
      <c r="H369" s="772" t="str">
        <f>VLOOKUP($D369,transmitter_from_BP!$B:$F,2,0)</f>
        <v>CDU VAC COND KO POT B</v>
      </c>
      <c r="I369" s="981" t="s">
        <v>11298</v>
      </c>
      <c r="J369" s="772" t="str">
        <f>VLOOKUP($D369,transmitter_from_BP!$B:$F,2,0)</f>
        <v>CDU VAC COND KO POT B</v>
      </c>
      <c r="K369" s="981" t="s">
        <v>11676</v>
      </c>
      <c r="L369" s="1064" t="str">
        <f>VLOOKUP($D369,transmitter_from_BP!$B:$F,5,0)</f>
        <v>DEGC</v>
      </c>
      <c r="M369" s="783">
        <v>6</v>
      </c>
      <c r="N369" s="772">
        <v>6</v>
      </c>
      <c r="O369" s="783">
        <v>1</v>
      </c>
      <c r="P369" s="772">
        <v>1</v>
      </c>
      <c r="Q369" s="783">
        <v>1</v>
      </c>
      <c r="R369" s="772">
        <v>1</v>
      </c>
      <c r="S369" s="783">
        <v>-25</v>
      </c>
      <c r="T369" s="991">
        <f>VLOOKUP($D369,transmitter_from_BP!$B:$F,4,0)</f>
        <v>-25</v>
      </c>
      <c r="U369" s="783">
        <v>238</v>
      </c>
      <c r="V369" s="991">
        <f>VLOOKUP($D369,transmitter_from_BP!$B:$F,3,0)</f>
        <v>238</v>
      </c>
      <c r="W369" s="783">
        <v>0</v>
      </c>
      <c r="X369" s="772"/>
      <c r="Y369" s="783">
        <v>24.908265854615401</v>
      </c>
      <c r="Z369" s="772"/>
    </row>
    <row r="370" spans="1:26" s="753" customFormat="1">
      <c r="A370" s="756" t="s">
        <v>4579</v>
      </c>
      <c r="B370" s="757"/>
      <c r="C370" s="758"/>
      <c r="D370" s="773" t="s">
        <v>9763</v>
      </c>
      <c r="E370" s="782"/>
      <c r="F370" s="774" t="s">
        <v>8756</v>
      </c>
      <c r="G370" s="981" t="s">
        <v>11299</v>
      </c>
      <c r="H370" s="772" t="str">
        <f>VLOOKUP($D370,transmitter_from_BP!$B:$F,2,0)</f>
        <v>HGO RUNDOWN</v>
      </c>
      <c r="I370" s="981" t="s">
        <v>11299</v>
      </c>
      <c r="J370" s="772" t="str">
        <f>VLOOKUP($D370,transmitter_from_BP!$B:$F,2,0)</f>
        <v>HGO RUNDOWN</v>
      </c>
      <c r="K370" s="981" t="s">
        <v>11676</v>
      </c>
      <c r="L370" s="1064" t="str">
        <f>VLOOKUP($D370,transmitter_from_BP!$B:$F,5,0)</f>
        <v>DEGC</v>
      </c>
      <c r="M370" s="783">
        <v>6</v>
      </c>
      <c r="N370" s="772">
        <v>6</v>
      </c>
      <c r="O370" s="783">
        <v>1</v>
      </c>
      <c r="P370" s="772">
        <v>1</v>
      </c>
      <c r="Q370" s="783">
        <v>1</v>
      </c>
      <c r="R370" s="772">
        <v>1</v>
      </c>
      <c r="S370" s="783">
        <v>-25</v>
      </c>
      <c r="T370" s="991">
        <f>VLOOKUP($D370,transmitter_from_BP!$B:$F,4,0)</f>
        <v>-25</v>
      </c>
      <c r="U370" s="783">
        <v>523</v>
      </c>
      <c r="V370" s="991">
        <f>VLOOKUP($D370,transmitter_from_BP!$B:$F,3,0)</f>
        <v>523</v>
      </c>
      <c r="W370" s="783">
        <v>0</v>
      </c>
      <c r="X370" s="772"/>
      <c r="Y370" s="783">
        <v>70.704492060851095</v>
      </c>
      <c r="Z370" s="772"/>
    </row>
    <row r="371" spans="1:26" s="753" customFormat="1">
      <c r="A371" s="756" t="s">
        <v>4579</v>
      </c>
      <c r="B371" s="757"/>
      <c r="C371" s="758"/>
      <c r="D371" s="773" t="s">
        <v>9764</v>
      </c>
      <c r="E371" s="782"/>
      <c r="F371" s="774" t="s">
        <v>9250</v>
      </c>
      <c r="G371" s="981" t="s">
        <v>11300</v>
      </c>
      <c r="H371" s="772" t="str">
        <f>VLOOKUP($D371,transmitter_from_BP!$B:$F,2,0)</f>
        <v>CRUDE OUTLET EZ2105</v>
      </c>
      <c r="I371" s="981" t="s">
        <v>11300</v>
      </c>
      <c r="J371" s="772" t="str">
        <f>VLOOKUP($D371,transmitter_from_BP!$B:$F,2,0)</f>
        <v>CRUDE OUTLET EZ2105</v>
      </c>
      <c r="K371" s="981" t="s">
        <v>11676</v>
      </c>
      <c r="L371" s="1064" t="str">
        <f>VLOOKUP($D371,transmitter_from_BP!$B:$F,5,0)</f>
        <v>DEGC</v>
      </c>
      <c r="M371" s="783">
        <v>6</v>
      </c>
      <c r="N371" s="772">
        <v>6</v>
      </c>
      <c r="O371" s="783">
        <v>1</v>
      </c>
      <c r="P371" s="772">
        <v>1</v>
      </c>
      <c r="Q371" s="783">
        <v>1</v>
      </c>
      <c r="R371" s="772">
        <v>1</v>
      </c>
      <c r="S371" s="783">
        <v>0</v>
      </c>
      <c r="T371" s="991">
        <f>VLOOKUP($D371,transmitter_from_BP!$B:$F,4,0)</f>
        <v>0</v>
      </c>
      <c r="U371" s="783">
        <v>650</v>
      </c>
      <c r="V371" s="991">
        <f>VLOOKUP($D371,transmitter_from_BP!$B:$F,3,0)</f>
        <v>650</v>
      </c>
      <c r="W371" s="783">
        <v>0</v>
      </c>
      <c r="X371" s="772"/>
      <c r="Y371" s="783">
        <v>173.652683609338</v>
      </c>
      <c r="Z371" s="772"/>
    </row>
    <row r="372" spans="1:26" s="753" customFormat="1">
      <c r="A372" s="756" t="s">
        <v>4579</v>
      </c>
      <c r="B372" s="757"/>
      <c r="C372" s="758"/>
      <c r="D372" s="773" t="s">
        <v>9765</v>
      </c>
      <c r="E372" s="782"/>
      <c r="F372" s="774" t="s">
        <v>9293</v>
      </c>
      <c r="G372" s="981" t="s">
        <v>11301</v>
      </c>
      <c r="H372" s="772" t="str">
        <f>VLOOKUP($D372,transmitter_from_BP!$B:$F,2,0)</f>
        <v>EZ2110B OUTLT FROM CRUDE</v>
      </c>
      <c r="I372" s="981" t="s">
        <v>11301</v>
      </c>
      <c r="J372" s="772" t="str">
        <f>VLOOKUP($D372,transmitter_from_BP!$B:$F,2,0)</f>
        <v>EZ2110B OUTLT FROM CRUDE</v>
      </c>
      <c r="K372" s="981" t="s">
        <v>11676</v>
      </c>
      <c r="L372" s="1064" t="str">
        <f>VLOOKUP($D372,transmitter_from_BP!$B:$F,5,0)</f>
        <v>DEGC</v>
      </c>
      <c r="M372" s="783">
        <v>6</v>
      </c>
      <c r="N372" s="772">
        <v>6</v>
      </c>
      <c r="O372" s="783">
        <v>1</v>
      </c>
      <c r="P372" s="772">
        <v>1</v>
      </c>
      <c r="Q372" s="783">
        <v>1</v>
      </c>
      <c r="R372" s="772">
        <v>1</v>
      </c>
      <c r="S372" s="783">
        <v>0</v>
      </c>
      <c r="T372" s="991">
        <f>VLOOKUP($D372,transmitter_from_BP!$B:$F,4,0)</f>
        <v>0</v>
      </c>
      <c r="U372" s="783">
        <v>650</v>
      </c>
      <c r="V372" s="991">
        <f>VLOOKUP($D372,transmitter_from_BP!$B:$F,3,0)</f>
        <v>650</v>
      </c>
      <c r="W372" s="783">
        <v>0</v>
      </c>
      <c r="X372" s="772"/>
      <c r="Y372" s="783">
        <v>250.76029683275499</v>
      </c>
      <c r="Z372" s="772"/>
    </row>
    <row r="373" spans="1:26" s="753" customFormat="1">
      <c r="A373" s="756" t="s">
        <v>4579</v>
      </c>
      <c r="B373" s="757"/>
      <c r="C373" s="758"/>
      <c r="D373" s="773" t="s">
        <v>9766</v>
      </c>
      <c r="E373" s="782"/>
      <c r="F373" s="774" t="s">
        <v>9248</v>
      </c>
      <c r="G373" s="981" t="s">
        <v>11302</v>
      </c>
      <c r="H373" s="772" t="str">
        <f>VLOOKUP($D373,transmitter_from_BP!$B:$F,2,0)</f>
        <v>CRUDE OUTLET EZ2106</v>
      </c>
      <c r="I373" s="981" t="s">
        <v>11302</v>
      </c>
      <c r="J373" s="772" t="str">
        <f>VLOOKUP($D373,transmitter_from_BP!$B:$F,2,0)</f>
        <v>CRUDE OUTLET EZ2106</v>
      </c>
      <c r="K373" s="981" t="s">
        <v>11676</v>
      </c>
      <c r="L373" s="1064" t="str">
        <f>VLOOKUP($D373,transmitter_from_BP!$B:$F,5,0)</f>
        <v>DEGC</v>
      </c>
      <c r="M373" s="783">
        <v>6</v>
      </c>
      <c r="N373" s="772">
        <v>6</v>
      </c>
      <c r="O373" s="783">
        <v>1</v>
      </c>
      <c r="P373" s="772">
        <v>1</v>
      </c>
      <c r="Q373" s="783">
        <v>1</v>
      </c>
      <c r="R373" s="772">
        <v>1</v>
      </c>
      <c r="S373" s="783">
        <v>0</v>
      </c>
      <c r="T373" s="991">
        <f>VLOOKUP($D373,transmitter_from_BP!$B:$F,4,0)</f>
        <v>0</v>
      </c>
      <c r="U373" s="783">
        <v>650</v>
      </c>
      <c r="V373" s="991">
        <f>VLOOKUP($D373,transmitter_from_BP!$B:$F,3,0)</f>
        <v>650</v>
      </c>
      <c r="W373" s="783">
        <v>0</v>
      </c>
      <c r="X373" s="772"/>
      <c r="Y373" s="783">
        <v>156.95986908999399</v>
      </c>
      <c r="Z373" s="772"/>
    </row>
    <row r="374" spans="1:26" s="753" customFormat="1">
      <c r="A374" s="756" t="s">
        <v>4579</v>
      </c>
      <c r="B374" s="757"/>
      <c r="C374" s="758"/>
      <c r="D374" s="773" t="s">
        <v>9767</v>
      </c>
      <c r="E374" s="782"/>
      <c r="F374" s="774" t="s">
        <v>9266</v>
      </c>
      <c r="G374" s="981" t="s">
        <v>11303</v>
      </c>
      <c r="H374" s="772" t="str">
        <f>VLOOKUP($D374,transmitter_from_BP!$B:$F,2,0)</f>
        <v>CRUDE OUTLET EZ2107B</v>
      </c>
      <c r="I374" s="981" t="s">
        <v>11303</v>
      </c>
      <c r="J374" s="772" t="str">
        <f>VLOOKUP($D374,transmitter_from_BP!$B:$F,2,0)</f>
        <v>CRUDE OUTLET EZ2107B</v>
      </c>
      <c r="K374" s="981" t="s">
        <v>11676</v>
      </c>
      <c r="L374" s="1064" t="str">
        <f>VLOOKUP($D374,transmitter_from_BP!$B:$F,5,0)</f>
        <v>DEGC</v>
      </c>
      <c r="M374" s="783">
        <v>6</v>
      </c>
      <c r="N374" s="772">
        <v>6</v>
      </c>
      <c r="O374" s="783">
        <v>1</v>
      </c>
      <c r="P374" s="772">
        <v>1</v>
      </c>
      <c r="Q374" s="783">
        <v>1</v>
      </c>
      <c r="R374" s="772">
        <v>1</v>
      </c>
      <c r="S374" s="783">
        <v>0</v>
      </c>
      <c r="T374" s="991">
        <f>VLOOKUP($D374,transmitter_from_BP!$B:$F,4,0)</f>
        <v>0</v>
      </c>
      <c r="U374" s="783">
        <v>650</v>
      </c>
      <c r="V374" s="991">
        <f>VLOOKUP($D374,transmitter_from_BP!$B:$F,3,0)</f>
        <v>650</v>
      </c>
      <c r="W374" s="783">
        <v>0</v>
      </c>
      <c r="X374" s="772"/>
      <c r="Y374" s="783">
        <v>191.523186183245</v>
      </c>
      <c r="Z374" s="772"/>
    </row>
    <row r="375" spans="1:26" s="753" customFormat="1">
      <c r="A375" s="756" t="s">
        <v>4579</v>
      </c>
      <c r="B375" s="757"/>
      <c r="C375" s="758"/>
      <c r="D375" s="773" t="s">
        <v>9768</v>
      </c>
      <c r="E375" s="782"/>
      <c r="F375" s="774" t="s">
        <v>8791</v>
      </c>
      <c r="G375" s="981" t="s">
        <v>11304</v>
      </c>
      <c r="H375" s="772" t="str">
        <f>VLOOKUP($D375,transmitter_from_BP!$B:$F,2,0)</f>
        <v>CRUDE OUTLET EZ2108C</v>
      </c>
      <c r="I375" s="981" t="s">
        <v>11304</v>
      </c>
      <c r="J375" s="772" t="str">
        <f>VLOOKUP($D375,transmitter_from_BP!$B:$F,2,0)</f>
        <v>CRUDE OUTLET EZ2108C</v>
      </c>
      <c r="K375" s="981" t="s">
        <v>11676</v>
      </c>
      <c r="L375" s="1064" t="str">
        <f>VLOOKUP($D375,transmitter_from_BP!$B:$F,5,0)</f>
        <v>DEGC</v>
      </c>
      <c r="M375" s="783">
        <v>6</v>
      </c>
      <c r="N375" s="772">
        <v>6</v>
      </c>
      <c r="O375" s="783">
        <v>1</v>
      </c>
      <c r="P375" s="772">
        <v>1</v>
      </c>
      <c r="Q375" s="783">
        <v>1</v>
      </c>
      <c r="R375" s="772">
        <v>1</v>
      </c>
      <c r="S375" s="783">
        <v>0</v>
      </c>
      <c r="T375" s="991">
        <f>VLOOKUP($D375,transmitter_from_BP!$B:$F,4,0)</f>
        <v>0</v>
      </c>
      <c r="U375" s="783">
        <v>650</v>
      </c>
      <c r="V375" s="991">
        <f>VLOOKUP($D375,transmitter_from_BP!$B:$F,3,0)</f>
        <v>650</v>
      </c>
      <c r="W375" s="783">
        <v>0</v>
      </c>
      <c r="X375" s="772"/>
      <c r="Y375" s="783">
        <v>195.527824162332</v>
      </c>
      <c r="Z375" s="772"/>
    </row>
    <row r="376" spans="1:26" s="753" customFormat="1">
      <c r="A376" s="756" t="s">
        <v>4579</v>
      </c>
      <c r="B376" s="757"/>
      <c r="C376" s="758"/>
      <c r="D376" s="773" t="s">
        <v>9769</v>
      </c>
      <c r="E376" s="782"/>
      <c r="F376" s="774" t="s">
        <v>9238</v>
      </c>
      <c r="G376" s="981" t="s">
        <v>11305</v>
      </c>
      <c r="H376" s="772" t="str">
        <f>VLOOKUP($D376,transmitter_from_BP!$B:$F,2,0)</f>
        <v>EZ2110D OUTLT FROM CRUDE</v>
      </c>
      <c r="I376" s="981" t="s">
        <v>11305</v>
      </c>
      <c r="J376" s="772" t="str">
        <f>VLOOKUP($D376,transmitter_from_BP!$B:$F,2,0)</f>
        <v>EZ2110D OUTLT FROM CRUDE</v>
      </c>
      <c r="K376" s="981" t="s">
        <v>11676</v>
      </c>
      <c r="L376" s="1064" t="str">
        <f>VLOOKUP($D376,transmitter_from_BP!$B:$F,5,0)</f>
        <v>DEGC</v>
      </c>
      <c r="M376" s="783">
        <v>6</v>
      </c>
      <c r="N376" s="772">
        <v>6</v>
      </c>
      <c r="O376" s="783">
        <v>1</v>
      </c>
      <c r="P376" s="772">
        <v>1</v>
      </c>
      <c r="Q376" s="783">
        <v>1</v>
      </c>
      <c r="R376" s="772">
        <v>1</v>
      </c>
      <c r="S376" s="783">
        <v>0</v>
      </c>
      <c r="T376" s="991">
        <f>VLOOKUP($D376,transmitter_from_BP!$B:$F,4,0)</f>
        <v>0</v>
      </c>
      <c r="U376" s="783">
        <v>650</v>
      </c>
      <c r="V376" s="991">
        <f>VLOOKUP($D376,transmitter_from_BP!$B:$F,3,0)</f>
        <v>650</v>
      </c>
      <c r="W376" s="783">
        <v>0</v>
      </c>
      <c r="X376" s="772"/>
      <c r="Y376" s="783">
        <v>252.656826408988</v>
      </c>
      <c r="Z376" s="772"/>
    </row>
    <row r="377" spans="1:26" s="753" customFormat="1">
      <c r="A377" s="756" t="s">
        <v>4579</v>
      </c>
      <c r="B377" s="757"/>
      <c r="C377" s="758"/>
      <c r="D377" s="773" t="s">
        <v>9770</v>
      </c>
      <c r="E377" s="782"/>
      <c r="F377" s="774" t="s">
        <v>8622</v>
      </c>
      <c r="G377" s="981" t="s">
        <v>11306</v>
      </c>
      <c r="H377" s="772" t="str">
        <f>VLOOKUP($D377,transmitter_from_BP!$B:$F,2,0)</f>
        <v>BOTTOM TEMP TZ2101</v>
      </c>
      <c r="I377" s="981" t="s">
        <v>11306</v>
      </c>
      <c r="J377" s="772" t="str">
        <f>VLOOKUP($D377,transmitter_from_BP!$B:$F,2,0)</f>
        <v>BOTTOM TEMP TZ2101</v>
      </c>
      <c r="K377" s="981" t="s">
        <v>11676</v>
      </c>
      <c r="L377" s="1064" t="str">
        <f>VLOOKUP($D377,transmitter_from_BP!$B:$F,5,0)</f>
        <v>DEGC</v>
      </c>
      <c r="M377" s="783">
        <v>6</v>
      </c>
      <c r="N377" s="772">
        <v>6</v>
      </c>
      <c r="O377" s="783">
        <v>1</v>
      </c>
      <c r="P377" s="772">
        <v>1</v>
      </c>
      <c r="Q377" s="783">
        <v>1</v>
      </c>
      <c r="R377" s="772">
        <v>1</v>
      </c>
      <c r="S377" s="783">
        <v>0</v>
      </c>
      <c r="T377" s="772">
        <f>VLOOKUP($D377,transmitter_from_BP!$B:$F,4,0)</f>
        <v>0</v>
      </c>
      <c r="U377" s="783">
        <v>400</v>
      </c>
      <c r="V377" s="772">
        <f>VLOOKUP($D377,transmitter_from_BP!$B:$F,3,0)</f>
        <v>400</v>
      </c>
      <c r="W377" s="783">
        <v>0</v>
      </c>
      <c r="X377" s="772"/>
      <c r="Y377" s="783">
        <v>328.25672971533299</v>
      </c>
      <c r="Z377" s="772"/>
    </row>
    <row r="378" spans="1:26" s="753" customFormat="1">
      <c r="A378" s="756" t="s">
        <v>4579</v>
      </c>
      <c r="B378" s="757"/>
      <c r="C378" s="758"/>
      <c r="D378" s="773" t="s">
        <v>9771</v>
      </c>
      <c r="E378" s="782"/>
      <c r="F378" s="774" t="s">
        <v>8714</v>
      </c>
      <c r="G378" s="981" t="s">
        <v>11307</v>
      </c>
      <c r="H378" s="772" t="str">
        <f>VLOOKUP($D378,transmitter_from_BP!$B:$F,2,0)</f>
        <v>QUENCH TO BOTTOM RINGHEADER</v>
      </c>
      <c r="I378" s="981" t="s">
        <v>11307</v>
      </c>
      <c r="J378" s="772" t="str">
        <f>VLOOKUP($D378,transmitter_from_BP!$B:$F,2,0)</f>
        <v>QUENCH TO BOTTOM RINGHEADER</v>
      </c>
      <c r="K378" s="981" t="s">
        <v>11676</v>
      </c>
      <c r="L378" s="1064" t="str">
        <f>VLOOKUP($D378,transmitter_from_BP!$B:$F,5,0)</f>
        <v>DEGC</v>
      </c>
      <c r="M378" s="783">
        <v>6</v>
      </c>
      <c r="N378" s="772">
        <v>6</v>
      </c>
      <c r="O378" s="783">
        <v>1</v>
      </c>
      <c r="P378" s="772">
        <v>1</v>
      </c>
      <c r="Q378" s="783">
        <v>1</v>
      </c>
      <c r="R378" s="772">
        <v>1</v>
      </c>
      <c r="S378" s="783">
        <v>0</v>
      </c>
      <c r="T378" s="991">
        <f>VLOOKUP($D378,transmitter_from_BP!$B:$F,4,0)</f>
        <v>0</v>
      </c>
      <c r="U378" s="783">
        <v>400</v>
      </c>
      <c r="V378" s="991">
        <f>VLOOKUP($D378,transmitter_from_BP!$B:$F,3,0)</f>
        <v>400</v>
      </c>
      <c r="W378" s="783">
        <v>0</v>
      </c>
      <c r="X378" s="772"/>
      <c r="Y378" s="783">
        <v>263.25202407106502</v>
      </c>
      <c r="Z378" s="772"/>
    </row>
    <row r="379" spans="1:26" s="753" customFormat="1">
      <c r="A379" s="756" t="s">
        <v>4579</v>
      </c>
      <c r="B379" s="757"/>
      <c r="C379" s="758"/>
      <c r="D379" s="773" t="s">
        <v>9772</v>
      </c>
      <c r="E379" s="782"/>
      <c r="F379" s="774" t="s">
        <v>8532</v>
      </c>
      <c r="G379" s="981" t="s">
        <v>11308</v>
      </c>
      <c r="H379" s="772" t="str">
        <f>VLOOKUP($D379,transmitter_from_BP!$B:$F,2,0)</f>
        <v>CRUDE OUTLET EZ2104A</v>
      </c>
      <c r="I379" s="981" t="s">
        <v>11308</v>
      </c>
      <c r="J379" s="772" t="str">
        <f>VLOOKUP($D379,transmitter_from_BP!$B:$F,2,0)</f>
        <v>CRUDE OUTLET EZ2104A</v>
      </c>
      <c r="K379" s="981" t="s">
        <v>11676</v>
      </c>
      <c r="L379" s="1064" t="str">
        <f>VLOOKUP($D379,transmitter_from_BP!$B:$F,5,0)</f>
        <v>DEGC</v>
      </c>
      <c r="M379" s="783">
        <v>6</v>
      </c>
      <c r="N379" s="772">
        <v>6</v>
      </c>
      <c r="O379" s="783">
        <v>1</v>
      </c>
      <c r="P379" s="772">
        <v>1</v>
      </c>
      <c r="Q379" s="783">
        <v>1</v>
      </c>
      <c r="R379" s="772">
        <v>1</v>
      </c>
      <c r="S379" s="783">
        <v>0</v>
      </c>
      <c r="T379" s="991">
        <f>VLOOKUP($D379,transmitter_from_BP!$B:$F,4,0)</f>
        <v>0</v>
      </c>
      <c r="U379" s="783">
        <v>650</v>
      </c>
      <c r="V379" s="991">
        <f>VLOOKUP($D379,transmitter_from_BP!$B:$F,3,0)</f>
        <v>650</v>
      </c>
      <c r="W379" s="783">
        <v>0</v>
      </c>
      <c r="X379" s="772"/>
      <c r="Y379" s="783">
        <v>141.92219361849999</v>
      </c>
      <c r="Z379" s="772"/>
    </row>
    <row r="380" spans="1:26" s="753" customFormat="1">
      <c r="A380" s="756" t="s">
        <v>4579</v>
      </c>
      <c r="B380" s="757"/>
      <c r="C380" s="758"/>
      <c r="D380" s="773" t="s">
        <v>9773</v>
      </c>
      <c r="E380" s="20"/>
      <c r="F380" s="774" t="s">
        <v>9311</v>
      </c>
      <c r="G380" s="981" t="s">
        <v>11309</v>
      </c>
      <c r="H380" s="772" t="str">
        <f>VLOOKUP($D380,transmitter_from_BP!$B:$F,2,0)</f>
        <v>CRUDE OUTLET EZ2107A</v>
      </c>
      <c r="I380" s="981" t="s">
        <v>11309</v>
      </c>
      <c r="J380" s="772" t="str">
        <f>VLOOKUP($D380,transmitter_from_BP!$B:$F,2,0)</f>
        <v>CRUDE OUTLET EZ2107A</v>
      </c>
      <c r="K380" s="981" t="s">
        <v>11676</v>
      </c>
      <c r="L380" s="1064" t="str">
        <f>VLOOKUP($D380,transmitter_from_BP!$B:$F,5,0)</f>
        <v>DEGC</v>
      </c>
      <c r="M380" s="783">
        <v>6</v>
      </c>
      <c r="N380" s="772">
        <v>6</v>
      </c>
      <c r="O380" s="783">
        <v>1</v>
      </c>
      <c r="P380" s="772">
        <v>1</v>
      </c>
      <c r="Q380" s="783">
        <v>1</v>
      </c>
      <c r="R380" s="772">
        <v>1</v>
      </c>
      <c r="S380" s="783">
        <v>0</v>
      </c>
      <c r="T380" s="991">
        <f>VLOOKUP($D380,transmitter_from_BP!$B:$F,4,0)</f>
        <v>0</v>
      </c>
      <c r="U380" s="783">
        <v>650</v>
      </c>
      <c r="V380" s="991">
        <f>VLOOKUP($D380,transmitter_from_BP!$B:$F,3,0)</f>
        <v>650</v>
      </c>
      <c r="W380" s="783">
        <v>0</v>
      </c>
      <c r="X380" s="772"/>
      <c r="Y380" s="783">
        <v>190.84602939970799</v>
      </c>
      <c r="Z380" s="772"/>
    </row>
    <row r="381" spans="1:26" s="753" customFormat="1">
      <c r="A381" s="756" t="s">
        <v>4579</v>
      </c>
      <c r="B381" s="757"/>
      <c r="C381" s="758"/>
      <c r="D381" s="773" t="s">
        <v>9775</v>
      </c>
      <c r="E381" s="782"/>
      <c r="F381" s="774" t="s">
        <v>8533</v>
      </c>
      <c r="G381" s="981" t="s">
        <v>11310</v>
      </c>
      <c r="H381" s="772" t="str">
        <f>VLOOKUP($D381,transmitter_from_BP!$B:$F,2,0)</f>
        <v>CRUDE OUTLET EZ2104B</v>
      </c>
      <c r="I381" s="981" t="s">
        <v>11310</v>
      </c>
      <c r="J381" s="772" t="str">
        <f>VLOOKUP($D381,transmitter_from_BP!$B:$F,2,0)</f>
        <v>CRUDE OUTLET EZ2104B</v>
      </c>
      <c r="K381" s="981" t="s">
        <v>11676</v>
      </c>
      <c r="L381" s="1064" t="str">
        <f>VLOOKUP($D381,transmitter_from_BP!$B:$F,5,0)</f>
        <v>DEGC</v>
      </c>
      <c r="M381" s="783">
        <v>6</v>
      </c>
      <c r="N381" s="772">
        <v>6</v>
      </c>
      <c r="O381" s="783">
        <v>1</v>
      </c>
      <c r="P381" s="772">
        <v>1</v>
      </c>
      <c r="Q381" s="783">
        <v>1</v>
      </c>
      <c r="R381" s="772">
        <v>1</v>
      </c>
      <c r="S381" s="783">
        <v>0</v>
      </c>
      <c r="T381" s="991">
        <f>VLOOKUP($D381,transmitter_from_BP!$B:$F,4,0)</f>
        <v>0</v>
      </c>
      <c r="U381" s="783">
        <v>650</v>
      </c>
      <c r="V381" s="991">
        <f>VLOOKUP($D381,transmitter_from_BP!$B:$F,3,0)</f>
        <v>650</v>
      </c>
      <c r="W381" s="783">
        <v>0</v>
      </c>
      <c r="X381" s="772"/>
      <c r="Y381" s="783">
        <v>141.92626612493001</v>
      </c>
      <c r="Z381" s="772"/>
    </row>
    <row r="382" spans="1:26" s="753" customFormat="1">
      <c r="A382" s="756" t="s">
        <v>4579</v>
      </c>
      <c r="B382" s="757"/>
      <c r="C382" s="758"/>
      <c r="D382" s="773" t="s">
        <v>9776</v>
      </c>
      <c r="E382" s="782"/>
      <c r="F382" s="774" t="s">
        <v>5874</v>
      </c>
      <c r="G382" s="981" t="s">
        <v>11311</v>
      </c>
      <c r="H382" s="772" t="str">
        <f>VLOOKUP($D382,transmitter_from_BP!$B:$F,2,0)</f>
        <v>CDU HEATER AMBIANT TEMP</v>
      </c>
      <c r="I382" s="981" t="s">
        <v>11311</v>
      </c>
      <c r="J382" s="772" t="str">
        <f>VLOOKUP($D382,transmitter_from_BP!$B:$F,2,0)</f>
        <v>CDU HEATER AMBIANT TEMP</v>
      </c>
      <c r="K382" s="981" t="s">
        <v>11676</v>
      </c>
      <c r="L382" s="1064" t="str">
        <f>VLOOKUP($D382,transmitter_from_BP!$B:$F,5,0)</f>
        <v>DEGC</v>
      </c>
      <c r="M382" s="783">
        <v>6</v>
      </c>
      <c r="N382" s="772">
        <v>6</v>
      </c>
      <c r="O382" s="783">
        <v>1</v>
      </c>
      <c r="P382" s="772">
        <v>1</v>
      </c>
      <c r="Q382" s="783">
        <v>1</v>
      </c>
      <c r="R382" s="772">
        <v>1</v>
      </c>
      <c r="S382" s="783">
        <v>-25</v>
      </c>
      <c r="T382" s="991">
        <f>VLOOKUP($D382,transmitter_from_BP!$B:$F,4,0)</f>
        <v>-25</v>
      </c>
      <c r="U382" s="783">
        <v>75</v>
      </c>
      <c r="V382" s="991">
        <f>VLOOKUP($D382,transmitter_from_BP!$B:$F,3,0)</f>
        <v>75</v>
      </c>
      <c r="W382" s="783">
        <v>0</v>
      </c>
      <c r="X382" s="772"/>
      <c r="Y382" s="783">
        <v>56.997026729056998</v>
      </c>
      <c r="Z382" s="772"/>
    </row>
    <row r="383" spans="1:26" s="753" customFormat="1">
      <c r="A383" s="756" t="s">
        <v>4579</v>
      </c>
      <c r="B383" s="757"/>
      <c r="C383" s="758"/>
      <c r="D383" s="773" t="s">
        <v>9777</v>
      </c>
      <c r="E383" s="782"/>
      <c r="F383" s="774" t="s">
        <v>5885</v>
      </c>
      <c r="G383" s="981" t="s">
        <v>11312</v>
      </c>
      <c r="H383" s="772" t="str">
        <f>VLOOKUP($D383,transmitter_from_BP!$B:$F,2,0)</f>
        <v>CDU HEATER FLUE GAS TEMP</v>
      </c>
      <c r="I383" s="981" t="s">
        <v>11312</v>
      </c>
      <c r="J383" s="772" t="str">
        <f>VLOOKUP($D383,transmitter_from_BP!$B:$F,2,0)</f>
        <v>CDU HEATER FLUE GAS TEMP</v>
      </c>
      <c r="K383" s="981" t="s">
        <v>11676</v>
      </c>
      <c r="L383" s="1064" t="str">
        <f>VLOOKUP($D383,transmitter_from_BP!$B:$F,5,0)</f>
        <v>DEGC</v>
      </c>
      <c r="M383" s="783">
        <v>6</v>
      </c>
      <c r="N383" s="772">
        <v>6</v>
      </c>
      <c r="O383" s="783">
        <v>1</v>
      </c>
      <c r="P383" s="772">
        <v>1</v>
      </c>
      <c r="Q383" s="783">
        <v>1</v>
      </c>
      <c r="R383" s="772">
        <v>1</v>
      </c>
      <c r="S383" s="783">
        <v>-25</v>
      </c>
      <c r="T383" s="991">
        <f>VLOOKUP($D383,transmitter_from_BP!$B:$F,4,0)</f>
        <v>-25</v>
      </c>
      <c r="U383" s="783">
        <v>1116</v>
      </c>
      <c r="V383" s="991">
        <f>VLOOKUP($D383,transmitter_from_BP!$B:$F,3,0)</f>
        <v>1116</v>
      </c>
      <c r="W383" s="783">
        <v>0</v>
      </c>
      <c r="X383" s="772"/>
      <c r="Y383" s="783">
        <v>216.48077311291999</v>
      </c>
      <c r="Z383" s="772"/>
    </row>
    <row r="384" spans="1:26" s="753" customFormat="1">
      <c r="A384" s="756" t="s">
        <v>4579</v>
      </c>
      <c r="B384" s="757"/>
      <c r="C384" s="758"/>
      <c r="D384" s="773" t="s">
        <v>9778</v>
      </c>
      <c r="E384" s="782"/>
      <c r="F384" s="774" t="s">
        <v>5878</v>
      </c>
      <c r="G384" s="981" t="s">
        <v>11313</v>
      </c>
      <c r="H384" s="772" t="str">
        <f>VLOOKUP($D384,transmitter_from_BP!$B:$F,2,0)</f>
        <v>HZ2101 FLUEGAS INL.CONV.BOX</v>
      </c>
      <c r="I384" s="981" t="s">
        <v>11313</v>
      </c>
      <c r="J384" s="772" t="str">
        <f>VLOOKUP($D384,transmitter_from_BP!$B:$F,2,0)</f>
        <v>HZ2101 FLUEGAS INL.CONV.BOX</v>
      </c>
      <c r="K384" s="981" t="s">
        <v>11676</v>
      </c>
      <c r="L384" s="1064" t="str">
        <f>VLOOKUP($D384,transmitter_from_BP!$B:$F,5,0)</f>
        <v>DEGC</v>
      </c>
      <c r="M384" s="783">
        <v>6</v>
      </c>
      <c r="N384" s="772">
        <v>6</v>
      </c>
      <c r="O384" s="783">
        <v>1</v>
      </c>
      <c r="P384" s="772">
        <v>1</v>
      </c>
      <c r="Q384" s="783">
        <v>1</v>
      </c>
      <c r="R384" s="772">
        <v>1</v>
      </c>
      <c r="S384" s="783">
        <v>-25</v>
      </c>
      <c r="T384" s="991">
        <f>VLOOKUP($D384,transmitter_from_BP!$B:$F,4,0)</f>
        <v>-25</v>
      </c>
      <c r="U384" s="783">
        <v>1116</v>
      </c>
      <c r="V384" s="991">
        <f>VLOOKUP($D384,transmitter_from_BP!$B:$F,3,0)</f>
        <v>1116</v>
      </c>
      <c r="W384" s="783">
        <v>0</v>
      </c>
      <c r="X384" s="772"/>
      <c r="Y384" s="783">
        <v>775.15372499378304</v>
      </c>
      <c r="Z384" s="772"/>
    </row>
    <row r="385" spans="1:26" s="753" customFormat="1">
      <c r="A385" s="756" t="s">
        <v>4579</v>
      </c>
      <c r="B385" s="757"/>
      <c r="C385" s="758"/>
      <c r="D385" s="773" t="s">
        <v>9779</v>
      </c>
      <c r="E385" s="782"/>
      <c r="F385" s="774" t="s">
        <v>5879</v>
      </c>
      <c r="G385" s="981" t="s">
        <v>11313</v>
      </c>
      <c r="H385" s="772" t="str">
        <f>VLOOKUP($D385,transmitter_from_BP!$B:$F,2,0)</f>
        <v>HZ2101 FLUEGAS INL.CONV.BOX</v>
      </c>
      <c r="I385" s="981" t="s">
        <v>11313</v>
      </c>
      <c r="J385" s="772" t="str">
        <f>VLOOKUP($D385,transmitter_from_BP!$B:$F,2,0)</f>
        <v>HZ2101 FLUEGAS INL.CONV.BOX</v>
      </c>
      <c r="K385" s="981" t="s">
        <v>11676</v>
      </c>
      <c r="L385" s="1064" t="str">
        <f>VLOOKUP($D385,transmitter_from_BP!$B:$F,5,0)</f>
        <v>DEGC</v>
      </c>
      <c r="M385" s="783">
        <v>6</v>
      </c>
      <c r="N385" s="772">
        <v>6</v>
      </c>
      <c r="O385" s="783">
        <v>1</v>
      </c>
      <c r="P385" s="772">
        <v>1</v>
      </c>
      <c r="Q385" s="783">
        <v>1</v>
      </c>
      <c r="R385" s="772">
        <v>1</v>
      </c>
      <c r="S385" s="783">
        <v>-25</v>
      </c>
      <c r="T385" s="991">
        <f>VLOOKUP($D385,transmitter_from_BP!$B:$F,4,0)</f>
        <v>-25</v>
      </c>
      <c r="U385" s="783">
        <v>1116</v>
      </c>
      <c r="V385" s="991">
        <f>VLOOKUP($D385,transmitter_from_BP!$B:$F,3,0)</f>
        <v>1116</v>
      </c>
      <c r="W385" s="783">
        <v>0</v>
      </c>
      <c r="X385" s="772"/>
      <c r="Y385" s="783">
        <v>752.27192270406294</v>
      </c>
      <c r="Z385" s="772"/>
    </row>
    <row r="386" spans="1:26" s="753" customFormat="1">
      <c r="A386" s="756" t="s">
        <v>4579</v>
      </c>
      <c r="B386" s="757"/>
      <c r="C386" s="758"/>
      <c r="D386" s="773" t="s">
        <v>9780</v>
      </c>
      <c r="E386" s="782"/>
      <c r="F386" s="774" t="s">
        <v>8678</v>
      </c>
      <c r="G386" s="981" t="s">
        <v>11314</v>
      </c>
      <c r="H386" s="772" t="str">
        <f>VLOOKUP($D386,transmitter_from_BP!$B:$F,2,0)</f>
        <v>RESIDUE BEFORE TEMP. WATER</v>
      </c>
      <c r="I386" s="981" t="s">
        <v>11314</v>
      </c>
      <c r="J386" s="772" t="str">
        <f>VLOOKUP($D386,transmitter_from_BP!$B:$F,2,0)</f>
        <v>RESIDUE BEFORE TEMP. WATER</v>
      </c>
      <c r="K386" s="981" t="s">
        <v>11676</v>
      </c>
      <c r="L386" s="1064" t="str">
        <f>VLOOKUP($D386,transmitter_from_BP!$B:$F,5,0)</f>
        <v>DEGC</v>
      </c>
      <c r="M386" s="783">
        <v>6</v>
      </c>
      <c r="N386" s="772">
        <v>6</v>
      </c>
      <c r="O386" s="783">
        <v>1</v>
      </c>
      <c r="P386" s="772">
        <v>1</v>
      </c>
      <c r="Q386" s="783">
        <v>1</v>
      </c>
      <c r="R386" s="772">
        <v>1</v>
      </c>
      <c r="S386" s="783">
        <v>-25</v>
      </c>
      <c r="T386" s="991">
        <f>VLOOKUP($D386,transmitter_from_BP!$B:$F,4,0)</f>
        <v>-25</v>
      </c>
      <c r="U386" s="783">
        <v>523</v>
      </c>
      <c r="V386" s="991">
        <f>VLOOKUP($D386,transmitter_from_BP!$B:$F,3,0)</f>
        <v>523</v>
      </c>
      <c r="W386" s="783">
        <v>0</v>
      </c>
      <c r="X386" s="772"/>
      <c r="Y386" s="783">
        <v>100.948632237127</v>
      </c>
      <c r="Z386" s="772"/>
    </row>
    <row r="387" spans="1:26" s="753" customFormat="1">
      <c r="A387" s="756" t="s">
        <v>4579</v>
      </c>
      <c r="B387" s="757"/>
      <c r="C387" s="758"/>
      <c r="D387" s="773" t="s">
        <v>9781</v>
      </c>
      <c r="E387" s="782"/>
      <c r="F387" s="774" t="s">
        <v>8747</v>
      </c>
      <c r="G387" s="981" t="s">
        <v>11315</v>
      </c>
      <c r="H387" s="772" t="str">
        <f>VLOOKUP($D387,transmitter_from_BP!$B:$F,2,0)</f>
        <v>OVERH. FROM EZ2102A</v>
      </c>
      <c r="I387" s="981" t="s">
        <v>11315</v>
      </c>
      <c r="J387" s="772" t="str">
        <f>VLOOKUP($D387,transmitter_from_BP!$B:$F,2,0)</f>
        <v>OVERH. FROM EZ2102A</v>
      </c>
      <c r="K387" s="981" t="s">
        <v>11676</v>
      </c>
      <c r="L387" s="1064" t="str">
        <f>VLOOKUP($D387,transmitter_from_BP!$B:$F,5,0)</f>
        <v>DEGC</v>
      </c>
      <c r="M387" s="783">
        <v>6</v>
      </c>
      <c r="N387" s="772">
        <v>6</v>
      </c>
      <c r="O387" s="783">
        <v>1</v>
      </c>
      <c r="P387" s="772">
        <v>1</v>
      </c>
      <c r="Q387" s="783">
        <v>1</v>
      </c>
      <c r="R387" s="772">
        <v>1</v>
      </c>
      <c r="S387" s="783">
        <v>-25</v>
      </c>
      <c r="T387" s="991">
        <f>VLOOKUP($D387,transmitter_from_BP!$B:$F,4,0)</f>
        <v>-25</v>
      </c>
      <c r="U387" s="783">
        <v>200</v>
      </c>
      <c r="V387" s="991">
        <f>VLOOKUP($D387,transmitter_from_BP!$B:$F,3,0)</f>
        <v>200</v>
      </c>
      <c r="W387" s="783">
        <v>0</v>
      </c>
      <c r="X387" s="772"/>
      <c r="Y387" s="783">
        <v>119.878147083906</v>
      </c>
      <c r="Z387" s="772"/>
    </row>
    <row r="388" spans="1:26" s="753" customFormat="1">
      <c r="A388" s="756" t="s">
        <v>4579</v>
      </c>
      <c r="B388" s="757"/>
      <c r="C388" s="758"/>
      <c r="D388" s="773" t="s">
        <v>9782</v>
      </c>
      <c r="E388" s="782"/>
      <c r="F388" s="774" t="s">
        <v>8749</v>
      </c>
      <c r="G388" s="981" t="s">
        <v>11316</v>
      </c>
      <c r="H388" s="772" t="str">
        <f>VLOOKUP($D388,transmitter_from_BP!$B:$F,2,0)</f>
        <v>OVERH. FROM EZ2102C</v>
      </c>
      <c r="I388" s="981" t="s">
        <v>11316</v>
      </c>
      <c r="J388" s="772" t="str">
        <f>VLOOKUP($D388,transmitter_from_BP!$B:$F,2,0)</f>
        <v>OVERH. FROM EZ2102C</v>
      </c>
      <c r="K388" s="981" t="s">
        <v>11676</v>
      </c>
      <c r="L388" s="1064" t="str">
        <f>VLOOKUP($D388,transmitter_from_BP!$B:$F,5,0)</f>
        <v>DEGC</v>
      </c>
      <c r="M388" s="783">
        <v>6</v>
      </c>
      <c r="N388" s="772">
        <v>6</v>
      </c>
      <c r="O388" s="783">
        <v>1</v>
      </c>
      <c r="P388" s="772">
        <v>1</v>
      </c>
      <c r="Q388" s="783">
        <v>1</v>
      </c>
      <c r="R388" s="772">
        <v>1</v>
      </c>
      <c r="S388" s="783">
        <v>-25</v>
      </c>
      <c r="T388" s="991">
        <f>VLOOKUP($D388,transmitter_from_BP!$B:$F,4,0)</f>
        <v>-25</v>
      </c>
      <c r="U388" s="783">
        <v>200</v>
      </c>
      <c r="V388" s="991">
        <f>VLOOKUP($D388,transmitter_from_BP!$B:$F,3,0)</f>
        <v>200</v>
      </c>
      <c r="W388" s="783">
        <v>0</v>
      </c>
      <c r="X388" s="772"/>
      <c r="Y388" s="783">
        <v>119.87910635070099</v>
      </c>
      <c r="Z388" s="772"/>
    </row>
    <row r="389" spans="1:26" s="753" customFormat="1">
      <c r="A389" s="756" t="s">
        <v>4579</v>
      </c>
      <c r="B389" s="757"/>
      <c r="C389" s="758"/>
      <c r="D389" s="773" t="s">
        <v>9783</v>
      </c>
      <c r="E389" s="782"/>
      <c r="F389" s="774" t="s">
        <v>8655</v>
      </c>
      <c r="G389" s="981" t="s">
        <v>11317</v>
      </c>
      <c r="H389" s="772" t="str">
        <f>VLOOKUP($D389,transmitter_from_BP!$B:$F,2,0)</f>
        <v>RES. FROM EZ2111B</v>
      </c>
      <c r="I389" s="981" t="s">
        <v>11317</v>
      </c>
      <c r="J389" s="772" t="str">
        <f>VLOOKUP($D389,transmitter_from_BP!$B:$F,2,0)</f>
        <v>RES. FROM EZ2111B</v>
      </c>
      <c r="K389" s="981" t="s">
        <v>11676</v>
      </c>
      <c r="L389" s="1064" t="str">
        <f>VLOOKUP($D389,transmitter_from_BP!$B:$F,5,0)</f>
        <v>DEGC</v>
      </c>
      <c r="M389" s="783">
        <v>6</v>
      </c>
      <c r="N389" s="772">
        <v>6</v>
      </c>
      <c r="O389" s="783">
        <v>1</v>
      </c>
      <c r="P389" s="772">
        <v>1</v>
      </c>
      <c r="Q389" s="783">
        <v>1</v>
      </c>
      <c r="R389" s="772">
        <v>1</v>
      </c>
      <c r="S389" s="783">
        <v>-25</v>
      </c>
      <c r="T389" s="991">
        <f>VLOOKUP($D389,transmitter_from_BP!$B:$F,4,0)</f>
        <v>-25</v>
      </c>
      <c r="U389" s="783">
        <v>523</v>
      </c>
      <c r="V389" s="991">
        <f>VLOOKUP($D389,transmitter_from_BP!$B:$F,3,0)</f>
        <v>523</v>
      </c>
      <c r="W389" s="783">
        <v>0</v>
      </c>
      <c r="X389" s="772"/>
      <c r="Y389" s="783">
        <v>322.72977125345898</v>
      </c>
      <c r="Z389" s="772"/>
    </row>
    <row r="390" spans="1:26" s="753" customFormat="1">
      <c r="A390" s="756" t="s">
        <v>4579</v>
      </c>
      <c r="B390" s="757"/>
      <c r="C390" s="758"/>
      <c r="D390" s="773" t="s">
        <v>9784</v>
      </c>
      <c r="E390" s="782"/>
      <c r="F390" s="774" t="s">
        <v>8726</v>
      </c>
      <c r="G390" s="981" t="s">
        <v>11318</v>
      </c>
      <c r="H390" s="772" t="str">
        <f>VLOOKUP($D390,transmitter_from_BP!$B:$F,2,0)</f>
        <v>EZ2107B OUTLET FROM MPA</v>
      </c>
      <c r="I390" s="981" t="s">
        <v>11318</v>
      </c>
      <c r="J390" s="772" t="str">
        <f>VLOOKUP($D390,transmitter_from_BP!$B:$F,2,0)</f>
        <v>EZ2107B OUTLET FROM MPA</v>
      </c>
      <c r="K390" s="981" t="s">
        <v>11676</v>
      </c>
      <c r="L390" s="1064" t="str">
        <f>VLOOKUP($D390,transmitter_from_BP!$B:$F,5,0)</f>
        <v>DEGC</v>
      </c>
      <c r="M390" s="783">
        <v>6</v>
      </c>
      <c r="N390" s="772">
        <v>6</v>
      </c>
      <c r="O390" s="783">
        <v>1</v>
      </c>
      <c r="P390" s="772">
        <v>1</v>
      </c>
      <c r="Q390" s="783">
        <v>1</v>
      </c>
      <c r="R390" s="772">
        <v>1</v>
      </c>
      <c r="S390" s="783">
        <v>0</v>
      </c>
      <c r="T390" s="991">
        <f>VLOOKUP($D390,transmitter_from_BP!$B:$F,4,0)</f>
        <v>0</v>
      </c>
      <c r="U390" s="783">
        <v>650</v>
      </c>
      <c r="V390" s="991">
        <f>VLOOKUP($D390,transmitter_from_BP!$B:$F,3,0)</f>
        <v>650</v>
      </c>
      <c r="W390" s="783">
        <v>0</v>
      </c>
      <c r="X390" s="772"/>
      <c r="Y390" s="783">
        <v>174.70190725708699</v>
      </c>
      <c r="Z390" s="772"/>
    </row>
    <row r="391" spans="1:26" s="753" customFormat="1">
      <c r="A391" s="756" t="s">
        <v>4579</v>
      </c>
      <c r="B391" s="757"/>
      <c r="C391" s="758"/>
      <c r="D391" s="773" t="s">
        <v>9785</v>
      </c>
      <c r="E391" s="782"/>
      <c r="F391" s="774" t="s">
        <v>8737</v>
      </c>
      <c r="G391" s="981" t="s">
        <v>11319</v>
      </c>
      <c r="H391" s="772" t="str">
        <f>VLOOKUP($D391,transmitter_from_BP!$B:$F,2,0)</f>
        <v>EZ2108A INLET FROM CRUDE</v>
      </c>
      <c r="I391" s="981" t="s">
        <v>11319</v>
      </c>
      <c r="J391" s="772" t="str">
        <f>VLOOKUP($D391,transmitter_from_BP!$B:$F,2,0)</f>
        <v>EZ2108A INLET FROM CRUDE</v>
      </c>
      <c r="K391" s="981" t="s">
        <v>11676</v>
      </c>
      <c r="L391" s="1064" t="str">
        <f>VLOOKUP($D391,transmitter_from_BP!$B:$F,5,0)</f>
        <v>DEGC</v>
      </c>
      <c r="M391" s="783">
        <v>6</v>
      </c>
      <c r="N391" s="772">
        <v>6</v>
      </c>
      <c r="O391" s="783">
        <v>1</v>
      </c>
      <c r="P391" s="772">
        <v>1</v>
      </c>
      <c r="Q391" s="783">
        <v>1</v>
      </c>
      <c r="R391" s="772">
        <v>1</v>
      </c>
      <c r="S391" s="783">
        <v>0</v>
      </c>
      <c r="T391" s="991">
        <f>VLOOKUP($D391,transmitter_from_BP!$B:$F,4,0)</f>
        <v>0</v>
      </c>
      <c r="U391" s="783">
        <v>650</v>
      </c>
      <c r="V391" s="991">
        <f>VLOOKUP($D391,transmitter_from_BP!$B:$F,3,0)</f>
        <v>650</v>
      </c>
      <c r="W391" s="783">
        <v>0</v>
      </c>
      <c r="X391" s="772"/>
      <c r="Y391" s="783">
        <v>270.673760711591</v>
      </c>
      <c r="Z391" s="772"/>
    </row>
    <row r="392" spans="1:26" s="753" customFormat="1">
      <c r="A392" s="756" t="s">
        <v>4579</v>
      </c>
      <c r="B392" s="757"/>
      <c r="C392" s="758"/>
      <c r="D392" s="773" t="s">
        <v>9786</v>
      </c>
      <c r="E392" s="782"/>
      <c r="F392" s="774" t="s">
        <v>8774</v>
      </c>
      <c r="G392" s="981" t="s">
        <v>11320</v>
      </c>
      <c r="H392" s="772" t="str">
        <f>VLOOKUP($D392,transmitter_from_BP!$B:$F,2,0)</f>
        <v>EZ2108C INLET FROM CRUDE</v>
      </c>
      <c r="I392" s="981" t="s">
        <v>11320</v>
      </c>
      <c r="J392" s="772" t="str">
        <f>VLOOKUP($D392,transmitter_from_BP!$B:$F,2,0)</f>
        <v>EZ2108C INLET FROM CRUDE</v>
      </c>
      <c r="K392" s="981" t="s">
        <v>11676</v>
      </c>
      <c r="L392" s="1064" t="str">
        <f>VLOOKUP($D392,transmitter_from_BP!$B:$F,5,0)</f>
        <v>DEGC</v>
      </c>
      <c r="M392" s="783">
        <v>6</v>
      </c>
      <c r="N392" s="772">
        <v>6</v>
      </c>
      <c r="O392" s="783">
        <v>1</v>
      </c>
      <c r="P392" s="772">
        <v>1</v>
      </c>
      <c r="Q392" s="783">
        <v>1</v>
      </c>
      <c r="R392" s="772">
        <v>1</v>
      </c>
      <c r="S392" s="783">
        <v>0</v>
      </c>
      <c r="T392" s="991">
        <f>VLOOKUP($D392,transmitter_from_BP!$B:$F,4,0)</f>
        <v>0</v>
      </c>
      <c r="U392" s="783">
        <v>650</v>
      </c>
      <c r="V392" s="991">
        <f>VLOOKUP($D392,transmitter_from_BP!$B:$F,3,0)</f>
        <v>650</v>
      </c>
      <c r="W392" s="783">
        <v>0</v>
      </c>
      <c r="X392" s="772"/>
      <c r="Y392" s="783">
        <v>270.673760711591</v>
      </c>
      <c r="Z392" s="772"/>
    </row>
    <row r="393" spans="1:26" s="753" customFormat="1">
      <c r="A393" s="756" t="s">
        <v>4579</v>
      </c>
      <c r="B393" s="757"/>
      <c r="C393" s="758"/>
      <c r="D393" s="773" t="s">
        <v>2767</v>
      </c>
      <c r="E393" s="782"/>
      <c r="F393" s="774" t="s">
        <v>8656</v>
      </c>
      <c r="G393" s="981" t="s">
        <v>11321</v>
      </c>
      <c r="H393" s="772" t="str">
        <f>VLOOKUP($D393,transmitter_from_BP!$B:$F,2,0)</f>
        <v>MPA INLET EZ2109A</v>
      </c>
      <c r="I393" s="981" t="s">
        <v>11321</v>
      </c>
      <c r="J393" s="772" t="str">
        <f>VLOOKUP($D393,transmitter_from_BP!$B:$F,2,0)</f>
        <v>MPA INLET EZ2109A</v>
      </c>
      <c r="K393" s="981" t="s">
        <v>11676</v>
      </c>
      <c r="L393" s="1064" t="str">
        <f>VLOOKUP($D393,transmitter_from_BP!$B:$F,5,0)</f>
        <v>DEGC</v>
      </c>
      <c r="M393" s="783">
        <v>6</v>
      </c>
      <c r="N393" s="772">
        <v>6</v>
      </c>
      <c r="O393" s="783">
        <v>1</v>
      </c>
      <c r="P393" s="772">
        <v>1</v>
      </c>
      <c r="Q393" s="783">
        <v>1</v>
      </c>
      <c r="R393" s="772">
        <v>1</v>
      </c>
      <c r="S393" s="783">
        <v>0</v>
      </c>
      <c r="T393" s="991">
        <f>VLOOKUP($D393,transmitter_from_BP!$B:$F,4,0)</f>
        <v>0</v>
      </c>
      <c r="U393" s="783">
        <v>600</v>
      </c>
      <c r="V393" s="991">
        <f>VLOOKUP($D393,transmitter_from_BP!$B:$F,3,0)</f>
        <v>600</v>
      </c>
      <c r="W393" s="783">
        <v>0</v>
      </c>
      <c r="X393" s="772"/>
      <c r="Y393" s="783">
        <v>272.10552116846998</v>
      </c>
      <c r="Z393" s="772"/>
    </row>
    <row r="394" spans="1:26" s="753" customFormat="1">
      <c r="A394" s="756" t="s">
        <v>4579</v>
      </c>
      <c r="B394" s="757"/>
      <c r="C394" s="758"/>
      <c r="D394" s="773" t="s">
        <v>9787</v>
      </c>
      <c r="E394" s="782"/>
      <c r="F394" s="774" t="s">
        <v>8657</v>
      </c>
      <c r="G394" s="981" t="s">
        <v>11322</v>
      </c>
      <c r="H394" s="772" t="str">
        <f>VLOOKUP($D394,transmitter_from_BP!$B:$F,2,0)</f>
        <v>MPA INLET EZ2109B</v>
      </c>
      <c r="I394" s="981" t="s">
        <v>11322</v>
      </c>
      <c r="J394" s="772" t="str">
        <f>VLOOKUP($D394,transmitter_from_BP!$B:$F,2,0)</f>
        <v>MPA INLET EZ2109B</v>
      </c>
      <c r="K394" s="981" t="s">
        <v>11676</v>
      </c>
      <c r="L394" s="1064" t="str">
        <f>VLOOKUP($D394,transmitter_from_BP!$B:$F,5,0)</f>
        <v>DEGC</v>
      </c>
      <c r="M394" s="783">
        <v>6</v>
      </c>
      <c r="N394" s="772">
        <v>6</v>
      </c>
      <c r="O394" s="783">
        <v>1</v>
      </c>
      <c r="P394" s="772">
        <v>1</v>
      </c>
      <c r="Q394" s="783">
        <v>1</v>
      </c>
      <c r="R394" s="772">
        <v>1</v>
      </c>
      <c r="S394" s="783">
        <v>0</v>
      </c>
      <c r="T394" s="991">
        <f>VLOOKUP($D394,transmitter_from_BP!$B:$F,4,0)</f>
        <v>0</v>
      </c>
      <c r="U394" s="783">
        <v>600</v>
      </c>
      <c r="V394" s="991">
        <f>VLOOKUP($D394,transmitter_from_BP!$B:$F,3,0)</f>
        <v>600</v>
      </c>
      <c r="W394" s="783">
        <v>0</v>
      </c>
      <c r="X394" s="772"/>
      <c r="Y394" s="783">
        <v>272.10552116846799</v>
      </c>
      <c r="Z394" s="772"/>
    </row>
    <row r="395" spans="1:26" s="753" customFormat="1">
      <c r="A395" s="756" t="s">
        <v>4579</v>
      </c>
      <c r="B395" s="757"/>
      <c r="C395" s="758"/>
      <c r="D395" s="773" t="s">
        <v>9788</v>
      </c>
      <c r="E395" s="20"/>
      <c r="F395" s="774" t="s">
        <v>9302</v>
      </c>
      <c r="G395" s="981" t="s">
        <v>11323</v>
      </c>
      <c r="H395" s="772" t="str">
        <f>VLOOKUP($D395,transmitter_from_BP!$B:$F,2,0)</f>
        <v>EZ2109B OUTLT FROM MPA</v>
      </c>
      <c r="I395" s="981" t="s">
        <v>11323</v>
      </c>
      <c r="J395" s="772" t="str">
        <f>VLOOKUP($D395,transmitter_from_BP!$B:$F,2,0)</f>
        <v>EZ2109B OUTLT FROM MPA</v>
      </c>
      <c r="K395" s="981" t="s">
        <v>11676</v>
      </c>
      <c r="L395" s="1064" t="str">
        <f>VLOOKUP($D395,transmitter_from_BP!$B:$F,5,0)</f>
        <v>DEGC</v>
      </c>
      <c r="M395" s="783">
        <v>6</v>
      </c>
      <c r="N395" s="772">
        <v>6</v>
      </c>
      <c r="O395" s="783">
        <v>1</v>
      </c>
      <c r="P395" s="772">
        <v>1</v>
      </c>
      <c r="Q395" s="783">
        <v>1</v>
      </c>
      <c r="R395" s="772">
        <v>1</v>
      </c>
      <c r="S395" s="783">
        <v>0</v>
      </c>
      <c r="T395" s="991">
        <f>VLOOKUP($D395,transmitter_from_BP!$B:$F,4,0)</f>
        <v>0</v>
      </c>
      <c r="U395" s="783">
        <v>400</v>
      </c>
      <c r="V395" s="991">
        <f>VLOOKUP($D395,transmitter_from_BP!$B:$F,3,0)</f>
        <v>400</v>
      </c>
      <c r="W395" s="783">
        <v>0</v>
      </c>
      <c r="X395" s="772"/>
      <c r="Y395" s="783">
        <v>230.888203780455</v>
      </c>
      <c r="Z395" s="772"/>
    </row>
    <row r="396" spans="1:26" s="753" customFormat="1">
      <c r="A396" s="756" t="s">
        <v>4579</v>
      </c>
      <c r="B396" s="757"/>
      <c r="C396" s="758"/>
      <c r="D396" s="773" t="s">
        <v>9653</v>
      </c>
      <c r="E396" s="782"/>
      <c r="F396" s="774" t="s">
        <v>8658</v>
      </c>
      <c r="G396" s="981" t="s">
        <v>11211</v>
      </c>
      <c r="H396" s="772" t="str">
        <f>VLOOKUP($D396,transmitter_from_BP!$B:$F,2,0)</f>
        <v>EZ2110A OUTLT FROM BPA</v>
      </c>
      <c r="I396" s="981" t="s">
        <v>11211</v>
      </c>
      <c r="J396" s="772" t="str">
        <f>VLOOKUP($D396,transmitter_from_BP!$B:$F,2,0)</f>
        <v>EZ2110A OUTLT FROM BPA</v>
      </c>
      <c r="K396" s="981" t="s">
        <v>11676</v>
      </c>
      <c r="L396" s="1064" t="str">
        <f>VLOOKUP($D396,transmitter_from_BP!$B:$F,5,0)</f>
        <v>DEGC</v>
      </c>
      <c r="M396" s="783">
        <v>6</v>
      </c>
      <c r="N396" s="772">
        <v>6</v>
      </c>
      <c r="O396" s="783">
        <v>1</v>
      </c>
      <c r="P396" s="772">
        <v>1</v>
      </c>
      <c r="Q396" s="783">
        <v>1</v>
      </c>
      <c r="R396" s="772">
        <v>1</v>
      </c>
      <c r="S396" s="783">
        <v>0</v>
      </c>
      <c r="T396" s="991">
        <f>VLOOKUP($D396,transmitter_from_BP!$B:$F,4,0)</f>
        <v>0</v>
      </c>
      <c r="U396" s="783">
        <v>600</v>
      </c>
      <c r="V396" s="991">
        <f>VLOOKUP($D396,transmitter_from_BP!$B:$F,3,0)</f>
        <v>600</v>
      </c>
      <c r="W396" s="783">
        <v>0</v>
      </c>
      <c r="X396" s="772"/>
      <c r="Y396" s="783">
        <v>307.484664936782</v>
      </c>
      <c r="Z396" s="772"/>
    </row>
    <row r="397" spans="1:26" s="753" customFormat="1">
      <c r="A397" s="756" t="s">
        <v>4579</v>
      </c>
      <c r="B397" s="757"/>
      <c r="C397" s="758"/>
      <c r="D397" s="773" t="s">
        <v>9789</v>
      </c>
      <c r="E397" s="782"/>
      <c r="F397" s="774" t="s">
        <v>8626</v>
      </c>
      <c r="G397" s="981" t="s">
        <v>11324</v>
      </c>
      <c r="H397" s="772" t="str">
        <f>VLOOKUP($D397,transmitter_from_BP!$B:$F,2,0)</f>
        <v>LIQUID TEMP. FROM TRAY 8</v>
      </c>
      <c r="I397" s="981" t="s">
        <v>11324</v>
      </c>
      <c r="J397" s="772" t="str">
        <f>VLOOKUP($D397,transmitter_from_BP!$B:$F,2,0)</f>
        <v>LIQUID TEMP. FROM TRAY 8</v>
      </c>
      <c r="K397" s="981" t="s">
        <v>11676</v>
      </c>
      <c r="L397" s="1064" t="str">
        <f>VLOOKUP($D397,transmitter_from_BP!$B:$F,5,0)</f>
        <v>DEGC</v>
      </c>
      <c r="M397" s="783">
        <v>6</v>
      </c>
      <c r="N397" s="772">
        <v>6</v>
      </c>
      <c r="O397" s="783">
        <v>1</v>
      </c>
      <c r="P397" s="772">
        <v>1</v>
      </c>
      <c r="Q397" s="783">
        <v>1</v>
      </c>
      <c r="R397" s="772">
        <v>1</v>
      </c>
      <c r="S397" s="783">
        <v>-30.9</v>
      </c>
      <c r="T397" s="991">
        <f>VLOOKUP($D397,transmitter_from_BP!$B:$F,4,0)</f>
        <v>-30.9</v>
      </c>
      <c r="U397" s="783">
        <v>391.5</v>
      </c>
      <c r="V397" s="991">
        <f>VLOOKUP($D397,transmitter_from_BP!$B:$F,3,0)</f>
        <v>391.5</v>
      </c>
      <c r="W397" s="783">
        <v>0</v>
      </c>
      <c r="X397" s="772"/>
      <c r="Y397" s="783">
        <v>241.252814870533</v>
      </c>
      <c r="Z397" s="772"/>
    </row>
    <row r="398" spans="1:26" s="753" customFormat="1">
      <c r="A398" s="756" t="s">
        <v>4579</v>
      </c>
      <c r="B398" s="757"/>
      <c r="C398" s="758"/>
      <c r="D398" s="773" t="s">
        <v>9790</v>
      </c>
      <c r="E398" s="782"/>
      <c r="F398" s="774" t="s">
        <v>8627</v>
      </c>
      <c r="G398" s="981" t="s">
        <v>11325</v>
      </c>
      <c r="H398" s="772" t="str">
        <f>VLOOKUP($D398,transmitter_from_BP!$B:$F,2,0)</f>
        <v>CDU TOWER FLASH ZONE</v>
      </c>
      <c r="I398" s="981" t="s">
        <v>11325</v>
      </c>
      <c r="J398" s="772" t="str">
        <f>VLOOKUP($D398,transmitter_from_BP!$B:$F,2,0)</f>
        <v>CDU TOWER FLASH ZONE</v>
      </c>
      <c r="K398" s="981" t="s">
        <v>11676</v>
      </c>
      <c r="L398" s="1064" t="str">
        <f>VLOOKUP($D398,transmitter_from_BP!$B:$F,5,0)</f>
        <v>DEGC</v>
      </c>
      <c r="M398" s="783">
        <v>6</v>
      </c>
      <c r="N398" s="772">
        <v>6</v>
      </c>
      <c r="O398" s="783">
        <v>1</v>
      </c>
      <c r="P398" s="772">
        <v>1</v>
      </c>
      <c r="Q398" s="783">
        <v>1</v>
      </c>
      <c r="R398" s="772">
        <v>1</v>
      </c>
      <c r="S398" s="783">
        <v>-30.9</v>
      </c>
      <c r="T398" s="991">
        <f>VLOOKUP($D398,transmitter_from_BP!$B:$F,4,0)</f>
        <v>-30.9</v>
      </c>
      <c r="U398" s="783">
        <v>391.5</v>
      </c>
      <c r="V398" s="991">
        <f>VLOOKUP($D398,transmitter_from_BP!$B:$F,3,0)</f>
        <v>391.5</v>
      </c>
      <c r="W398" s="783">
        <v>0</v>
      </c>
      <c r="X398" s="772"/>
      <c r="Y398" s="783">
        <v>241.252814870533</v>
      </c>
      <c r="Z398" s="772"/>
    </row>
    <row r="399" spans="1:26" s="753" customFormat="1">
      <c r="A399" s="756" t="s">
        <v>4579</v>
      </c>
      <c r="B399" s="757"/>
      <c r="C399" s="758"/>
      <c r="D399" s="773" t="s">
        <v>9791</v>
      </c>
      <c r="E399" s="782"/>
      <c r="F399" s="774" t="s">
        <v>6334</v>
      </c>
      <c r="G399" s="981" t="s">
        <v>11326</v>
      </c>
      <c r="H399" s="772" t="str">
        <f>VLOOKUP($D399,transmitter_from_BP!$B:$F,2,0)</f>
        <v>DHT FEED TO EZ2151 A</v>
      </c>
      <c r="I399" s="981" t="s">
        <v>11326</v>
      </c>
      <c r="J399" s="772" t="str">
        <f>VLOOKUP($D399,transmitter_from_BP!$B:$F,2,0)</f>
        <v>DHT FEED TO EZ2151 A</v>
      </c>
      <c r="K399" s="981" t="s">
        <v>11676</v>
      </c>
      <c r="L399" s="1064" t="str">
        <f>VLOOKUP($D399,transmitter_from_BP!$B:$F,5,0)</f>
        <v>DEGC</v>
      </c>
      <c r="M399" s="783">
        <v>6</v>
      </c>
      <c r="N399" s="772">
        <v>6</v>
      </c>
      <c r="O399" s="783">
        <v>1</v>
      </c>
      <c r="P399" s="772">
        <v>1</v>
      </c>
      <c r="Q399" s="783">
        <v>1</v>
      </c>
      <c r="R399" s="772">
        <v>1</v>
      </c>
      <c r="S399" s="783">
        <v>-25</v>
      </c>
      <c r="T399" s="991">
        <f>VLOOKUP($D399,transmitter_from_BP!$B:$F,4,0)</f>
        <v>-25</v>
      </c>
      <c r="U399" s="783">
        <v>523</v>
      </c>
      <c r="V399" s="991">
        <f>VLOOKUP($D399,transmitter_from_BP!$B:$F,3,0)</f>
        <v>523</v>
      </c>
      <c r="W399" s="783">
        <v>0</v>
      </c>
      <c r="X399" s="772"/>
      <c r="Y399" s="783">
        <v>54.135102968725697</v>
      </c>
      <c r="Z399" s="772"/>
    </row>
    <row r="400" spans="1:26" s="753" customFormat="1">
      <c r="A400" s="756" t="s">
        <v>4579</v>
      </c>
      <c r="B400" s="757"/>
      <c r="C400" s="758"/>
      <c r="D400" s="773" t="s">
        <v>9792</v>
      </c>
      <c r="E400" s="782"/>
      <c r="F400" s="774" t="s">
        <v>6335</v>
      </c>
      <c r="G400" s="981" t="s">
        <v>11327</v>
      </c>
      <c r="H400" s="772" t="str">
        <f>VLOOKUP($D400,transmitter_from_BP!$B:$F,2,0)</f>
        <v>DHT FEED TO EZ2151 C</v>
      </c>
      <c r="I400" s="981" t="s">
        <v>11327</v>
      </c>
      <c r="J400" s="772" t="str">
        <f>VLOOKUP($D400,transmitter_from_BP!$B:$F,2,0)</f>
        <v>DHT FEED TO EZ2151 C</v>
      </c>
      <c r="K400" s="981" t="s">
        <v>11676</v>
      </c>
      <c r="L400" s="1064" t="str">
        <f>VLOOKUP($D400,transmitter_from_BP!$B:$F,5,0)</f>
        <v>DEGC</v>
      </c>
      <c r="M400" s="783">
        <v>6</v>
      </c>
      <c r="N400" s="772">
        <v>6</v>
      </c>
      <c r="O400" s="783">
        <v>1</v>
      </c>
      <c r="P400" s="772">
        <v>1</v>
      </c>
      <c r="Q400" s="783">
        <v>1</v>
      </c>
      <c r="R400" s="772">
        <v>1</v>
      </c>
      <c r="S400" s="783">
        <v>-25</v>
      </c>
      <c r="T400" s="991">
        <f>VLOOKUP($D400,transmitter_from_BP!$B:$F,4,0)</f>
        <v>-25</v>
      </c>
      <c r="U400" s="783">
        <v>523</v>
      </c>
      <c r="V400" s="991">
        <f>VLOOKUP($D400,transmitter_from_BP!$B:$F,3,0)</f>
        <v>523</v>
      </c>
      <c r="W400" s="783">
        <v>0</v>
      </c>
      <c r="X400" s="772"/>
      <c r="Y400" s="783">
        <v>193.78326590732701</v>
      </c>
      <c r="Z400" s="772"/>
    </row>
    <row r="401" spans="1:26" s="753" customFormat="1">
      <c r="A401" s="756" t="s">
        <v>4579</v>
      </c>
      <c r="B401" s="757"/>
      <c r="C401" s="758"/>
      <c r="D401" s="773" t="s">
        <v>9793</v>
      </c>
      <c r="E401" s="782"/>
      <c r="F401" s="774" t="s">
        <v>6336</v>
      </c>
      <c r="G401" s="981" t="s">
        <v>11328</v>
      </c>
      <c r="H401" s="772" t="str">
        <f>VLOOKUP($D401,transmitter_from_BP!$B:$F,2,0)</f>
        <v>DHT FEED TO EZ2151 E</v>
      </c>
      <c r="I401" s="981" t="s">
        <v>11328</v>
      </c>
      <c r="J401" s="772" t="str">
        <f>VLOOKUP($D401,transmitter_from_BP!$B:$F,2,0)</f>
        <v>DHT FEED TO EZ2151 E</v>
      </c>
      <c r="K401" s="981" t="s">
        <v>11676</v>
      </c>
      <c r="L401" s="1064" t="str">
        <f>VLOOKUP($D401,transmitter_from_BP!$B:$F,5,0)</f>
        <v>DEGC</v>
      </c>
      <c r="M401" s="783">
        <v>6</v>
      </c>
      <c r="N401" s="772">
        <v>6</v>
      </c>
      <c r="O401" s="783">
        <v>1</v>
      </c>
      <c r="P401" s="772">
        <v>1</v>
      </c>
      <c r="Q401" s="783">
        <v>1</v>
      </c>
      <c r="R401" s="772">
        <v>1</v>
      </c>
      <c r="S401" s="783">
        <v>-25</v>
      </c>
      <c r="T401" s="991">
        <f>VLOOKUP($D401,transmitter_from_BP!$B:$F,4,0)</f>
        <v>-25</v>
      </c>
      <c r="U401" s="783">
        <v>523</v>
      </c>
      <c r="V401" s="991">
        <f>VLOOKUP($D401,transmitter_from_BP!$B:$F,3,0)</f>
        <v>523</v>
      </c>
      <c r="W401" s="783">
        <v>0</v>
      </c>
      <c r="X401" s="772"/>
      <c r="Y401" s="783">
        <v>259.78474166888498</v>
      </c>
      <c r="Z401" s="772"/>
    </row>
    <row r="402" spans="1:26" s="753" customFormat="1">
      <c r="A402" s="756" t="s">
        <v>4579</v>
      </c>
      <c r="B402" s="757"/>
      <c r="C402" s="758"/>
      <c r="D402" s="773" t="s">
        <v>9794</v>
      </c>
      <c r="E402" s="782"/>
      <c r="F402" s="774" t="s">
        <v>6337</v>
      </c>
      <c r="G402" s="981" t="s">
        <v>11329</v>
      </c>
      <c r="H402" s="772" t="str">
        <f>VLOOKUP($D402,transmitter_from_BP!$B:$F,2,0)</f>
        <v>DHT FEED TO HEATER</v>
      </c>
      <c r="I402" s="981" t="s">
        <v>11329</v>
      </c>
      <c r="J402" s="772" t="str">
        <f>VLOOKUP($D402,transmitter_from_BP!$B:$F,2,0)</f>
        <v>DHT FEED TO HEATER</v>
      </c>
      <c r="K402" s="981" t="s">
        <v>11676</v>
      </c>
      <c r="L402" s="1064" t="str">
        <f>VLOOKUP($D402,transmitter_from_BP!$B:$F,5,0)</f>
        <v>DEGC</v>
      </c>
      <c r="M402" s="783">
        <v>6</v>
      </c>
      <c r="N402" s="772">
        <v>6</v>
      </c>
      <c r="O402" s="783">
        <v>1</v>
      </c>
      <c r="P402" s="772">
        <v>1</v>
      </c>
      <c r="Q402" s="783">
        <v>1</v>
      </c>
      <c r="R402" s="772">
        <v>1</v>
      </c>
      <c r="S402" s="783">
        <v>0</v>
      </c>
      <c r="T402" s="991">
        <f>VLOOKUP($D402,transmitter_from_BP!$B:$F,4,0)</f>
        <v>0</v>
      </c>
      <c r="U402" s="783">
        <v>400</v>
      </c>
      <c r="V402" s="991">
        <f>VLOOKUP($D402,transmitter_from_BP!$B:$F,3,0)</f>
        <v>400</v>
      </c>
      <c r="W402" s="783">
        <v>0</v>
      </c>
      <c r="X402" s="772"/>
      <c r="Y402" s="783">
        <v>285.60254526908398</v>
      </c>
      <c r="Z402" s="772"/>
    </row>
    <row r="403" spans="1:26" s="753" customFormat="1">
      <c r="A403" s="756" t="s">
        <v>4579</v>
      </c>
      <c r="B403" s="757"/>
      <c r="C403" s="758"/>
      <c r="D403" s="773" t="s">
        <v>9795</v>
      </c>
      <c r="E403" s="782"/>
      <c r="F403" s="774" t="s">
        <v>6338</v>
      </c>
      <c r="G403" s="981" t="s">
        <v>11330</v>
      </c>
      <c r="H403" s="772" t="str">
        <f>VLOOKUP($D403,transmitter_from_BP!$B:$F,2,0)</f>
        <v>DHT REACT PRODUCT TO EZ2151 D</v>
      </c>
      <c r="I403" s="981" t="s">
        <v>11330</v>
      </c>
      <c r="J403" s="772" t="str">
        <f>VLOOKUP($D403,transmitter_from_BP!$B:$F,2,0)</f>
        <v>DHT REACT PRODUCT TO EZ2151 D</v>
      </c>
      <c r="K403" s="981" t="s">
        <v>11676</v>
      </c>
      <c r="L403" s="1064" t="str">
        <f>VLOOKUP($D403,transmitter_from_BP!$B:$F,5,0)</f>
        <v>DEGC</v>
      </c>
      <c r="M403" s="783">
        <v>6</v>
      </c>
      <c r="N403" s="772">
        <v>6</v>
      </c>
      <c r="O403" s="783">
        <v>1</v>
      </c>
      <c r="P403" s="772">
        <v>1</v>
      </c>
      <c r="Q403" s="783">
        <v>1</v>
      </c>
      <c r="R403" s="772">
        <v>1</v>
      </c>
      <c r="S403" s="783">
        <v>-25</v>
      </c>
      <c r="T403" s="991">
        <f>VLOOKUP($D403,transmitter_from_BP!$B:$F,4,0)</f>
        <v>-25</v>
      </c>
      <c r="U403" s="783">
        <v>523</v>
      </c>
      <c r="V403" s="991">
        <f>VLOOKUP($D403,transmitter_from_BP!$B:$F,3,0)</f>
        <v>523</v>
      </c>
      <c r="W403" s="783">
        <v>0</v>
      </c>
      <c r="X403" s="772"/>
      <c r="Y403" s="783">
        <v>286.04438916710598</v>
      </c>
      <c r="Z403" s="772"/>
    </row>
    <row r="404" spans="1:26" s="753" customFormat="1">
      <c r="A404" s="756" t="s">
        <v>4579</v>
      </c>
      <c r="B404" s="757"/>
      <c r="C404" s="758"/>
      <c r="D404" s="773" t="s">
        <v>9796</v>
      </c>
      <c r="E404" s="782"/>
      <c r="F404" s="774" t="s">
        <v>6339</v>
      </c>
      <c r="G404" s="981" t="s">
        <v>11331</v>
      </c>
      <c r="H404" s="772" t="str">
        <f>VLOOKUP($D404,transmitter_from_BP!$B:$F,2,0)</f>
        <v>DHT REACT PRODUCT TO EZ2151 B</v>
      </c>
      <c r="I404" s="981" t="s">
        <v>11331</v>
      </c>
      <c r="J404" s="772" t="str">
        <f>VLOOKUP($D404,transmitter_from_BP!$B:$F,2,0)</f>
        <v>DHT REACT PRODUCT TO EZ2151 B</v>
      </c>
      <c r="K404" s="981" t="s">
        <v>11676</v>
      </c>
      <c r="L404" s="1064" t="str">
        <f>VLOOKUP($D404,transmitter_from_BP!$B:$F,5,0)</f>
        <v>DEGC</v>
      </c>
      <c r="M404" s="783">
        <v>6</v>
      </c>
      <c r="N404" s="772">
        <v>6</v>
      </c>
      <c r="O404" s="783">
        <v>1</v>
      </c>
      <c r="P404" s="772">
        <v>1</v>
      </c>
      <c r="Q404" s="783">
        <v>1</v>
      </c>
      <c r="R404" s="772">
        <v>1</v>
      </c>
      <c r="S404" s="783">
        <v>-25</v>
      </c>
      <c r="T404" s="991">
        <f>VLOOKUP($D404,transmitter_from_BP!$B:$F,4,0)</f>
        <v>-25</v>
      </c>
      <c r="U404" s="783">
        <v>523</v>
      </c>
      <c r="V404" s="991">
        <f>VLOOKUP($D404,transmitter_from_BP!$B:$F,3,0)</f>
        <v>523</v>
      </c>
      <c r="W404" s="783">
        <v>0</v>
      </c>
      <c r="X404" s="772"/>
      <c r="Y404" s="783">
        <v>230.679246577208</v>
      </c>
      <c r="Z404" s="772"/>
    </row>
    <row r="405" spans="1:26" s="753" customFormat="1">
      <c r="A405" s="756" t="s">
        <v>4579</v>
      </c>
      <c r="B405" s="757"/>
      <c r="C405" s="758"/>
      <c r="D405" s="773" t="s">
        <v>9797</v>
      </c>
      <c r="E405" s="782"/>
      <c r="F405" s="774" t="s">
        <v>6340</v>
      </c>
      <c r="G405" s="981" t="s">
        <v>11332</v>
      </c>
      <c r="H405" s="772" t="str">
        <f>VLOOKUP($D405,transmitter_from_BP!$B:$F,2,0)</f>
        <v>DHT INLET TO EZ2152 A</v>
      </c>
      <c r="I405" s="981" t="s">
        <v>11332</v>
      </c>
      <c r="J405" s="772" t="str">
        <f>VLOOKUP($D405,transmitter_from_BP!$B:$F,2,0)</f>
        <v>DHT INLET TO EZ2152 A</v>
      </c>
      <c r="K405" s="981" t="s">
        <v>11676</v>
      </c>
      <c r="L405" s="772" t="str">
        <f>VLOOKUP($D405,transmitter_from_BP!$B:$F,5,0)</f>
        <v>DEGC</v>
      </c>
      <c r="M405" s="783">
        <v>6</v>
      </c>
      <c r="N405" s="772">
        <v>6</v>
      </c>
      <c r="O405" s="783">
        <v>1</v>
      </c>
      <c r="P405" s="772">
        <v>1</v>
      </c>
      <c r="Q405" s="783">
        <v>1</v>
      </c>
      <c r="R405" s="772">
        <v>1</v>
      </c>
      <c r="S405" s="783">
        <v>-25</v>
      </c>
      <c r="T405" s="991">
        <f>VLOOKUP($D405,transmitter_from_BP!$B:$F,4,0)</f>
        <v>-25</v>
      </c>
      <c r="U405" s="783">
        <v>523</v>
      </c>
      <c r="V405" s="991">
        <f>VLOOKUP($D405,transmitter_from_BP!$B:$F,3,0)</f>
        <v>523</v>
      </c>
      <c r="W405" s="783">
        <v>0</v>
      </c>
      <c r="X405" s="772"/>
      <c r="Y405" s="783">
        <v>113.813495461266</v>
      </c>
      <c r="Z405" s="772"/>
    </row>
    <row r="406" spans="1:26" s="753" customFormat="1">
      <c r="A406" s="756" t="s">
        <v>4579</v>
      </c>
      <c r="B406" s="757"/>
      <c r="C406" s="758"/>
      <c r="D406" s="773" t="s">
        <v>9798</v>
      </c>
      <c r="E406" s="782"/>
      <c r="F406" s="774" t="s">
        <v>6418</v>
      </c>
      <c r="G406" s="981" t="s">
        <v>11333</v>
      </c>
      <c r="H406" s="772" t="str">
        <f>VLOOKUP($D406,transmitter_from_BP!$B:$F,2,0)</f>
        <v>DHT HEATER CONV INLET FLUE</v>
      </c>
      <c r="I406" s="981" t="s">
        <v>11333</v>
      </c>
      <c r="J406" s="772" t="str">
        <f>VLOOKUP($D406,transmitter_from_BP!$B:$F,2,0)</f>
        <v>DHT HEATER CONV INLET FLUE</v>
      </c>
      <c r="K406" s="981" t="s">
        <v>11676</v>
      </c>
      <c r="L406" s="1064" t="str">
        <f>VLOOKUP($D406,transmitter_from_BP!$B:$F,5,0)</f>
        <v>DEGC</v>
      </c>
      <c r="M406" s="783">
        <v>6</v>
      </c>
      <c r="N406" s="772">
        <v>6</v>
      </c>
      <c r="O406" s="783">
        <v>1</v>
      </c>
      <c r="P406" s="772">
        <v>1</v>
      </c>
      <c r="Q406" s="783">
        <v>1</v>
      </c>
      <c r="R406" s="772">
        <v>1</v>
      </c>
      <c r="S406" s="783">
        <v>-25</v>
      </c>
      <c r="T406" s="991">
        <f>VLOOKUP($D406,transmitter_from_BP!$B:$F,4,0)</f>
        <v>-25</v>
      </c>
      <c r="U406" s="783">
        <v>1116</v>
      </c>
      <c r="V406" s="991">
        <f>VLOOKUP($D406,transmitter_from_BP!$B:$F,3,0)</f>
        <v>1116</v>
      </c>
      <c r="W406" s="783">
        <v>0</v>
      </c>
      <c r="X406" s="772"/>
      <c r="Y406" s="783">
        <v>673.33801908625901</v>
      </c>
      <c r="Z406" s="772"/>
    </row>
    <row r="407" spans="1:26" s="753" customFormat="1">
      <c r="A407" s="756" t="s">
        <v>4579</v>
      </c>
      <c r="B407" s="757"/>
      <c r="C407" s="758"/>
      <c r="D407" s="773" t="s">
        <v>9799</v>
      </c>
      <c r="E407" s="782"/>
      <c r="F407" s="774" t="s">
        <v>6398</v>
      </c>
      <c r="G407" s="981" t="s">
        <v>11334</v>
      </c>
      <c r="H407" s="772" t="str">
        <f>VLOOKUP($D407,transmitter_from_BP!$B:$F,2,0)</f>
        <v>SKIN TEMPERATURE HZ2151</v>
      </c>
      <c r="I407" s="981" t="s">
        <v>11334</v>
      </c>
      <c r="J407" s="772" t="str">
        <f>VLOOKUP($D407,transmitter_from_BP!$B:$F,2,0)</f>
        <v>SKIN TEMPERATURE HZ2151</v>
      </c>
      <c r="K407" s="981" t="s">
        <v>11676</v>
      </c>
      <c r="L407" s="1064" t="str">
        <f>VLOOKUP($D407,transmitter_from_BP!$B:$F,5,0)</f>
        <v>DEGC</v>
      </c>
      <c r="M407" s="783">
        <v>6</v>
      </c>
      <c r="N407" s="772">
        <v>6</v>
      </c>
      <c r="O407" s="783">
        <v>1</v>
      </c>
      <c r="P407" s="772">
        <v>1</v>
      </c>
      <c r="Q407" s="783">
        <v>1</v>
      </c>
      <c r="R407" s="772">
        <v>1</v>
      </c>
      <c r="S407" s="783">
        <v>0</v>
      </c>
      <c r="T407" s="991">
        <f>VLOOKUP($D407,transmitter_from_BP!$B:$F,4,0)</f>
        <v>0</v>
      </c>
      <c r="U407" s="783">
        <v>1200</v>
      </c>
      <c r="V407" s="991">
        <f>VLOOKUP($D407,transmitter_from_BP!$B:$F,3,0)</f>
        <v>1200</v>
      </c>
      <c r="W407" s="783">
        <v>0</v>
      </c>
      <c r="X407" s="772"/>
      <c r="Y407" s="783">
        <v>339.60255651106002</v>
      </c>
      <c r="Z407" s="772"/>
    </row>
    <row r="408" spans="1:26" s="753" customFormat="1">
      <c r="A408" s="756" t="s">
        <v>4579</v>
      </c>
      <c r="B408" s="757"/>
      <c r="C408" s="758"/>
      <c r="D408" s="773" t="s">
        <v>9800</v>
      </c>
      <c r="E408" s="782"/>
      <c r="F408" s="774" t="s">
        <v>6399</v>
      </c>
      <c r="G408" s="981" t="s">
        <v>11334</v>
      </c>
      <c r="H408" s="772" t="str">
        <f>VLOOKUP($D408,transmitter_from_BP!$B:$F,2,0)</f>
        <v>SKIN TEMPERATURE HZ2151</v>
      </c>
      <c r="I408" s="981" t="s">
        <v>11334</v>
      </c>
      <c r="J408" s="772" t="str">
        <f>VLOOKUP($D408,transmitter_from_BP!$B:$F,2,0)</f>
        <v>SKIN TEMPERATURE HZ2151</v>
      </c>
      <c r="K408" s="981" t="s">
        <v>11676</v>
      </c>
      <c r="L408" s="1064" t="str">
        <f>VLOOKUP($D408,transmitter_from_BP!$B:$F,5,0)</f>
        <v>DEGC</v>
      </c>
      <c r="M408" s="783">
        <v>6</v>
      </c>
      <c r="N408" s="772">
        <v>6</v>
      </c>
      <c r="O408" s="783">
        <v>1</v>
      </c>
      <c r="P408" s="772">
        <v>1</v>
      </c>
      <c r="Q408" s="783">
        <v>1</v>
      </c>
      <c r="R408" s="772">
        <v>1</v>
      </c>
      <c r="S408" s="783">
        <v>0</v>
      </c>
      <c r="T408" s="991">
        <f>VLOOKUP($D408,transmitter_from_BP!$B:$F,4,0)</f>
        <v>0</v>
      </c>
      <c r="U408" s="783">
        <v>1200</v>
      </c>
      <c r="V408" s="991">
        <f>VLOOKUP($D408,transmitter_from_BP!$B:$F,3,0)</f>
        <v>1200</v>
      </c>
      <c r="W408" s="783">
        <v>0</v>
      </c>
      <c r="X408" s="772"/>
      <c r="Y408" s="783">
        <v>339.600805987922</v>
      </c>
      <c r="Z408" s="772"/>
    </row>
    <row r="409" spans="1:26" s="753" customFormat="1">
      <c r="A409" s="756" t="s">
        <v>4579</v>
      </c>
      <c r="B409" s="757"/>
      <c r="C409" s="758"/>
      <c r="D409" s="773" t="s">
        <v>9801</v>
      </c>
      <c r="E409" s="782"/>
      <c r="F409" s="774" t="s">
        <v>6400</v>
      </c>
      <c r="G409" s="981" t="s">
        <v>11334</v>
      </c>
      <c r="H409" s="772" t="str">
        <f>VLOOKUP($D409,transmitter_from_BP!$B:$F,2,0)</f>
        <v>SKIN TEMPERATURE HZ2151</v>
      </c>
      <c r="I409" s="981" t="s">
        <v>11334</v>
      </c>
      <c r="J409" s="772" t="str">
        <f>VLOOKUP($D409,transmitter_from_BP!$B:$F,2,0)</f>
        <v>SKIN TEMPERATURE HZ2151</v>
      </c>
      <c r="K409" s="981" t="s">
        <v>11676</v>
      </c>
      <c r="L409" s="1064" t="str">
        <f>VLOOKUP($D409,transmitter_from_BP!$B:$F,5,0)</f>
        <v>DEGC</v>
      </c>
      <c r="M409" s="783">
        <v>6</v>
      </c>
      <c r="N409" s="772">
        <v>6</v>
      </c>
      <c r="O409" s="783">
        <v>1</v>
      </c>
      <c r="P409" s="772">
        <v>1</v>
      </c>
      <c r="Q409" s="783">
        <v>1</v>
      </c>
      <c r="R409" s="772">
        <v>1</v>
      </c>
      <c r="S409" s="783">
        <v>0</v>
      </c>
      <c r="T409" s="991">
        <f>VLOOKUP($D409,transmitter_from_BP!$B:$F,4,0)</f>
        <v>0</v>
      </c>
      <c r="U409" s="783">
        <v>1200</v>
      </c>
      <c r="V409" s="991">
        <f>VLOOKUP($D409,transmitter_from_BP!$B:$F,3,0)</f>
        <v>1200</v>
      </c>
      <c r="W409" s="783">
        <v>0</v>
      </c>
      <c r="X409" s="772"/>
      <c r="Y409" s="783">
        <v>339.59909253831802</v>
      </c>
      <c r="Z409" s="772"/>
    </row>
    <row r="410" spans="1:26" s="753" customFormat="1">
      <c r="A410" s="756" t="s">
        <v>4579</v>
      </c>
      <c r="B410" s="757"/>
      <c r="C410" s="758"/>
      <c r="D410" s="773" t="s">
        <v>9802</v>
      </c>
      <c r="E410" s="782"/>
      <c r="F410" s="774" t="s">
        <v>6401</v>
      </c>
      <c r="G410" s="981" t="s">
        <v>11334</v>
      </c>
      <c r="H410" s="772" t="str">
        <f>VLOOKUP($D410,transmitter_from_BP!$B:$F,2,0)</f>
        <v>SKIN TEMPERATURE HZ2151</v>
      </c>
      <c r="I410" s="981" t="s">
        <v>11334</v>
      </c>
      <c r="J410" s="772" t="str">
        <f>VLOOKUP($D410,transmitter_from_BP!$B:$F,2,0)</f>
        <v>SKIN TEMPERATURE HZ2151</v>
      </c>
      <c r="K410" s="981" t="s">
        <v>11676</v>
      </c>
      <c r="L410" s="1064" t="str">
        <f>VLOOKUP($D410,transmitter_from_BP!$B:$F,5,0)</f>
        <v>DEGC</v>
      </c>
      <c r="M410" s="783">
        <v>6</v>
      </c>
      <c r="N410" s="772">
        <v>6</v>
      </c>
      <c r="O410" s="783">
        <v>1</v>
      </c>
      <c r="P410" s="772">
        <v>1</v>
      </c>
      <c r="Q410" s="783">
        <v>1</v>
      </c>
      <c r="R410" s="772">
        <v>1</v>
      </c>
      <c r="S410" s="783">
        <v>0</v>
      </c>
      <c r="T410" s="991">
        <f>VLOOKUP($D410,transmitter_from_BP!$B:$F,4,0)</f>
        <v>0</v>
      </c>
      <c r="U410" s="783">
        <v>1200</v>
      </c>
      <c r="V410" s="991">
        <f>VLOOKUP($D410,transmitter_from_BP!$B:$F,3,0)</f>
        <v>1200</v>
      </c>
      <c r="W410" s="783">
        <v>0</v>
      </c>
      <c r="X410" s="772"/>
      <c r="Y410" s="783">
        <v>339.59744624920501</v>
      </c>
      <c r="Z410" s="772"/>
    </row>
    <row r="411" spans="1:26" s="753" customFormat="1">
      <c r="A411" s="756" t="s">
        <v>4579</v>
      </c>
      <c r="B411" s="757"/>
      <c r="C411" s="758"/>
      <c r="D411" s="773" t="s">
        <v>9803</v>
      </c>
      <c r="E411" s="782"/>
      <c r="F411" s="774" t="s">
        <v>6402</v>
      </c>
      <c r="G411" s="981" t="s">
        <v>11334</v>
      </c>
      <c r="H411" s="772" t="str">
        <f>VLOOKUP($D411,transmitter_from_BP!$B:$F,2,0)</f>
        <v>SKIN TEMPERATURE HZ2151</v>
      </c>
      <c r="I411" s="981" t="s">
        <v>11334</v>
      </c>
      <c r="J411" s="772" t="str">
        <f>VLOOKUP($D411,transmitter_from_BP!$B:$F,2,0)</f>
        <v>SKIN TEMPERATURE HZ2151</v>
      </c>
      <c r="K411" s="981" t="s">
        <v>11676</v>
      </c>
      <c r="L411" s="1064" t="str">
        <f>VLOOKUP($D411,transmitter_from_BP!$B:$F,5,0)</f>
        <v>DEGC</v>
      </c>
      <c r="M411" s="783">
        <v>6</v>
      </c>
      <c r="N411" s="772">
        <v>6</v>
      </c>
      <c r="O411" s="783">
        <v>1</v>
      </c>
      <c r="P411" s="772">
        <v>1</v>
      </c>
      <c r="Q411" s="783">
        <v>1</v>
      </c>
      <c r="R411" s="772">
        <v>1</v>
      </c>
      <c r="S411" s="783">
        <v>0</v>
      </c>
      <c r="T411" s="991">
        <f>VLOOKUP($D411,transmitter_from_BP!$B:$F,4,0)</f>
        <v>0</v>
      </c>
      <c r="U411" s="783">
        <v>1200</v>
      </c>
      <c r="V411" s="991">
        <f>VLOOKUP($D411,transmitter_from_BP!$B:$F,3,0)</f>
        <v>1200</v>
      </c>
      <c r="W411" s="783">
        <v>0</v>
      </c>
      <c r="X411" s="772"/>
      <c r="Y411" s="783">
        <v>332.24149861421398</v>
      </c>
      <c r="Z411" s="772"/>
    </row>
    <row r="412" spans="1:26" s="753" customFormat="1">
      <c r="A412" s="756" t="s">
        <v>4579</v>
      </c>
      <c r="B412" s="757"/>
      <c r="C412" s="758"/>
      <c r="D412" s="773" t="s">
        <v>9804</v>
      </c>
      <c r="E412" s="782"/>
      <c r="F412" s="774" t="s">
        <v>6403</v>
      </c>
      <c r="G412" s="981" t="s">
        <v>11334</v>
      </c>
      <c r="H412" s="772" t="str">
        <f>VLOOKUP($D412,transmitter_from_BP!$B:$F,2,0)</f>
        <v>SKIN TEMPERATURE HZ2151</v>
      </c>
      <c r="I412" s="981" t="s">
        <v>11334</v>
      </c>
      <c r="J412" s="772" t="str">
        <f>VLOOKUP($D412,transmitter_from_BP!$B:$F,2,0)</f>
        <v>SKIN TEMPERATURE HZ2151</v>
      </c>
      <c r="K412" s="981" t="s">
        <v>11676</v>
      </c>
      <c r="L412" s="1064" t="str">
        <f>VLOOKUP($D412,transmitter_from_BP!$B:$F,5,0)</f>
        <v>DEGC</v>
      </c>
      <c r="M412" s="783">
        <v>6</v>
      </c>
      <c r="N412" s="772">
        <v>6</v>
      </c>
      <c r="O412" s="783">
        <v>1</v>
      </c>
      <c r="P412" s="772">
        <v>1</v>
      </c>
      <c r="Q412" s="783">
        <v>1</v>
      </c>
      <c r="R412" s="772">
        <v>1</v>
      </c>
      <c r="S412" s="783">
        <v>0</v>
      </c>
      <c r="T412" s="991">
        <f>VLOOKUP($D412,transmitter_from_BP!$B:$F,4,0)</f>
        <v>0</v>
      </c>
      <c r="U412" s="783">
        <v>1200</v>
      </c>
      <c r="V412" s="991">
        <f>VLOOKUP($D412,transmitter_from_BP!$B:$F,3,0)</f>
        <v>1200</v>
      </c>
      <c r="W412" s="783">
        <v>0</v>
      </c>
      <c r="X412" s="772"/>
      <c r="Y412" s="783">
        <v>338.19242256126103</v>
      </c>
      <c r="Z412" s="772"/>
    </row>
    <row r="413" spans="1:26" s="753" customFormat="1">
      <c r="A413" s="756" t="s">
        <v>4579</v>
      </c>
      <c r="B413" s="757"/>
      <c r="C413" s="758"/>
      <c r="D413" s="773" t="s">
        <v>9805</v>
      </c>
      <c r="E413" s="782"/>
      <c r="F413" s="774" t="s">
        <v>6404</v>
      </c>
      <c r="G413" s="981" t="s">
        <v>11334</v>
      </c>
      <c r="H413" s="772" t="str">
        <f>VLOOKUP($D413,transmitter_from_BP!$B:$F,2,0)</f>
        <v>SKIN TEMPERATURE HZ2151</v>
      </c>
      <c r="I413" s="981" t="s">
        <v>11334</v>
      </c>
      <c r="J413" s="772" t="str">
        <f>VLOOKUP($D413,transmitter_from_BP!$B:$F,2,0)</f>
        <v>SKIN TEMPERATURE HZ2151</v>
      </c>
      <c r="K413" s="981" t="s">
        <v>11676</v>
      </c>
      <c r="L413" s="1064" t="str">
        <f>VLOOKUP($D413,transmitter_from_BP!$B:$F,5,0)</f>
        <v>DEGC</v>
      </c>
      <c r="M413" s="783">
        <v>6</v>
      </c>
      <c r="N413" s="772">
        <v>6</v>
      </c>
      <c r="O413" s="783">
        <v>1</v>
      </c>
      <c r="P413" s="772">
        <v>1</v>
      </c>
      <c r="Q413" s="783">
        <v>1</v>
      </c>
      <c r="R413" s="772">
        <v>1</v>
      </c>
      <c r="S413" s="783">
        <v>0</v>
      </c>
      <c r="T413" s="991">
        <f>VLOOKUP($D413,transmitter_from_BP!$B:$F,4,0)</f>
        <v>0</v>
      </c>
      <c r="U413" s="783">
        <v>1200</v>
      </c>
      <c r="V413" s="991">
        <f>VLOOKUP($D413,transmitter_from_BP!$B:$F,3,0)</f>
        <v>1200</v>
      </c>
      <c r="W413" s="783">
        <v>0</v>
      </c>
      <c r="X413" s="772"/>
      <c r="Y413" s="783">
        <v>345.11809785499702</v>
      </c>
      <c r="Z413" s="772"/>
    </row>
    <row r="414" spans="1:26" s="753" customFormat="1">
      <c r="A414" s="756" t="s">
        <v>4579</v>
      </c>
      <c r="B414" s="757"/>
      <c r="C414" s="758"/>
      <c r="D414" s="773" t="s">
        <v>9806</v>
      </c>
      <c r="E414" s="782"/>
      <c r="F414" s="774" t="s">
        <v>6405</v>
      </c>
      <c r="G414" s="981" t="s">
        <v>11334</v>
      </c>
      <c r="H414" s="772" t="str">
        <f>VLOOKUP($D414,transmitter_from_BP!$B:$F,2,0)</f>
        <v>SKIN TEMPERATURE HZ2151</v>
      </c>
      <c r="I414" s="981" t="s">
        <v>11334</v>
      </c>
      <c r="J414" s="772" t="str">
        <f>VLOOKUP($D414,transmitter_from_BP!$B:$F,2,0)</f>
        <v>SKIN TEMPERATURE HZ2151</v>
      </c>
      <c r="K414" s="981" t="s">
        <v>11676</v>
      </c>
      <c r="L414" s="1064" t="str">
        <f>VLOOKUP($D414,transmitter_from_BP!$B:$F,5,0)</f>
        <v>DEGC</v>
      </c>
      <c r="M414" s="783">
        <v>6</v>
      </c>
      <c r="N414" s="772">
        <v>6</v>
      </c>
      <c r="O414" s="783">
        <v>1</v>
      </c>
      <c r="P414" s="772">
        <v>1</v>
      </c>
      <c r="Q414" s="783">
        <v>1</v>
      </c>
      <c r="R414" s="772">
        <v>1</v>
      </c>
      <c r="S414" s="783">
        <v>0</v>
      </c>
      <c r="T414" s="991">
        <f>VLOOKUP($D414,transmitter_from_BP!$B:$F,4,0)</f>
        <v>0</v>
      </c>
      <c r="U414" s="783">
        <v>1200</v>
      </c>
      <c r="V414" s="991">
        <f>VLOOKUP($D414,transmitter_from_BP!$B:$F,3,0)</f>
        <v>1200</v>
      </c>
      <c r="W414" s="783">
        <v>0</v>
      </c>
      <c r="X414" s="772"/>
      <c r="Y414" s="783">
        <v>343.27785217313402</v>
      </c>
      <c r="Z414" s="772"/>
    </row>
    <row r="415" spans="1:26" s="753" customFormat="1">
      <c r="A415" s="756" t="s">
        <v>4579</v>
      </c>
      <c r="B415" s="757"/>
      <c r="C415" s="758"/>
      <c r="D415" s="773" t="s">
        <v>9807</v>
      </c>
      <c r="E415" s="782"/>
      <c r="F415" s="774" t="s">
        <v>6406</v>
      </c>
      <c r="G415" s="981" t="s">
        <v>11334</v>
      </c>
      <c r="H415" s="772" t="str">
        <f>VLOOKUP($D415,transmitter_from_BP!$B:$F,2,0)</f>
        <v>SKIN TEMPERATURE HZ2151</v>
      </c>
      <c r="I415" s="981" t="s">
        <v>11334</v>
      </c>
      <c r="J415" s="772" t="str">
        <f>VLOOKUP($D415,transmitter_from_BP!$B:$F,2,0)</f>
        <v>SKIN TEMPERATURE HZ2151</v>
      </c>
      <c r="K415" s="981" t="s">
        <v>11676</v>
      </c>
      <c r="L415" s="1064" t="str">
        <f>VLOOKUP($D415,transmitter_from_BP!$B:$F,5,0)</f>
        <v>DEGC</v>
      </c>
      <c r="M415" s="783">
        <v>6</v>
      </c>
      <c r="N415" s="772">
        <v>6</v>
      </c>
      <c r="O415" s="783">
        <v>1</v>
      </c>
      <c r="P415" s="772">
        <v>1</v>
      </c>
      <c r="Q415" s="783">
        <v>1</v>
      </c>
      <c r="R415" s="772">
        <v>1</v>
      </c>
      <c r="S415" s="783">
        <v>0</v>
      </c>
      <c r="T415" s="991">
        <f>VLOOKUP($D415,transmitter_from_BP!$B:$F,4,0)</f>
        <v>0</v>
      </c>
      <c r="U415" s="783">
        <v>1200</v>
      </c>
      <c r="V415" s="991">
        <f>VLOOKUP($D415,transmitter_from_BP!$B:$F,3,0)</f>
        <v>1200</v>
      </c>
      <c r="W415" s="783">
        <v>0</v>
      </c>
      <c r="X415" s="772"/>
      <c r="Y415" s="783">
        <v>345.11463332977098</v>
      </c>
      <c r="Z415" s="772"/>
    </row>
    <row r="416" spans="1:26" s="753" customFormat="1">
      <c r="A416" s="756" t="s">
        <v>4579</v>
      </c>
      <c r="B416" s="757"/>
      <c r="C416" s="758"/>
      <c r="D416" s="773" t="s">
        <v>9808</v>
      </c>
      <c r="E416" s="782"/>
      <c r="F416" s="774" t="s">
        <v>6407</v>
      </c>
      <c r="G416" s="981" t="s">
        <v>11334</v>
      </c>
      <c r="H416" s="772" t="str">
        <f>VLOOKUP($D416,transmitter_from_BP!$B:$F,2,0)</f>
        <v>SKIN TEMPERATURE HZ2151</v>
      </c>
      <c r="I416" s="981" t="s">
        <v>11334</v>
      </c>
      <c r="J416" s="772" t="str">
        <f>VLOOKUP($D416,transmitter_from_BP!$B:$F,2,0)</f>
        <v>SKIN TEMPERATURE HZ2151</v>
      </c>
      <c r="K416" s="981" t="s">
        <v>11676</v>
      </c>
      <c r="L416" s="1064" t="str">
        <f>VLOOKUP($D416,transmitter_from_BP!$B:$F,5,0)</f>
        <v>DEGC</v>
      </c>
      <c r="M416" s="783">
        <v>6</v>
      </c>
      <c r="N416" s="772">
        <v>6</v>
      </c>
      <c r="O416" s="783">
        <v>1</v>
      </c>
      <c r="P416" s="772">
        <v>1</v>
      </c>
      <c r="Q416" s="783">
        <v>1</v>
      </c>
      <c r="R416" s="772">
        <v>1</v>
      </c>
      <c r="S416" s="783">
        <v>0</v>
      </c>
      <c r="T416" s="991">
        <f>VLOOKUP($D416,transmitter_from_BP!$B:$F,4,0)</f>
        <v>0</v>
      </c>
      <c r="U416" s="783">
        <v>1200</v>
      </c>
      <c r="V416" s="991">
        <f>VLOOKUP($D416,transmitter_from_BP!$B:$F,3,0)</f>
        <v>1200</v>
      </c>
      <c r="W416" s="783">
        <v>0</v>
      </c>
      <c r="X416" s="772"/>
      <c r="Y416" s="783">
        <v>345.11301422320503</v>
      </c>
      <c r="Z416" s="772"/>
    </row>
    <row r="417" spans="1:26" s="753" customFormat="1">
      <c r="A417" s="756" t="s">
        <v>4579</v>
      </c>
      <c r="B417" s="757"/>
      <c r="C417" s="758"/>
      <c r="D417" s="773" t="s">
        <v>9809</v>
      </c>
      <c r="E417" s="782"/>
      <c r="F417" s="774" t="s">
        <v>6408</v>
      </c>
      <c r="G417" s="981" t="s">
        <v>11334</v>
      </c>
      <c r="H417" s="772" t="str">
        <f>VLOOKUP($D417,transmitter_from_BP!$B:$F,2,0)</f>
        <v>SKIN TEMPERATURE HZ2151</v>
      </c>
      <c r="I417" s="981" t="s">
        <v>11334</v>
      </c>
      <c r="J417" s="772" t="str">
        <f>VLOOKUP($D417,transmitter_from_BP!$B:$F,2,0)</f>
        <v>SKIN TEMPERATURE HZ2151</v>
      </c>
      <c r="K417" s="981" t="s">
        <v>11676</v>
      </c>
      <c r="L417" s="1064" t="str">
        <f>VLOOKUP($D417,transmitter_from_BP!$B:$F,5,0)</f>
        <v>DEGC</v>
      </c>
      <c r="M417" s="783">
        <v>6</v>
      </c>
      <c r="N417" s="772">
        <v>6</v>
      </c>
      <c r="O417" s="783">
        <v>1</v>
      </c>
      <c r="P417" s="772">
        <v>1</v>
      </c>
      <c r="Q417" s="783">
        <v>1</v>
      </c>
      <c r="R417" s="772">
        <v>1</v>
      </c>
      <c r="S417" s="783">
        <v>0</v>
      </c>
      <c r="T417" s="991">
        <f>VLOOKUP($D417,transmitter_from_BP!$B:$F,4,0)</f>
        <v>0</v>
      </c>
      <c r="U417" s="783">
        <v>1200</v>
      </c>
      <c r="V417" s="991">
        <f>VLOOKUP($D417,transmitter_from_BP!$B:$F,3,0)</f>
        <v>1200</v>
      </c>
      <c r="W417" s="783">
        <v>0</v>
      </c>
      <c r="X417" s="772"/>
      <c r="Y417" s="783">
        <v>345.11135039278298</v>
      </c>
      <c r="Z417" s="772"/>
    </row>
    <row r="418" spans="1:26" s="753" customFormat="1">
      <c r="A418" s="756" t="s">
        <v>4579</v>
      </c>
      <c r="B418" s="757"/>
      <c r="C418" s="758"/>
      <c r="D418" s="773" t="s">
        <v>9810</v>
      </c>
      <c r="E418" s="782"/>
      <c r="F418" s="774" t="s">
        <v>6409</v>
      </c>
      <c r="G418" s="981" t="s">
        <v>11334</v>
      </c>
      <c r="H418" s="772" t="str">
        <f>VLOOKUP($D418,transmitter_from_BP!$B:$F,2,0)</f>
        <v>SKIN TEMPERATURE HZ2151</v>
      </c>
      <c r="I418" s="981" t="s">
        <v>11334</v>
      </c>
      <c r="J418" s="772" t="str">
        <f>VLOOKUP($D418,transmitter_from_BP!$B:$F,2,0)</f>
        <v>SKIN TEMPERATURE HZ2151</v>
      </c>
      <c r="K418" s="981" t="s">
        <v>11676</v>
      </c>
      <c r="L418" s="1064" t="str">
        <f>VLOOKUP($D418,transmitter_from_BP!$B:$F,5,0)</f>
        <v>DEGC</v>
      </c>
      <c r="M418" s="783">
        <v>6</v>
      </c>
      <c r="N418" s="772">
        <v>6</v>
      </c>
      <c r="O418" s="783">
        <v>1</v>
      </c>
      <c r="P418" s="772">
        <v>1</v>
      </c>
      <c r="Q418" s="783">
        <v>1</v>
      </c>
      <c r="R418" s="772">
        <v>1</v>
      </c>
      <c r="S418" s="783">
        <v>0</v>
      </c>
      <c r="T418" s="991">
        <f>VLOOKUP($D418,transmitter_from_BP!$B:$F,4,0)</f>
        <v>0</v>
      </c>
      <c r="U418" s="783">
        <v>1200</v>
      </c>
      <c r="V418" s="991">
        <f>VLOOKUP($D418,transmitter_from_BP!$B:$F,3,0)</f>
        <v>1200</v>
      </c>
      <c r="W418" s="783">
        <v>0</v>
      </c>
      <c r="X418" s="772"/>
      <c r="Y418" s="783">
        <v>343.73046604269501</v>
      </c>
      <c r="Z418" s="772"/>
    </row>
    <row r="419" spans="1:26" s="753" customFormat="1">
      <c r="A419" s="756" t="s">
        <v>4579</v>
      </c>
      <c r="B419" s="757"/>
      <c r="C419" s="758"/>
      <c r="D419" s="773" t="s">
        <v>9811</v>
      </c>
      <c r="E419" s="782"/>
      <c r="F419" s="774" t="s">
        <v>6417</v>
      </c>
      <c r="G419" s="981" t="s">
        <v>11335</v>
      </c>
      <c r="H419" s="772" t="str">
        <f>VLOOKUP($D419,transmitter_from_BP!$B:$F,2,0)</f>
        <v>DHT HEATER STACK</v>
      </c>
      <c r="I419" s="981" t="s">
        <v>11335</v>
      </c>
      <c r="J419" s="772" t="str">
        <f>VLOOKUP($D419,transmitter_from_BP!$B:$F,2,0)</f>
        <v>DHT HEATER STACK</v>
      </c>
      <c r="K419" s="981" t="s">
        <v>11676</v>
      </c>
      <c r="L419" s="1064" t="str">
        <f>VLOOKUP($D419,transmitter_from_BP!$B:$F,5,0)</f>
        <v>DEGC</v>
      </c>
      <c r="M419" s="783">
        <v>6</v>
      </c>
      <c r="N419" s="772">
        <v>6</v>
      </c>
      <c r="O419" s="783">
        <v>1</v>
      </c>
      <c r="P419" s="772">
        <v>1</v>
      </c>
      <c r="Q419" s="783">
        <v>1</v>
      </c>
      <c r="R419" s="772">
        <v>1</v>
      </c>
      <c r="S419" s="783">
        <v>-25</v>
      </c>
      <c r="T419" s="991">
        <f>VLOOKUP($D419,transmitter_from_BP!$B:$F,4,0)</f>
        <v>-25</v>
      </c>
      <c r="U419" s="783">
        <v>523</v>
      </c>
      <c r="V419" s="991">
        <f>VLOOKUP($D419,transmitter_from_BP!$B:$F,3,0)</f>
        <v>523</v>
      </c>
      <c r="W419" s="783">
        <v>0</v>
      </c>
      <c r="X419" s="772"/>
      <c r="Y419" s="783">
        <v>359.54185067907298</v>
      </c>
      <c r="Z419" s="772"/>
    </row>
    <row r="420" spans="1:26" s="753" customFormat="1">
      <c r="A420" s="756" t="s">
        <v>4579</v>
      </c>
      <c r="B420" s="757"/>
      <c r="C420" s="758"/>
      <c r="D420" s="773" t="s">
        <v>9812</v>
      </c>
      <c r="E420" s="782"/>
      <c r="F420" s="774" t="s">
        <v>6386</v>
      </c>
      <c r="G420" s="981" t="s">
        <v>11336</v>
      </c>
      <c r="H420" s="772" t="str">
        <f>VLOOKUP($D420,transmitter_from_BP!$B:$F,2,0)</f>
        <v>DHT FURNACE OUTLET PASS 1</v>
      </c>
      <c r="I420" s="981" t="s">
        <v>11336</v>
      </c>
      <c r="J420" s="772" t="str">
        <f>VLOOKUP($D420,transmitter_from_BP!$B:$F,2,0)</f>
        <v>DHT FURNACE OUTLET PASS 1</v>
      </c>
      <c r="K420" s="981" t="s">
        <v>11676</v>
      </c>
      <c r="L420" s="1064" t="str">
        <f>VLOOKUP($D420,transmitter_from_BP!$B:$F,5,0)</f>
        <v>DEGC</v>
      </c>
      <c r="M420" s="783">
        <v>6</v>
      </c>
      <c r="N420" s="772">
        <v>6</v>
      </c>
      <c r="O420" s="783">
        <v>1</v>
      </c>
      <c r="P420" s="772">
        <v>1</v>
      </c>
      <c r="Q420" s="783">
        <v>1</v>
      </c>
      <c r="R420" s="772">
        <v>1</v>
      </c>
      <c r="S420" s="783">
        <v>-25</v>
      </c>
      <c r="T420" s="991">
        <f>VLOOKUP($D420,transmitter_from_BP!$B:$F,4,0)</f>
        <v>-25</v>
      </c>
      <c r="U420" s="783">
        <v>523</v>
      </c>
      <c r="V420" s="991">
        <f>VLOOKUP($D420,transmitter_from_BP!$B:$F,3,0)</f>
        <v>523</v>
      </c>
      <c r="W420" s="783">
        <v>0</v>
      </c>
      <c r="X420" s="772"/>
      <c r="Y420" s="783">
        <v>317.53564305228002</v>
      </c>
      <c r="Z420" s="772"/>
    </row>
    <row r="421" spans="1:26" s="753" customFormat="1">
      <c r="A421" s="756" t="s">
        <v>4579</v>
      </c>
      <c r="B421" s="757"/>
      <c r="C421" s="758"/>
      <c r="D421" s="773" t="s">
        <v>9813</v>
      </c>
      <c r="E421" s="782"/>
      <c r="F421" s="774" t="s">
        <v>6387</v>
      </c>
      <c r="G421" s="981" t="s">
        <v>11337</v>
      </c>
      <c r="H421" s="772" t="str">
        <f>VLOOKUP($D421,transmitter_from_BP!$B:$F,2,0)</f>
        <v>DHT FURNACE OUTLET PASS 2</v>
      </c>
      <c r="I421" s="981" t="s">
        <v>11337</v>
      </c>
      <c r="J421" s="772" t="str">
        <f>VLOOKUP($D421,transmitter_from_BP!$B:$F,2,0)</f>
        <v>DHT FURNACE OUTLET PASS 2</v>
      </c>
      <c r="K421" s="981" t="s">
        <v>11676</v>
      </c>
      <c r="L421" s="1064" t="str">
        <f>VLOOKUP($D421,transmitter_from_BP!$B:$F,5,0)</f>
        <v>DEGC</v>
      </c>
      <c r="M421" s="783">
        <v>6</v>
      </c>
      <c r="N421" s="772">
        <v>6</v>
      </c>
      <c r="O421" s="783">
        <v>1</v>
      </c>
      <c r="P421" s="772">
        <v>1</v>
      </c>
      <c r="Q421" s="783">
        <v>1</v>
      </c>
      <c r="R421" s="772">
        <v>1</v>
      </c>
      <c r="S421" s="783">
        <v>-25</v>
      </c>
      <c r="T421" s="991">
        <f>VLOOKUP($D421,transmitter_from_BP!$B:$F,4,0)</f>
        <v>-25</v>
      </c>
      <c r="U421" s="783">
        <v>523</v>
      </c>
      <c r="V421" s="991">
        <f>VLOOKUP($D421,transmitter_from_BP!$B:$F,3,0)</f>
        <v>523</v>
      </c>
      <c r="W421" s="783">
        <v>0</v>
      </c>
      <c r="X421" s="772"/>
      <c r="Y421" s="783">
        <v>317.53378036306799</v>
      </c>
      <c r="Z421" s="772"/>
    </row>
    <row r="422" spans="1:26" s="753" customFormat="1">
      <c r="A422" s="756" t="s">
        <v>4579</v>
      </c>
      <c r="B422" s="757"/>
      <c r="C422" s="758"/>
      <c r="D422" s="773" t="s">
        <v>9814</v>
      </c>
      <c r="E422" s="782"/>
      <c r="F422" s="774" t="s">
        <v>6388</v>
      </c>
      <c r="G422" s="981" t="s">
        <v>11338</v>
      </c>
      <c r="H422" s="772" t="str">
        <f>VLOOKUP($D422,transmitter_from_BP!$B:$F,2,0)</f>
        <v>DHT FURNACE OUTLET PASS 3</v>
      </c>
      <c r="I422" s="981" t="s">
        <v>11338</v>
      </c>
      <c r="J422" s="772" t="str">
        <f>VLOOKUP($D422,transmitter_from_BP!$B:$F,2,0)</f>
        <v>DHT FURNACE OUTLET PASS 3</v>
      </c>
      <c r="K422" s="981" t="s">
        <v>11676</v>
      </c>
      <c r="L422" s="1064" t="str">
        <f>VLOOKUP($D422,transmitter_from_BP!$B:$F,5,0)</f>
        <v>DEGC</v>
      </c>
      <c r="M422" s="783">
        <v>6</v>
      </c>
      <c r="N422" s="772">
        <v>6</v>
      </c>
      <c r="O422" s="783">
        <v>1</v>
      </c>
      <c r="P422" s="772">
        <v>1</v>
      </c>
      <c r="Q422" s="783">
        <v>1</v>
      </c>
      <c r="R422" s="772">
        <v>1</v>
      </c>
      <c r="S422" s="783">
        <v>-25</v>
      </c>
      <c r="T422" s="991">
        <f>VLOOKUP($D422,transmitter_from_BP!$B:$F,4,0)</f>
        <v>-25</v>
      </c>
      <c r="U422" s="783">
        <v>523</v>
      </c>
      <c r="V422" s="991">
        <f>VLOOKUP($D422,transmitter_from_BP!$B:$F,3,0)</f>
        <v>523</v>
      </c>
      <c r="W422" s="783">
        <v>0</v>
      </c>
      <c r="X422" s="772"/>
      <c r="Y422" s="783">
        <v>317.53195757064498</v>
      </c>
      <c r="Z422" s="772"/>
    </row>
    <row r="423" spans="1:26" s="753" customFormat="1">
      <c r="A423" s="756" t="s">
        <v>4579</v>
      </c>
      <c r="B423" s="757"/>
      <c r="C423" s="758"/>
      <c r="D423" s="773" t="s">
        <v>9815</v>
      </c>
      <c r="E423" s="782"/>
      <c r="F423" s="774" t="s">
        <v>6389</v>
      </c>
      <c r="G423" s="981" t="s">
        <v>11339</v>
      </c>
      <c r="H423" s="772" t="str">
        <f>VLOOKUP($D423,transmitter_from_BP!$B:$F,2,0)</f>
        <v>DHT FURNACE OUTLET PASS 4</v>
      </c>
      <c r="I423" s="981" t="s">
        <v>11339</v>
      </c>
      <c r="J423" s="772" t="str">
        <f>VLOOKUP($D423,transmitter_from_BP!$B:$F,2,0)</f>
        <v>DHT FURNACE OUTLET PASS 4</v>
      </c>
      <c r="K423" s="981" t="s">
        <v>11676</v>
      </c>
      <c r="L423" s="1064" t="str">
        <f>VLOOKUP($D423,transmitter_from_BP!$B:$F,5,0)</f>
        <v>DEGC</v>
      </c>
      <c r="M423" s="783">
        <v>6</v>
      </c>
      <c r="N423" s="772">
        <v>6</v>
      </c>
      <c r="O423" s="783">
        <v>1</v>
      </c>
      <c r="P423" s="772">
        <v>1</v>
      </c>
      <c r="Q423" s="783">
        <v>1</v>
      </c>
      <c r="R423" s="772">
        <v>1</v>
      </c>
      <c r="S423" s="783">
        <v>-25</v>
      </c>
      <c r="T423" s="991">
        <f>VLOOKUP($D423,transmitter_from_BP!$B:$F,4,0)</f>
        <v>-25</v>
      </c>
      <c r="U423" s="783">
        <v>523</v>
      </c>
      <c r="V423" s="991">
        <f>VLOOKUP($D423,transmitter_from_BP!$B:$F,3,0)</f>
        <v>523</v>
      </c>
      <c r="W423" s="783">
        <v>0</v>
      </c>
      <c r="X423" s="772"/>
      <c r="Y423" s="783">
        <v>317.53014685602602</v>
      </c>
      <c r="Z423" s="772"/>
    </row>
    <row r="424" spans="1:26" s="753" customFormat="1">
      <c r="A424" s="756" t="s">
        <v>4579</v>
      </c>
      <c r="B424" s="757"/>
      <c r="C424" s="758"/>
      <c r="D424" s="773" t="s">
        <v>9816</v>
      </c>
      <c r="E424" s="782"/>
      <c r="F424" s="774" t="s">
        <v>6390</v>
      </c>
      <c r="G424" s="981" t="s">
        <v>11340</v>
      </c>
      <c r="H424" s="772" t="str">
        <f>VLOOKUP($D424,transmitter_from_BP!$B:$F,2,0)</f>
        <v>DHT FURNACE OUTLET PASS 5</v>
      </c>
      <c r="I424" s="981" t="s">
        <v>11340</v>
      </c>
      <c r="J424" s="772" t="str">
        <f>VLOOKUP($D424,transmitter_from_BP!$B:$F,2,0)</f>
        <v>DHT FURNACE OUTLET PASS 5</v>
      </c>
      <c r="K424" s="981" t="s">
        <v>11676</v>
      </c>
      <c r="L424" s="1064" t="str">
        <f>VLOOKUP($D424,transmitter_from_BP!$B:$F,5,0)</f>
        <v>DEGC</v>
      </c>
      <c r="M424" s="783">
        <v>6</v>
      </c>
      <c r="N424" s="772">
        <v>6</v>
      </c>
      <c r="O424" s="783">
        <v>1</v>
      </c>
      <c r="P424" s="772">
        <v>1</v>
      </c>
      <c r="Q424" s="783">
        <v>1</v>
      </c>
      <c r="R424" s="772">
        <v>1</v>
      </c>
      <c r="S424" s="783">
        <v>-25</v>
      </c>
      <c r="T424" s="991">
        <f>VLOOKUP($D424,transmitter_from_BP!$B:$F,4,0)</f>
        <v>-25</v>
      </c>
      <c r="U424" s="783">
        <v>523</v>
      </c>
      <c r="V424" s="991">
        <f>VLOOKUP($D424,transmitter_from_BP!$B:$F,3,0)</f>
        <v>523</v>
      </c>
      <c r="W424" s="783">
        <v>0</v>
      </c>
      <c r="X424" s="772"/>
      <c r="Y424" s="783">
        <v>317.52834814639903</v>
      </c>
      <c r="Z424" s="772"/>
    </row>
    <row r="425" spans="1:26" s="753" customFormat="1">
      <c r="A425" s="756" t="s">
        <v>4579</v>
      </c>
      <c r="B425" s="757"/>
      <c r="C425" s="758"/>
      <c r="D425" s="773" t="s">
        <v>9817</v>
      </c>
      <c r="E425" s="782"/>
      <c r="F425" s="774" t="s">
        <v>6391</v>
      </c>
      <c r="G425" s="981" t="s">
        <v>11341</v>
      </c>
      <c r="H425" s="772" t="str">
        <f>VLOOKUP($D425,transmitter_from_BP!$B:$F,2,0)</f>
        <v>DHT FURNACE OUTLET PASS 6</v>
      </c>
      <c r="I425" s="981" t="s">
        <v>11341</v>
      </c>
      <c r="J425" s="772" t="str">
        <f>VLOOKUP($D425,transmitter_from_BP!$B:$F,2,0)</f>
        <v>DHT FURNACE OUTLET PASS 6</v>
      </c>
      <c r="K425" s="981" t="s">
        <v>11676</v>
      </c>
      <c r="L425" s="1064" t="str">
        <f>VLOOKUP($D425,transmitter_from_BP!$B:$F,5,0)</f>
        <v>DEGC</v>
      </c>
      <c r="M425" s="783">
        <v>6</v>
      </c>
      <c r="N425" s="772">
        <v>6</v>
      </c>
      <c r="O425" s="783">
        <v>1</v>
      </c>
      <c r="P425" s="772">
        <v>1</v>
      </c>
      <c r="Q425" s="783">
        <v>1</v>
      </c>
      <c r="R425" s="772">
        <v>1</v>
      </c>
      <c r="S425" s="783">
        <v>-25</v>
      </c>
      <c r="T425" s="991">
        <f>VLOOKUP($D425,transmitter_from_BP!$B:$F,4,0)</f>
        <v>-25</v>
      </c>
      <c r="U425" s="783">
        <v>523</v>
      </c>
      <c r="V425" s="991">
        <f>VLOOKUP($D425,transmitter_from_BP!$B:$F,3,0)</f>
        <v>523</v>
      </c>
      <c r="W425" s="783">
        <v>0</v>
      </c>
      <c r="X425" s="772"/>
      <c r="Y425" s="783">
        <v>316.03570573169299</v>
      </c>
      <c r="Z425" s="772"/>
    </row>
    <row r="426" spans="1:26" s="753" customFormat="1">
      <c r="A426" s="756" t="s">
        <v>4579</v>
      </c>
      <c r="B426" s="757"/>
      <c r="C426" s="758"/>
      <c r="D426" s="773" t="s">
        <v>9818</v>
      </c>
      <c r="E426" s="782"/>
      <c r="F426" s="774" t="s">
        <v>6435</v>
      </c>
      <c r="G426" s="981" t="s">
        <v>11342</v>
      </c>
      <c r="H426" s="772" t="str">
        <f>VLOOKUP($D426,transmitter_from_BP!$B:$F,2,0)</f>
        <v>DHT REACTOR INLET</v>
      </c>
      <c r="I426" s="981" t="s">
        <v>11342</v>
      </c>
      <c r="J426" s="772" t="str">
        <f>VLOOKUP($D426,transmitter_from_BP!$B:$F,2,0)</f>
        <v>DHT REACTOR INLET</v>
      </c>
      <c r="K426" s="981" t="s">
        <v>11676</v>
      </c>
      <c r="L426" s="1064" t="str">
        <f>VLOOKUP($D426,transmitter_from_BP!$B:$F,5,0)</f>
        <v>DEGC</v>
      </c>
      <c r="M426" s="783">
        <v>6</v>
      </c>
      <c r="N426" s="772">
        <v>6</v>
      </c>
      <c r="O426" s="783">
        <v>1</v>
      </c>
      <c r="P426" s="772">
        <v>1</v>
      </c>
      <c r="Q426" s="783">
        <v>1</v>
      </c>
      <c r="R426" s="772">
        <v>1</v>
      </c>
      <c r="S426" s="783">
        <v>-25</v>
      </c>
      <c r="T426" s="991">
        <f>VLOOKUP($D426,transmitter_from_BP!$B:$F,4,0)</f>
        <v>-25</v>
      </c>
      <c r="U426" s="783">
        <v>523</v>
      </c>
      <c r="V426" s="991">
        <f>VLOOKUP($D426,transmitter_from_BP!$B:$F,3,0)</f>
        <v>523</v>
      </c>
      <c r="W426" s="783">
        <v>0</v>
      </c>
      <c r="X426" s="772"/>
      <c r="Y426" s="783">
        <v>317.17829806559303</v>
      </c>
      <c r="Z426" s="772"/>
    </row>
    <row r="427" spans="1:26" s="753" customFormat="1">
      <c r="A427" s="756" t="s">
        <v>4579</v>
      </c>
      <c r="B427" s="757"/>
      <c r="C427" s="758"/>
      <c r="D427" s="773" t="s">
        <v>9819</v>
      </c>
      <c r="E427" s="782"/>
      <c r="F427" s="774" t="s">
        <v>6341</v>
      </c>
      <c r="G427" s="981" t="s">
        <v>11343</v>
      </c>
      <c r="H427" s="772" t="str">
        <f>VLOOKUP($D427,transmitter_from_BP!$B:$F,2,0)</f>
        <v>DHT4 REACTOR OUTLT</v>
      </c>
      <c r="I427" s="981" t="s">
        <v>11343</v>
      </c>
      <c r="J427" s="772" t="str">
        <f>VLOOKUP($D427,transmitter_from_BP!$B:$F,2,0)</f>
        <v>DHT4 REACTOR OUTLT</v>
      </c>
      <c r="K427" s="981" t="s">
        <v>11676</v>
      </c>
      <c r="L427" s="1064" t="str">
        <f>VLOOKUP($D427,transmitter_from_BP!$B:$F,5,0)</f>
        <v>DEGC</v>
      </c>
      <c r="M427" s="783">
        <v>6</v>
      </c>
      <c r="N427" s="772">
        <v>6</v>
      </c>
      <c r="O427" s="783">
        <v>1</v>
      </c>
      <c r="P427" s="772">
        <v>1</v>
      </c>
      <c r="Q427" s="783">
        <v>1</v>
      </c>
      <c r="R427" s="772">
        <v>1</v>
      </c>
      <c r="S427" s="783">
        <v>0</v>
      </c>
      <c r="T427" s="772">
        <f>VLOOKUP($D427,transmitter_from_BP!$B:$F,4,0)</f>
        <v>0</v>
      </c>
      <c r="U427" s="783">
        <v>400</v>
      </c>
      <c r="V427" s="772">
        <f>VLOOKUP($D427,transmitter_from_BP!$B:$F,3,0)</f>
        <v>400</v>
      </c>
      <c r="W427" s="783">
        <v>0</v>
      </c>
      <c r="X427" s="772"/>
      <c r="Y427" s="783">
        <v>326.77074315635298</v>
      </c>
      <c r="Z427" s="772"/>
    </row>
    <row r="428" spans="1:26" s="753" customFormat="1">
      <c r="A428" s="756" t="s">
        <v>4579</v>
      </c>
      <c r="B428" s="757"/>
      <c r="C428" s="758"/>
      <c r="D428" s="773" t="s">
        <v>9820</v>
      </c>
      <c r="E428" s="782"/>
      <c r="F428" s="774" t="s">
        <v>6354</v>
      </c>
      <c r="G428" s="981" t="s">
        <v>11344</v>
      </c>
      <c r="H428" s="772" t="str">
        <f>VLOOKUP($D428,transmitter_from_BP!$B:$F,2,0)</f>
        <v>COMPRESSOR CZ2152 SUCTION</v>
      </c>
      <c r="I428" s="981" t="s">
        <v>11344</v>
      </c>
      <c r="J428" s="772" t="str">
        <f>VLOOKUP($D428,transmitter_from_BP!$B:$F,2,0)</f>
        <v>COMPRESSOR CZ2152 SUCTION</v>
      </c>
      <c r="K428" s="981" t="s">
        <v>11676</v>
      </c>
      <c r="L428" s="1064" t="str">
        <f>VLOOKUP($D428,transmitter_from_BP!$B:$F,5,0)</f>
        <v>DEGC</v>
      </c>
      <c r="M428" s="783">
        <v>6</v>
      </c>
      <c r="N428" s="772">
        <v>6</v>
      </c>
      <c r="O428" s="783">
        <v>1</v>
      </c>
      <c r="P428" s="772">
        <v>1</v>
      </c>
      <c r="Q428" s="783">
        <v>1</v>
      </c>
      <c r="R428" s="772">
        <v>1</v>
      </c>
      <c r="S428" s="783">
        <v>-25</v>
      </c>
      <c r="T428" s="991">
        <f>VLOOKUP($D428,transmitter_from_BP!$B:$F,4,0)</f>
        <v>-25</v>
      </c>
      <c r="U428" s="783">
        <v>238</v>
      </c>
      <c r="V428" s="991">
        <f>VLOOKUP($D428,transmitter_from_BP!$B:$F,3,0)</f>
        <v>238</v>
      </c>
      <c r="W428" s="783">
        <v>0</v>
      </c>
      <c r="X428" s="772"/>
      <c r="Y428" s="783">
        <v>47.896469320652301</v>
      </c>
      <c r="Z428" s="772"/>
    </row>
    <row r="429" spans="1:26" s="753" customFormat="1">
      <c r="A429" s="756" t="s">
        <v>4579</v>
      </c>
      <c r="B429" s="757"/>
      <c r="C429" s="758"/>
      <c r="D429" s="773" t="s">
        <v>9821</v>
      </c>
      <c r="E429" s="782"/>
      <c r="F429" s="774" t="s">
        <v>6376</v>
      </c>
      <c r="G429" s="981" t="s">
        <v>11345</v>
      </c>
      <c r="H429" s="772" t="str">
        <f>VLOOKUP($D429,transmitter_from_BP!$B:$F,2,0)</f>
        <v>DHT RECYCLE MAKE UP GAS</v>
      </c>
      <c r="I429" s="981" t="s">
        <v>11345</v>
      </c>
      <c r="J429" s="772" t="str">
        <f>VLOOKUP($D429,transmitter_from_BP!$B:$F,2,0)</f>
        <v>DHT RECYCLE MAKE UP GAS</v>
      </c>
      <c r="K429" s="981" t="s">
        <v>11676</v>
      </c>
      <c r="L429" s="1064" t="str">
        <f>VLOOKUP($D429,transmitter_from_BP!$B:$F,5,0)</f>
        <v>DEGC</v>
      </c>
      <c r="M429" s="783">
        <v>6</v>
      </c>
      <c r="N429" s="772">
        <v>6</v>
      </c>
      <c r="O429" s="783">
        <v>1</v>
      </c>
      <c r="P429" s="772">
        <v>1</v>
      </c>
      <c r="Q429" s="783">
        <v>1</v>
      </c>
      <c r="R429" s="772">
        <v>1</v>
      </c>
      <c r="S429" s="783">
        <v>-25</v>
      </c>
      <c r="T429" s="991">
        <f>VLOOKUP($D429,transmitter_from_BP!$B:$F,4,0)</f>
        <v>-25</v>
      </c>
      <c r="U429" s="783">
        <v>238</v>
      </c>
      <c r="V429" s="991">
        <f>VLOOKUP($D429,transmitter_from_BP!$B:$F,3,0)</f>
        <v>238</v>
      </c>
      <c r="W429" s="783">
        <v>0</v>
      </c>
      <c r="X429" s="772"/>
      <c r="Y429" s="783">
        <v>17.258752390630899</v>
      </c>
      <c r="Z429" s="772"/>
    </row>
    <row r="430" spans="1:26" s="753" customFormat="1">
      <c r="A430" s="756" t="s">
        <v>4579</v>
      </c>
      <c r="B430" s="757"/>
      <c r="C430" s="758"/>
      <c r="D430" s="773" t="s">
        <v>9822</v>
      </c>
      <c r="E430" s="782"/>
      <c r="F430" s="774" t="s">
        <v>6377</v>
      </c>
      <c r="G430" s="981" t="s">
        <v>11346</v>
      </c>
      <c r="H430" s="772" t="str">
        <f>VLOOKUP($D430,transmitter_from_BP!$B:$F,2,0)</f>
        <v>DHT EZ2152 OUTLET</v>
      </c>
      <c r="I430" s="981" t="s">
        <v>11346</v>
      </c>
      <c r="J430" s="772" t="str">
        <f>VLOOKUP($D430,transmitter_from_BP!$B:$F,2,0)</f>
        <v>DHT EZ2152 OUTLET</v>
      </c>
      <c r="K430" s="981" t="s">
        <v>11676</v>
      </c>
      <c r="L430" s="1064" t="str">
        <f>VLOOKUP($D430,transmitter_from_BP!$B:$F,5,0)</f>
        <v>DEGC</v>
      </c>
      <c r="M430" s="783">
        <v>6</v>
      </c>
      <c r="N430" s="772">
        <v>6</v>
      </c>
      <c r="O430" s="783">
        <v>1</v>
      </c>
      <c r="P430" s="772">
        <v>1</v>
      </c>
      <c r="Q430" s="783">
        <v>1</v>
      </c>
      <c r="R430" s="772">
        <v>1</v>
      </c>
      <c r="S430" s="783">
        <v>-25</v>
      </c>
      <c r="T430" s="991">
        <f>VLOOKUP($D430,transmitter_from_BP!$B:$F,4,0)</f>
        <v>-25</v>
      </c>
      <c r="U430" s="783">
        <v>238</v>
      </c>
      <c r="V430" s="991">
        <f>VLOOKUP($D430,transmitter_from_BP!$B:$F,3,0)</f>
        <v>238</v>
      </c>
      <c r="W430" s="783">
        <v>0</v>
      </c>
      <c r="X430" s="772"/>
      <c r="Y430" s="783">
        <v>53.104915223423397</v>
      </c>
      <c r="Z430" s="772"/>
    </row>
    <row r="431" spans="1:26" s="753" customFormat="1">
      <c r="A431" s="756" t="s">
        <v>4579</v>
      </c>
      <c r="B431" s="757"/>
      <c r="C431" s="758"/>
      <c r="D431" s="773" t="s">
        <v>9823</v>
      </c>
      <c r="E431" s="782"/>
      <c r="F431" s="774" t="s">
        <v>6378</v>
      </c>
      <c r="G431" s="981" t="s">
        <v>11347</v>
      </c>
      <c r="H431" s="772" t="str">
        <f>VLOOKUP($D431,transmitter_from_BP!$B:$F,2,0)</f>
        <v>DHT HP SEPERATOR</v>
      </c>
      <c r="I431" s="981" t="s">
        <v>11347</v>
      </c>
      <c r="J431" s="772" t="str">
        <f>VLOOKUP($D431,transmitter_from_BP!$B:$F,2,0)</f>
        <v>DHT HP SEPERATOR</v>
      </c>
      <c r="K431" s="981" t="s">
        <v>11676</v>
      </c>
      <c r="L431" s="1064" t="str">
        <f>VLOOKUP($D431,transmitter_from_BP!$B:$F,5,0)</f>
        <v>DEGC</v>
      </c>
      <c r="M431" s="783">
        <v>6</v>
      </c>
      <c r="N431" s="772">
        <v>6</v>
      </c>
      <c r="O431" s="783">
        <v>1</v>
      </c>
      <c r="P431" s="772">
        <v>1</v>
      </c>
      <c r="Q431" s="783">
        <v>1</v>
      </c>
      <c r="R431" s="772">
        <v>1</v>
      </c>
      <c r="S431" s="783">
        <v>0</v>
      </c>
      <c r="T431" s="991">
        <f>VLOOKUP($D431,transmitter_from_BP!$B:$F,4,0)</f>
        <v>0</v>
      </c>
      <c r="U431" s="783">
        <v>100</v>
      </c>
      <c r="V431" s="991">
        <f>VLOOKUP($D431,transmitter_from_BP!$B:$F,3,0)</f>
        <v>100</v>
      </c>
      <c r="W431" s="783">
        <v>0</v>
      </c>
      <c r="X431" s="772"/>
      <c r="Y431" s="783">
        <v>53.0879438935062</v>
      </c>
      <c r="Z431" s="772"/>
    </row>
    <row r="432" spans="1:26" s="753" customFormat="1">
      <c r="A432" s="756" t="s">
        <v>4579</v>
      </c>
      <c r="B432" s="757"/>
      <c r="C432" s="758"/>
      <c r="D432" s="773" t="s">
        <v>9824</v>
      </c>
      <c r="E432" s="782"/>
      <c r="F432" s="774" t="s">
        <v>8775</v>
      </c>
      <c r="G432" s="981" t="s">
        <v>11348</v>
      </c>
      <c r="H432" s="772" t="str">
        <f>VLOOKUP($D432,transmitter_from_BP!$B:$F,2,0)</f>
        <v>DHT REACTOR BED TEMPERATURE</v>
      </c>
      <c r="I432" s="981" t="s">
        <v>11348</v>
      </c>
      <c r="J432" s="772" t="str">
        <f>VLOOKUP($D432,transmitter_from_BP!$B:$F,2,0)</f>
        <v>DHT REACTOR BED TEMPERATURE</v>
      </c>
      <c r="K432" s="981" t="s">
        <v>11676</v>
      </c>
      <c r="L432" s="1064" t="str">
        <f>VLOOKUP($D432,transmitter_from_BP!$B:$F,5,0)</f>
        <v>DEGC</v>
      </c>
      <c r="M432" s="783">
        <v>6</v>
      </c>
      <c r="N432" s="772">
        <v>6</v>
      </c>
      <c r="O432" s="783">
        <v>1</v>
      </c>
      <c r="P432" s="772">
        <v>1</v>
      </c>
      <c r="Q432" s="783">
        <v>1</v>
      </c>
      <c r="R432" s="772">
        <v>1</v>
      </c>
      <c r="S432" s="783">
        <v>-25</v>
      </c>
      <c r="T432" s="991">
        <f>VLOOKUP($D432,transmitter_from_BP!$B:$F,4,0)</f>
        <v>-25</v>
      </c>
      <c r="U432" s="783">
        <v>523</v>
      </c>
      <c r="V432" s="991">
        <f>VLOOKUP($D432,transmitter_from_BP!$B:$F,3,0)</f>
        <v>523</v>
      </c>
      <c r="W432" s="783">
        <v>0</v>
      </c>
      <c r="X432" s="772"/>
      <c r="Y432" s="783">
        <v>323.63991259768198</v>
      </c>
      <c r="Z432" s="772"/>
    </row>
    <row r="433" spans="1:26" s="753" customFormat="1">
      <c r="A433" s="756" t="s">
        <v>4579</v>
      </c>
      <c r="B433" s="757"/>
      <c r="C433" s="758"/>
      <c r="D433" s="773" t="s">
        <v>3002</v>
      </c>
      <c r="E433" s="782"/>
      <c r="F433" s="774" t="s">
        <v>8719</v>
      </c>
      <c r="G433" s="981" t="s">
        <v>11348</v>
      </c>
      <c r="H433" s="772" t="str">
        <f>VLOOKUP($D433,transmitter_from_BP!$B:$F,2,0)</f>
        <v>DHT REACTOR BED TEMPERATURE</v>
      </c>
      <c r="I433" s="981" t="s">
        <v>11348</v>
      </c>
      <c r="J433" s="772" t="str">
        <f>VLOOKUP($D433,transmitter_from_BP!$B:$F,2,0)</f>
        <v>DHT REACTOR BED TEMPERATURE</v>
      </c>
      <c r="K433" s="981" t="s">
        <v>11676</v>
      </c>
      <c r="L433" s="1064" t="str">
        <f>VLOOKUP($D433,transmitter_from_BP!$B:$F,5,0)</f>
        <v>DEGC</v>
      </c>
      <c r="M433" s="783">
        <v>6</v>
      </c>
      <c r="N433" s="772">
        <v>6</v>
      </c>
      <c r="O433" s="783">
        <v>1</v>
      </c>
      <c r="P433" s="772">
        <v>1</v>
      </c>
      <c r="Q433" s="783">
        <v>1</v>
      </c>
      <c r="R433" s="772">
        <v>1</v>
      </c>
      <c r="S433" s="783">
        <v>-25</v>
      </c>
      <c r="T433" s="991">
        <f>VLOOKUP($D433,transmitter_from_BP!$B:$F,4,0)</f>
        <v>-25</v>
      </c>
      <c r="U433" s="783">
        <v>523</v>
      </c>
      <c r="V433" s="991">
        <f>VLOOKUP($D433,transmitter_from_BP!$B:$F,3,0)</f>
        <v>523</v>
      </c>
      <c r="W433" s="783">
        <v>0</v>
      </c>
      <c r="X433" s="772"/>
      <c r="Y433" s="783">
        <v>327.28813261156102</v>
      </c>
      <c r="Z433" s="772"/>
    </row>
    <row r="434" spans="1:26" s="753" customFormat="1">
      <c r="A434" s="756" t="s">
        <v>4579</v>
      </c>
      <c r="B434" s="757"/>
      <c r="C434" s="758"/>
      <c r="D434" s="773" t="s">
        <v>9825</v>
      </c>
      <c r="E434" s="782"/>
      <c r="F434" s="774" t="s">
        <v>8790</v>
      </c>
      <c r="G434" s="981" t="s">
        <v>11348</v>
      </c>
      <c r="H434" s="772" t="str">
        <f>VLOOKUP($D434,transmitter_from_BP!$B:$F,2,0)</f>
        <v>DHT REACTOR BED TEMPERATURE</v>
      </c>
      <c r="I434" s="981" t="s">
        <v>11348</v>
      </c>
      <c r="J434" s="772" t="str">
        <f>VLOOKUP($D434,transmitter_from_BP!$B:$F,2,0)</f>
        <v>DHT REACTOR BED TEMPERATURE</v>
      </c>
      <c r="K434" s="981" t="s">
        <v>11676</v>
      </c>
      <c r="L434" s="1064" t="str">
        <f>VLOOKUP($D434,transmitter_from_BP!$B:$F,5,0)</f>
        <v>DEGC</v>
      </c>
      <c r="M434" s="783">
        <v>6</v>
      </c>
      <c r="N434" s="772">
        <v>6</v>
      </c>
      <c r="O434" s="783">
        <v>1</v>
      </c>
      <c r="P434" s="772">
        <v>1</v>
      </c>
      <c r="Q434" s="783">
        <v>1</v>
      </c>
      <c r="R434" s="772">
        <v>1</v>
      </c>
      <c r="S434" s="783">
        <v>-25</v>
      </c>
      <c r="T434" s="991">
        <f>VLOOKUP($D434,transmitter_from_BP!$B:$F,4,0)</f>
        <v>-25</v>
      </c>
      <c r="U434" s="783">
        <v>523</v>
      </c>
      <c r="V434" s="991">
        <f>VLOOKUP($D434,transmitter_from_BP!$B:$F,3,0)</f>
        <v>523</v>
      </c>
      <c r="W434" s="783">
        <v>0</v>
      </c>
      <c r="X434" s="772"/>
      <c r="Y434" s="783">
        <v>327.59299466689902</v>
      </c>
      <c r="Z434" s="772"/>
    </row>
    <row r="435" spans="1:26" s="753" customFormat="1">
      <c r="A435" s="756" t="s">
        <v>4579</v>
      </c>
      <c r="B435" s="757"/>
      <c r="C435" s="758"/>
      <c r="D435" s="773" t="s">
        <v>9826</v>
      </c>
      <c r="E435" s="782"/>
      <c r="F435" s="774" t="s">
        <v>8742</v>
      </c>
      <c r="G435" s="981" t="s">
        <v>11348</v>
      </c>
      <c r="H435" s="772" t="str">
        <f>VLOOKUP($D435,transmitter_from_BP!$B:$F,2,0)</f>
        <v>DHT REACTOR BED TEMPERATURE</v>
      </c>
      <c r="I435" s="981" t="s">
        <v>11348</v>
      </c>
      <c r="J435" s="772" t="str">
        <f>VLOOKUP($D435,transmitter_from_BP!$B:$F,2,0)</f>
        <v>DHT REACTOR BED TEMPERATURE</v>
      </c>
      <c r="K435" s="981" t="s">
        <v>11676</v>
      </c>
      <c r="L435" s="1064" t="str">
        <f>VLOOKUP($D435,transmitter_from_BP!$B:$F,5,0)</f>
        <v>DEGC</v>
      </c>
      <c r="M435" s="783">
        <v>6</v>
      </c>
      <c r="N435" s="772">
        <v>6</v>
      </c>
      <c r="O435" s="783">
        <v>1</v>
      </c>
      <c r="P435" s="772">
        <v>1</v>
      </c>
      <c r="Q435" s="783">
        <v>1</v>
      </c>
      <c r="R435" s="772">
        <v>1</v>
      </c>
      <c r="S435" s="783">
        <v>-25</v>
      </c>
      <c r="T435" s="991">
        <f>VLOOKUP($D435,transmitter_from_BP!$B:$F,4,0)</f>
        <v>-25</v>
      </c>
      <c r="U435" s="783">
        <v>523</v>
      </c>
      <c r="V435" s="991">
        <f>VLOOKUP($D435,transmitter_from_BP!$B:$F,3,0)</f>
        <v>523</v>
      </c>
      <c r="W435" s="783">
        <v>0</v>
      </c>
      <c r="X435" s="772"/>
      <c r="Y435" s="783">
        <v>327.45182523193802</v>
      </c>
      <c r="Z435" s="772"/>
    </row>
    <row r="436" spans="1:26" s="753" customFormat="1">
      <c r="A436" s="756" t="s">
        <v>4579</v>
      </c>
      <c r="B436" s="757"/>
      <c r="C436" s="758"/>
      <c r="D436" s="773" t="s">
        <v>9827</v>
      </c>
      <c r="E436" s="782"/>
      <c r="F436" s="774" t="s">
        <v>8777</v>
      </c>
      <c r="G436" s="981" t="s">
        <v>11348</v>
      </c>
      <c r="H436" s="772" t="str">
        <f>VLOOKUP($D436,transmitter_from_BP!$B:$F,2,0)</f>
        <v>DHT REACTOR BED TEMPERATURE</v>
      </c>
      <c r="I436" s="981" t="s">
        <v>11348</v>
      </c>
      <c r="J436" s="772" t="str">
        <f>VLOOKUP($D436,transmitter_from_BP!$B:$F,2,0)</f>
        <v>DHT REACTOR BED TEMPERATURE</v>
      </c>
      <c r="K436" s="981" t="s">
        <v>11676</v>
      </c>
      <c r="L436" s="1064" t="str">
        <f>VLOOKUP($D436,transmitter_from_BP!$B:$F,5,0)</f>
        <v>DEGC</v>
      </c>
      <c r="M436" s="783">
        <v>6</v>
      </c>
      <c r="N436" s="772">
        <v>6</v>
      </c>
      <c r="O436" s="783">
        <v>1</v>
      </c>
      <c r="P436" s="772">
        <v>1</v>
      </c>
      <c r="Q436" s="783">
        <v>1</v>
      </c>
      <c r="R436" s="772">
        <v>1</v>
      </c>
      <c r="S436" s="783">
        <v>-25</v>
      </c>
      <c r="T436" s="991">
        <f>VLOOKUP($D436,transmitter_from_BP!$B:$F,4,0)</f>
        <v>-25</v>
      </c>
      <c r="U436" s="783">
        <v>523</v>
      </c>
      <c r="V436" s="991">
        <f>VLOOKUP($D436,transmitter_from_BP!$B:$F,3,0)</f>
        <v>523</v>
      </c>
      <c r="W436" s="783">
        <v>0</v>
      </c>
      <c r="X436" s="772"/>
      <c r="Y436" s="783">
        <v>327.189999673545</v>
      </c>
      <c r="Z436" s="772"/>
    </row>
    <row r="437" spans="1:26" s="753" customFormat="1">
      <c r="A437" s="756" t="s">
        <v>4579</v>
      </c>
      <c r="B437" s="757"/>
      <c r="C437" s="758"/>
      <c r="D437" s="773" t="s">
        <v>9828</v>
      </c>
      <c r="E437" s="20"/>
      <c r="F437" s="774" t="s">
        <v>9287</v>
      </c>
      <c r="G437" s="981" t="s">
        <v>11348</v>
      </c>
      <c r="H437" s="772" t="str">
        <f>VLOOKUP($D437,transmitter_from_BP!$B:$F,2,0)</f>
        <v>DHT REACTOR BED TEMPERATURE</v>
      </c>
      <c r="I437" s="981" t="s">
        <v>11348</v>
      </c>
      <c r="J437" s="772" t="str">
        <f>VLOOKUP($D437,transmitter_from_BP!$B:$F,2,0)</f>
        <v>DHT REACTOR BED TEMPERATURE</v>
      </c>
      <c r="K437" s="981" t="s">
        <v>11676</v>
      </c>
      <c r="L437" s="1064" t="str">
        <f>VLOOKUP($D437,transmitter_from_BP!$B:$F,5,0)</f>
        <v>DEGC</v>
      </c>
      <c r="M437" s="783">
        <v>6</v>
      </c>
      <c r="N437" s="772">
        <v>6</v>
      </c>
      <c r="O437" s="783">
        <v>1</v>
      </c>
      <c r="P437" s="772">
        <v>1</v>
      </c>
      <c r="Q437" s="783">
        <v>1</v>
      </c>
      <c r="R437" s="772">
        <v>1</v>
      </c>
      <c r="S437" s="783">
        <v>-25</v>
      </c>
      <c r="T437" s="991">
        <f>VLOOKUP($D437,transmitter_from_BP!$B:$F,4,0)</f>
        <v>-25</v>
      </c>
      <c r="U437" s="783">
        <v>523</v>
      </c>
      <c r="V437" s="991">
        <f>VLOOKUP($D437,transmitter_from_BP!$B:$F,3,0)</f>
        <v>523</v>
      </c>
      <c r="W437" s="783">
        <v>0</v>
      </c>
      <c r="X437" s="772"/>
      <c r="Y437" s="783">
        <v>323.63991259768198</v>
      </c>
      <c r="Z437" s="772"/>
    </row>
    <row r="438" spans="1:26" s="753" customFormat="1">
      <c r="A438" s="756" t="s">
        <v>4579</v>
      </c>
      <c r="B438" s="757"/>
      <c r="C438" s="758"/>
      <c r="D438" s="773" t="s">
        <v>9829</v>
      </c>
      <c r="E438" s="20"/>
      <c r="F438" s="774" t="s">
        <v>9263</v>
      </c>
      <c r="G438" s="981" t="s">
        <v>11348</v>
      </c>
      <c r="H438" s="772" t="str">
        <f>VLOOKUP($D438,transmitter_from_BP!$B:$F,2,0)</f>
        <v>DHT REACTOR BED TEMPERATURE</v>
      </c>
      <c r="I438" s="981" t="s">
        <v>11348</v>
      </c>
      <c r="J438" s="772" t="str">
        <f>VLOOKUP($D438,transmitter_from_BP!$B:$F,2,0)</f>
        <v>DHT REACTOR BED TEMPERATURE</v>
      </c>
      <c r="K438" s="981" t="s">
        <v>11676</v>
      </c>
      <c r="L438" s="1064" t="str">
        <f>VLOOKUP($D438,transmitter_from_BP!$B:$F,5,0)</f>
        <v>DEGC</v>
      </c>
      <c r="M438" s="783">
        <v>6</v>
      </c>
      <c r="N438" s="772">
        <v>6</v>
      </c>
      <c r="O438" s="783">
        <v>1</v>
      </c>
      <c r="P438" s="772">
        <v>1</v>
      </c>
      <c r="Q438" s="783">
        <v>1</v>
      </c>
      <c r="R438" s="772">
        <v>1</v>
      </c>
      <c r="S438" s="783">
        <v>-25</v>
      </c>
      <c r="T438" s="991">
        <f>VLOOKUP($D438,transmitter_from_BP!$B:$F,4,0)</f>
        <v>-25</v>
      </c>
      <c r="U438" s="783">
        <v>523</v>
      </c>
      <c r="V438" s="991">
        <f>VLOOKUP($D438,transmitter_from_BP!$B:$F,3,0)</f>
        <v>523</v>
      </c>
      <c r="W438" s="783">
        <v>0</v>
      </c>
      <c r="X438" s="772"/>
      <c r="Y438" s="783">
        <v>327.28813261156102</v>
      </c>
      <c r="Z438" s="772"/>
    </row>
    <row r="439" spans="1:26" s="753" customFormat="1">
      <c r="A439" s="756" t="s">
        <v>4579</v>
      </c>
      <c r="B439" s="757"/>
      <c r="C439" s="758"/>
      <c r="D439" s="773" t="s">
        <v>9830</v>
      </c>
      <c r="E439" s="20"/>
      <c r="F439" s="774" t="s">
        <v>9264</v>
      </c>
      <c r="G439" s="981" t="s">
        <v>11348</v>
      </c>
      <c r="H439" s="772" t="str">
        <f>VLOOKUP($D439,transmitter_from_BP!$B:$F,2,0)</f>
        <v>DHT REACTOR BED TEMPERATURE</v>
      </c>
      <c r="I439" s="981" t="s">
        <v>11348</v>
      </c>
      <c r="J439" s="772" t="str">
        <f>VLOOKUP($D439,transmitter_from_BP!$B:$F,2,0)</f>
        <v>DHT REACTOR BED TEMPERATURE</v>
      </c>
      <c r="K439" s="981" t="s">
        <v>11676</v>
      </c>
      <c r="L439" s="1064" t="str">
        <f>VLOOKUP($D439,transmitter_from_BP!$B:$F,5,0)</f>
        <v>DEGC</v>
      </c>
      <c r="M439" s="783">
        <v>6</v>
      </c>
      <c r="N439" s="772">
        <v>6</v>
      </c>
      <c r="O439" s="783">
        <v>1</v>
      </c>
      <c r="P439" s="772">
        <v>1</v>
      </c>
      <c r="Q439" s="783">
        <v>1</v>
      </c>
      <c r="R439" s="772">
        <v>1</v>
      </c>
      <c r="S439" s="783">
        <v>-25</v>
      </c>
      <c r="T439" s="991">
        <f>VLOOKUP($D439,transmitter_from_BP!$B:$F,4,0)</f>
        <v>-25</v>
      </c>
      <c r="U439" s="783">
        <v>523</v>
      </c>
      <c r="V439" s="991">
        <f>VLOOKUP($D439,transmitter_from_BP!$B:$F,3,0)</f>
        <v>523</v>
      </c>
      <c r="W439" s="783">
        <v>0</v>
      </c>
      <c r="X439" s="772"/>
      <c r="Y439" s="783">
        <v>327.59299466689902</v>
      </c>
      <c r="Z439" s="772"/>
    </row>
    <row r="440" spans="1:26" s="753" customFormat="1">
      <c r="A440" s="756" t="s">
        <v>4579</v>
      </c>
      <c r="B440" s="757"/>
      <c r="C440" s="758"/>
      <c r="D440" s="773" t="s">
        <v>9831</v>
      </c>
      <c r="E440" s="20"/>
      <c r="F440" s="774" t="s">
        <v>9242</v>
      </c>
      <c r="G440" s="981" t="s">
        <v>11348</v>
      </c>
      <c r="H440" s="772" t="str">
        <f>VLOOKUP($D440,transmitter_from_BP!$B:$F,2,0)</f>
        <v>DHT REACTOR BED TEMPERATURE</v>
      </c>
      <c r="I440" s="981" t="s">
        <v>11348</v>
      </c>
      <c r="J440" s="772" t="str">
        <f>VLOOKUP($D440,transmitter_from_BP!$B:$F,2,0)</f>
        <v>DHT REACTOR BED TEMPERATURE</v>
      </c>
      <c r="K440" s="981" t="s">
        <v>11676</v>
      </c>
      <c r="L440" s="1064" t="str">
        <f>VLOOKUP($D440,transmitter_from_BP!$B:$F,5,0)</f>
        <v>DEGC</v>
      </c>
      <c r="M440" s="783">
        <v>6</v>
      </c>
      <c r="N440" s="772">
        <v>6</v>
      </c>
      <c r="O440" s="783">
        <v>1</v>
      </c>
      <c r="P440" s="772">
        <v>1</v>
      </c>
      <c r="Q440" s="783">
        <v>1</v>
      </c>
      <c r="R440" s="772">
        <v>1</v>
      </c>
      <c r="S440" s="783">
        <v>-25</v>
      </c>
      <c r="T440" s="991">
        <f>VLOOKUP($D440,transmitter_from_BP!$B:$F,4,0)</f>
        <v>-25</v>
      </c>
      <c r="U440" s="783">
        <v>523</v>
      </c>
      <c r="V440" s="991">
        <f>VLOOKUP($D440,transmitter_from_BP!$B:$F,3,0)</f>
        <v>523</v>
      </c>
      <c r="W440" s="783">
        <v>0</v>
      </c>
      <c r="X440" s="772"/>
      <c r="Y440" s="783">
        <v>327.45182523193802</v>
      </c>
      <c r="Z440" s="772"/>
    </row>
    <row r="441" spans="1:26" s="753" customFormat="1">
      <c r="A441" s="756" t="s">
        <v>4579</v>
      </c>
      <c r="B441" s="757"/>
      <c r="C441" s="758"/>
      <c r="D441" s="773" t="s">
        <v>9832</v>
      </c>
      <c r="E441" s="20"/>
      <c r="F441" s="774" t="s">
        <v>9244</v>
      </c>
      <c r="G441" s="981" t="s">
        <v>11348</v>
      </c>
      <c r="H441" s="772" t="str">
        <f>VLOOKUP($D441,transmitter_from_BP!$B:$F,2,0)</f>
        <v>DHT REACTOR BED TEMPERATURE</v>
      </c>
      <c r="I441" s="981" t="s">
        <v>11348</v>
      </c>
      <c r="J441" s="772" t="str">
        <f>VLOOKUP($D441,transmitter_from_BP!$B:$F,2,0)</f>
        <v>DHT REACTOR BED TEMPERATURE</v>
      </c>
      <c r="K441" s="981" t="s">
        <v>11676</v>
      </c>
      <c r="L441" s="1064" t="str">
        <f>VLOOKUP($D441,transmitter_from_BP!$B:$F,5,0)</f>
        <v>DEGC</v>
      </c>
      <c r="M441" s="783">
        <v>6</v>
      </c>
      <c r="N441" s="772">
        <v>6</v>
      </c>
      <c r="O441" s="783">
        <v>1</v>
      </c>
      <c r="P441" s="772">
        <v>1</v>
      </c>
      <c r="Q441" s="783">
        <v>1</v>
      </c>
      <c r="R441" s="772">
        <v>1</v>
      </c>
      <c r="S441" s="783">
        <v>-25</v>
      </c>
      <c r="T441" s="991">
        <f>VLOOKUP($D441,transmitter_from_BP!$B:$F,4,0)</f>
        <v>-25</v>
      </c>
      <c r="U441" s="783">
        <v>523</v>
      </c>
      <c r="V441" s="991">
        <f>VLOOKUP($D441,transmitter_from_BP!$B:$F,3,0)</f>
        <v>523</v>
      </c>
      <c r="W441" s="783">
        <v>0</v>
      </c>
      <c r="X441" s="772"/>
      <c r="Y441" s="783">
        <v>327.189999673545</v>
      </c>
      <c r="Z441" s="772"/>
    </row>
    <row r="442" spans="1:26" s="753" customFormat="1">
      <c r="A442" s="756" t="s">
        <v>4579</v>
      </c>
      <c r="B442" s="757"/>
      <c r="C442" s="758"/>
      <c r="D442" s="773" t="s">
        <v>9833</v>
      </c>
      <c r="E442" s="782"/>
      <c r="F442" s="774" t="s">
        <v>8573</v>
      </c>
      <c r="G442" s="981" t="s">
        <v>11349</v>
      </c>
      <c r="H442" s="772" t="str">
        <f>VLOOKUP($D442,transmitter_from_BP!$B:$F,2,0)</f>
        <v>DFU STABLR FD EX EZ2202 B</v>
      </c>
      <c r="I442" s="981" t="s">
        <v>11349</v>
      </c>
      <c r="J442" s="772" t="str">
        <f>VLOOKUP($D442,transmitter_from_BP!$B:$F,2,0)</f>
        <v>DFU STABLR FD EX EZ2202 B</v>
      </c>
      <c r="K442" s="981" t="s">
        <v>11676</v>
      </c>
      <c r="L442" s="1064" t="str">
        <f>VLOOKUP($D442,transmitter_from_BP!$B:$F,5,0)</f>
        <v>DEGC</v>
      </c>
      <c r="M442" s="783">
        <v>6</v>
      </c>
      <c r="N442" s="772">
        <v>6</v>
      </c>
      <c r="O442" s="783">
        <v>1</v>
      </c>
      <c r="P442" s="772">
        <v>1</v>
      </c>
      <c r="Q442" s="783">
        <v>1</v>
      </c>
      <c r="R442" s="772">
        <v>1</v>
      </c>
      <c r="S442" s="783">
        <v>-25</v>
      </c>
      <c r="T442" s="991">
        <f>VLOOKUP($D442,transmitter_from_BP!$B:$F,4,0)</f>
        <v>-25</v>
      </c>
      <c r="U442" s="783">
        <v>523</v>
      </c>
      <c r="V442" s="991">
        <f>VLOOKUP($D442,transmitter_from_BP!$B:$F,3,0)</f>
        <v>523</v>
      </c>
      <c r="W442" s="783">
        <v>0</v>
      </c>
      <c r="X442" s="772"/>
      <c r="Y442" s="783">
        <v>158.918196459738</v>
      </c>
      <c r="Z442" s="772"/>
    </row>
    <row r="443" spans="1:26" s="753" customFormat="1">
      <c r="A443" s="756" t="s">
        <v>4579</v>
      </c>
      <c r="B443" s="757"/>
      <c r="C443" s="758"/>
      <c r="D443" s="773" t="s">
        <v>9834</v>
      </c>
      <c r="E443" s="782"/>
      <c r="F443" s="774" t="s">
        <v>8574</v>
      </c>
      <c r="G443" s="981" t="s">
        <v>11350</v>
      </c>
      <c r="H443" s="772" t="str">
        <f>VLOOKUP($D443,transmitter_from_BP!$B:$F,2,0)</f>
        <v>DFU STABLR FD EX E2Z202 D</v>
      </c>
      <c r="I443" s="981" t="s">
        <v>11350</v>
      </c>
      <c r="J443" s="772" t="str">
        <f>VLOOKUP($D443,transmitter_from_BP!$B:$F,2,0)</f>
        <v>DFU STABLR FD EX E2Z202 D</v>
      </c>
      <c r="K443" s="981" t="s">
        <v>11676</v>
      </c>
      <c r="L443" s="1064" t="str">
        <f>VLOOKUP($D443,transmitter_from_BP!$B:$F,5,0)</f>
        <v>DEGC</v>
      </c>
      <c r="M443" s="783">
        <v>6</v>
      </c>
      <c r="N443" s="772">
        <v>6</v>
      </c>
      <c r="O443" s="783">
        <v>1</v>
      </c>
      <c r="P443" s="772">
        <v>1</v>
      </c>
      <c r="Q443" s="783">
        <v>1</v>
      </c>
      <c r="R443" s="772">
        <v>1</v>
      </c>
      <c r="S443" s="783">
        <v>-25</v>
      </c>
      <c r="T443" s="991">
        <f>VLOOKUP($D443,transmitter_from_BP!$B:$F,4,0)</f>
        <v>-25</v>
      </c>
      <c r="U443" s="783">
        <v>523</v>
      </c>
      <c r="V443" s="991">
        <f>VLOOKUP($D443,transmitter_from_BP!$B:$F,3,0)</f>
        <v>523</v>
      </c>
      <c r="W443" s="783">
        <v>0</v>
      </c>
      <c r="X443" s="772"/>
      <c r="Y443" s="783">
        <v>158.918347770521</v>
      </c>
      <c r="Z443" s="772"/>
    </row>
    <row r="444" spans="1:26" s="753" customFormat="1">
      <c r="A444" s="756" t="s">
        <v>4579</v>
      </c>
      <c r="B444" s="757"/>
      <c r="C444" s="758"/>
      <c r="D444" s="773" t="s">
        <v>9835</v>
      </c>
      <c r="E444" s="782"/>
      <c r="F444" s="774" t="s">
        <v>8586</v>
      </c>
      <c r="G444" s="981" t="s">
        <v>11351</v>
      </c>
      <c r="H444" s="772" t="str">
        <f>VLOOKUP($D444,transmitter_from_BP!$B:$F,2,0)</f>
        <v>RESIDUE EX STABLR REBOILR A</v>
      </c>
      <c r="I444" s="981" t="s">
        <v>11351</v>
      </c>
      <c r="J444" s="772" t="str">
        <f>VLOOKUP($D444,transmitter_from_BP!$B:$F,2,0)</f>
        <v>RESIDUE EX STABLR REBOILR A</v>
      </c>
      <c r="K444" s="981" t="s">
        <v>11676</v>
      </c>
      <c r="L444" s="1064" t="str">
        <f>VLOOKUP($D444,transmitter_from_BP!$B:$F,5,0)</f>
        <v>DEGC</v>
      </c>
      <c r="M444" s="783">
        <v>6</v>
      </c>
      <c r="N444" s="772">
        <v>6</v>
      </c>
      <c r="O444" s="783">
        <v>1</v>
      </c>
      <c r="P444" s="772">
        <v>1</v>
      </c>
      <c r="Q444" s="783">
        <v>1</v>
      </c>
      <c r="R444" s="772">
        <v>1</v>
      </c>
      <c r="S444" s="783">
        <v>-25</v>
      </c>
      <c r="T444" s="991">
        <f>VLOOKUP($D444,transmitter_from_BP!$B:$F,4,0)</f>
        <v>-25</v>
      </c>
      <c r="U444" s="783">
        <v>523</v>
      </c>
      <c r="V444" s="991">
        <f>VLOOKUP($D444,transmitter_from_BP!$B:$F,3,0)</f>
        <v>523</v>
      </c>
      <c r="W444" s="783">
        <v>0</v>
      </c>
      <c r="X444" s="772"/>
      <c r="Y444" s="783">
        <v>263.28524664332599</v>
      </c>
      <c r="Z444" s="772"/>
    </row>
    <row r="445" spans="1:26" s="753" customFormat="1">
      <c r="A445" s="756" t="s">
        <v>4579</v>
      </c>
      <c r="B445" s="757"/>
      <c r="C445" s="758"/>
      <c r="D445" s="773" t="s">
        <v>9836</v>
      </c>
      <c r="E445" s="782"/>
      <c r="F445" s="774" t="s">
        <v>8587</v>
      </c>
      <c r="G445" s="981" t="s">
        <v>11352</v>
      </c>
      <c r="H445" s="772" t="str">
        <f>VLOOKUP($D445,transmitter_from_BP!$B:$F,2,0)</f>
        <v>RESIDUE EX STABLR REBOILR B</v>
      </c>
      <c r="I445" s="981" t="s">
        <v>11352</v>
      </c>
      <c r="J445" s="772" t="str">
        <f>VLOOKUP($D445,transmitter_from_BP!$B:$F,2,0)</f>
        <v>RESIDUE EX STABLR REBOILR B</v>
      </c>
      <c r="K445" s="981" t="s">
        <v>11676</v>
      </c>
      <c r="L445" s="1064" t="str">
        <f>VLOOKUP($D445,transmitter_from_BP!$B:$F,5,0)</f>
        <v>DEGC</v>
      </c>
      <c r="M445" s="783">
        <v>6</v>
      </c>
      <c r="N445" s="772">
        <v>6</v>
      </c>
      <c r="O445" s="783">
        <v>1</v>
      </c>
      <c r="P445" s="772">
        <v>1</v>
      </c>
      <c r="Q445" s="783">
        <v>1</v>
      </c>
      <c r="R445" s="772">
        <v>1</v>
      </c>
      <c r="S445" s="783">
        <v>-25</v>
      </c>
      <c r="T445" s="991">
        <f>VLOOKUP($D445,transmitter_from_BP!$B:$F,4,0)</f>
        <v>-25</v>
      </c>
      <c r="U445" s="783">
        <v>523</v>
      </c>
      <c r="V445" s="991">
        <f>VLOOKUP($D445,transmitter_from_BP!$B:$F,3,0)</f>
        <v>523</v>
      </c>
      <c r="W445" s="783">
        <v>0</v>
      </c>
      <c r="X445" s="772"/>
      <c r="Y445" s="783">
        <v>263.28524664332201</v>
      </c>
      <c r="Z445" s="772"/>
    </row>
    <row r="446" spans="1:26" s="753" customFormat="1">
      <c r="A446" s="756" t="s">
        <v>4579</v>
      </c>
      <c r="B446" s="757"/>
      <c r="C446" s="758"/>
      <c r="D446" s="773" t="s">
        <v>9837</v>
      </c>
      <c r="E446" s="782"/>
      <c r="F446" s="774" t="s">
        <v>8584</v>
      </c>
      <c r="G446" s="981" t="s">
        <v>11353</v>
      </c>
      <c r="H446" s="772" t="str">
        <f>VLOOKUP($D446,transmitter_from_BP!$B:$F,2,0)</f>
        <v>DFU STABLR OUTL REBOIL A</v>
      </c>
      <c r="I446" s="981" t="s">
        <v>11353</v>
      </c>
      <c r="J446" s="772" t="str">
        <f>VLOOKUP($D446,transmitter_from_BP!$B:$F,2,0)</f>
        <v>DFU STABLR OUTL REBOIL A</v>
      </c>
      <c r="K446" s="981" t="s">
        <v>11676</v>
      </c>
      <c r="L446" s="1064" t="str">
        <f>VLOOKUP($D446,transmitter_from_BP!$B:$F,5,0)</f>
        <v>DEGC</v>
      </c>
      <c r="M446" s="783">
        <v>6</v>
      </c>
      <c r="N446" s="772">
        <v>6</v>
      </c>
      <c r="O446" s="783">
        <v>1</v>
      </c>
      <c r="P446" s="772">
        <v>1</v>
      </c>
      <c r="Q446" s="783">
        <v>1</v>
      </c>
      <c r="R446" s="772">
        <v>1</v>
      </c>
      <c r="S446" s="783">
        <v>-25</v>
      </c>
      <c r="T446" s="991">
        <f>VLOOKUP($D446,transmitter_from_BP!$B:$F,4,0)</f>
        <v>-25</v>
      </c>
      <c r="U446" s="783">
        <v>523</v>
      </c>
      <c r="V446" s="991">
        <f>VLOOKUP($D446,transmitter_from_BP!$B:$F,3,0)</f>
        <v>523</v>
      </c>
      <c r="W446" s="783">
        <v>0</v>
      </c>
      <c r="X446" s="772"/>
      <c r="Y446" s="783">
        <v>216.61158848900399</v>
      </c>
      <c r="Z446" s="772"/>
    </row>
    <row r="447" spans="1:26" s="753" customFormat="1">
      <c r="A447" s="756" t="s">
        <v>4579</v>
      </c>
      <c r="B447" s="757"/>
      <c r="C447" s="758"/>
      <c r="D447" s="773" t="s">
        <v>9838</v>
      </c>
      <c r="E447" s="782"/>
      <c r="F447" s="774" t="s">
        <v>8585</v>
      </c>
      <c r="G447" s="981" t="s">
        <v>11354</v>
      </c>
      <c r="H447" s="772" t="str">
        <f>VLOOKUP($D447,transmitter_from_BP!$B:$F,2,0)</f>
        <v>DFU STABLR OUTL REBOIL B</v>
      </c>
      <c r="I447" s="981" t="s">
        <v>11354</v>
      </c>
      <c r="J447" s="772" t="str">
        <f>VLOOKUP($D447,transmitter_from_BP!$B:$F,2,0)</f>
        <v>DFU STABLR OUTL REBOIL B</v>
      </c>
      <c r="K447" s="981" t="s">
        <v>11676</v>
      </c>
      <c r="L447" s="1064" t="str">
        <f>VLOOKUP($D447,transmitter_from_BP!$B:$F,5,0)</f>
        <v>DEGC</v>
      </c>
      <c r="M447" s="783">
        <v>6</v>
      </c>
      <c r="N447" s="772">
        <v>6</v>
      </c>
      <c r="O447" s="783">
        <v>1</v>
      </c>
      <c r="P447" s="772">
        <v>1</v>
      </c>
      <c r="Q447" s="783">
        <v>1</v>
      </c>
      <c r="R447" s="772">
        <v>1</v>
      </c>
      <c r="S447" s="783">
        <v>-25</v>
      </c>
      <c r="T447" s="991">
        <f>VLOOKUP($D447,transmitter_from_BP!$B:$F,4,0)</f>
        <v>-25</v>
      </c>
      <c r="U447" s="783">
        <v>523</v>
      </c>
      <c r="V447" s="991">
        <f>VLOOKUP($D447,transmitter_from_BP!$B:$F,3,0)</f>
        <v>523</v>
      </c>
      <c r="W447" s="783">
        <v>0</v>
      </c>
      <c r="X447" s="772"/>
      <c r="Y447" s="783">
        <v>216.61158848900399</v>
      </c>
      <c r="Z447" s="772"/>
    </row>
    <row r="448" spans="1:26" s="753" customFormat="1">
      <c r="A448" s="756" t="s">
        <v>4579</v>
      </c>
      <c r="B448" s="757"/>
      <c r="C448" s="758"/>
      <c r="D448" s="773" t="s">
        <v>9839</v>
      </c>
      <c r="E448" s="782"/>
      <c r="F448" s="774" t="s">
        <v>6195</v>
      </c>
      <c r="G448" s="981" t="s">
        <v>11355</v>
      </c>
      <c r="H448" s="772" t="str">
        <f>VLOOKUP($D448,[1]transmitter_fromclient!$B:$F,2,0)</f>
        <v>DFU STRIPPER FEED</v>
      </c>
      <c r="I448" s="981" t="s">
        <v>11355</v>
      </c>
      <c r="J448" s="772" t="str">
        <f>VLOOKUP($D448,[1]transmitter_fromclient!$B:$F,2,0)</f>
        <v>DFU STRIPPER FEED</v>
      </c>
      <c r="K448" s="981" t="s">
        <v>11676</v>
      </c>
      <c r="L448" s="1064" t="str">
        <f>VLOOKUP($D448,transmitter_from_BP!$B:$F,5,0)</f>
        <v>DEGC</v>
      </c>
      <c r="M448" s="783">
        <v>6</v>
      </c>
      <c r="N448" s="772">
        <v>6</v>
      </c>
      <c r="O448" s="783">
        <v>1</v>
      </c>
      <c r="P448" s="772">
        <v>1</v>
      </c>
      <c r="Q448" s="783">
        <v>1</v>
      </c>
      <c r="R448" s="772">
        <v>1</v>
      </c>
      <c r="S448" s="783">
        <v>0</v>
      </c>
      <c r="T448" s="991">
        <f>VLOOKUP($D448,transmitter_from_BP!$B:$F,4,0)</f>
        <v>0</v>
      </c>
      <c r="U448" s="783">
        <v>200</v>
      </c>
      <c r="V448" s="991">
        <f>VLOOKUP($D448,transmitter_from_BP!$B:$F,3,0)</f>
        <v>200</v>
      </c>
      <c r="W448" s="783">
        <v>0</v>
      </c>
      <c r="X448" s="772"/>
      <c r="Y448" s="783">
        <v>125.943177106329</v>
      </c>
      <c r="Z448" s="772"/>
    </row>
    <row r="449" spans="1:26" s="753" customFormat="1">
      <c r="A449" s="756" t="s">
        <v>4579</v>
      </c>
      <c r="B449" s="757"/>
      <c r="C449" s="758"/>
      <c r="D449" s="773" t="s">
        <v>9840</v>
      </c>
      <c r="E449" s="782"/>
      <c r="F449" s="774" t="s">
        <v>7954</v>
      </c>
      <c r="G449" s="981" t="s">
        <v>11356</v>
      </c>
      <c r="H449" s="772" t="str">
        <f>VLOOKUP($D449,[1]transmitter_fromclient!$B:$F,2,0)</f>
        <v>DFU STRIPPER BOTTOMS</v>
      </c>
      <c r="I449" s="981" t="s">
        <v>11356</v>
      </c>
      <c r="J449" s="772" t="str">
        <f>VLOOKUP($D449,[1]transmitter_fromclient!$B:$F,2,0)</f>
        <v>DFU STRIPPER BOTTOMS</v>
      </c>
      <c r="K449" s="981" t="s">
        <v>11676</v>
      </c>
      <c r="L449" s="1064" t="str">
        <f>VLOOKUP($D449,transmitter_from_BP!$B:$F,5,0)</f>
        <v>DEGC</v>
      </c>
      <c r="M449" s="783">
        <v>6</v>
      </c>
      <c r="N449" s="772">
        <v>6</v>
      </c>
      <c r="O449" s="783">
        <v>1</v>
      </c>
      <c r="P449" s="772">
        <v>1</v>
      </c>
      <c r="Q449" s="783">
        <v>1</v>
      </c>
      <c r="R449" s="772">
        <v>1</v>
      </c>
      <c r="S449" s="783">
        <v>0</v>
      </c>
      <c r="T449" s="991">
        <f>VLOOKUP($D449,transmitter_from_BP!$B:$F,4,0)</f>
        <v>0</v>
      </c>
      <c r="U449" s="783">
        <v>200</v>
      </c>
      <c r="V449" s="991">
        <f>VLOOKUP($D449,transmitter_from_BP!$B:$F,3,0)</f>
        <v>200</v>
      </c>
      <c r="W449" s="783">
        <v>0</v>
      </c>
      <c r="X449" s="772"/>
      <c r="Y449" s="783">
        <v>136.96843990115099</v>
      </c>
      <c r="Z449" s="772"/>
    </row>
    <row r="450" spans="1:26" s="753" customFormat="1">
      <c r="A450" s="756" t="s">
        <v>4579</v>
      </c>
      <c r="B450" s="757"/>
      <c r="C450" s="758"/>
      <c r="D450" s="773" t="s">
        <v>9841</v>
      </c>
      <c r="E450" s="782"/>
      <c r="F450" s="774" t="s">
        <v>8580</v>
      </c>
      <c r="G450" s="981" t="s">
        <v>11357</v>
      </c>
      <c r="H450" s="772" t="str">
        <f>VLOOKUP($D450,transmitter_from_BP!$B:$F,2,0)</f>
        <v>DFU STABILISER TRAY 9</v>
      </c>
      <c r="I450" s="981" t="s">
        <v>11357</v>
      </c>
      <c r="J450" s="772" t="str">
        <f>VLOOKUP($D450,transmitter_from_BP!$B:$F,2,0)</f>
        <v>DFU STABILISER TRAY 9</v>
      </c>
      <c r="K450" s="981" t="s">
        <v>11676</v>
      </c>
      <c r="L450" s="1064" t="str">
        <f>VLOOKUP($D450,transmitter_from_BP!$B:$F,5,0)</f>
        <v>DEGC</v>
      </c>
      <c r="M450" s="783">
        <v>6</v>
      </c>
      <c r="N450" s="772">
        <v>6</v>
      </c>
      <c r="O450" s="783">
        <v>1</v>
      </c>
      <c r="P450" s="772">
        <v>1</v>
      </c>
      <c r="Q450" s="783">
        <v>1</v>
      </c>
      <c r="R450" s="772">
        <v>1</v>
      </c>
      <c r="S450" s="783">
        <v>-25</v>
      </c>
      <c r="T450" s="991">
        <f>VLOOKUP($D450,transmitter_from_BP!$B:$F,4,0)</f>
        <v>-25</v>
      </c>
      <c r="U450" s="783">
        <v>523</v>
      </c>
      <c r="V450" s="991">
        <f>VLOOKUP($D450,transmitter_from_BP!$B:$F,3,0)</f>
        <v>523</v>
      </c>
      <c r="W450" s="783">
        <v>0</v>
      </c>
      <c r="X450" s="772"/>
      <c r="Y450" s="783">
        <v>162.46686143431501</v>
      </c>
      <c r="Z450" s="772"/>
    </row>
    <row r="451" spans="1:26" s="753" customFormat="1">
      <c r="A451" s="756" t="s">
        <v>4579</v>
      </c>
      <c r="B451" s="757"/>
      <c r="C451" s="758"/>
      <c r="D451" s="773" t="s">
        <v>9842</v>
      </c>
      <c r="E451" s="782"/>
      <c r="F451" s="774" t="s">
        <v>8581</v>
      </c>
      <c r="G451" s="981" t="s">
        <v>11358</v>
      </c>
      <c r="H451" s="772" t="str">
        <f>VLOOKUP($D451,transmitter_from_BP!$B:$F,2,0)</f>
        <v>DFU STABILISER TRAY 3</v>
      </c>
      <c r="I451" s="981" t="s">
        <v>11358</v>
      </c>
      <c r="J451" s="772" t="str">
        <f>VLOOKUP($D451,transmitter_from_BP!$B:$F,2,0)</f>
        <v>DFU STABILISER TRAY 3</v>
      </c>
      <c r="K451" s="981" t="s">
        <v>11676</v>
      </c>
      <c r="L451" s="1064" t="str">
        <f>VLOOKUP($D451,transmitter_from_BP!$B:$F,5,0)</f>
        <v>DEGC</v>
      </c>
      <c r="M451" s="783">
        <v>6</v>
      </c>
      <c r="N451" s="772">
        <v>6</v>
      </c>
      <c r="O451" s="783">
        <v>1</v>
      </c>
      <c r="P451" s="772">
        <v>1</v>
      </c>
      <c r="Q451" s="783">
        <v>1</v>
      </c>
      <c r="R451" s="772">
        <v>1</v>
      </c>
      <c r="S451" s="783">
        <v>-25</v>
      </c>
      <c r="T451" s="991">
        <f>VLOOKUP($D451,transmitter_from_BP!$B:$F,4,0)</f>
        <v>-25</v>
      </c>
      <c r="U451" s="783">
        <v>523</v>
      </c>
      <c r="V451" s="991">
        <f>VLOOKUP($D451,transmitter_from_BP!$B:$F,3,0)</f>
        <v>523</v>
      </c>
      <c r="W451" s="783">
        <v>0</v>
      </c>
      <c r="X451" s="772"/>
      <c r="Y451" s="783">
        <v>172.24040071720401</v>
      </c>
      <c r="Z451" s="772"/>
    </row>
    <row r="452" spans="1:26" s="753" customFormat="1">
      <c r="A452" s="756" t="s">
        <v>4579</v>
      </c>
      <c r="B452" s="757"/>
      <c r="C452" s="758"/>
      <c r="D452" s="773" t="s">
        <v>9843</v>
      </c>
      <c r="E452" s="782"/>
      <c r="F452" s="774" t="s">
        <v>8577</v>
      </c>
      <c r="G452" s="981" t="s">
        <v>11359</v>
      </c>
      <c r="H452" s="772" t="str">
        <f>VLOOKUP($D452,transmitter_from_BP!$B:$F,2,0)</f>
        <v>DFU STABILISER BOTTOM</v>
      </c>
      <c r="I452" s="981" t="s">
        <v>11359</v>
      </c>
      <c r="J452" s="772" t="str">
        <f>VLOOKUP($D452,transmitter_from_BP!$B:$F,2,0)</f>
        <v>DFU STABILISER BOTTOM</v>
      </c>
      <c r="K452" s="981" t="s">
        <v>11676</v>
      </c>
      <c r="L452" s="1064" t="str">
        <f>VLOOKUP($D452,transmitter_from_BP!$B:$F,5,0)</f>
        <v>DEGC</v>
      </c>
      <c r="M452" s="783">
        <v>6</v>
      </c>
      <c r="N452" s="772">
        <v>6</v>
      </c>
      <c r="O452" s="783">
        <v>1</v>
      </c>
      <c r="P452" s="772">
        <v>1</v>
      </c>
      <c r="Q452" s="783">
        <v>1</v>
      </c>
      <c r="R452" s="772">
        <v>1</v>
      </c>
      <c r="S452" s="783">
        <v>-25</v>
      </c>
      <c r="T452" s="991">
        <f>VLOOKUP($D452,transmitter_from_BP!$B:$F,4,0)</f>
        <v>-25</v>
      </c>
      <c r="U452" s="783">
        <v>523</v>
      </c>
      <c r="V452" s="991">
        <f>VLOOKUP($D452,transmitter_from_BP!$B:$F,3,0)</f>
        <v>523</v>
      </c>
      <c r="W452" s="783">
        <v>0</v>
      </c>
      <c r="X452" s="772"/>
      <c r="Y452" s="783">
        <v>202.562221257217</v>
      </c>
      <c r="Z452" s="772"/>
    </row>
    <row r="453" spans="1:26" s="753" customFormat="1">
      <c r="A453" s="756" t="s">
        <v>4579</v>
      </c>
      <c r="B453" s="757"/>
      <c r="C453" s="758"/>
      <c r="D453" s="773" t="s">
        <v>9844</v>
      </c>
      <c r="E453" s="782"/>
      <c r="F453" s="774" t="s">
        <v>9251</v>
      </c>
      <c r="G453" s="981" t="s">
        <v>11360</v>
      </c>
      <c r="H453" s="772" t="str">
        <f>VLOOKUP($D453,transmitter_from_BP!$B:$F,2,0)</f>
        <v>DFU STABILISER TOP(CORR. 8BAR)</v>
      </c>
      <c r="I453" s="981" t="s">
        <v>11360</v>
      </c>
      <c r="J453" s="772" t="str">
        <f>VLOOKUP($D453,transmitter_from_BP!$B:$F,2,0)</f>
        <v>DFU STABILISER TOP(CORR. 8BAR)</v>
      </c>
      <c r="K453" s="981" t="s">
        <v>11676</v>
      </c>
      <c r="L453" s="1064" t="str">
        <f>VLOOKUP($D453,transmitter_from_BP!$B:$F,5,0)</f>
        <v>DEGC</v>
      </c>
      <c r="M453" s="783">
        <v>6</v>
      </c>
      <c r="N453" s="772">
        <v>6</v>
      </c>
      <c r="O453" s="783">
        <v>1</v>
      </c>
      <c r="P453" s="772">
        <v>1</v>
      </c>
      <c r="Q453" s="783">
        <v>1</v>
      </c>
      <c r="R453" s="772">
        <v>1</v>
      </c>
      <c r="S453" s="783">
        <v>0</v>
      </c>
      <c r="T453" s="991">
        <f>VLOOKUP($D453,transmitter_from_BP!$B:$F,4,0)</f>
        <v>0</v>
      </c>
      <c r="U453" s="783">
        <v>100</v>
      </c>
      <c r="V453" s="991">
        <f>VLOOKUP($D453,transmitter_from_BP!$B:$F,3,0)</f>
        <v>100</v>
      </c>
      <c r="W453" s="783">
        <v>0</v>
      </c>
      <c r="X453" s="772"/>
      <c r="Y453" s="783">
        <v>68.857467173727699</v>
      </c>
      <c r="Z453" s="772"/>
    </row>
    <row r="454" spans="1:26" s="753" customFormat="1">
      <c r="A454" s="756" t="s">
        <v>4579</v>
      </c>
      <c r="B454" s="757"/>
      <c r="C454" s="758"/>
      <c r="D454" s="773" t="s">
        <v>9845</v>
      </c>
      <c r="E454" s="782"/>
      <c r="F454" s="774" t="s">
        <v>8578</v>
      </c>
      <c r="G454" s="981" t="s">
        <v>11361</v>
      </c>
      <c r="H454" s="772" t="str">
        <f>VLOOKUP($D454,transmitter_from_BP!$B:$F,2,0)</f>
        <v>DFU STABILISER OVERHEAD DRUM</v>
      </c>
      <c r="I454" s="981" t="s">
        <v>11361</v>
      </c>
      <c r="J454" s="772" t="str">
        <f>VLOOKUP($D454,transmitter_from_BP!$B:$F,2,0)</f>
        <v>DFU STABILISER OVERHEAD DRUM</v>
      </c>
      <c r="K454" s="981" t="s">
        <v>11676</v>
      </c>
      <c r="L454" s="1064" t="str">
        <f>VLOOKUP($D454,transmitter_from_BP!$B:$F,5,0)</f>
        <v>DEGC</v>
      </c>
      <c r="M454" s="783">
        <v>6</v>
      </c>
      <c r="N454" s="772">
        <v>6</v>
      </c>
      <c r="O454" s="783">
        <v>1</v>
      </c>
      <c r="P454" s="772">
        <v>1</v>
      </c>
      <c r="Q454" s="783">
        <v>1</v>
      </c>
      <c r="R454" s="772">
        <v>1</v>
      </c>
      <c r="S454" s="783">
        <v>-25</v>
      </c>
      <c r="T454" s="991">
        <f>VLOOKUP($D454,transmitter_from_BP!$B:$F,4,0)</f>
        <v>-25</v>
      </c>
      <c r="U454" s="783">
        <v>238</v>
      </c>
      <c r="V454" s="991">
        <f>VLOOKUP($D454,transmitter_from_BP!$B:$F,3,0)</f>
        <v>238</v>
      </c>
      <c r="W454" s="783">
        <v>0</v>
      </c>
      <c r="X454" s="772"/>
      <c r="Y454" s="783">
        <v>41.9525946578893</v>
      </c>
      <c r="Z454" s="772"/>
    </row>
    <row r="455" spans="1:26" s="753" customFormat="1">
      <c r="A455" s="756" t="s">
        <v>4579</v>
      </c>
      <c r="B455" s="757"/>
      <c r="C455" s="758"/>
      <c r="D455" s="773" t="s">
        <v>9846</v>
      </c>
      <c r="E455" s="782"/>
      <c r="F455" s="774" t="s">
        <v>8753</v>
      </c>
      <c r="G455" s="981" t="s">
        <v>11362</v>
      </c>
      <c r="H455" s="772" t="str">
        <f>VLOOKUP($D455,transmitter_from_BP!$B:$F,2,0)</f>
        <v>DFU STABILISER OVERHEAD LIQ.</v>
      </c>
      <c r="I455" s="981" t="s">
        <v>11362</v>
      </c>
      <c r="J455" s="772" t="str">
        <f>VLOOKUP($D455,transmitter_from_BP!$B:$F,2,0)</f>
        <v>DFU STABILISER OVERHEAD LIQ.</v>
      </c>
      <c r="K455" s="981" t="s">
        <v>11676</v>
      </c>
      <c r="L455" s="772" t="str">
        <f>VLOOKUP($D455,transmitter_from_BP!$B:$F,5,0)</f>
        <v>DEGC</v>
      </c>
      <c r="M455" s="783">
        <v>6</v>
      </c>
      <c r="N455" s="772">
        <v>6</v>
      </c>
      <c r="O455" s="783">
        <v>1</v>
      </c>
      <c r="P455" s="772">
        <v>1</v>
      </c>
      <c r="Q455" s="783">
        <v>1</v>
      </c>
      <c r="R455" s="772">
        <v>1</v>
      </c>
      <c r="S455" s="783">
        <v>0</v>
      </c>
      <c r="T455" s="991">
        <f>VLOOKUP($D455,transmitter_from_BP!$B:$F,4,0)</f>
        <v>0</v>
      </c>
      <c r="U455" s="783">
        <v>100</v>
      </c>
      <c r="V455" s="991">
        <f>VLOOKUP($D455,transmitter_from_BP!$B:$F,3,0)</f>
        <v>100</v>
      </c>
      <c r="W455" s="783">
        <v>0</v>
      </c>
      <c r="X455" s="772"/>
      <c r="Y455" s="783">
        <v>41.8181756778121</v>
      </c>
      <c r="Z455" s="772"/>
    </row>
    <row r="456" spans="1:26" s="753" customFormat="1">
      <c r="A456" s="756" t="s">
        <v>4579</v>
      </c>
      <c r="B456" s="757"/>
      <c r="C456" s="758"/>
      <c r="D456" s="773" t="s">
        <v>9847</v>
      </c>
      <c r="E456" s="782"/>
      <c r="F456" s="774" t="s">
        <v>6191</v>
      </c>
      <c r="G456" s="981" t="s">
        <v>11363</v>
      </c>
      <c r="H456" s="772" t="str">
        <f>VLOOKUP($D456,[1]transmitter_fromclient!$B:$F,2,0)</f>
        <v>DFU SPLITTER FEED</v>
      </c>
      <c r="I456" s="981" t="s">
        <v>11363</v>
      </c>
      <c r="J456" s="772" t="str">
        <f>VLOOKUP($D456,[1]transmitter_fromclient!$B:$F,2,0)</f>
        <v>DFU SPLITTER FEED</v>
      </c>
      <c r="K456" s="981" t="s">
        <v>11676</v>
      </c>
      <c r="L456" s="1064" t="str">
        <f>VLOOKUP($D456,transmitter_from_BP!$B:$F,5,0)</f>
        <v>DEGC</v>
      </c>
      <c r="M456" s="783">
        <v>6</v>
      </c>
      <c r="N456" s="772">
        <v>6</v>
      </c>
      <c r="O456" s="783">
        <v>1</v>
      </c>
      <c r="P456" s="772">
        <v>1</v>
      </c>
      <c r="Q456" s="783">
        <v>1</v>
      </c>
      <c r="R456" s="772">
        <v>1</v>
      </c>
      <c r="S456" s="783">
        <v>-25</v>
      </c>
      <c r="T456" s="991">
        <f>VLOOKUP($D456,transmitter_from_BP!$B:$F,4,0)</f>
        <v>-25</v>
      </c>
      <c r="U456" s="783">
        <v>523</v>
      </c>
      <c r="V456" s="991">
        <f>VLOOKUP($D456,transmitter_from_BP!$B:$F,3,0)</f>
        <v>523</v>
      </c>
      <c r="W456" s="783">
        <v>0</v>
      </c>
      <c r="X456" s="772"/>
      <c r="Y456" s="783">
        <v>152.11000000000001</v>
      </c>
      <c r="Z456" s="772"/>
    </row>
    <row r="457" spans="1:26" s="753" customFormat="1">
      <c r="A457" s="756" t="s">
        <v>4579</v>
      </c>
      <c r="B457" s="757"/>
      <c r="C457" s="758"/>
      <c r="D457" s="773" t="s">
        <v>9848</v>
      </c>
      <c r="E457" s="782"/>
      <c r="F457" s="774" t="s">
        <v>6191</v>
      </c>
      <c r="G457" s="981" t="s">
        <v>11363</v>
      </c>
      <c r="H457" s="772" t="str">
        <f>VLOOKUP($D457,transmitter_from_BP!$B:$F,2,0)</f>
        <v>DFU SPLITTER FEED</v>
      </c>
      <c r="I457" s="981" t="s">
        <v>11363</v>
      </c>
      <c r="J457" s="772" t="str">
        <f>VLOOKUP($D457,transmitter_from_BP!$B:$F,2,0)</f>
        <v>DFU SPLITTER FEED</v>
      </c>
      <c r="K457" s="981" t="s">
        <v>11676</v>
      </c>
      <c r="L457" s="1064" t="str">
        <f>VLOOKUP($D457,transmitter_from_BP!$B:$F,5,0)</f>
        <v>DEGC</v>
      </c>
      <c r="M457" s="783">
        <v>6</v>
      </c>
      <c r="N457" s="772">
        <v>6</v>
      </c>
      <c r="O457" s="783">
        <v>1</v>
      </c>
      <c r="P457" s="772">
        <v>1</v>
      </c>
      <c r="Q457" s="783">
        <v>1</v>
      </c>
      <c r="R457" s="772">
        <v>1</v>
      </c>
      <c r="S457" s="783">
        <v>-25</v>
      </c>
      <c r="T457" s="991">
        <f>VLOOKUP($D457,transmitter_from_BP!$B:$F,4,0)</f>
        <v>-25</v>
      </c>
      <c r="U457" s="783">
        <v>523</v>
      </c>
      <c r="V457" s="991">
        <f>VLOOKUP($D457,transmitter_from_BP!$B:$F,3,0)</f>
        <v>523</v>
      </c>
      <c r="W457" s="783">
        <v>0</v>
      </c>
      <c r="X457" s="772"/>
      <c r="Y457" s="783">
        <v>152.11000000000001</v>
      </c>
      <c r="Z457" s="772"/>
    </row>
    <row r="458" spans="1:26" s="753" customFormat="1">
      <c r="A458" s="756" t="s">
        <v>4579</v>
      </c>
      <c r="B458" s="757"/>
      <c r="C458" s="758"/>
      <c r="D458" s="773" t="s">
        <v>9849</v>
      </c>
      <c r="E458" s="782"/>
      <c r="F458" s="774" t="s">
        <v>6193</v>
      </c>
      <c r="G458" s="981" t="s">
        <v>11364</v>
      </c>
      <c r="H458" s="772" t="str">
        <f>VLOOKUP($D458,[1]transmitter_fromclient!$B:$F,2,0)</f>
        <v>DFU SPLITTER BOTTOM</v>
      </c>
      <c r="I458" s="981" t="s">
        <v>11364</v>
      </c>
      <c r="J458" s="772" t="str">
        <f>VLOOKUP($D458,[1]transmitter_fromclient!$B:$F,2,0)</f>
        <v>DFU SPLITTER BOTTOM</v>
      </c>
      <c r="K458" s="981" t="s">
        <v>11676</v>
      </c>
      <c r="L458" s="1064" t="str">
        <f>VLOOKUP($D458,transmitter_from_BP!$B:$F,5,0)</f>
        <v>DEGC</v>
      </c>
      <c r="M458" s="783">
        <v>6</v>
      </c>
      <c r="N458" s="772">
        <v>6</v>
      </c>
      <c r="O458" s="783">
        <v>1</v>
      </c>
      <c r="P458" s="772">
        <v>1</v>
      </c>
      <c r="Q458" s="783">
        <v>1</v>
      </c>
      <c r="R458" s="772">
        <v>1</v>
      </c>
      <c r="S458" s="783">
        <v>0</v>
      </c>
      <c r="T458" s="991">
        <f>VLOOKUP($D458,transmitter_from_BP!$B:$F,4,0)</f>
        <v>0</v>
      </c>
      <c r="U458" s="783">
        <v>300</v>
      </c>
      <c r="V458" s="991">
        <f>VLOOKUP($D458,transmitter_from_BP!$B:$F,3,0)</f>
        <v>300</v>
      </c>
      <c r="W458" s="783">
        <v>0</v>
      </c>
      <c r="X458" s="772"/>
      <c r="Y458" s="783">
        <v>199.07208951771599</v>
      </c>
      <c r="Z458" s="772"/>
    </row>
    <row r="459" spans="1:26" s="753" customFormat="1">
      <c r="A459" s="756" t="s">
        <v>4579</v>
      </c>
      <c r="B459" s="757"/>
      <c r="C459" s="758"/>
      <c r="D459" s="773" t="s">
        <v>9850</v>
      </c>
      <c r="E459" s="782"/>
      <c r="F459" s="774" t="s">
        <v>7939</v>
      </c>
      <c r="G459" s="981" t="s">
        <v>11365</v>
      </c>
      <c r="H459" s="772" t="str">
        <f>VLOOKUP($D459,transmitter_from_BP!$B:$F,2,0)</f>
        <v>DFU SPLITTER REBOIL. OUTLET</v>
      </c>
      <c r="I459" s="981" t="s">
        <v>11365</v>
      </c>
      <c r="J459" s="772" t="str">
        <f>VLOOKUP($D459,transmitter_from_BP!$B:$F,2,0)</f>
        <v>DFU SPLITTER REBOIL. OUTLET</v>
      </c>
      <c r="K459" s="981" t="s">
        <v>11676</v>
      </c>
      <c r="L459" s="1064" t="str">
        <f>VLOOKUP($D459,transmitter_from_BP!$B:$F,5,0)</f>
        <v>DEGC</v>
      </c>
      <c r="M459" s="783">
        <v>6</v>
      </c>
      <c r="N459" s="772">
        <v>6</v>
      </c>
      <c r="O459" s="783">
        <v>1</v>
      </c>
      <c r="P459" s="772">
        <v>1</v>
      </c>
      <c r="Q459" s="783">
        <v>1</v>
      </c>
      <c r="R459" s="772">
        <v>1</v>
      </c>
      <c r="S459" s="783">
        <v>0</v>
      </c>
      <c r="T459" s="991">
        <f>VLOOKUP($D459,transmitter_from_BP!$B:$F,4,0)</f>
        <v>0</v>
      </c>
      <c r="U459" s="783">
        <v>300</v>
      </c>
      <c r="V459" s="991">
        <f>VLOOKUP($D459,transmitter_from_BP!$B:$F,3,0)</f>
        <v>300</v>
      </c>
      <c r="W459" s="783">
        <v>0</v>
      </c>
      <c r="X459" s="772"/>
      <c r="Y459" s="783">
        <v>209.227184736618</v>
      </c>
      <c r="Z459" s="772"/>
    </row>
    <row r="460" spans="1:26" s="753" customFormat="1">
      <c r="A460" s="756" t="s">
        <v>4579</v>
      </c>
      <c r="B460" s="757"/>
      <c r="C460" s="758"/>
      <c r="D460" s="773" t="s">
        <v>9851</v>
      </c>
      <c r="E460" s="782"/>
      <c r="F460" s="774" t="s">
        <v>8575</v>
      </c>
      <c r="G460" s="981" t="s">
        <v>11366</v>
      </c>
      <c r="H460" s="772" t="str">
        <f>VLOOKUP($D460,transmitter_from_BP!$B:$F,2,0)</f>
        <v>DFU SPLITTER REBOIL. FEED</v>
      </c>
      <c r="I460" s="981" t="s">
        <v>11366</v>
      </c>
      <c r="J460" s="772" t="str">
        <f>VLOOKUP($D460,transmitter_from_BP!$B:$F,2,0)</f>
        <v>DFU SPLITTER REBOIL. FEED</v>
      </c>
      <c r="K460" s="981" t="s">
        <v>11676</v>
      </c>
      <c r="L460" s="1064" t="str">
        <f>VLOOKUP($D460,transmitter_from_BP!$B:$F,5,0)</f>
        <v>DEGC</v>
      </c>
      <c r="M460" s="783">
        <v>6</v>
      </c>
      <c r="N460" s="772">
        <v>6</v>
      </c>
      <c r="O460" s="783">
        <v>1</v>
      </c>
      <c r="P460" s="772">
        <v>1</v>
      </c>
      <c r="Q460" s="783">
        <v>1</v>
      </c>
      <c r="R460" s="772">
        <v>1</v>
      </c>
      <c r="S460" s="783">
        <v>0</v>
      </c>
      <c r="T460" s="991">
        <f>VLOOKUP($D460,transmitter_from_BP!$B:$F,4,0)</f>
        <v>0</v>
      </c>
      <c r="U460" s="783">
        <v>400</v>
      </c>
      <c r="V460" s="991">
        <f>VLOOKUP($D460,transmitter_from_BP!$B:$F,3,0)</f>
        <v>400</v>
      </c>
      <c r="W460" s="783">
        <v>0</v>
      </c>
      <c r="X460" s="772"/>
      <c r="Y460" s="783">
        <v>158.92173160940499</v>
      </c>
      <c r="Z460" s="772"/>
    </row>
    <row r="461" spans="1:26" s="753" customFormat="1">
      <c r="A461" s="756" t="s">
        <v>4579</v>
      </c>
      <c r="B461" s="757"/>
      <c r="C461" s="758"/>
      <c r="D461" s="773" t="s">
        <v>9851</v>
      </c>
      <c r="E461" s="782"/>
      <c r="F461" s="774" t="s">
        <v>7940</v>
      </c>
      <c r="G461" s="981" t="s">
        <v>11366</v>
      </c>
      <c r="H461" s="772" t="str">
        <f>VLOOKUP($D461,transmitter_from_BP!$B:$F,2,0)</f>
        <v>DFU SPLITTER REBOIL. FEED</v>
      </c>
      <c r="I461" s="981" t="s">
        <v>11366</v>
      </c>
      <c r="J461" s="772" t="str">
        <f>VLOOKUP($D461,transmitter_from_BP!$B:$F,2,0)</f>
        <v>DFU SPLITTER REBOIL. FEED</v>
      </c>
      <c r="K461" s="981" t="s">
        <v>11676</v>
      </c>
      <c r="L461" s="1064" t="str">
        <f>VLOOKUP($D461,transmitter_from_BP!$B:$F,5,0)</f>
        <v>DEGC</v>
      </c>
      <c r="M461" s="783">
        <v>6</v>
      </c>
      <c r="N461" s="772">
        <v>6</v>
      </c>
      <c r="O461" s="783">
        <v>1</v>
      </c>
      <c r="P461" s="772">
        <v>1</v>
      </c>
      <c r="Q461" s="783">
        <v>1</v>
      </c>
      <c r="R461" s="772">
        <v>1</v>
      </c>
      <c r="S461" s="783">
        <v>0</v>
      </c>
      <c r="T461" s="991">
        <f>VLOOKUP($D461,transmitter_from_BP!$B:$F,4,0)</f>
        <v>0</v>
      </c>
      <c r="U461" s="783">
        <v>400</v>
      </c>
      <c r="V461" s="991">
        <f>VLOOKUP($D461,transmitter_from_BP!$B:$F,3,0)</f>
        <v>400</v>
      </c>
      <c r="W461" s="783">
        <v>0</v>
      </c>
      <c r="X461" s="772"/>
      <c r="Y461" s="783">
        <v>199.66812568421599</v>
      </c>
      <c r="Z461" s="772"/>
    </row>
    <row r="462" spans="1:26" s="753" customFormat="1">
      <c r="A462" s="756" t="s">
        <v>5940</v>
      </c>
      <c r="B462" s="757"/>
      <c r="C462" s="758"/>
      <c r="D462" s="773" t="s">
        <v>9852</v>
      </c>
      <c r="E462" s="782"/>
      <c r="F462" s="774" t="s">
        <v>5933</v>
      </c>
      <c r="G462" s="981" t="s">
        <v>11367</v>
      </c>
      <c r="H462" s="772" t="str">
        <f>VLOOKUP($D462,transmitter_from_BP!$B:$F,2,0)</f>
        <v>SPLITTER HEATER PASS 1 OUTLET</v>
      </c>
      <c r="I462" s="981" t="s">
        <v>11367</v>
      </c>
      <c r="J462" s="772" t="str">
        <f>VLOOKUP($D462,transmitter_from_BP!$B:$F,2,0)</f>
        <v>SPLITTER HEATER PASS 1 OUTLET</v>
      </c>
      <c r="K462" s="981" t="s">
        <v>11676</v>
      </c>
      <c r="L462" s="1064" t="str">
        <f>VLOOKUP($D462,transmitter_from_BP!$B:$F,5,0)</f>
        <v>DEGC</v>
      </c>
      <c r="M462" s="783">
        <v>6</v>
      </c>
      <c r="N462" s="772">
        <v>6</v>
      </c>
      <c r="O462" s="783">
        <v>1</v>
      </c>
      <c r="P462" s="772">
        <v>1</v>
      </c>
      <c r="Q462" s="783">
        <v>1</v>
      </c>
      <c r="R462" s="772">
        <v>1</v>
      </c>
      <c r="S462" s="783">
        <v>-25</v>
      </c>
      <c r="T462" s="991">
        <f>VLOOKUP($D462,transmitter_from_BP!$B:$F,4,0)</f>
        <v>-25</v>
      </c>
      <c r="U462" s="783">
        <v>523</v>
      </c>
      <c r="V462" s="991">
        <f>VLOOKUP($D462,transmitter_from_BP!$B:$F,3,0)</f>
        <v>523</v>
      </c>
      <c r="W462" s="783">
        <v>0</v>
      </c>
      <c r="X462" s="772"/>
      <c r="Y462" s="783">
        <v>228.273957853724</v>
      </c>
      <c r="Z462" s="772"/>
    </row>
    <row r="463" spans="1:26" s="753" customFormat="1">
      <c r="A463" s="756" t="s">
        <v>4579</v>
      </c>
      <c r="B463" s="757"/>
      <c r="C463" s="758"/>
      <c r="D463" s="773" t="s">
        <v>9853</v>
      </c>
      <c r="E463" s="782"/>
      <c r="F463" s="774" t="s">
        <v>5934</v>
      </c>
      <c r="G463" s="981" t="s">
        <v>11368</v>
      </c>
      <c r="H463" s="772" t="str">
        <f>VLOOKUP($D463,transmitter_from_BP!$B:$F,2,0)</f>
        <v>SPLITTER HEATER PASS 2 OUTLET</v>
      </c>
      <c r="I463" s="981" t="s">
        <v>11368</v>
      </c>
      <c r="J463" s="772" t="str">
        <f>VLOOKUP($D463,transmitter_from_BP!$B:$F,2,0)</f>
        <v>SPLITTER HEATER PASS 2 OUTLET</v>
      </c>
      <c r="K463" s="981" t="s">
        <v>11676</v>
      </c>
      <c r="L463" s="1064" t="str">
        <f>VLOOKUP($D463,transmitter_from_BP!$B:$F,5,0)</f>
        <v>DEGC</v>
      </c>
      <c r="M463" s="783">
        <v>6</v>
      </c>
      <c r="N463" s="772">
        <v>6</v>
      </c>
      <c r="O463" s="783">
        <v>1</v>
      </c>
      <c r="P463" s="772">
        <v>1</v>
      </c>
      <c r="Q463" s="783">
        <v>1</v>
      </c>
      <c r="R463" s="772">
        <v>1</v>
      </c>
      <c r="S463" s="783">
        <v>-25</v>
      </c>
      <c r="T463" s="991">
        <f>VLOOKUP($D463,transmitter_from_BP!$B:$F,4,0)</f>
        <v>-25</v>
      </c>
      <c r="U463" s="783">
        <v>523</v>
      </c>
      <c r="V463" s="991">
        <f>VLOOKUP($D463,transmitter_from_BP!$B:$F,3,0)</f>
        <v>523</v>
      </c>
      <c r="W463" s="783">
        <v>0</v>
      </c>
      <c r="X463" s="772"/>
      <c r="Y463" s="783">
        <v>228.27362742124899</v>
      </c>
      <c r="Z463" s="772"/>
    </row>
    <row r="464" spans="1:26" s="753" customFormat="1">
      <c r="A464" s="756" t="s">
        <v>4579</v>
      </c>
      <c r="B464" s="757"/>
      <c r="C464" s="758"/>
      <c r="D464" s="773" t="s">
        <v>9854</v>
      </c>
      <c r="E464" s="782"/>
      <c r="F464" s="774" t="s">
        <v>5935</v>
      </c>
      <c r="G464" s="981" t="s">
        <v>11369</v>
      </c>
      <c r="H464" s="772" t="str">
        <f>VLOOKUP($D464,transmitter_from_BP!$B:$F,2,0)</f>
        <v>SPLITTER HEATER PASS 3 OUTLET</v>
      </c>
      <c r="I464" s="981" t="s">
        <v>11369</v>
      </c>
      <c r="J464" s="772" t="str">
        <f>VLOOKUP($D464,transmitter_from_BP!$B:$F,2,0)</f>
        <v>SPLITTER HEATER PASS 3 OUTLET</v>
      </c>
      <c r="K464" s="981" t="s">
        <v>11676</v>
      </c>
      <c r="L464" s="1064" t="str">
        <f>VLOOKUP($D464,transmitter_from_BP!$B:$F,5,0)</f>
        <v>DEGC</v>
      </c>
      <c r="M464" s="783">
        <v>6</v>
      </c>
      <c r="N464" s="772">
        <v>6</v>
      </c>
      <c r="O464" s="783">
        <v>1</v>
      </c>
      <c r="P464" s="772">
        <v>1</v>
      </c>
      <c r="Q464" s="783">
        <v>1</v>
      </c>
      <c r="R464" s="772">
        <v>1</v>
      </c>
      <c r="S464" s="783">
        <v>-25</v>
      </c>
      <c r="T464" s="991">
        <f>VLOOKUP($D464,transmitter_from_BP!$B:$F,4,0)</f>
        <v>-25</v>
      </c>
      <c r="U464" s="783">
        <v>523</v>
      </c>
      <c r="V464" s="991">
        <f>VLOOKUP($D464,transmitter_from_BP!$B:$F,3,0)</f>
        <v>523</v>
      </c>
      <c r="W464" s="783">
        <v>0</v>
      </c>
      <c r="X464" s="772"/>
      <c r="Y464" s="783">
        <v>228.27177057047101</v>
      </c>
      <c r="Z464" s="772"/>
    </row>
    <row r="465" spans="1:26" s="753" customFormat="1">
      <c r="A465" s="756" t="s">
        <v>4579</v>
      </c>
      <c r="B465" s="757"/>
      <c r="C465" s="758"/>
      <c r="D465" s="773" t="s">
        <v>9855</v>
      </c>
      <c r="E465" s="782"/>
      <c r="F465" s="774" t="s">
        <v>5936</v>
      </c>
      <c r="G465" s="981" t="s">
        <v>11370</v>
      </c>
      <c r="H465" s="772" t="str">
        <f>VLOOKUP($D465,transmitter_from_BP!$B:$F,2,0)</f>
        <v>SPLITTER HEATER PASS 4 OUTLET</v>
      </c>
      <c r="I465" s="981" t="s">
        <v>11370</v>
      </c>
      <c r="J465" s="772" t="str">
        <f>VLOOKUP($D465,transmitter_from_BP!$B:$F,2,0)</f>
        <v>SPLITTER HEATER PASS 4 OUTLET</v>
      </c>
      <c r="K465" s="981" t="s">
        <v>11676</v>
      </c>
      <c r="L465" s="1064" t="str">
        <f>VLOOKUP($D465,transmitter_from_BP!$B:$F,5,0)</f>
        <v>DEGC</v>
      </c>
      <c r="M465" s="783">
        <v>6</v>
      </c>
      <c r="N465" s="772">
        <v>6</v>
      </c>
      <c r="O465" s="783">
        <v>1</v>
      </c>
      <c r="P465" s="772">
        <v>1</v>
      </c>
      <c r="Q465" s="783">
        <v>1</v>
      </c>
      <c r="R465" s="772">
        <v>1</v>
      </c>
      <c r="S465" s="783">
        <v>-25</v>
      </c>
      <c r="T465" s="991">
        <f>VLOOKUP($D465,transmitter_from_BP!$B:$F,4,0)</f>
        <v>-25</v>
      </c>
      <c r="U465" s="783">
        <v>523</v>
      </c>
      <c r="V465" s="991">
        <f>VLOOKUP($D465,transmitter_from_BP!$B:$F,3,0)</f>
        <v>523</v>
      </c>
      <c r="W465" s="783">
        <v>0</v>
      </c>
      <c r="X465" s="772"/>
      <c r="Y465" s="783">
        <v>228.271490357787</v>
      </c>
      <c r="Z465" s="772"/>
    </row>
    <row r="466" spans="1:26" s="753" customFormat="1">
      <c r="A466" s="756" t="s">
        <v>4579</v>
      </c>
      <c r="B466" s="757"/>
      <c r="C466" s="758"/>
      <c r="D466" s="773" t="s">
        <v>9856</v>
      </c>
      <c r="E466" s="782"/>
      <c r="F466" s="774" t="s">
        <v>5937</v>
      </c>
      <c r="G466" s="981" t="s">
        <v>11371</v>
      </c>
      <c r="H466" s="772" t="str">
        <f>VLOOKUP($D466,transmitter_from_BP!$B:$F,2,0)</f>
        <v>SPLITTER HEATER PASS 5 OUTLET</v>
      </c>
      <c r="I466" s="981" t="s">
        <v>11371</v>
      </c>
      <c r="J466" s="772" t="str">
        <f>VLOOKUP($D466,transmitter_from_BP!$B:$F,2,0)</f>
        <v>SPLITTER HEATER PASS 5 OUTLET</v>
      </c>
      <c r="K466" s="981" t="s">
        <v>11676</v>
      </c>
      <c r="L466" s="1064" t="str">
        <f>VLOOKUP($D466,transmitter_from_BP!$B:$F,5,0)</f>
        <v>DEGC</v>
      </c>
      <c r="M466" s="783">
        <v>6</v>
      </c>
      <c r="N466" s="772">
        <v>6</v>
      </c>
      <c r="O466" s="783">
        <v>1</v>
      </c>
      <c r="P466" s="772">
        <v>1</v>
      </c>
      <c r="Q466" s="783">
        <v>1</v>
      </c>
      <c r="R466" s="772">
        <v>1</v>
      </c>
      <c r="S466" s="783">
        <v>-25</v>
      </c>
      <c r="T466" s="991">
        <f>VLOOKUP($D466,transmitter_from_BP!$B:$F,4,0)</f>
        <v>-25</v>
      </c>
      <c r="U466" s="783">
        <v>523</v>
      </c>
      <c r="V466" s="991">
        <f>VLOOKUP($D466,transmitter_from_BP!$B:$F,3,0)</f>
        <v>523</v>
      </c>
      <c r="W466" s="783">
        <v>0</v>
      </c>
      <c r="X466" s="772"/>
      <c r="Y466" s="783">
        <v>228.27125837429301</v>
      </c>
      <c r="Z466" s="772"/>
    </row>
    <row r="467" spans="1:26" s="753" customFormat="1">
      <c r="A467" s="756" t="s">
        <v>4579</v>
      </c>
      <c r="B467" s="757"/>
      <c r="C467" s="758"/>
      <c r="D467" s="773" t="s">
        <v>9857</v>
      </c>
      <c r="E467" s="782"/>
      <c r="F467" s="774" t="s">
        <v>5938</v>
      </c>
      <c r="G467" s="981" t="s">
        <v>11372</v>
      </c>
      <c r="H467" s="772" t="str">
        <f>VLOOKUP($D467,transmitter_from_BP!$B:$F,2,0)</f>
        <v>SPLITTER HEATER PASS 6 OUTLET</v>
      </c>
      <c r="I467" s="981" t="s">
        <v>11372</v>
      </c>
      <c r="J467" s="772" t="str">
        <f>VLOOKUP($D467,transmitter_from_BP!$B:$F,2,0)</f>
        <v>SPLITTER HEATER PASS 6 OUTLET</v>
      </c>
      <c r="K467" s="981" t="s">
        <v>11676</v>
      </c>
      <c r="L467" s="1064" t="str">
        <f>VLOOKUP($D467,transmitter_from_BP!$B:$F,5,0)</f>
        <v>DEGC</v>
      </c>
      <c r="M467" s="783">
        <v>6</v>
      </c>
      <c r="N467" s="772">
        <v>6</v>
      </c>
      <c r="O467" s="783">
        <v>1</v>
      </c>
      <c r="P467" s="772">
        <v>1</v>
      </c>
      <c r="Q467" s="783">
        <v>1</v>
      </c>
      <c r="R467" s="772">
        <v>1</v>
      </c>
      <c r="S467" s="783">
        <v>-25</v>
      </c>
      <c r="T467" s="991">
        <f>VLOOKUP($D467,transmitter_from_BP!$B:$F,4,0)</f>
        <v>-25</v>
      </c>
      <c r="U467" s="783">
        <v>523</v>
      </c>
      <c r="V467" s="991">
        <f>VLOOKUP($D467,transmitter_from_BP!$B:$F,3,0)</f>
        <v>523</v>
      </c>
      <c r="W467" s="783">
        <v>0</v>
      </c>
      <c r="X467" s="772"/>
      <c r="Y467" s="783">
        <v>228.271982815542</v>
      </c>
      <c r="Z467" s="772"/>
    </row>
    <row r="468" spans="1:26" s="753" customFormat="1">
      <c r="A468" s="756" t="s">
        <v>4579</v>
      </c>
      <c r="B468" s="757"/>
      <c r="C468" s="758"/>
      <c r="D468" s="773" t="s">
        <v>9858</v>
      </c>
      <c r="E468" s="782"/>
      <c r="F468" s="774" t="s">
        <v>5939</v>
      </c>
      <c r="G468" s="981" t="s">
        <v>11373</v>
      </c>
      <c r="H468" s="772" t="str">
        <f>VLOOKUP($D468,transmitter_from_BP!$B:$F,2,0)</f>
        <v>SPLITTER HEATER PASS 7 OUTLET</v>
      </c>
      <c r="I468" s="981" t="s">
        <v>11373</v>
      </c>
      <c r="J468" s="772" t="str">
        <f>VLOOKUP($D468,transmitter_from_BP!$B:$F,2,0)</f>
        <v>SPLITTER HEATER PASS 7 OUTLET</v>
      </c>
      <c r="K468" s="981" t="s">
        <v>11676</v>
      </c>
      <c r="L468" s="1064" t="str">
        <f>VLOOKUP($D468,transmitter_from_BP!$B:$F,5,0)</f>
        <v>DEGC</v>
      </c>
      <c r="M468" s="783">
        <v>6</v>
      </c>
      <c r="N468" s="772">
        <v>6</v>
      </c>
      <c r="O468" s="783">
        <v>1</v>
      </c>
      <c r="P468" s="772">
        <v>1</v>
      </c>
      <c r="Q468" s="783">
        <v>1</v>
      </c>
      <c r="R468" s="772">
        <v>1</v>
      </c>
      <c r="S468" s="783">
        <v>-25</v>
      </c>
      <c r="T468" s="991">
        <f>VLOOKUP($D468,transmitter_from_BP!$B:$F,4,0)</f>
        <v>-25</v>
      </c>
      <c r="U468" s="783">
        <v>523</v>
      </c>
      <c r="V468" s="991">
        <f>VLOOKUP($D468,transmitter_from_BP!$B:$F,3,0)</f>
        <v>523</v>
      </c>
      <c r="W468" s="783">
        <v>0</v>
      </c>
      <c r="X468" s="772"/>
      <c r="Y468" s="783">
        <v>228.234080361103</v>
      </c>
      <c r="Z468" s="772"/>
    </row>
    <row r="469" spans="1:26" s="753" customFormat="1">
      <c r="A469" s="756" t="s">
        <v>4579</v>
      </c>
      <c r="B469" s="757"/>
      <c r="C469" s="758"/>
      <c r="D469" s="773" t="s">
        <v>9859</v>
      </c>
      <c r="E469" s="782"/>
      <c r="F469" s="774" t="s">
        <v>5949</v>
      </c>
      <c r="G469" s="981" t="s">
        <v>11374</v>
      </c>
      <c r="H469" s="772" t="str">
        <f>VLOOKUP($D469,transmitter_from_BP!$B:$F,2,0)</f>
        <v>SPLITTER HEATER PASS 8 OUTLET</v>
      </c>
      <c r="I469" s="981" t="s">
        <v>11374</v>
      </c>
      <c r="J469" s="772" t="str">
        <f>VLOOKUP($D469,transmitter_from_BP!$B:$F,2,0)</f>
        <v>SPLITTER HEATER PASS 8 OUTLET</v>
      </c>
      <c r="K469" s="981" t="s">
        <v>11676</v>
      </c>
      <c r="L469" s="1064" t="str">
        <f>VLOOKUP($D469,transmitter_from_BP!$B:$F,5,0)</f>
        <v>DEGC</v>
      </c>
      <c r="M469" s="783">
        <v>6</v>
      </c>
      <c r="N469" s="772">
        <v>6</v>
      </c>
      <c r="O469" s="783">
        <v>1</v>
      </c>
      <c r="P469" s="772">
        <v>1</v>
      </c>
      <c r="Q469" s="783">
        <v>1</v>
      </c>
      <c r="R469" s="772">
        <v>1</v>
      </c>
      <c r="S469" s="783">
        <v>-25</v>
      </c>
      <c r="T469" s="991">
        <f>VLOOKUP($D469,transmitter_from_BP!$B:$F,4,0)</f>
        <v>-25</v>
      </c>
      <c r="U469" s="783">
        <v>523</v>
      </c>
      <c r="V469" s="991">
        <f>VLOOKUP($D469,transmitter_from_BP!$B:$F,3,0)</f>
        <v>523</v>
      </c>
      <c r="W469" s="783">
        <v>0</v>
      </c>
      <c r="X469" s="772"/>
      <c r="Y469" s="783">
        <v>228.23408036110601</v>
      </c>
      <c r="Z469" s="772"/>
    </row>
    <row r="470" spans="1:26" s="753" customFormat="1">
      <c r="A470" s="756" t="s">
        <v>4579</v>
      </c>
      <c r="B470" s="757"/>
      <c r="C470" s="758"/>
      <c r="D470" s="773" t="s">
        <v>9860</v>
      </c>
      <c r="E470" s="782"/>
      <c r="F470" s="774" t="s">
        <v>5956</v>
      </c>
      <c r="G470" s="981" t="s">
        <v>11375</v>
      </c>
      <c r="H470" s="772" t="str">
        <f>VLOOKUP($D470,transmitter_from_BP!$B:$F,2,0)</f>
        <v>DFU SPLITTER REBOILER STACK</v>
      </c>
      <c r="I470" s="981" t="s">
        <v>11375</v>
      </c>
      <c r="J470" s="772" t="str">
        <f>VLOOKUP($D470,transmitter_from_BP!$B:$F,2,0)</f>
        <v>DFU SPLITTER REBOILER STACK</v>
      </c>
      <c r="K470" s="981" t="s">
        <v>11676</v>
      </c>
      <c r="L470" s="1064" t="str">
        <f>VLOOKUP($D470,transmitter_from_BP!$B:$F,5,0)</f>
        <v>DEGC</v>
      </c>
      <c r="M470" s="783">
        <v>6</v>
      </c>
      <c r="N470" s="772">
        <v>6</v>
      </c>
      <c r="O470" s="783">
        <v>1</v>
      </c>
      <c r="P470" s="772">
        <v>1</v>
      </c>
      <c r="Q470" s="783">
        <v>1</v>
      </c>
      <c r="R470" s="772">
        <v>1</v>
      </c>
      <c r="S470" s="783">
        <v>-25</v>
      </c>
      <c r="T470" s="991">
        <f>VLOOKUP($D470,transmitter_from_BP!$B:$F,4,0)</f>
        <v>-25</v>
      </c>
      <c r="U470" s="783">
        <v>523</v>
      </c>
      <c r="V470" s="991">
        <f>VLOOKUP($D470,transmitter_from_BP!$B:$F,3,0)</f>
        <v>523</v>
      </c>
      <c r="W470" s="783">
        <v>0</v>
      </c>
      <c r="X470" s="772"/>
      <c r="Y470" s="783">
        <v>278.74143034429397</v>
      </c>
      <c r="Z470" s="772"/>
    </row>
    <row r="471" spans="1:26" s="753" customFormat="1">
      <c r="A471" s="756" t="s">
        <v>4579</v>
      </c>
      <c r="B471" s="757"/>
      <c r="C471" s="758"/>
      <c r="D471" s="773" t="s">
        <v>9861</v>
      </c>
      <c r="E471" s="782"/>
      <c r="F471" s="774" t="s">
        <v>5955</v>
      </c>
      <c r="G471" s="981" t="s">
        <v>11376</v>
      </c>
      <c r="H471" s="772" t="str">
        <f>VLOOKUP($D471,transmitter_from_BP!$B:$F,2,0)</f>
        <v>DFU SPIT REBOILER</v>
      </c>
      <c r="I471" s="981" t="s">
        <v>11376</v>
      </c>
      <c r="J471" s="772" t="str">
        <f>VLOOKUP($D471,transmitter_from_BP!$B:$F,2,0)</f>
        <v>DFU SPIT REBOILER</v>
      </c>
      <c r="K471" s="981" t="s">
        <v>11676</v>
      </c>
      <c r="L471" s="1064" t="str">
        <f>VLOOKUP($D471,transmitter_from_BP!$B:$F,5,0)</f>
        <v>DEGC</v>
      </c>
      <c r="M471" s="783">
        <v>6</v>
      </c>
      <c r="N471" s="772">
        <v>6</v>
      </c>
      <c r="O471" s="783">
        <v>1</v>
      </c>
      <c r="P471" s="772">
        <v>1</v>
      </c>
      <c r="Q471" s="783">
        <v>1</v>
      </c>
      <c r="R471" s="772">
        <v>1</v>
      </c>
      <c r="S471" s="783">
        <v>-25</v>
      </c>
      <c r="T471" s="991">
        <f>VLOOKUP($D471,transmitter_from_BP!$B:$F,4,0)</f>
        <v>-25</v>
      </c>
      <c r="U471" s="783">
        <v>1116</v>
      </c>
      <c r="V471" s="991">
        <f>VLOOKUP($D471,transmitter_from_BP!$B:$F,3,0)</f>
        <v>1116</v>
      </c>
      <c r="W471" s="783">
        <v>0</v>
      </c>
      <c r="X471" s="772"/>
      <c r="Y471" s="783">
        <v>560.32403816504302</v>
      </c>
      <c r="Z471" s="772"/>
    </row>
    <row r="472" spans="1:26" s="753" customFormat="1">
      <c r="A472" s="756" t="s">
        <v>4579</v>
      </c>
      <c r="B472" s="757"/>
      <c r="C472" s="758"/>
      <c r="D472" s="773" t="s">
        <v>9862</v>
      </c>
      <c r="E472" s="782"/>
      <c r="F472" s="774" t="s">
        <v>6198</v>
      </c>
      <c r="G472" s="981" t="s">
        <v>11377</v>
      </c>
      <c r="H472" s="772" t="str">
        <f>VLOOKUP($D472,[1]transmitter_fromclient!$B:$F,2,0)</f>
        <v>DFU STRIP. REBOIL RETURN</v>
      </c>
      <c r="I472" s="981" t="s">
        <v>11377</v>
      </c>
      <c r="J472" s="772" t="str">
        <f>VLOOKUP($D472,[1]transmitter_fromclient!$B:$F,2,0)</f>
        <v>DFU STRIP. REBOIL RETURN</v>
      </c>
      <c r="K472" s="981" t="s">
        <v>11676</v>
      </c>
      <c r="L472" s="1064" t="str">
        <f>VLOOKUP($D472,transmitter_from_BP!$B:$F,5,0)</f>
        <v>DEGC</v>
      </c>
      <c r="M472" s="783">
        <v>6</v>
      </c>
      <c r="N472" s="772">
        <v>6</v>
      </c>
      <c r="O472" s="783">
        <v>1</v>
      </c>
      <c r="P472" s="772">
        <v>1</v>
      </c>
      <c r="Q472" s="783">
        <v>1</v>
      </c>
      <c r="R472" s="772">
        <v>1</v>
      </c>
      <c r="S472" s="783">
        <v>-25</v>
      </c>
      <c r="T472" s="991">
        <f>VLOOKUP($D472,transmitter_from_BP!$B:$F,4,0)</f>
        <v>-25</v>
      </c>
      <c r="U472" s="783">
        <v>523</v>
      </c>
      <c r="V472" s="991">
        <f>VLOOKUP($D472,transmitter_from_BP!$B:$F,3,0)</f>
        <v>523</v>
      </c>
      <c r="W472" s="783">
        <v>0</v>
      </c>
      <c r="X472" s="772"/>
      <c r="Y472" s="783">
        <v>137.70110116779401</v>
      </c>
      <c r="Z472" s="772"/>
    </row>
    <row r="473" spans="1:26" s="753" customFormat="1">
      <c r="A473" s="756" t="s">
        <v>4579</v>
      </c>
      <c r="B473" s="757"/>
      <c r="C473" s="758"/>
      <c r="D473" s="773" t="s">
        <v>3447</v>
      </c>
      <c r="E473" s="782"/>
      <c r="F473" s="774" t="s">
        <v>6200</v>
      </c>
      <c r="G473" s="981" t="s">
        <v>11378</v>
      </c>
      <c r="H473" s="772" t="str">
        <f>VLOOKUP($D473,[1]transmitter_fromclient!$B:$F,2,0)</f>
        <v>DFU SRB/NAPHTHA RUNDOWN</v>
      </c>
      <c r="I473" s="981" t="s">
        <v>11378</v>
      </c>
      <c r="J473" s="772" t="str">
        <f>VLOOKUP($D473,[1]transmitter_fromclient!$B:$F,2,0)</f>
        <v>DFU SRB/NAPHTHA RUNDOWN</v>
      </c>
      <c r="K473" s="981" t="s">
        <v>11676</v>
      </c>
      <c r="L473" s="1064" t="str">
        <f>VLOOKUP($D473,transmitter_from_BP!$B:$F,5,0)</f>
        <v>DEGC</v>
      </c>
      <c r="M473" s="783">
        <v>6</v>
      </c>
      <c r="N473" s="772">
        <v>6</v>
      </c>
      <c r="O473" s="783">
        <v>1</v>
      </c>
      <c r="P473" s="772">
        <v>1</v>
      </c>
      <c r="Q473" s="783">
        <v>1</v>
      </c>
      <c r="R473" s="772">
        <v>1</v>
      </c>
      <c r="S473" s="783">
        <v>-25</v>
      </c>
      <c r="T473" s="991">
        <f>VLOOKUP($D473,transmitter_from_BP!$B:$F,4,0)</f>
        <v>-25</v>
      </c>
      <c r="U473" s="783">
        <v>523</v>
      </c>
      <c r="V473" s="991">
        <f>VLOOKUP($D473,transmitter_from_BP!$B:$F,3,0)</f>
        <v>523</v>
      </c>
      <c r="W473" s="783">
        <v>0</v>
      </c>
      <c r="X473" s="772"/>
      <c r="Y473" s="783">
        <v>38.892354425348103</v>
      </c>
      <c r="Z473" s="772"/>
    </row>
    <row r="474" spans="1:26" s="753" customFormat="1">
      <c r="A474" s="756" t="s">
        <v>4579</v>
      </c>
      <c r="B474" s="757"/>
      <c r="C474" s="758"/>
      <c r="D474" s="773" t="s">
        <v>9863</v>
      </c>
      <c r="E474" s="782"/>
      <c r="F474" s="774" t="s">
        <v>7961</v>
      </c>
      <c r="G474" s="981" t="s">
        <v>11379</v>
      </c>
      <c r="H474" s="772" t="str">
        <f>VLOOKUP($D474,transmitter_from_BP!$B:$F,2,0)</f>
        <v>DFU SPLITTER OVHD EX CONDENSER</v>
      </c>
      <c r="I474" s="981" t="s">
        <v>11379</v>
      </c>
      <c r="J474" s="772" t="str">
        <f>VLOOKUP($D474,transmitter_from_BP!$B:$F,2,0)</f>
        <v>DFU SPLITTER OVHD EX CONDENSER</v>
      </c>
      <c r="K474" s="981" t="s">
        <v>11676</v>
      </c>
      <c r="L474" s="1064" t="str">
        <f>VLOOKUP($D474,transmitter_from_BP!$B:$F,5,0)</f>
        <v>DEGC</v>
      </c>
      <c r="M474" s="783">
        <v>6</v>
      </c>
      <c r="N474" s="772">
        <v>6</v>
      </c>
      <c r="O474" s="783">
        <v>1</v>
      </c>
      <c r="P474" s="772">
        <v>1</v>
      </c>
      <c r="Q474" s="783">
        <v>1</v>
      </c>
      <c r="R474" s="772">
        <v>1</v>
      </c>
      <c r="S474" s="783">
        <v>-25</v>
      </c>
      <c r="T474" s="991">
        <f>VLOOKUP($D474,transmitter_from_BP!$B:$F,4,0)</f>
        <v>-25</v>
      </c>
      <c r="U474" s="783">
        <v>523</v>
      </c>
      <c r="V474" s="991">
        <f>VLOOKUP($D474,transmitter_from_BP!$B:$F,3,0)</f>
        <v>523</v>
      </c>
      <c r="W474" s="783">
        <v>0</v>
      </c>
      <c r="X474" s="772"/>
      <c r="Y474" s="783">
        <v>53.366927615269802</v>
      </c>
      <c r="Z474" s="772"/>
    </row>
    <row r="475" spans="1:26" s="753" customFormat="1">
      <c r="A475" s="756" t="s">
        <v>4579</v>
      </c>
      <c r="B475" s="757"/>
      <c r="C475" s="758"/>
      <c r="D475" s="773" t="s">
        <v>9864</v>
      </c>
      <c r="E475" s="782"/>
      <c r="F475" s="774" t="s">
        <v>7962</v>
      </c>
      <c r="G475" s="981" t="s">
        <v>11380</v>
      </c>
      <c r="H475" s="772" t="str">
        <f>VLOOKUP($D475,transmitter_from_BP!$B:$F,2,0)</f>
        <v>DFU SPLITTER OVHD LIQUID</v>
      </c>
      <c r="I475" s="981" t="s">
        <v>11380</v>
      </c>
      <c r="J475" s="772" t="str">
        <f>VLOOKUP($D475,transmitter_from_BP!$B:$F,2,0)</f>
        <v>DFU SPLITTER OVHD LIQUID</v>
      </c>
      <c r="K475" s="981" t="s">
        <v>11676</v>
      </c>
      <c r="L475" s="1064" t="str">
        <f>VLOOKUP($D475,transmitter_from_BP!$B:$F,5,0)</f>
        <v>DEGC</v>
      </c>
      <c r="M475" s="783">
        <v>6</v>
      </c>
      <c r="N475" s="772">
        <v>6</v>
      </c>
      <c r="O475" s="783">
        <v>1</v>
      </c>
      <c r="P475" s="772">
        <v>1</v>
      </c>
      <c r="Q475" s="783">
        <v>1</v>
      </c>
      <c r="R475" s="772">
        <v>1</v>
      </c>
      <c r="S475" s="783">
        <v>-25</v>
      </c>
      <c r="T475" s="991">
        <f>VLOOKUP($D475,transmitter_from_BP!$B:$F,4,0)</f>
        <v>-25</v>
      </c>
      <c r="U475" s="783">
        <v>523</v>
      </c>
      <c r="V475" s="991">
        <f>VLOOKUP($D475,transmitter_from_BP!$B:$F,3,0)</f>
        <v>523</v>
      </c>
      <c r="W475" s="783">
        <v>0</v>
      </c>
      <c r="X475" s="772"/>
      <c r="Y475" s="783">
        <v>53.306845435078301</v>
      </c>
      <c r="Z475" s="772"/>
    </row>
    <row r="476" spans="1:26" s="753" customFormat="1">
      <c r="A476" s="756" t="s">
        <v>4579</v>
      </c>
      <c r="B476" s="757"/>
      <c r="C476" s="758"/>
      <c r="D476" s="773" t="s">
        <v>9865</v>
      </c>
      <c r="E476" s="782"/>
      <c r="F476" s="774" t="s">
        <v>7963</v>
      </c>
      <c r="G476" s="981" t="s">
        <v>11381</v>
      </c>
      <c r="H476" s="772" t="str">
        <f>VLOOKUP($D476,transmitter_from_BP!$B:$F,2,0)</f>
        <v>DFU SRG RUNDOWN</v>
      </c>
      <c r="I476" s="981" t="s">
        <v>11381</v>
      </c>
      <c r="J476" s="772" t="str">
        <f>VLOOKUP($D476,transmitter_from_BP!$B:$F,2,0)</f>
        <v>DFU SRG RUNDOWN</v>
      </c>
      <c r="K476" s="981" t="s">
        <v>11676</v>
      </c>
      <c r="L476" s="1064" t="str">
        <f>VLOOKUP($D476,transmitter_from_BP!$B:$F,5,0)</f>
        <v>DEGC</v>
      </c>
      <c r="M476" s="783">
        <v>6</v>
      </c>
      <c r="N476" s="772">
        <v>6</v>
      </c>
      <c r="O476" s="783">
        <v>1</v>
      </c>
      <c r="P476" s="772">
        <v>1</v>
      </c>
      <c r="Q476" s="783">
        <v>1</v>
      </c>
      <c r="R476" s="772">
        <v>1</v>
      </c>
      <c r="S476" s="783">
        <v>-25</v>
      </c>
      <c r="T476" s="991">
        <f>VLOOKUP($D476,transmitter_from_BP!$B:$F,4,0)</f>
        <v>-25</v>
      </c>
      <c r="U476" s="783">
        <v>523</v>
      </c>
      <c r="V476" s="991">
        <f>VLOOKUP($D476,transmitter_from_BP!$B:$F,3,0)</f>
        <v>523</v>
      </c>
      <c r="W476" s="783">
        <v>0</v>
      </c>
      <c r="X476" s="772"/>
      <c r="Y476" s="783">
        <v>34.740847544750999</v>
      </c>
      <c r="Z476" s="772"/>
    </row>
    <row r="477" spans="1:26" s="753" customFormat="1">
      <c r="A477" s="756" t="s">
        <v>4579</v>
      </c>
      <c r="B477" s="757"/>
      <c r="C477" s="758"/>
      <c r="D477" s="773" t="s">
        <v>9866</v>
      </c>
      <c r="E477" s="782"/>
      <c r="F477" s="774" t="s">
        <v>8576</v>
      </c>
      <c r="G477" s="981" t="s">
        <v>11382</v>
      </c>
      <c r="H477" s="772" t="str">
        <f>VLOOKUP($D477,transmitter_from_BP!$B:$F,2,0)</f>
        <v>DFU KERO RUNDOWN</v>
      </c>
      <c r="I477" s="981" t="s">
        <v>11382</v>
      </c>
      <c r="J477" s="772" t="str">
        <f>VLOOKUP($D477,transmitter_from_BP!$B:$F,2,0)</f>
        <v>DFU KERO RUNDOWN</v>
      </c>
      <c r="K477" s="981" t="s">
        <v>11676</v>
      </c>
      <c r="L477" s="1064" t="str">
        <f>VLOOKUP($D477,transmitter_from_BP!$B:$F,5,0)</f>
        <v>DEGC</v>
      </c>
      <c r="M477" s="783">
        <v>6</v>
      </c>
      <c r="N477" s="772">
        <v>6</v>
      </c>
      <c r="O477" s="783">
        <v>1</v>
      </c>
      <c r="P477" s="772">
        <v>1</v>
      </c>
      <c r="Q477" s="783">
        <v>1</v>
      </c>
      <c r="R477" s="772">
        <v>1</v>
      </c>
      <c r="S477" s="783">
        <v>-25</v>
      </c>
      <c r="T477" s="772">
        <f>VLOOKUP($D477,transmitter_from_BP!$B:$F,4,0)</f>
        <v>-25</v>
      </c>
      <c r="U477" s="783">
        <v>523</v>
      </c>
      <c r="V477" s="772">
        <f>VLOOKUP($D477,transmitter_from_BP!$B:$F,3,0)</f>
        <v>523</v>
      </c>
      <c r="W477" s="783">
        <v>0</v>
      </c>
      <c r="X477" s="772"/>
      <c r="Y477" s="783">
        <v>58.840890029496201</v>
      </c>
      <c r="Z477" s="772"/>
    </row>
    <row r="478" spans="1:26" s="753" customFormat="1">
      <c r="A478" s="756" t="s">
        <v>4579</v>
      </c>
      <c r="B478" s="757"/>
      <c r="C478" s="758"/>
      <c r="D478" s="773" t="s">
        <v>9867</v>
      </c>
      <c r="E478" s="782"/>
      <c r="F478" s="774" t="s">
        <v>6199</v>
      </c>
      <c r="G478" s="981" t="s">
        <v>11383</v>
      </c>
      <c r="H478" s="772" t="str">
        <f>VLOOKUP($D478,[1]transmitter_fromclient!$B:$F,2,0)</f>
        <v>DFU STRIPPER REBOIL. RETURN</v>
      </c>
      <c r="I478" s="981" t="s">
        <v>11383</v>
      </c>
      <c r="J478" s="772" t="str">
        <f>VLOOKUP($D478,[1]transmitter_fromclient!$B:$F,2,0)</f>
        <v>DFU STRIPPER REBOIL. RETURN</v>
      </c>
      <c r="K478" s="981" t="s">
        <v>11676</v>
      </c>
      <c r="L478" s="1064" t="str">
        <f>VLOOKUP($D478,transmitter_from_BP!$B:$F,5,0)</f>
        <v>DEGC</v>
      </c>
      <c r="M478" s="783">
        <v>6</v>
      </c>
      <c r="N478" s="772">
        <v>6</v>
      </c>
      <c r="O478" s="783">
        <v>1</v>
      </c>
      <c r="P478" s="772">
        <v>1</v>
      </c>
      <c r="Q478" s="783">
        <v>1</v>
      </c>
      <c r="R478" s="772">
        <v>1</v>
      </c>
      <c r="S478" s="783">
        <v>0</v>
      </c>
      <c r="T478" s="991">
        <f>VLOOKUP($D478,transmitter_from_BP!$B:$F,4,0)</f>
        <v>0</v>
      </c>
      <c r="U478" s="783">
        <v>200</v>
      </c>
      <c r="V478" s="991">
        <f>VLOOKUP($D478,transmitter_from_BP!$B:$F,3,0)</f>
        <v>200</v>
      </c>
      <c r="W478" s="783">
        <v>0</v>
      </c>
      <c r="X478" s="772"/>
      <c r="Y478" s="783">
        <v>137.70110116779401</v>
      </c>
      <c r="Z478" s="772"/>
    </row>
    <row r="479" spans="1:26" s="753" customFormat="1">
      <c r="A479" s="756" t="s">
        <v>4579</v>
      </c>
      <c r="B479" s="757"/>
      <c r="C479" s="758"/>
      <c r="D479" s="773" t="s">
        <v>9868</v>
      </c>
      <c r="E479" s="782"/>
      <c r="F479" s="774" t="s">
        <v>8579</v>
      </c>
      <c r="G479" s="981" t="s">
        <v>11384</v>
      </c>
      <c r="H479" s="772" t="str">
        <f>VLOOKUP($D479,transmitter_from_BP!$B:$F,2,0)</f>
        <v>DFU STABILISER TRAY 28</v>
      </c>
      <c r="I479" s="981" t="s">
        <v>11384</v>
      </c>
      <c r="J479" s="772" t="str">
        <f>VLOOKUP($D479,transmitter_from_BP!$B:$F,2,0)</f>
        <v>DFU STABILISER TRAY 28</v>
      </c>
      <c r="K479" s="981" t="s">
        <v>11676</v>
      </c>
      <c r="L479" s="1064" t="str">
        <f>VLOOKUP($D479,transmitter_from_BP!$B:$F,5,0)</f>
        <v>DEGC</v>
      </c>
      <c r="M479" s="783">
        <v>6</v>
      </c>
      <c r="N479" s="772">
        <v>6</v>
      </c>
      <c r="O479" s="783">
        <v>1</v>
      </c>
      <c r="P479" s="772">
        <v>1</v>
      </c>
      <c r="Q479" s="783">
        <v>1</v>
      </c>
      <c r="R479" s="772">
        <v>1</v>
      </c>
      <c r="S479" s="783">
        <v>-19</v>
      </c>
      <c r="T479" s="991">
        <f>VLOOKUP($D479,transmitter_from_BP!$B:$F,4,0)</f>
        <v>-19</v>
      </c>
      <c r="U479" s="783">
        <v>200</v>
      </c>
      <c r="V479" s="991">
        <f>VLOOKUP($D479,transmitter_from_BP!$B:$F,3,0)</f>
        <v>200</v>
      </c>
      <c r="W479" s="783">
        <v>0</v>
      </c>
      <c r="X479" s="772"/>
      <c r="Y479" s="783">
        <v>94.684699873258296</v>
      </c>
      <c r="Z479" s="772"/>
    </row>
    <row r="480" spans="1:26" s="753" customFormat="1">
      <c r="A480" s="756" t="s">
        <v>4579</v>
      </c>
      <c r="B480" s="757"/>
      <c r="C480" s="758"/>
      <c r="D480" s="773" t="s">
        <v>9869</v>
      </c>
      <c r="E480" s="782"/>
      <c r="F480" s="774" t="s">
        <v>9309</v>
      </c>
      <c r="G480" s="981" t="s">
        <v>11385</v>
      </c>
      <c r="H480" s="772" t="str">
        <f>VLOOKUP($D480,transmitter_from_BP!$B:$F,2,0)</f>
        <v>KERO (BEFORE AIRFIN)</v>
      </c>
      <c r="I480" s="981" t="s">
        <v>11385</v>
      </c>
      <c r="J480" s="772" t="str">
        <f>VLOOKUP($D480,transmitter_from_BP!$B:$F,2,0)</f>
        <v>KERO (BEFORE AIRFIN)</v>
      </c>
      <c r="K480" s="981" t="s">
        <v>11676</v>
      </c>
      <c r="L480" s="1064" t="str">
        <f>VLOOKUP($D480,transmitter_from_BP!$B:$F,5,0)</f>
        <v>DEGC</v>
      </c>
      <c r="M480" s="783">
        <v>6</v>
      </c>
      <c r="N480" s="772">
        <v>6</v>
      </c>
      <c r="O480" s="783">
        <v>1</v>
      </c>
      <c r="P480" s="772">
        <v>1</v>
      </c>
      <c r="Q480" s="783">
        <v>1</v>
      </c>
      <c r="R480" s="772">
        <v>1</v>
      </c>
      <c r="S480" s="783">
        <v>-25</v>
      </c>
      <c r="T480" s="991">
        <f>VLOOKUP($D480,transmitter_from_BP!$B:$F,4,0)</f>
        <v>-25</v>
      </c>
      <c r="U480" s="783">
        <v>523</v>
      </c>
      <c r="V480" s="991">
        <f>VLOOKUP($D480,transmitter_from_BP!$B:$F,3,0)</f>
        <v>523</v>
      </c>
      <c r="W480" s="783">
        <v>0</v>
      </c>
      <c r="X480" s="772"/>
      <c r="Y480" s="783">
        <v>127.717876039384</v>
      </c>
      <c r="Z480" s="772"/>
    </row>
    <row r="481" spans="1:26" s="753" customFormat="1">
      <c r="A481" s="756" t="s">
        <v>4579</v>
      </c>
      <c r="B481" s="757"/>
      <c r="C481" s="758"/>
      <c r="D481" s="773" t="s">
        <v>9870</v>
      </c>
      <c r="E481" s="782"/>
      <c r="F481" s="774" t="s">
        <v>6197</v>
      </c>
      <c r="G481" s="981" t="s">
        <v>11386</v>
      </c>
      <c r="H481" s="772" t="str">
        <f>VLOOKUP($D481,[1]transmitter_fromclient!$B:$F,2,0)</f>
        <v>NAFTA (STRIPPER BOTTOM)</v>
      </c>
      <c r="I481" s="981" t="s">
        <v>11386</v>
      </c>
      <c r="J481" s="772" t="str">
        <f>VLOOKUP($D481,[1]transmitter_fromclient!$B:$F,2,0)</f>
        <v>NAFTA (STRIPPER BOTTOM)</v>
      </c>
      <c r="K481" s="981" t="s">
        <v>11676</v>
      </c>
      <c r="L481" s="1064" t="str">
        <f>VLOOKUP($D481,transmitter_from_BP!$B:$F,5,0)</f>
        <v>DEGC</v>
      </c>
      <c r="M481" s="783">
        <v>6</v>
      </c>
      <c r="N481" s="772">
        <v>6</v>
      </c>
      <c r="O481" s="783">
        <v>1</v>
      </c>
      <c r="P481" s="772">
        <v>1</v>
      </c>
      <c r="Q481" s="783">
        <v>1</v>
      </c>
      <c r="R481" s="772">
        <v>1</v>
      </c>
      <c r="S481" s="783">
        <v>-25</v>
      </c>
      <c r="T481" s="991">
        <f>VLOOKUP($D481,transmitter_from_BP!$B:$F,4,0)</f>
        <v>-25</v>
      </c>
      <c r="U481" s="783">
        <v>523</v>
      </c>
      <c r="V481" s="991">
        <f>VLOOKUP($D481,transmitter_from_BP!$B:$F,3,0)</f>
        <v>523</v>
      </c>
      <c r="W481" s="783">
        <v>0</v>
      </c>
      <c r="X481" s="772"/>
      <c r="Y481" s="783">
        <v>136.96627169497401</v>
      </c>
      <c r="Z481" s="772"/>
    </row>
    <row r="482" spans="1:26" s="753" customFormat="1">
      <c r="A482" s="756" t="s">
        <v>4579</v>
      </c>
      <c r="B482" s="757"/>
      <c r="C482" s="758"/>
      <c r="D482" s="773" t="s">
        <v>9871</v>
      </c>
      <c r="E482" s="782"/>
      <c r="F482" s="774" t="s">
        <v>8696</v>
      </c>
      <c r="G482" s="981" t="s">
        <v>11387</v>
      </c>
      <c r="H482" s="772" t="str">
        <f>VLOOKUP($D482,transmitter_from_BP!$B:$F,2,0)</f>
        <v>GAS TO TZ2851</v>
      </c>
      <c r="I482" s="981" t="s">
        <v>11387</v>
      </c>
      <c r="J482" s="772" t="str">
        <f>VLOOKUP($D482,transmitter_from_BP!$B:$F,2,0)</f>
        <v>GAS TO TZ2851</v>
      </c>
      <c r="K482" s="981" t="s">
        <v>11676</v>
      </c>
      <c r="L482" s="1064" t="str">
        <f>VLOOKUP($D482,transmitter_from_BP!$B:$F,5,0)</f>
        <v>DEGC</v>
      </c>
      <c r="M482" s="783">
        <v>6</v>
      </c>
      <c r="N482" s="772">
        <v>6</v>
      </c>
      <c r="O482" s="783">
        <v>1</v>
      </c>
      <c r="P482" s="772">
        <v>1</v>
      </c>
      <c r="Q482" s="783">
        <v>1</v>
      </c>
      <c r="R482" s="772">
        <v>1</v>
      </c>
      <c r="S482" s="783">
        <v>-25</v>
      </c>
      <c r="T482" s="991">
        <f>VLOOKUP($D482,transmitter_from_BP!$B:$F,4,0)</f>
        <v>-25</v>
      </c>
      <c r="U482" s="783">
        <v>238</v>
      </c>
      <c r="V482" s="991">
        <f>VLOOKUP($D482,transmitter_from_BP!$B:$F,3,0)</f>
        <v>238</v>
      </c>
      <c r="W482" s="783">
        <v>0</v>
      </c>
      <c r="X482" s="772"/>
      <c r="Y482" s="783">
        <v>41.832065869101399</v>
      </c>
      <c r="Z482" s="772"/>
    </row>
    <row r="483" spans="1:26" s="753" customFormat="1">
      <c r="A483" s="756" t="s">
        <v>4579</v>
      </c>
      <c r="B483" s="757"/>
      <c r="C483" s="758"/>
      <c r="D483" s="773" t="s">
        <v>9872</v>
      </c>
      <c r="E483" s="782"/>
      <c r="F483" s="774" t="s">
        <v>8732</v>
      </c>
      <c r="G483" s="981" t="s">
        <v>11057</v>
      </c>
      <c r="H483" s="772" t="str">
        <f>VLOOKUP($D483,transmitter_from_BP!$B:$F,2,0)</f>
        <v>RICH AMINE FROM TZ2851</v>
      </c>
      <c r="I483" s="981" t="s">
        <v>11057</v>
      </c>
      <c r="J483" s="772" t="str">
        <f>VLOOKUP($D483,transmitter_from_BP!$B:$F,2,0)</f>
        <v>RICH AMINE FROM TZ2851</v>
      </c>
      <c r="K483" s="981" t="s">
        <v>11676</v>
      </c>
      <c r="L483" s="1064" t="str">
        <f>VLOOKUP($D483,transmitter_from_BP!$B:$F,5,0)</f>
        <v>DEGC</v>
      </c>
      <c r="M483" s="783">
        <v>6</v>
      </c>
      <c r="N483" s="772">
        <v>6</v>
      </c>
      <c r="O483" s="783">
        <v>1</v>
      </c>
      <c r="P483" s="772">
        <v>1</v>
      </c>
      <c r="Q483" s="783">
        <v>1</v>
      </c>
      <c r="R483" s="772">
        <v>1</v>
      </c>
      <c r="S483" s="783">
        <v>-25</v>
      </c>
      <c r="T483" s="991">
        <f>VLOOKUP($D483,transmitter_from_BP!$B:$F,4,0)</f>
        <v>-25</v>
      </c>
      <c r="U483" s="783">
        <v>523</v>
      </c>
      <c r="V483" s="991">
        <f>VLOOKUP($D483,transmitter_from_BP!$B:$F,3,0)</f>
        <v>523</v>
      </c>
      <c r="W483" s="783">
        <v>0</v>
      </c>
      <c r="X483" s="772"/>
      <c r="Y483" s="783">
        <v>51.425347659050999</v>
      </c>
      <c r="Z483" s="772"/>
    </row>
    <row r="484" spans="1:26" s="753" customFormat="1">
      <c r="A484" s="756" t="s">
        <v>4579</v>
      </c>
      <c r="B484" s="757"/>
      <c r="C484" s="758"/>
      <c r="D484" s="773" t="s">
        <v>9873</v>
      </c>
      <c r="E484" s="782"/>
      <c r="F484" s="774" t="s">
        <v>8697</v>
      </c>
      <c r="G484" s="981" t="s">
        <v>11388</v>
      </c>
      <c r="H484" s="772" t="str">
        <f>VLOOKUP($D484,transmitter_from_BP!$B:$F,2,0)</f>
        <v>LEAN AMINE TO TZ2851</v>
      </c>
      <c r="I484" s="981" t="s">
        <v>11388</v>
      </c>
      <c r="J484" s="772" t="str">
        <f>VLOOKUP($D484,transmitter_from_BP!$B:$F,2,0)</f>
        <v>LEAN AMINE TO TZ2851</v>
      </c>
      <c r="K484" s="981" t="s">
        <v>11676</v>
      </c>
      <c r="L484" s="1064" t="str">
        <f>VLOOKUP($D484,transmitter_from_BP!$B:$F,5,0)</f>
        <v>DEGC</v>
      </c>
      <c r="M484" s="783">
        <v>6</v>
      </c>
      <c r="N484" s="772">
        <v>6</v>
      </c>
      <c r="O484" s="783">
        <v>1</v>
      </c>
      <c r="P484" s="772">
        <v>1</v>
      </c>
      <c r="Q484" s="783">
        <v>1</v>
      </c>
      <c r="R484" s="772">
        <v>1</v>
      </c>
      <c r="S484" s="783">
        <v>-25</v>
      </c>
      <c r="T484" s="991">
        <f>VLOOKUP($D484,transmitter_from_BP!$B:$F,4,0)</f>
        <v>-25</v>
      </c>
      <c r="U484" s="783">
        <v>523</v>
      </c>
      <c r="V484" s="991">
        <f>VLOOKUP($D484,transmitter_from_BP!$B:$F,3,0)</f>
        <v>523</v>
      </c>
      <c r="W484" s="783">
        <v>0</v>
      </c>
      <c r="X484" s="772"/>
      <c r="Y484" s="783">
        <v>48</v>
      </c>
      <c r="Z484" s="772"/>
    </row>
    <row r="485" spans="1:26" s="514" customFormat="1">
      <c r="A485" s="519" t="s">
        <v>4579</v>
      </c>
      <c r="B485" s="520"/>
      <c r="C485" s="521"/>
      <c r="D485" s="759" t="s">
        <v>9874</v>
      </c>
      <c r="E485" s="517"/>
      <c r="F485" s="556" t="s">
        <v>8698</v>
      </c>
      <c r="G485" s="981" t="s">
        <v>11082</v>
      </c>
      <c r="H485" s="555" t="str">
        <f>VLOOKUP($D485,transmitter_from_BP!$B:$F,2,0)</f>
        <v>OFF GAS FROM TZ2851</v>
      </c>
      <c r="I485" s="981" t="s">
        <v>11082</v>
      </c>
      <c r="J485" s="755" t="str">
        <f>VLOOKUP($D485,transmitter_from_BP!$B:$F,2,0)</f>
        <v>OFF GAS FROM TZ2851</v>
      </c>
      <c r="K485" s="981" t="s">
        <v>11676</v>
      </c>
      <c r="L485" s="1064" t="str">
        <f>VLOOKUP($D485,transmitter_from_BP!$B:$F,5,0)</f>
        <v>DEGC</v>
      </c>
      <c r="M485" s="570">
        <v>6</v>
      </c>
      <c r="N485" s="772">
        <v>6</v>
      </c>
      <c r="O485" s="570">
        <v>1</v>
      </c>
      <c r="P485" s="765">
        <v>1</v>
      </c>
      <c r="Q485" s="570">
        <v>1</v>
      </c>
      <c r="R485" s="555">
        <v>1</v>
      </c>
      <c r="S485" s="570">
        <v>-25</v>
      </c>
      <c r="T485" s="991">
        <f>VLOOKUP($D485,transmitter_from_BP!$B:$F,4,0)</f>
        <v>-25</v>
      </c>
      <c r="U485" s="570">
        <v>523</v>
      </c>
      <c r="V485" s="991">
        <f>VLOOKUP($D485,transmitter_from_BP!$B:$F,3,0)</f>
        <v>523</v>
      </c>
      <c r="W485" s="570">
        <v>0</v>
      </c>
      <c r="X485" s="555"/>
      <c r="Y485" s="614">
        <v>47.702385330708601</v>
      </c>
      <c r="Z485" s="610"/>
    </row>
    <row r="486" spans="1:26" s="514" customFormat="1">
      <c r="A486" s="519" t="s">
        <v>4579</v>
      </c>
      <c r="B486" s="520"/>
      <c r="C486" s="521"/>
      <c r="D486" s="759" t="s">
        <v>9875</v>
      </c>
      <c r="E486" s="517"/>
      <c r="F486" s="556" t="s">
        <v>8713</v>
      </c>
      <c r="G486" s="981" t="s">
        <v>11389</v>
      </c>
      <c r="H486" s="555" t="str">
        <f>VLOOKUP($D486,transmitter_from_BP!$B:$F,2,0)</f>
        <v>FLARE LINE TO DZ3004</v>
      </c>
      <c r="I486" s="981" t="s">
        <v>11389</v>
      </c>
      <c r="J486" s="755" t="str">
        <f>VLOOKUP($D486,transmitter_from_BP!$B:$F,2,0)</f>
        <v>FLARE LINE TO DZ3004</v>
      </c>
      <c r="K486" s="981" t="s">
        <v>11676</v>
      </c>
      <c r="L486" s="1064" t="str">
        <f>VLOOKUP($D486,transmitter_from_BP!$B:$F,5,0)</f>
        <v>DEGC</v>
      </c>
      <c r="M486" s="570">
        <v>6</v>
      </c>
      <c r="N486" s="772">
        <v>6</v>
      </c>
      <c r="O486" s="570">
        <v>1</v>
      </c>
      <c r="P486" s="765">
        <v>1</v>
      </c>
      <c r="Q486" s="570">
        <v>1</v>
      </c>
      <c r="R486" s="555">
        <v>1</v>
      </c>
      <c r="S486" s="570">
        <v>0</v>
      </c>
      <c r="T486" s="991">
        <f>VLOOKUP($D486,transmitter_from_BP!$B:$F,4,0)</f>
        <v>0</v>
      </c>
      <c r="U486" s="570">
        <v>300</v>
      </c>
      <c r="V486" s="991">
        <f>VLOOKUP($D486,transmitter_from_BP!$B:$F,3,0)</f>
        <v>300</v>
      </c>
      <c r="W486" s="570">
        <v>0</v>
      </c>
      <c r="X486" s="555"/>
      <c r="Y486" s="614">
        <v>28.246728111353299</v>
      </c>
      <c r="Z486" s="610"/>
    </row>
    <row r="487" spans="1:26" s="514" customFormat="1">
      <c r="A487" s="519" t="s">
        <v>4579</v>
      </c>
      <c r="B487" s="520"/>
      <c r="C487" s="521"/>
      <c r="D487" s="759" t="s">
        <v>9876</v>
      </c>
      <c r="E487" s="517"/>
      <c r="F487" s="556" t="s">
        <v>8739</v>
      </c>
      <c r="G487" s="981" t="s">
        <v>11104</v>
      </c>
      <c r="H487" s="555" t="str">
        <f>VLOOKUP($D487,transmitter_from_BP!$B:$F,2,0)</f>
        <v>K.O. DRUM DZ3004</v>
      </c>
      <c r="I487" s="981" t="s">
        <v>11104</v>
      </c>
      <c r="J487" s="755" t="str">
        <f>VLOOKUP($D487,transmitter_from_BP!$B:$F,2,0)</f>
        <v>K.O. DRUM DZ3004</v>
      </c>
      <c r="K487" s="981" t="s">
        <v>11676</v>
      </c>
      <c r="L487" s="1064" t="str">
        <f>VLOOKUP($D487,transmitter_from_BP!$B:$F,5,0)</f>
        <v>DEGC</v>
      </c>
      <c r="M487" s="570">
        <v>6</v>
      </c>
      <c r="N487" s="772">
        <v>6</v>
      </c>
      <c r="O487" s="570">
        <v>1</v>
      </c>
      <c r="P487" s="765">
        <v>1</v>
      </c>
      <c r="Q487" s="570">
        <v>1</v>
      </c>
      <c r="R487" s="555">
        <v>1</v>
      </c>
      <c r="S487" s="570">
        <v>-43</v>
      </c>
      <c r="T487" s="991">
        <f>VLOOKUP($D487,transmitter_from_BP!$B:$F,4,0)</f>
        <v>-43</v>
      </c>
      <c r="U487" s="570">
        <v>300</v>
      </c>
      <c r="V487" s="991">
        <f>VLOOKUP($D487,transmitter_from_BP!$B:$F,3,0)</f>
        <v>300</v>
      </c>
      <c r="W487" s="570">
        <v>0</v>
      </c>
      <c r="X487" s="555"/>
      <c r="Y487" s="614">
        <v>62.597926049146103</v>
      </c>
      <c r="Z487" s="610"/>
    </row>
    <row r="488" spans="1:26" s="753" customFormat="1">
      <c r="A488" s="756" t="s">
        <v>4579</v>
      </c>
      <c r="B488" s="757"/>
      <c r="C488" s="758"/>
      <c r="D488" s="773" t="s">
        <v>9878</v>
      </c>
      <c r="E488" s="782"/>
      <c r="F488" s="774" t="s">
        <v>7953</v>
      </c>
      <c r="G488" s="981" t="s">
        <v>11390</v>
      </c>
      <c r="H488" s="772" t="str">
        <f>VLOOKUP($D488,[1]transmitter_fromclient!$B:$F,2,0)</f>
        <v>DFU SPLITTER TOP (PRESS CORR.)</v>
      </c>
      <c r="I488" s="981" t="s">
        <v>11390</v>
      </c>
      <c r="J488" s="772" t="str">
        <f>VLOOKUP($D488,[1]transmitter_fromclient!$B:$F,2,0)</f>
        <v>DFU SPLITTER TOP (PRESS CORR.)</v>
      </c>
      <c r="K488" s="981" t="s">
        <v>11676</v>
      </c>
      <c r="L488" s="1064" t="str">
        <f>VLOOKUP($D488,transmitter_from_BP!$B:$F,5,0)</f>
        <v>DEGC</v>
      </c>
      <c r="M488" s="783">
        <v>6</v>
      </c>
      <c r="N488" s="772">
        <v>6</v>
      </c>
      <c r="O488" s="783">
        <v>1</v>
      </c>
      <c r="P488" s="772">
        <v>1</v>
      </c>
      <c r="Q488" s="783">
        <v>1</v>
      </c>
      <c r="R488" s="772">
        <v>1</v>
      </c>
      <c r="S488" s="783">
        <v>0</v>
      </c>
      <c r="T488" s="991">
        <f>VLOOKUP($D488,transmitter_from_BP!$B:$F,4,0)</f>
        <v>0</v>
      </c>
      <c r="U488" s="783">
        <v>150</v>
      </c>
      <c r="V488" s="991">
        <f>VLOOKUP($D488,transmitter_from_BP!$B:$F,3,0)</f>
        <v>150</v>
      </c>
      <c r="W488" s="783">
        <v>0</v>
      </c>
      <c r="X488" s="772"/>
      <c r="Y488" s="783">
        <v>86.623629675512007</v>
      </c>
      <c r="Z488" s="772"/>
    </row>
    <row r="489" spans="1:26" s="753" customFormat="1">
      <c r="A489" s="756" t="s">
        <v>4579</v>
      </c>
      <c r="B489" s="757"/>
      <c r="C489" s="758"/>
      <c r="D489" s="773" t="s">
        <v>9879</v>
      </c>
      <c r="E489" s="782"/>
      <c r="F489" s="774" t="s">
        <v>9331</v>
      </c>
      <c r="G489" s="981" t="s">
        <v>11391</v>
      </c>
      <c r="H489" s="772" t="str">
        <f>VLOOKUP($D489,transmitter_from_BP!$B:$F,2,0)</f>
        <v>STABILISER FEED</v>
      </c>
      <c r="I489" s="981" t="s">
        <v>11391</v>
      </c>
      <c r="J489" s="772" t="str">
        <f>VLOOKUP($D489,transmitter_from_BP!$B:$F,2,0)</f>
        <v>STABILISER FEED</v>
      </c>
      <c r="K489" s="981" t="s">
        <v>11676</v>
      </c>
      <c r="L489" s="1064" t="str">
        <f>VLOOKUP($D489,transmitter_from_BP!$B:$F,5,0)</f>
        <v>DEGC</v>
      </c>
      <c r="M489" s="783">
        <v>6</v>
      </c>
      <c r="N489" s="772">
        <v>6</v>
      </c>
      <c r="O489" s="783">
        <v>1</v>
      </c>
      <c r="P489" s="772">
        <v>1</v>
      </c>
      <c r="Q489" s="783">
        <v>1</v>
      </c>
      <c r="R489" s="772">
        <v>1</v>
      </c>
      <c r="S489" s="783">
        <v>-25</v>
      </c>
      <c r="T489" s="991">
        <f>VLOOKUP($D489,transmitter_from_BP!$B:$F,4,0)</f>
        <v>-25</v>
      </c>
      <c r="U489" s="783">
        <v>523</v>
      </c>
      <c r="V489" s="991">
        <f>VLOOKUP($D489,transmitter_from_BP!$B:$F,3,0)</f>
        <v>523</v>
      </c>
      <c r="W489" s="783">
        <v>0</v>
      </c>
      <c r="X489" s="772"/>
      <c r="Y489" s="783">
        <v>158.874503446284</v>
      </c>
      <c r="Z489" s="772"/>
    </row>
    <row r="490" spans="1:26" s="753" customFormat="1">
      <c r="A490" s="756" t="s">
        <v>4579</v>
      </c>
      <c r="B490" s="757"/>
      <c r="C490" s="758"/>
      <c r="D490" s="773" t="s">
        <v>9880</v>
      </c>
      <c r="E490" s="782"/>
      <c r="F490" s="774" t="s">
        <v>9196</v>
      </c>
      <c r="G490" s="981" t="s">
        <v>11392</v>
      </c>
      <c r="H490" s="772" t="str">
        <f>VLOOKUP($D490,transmitter_from_BP!$B:$F,2,0)</f>
        <v>RESIDUE TO STABL. REBOILER</v>
      </c>
      <c r="I490" s="981" t="s">
        <v>11392</v>
      </c>
      <c r="J490" s="772" t="str">
        <f>VLOOKUP($D490,transmitter_from_BP!$B:$F,2,0)</f>
        <v>RESIDUE TO STABL. REBOILER</v>
      </c>
      <c r="K490" s="981" t="s">
        <v>11676</v>
      </c>
      <c r="L490" s="1064" t="str">
        <f>VLOOKUP($D490,transmitter_from_BP!$B:$F,5,0)</f>
        <v>DEGC</v>
      </c>
      <c r="M490" s="783">
        <v>6</v>
      </c>
      <c r="N490" s="772">
        <v>6</v>
      </c>
      <c r="O490" s="783">
        <v>1</v>
      </c>
      <c r="P490" s="772">
        <v>1</v>
      </c>
      <c r="Q490" s="783">
        <v>1</v>
      </c>
      <c r="R490" s="772">
        <v>1</v>
      </c>
      <c r="S490" s="783">
        <v>0</v>
      </c>
      <c r="T490" s="991">
        <f>VLOOKUP($D490,transmitter_from_BP!$B:$F,4,0)</f>
        <v>0</v>
      </c>
      <c r="U490" s="783">
        <v>400</v>
      </c>
      <c r="V490" s="991">
        <f>VLOOKUP($D490,transmitter_from_BP!$B:$F,3,0)</f>
        <v>400</v>
      </c>
      <c r="W490" s="783">
        <v>0</v>
      </c>
      <c r="X490" s="772"/>
      <c r="Y490" s="783">
        <v>322.72980173824197</v>
      </c>
      <c r="Z490" s="772"/>
    </row>
    <row r="491" spans="1:26" s="753" customFormat="1">
      <c r="A491" s="756" t="s">
        <v>4579</v>
      </c>
      <c r="B491" s="757"/>
      <c r="C491" s="758"/>
      <c r="D491" s="773" t="s">
        <v>9881</v>
      </c>
      <c r="E491" s="782"/>
      <c r="F491" s="774" t="s">
        <v>9195</v>
      </c>
      <c r="G491" s="981" t="s">
        <v>11393</v>
      </c>
      <c r="H491" s="772" t="str">
        <f>VLOOKUP($D491,transmitter_from_BP!$B:$F,2,0)</f>
        <v>RESIDUE EX STABL. REBOILER</v>
      </c>
      <c r="I491" s="981" t="s">
        <v>11393</v>
      </c>
      <c r="J491" s="772" t="str">
        <f>VLOOKUP($D491,transmitter_from_BP!$B:$F,2,0)</f>
        <v>RESIDUE EX STABL. REBOILER</v>
      </c>
      <c r="K491" s="981" t="s">
        <v>11676</v>
      </c>
      <c r="L491" s="1064" t="str">
        <f>VLOOKUP($D491,transmitter_from_BP!$B:$F,5,0)</f>
        <v>DEGC</v>
      </c>
      <c r="M491" s="783">
        <v>6</v>
      </c>
      <c r="N491" s="772">
        <v>6</v>
      </c>
      <c r="O491" s="783">
        <v>1</v>
      </c>
      <c r="P491" s="772">
        <v>1</v>
      </c>
      <c r="Q491" s="783">
        <v>1</v>
      </c>
      <c r="R491" s="772">
        <v>1</v>
      </c>
      <c r="S491" s="783">
        <v>0</v>
      </c>
      <c r="T491" s="991">
        <f>VLOOKUP($D491,transmitter_from_BP!$B:$F,4,0)</f>
        <v>0</v>
      </c>
      <c r="U491" s="783">
        <v>400</v>
      </c>
      <c r="V491" s="991">
        <f>VLOOKUP($D491,transmitter_from_BP!$B:$F,3,0)</f>
        <v>400</v>
      </c>
      <c r="W491" s="783">
        <v>0</v>
      </c>
      <c r="X491" s="772"/>
      <c r="Y491" s="783">
        <v>270.67372397538497</v>
      </c>
      <c r="Z491" s="772"/>
    </row>
    <row r="492" spans="1:26" s="753" customFormat="1">
      <c r="A492" s="756" t="s">
        <v>4579</v>
      </c>
      <c r="B492" s="757"/>
      <c r="C492" s="758"/>
      <c r="D492" s="773" t="s">
        <v>9882</v>
      </c>
      <c r="E492" s="782"/>
      <c r="F492" s="774" t="s">
        <v>9233</v>
      </c>
      <c r="G492" s="981" t="s">
        <v>11176</v>
      </c>
      <c r="H492" s="772" t="str">
        <f>VLOOKUP($D492,transmitter_from_BP!$B:$F,2,0)</f>
        <v>FUEL GAS HEADER</v>
      </c>
      <c r="I492" s="981" t="s">
        <v>11176</v>
      </c>
      <c r="J492" s="772" t="str">
        <f>VLOOKUP($D492,transmitter_from_BP!$B:$F,2,0)</f>
        <v>FUEL GAS HEADER</v>
      </c>
      <c r="K492" s="981" t="s">
        <v>11676</v>
      </c>
      <c r="L492" s="1064" t="str">
        <f>VLOOKUP($D492,transmitter_from_BP!$B:$F,5,0)</f>
        <v>DEGC</v>
      </c>
      <c r="M492" s="783">
        <v>6</v>
      </c>
      <c r="N492" s="772">
        <v>6</v>
      </c>
      <c r="O492" s="783">
        <v>1</v>
      </c>
      <c r="P492" s="772">
        <v>1</v>
      </c>
      <c r="Q492" s="783">
        <v>1</v>
      </c>
      <c r="R492" s="772">
        <v>1</v>
      </c>
      <c r="S492" s="783">
        <v>-19</v>
      </c>
      <c r="T492" s="991">
        <f>VLOOKUP($D492,transmitter_from_BP!$B:$F,4,0)</f>
        <v>-19</v>
      </c>
      <c r="U492" s="783">
        <v>100</v>
      </c>
      <c r="V492" s="991">
        <f>VLOOKUP($D492,transmitter_from_BP!$B:$F,3,0)</f>
        <v>100</v>
      </c>
      <c r="W492" s="783">
        <v>0</v>
      </c>
      <c r="X492" s="772"/>
      <c r="Y492" s="783">
        <v>37.716270541754902</v>
      </c>
      <c r="Z492" s="772"/>
    </row>
    <row r="493" spans="1:26" s="753" customFormat="1">
      <c r="A493" s="756" t="s">
        <v>4579</v>
      </c>
      <c r="B493" s="757"/>
      <c r="C493" s="758"/>
      <c r="D493" s="773" t="s">
        <v>9883</v>
      </c>
      <c r="E493" s="782"/>
      <c r="F493" s="774" t="s">
        <v>9323</v>
      </c>
      <c r="G493" s="981" t="s">
        <v>11394</v>
      </c>
      <c r="H493" s="772" t="str">
        <f>VLOOKUP($D493,transmitter_from_BP!$B:$F,2,0)</f>
        <v>EZ2112 WASHWATER TEMPERATURE</v>
      </c>
      <c r="I493" s="981" t="s">
        <v>11394</v>
      </c>
      <c r="J493" s="772" t="str">
        <f>VLOOKUP($D493,transmitter_from_BP!$B:$F,2,0)</f>
        <v>EZ2112 WASHWATER TEMPERATURE</v>
      </c>
      <c r="K493" s="981" t="s">
        <v>11676</v>
      </c>
      <c r="L493" s="1064" t="str">
        <f>VLOOKUP($D493,transmitter_from_BP!$B:$F,5,0)</f>
        <v>DEGC</v>
      </c>
      <c r="M493" s="783">
        <v>6</v>
      </c>
      <c r="N493" s="772">
        <v>6</v>
      </c>
      <c r="O493" s="783">
        <v>1</v>
      </c>
      <c r="P493" s="772">
        <v>1</v>
      </c>
      <c r="Q493" s="783">
        <v>1</v>
      </c>
      <c r="R493" s="772">
        <v>1</v>
      </c>
      <c r="S493" s="783">
        <v>0</v>
      </c>
      <c r="T493" s="991">
        <f>VLOOKUP($D493,transmitter_from_BP!$B:$F,4,0)</f>
        <v>0</v>
      </c>
      <c r="U493" s="783">
        <v>200</v>
      </c>
      <c r="V493" s="991">
        <f>VLOOKUP($D493,transmitter_from_BP!$B:$F,3,0)</f>
        <v>200</v>
      </c>
      <c r="W493" s="783">
        <v>0</v>
      </c>
      <c r="X493" s="772"/>
      <c r="Y493" s="783">
        <v>115.17635219164799</v>
      </c>
      <c r="Z493" s="772"/>
    </row>
    <row r="494" spans="1:26" s="753" customFormat="1">
      <c r="A494" s="756" t="s">
        <v>4579</v>
      </c>
      <c r="B494" s="757"/>
      <c r="C494" s="758"/>
      <c r="D494" s="773" t="s">
        <v>9884</v>
      </c>
      <c r="E494" s="782"/>
      <c r="F494" s="774" t="s">
        <v>7967</v>
      </c>
      <c r="G494" s="981" t="s">
        <v>11395</v>
      </c>
      <c r="H494" s="772" t="str">
        <f>VLOOKUP($D494,transmitter_from_BP!$B:$F,2,0)</f>
        <v>VIBRATION EZ2207A</v>
      </c>
      <c r="I494" s="981" t="s">
        <v>11395</v>
      </c>
      <c r="J494" s="772" t="str">
        <f>VLOOKUP($D494,transmitter_from_BP!$B:$F,2,0)</f>
        <v>VIBRATION EZ2207A</v>
      </c>
      <c r="K494" s="981" t="s">
        <v>11695</v>
      </c>
      <c r="L494" s="1064" t="str">
        <f>VLOOKUP($D494,transmitter_from_BP!$B:$F,5,0)</f>
        <v>MM/S</v>
      </c>
      <c r="M494" s="783">
        <v>0</v>
      </c>
      <c r="N494" s="772">
        <v>0</v>
      </c>
      <c r="O494" s="783">
        <v>1</v>
      </c>
      <c r="P494" s="772">
        <v>1</v>
      </c>
      <c r="Q494" s="783">
        <v>1</v>
      </c>
      <c r="R494" s="772">
        <v>1</v>
      </c>
      <c r="S494" s="783">
        <v>0</v>
      </c>
      <c r="T494" s="991">
        <f>VLOOKUP($D494,transmitter_from_BP!$B:$F,4,0)</f>
        <v>0</v>
      </c>
      <c r="U494" s="783">
        <v>12.7</v>
      </c>
      <c r="V494" s="991">
        <f>VLOOKUP($D494,transmitter_from_BP!$B:$F,3,0)</f>
        <v>12.7</v>
      </c>
      <c r="W494" s="783">
        <v>0</v>
      </c>
      <c r="X494" s="772"/>
      <c r="Y494" s="783">
        <v>12.7</v>
      </c>
      <c r="Z494" s="772"/>
    </row>
    <row r="495" spans="1:26" s="753" customFormat="1">
      <c r="A495" s="756" t="s">
        <v>4579</v>
      </c>
      <c r="B495" s="757"/>
      <c r="C495" s="758"/>
      <c r="D495" s="773" t="s">
        <v>9885</v>
      </c>
      <c r="E495" s="782"/>
      <c r="F495" s="774" t="s">
        <v>7968</v>
      </c>
      <c r="G495" s="981" t="s">
        <v>11396</v>
      </c>
      <c r="H495" s="772" t="str">
        <f>VLOOKUP($D495,transmitter_from_BP!$B:$F,2,0)</f>
        <v>VIBRATION EZ2207B</v>
      </c>
      <c r="I495" s="981" t="s">
        <v>11396</v>
      </c>
      <c r="J495" s="772" t="str">
        <f>VLOOKUP($D495,transmitter_from_BP!$B:$F,2,0)</f>
        <v>VIBRATION EZ2207B</v>
      </c>
      <c r="K495" s="981" t="s">
        <v>11695</v>
      </c>
      <c r="L495" s="1064" t="str">
        <f>VLOOKUP($D495,transmitter_from_BP!$B:$F,5,0)</f>
        <v>MM/S</v>
      </c>
      <c r="M495" s="783">
        <v>0</v>
      </c>
      <c r="N495" s="772">
        <v>0</v>
      </c>
      <c r="O495" s="783">
        <v>1</v>
      </c>
      <c r="P495" s="772">
        <v>1</v>
      </c>
      <c r="Q495" s="783">
        <v>1</v>
      </c>
      <c r="R495" s="772">
        <v>1</v>
      </c>
      <c r="S495" s="783">
        <v>0</v>
      </c>
      <c r="T495" s="991">
        <f>VLOOKUP($D495,transmitter_from_BP!$B:$F,4,0)</f>
        <v>0</v>
      </c>
      <c r="U495" s="783">
        <v>12.7</v>
      </c>
      <c r="V495" s="991">
        <f>VLOOKUP($D495,transmitter_from_BP!$B:$F,3,0)</f>
        <v>12.7</v>
      </c>
      <c r="W495" s="783">
        <v>0</v>
      </c>
      <c r="X495" s="772"/>
      <c r="Y495" s="783">
        <v>12.7</v>
      </c>
      <c r="Z495" s="772"/>
    </row>
    <row r="496" spans="1:26" s="753" customFormat="1">
      <c r="A496" s="756" t="s">
        <v>4579</v>
      </c>
      <c r="B496" s="757"/>
      <c r="C496" s="758"/>
      <c r="D496" s="773" t="s">
        <v>9886</v>
      </c>
      <c r="E496" s="782"/>
      <c r="F496" s="774" t="s">
        <v>9319</v>
      </c>
      <c r="G496" s="981" t="s">
        <v>11397</v>
      </c>
      <c r="H496" s="772" t="str">
        <f>VLOOKUP($D496,transmitter_from_BP!$B:$F,2,0)</f>
        <v>EFFICIENCY HZ2101</v>
      </c>
      <c r="I496" s="981" t="s">
        <v>11397</v>
      </c>
      <c r="J496" s="772" t="str">
        <f>VLOOKUP($D496,transmitter_from_BP!$B:$F,2,0)</f>
        <v>EFFICIENCY HZ2101</v>
      </c>
      <c r="K496" s="981" t="s">
        <v>11673</v>
      </c>
      <c r="L496" s="1064" t="str">
        <f>VLOOKUP($D496,transmitter_from_BP!$B:$F,5,0)</f>
        <v>%</v>
      </c>
      <c r="M496" s="783">
        <v>0</v>
      </c>
      <c r="N496" s="772"/>
      <c r="O496" s="783">
        <v>1</v>
      </c>
      <c r="P496" s="772">
        <v>1</v>
      </c>
      <c r="Q496" s="783">
        <v>1</v>
      </c>
      <c r="R496" s="772">
        <v>1</v>
      </c>
      <c r="S496" s="783">
        <v>0</v>
      </c>
      <c r="T496" s="991">
        <f>VLOOKUP($D496,transmitter_from_BP!$B:$F,4,0)</f>
        <v>0</v>
      </c>
      <c r="U496" s="783">
        <v>100</v>
      </c>
      <c r="V496" s="991">
        <f>VLOOKUP($D496,transmitter_from_BP!$B:$F,3,0)</f>
        <v>100</v>
      </c>
      <c r="W496" s="783">
        <v>0</v>
      </c>
      <c r="X496" s="772"/>
      <c r="Y496" s="783">
        <v>88</v>
      </c>
      <c r="Z496" s="772"/>
    </row>
    <row r="497" spans="1:26" s="753" customFormat="1">
      <c r="A497" s="756" t="s">
        <v>4579</v>
      </c>
      <c r="B497" s="757"/>
      <c r="C497" s="758"/>
      <c r="D497" s="773" t="s">
        <v>9887</v>
      </c>
      <c r="E497" s="782"/>
      <c r="F497" s="774" t="s">
        <v>9273</v>
      </c>
      <c r="G497" s="981" t="s">
        <v>11398</v>
      </c>
      <c r="H497" s="772" t="str">
        <f>VLOOKUP($D497,transmitter_from_BP!$B:$F,2,0)</f>
        <v>EFFICIENCY HZ2151</v>
      </c>
      <c r="I497" s="981" t="s">
        <v>11398</v>
      </c>
      <c r="J497" s="772" t="str">
        <f>VLOOKUP($D497,transmitter_from_BP!$B:$F,2,0)</f>
        <v>EFFICIENCY HZ2151</v>
      </c>
      <c r="K497" s="981" t="s">
        <v>11673</v>
      </c>
      <c r="L497" s="1064" t="str">
        <f>VLOOKUP($D497,transmitter_from_BP!$B:$F,5,0)</f>
        <v>%</v>
      </c>
      <c r="M497" s="783">
        <v>0</v>
      </c>
      <c r="N497" s="772"/>
      <c r="O497" s="783">
        <v>1</v>
      </c>
      <c r="P497" s="772">
        <v>1</v>
      </c>
      <c r="Q497" s="783">
        <v>1</v>
      </c>
      <c r="R497" s="772">
        <v>1</v>
      </c>
      <c r="S497" s="783">
        <v>0</v>
      </c>
      <c r="T497" s="991">
        <f>VLOOKUP($D497,transmitter_from_BP!$B:$F,4,0)</f>
        <v>0</v>
      </c>
      <c r="U497" s="783">
        <v>100</v>
      </c>
      <c r="V497" s="991">
        <f>VLOOKUP($D497,transmitter_from_BP!$B:$F,3,0)</f>
        <v>100</v>
      </c>
      <c r="W497" s="783">
        <v>0</v>
      </c>
      <c r="X497" s="772"/>
      <c r="Y497" s="783">
        <v>77</v>
      </c>
      <c r="Z497" s="772"/>
    </row>
    <row r="498" spans="1:26" s="753" customFormat="1">
      <c r="A498" s="756" t="s">
        <v>4579</v>
      </c>
      <c r="B498" s="757"/>
      <c r="C498" s="758"/>
      <c r="D498" s="773" t="s">
        <v>9888</v>
      </c>
      <c r="E498" s="782"/>
      <c r="F498" s="774" t="s">
        <v>9300</v>
      </c>
      <c r="G498" s="981" t="s">
        <v>11399</v>
      </c>
      <c r="H498" s="772" t="str">
        <f>VLOOKUP($D498,transmitter_from_BP!$B:$F,2,0)</f>
        <v>EFFICIENCY HZ2201</v>
      </c>
      <c r="I498" s="981" t="s">
        <v>11399</v>
      </c>
      <c r="J498" s="772" t="str">
        <f>VLOOKUP($D498,transmitter_from_BP!$B:$F,2,0)</f>
        <v>EFFICIENCY HZ2201</v>
      </c>
      <c r="K498" s="981" t="s">
        <v>11673</v>
      </c>
      <c r="L498" s="1064" t="str">
        <f>VLOOKUP($D498,transmitter_from_BP!$B:$F,5,0)</f>
        <v>%</v>
      </c>
      <c r="M498" s="783">
        <v>0</v>
      </c>
      <c r="N498" s="772"/>
      <c r="O498" s="783">
        <v>1</v>
      </c>
      <c r="P498" s="772">
        <v>1</v>
      </c>
      <c r="Q498" s="783">
        <v>1</v>
      </c>
      <c r="R498" s="772">
        <v>1</v>
      </c>
      <c r="S498" s="783">
        <v>0</v>
      </c>
      <c r="T498" s="991">
        <f>VLOOKUP($D498,transmitter_from_BP!$B:$F,4,0)</f>
        <v>0</v>
      </c>
      <c r="U498" s="783">
        <v>100</v>
      </c>
      <c r="V498" s="991">
        <f>VLOOKUP($D498,transmitter_from_BP!$B:$F,3,0)</f>
        <v>100</v>
      </c>
      <c r="W498" s="783">
        <v>0</v>
      </c>
      <c r="X498" s="772"/>
      <c r="Y498" s="783">
        <v>80</v>
      </c>
      <c r="Z498" s="772"/>
    </row>
    <row r="499" spans="1:26" s="753" customFormat="1">
      <c r="A499" s="756" t="s">
        <v>4579</v>
      </c>
      <c r="B499" s="757"/>
      <c r="C499" s="758"/>
      <c r="D499" s="773" t="s">
        <v>9889</v>
      </c>
      <c r="E499" s="782"/>
      <c r="F499" s="774" t="s">
        <v>9313</v>
      </c>
      <c r="G499" s="981" t="s">
        <v>11400</v>
      </c>
      <c r="H499" s="772" t="str">
        <f>VLOOKUP($D499,transmitter_from_BP!$B:$F,2,0)</f>
        <v>FIRED DUTY HZ2101</v>
      </c>
      <c r="I499" s="981" t="s">
        <v>11400</v>
      </c>
      <c r="J499" s="772" t="str">
        <f>VLOOKUP($D499,transmitter_from_BP!$B:$F,2,0)</f>
        <v>FIRED DUTY HZ2101</v>
      </c>
      <c r="K499" s="981" t="s">
        <v>11696</v>
      </c>
      <c r="L499" s="1064" t="str">
        <f>VLOOKUP($D499,transmitter_from_BP!$B:$F,5,0)</f>
        <v>MW</v>
      </c>
      <c r="M499" s="783">
        <v>0</v>
      </c>
      <c r="N499" s="772"/>
      <c r="O499" s="783">
        <v>1</v>
      </c>
      <c r="P499" s="772">
        <v>1</v>
      </c>
      <c r="Q499" s="783">
        <v>1</v>
      </c>
      <c r="R499" s="772">
        <v>1</v>
      </c>
      <c r="S499" s="783">
        <v>0</v>
      </c>
      <c r="T499" s="991">
        <f>VLOOKUP($D499,transmitter_from_BP!$B:$F,4,0)</f>
        <v>0</v>
      </c>
      <c r="U499" s="783">
        <v>200</v>
      </c>
      <c r="V499" s="991">
        <f>VLOOKUP($D499,transmitter_from_BP!$B:$F,3,0)</f>
        <v>200</v>
      </c>
      <c r="W499" s="783">
        <v>0</v>
      </c>
      <c r="X499" s="772"/>
      <c r="Y499" s="783">
        <v>108.44578714950801</v>
      </c>
      <c r="Z499" s="772"/>
    </row>
    <row r="500" spans="1:26" s="753" customFormat="1">
      <c r="A500" s="756" t="s">
        <v>4579</v>
      </c>
      <c r="B500" s="757"/>
      <c r="C500" s="758"/>
      <c r="D500" s="773" t="s">
        <v>9890</v>
      </c>
      <c r="E500" s="782"/>
      <c r="F500" s="774" t="s">
        <v>9276</v>
      </c>
      <c r="G500" s="981" t="s">
        <v>11401</v>
      </c>
      <c r="H500" s="772" t="str">
        <f>VLOOKUP($D500,transmitter_from_BP!$B:$F,2,0)</f>
        <v>FIRED DUTY HZ2151</v>
      </c>
      <c r="I500" s="981" t="s">
        <v>11401</v>
      </c>
      <c r="J500" s="772" t="str">
        <f>VLOOKUP($D500,transmitter_from_BP!$B:$F,2,0)</f>
        <v>FIRED DUTY HZ2151</v>
      </c>
      <c r="K500" s="981" t="s">
        <v>11696</v>
      </c>
      <c r="L500" s="1064" t="str">
        <f>VLOOKUP($D500,transmitter_from_BP!$B:$F,5,0)</f>
        <v>MW</v>
      </c>
      <c r="M500" s="783">
        <v>0</v>
      </c>
      <c r="N500" s="772"/>
      <c r="O500" s="783">
        <v>1</v>
      </c>
      <c r="P500" s="772">
        <v>1</v>
      </c>
      <c r="Q500" s="783">
        <v>1</v>
      </c>
      <c r="R500" s="772">
        <v>1</v>
      </c>
      <c r="S500" s="783">
        <v>0</v>
      </c>
      <c r="T500" s="991">
        <f>VLOOKUP($D500,transmitter_from_BP!$B:$F,4,0)</f>
        <v>0</v>
      </c>
      <c r="U500" s="783">
        <v>50</v>
      </c>
      <c r="V500" s="991">
        <f>VLOOKUP($D500,transmitter_from_BP!$B:$F,3,0)</f>
        <v>50</v>
      </c>
      <c r="W500" s="783">
        <v>0</v>
      </c>
      <c r="X500" s="772"/>
      <c r="Y500" s="783">
        <v>11.5850648250902</v>
      </c>
      <c r="Z500" s="772"/>
    </row>
    <row r="501" spans="1:26" s="753" customFormat="1">
      <c r="A501" s="756" t="s">
        <v>4579</v>
      </c>
      <c r="B501" s="757"/>
      <c r="C501" s="758"/>
      <c r="D501" s="773" t="s">
        <v>9891</v>
      </c>
      <c r="E501" s="782"/>
      <c r="F501" s="774" t="s">
        <v>9274</v>
      </c>
      <c r="G501" s="981" t="s">
        <v>11402</v>
      </c>
      <c r="H501" s="772" t="str">
        <f>VLOOKUP($D501,transmitter_from_BP!$B:$F,2,0)</f>
        <v>FIRED DUTY HZ2201</v>
      </c>
      <c r="I501" s="981" t="s">
        <v>11402</v>
      </c>
      <c r="J501" s="772" t="str">
        <f>VLOOKUP($D501,transmitter_from_BP!$B:$F,2,0)</f>
        <v>FIRED DUTY HZ2201</v>
      </c>
      <c r="K501" s="981" t="s">
        <v>11696</v>
      </c>
      <c r="L501" s="1064" t="str">
        <f>VLOOKUP($D501,transmitter_from_BP!$B:$F,5,0)</f>
        <v>MW</v>
      </c>
      <c r="M501" s="783">
        <v>0</v>
      </c>
      <c r="N501" s="772"/>
      <c r="O501" s="783">
        <v>1</v>
      </c>
      <c r="P501" s="772">
        <v>1</v>
      </c>
      <c r="Q501" s="783">
        <v>1</v>
      </c>
      <c r="R501" s="772">
        <v>1</v>
      </c>
      <c r="S501" s="783">
        <v>0</v>
      </c>
      <c r="T501" s="991">
        <f>VLOOKUP($D501,transmitter_from_BP!$B:$F,4,0)</f>
        <v>0</v>
      </c>
      <c r="U501" s="783">
        <v>100</v>
      </c>
      <c r="V501" s="991">
        <f>VLOOKUP($D501,transmitter_from_BP!$B:$F,3,0)</f>
        <v>100</v>
      </c>
      <c r="W501" s="783">
        <v>0</v>
      </c>
      <c r="X501" s="772"/>
      <c r="Y501" s="783">
        <v>20.302852632840199</v>
      </c>
      <c r="Z501" s="772"/>
    </row>
    <row r="502" spans="1:26" s="753" customFormat="1">
      <c r="A502" s="756" t="s">
        <v>4579</v>
      </c>
      <c r="B502" s="757"/>
      <c r="C502" s="758"/>
      <c r="D502" s="773" t="s">
        <v>9892</v>
      </c>
      <c r="E502" s="782"/>
      <c r="F502" s="774" t="s">
        <v>8745</v>
      </c>
      <c r="G502" s="981" t="s">
        <v>11403</v>
      </c>
      <c r="H502" s="772" t="str">
        <f>VLOOKUP($D502,transmitter_from_BP!$B:$F,2,0)</f>
        <v>DFU SPLITTER TAIL GAS</v>
      </c>
      <c r="I502" s="981" t="s">
        <v>11403</v>
      </c>
      <c r="J502" s="772" t="str">
        <f>VLOOKUP($D502,transmitter_from_BP!$B:$F,2,0)</f>
        <v>DFU SPLITTER TAIL GAS</v>
      </c>
      <c r="K502" s="981" t="s">
        <v>11676</v>
      </c>
      <c r="L502" s="1064" t="str">
        <f>VLOOKUP($D502,transmitter_from_BP!$B:$F,5,0)</f>
        <v>DEGC</v>
      </c>
      <c r="M502" s="783">
        <v>6</v>
      </c>
      <c r="N502" s="772">
        <v>6</v>
      </c>
      <c r="O502" s="783">
        <v>1</v>
      </c>
      <c r="P502" s="772">
        <v>1</v>
      </c>
      <c r="Q502" s="783">
        <v>1</v>
      </c>
      <c r="R502" s="772">
        <v>1</v>
      </c>
      <c r="S502" s="783">
        <v>-25</v>
      </c>
      <c r="T502" s="991">
        <f>VLOOKUP($D502,transmitter_from_BP!$B:$F,4,0)</f>
        <v>-25</v>
      </c>
      <c r="U502" s="783">
        <v>523</v>
      </c>
      <c r="V502" s="991">
        <f>VLOOKUP($D502,transmitter_from_BP!$B:$F,3,0)</f>
        <v>523</v>
      </c>
      <c r="W502" s="783">
        <v>0</v>
      </c>
      <c r="X502" s="772"/>
      <c r="Y502" s="783">
        <v>106.46980542344301</v>
      </c>
      <c r="Z502" s="772"/>
    </row>
    <row r="503" spans="1:26" s="753" customFormat="1">
      <c r="A503" s="756" t="s">
        <v>4579</v>
      </c>
      <c r="B503" s="757"/>
      <c r="C503" s="758"/>
      <c r="D503" s="773" t="s">
        <v>9893</v>
      </c>
      <c r="E503" s="782"/>
      <c r="F503" s="774" t="s">
        <v>6436</v>
      </c>
      <c r="G503" s="981" t="s">
        <v>11404</v>
      </c>
      <c r="H503" s="772" t="str">
        <f>VLOOKUP($D503,transmitter_from_BP!$B:$F,2,0)</f>
        <v>A DESALTER TRAFO 1 CURRT</v>
      </c>
      <c r="I503" s="981" t="s">
        <v>11404</v>
      </c>
      <c r="J503" s="772" t="str">
        <f>VLOOKUP($D503,transmitter_from_BP!$B:$F,2,0)</f>
        <v>A DESALTER TRAFO 1 CURRT</v>
      </c>
      <c r="K503" s="981" t="s">
        <v>11697</v>
      </c>
      <c r="L503" s="772" t="str">
        <f>VLOOKUP($D503,transmitter_from_BP!$B:$F,5,0)</f>
        <v>A</v>
      </c>
      <c r="M503" s="783">
        <v>0</v>
      </c>
      <c r="N503" s="772">
        <v>0</v>
      </c>
      <c r="O503" s="783">
        <v>1</v>
      </c>
      <c r="P503" s="772">
        <v>1</v>
      </c>
      <c r="Q503" s="783">
        <v>1</v>
      </c>
      <c r="R503" s="772">
        <v>1</v>
      </c>
      <c r="S503" s="783">
        <v>0</v>
      </c>
      <c r="T503" s="991">
        <f>VLOOKUP($D503,transmitter_from_BP!$B:$F,4,0)</f>
        <v>0</v>
      </c>
      <c r="U503" s="783">
        <v>50</v>
      </c>
      <c r="V503" s="991">
        <f>VLOOKUP($D503,transmitter_from_BP!$B:$F,3,0)</f>
        <v>50</v>
      </c>
      <c r="W503" s="783">
        <v>0</v>
      </c>
      <c r="X503" s="772"/>
      <c r="Y503" s="783">
        <v>10.1807216576626</v>
      </c>
      <c r="Z503" s="772"/>
    </row>
    <row r="504" spans="1:26" s="753" customFormat="1">
      <c r="A504" s="756" t="s">
        <v>4579</v>
      </c>
      <c r="B504" s="757"/>
      <c r="C504" s="758"/>
      <c r="D504" s="773" t="s">
        <v>9894</v>
      </c>
      <c r="E504" s="782"/>
      <c r="F504" s="774" t="s">
        <v>6437</v>
      </c>
      <c r="G504" s="981" t="s">
        <v>11405</v>
      </c>
      <c r="H504" s="772" t="str">
        <f>VLOOKUP($D504,transmitter_from_BP!$B:$F,2,0)</f>
        <v>A DESALTER TRAFO 2 CURRT</v>
      </c>
      <c r="I504" s="981" t="s">
        <v>11405</v>
      </c>
      <c r="J504" s="772" t="str">
        <f>VLOOKUP($D504,transmitter_from_BP!$B:$F,2,0)</f>
        <v>A DESALTER TRAFO 2 CURRT</v>
      </c>
      <c r="K504" s="981" t="s">
        <v>11697</v>
      </c>
      <c r="L504" s="1064" t="str">
        <f>VLOOKUP($D504,transmitter_from_BP!$B:$F,5,0)</f>
        <v>A</v>
      </c>
      <c r="M504" s="783">
        <v>0</v>
      </c>
      <c r="N504" s="772">
        <v>0</v>
      </c>
      <c r="O504" s="783">
        <v>1</v>
      </c>
      <c r="P504" s="772">
        <v>1</v>
      </c>
      <c r="Q504" s="783">
        <v>1</v>
      </c>
      <c r="R504" s="772">
        <v>1</v>
      </c>
      <c r="S504" s="783">
        <v>0</v>
      </c>
      <c r="T504" s="991">
        <f>VLOOKUP($D504,transmitter_from_BP!$B:$F,4,0)</f>
        <v>0</v>
      </c>
      <c r="U504" s="783">
        <v>50</v>
      </c>
      <c r="V504" s="991">
        <f>VLOOKUP($D504,transmitter_from_BP!$B:$F,3,0)</f>
        <v>50</v>
      </c>
      <c r="W504" s="783">
        <v>0</v>
      </c>
      <c r="X504" s="772"/>
      <c r="Y504" s="783">
        <v>10.1807216576626</v>
      </c>
      <c r="Z504" s="772"/>
    </row>
    <row r="505" spans="1:26" s="753" customFormat="1">
      <c r="A505" s="756" t="s">
        <v>4579</v>
      </c>
      <c r="B505" s="757"/>
      <c r="C505" s="758"/>
      <c r="D505" s="773" t="s">
        <v>9895</v>
      </c>
      <c r="E505" s="782"/>
      <c r="F505" s="774" t="s">
        <v>6438</v>
      </c>
      <c r="G505" s="981" t="s">
        <v>11406</v>
      </c>
      <c r="H505" s="772" t="str">
        <f>VLOOKUP($D505,transmitter_from_BP!$B:$F,2,0)</f>
        <v>A DESALTER TRAFO 3 CURRT</v>
      </c>
      <c r="I505" s="981" t="s">
        <v>11406</v>
      </c>
      <c r="J505" s="772" t="str">
        <f>VLOOKUP($D505,transmitter_from_BP!$B:$F,2,0)</f>
        <v>A DESALTER TRAFO 3 CURRT</v>
      </c>
      <c r="K505" s="981" t="s">
        <v>11697</v>
      </c>
      <c r="L505" s="1064" t="str">
        <f>VLOOKUP($D505,transmitter_from_BP!$B:$F,5,0)</f>
        <v>A</v>
      </c>
      <c r="M505" s="783">
        <v>0</v>
      </c>
      <c r="N505" s="772">
        <v>0</v>
      </c>
      <c r="O505" s="783">
        <v>1</v>
      </c>
      <c r="P505" s="772">
        <v>1</v>
      </c>
      <c r="Q505" s="783">
        <v>1</v>
      </c>
      <c r="R505" s="772">
        <v>1</v>
      </c>
      <c r="S505" s="783">
        <v>0</v>
      </c>
      <c r="T505" s="991">
        <f>VLOOKUP($D505,transmitter_from_BP!$B:$F,4,0)</f>
        <v>0</v>
      </c>
      <c r="U505" s="783">
        <v>50</v>
      </c>
      <c r="V505" s="991">
        <f>VLOOKUP($D505,transmitter_from_BP!$B:$F,3,0)</f>
        <v>50</v>
      </c>
      <c r="W505" s="783">
        <v>0</v>
      </c>
      <c r="X505" s="772"/>
      <c r="Y505" s="783">
        <v>10.1807216576626</v>
      </c>
      <c r="Z505" s="772"/>
    </row>
    <row r="506" spans="1:26" s="753" customFormat="1">
      <c r="A506" s="756" t="s">
        <v>4579</v>
      </c>
      <c r="B506" s="757"/>
      <c r="C506" s="758"/>
      <c r="D506" s="773" t="s">
        <v>9896</v>
      </c>
      <c r="E506" s="782"/>
      <c r="F506" s="774" t="s">
        <v>8552</v>
      </c>
      <c r="G506" s="981" t="s">
        <v>11407</v>
      </c>
      <c r="H506" s="772" t="str">
        <f>VLOOKUP($D506,transmitter_from_BP!$B:$F,2,0)</f>
        <v>DESALTER C TRAFO 1AMPS TRZ2101C1</v>
      </c>
      <c r="I506" s="981" t="s">
        <v>11407</v>
      </c>
      <c r="J506" s="772" t="str">
        <f>VLOOKUP($D506,transmitter_from_BP!$B:$F,2,0)</f>
        <v>DESALTER C TRAFO 1AMPS TRZ2101C1</v>
      </c>
      <c r="K506" s="981" t="s">
        <v>11697</v>
      </c>
      <c r="L506" s="1064" t="str">
        <f>VLOOKUP($D506,transmitter_from_BP!$B:$F,5,0)</f>
        <v>A</v>
      </c>
      <c r="M506" s="783">
        <v>0</v>
      </c>
      <c r="N506" s="772">
        <v>0</v>
      </c>
      <c r="O506" s="783">
        <v>1</v>
      </c>
      <c r="P506" s="772">
        <v>1</v>
      </c>
      <c r="Q506" s="783">
        <v>1</v>
      </c>
      <c r="R506" s="772">
        <v>1</v>
      </c>
      <c r="S506" s="783">
        <v>0</v>
      </c>
      <c r="T506" s="991">
        <f>VLOOKUP($D506,transmitter_from_BP!$B:$F,4,0)</f>
        <v>0</v>
      </c>
      <c r="U506" s="783">
        <v>30</v>
      </c>
      <c r="V506" s="991">
        <f>VLOOKUP($D506,transmitter_from_BP!$B:$F,3,0)</f>
        <v>30</v>
      </c>
      <c r="W506" s="783">
        <v>0</v>
      </c>
      <c r="X506" s="772"/>
      <c r="Y506" s="783">
        <v>7.0217127808132798</v>
      </c>
      <c r="Z506" s="772"/>
    </row>
    <row r="507" spans="1:26" s="753" customFormat="1">
      <c r="A507" s="756" t="s">
        <v>4579</v>
      </c>
      <c r="B507" s="757"/>
      <c r="C507" s="758"/>
      <c r="D507" s="773" t="s">
        <v>9897</v>
      </c>
      <c r="E507" s="782"/>
      <c r="F507" s="774" t="s">
        <v>8553</v>
      </c>
      <c r="G507" s="981" t="s">
        <v>11408</v>
      </c>
      <c r="H507" s="772" t="str">
        <f>VLOOKUP($D507,transmitter_from_BP!$B:$F,2,0)</f>
        <v>DESALTER C TRAFO 2AMPS TRZ2101C2</v>
      </c>
      <c r="I507" s="981" t="s">
        <v>11408</v>
      </c>
      <c r="J507" s="772" t="str">
        <f>VLOOKUP($D507,transmitter_from_BP!$B:$F,2,0)</f>
        <v>DESALTER C TRAFO 2AMPS TRZ2101C2</v>
      </c>
      <c r="K507" s="981" t="s">
        <v>11697</v>
      </c>
      <c r="L507" s="1064" t="str">
        <f>VLOOKUP($D507,transmitter_from_BP!$B:$F,5,0)</f>
        <v>A</v>
      </c>
      <c r="M507" s="783">
        <v>0</v>
      </c>
      <c r="N507" s="772">
        <v>0</v>
      </c>
      <c r="O507" s="783">
        <v>1</v>
      </c>
      <c r="P507" s="772">
        <v>1</v>
      </c>
      <c r="Q507" s="783">
        <v>1</v>
      </c>
      <c r="R507" s="772">
        <v>1</v>
      </c>
      <c r="S507" s="783">
        <v>0</v>
      </c>
      <c r="T507" s="991">
        <f>VLOOKUP($D507,transmitter_from_BP!$B:$F,4,0)</f>
        <v>0</v>
      </c>
      <c r="U507" s="783">
        <v>30</v>
      </c>
      <c r="V507" s="991">
        <f>VLOOKUP($D507,transmitter_from_BP!$B:$F,3,0)</f>
        <v>30</v>
      </c>
      <c r="W507" s="783">
        <v>0</v>
      </c>
      <c r="X507" s="772"/>
      <c r="Y507" s="783">
        <v>7.0217127808132798</v>
      </c>
      <c r="Z507" s="772"/>
    </row>
    <row r="508" spans="1:26" s="753" customFormat="1">
      <c r="A508" s="756" t="s">
        <v>4579</v>
      </c>
      <c r="B508" s="757"/>
      <c r="C508" s="758"/>
      <c r="D508" s="773" t="s">
        <v>9898</v>
      </c>
      <c r="E508" s="782"/>
      <c r="F508" s="774" t="s">
        <v>8554</v>
      </c>
      <c r="G508" s="981" t="s">
        <v>11409</v>
      </c>
      <c r="H508" s="772" t="str">
        <f>VLOOKUP($D508,transmitter_from_BP!$B:$F,2,0)</f>
        <v>DESALTER C TRAF0 3AMPS TRZ2101C3</v>
      </c>
      <c r="I508" s="981" t="s">
        <v>11409</v>
      </c>
      <c r="J508" s="772" t="str">
        <f>VLOOKUP($D508,transmitter_from_BP!$B:$F,2,0)</f>
        <v>DESALTER C TRAF0 3AMPS TRZ2101C3</v>
      </c>
      <c r="K508" s="981" t="s">
        <v>11697</v>
      </c>
      <c r="L508" s="1064" t="str">
        <f>VLOOKUP($D508,transmitter_from_BP!$B:$F,5,0)</f>
        <v>A</v>
      </c>
      <c r="M508" s="783">
        <v>0</v>
      </c>
      <c r="N508" s="772">
        <v>0</v>
      </c>
      <c r="O508" s="783">
        <v>1</v>
      </c>
      <c r="P508" s="772">
        <v>1</v>
      </c>
      <c r="Q508" s="783">
        <v>1</v>
      </c>
      <c r="R508" s="772">
        <v>1</v>
      </c>
      <c r="S508" s="783">
        <v>0</v>
      </c>
      <c r="T508" s="991">
        <f>VLOOKUP($D508,transmitter_from_BP!$B:$F,4,0)</f>
        <v>0</v>
      </c>
      <c r="U508" s="783">
        <v>30</v>
      </c>
      <c r="V508" s="991">
        <f>VLOOKUP($D508,transmitter_from_BP!$B:$F,3,0)</f>
        <v>30</v>
      </c>
      <c r="W508" s="783">
        <v>0</v>
      </c>
      <c r="X508" s="772"/>
      <c r="Y508" s="783">
        <v>7.0217127808132798</v>
      </c>
      <c r="Z508" s="772"/>
    </row>
    <row r="509" spans="1:26" s="753" customFormat="1">
      <c r="A509" s="756" t="s">
        <v>4579</v>
      </c>
      <c r="B509" s="757"/>
      <c r="C509" s="758"/>
      <c r="D509" s="773" t="s">
        <v>1896</v>
      </c>
      <c r="E509" s="782"/>
      <c r="F509" s="774" t="s">
        <v>6439</v>
      </c>
      <c r="G509" s="981" t="s">
        <v>11410</v>
      </c>
      <c r="H509" s="772" t="str">
        <f>VLOOKUP($D509,transmitter_from_BP!$B:$F,2,0)</f>
        <v>B DESALTER TRAFO 1 CURRT</v>
      </c>
      <c r="I509" s="981" t="s">
        <v>11410</v>
      </c>
      <c r="J509" s="772" t="str">
        <f>VLOOKUP($D509,transmitter_from_BP!$B:$F,2,0)</f>
        <v>B DESALTER TRAFO 1 CURRT</v>
      </c>
      <c r="K509" s="981" t="s">
        <v>11697</v>
      </c>
      <c r="L509" s="1064" t="str">
        <f>VLOOKUP($D509,transmitter_from_BP!$B:$F,5,0)</f>
        <v>A</v>
      </c>
      <c r="M509" s="783">
        <v>0</v>
      </c>
      <c r="N509" s="772">
        <v>0</v>
      </c>
      <c r="O509" s="783">
        <v>1</v>
      </c>
      <c r="P509" s="772">
        <v>1</v>
      </c>
      <c r="Q509" s="783">
        <v>1</v>
      </c>
      <c r="R509" s="772">
        <v>1</v>
      </c>
      <c r="S509" s="783">
        <v>0</v>
      </c>
      <c r="T509" s="991">
        <f>VLOOKUP($D509,transmitter_from_BP!$B:$F,4,0)</f>
        <v>0</v>
      </c>
      <c r="U509" s="783">
        <v>50</v>
      </c>
      <c r="V509" s="991">
        <f>VLOOKUP($D509,transmitter_from_BP!$B:$F,3,0)</f>
        <v>50</v>
      </c>
      <c r="W509" s="783">
        <v>0</v>
      </c>
      <c r="X509" s="772"/>
      <c r="Y509" s="783">
        <v>11.807623828653099</v>
      </c>
      <c r="Z509" s="772"/>
    </row>
    <row r="510" spans="1:26" s="753" customFormat="1">
      <c r="A510" s="756" t="s">
        <v>4579</v>
      </c>
      <c r="B510" s="757"/>
      <c r="C510" s="758"/>
      <c r="D510" s="773" t="s">
        <v>9899</v>
      </c>
      <c r="E510" s="782"/>
      <c r="F510" s="774" t="s">
        <v>6440</v>
      </c>
      <c r="G510" s="981" t="s">
        <v>11411</v>
      </c>
      <c r="H510" s="772" t="str">
        <f>VLOOKUP($D510,transmitter_from_BP!$B:$F,2,0)</f>
        <v>B DESALTER TRAFO 2 CURRT</v>
      </c>
      <c r="I510" s="981" t="s">
        <v>11411</v>
      </c>
      <c r="J510" s="772" t="str">
        <f>VLOOKUP($D510,transmitter_from_BP!$B:$F,2,0)</f>
        <v>B DESALTER TRAFO 2 CURRT</v>
      </c>
      <c r="K510" s="981" t="s">
        <v>11697</v>
      </c>
      <c r="L510" s="1064" t="str">
        <f>VLOOKUP($D510,transmitter_from_BP!$B:$F,5,0)</f>
        <v>A</v>
      </c>
      <c r="M510" s="783">
        <v>0</v>
      </c>
      <c r="N510" s="772">
        <v>0</v>
      </c>
      <c r="O510" s="783">
        <v>1</v>
      </c>
      <c r="P510" s="772">
        <v>1</v>
      </c>
      <c r="Q510" s="783">
        <v>1</v>
      </c>
      <c r="R510" s="772">
        <v>1</v>
      </c>
      <c r="S510" s="783">
        <v>0</v>
      </c>
      <c r="T510" s="991">
        <f>VLOOKUP($D510,transmitter_from_BP!$B:$F,4,0)</f>
        <v>0</v>
      </c>
      <c r="U510" s="783">
        <v>50</v>
      </c>
      <c r="V510" s="991">
        <f>VLOOKUP($D510,transmitter_from_BP!$B:$F,3,0)</f>
        <v>50</v>
      </c>
      <c r="W510" s="783">
        <v>0</v>
      </c>
      <c r="X510" s="772"/>
      <c r="Y510" s="783">
        <v>11.807623828653099</v>
      </c>
      <c r="Z510" s="772"/>
    </row>
    <row r="511" spans="1:26" s="753" customFormat="1">
      <c r="A511" s="756" t="s">
        <v>4579</v>
      </c>
      <c r="B511" s="757"/>
      <c r="C511" s="758"/>
      <c r="D511" s="773" t="s">
        <v>9900</v>
      </c>
      <c r="E511" s="782"/>
      <c r="F511" s="774" t="s">
        <v>6441</v>
      </c>
      <c r="G511" s="981" t="s">
        <v>11412</v>
      </c>
      <c r="H511" s="772" t="str">
        <f>VLOOKUP($D511,transmitter_from_BP!$B:$F,2,0)</f>
        <v>B DESALTER TRAFO 3 CURRT</v>
      </c>
      <c r="I511" s="981" t="s">
        <v>11412</v>
      </c>
      <c r="J511" s="772" t="str">
        <f>VLOOKUP($D511,transmitter_from_BP!$B:$F,2,0)</f>
        <v>B DESALTER TRAFO 3 CURRT</v>
      </c>
      <c r="K511" s="981" t="s">
        <v>11697</v>
      </c>
      <c r="L511" s="1064" t="str">
        <f>VLOOKUP($D511,transmitter_from_BP!$B:$F,5,0)</f>
        <v>A</v>
      </c>
      <c r="M511" s="783">
        <v>0</v>
      </c>
      <c r="N511" s="772">
        <v>0</v>
      </c>
      <c r="O511" s="783">
        <v>1</v>
      </c>
      <c r="P511" s="772">
        <v>1</v>
      </c>
      <c r="Q511" s="783">
        <v>1</v>
      </c>
      <c r="R511" s="772">
        <v>1</v>
      </c>
      <c r="S511" s="783">
        <v>0</v>
      </c>
      <c r="T511" s="991">
        <f>VLOOKUP($D511,transmitter_from_BP!$B:$F,4,0)</f>
        <v>0</v>
      </c>
      <c r="U511" s="783">
        <v>50</v>
      </c>
      <c r="V511" s="991">
        <f>VLOOKUP($D511,transmitter_from_BP!$B:$F,3,0)</f>
        <v>50</v>
      </c>
      <c r="W511" s="783">
        <v>0</v>
      </c>
      <c r="X511" s="772"/>
      <c r="Y511" s="783">
        <v>11.807623828653099</v>
      </c>
      <c r="Z511" s="772"/>
    </row>
    <row r="512" spans="1:26" s="753" customFormat="1">
      <c r="A512" s="756" t="s">
        <v>4579</v>
      </c>
      <c r="B512" s="757"/>
      <c r="C512" s="758"/>
      <c r="D512" s="773" t="s">
        <v>9906</v>
      </c>
      <c r="E512" s="782"/>
      <c r="F512" s="774" t="s">
        <v>9333</v>
      </c>
      <c r="G512" s="981" t="s">
        <v>11413</v>
      </c>
      <c r="H512" s="772" t="str">
        <f>VLOOKUP($D512,transmitter_from_BP!$B:$F,2,0)</f>
        <v>MPZ2103A MOTOR AMPT.P.A.</v>
      </c>
      <c r="I512" s="981" t="s">
        <v>11413</v>
      </c>
      <c r="J512" s="772" t="str">
        <f>VLOOKUP($D512,transmitter_from_BP!$B:$F,2,0)</f>
        <v>MPZ2103A MOTOR AMPT.P.A.</v>
      </c>
      <c r="K512" s="981" t="s">
        <v>11698</v>
      </c>
      <c r="L512" s="1064" t="str">
        <f>VLOOKUP($D512,transmitter_from_BP!$B:$F,5,0)</f>
        <v>AMP</v>
      </c>
      <c r="M512" s="783">
        <v>0</v>
      </c>
      <c r="N512" s="772"/>
      <c r="O512" s="783">
        <v>1</v>
      </c>
      <c r="P512" s="772">
        <v>1</v>
      </c>
      <c r="Q512" s="783">
        <v>1</v>
      </c>
      <c r="R512" s="772">
        <v>1</v>
      </c>
      <c r="S512" s="783">
        <v>0</v>
      </c>
      <c r="T512" s="991">
        <f>VLOOKUP($D512,transmitter_from_BP!$B:$F,4,0)</f>
        <v>0</v>
      </c>
      <c r="U512" s="783">
        <v>40</v>
      </c>
      <c r="V512" s="991">
        <f>VLOOKUP($D512,transmitter_from_BP!$B:$F,3,0)</f>
        <v>40</v>
      </c>
      <c r="W512" s="783">
        <v>0</v>
      </c>
      <c r="X512" s="772"/>
      <c r="Y512" s="783">
        <v>29.0963233298341</v>
      </c>
      <c r="Z512" s="772"/>
    </row>
    <row r="513" spans="1:26" s="753" customFormat="1">
      <c r="A513" s="756" t="s">
        <v>4579</v>
      </c>
      <c r="B513" s="757"/>
      <c r="C513" s="758"/>
      <c r="D513" s="773" t="s">
        <v>9907</v>
      </c>
      <c r="E513" s="782"/>
      <c r="F513" s="774" t="s">
        <v>9267</v>
      </c>
      <c r="G513" s="981" t="s">
        <v>11414</v>
      </c>
      <c r="H513" s="772" t="str">
        <f>VLOOKUP($D513,transmitter_from_BP!$B:$F,2,0)</f>
        <v>MPZ2103B MOTOR AMPT.P.A.</v>
      </c>
      <c r="I513" s="981" t="s">
        <v>11414</v>
      </c>
      <c r="J513" s="772" t="str">
        <f>VLOOKUP($D513,transmitter_from_BP!$B:$F,2,0)</f>
        <v>MPZ2103B MOTOR AMPT.P.A.</v>
      </c>
      <c r="K513" s="981" t="s">
        <v>11698</v>
      </c>
      <c r="L513" s="1064" t="str">
        <f>VLOOKUP($D513,transmitter_from_BP!$B:$F,5,0)</f>
        <v>AMP</v>
      </c>
      <c r="M513" s="783">
        <v>0</v>
      </c>
      <c r="N513" s="772"/>
      <c r="O513" s="783">
        <v>1</v>
      </c>
      <c r="P513" s="772">
        <v>1</v>
      </c>
      <c r="Q513" s="783">
        <v>1</v>
      </c>
      <c r="R513" s="772">
        <v>1</v>
      </c>
      <c r="S513" s="783">
        <v>0</v>
      </c>
      <c r="T513" s="991">
        <f>VLOOKUP($D513,transmitter_from_BP!$B:$F,4,0)</f>
        <v>0</v>
      </c>
      <c r="U513" s="783">
        <v>40</v>
      </c>
      <c r="V513" s="991">
        <f>VLOOKUP($D513,transmitter_from_BP!$B:$F,3,0)</f>
        <v>40</v>
      </c>
      <c r="W513" s="783">
        <v>0</v>
      </c>
      <c r="X513" s="772"/>
      <c r="Y513" s="783">
        <v>0</v>
      </c>
      <c r="Z513" s="772"/>
    </row>
    <row r="514" spans="1:26" s="753" customFormat="1">
      <c r="A514" s="756" t="s">
        <v>4579</v>
      </c>
      <c r="B514" s="757"/>
      <c r="C514" s="758"/>
      <c r="D514" s="773" t="s">
        <v>9908</v>
      </c>
      <c r="E514" s="782"/>
      <c r="F514" s="774" t="s">
        <v>9230</v>
      </c>
      <c r="G514" s="981" t="s">
        <v>11415</v>
      </c>
      <c r="H514" s="772" t="str">
        <f>VLOOKUP($D514,transmitter_from_BP!$B:$F,2,0)</f>
        <v>DHT PZ2151A CURRENT</v>
      </c>
      <c r="I514" s="981" t="s">
        <v>11415</v>
      </c>
      <c r="J514" s="772" t="str">
        <f>VLOOKUP($D514,transmitter_from_BP!$B:$F,2,0)</f>
        <v>DHT PZ2151A CURRENT</v>
      </c>
      <c r="K514" s="981" t="s">
        <v>11697</v>
      </c>
      <c r="L514" s="1064" t="str">
        <f>VLOOKUP($D514,transmitter_from_BP!$B:$F,5,0)</f>
        <v>A</v>
      </c>
      <c r="M514" s="783">
        <v>0</v>
      </c>
      <c r="N514" s="772"/>
      <c r="O514" s="783">
        <v>1</v>
      </c>
      <c r="P514" s="772">
        <v>1</v>
      </c>
      <c r="Q514" s="783">
        <v>1</v>
      </c>
      <c r="R514" s="772">
        <v>1</v>
      </c>
      <c r="S514" s="783">
        <v>0</v>
      </c>
      <c r="T514" s="991">
        <f>VLOOKUP($D514,transmitter_from_BP!$B:$F,4,0)</f>
        <v>0</v>
      </c>
      <c r="U514" s="783">
        <v>200</v>
      </c>
      <c r="V514" s="991">
        <f>VLOOKUP($D514,transmitter_from_BP!$B:$F,3,0)</f>
        <v>200</v>
      </c>
      <c r="W514" s="783">
        <v>0</v>
      </c>
      <c r="X514" s="772"/>
      <c r="Y514" s="783">
        <v>181.10451401102199</v>
      </c>
      <c r="Z514" s="772"/>
    </row>
    <row r="515" spans="1:26" s="753" customFormat="1">
      <c r="A515" s="756" t="s">
        <v>4579</v>
      </c>
      <c r="B515" s="757"/>
      <c r="C515" s="758"/>
      <c r="D515" s="773" t="s">
        <v>9909</v>
      </c>
      <c r="E515" s="782"/>
      <c r="F515" s="774" t="s">
        <v>9297</v>
      </c>
      <c r="G515" s="981" t="s">
        <v>11416</v>
      </c>
      <c r="H515" s="772" t="str">
        <f>VLOOKUP($D515,transmitter_from_BP!$B:$F,2,0)</f>
        <v>DHT PZ2151S CURRENT</v>
      </c>
      <c r="I515" s="981" t="s">
        <v>11416</v>
      </c>
      <c r="J515" s="772" t="str">
        <f>VLOOKUP($D515,transmitter_from_BP!$B:$F,2,0)</f>
        <v>DHT PZ2151S CURRENT</v>
      </c>
      <c r="K515" s="981" t="s">
        <v>11697</v>
      </c>
      <c r="L515" s="1064" t="str">
        <f>VLOOKUP($D515,transmitter_from_BP!$B:$F,5,0)</f>
        <v>A</v>
      </c>
      <c r="M515" s="783">
        <v>0</v>
      </c>
      <c r="N515" s="772"/>
      <c r="O515" s="783">
        <v>1</v>
      </c>
      <c r="P515" s="772">
        <v>1</v>
      </c>
      <c r="Q515" s="783">
        <v>1</v>
      </c>
      <c r="R515" s="772">
        <v>1</v>
      </c>
      <c r="S515" s="783">
        <v>0</v>
      </c>
      <c r="T515" s="991">
        <f>VLOOKUP($D515,transmitter_from_BP!$B:$F,4,0)</f>
        <v>0</v>
      </c>
      <c r="U515" s="783">
        <v>200</v>
      </c>
      <c r="V515" s="991">
        <f>VLOOKUP($D515,transmitter_from_BP!$B:$F,3,0)</f>
        <v>200</v>
      </c>
      <c r="W515" s="783">
        <v>0</v>
      </c>
      <c r="X515" s="772"/>
      <c r="Y515" s="783">
        <v>0</v>
      </c>
      <c r="Z515" s="772"/>
    </row>
    <row r="516" spans="1:26" s="753" customFormat="1">
      <c r="A516" s="756" t="s">
        <v>4579</v>
      </c>
      <c r="B516" s="757"/>
      <c r="C516" s="758"/>
      <c r="D516" s="773" t="s">
        <v>9901</v>
      </c>
      <c r="E516" s="782"/>
      <c r="F516" s="774" t="s">
        <v>8534</v>
      </c>
      <c r="G516" s="981" t="s">
        <v>11417</v>
      </c>
      <c r="H516" s="772" t="str">
        <f>VLOOKUP($D516,transmitter_from_BP!$B:$F,2,0)</f>
        <v>MOTOR CURRENT PZ2102A</v>
      </c>
      <c r="I516" s="981" t="s">
        <v>11417</v>
      </c>
      <c r="J516" s="772" t="str">
        <f>VLOOKUP($D516,transmitter_from_BP!$B:$F,2,0)</f>
        <v>MOTOR CURRENT PZ2102A</v>
      </c>
      <c r="K516" s="981" t="s">
        <v>11698</v>
      </c>
      <c r="L516" s="1064" t="str">
        <f>VLOOKUP($D516,transmitter_from_BP!$B:$F,5,0)</f>
        <v>AMP</v>
      </c>
      <c r="M516" s="783">
        <v>0</v>
      </c>
      <c r="N516" s="772"/>
      <c r="O516" s="783">
        <v>1</v>
      </c>
      <c r="P516" s="772">
        <v>1</v>
      </c>
      <c r="Q516" s="783">
        <v>1</v>
      </c>
      <c r="R516" s="772">
        <v>1</v>
      </c>
      <c r="S516" s="783">
        <v>0</v>
      </c>
      <c r="T516" s="991">
        <f>VLOOKUP($D516,transmitter_from_BP!$B:$F,4,0)</f>
        <v>0</v>
      </c>
      <c r="U516" s="783">
        <v>125</v>
      </c>
      <c r="V516" s="991">
        <f>VLOOKUP($D516,transmitter_from_BP!$B:$F,3,0)</f>
        <v>125</v>
      </c>
      <c r="W516" s="783">
        <v>0</v>
      </c>
      <c r="X516" s="772"/>
      <c r="Y516" s="783">
        <v>77.8242470991174</v>
      </c>
      <c r="Z516" s="772"/>
    </row>
    <row r="517" spans="1:26" s="753" customFormat="1">
      <c r="A517" s="756" t="s">
        <v>4579</v>
      </c>
      <c r="B517" s="757"/>
      <c r="C517" s="758"/>
      <c r="D517" s="773" t="s">
        <v>9902</v>
      </c>
      <c r="E517" s="782"/>
      <c r="F517" s="774" t="s">
        <v>8535</v>
      </c>
      <c r="G517" s="981" t="s">
        <v>11418</v>
      </c>
      <c r="H517" s="772" t="str">
        <f>VLOOKUP($D517,transmitter_from_BP!$B:$F,2,0)</f>
        <v>MOTOR CURRENT PZ2102B</v>
      </c>
      <c r="I517" s="981" t="s">
        <v>11418</v>
      </c>
      <c r="J517" s="772" t="str">
        <f>VLOOKUP($D517,transmitter_from_BP!$B:$F,2,0)</f>
        <v>MOTOR CURRENT PZ2102B</v>
      </c>
      <c r="K517" s="981" t="s">
        <v>11698</v>
      </c>
      <c r="L517" s="1064" t="str">
        <f>VLOOKUP($D517,transmitter_from_BP!$B:$F,5,0)</f>
        <v>AMP</v>
      </c>
      <c r="M517" s="783">
        <v>0</v>
      </c>
      <c r="N517" s="772"/>
      <c r="O517" s="783">
        <v>1</v>
      </c>
      <c r="P517" s="772">
        <v>1</v>
      </c>
      <c r="Q517" s="783">
        <v>1</v>
      </c>
      <c r="R517" s="772">
        <v>1</v>
      </c>
      <c r="S517" s="783">
        <v>0</v>
      </c>
      <c r="T517" s="991">
        <f>VLOOKUP($D517,transmitter_from_BP!$B:$F,4,0)</f>
        <v>0</v>
      </c>
      <c r="U517" s="783">
        <v>125</v>
      </c>
      <c r="V517" s="991">
        <f>VLOOKUP($D517,transmitter_from_BP!$B:$F,3,0)</f>
        <v>125</v>
      </c>
      <c r="W517" s="783">
        <v>0</v>
      </c>
      <c r="X517" s="772"/>
      <c r="Y517" s="783">
        <v>77.8242470991174</v>
      </c>
      <c r="Z517" s="772"/>
    </row>
    <row r="518" spans="1:26" s="753" customFormat="1">
      <c r="A518" s="756" t="s">
        <v>4579</v>
      </c>
      <c r="B518" s="757"/>
      <c r="C518" s="758"/>
      <c r="D518" s="773" t="s">
        <v>9903</v>
      </c>
      <c r="E518" s="782"/>
      <c r="F518" s="774" t="s">
        <v>8536</v>
      </c>
      <c r="G518" s="981" t="s">
        <v>11419</v>
      </c>
      <c r="H518" s="772" t="str">
        <f>VLOOKUP($D518,transmitter_from_BP!$B:$F,2,0)</f>
        <v>MOTOR CURRENT PZ2102C</v>
      </c>
      <c r="I518" s="981" t="s">
        <v>11419</v>
      </c>
      <c r="J518" s="772" t="str">
        <f>VLOOKUP($D518,transmitter_from_BP!$B:$F,2,0)</f>
        <v>MOTOR CURRENT PZ2102C</v>
      </c>
      <c r="K518" s="981" t="s">
        <v>11698</v>
      </c>
      <c r="L518" s="1064" t="str">
        <f>VLOOKUP($D518,transmitter_from_BP!$B:$F,5,0)</f>
        <v>AMP</v>
      </c>
      <c r="M518" s="783">
        <v>0</v>
      </c>
      <c r="N518" s="772"/>
      <c r="O518" s="783">
        <v>1</v>
      </c>
      <c r="P518" s="772">
        <v>1</v>
      </c>
      <c r="Q518" s="783">
        <v>1</v>
      </c>
      <c r="R518" s="772">
        <v>1</v>
      </c>
      <c r="S518" s="783">
        <v>0</v>
      </c>
      <c r="T518" s="991">
        <f>VLOOKUP($D518,transmitter_from_BP!$B:$F,4,0)</f>
        <v>0</v>
      </c>
      <c r="U518" s="783">
        <v>125</v>
      </c>
      <c r="V518" s="991">
        <f>VLOOKUP($D518,transmitter_from_BP!$B:$F,3,0)</f>
        <v>125</v>
      </c>
      <c r="W518" s="783">
        <v>0</v>
      </c>
      <c r="X518" s="772"/>
      <c r="Y518" s="783">
        <v>77.8242470991174</v>
      </c>
      <c r="Z518" s="772"/>
    </row>
    <row r="519" spans="1:26" s="753" customFormat="1">
      <c r="A519" s="756" t="s">
        <v>4579</v>
      </c>
      <c r="B519" s="757"/>
      <c r="C519" s="758"/>
      <c r="D519" s="773" t="s">
        <v>9904</v>
      </c>
      <c r="E519" s="782"/>
      <c r="F519" s="774" t="s">
        <v>8555</v>
      </c>
      <c r="G519" s="981" t="s">
        <v>11420</v>
      </c>
      <c r="H519" s="772" t="str">
        <f>VLOOKUP($D519,transmitter_from_BP!$B:$F,2,0)</f>
        <v>PZ2161A RADIAL DISPLACEMENT</v>
      </c>
      <c r="I519" s="981" t="s">
        <v>11420</v>
      </c>
      <c r="J519" s="772" t="str">
        <f>VLOOKUP($D519,transmitter_from_BP!$B:$F,2,0)</f>
        <v>PZ2161A RADIAL DISPLACEMENT</v>
      </c>
      <c r="K519" s="981" t="s">
        <v>11673</v>
      </c>
      <c r="L519" s="1064" t="str">
        <f>VLOOKUP($D519,transmitter_from_BP!$B:$F,5,0)</f>
        <v>%</v>
      </c>
      <c r="M519" s="783">
        <v>0</v>
      </c>
      <c r="N519" s="772">
        <v>0</v>
      </c>
      <c r="O519" s="783">
        <v>1</v>
      </c>
      <c r="P519" s="772">
        <v>1</v>
      </c>
      <c r="Q519" s="783">
        <v>1</v>
      </c>
      <c r="R519" s="772">
        <v>1</v>
      </c>
      <c r="S519" s="783">
        <v>0</v>
      </c>
      <c r="T519" s="991">
        <f>VLOOKUP($D519,transmitter_from_BP!$B:$F,4,0)</f>
        <v>0</v>
      </c>
      <c r="U519" s="783">
        <v>100</v>
      </c>
      <c r="V519" s="991">
        <f>VLOOKUP($D519,transmitter_from_BP!$B:$F,3,0)</f>
        <v>100</v>
      </c>
      <c r="W519" s="783">
        <v>0</v>
      </c>
      <c r="X519" s="772"/>
      <c r="Y519" s="783">
        <v>60</v>
      </c>
      <c r="Z519" s="772"/>
    </row>
    <row r="520" spans="1:26" s="753" customFormat="1">
      <c r="A520" s="756" t="s">
        <v>4579</v>
      </c>
      <c r="B520" s="757"/>
      <c r="C520" s="758"/>
      <c r="D520" s="773" t="s">
        <v>9905</v>
      </c>
      <c r="E520" s="782"/>
      <c r="F520" s="774" t="s">
        <v>8556</v>
      </c>
      <c r="G520" s="981" t="s">
        <v>11421</v>
      </c>
      <c r="H520" s="772" t="str">
        <f>VLOOKUP($D520,transmitter_from_BP!$B:$F,2,0)</f>
        <v>PZ2161B RADIAL DISPLACEMENT</v>
      </c>
      <c r="I520" s="981" t="s">
        <v>11421</v>
      </c>
      <c r="J520" s="772" t="str">
        <f>VLOOKUP($D520,transmitter_from_BP!$B:$F,2,0)</f>
        <v>PZ2161B RADIAL DISPLACEMENT</v>
      </c>
      <c r="K520" s="981" t="s">
        <v>11673</v>
      </c>
      <c r="L520" s="1064" t="str">
        <f>VLOOKUP($D520,transmitter_from_BP!$B:$F,5,0)</f>
        <v>%</v>
      </c>
      <c r="M520" s="783">
        <v>0</v>
      </c>
      <c r="N520" s="772">
        <v>0</v>
      </c>
      <c r="O520" s="783">
        <v>1</v>
      </c>
      <c r="P520" s="772">
        <v>1</v>
      </c>
      <c r="Q520" s="783">
        <v>1</v>
      </c>
      <c r="R520" s="772">
        <v>1</v>
      </c>
      <c r="S520" s="783">
        <v>0</v>
      </c>
      <c r="T520" s="991">
        <f>VLOOKUP($D520,transmitter_from_BP!$B:$F,4,0)</f>
        <v>0</v>
      </c>
      <c r="U520" s="783">
        <v>100</v>
      </c>
      <c r="V520" s="991">
        <f>VLOOKUP($D520,transmitter_from_BP!$B:$F,3,0)</f>
        <v>100</v>
      </c>
      <c r="W520" s="783">
        <v>0</v>
      </c>
      <c r="X520" s="772"/>
      <c r="Y520" s="783">
        <v>0</v>
      </c>
      <c r="Z520" s="772"/>
    </row>
    <row r="521" spans="1:26" s="753" customFormat="1">
      <c r="A521" s="756" t="s">
        <v>5377</v>
      </c>
      <c r="B521" s="757"/>
      <c r="C521" s="758"/>
      <c r="D521" s="773" t="s">
        <v>5080</v>
      </c>
      <c r="E521" s="782"/>
      <c r="F521" s="774" t="s">
        <v>5865</v>
      </c>
      <c r="G521" s="981" t="s">
        <v>11422</v>
      </c>
      <c r="H521" s="772" t="str">
        <f>VLOOKUP($D521,PID_from_BP!$B:$I,2,0)</f>
        <v>CDU HEATER O2 FLUE GAS</v>
      </c>
      <c r="I521" s="981" t="s">
        <v>11422</v>
      </c>
      <c r="J521" s="772" t="str">
        <f>VLOOKUP($D521,PID_from_BP!$B:$I,2,0)</f>
        <v>CDU HEATER O2 FLUE GAS</v>
      </c>
      <c r="K521" s="981" t="s">
        <v>11673</v>
      </c>
      <c r="L521" s="772" t="str">
        <f>VLOOKUP($D521,PID_from_BP!$B:$I,5,0)</f>
        <v>%</v>
      </c>
      <c r="M521" s="783">
        <v>0</v>
      </c>
      <c r="N521" s="772">
        <v>0</v>
      </c>
      <c r="O521" s="783">
        <v>1</v>
      </c>
      <c r="P521" s="772">
        <v>1</v>
      </c>
      <c r="Q521" s="783">
        <v>1</v>
      </c>
      <c r="R521" s="772">
        <v>1</v>
      </c>
      <c r="S521" s="783">
        <v>0</v>
      </c>
      <c r="T521" s="772">
        <f>VLOOKUP($D521,PID_from_BP!$B:$I,4,0)</f>
        <v>0</v>
      </c>
      <c r="U521" s="783">
        <v>10</v>
      </c>
      <c r="V521" s="772">
        <f>VLOOKUP($D521,PID_from_BP!$B:$I,3,0)</f>
        <v>10</v>
      </c>
      <c r="W521" s="783">
        <v>0</v>
      </c>
      <c r="X521" s="772"/>
      <c r="Y521" s="783">
        <v>2.8359154960234298</v>
      </c>
      <c r="Z521" s="772"/>
    </row>
    <row r="522" spans="1:26" s="753" customFormat="1">
      <c r="A522" s="756" t="s">
        <v>5377</v>
      </c>
      <c r="B522" s="757"/>
      <c r="C522" s="758"/>
      <c r="D522" s="773" t="s">
        <v>5120</v>
      </c>
      <c r="E522" s="782"/>
      <c r="F522" s="774" t="s">
        <v>6442</v>
      </c>
      <c r="G522" s="981" t="s">
        <v>11423</v>
      </c>
      <c r="H522" s="772" t="str">
        <f>VLOOKUP($D522,PID_from_BP!$B:$I,2,0)</f>
        <v>WATER TO B DESALTER</v>
      </c>
      <c r="I522" s="981" t="s">
        <v>11423</v>
      </c>
      <c r="J522" s="772" t="str">
        <f>VLOOKUP($D522,PID_from_BP!$B:$I,2,0)</f>
        <v>WATER TO B DESALTER</v>
      </c>
      <c r="K522" s="981" t="s">
        <v>11684</v>
      </c>
      <c r="L522" s="1064" t="str">
        <f>VLOOKUP($D522,PID_from_BP!$B:$I,5,0)</f>
        <v>M3/H</v>
      </c>
      <c r="M522" s="783">
        <v>0</v>
      </c>
      <c r="N522" s="772">
        <v>0</v>
      </c>
      <c r="O522" s="783">
        <v>1</v>
      </c>
      <c r="P522" s="772">
        <v>1</v>
      </c>
      <c r="Q522" s="783">
        <v>3600</v>
      </c>
      <c r="R522" s="772">
        <v>3600</v>
      </c>
      <c r="S522" s="783">
        <v>0</v>
      </c>
      <c r="T522" s="772">
        <f>VLOOKUP($D522,PID_from_BP!$B:$I,4,0)</f>
        <v>0</v>
      </c>
      <c r="U522" s="783">
        <v>50</v>
      </c>
      <c r="V522" s="772">
        <f>VLOOKUP($D522,PID_from_BP!$B:$I,3,0)</f>
        <v>50</v>
      </c>
      <c r="W522" s="783">
        <v>0</v>
      </c>
      <c r="X522" s="772"/>
      <c r="Y522" s="783">
        <v>29.505084136564001</v>
      </c>
      <c r="Z522" s="772"/>
    </row>
    <row r="523" spans="1:26" s="753" customFormat="1">
      <c r="A523" s="756" t="s">
        <v>5377</v>
      </c>
      <c r="B523" s="757"/>
      <c r="C523" s="758"/>
      <c r="D523" s="773" t="s">
        <v>8545</v>
      </c>
      <c r="E523" s="782"/>
      <c r="F523" s="774" t="s">
        <v>8546</v>
      </c>
      <c r="G523" s="981" t="s">
        <v>11424</v>
      </c>
      <c r="H523" s="772" t="str">
        <f>VLOOKUP($D523,PID_from_BP!$B:$I,2,0)</f>
        <v>WATER TO C DESALTER</v>
      </c>
      <c r="I523" s="981" t="s">
        <v>11424</v>
      </c>
      <c r="J523" s="772" t="str">
        <f>VLOOKUP($D523,PID_from_BP!$B:$I,2,0)</f>
        <v>WATER TO C DESALTER</v>
      </c>
      <c r="K523" s="981" t="s">
        <v>11684</v>
      </c>
      <c r="L523" s="1064" t="str">
        <f>VLOOKUP($D523,PID_from_BP!$B:$I,5,0)</f>
        <v>M3/H</v>
      </c>
      <c r="M523" s="783">
        <v>0</v>
      </c>
      <c r="N523" s="772">
        <v>0</v>
      </c>
      <c r="O523" s="783">
        <v>1</v>
      </c>
      <c r="P523" s="772">
        <v>1</v>
      </c>
      <c r="Q523" s="783">
        <v>3600</v>
      </c>
      <c r="R523" s="772">
        <v>3600</v>
      </c>
      <c r="S523" s="783">
        <v>0</v>
      </c>
      <c r="T523" s="772">
        <f>VLOOKUP($D523,PID_from_BP!$B:$I,4,0)</f>
        <v>0</v>
      </c>
      <c r="U523" s="783">
        <v>75</v>
      </c>
      <c r="V523" s="772">
        <f>VLOOKUP($D523,PID_from_BP!$B:$I,3,0)</f>
        <v>75</v>
      </c>
      <c r="W523" s="783">
        <v>0</v>
      </c>
      <c r="X523" s="772"/>
      <c r="Y523" s="783">
        <v>58.711443979417403</v>
      </c>
      <c r="Z523" s="772"/>
    </row>
    <row r="524" spans="1:26" s="753" customFormat="1">
      <c r="A524" s="756" t="s">
        <v>5377</v>
      </c>
      <c r="B524" s="757"/>
      <c r="C524" s="758"/>
      <c r="D524" s="773" t="s">
        <v>5122</v>
      </c>
      <c r="E524" s="782"/>
      <c r="F524" s="774" t="s">
        <v>6443</v>
      </c>
      <c r="G524" s="981" t="s">
        <v>11425</v>
      </c>
      <c r="H524" s="772" t="str">
        <f>VLOOKUP($D524,PID_from_BP!$B:$I,2,0)</f>
        <v>WATER TO A DESALTER</v>
      </c>
      <c r="I524" s="981" t="s">
        <v>11425</v>
      </c>
      <c r="J524" s="772" t="str">
        <f>VLOOKUP($D524,PID_from_BP!$B:$I,2,0)</f>
        <v>WATER TO A DESALTER</v>
      </c>
      <c r="K524" s="981" t="s">
        <v>11684</v>
      </c>
      <c r="L524" s="1064" t="str">
        <f>VLOOKUP($D524,PID_from_BP!$B:$I,5,0)</f>
        <v>M3/H</v>
      </c>
      <c r="M524" s="783">
        <v>0</v>
      </c>
      <c r="N524" s="772">
        <v>0</v>
      </c>
      <c r="O524" s="783">
        <v>1</v>
      </c>
      <c r="P524" s="772">
        <v>1</v>
      </c>
      <c r="Q524" s="783">
        <v>3600</v>
      </c>
      <c r="R524" s="772">
        <v>3600</v>
      </c>
      <c r="S524" s="783">
        <v>0</v>
      </c>
      <c r="T524" s="772">
        <f>VLOOKUP($D524,PID_from_BP!$B:$I,4,0)</f>
        <v>0</v>
      </c>
      <c r="U524" s="783">
        <v>50</v>
      </c>
      <c r="V524" s="772">
        <f>VLOOKUP($D524,PID_from_BP!$B:$I,3,0)</f>
        <v>50</v>
      </c>
      <c r="W524" s="783">
        <v>0</v>
      </c>
      <c r="X524" s="772"/>
      <c r="Y524" s="783">
        <v>29.504114694291399</v>
      </c>
      <c r="Z524" s="772"/>
    </row>
    <row r="525" spans="1:26" s="753" customFormat="1">
      <c r="A525" s="756" t="s">
        <v>5790</v>
      </c>
      <c r="B525" s="757"/>
      <c r="C525" s="758"/>
      <c r="D525" s="773" t="s">
        <v>5159</v>
      </c>
      <c r="E525" s="782"/>
      <c r="F525" s="774" t="s">
        <v>5773</v>
      </c>
      <c r="G525" s="981" t="s">
        <v>11045</v>
      </c>
      <c r="H525" s="772" t="str">
        <f>VLOOKUP($D525,PID_from_BP!$B:$I,2,0)</f>
        <v>CDU HEATER HZ2101 PASS 1</v>
      </c>
      <c r="I525" s="981" t="s">
        <v>11045</v>
      </c>
      <c r="J525" s="772" t="str">
        <f>VLOOKUP($D525,PID_from_BP!$B:$I,2,0)</f>
        <v>CDU HEATER HZ2101 PASS 1</v>
      </c>
      <c r="K525" s="981" t="s">
        <v>11684</v>
      </c>
      <c r="L525" s="1064" t="str">
        <f>VLOOKUP($D525,PID_from_BP!$B:$I,5,0)</f>
        <v>M3/H</v>
      </c>
      <c r="M525" s="783">
        <v>0</v>
      </c>
      <c r="N525" s="772">
        <v>0</v>
      </c>
      <c r="O525" s="783">
        <v>1</v>
      </c>
      <c r="P525" s="772">
        <v>1</v>
      </c>
      <c r="Q525" s="783">
        <v>3600</v>
      </c>
      <c r="R525" s="772">
        <v>3600</v>
      </c>
      <c r="S525" s="783">
        <v>0</v>
      </c>
      <c r="T525" s="772">
        <f>VLOOKUP($D525,PID_from_BP!$B:$I,4,0)</f>
        <v>0</v>
      </c>
      <c r="U525" s="783">
        <v>313</v>
      </c>
      <c r="V525" s="772">
        <f>VLOOKUP($D525,PID_from_BP!$B:$I,3,0)</f>
        <v>313</v>
      </c>
      <c r="W525" s="783">
        <v>0</v>
      </c>
      <c r="X525" s="772"/>
      <c r="Y525" s="783">
        <v>146.86027692309801</v>
      </c>
      <c r="Z525" s="772"/>
    </row>
    <row r="526" spans="1:26" s="753" customFormat="1">
      <c r="A526" s="756" t="s">
        <v>5790</v>
      </c>
      <c r="B526" s="757"/>
      <c r="C526" s="758"/>
      <c r="D526" s="773" t="s">
        <v>5161</v>
      </c>
      <c r="E526" s="782"/>
      <c r="F526" s="774" t="s">
        <v>5774</v>
      </c>
      <c r="G526" s="981" t="s">
        <v>11046</v>
      </c>
      <c r="H526" s="772" t="str">
        <f>VLOOKUP($D526,PID_from_BP!$B:$I,2,0)</f>
        <v>CDU HEATER HZ2101 PASS 2</v>
      </c>
      <c r="I526" s="981" t="s">
        <v>11046</v>
      </c>
      <c r="J526" s="772" t="str">
        <f>VLOOKUP($D526,PID_from_BP!$B:$I,2,0)</f>
        <v>CDU HEATER HZ2101 PASS 2</v>
      </c>
      <c r="K526" s="981" t="s">
        <v>11684</v>
      </c>
      <c r="L526" s="1064" t="str">
        <f>VLOOKUP($D526,PID_from_BP!$B:$I,5,0)</f>
        <v>M3/H</v>
      </c>
      <c r="M526" s="783">
        <v>0</v>
      </c>
      <c r="N526" s="772">
        <v>0</v>
      </c>
      <c r="O526" s="783">
        <v>1</v>
      </c>
      <c r="P526" s="772">
        <v>1</v>
      </c>
      <c r="Q526" s="783">
        <v>3600</v>
      </c>
      <c r="R526" s="772">
        <v>3600</v>
      </c>
      <c r="S526" s="783">
        <v>0</v>
      </c>
      <c r="T526" s="772">
        <f>VLOOKUP($D526,PID_from_BP!$B:$I,4,0)</f>
        <v>0</v>
      </c>
      <c r="U526" s="783">
        <v>313</v>
      </c>
      <c r="V526" s="772">
        <f>VLOOKUP($D526,PID_from_BP!$B:$I,3,0)</f>
        <v>313</v>
      </c>
      <c r="W526" s="783">
        <v>0</v>
      </c>
      <c r="X526" s="772"/>
      <c r="Y526" s="783">
        <v>146.91722007704499</v>
      </c>
      <c r="Z526" s="772"/>
    </row>
    <row r="527" spans="1:26" s="753" customFormat="1">
      <c r="A527" s="756" t="s">
        <v>5377</v>
      </c>
      <c r="B527" s="757"/>
      <c r="C527" s="758"/>
      <c r="D527" s="773" t="s">
        <v>5163</v>
      </c>
      <c r="E527" s="782"/>
      <c r="F527" s="774" t="s">
        <v>5775</v>
      </c>
      <c r="G527" s="981" t="s">
        <v>11047</v>
      </c>
      <c r="H527" s="772" t="str">
        <f>VLOOKUP($D527,PID_from_BP!$B:$I,2,0)</f>
        <v>CDU HEATER HZ2101 PASS 3</v>
      </c>
      <c r="I527" s="981" t="s">
        <v>11047</v>
      </c>
      <c r="J527" s="772" t="str">
        <f>VLOOKUP($D527,PID_from_BP!$B:$I,2,0)</f>
        <v>CDU HEATER HZ2101 PASS 3</v>
      </c>
      <c r="K527" s="981" t="s">
        <v>11684</v>
      </c>
      <c r="L527" s="1064" t="str">
        <f>VLOOKUP($D527,PID_from_BP!$B:$I,5,0)</f>
        <v>M3/H</v>
      </c>
      <c r="M527" s="783">
        <v>0</v>
      </c>
      <c r="N527" s="772">
        <v>0</v>
      </c>
      <c r="O527" s="783">
        <v>1</v>
      </c>
      <c r="P527" s="772">
        <v>1</v>
      </c>
      <c r="Q527" s="783">
        <v>3600</v>
      </c>
      <c r="R527" s="772">
        <v>3600</v>
      </c>
      <c r="S527" s="783">
        <v>0</v>
      </c>
      <c r="T527" s="772">
        <f>VLOOKUP($D527,PID_from_BP!$B:$I,4,0)</f>
        <v>0</v>
      </c>
      <c r="U527" s="783">
        <v>313</v>
      </c>
      <c r="V527" s="772">
        <f>VLOOKUP($D527,PID_from_BP!$B:$I,3,0)</f>
        <v>313</v>
      </c>
      <c r="W527" s="783">
        <v>0</v>
      </c>
      <c r="X527" s="772"/>
      <c r="Y527" s="783">
        <v>146.917218529292</v>
      </c>
      <c r="Z527" s="772"/>
    </row>
    <row r="528" spans="1:26" s="753" customFormat="1">
      <c r="A528" s="756" t="s">
        <v>5377</v>
      </c>
      <c r="B528" s="757"/>
      <c r="C528" s="758"/>
      <c r="D528" s="773" t="s">
        <v>5165</v>
      </c>
      <c r="E528" s="782"/>
      <c r="F528" s="774" t="s">
        <v>5776</v>
      </c>
      <c r="G528" s="981" t="s">
        <v>11048</v>
      </c>
      <c r="H528" s="772" t="str">
        <f>VLOOKUP($D528,PID_from_BP!$B:$I,2,0)</f>
        <v>CDU HEATER HZ2101 PASS 4</v>
      </c>
      <c r="I528" s="981" t="s">
        <v>11048</v>
      </c>
      <c r="J528" s="772" t="str">
        <f>VLOOKUP($D528,PID_from_BP!$B:$I,2,0)</f>
        <v>CDU HEATER HZ2101 PASS 4</v>
      </c>
      <c r="K528" s="981" t="s">
        <v>11684</v>
      </c>
      <c r="L528" s="1064" t="str">
        <f>VLOOKUP($D528,PID_from_BP!$B:$I,5,0)</f>
        <v>M3/H</v>
      </c>
      <c r="M528" s="783">
        <v>0</v>
      </c>
      <c r="N528" s="772">
        <v>0</v>
      </c>
      <c r="O528" s="783">
        <v>1</v>
      </c>
      <c r="P528" s="772">
        <v>1</v>
      </c>
      <c r="Q528" s="783">
        <v>3600</v>
      </c>
      <c r="R528" s="772">
        <v>3600</v>
      </c>
      <c r="S528" s="783">
        <v>0</v>
      </c>
      <c r="T528" s="772">
        <f>VLOOKUP($D528,PID_from_BP!$B:$I,4,0)</f>
        <v>0</v>
      </c>
      <c r="U528" s="783">
        <v>313</v>
      </c>
      <c r="V528" s="772">
        <f>VLOOKUP($D528,PID_from_BP!$B:$I,3,0)</f>
        <v>313</v>
      </c>
      <c r="W528" s="783">
        <v>0</v>
      </c>
      <c r="X528" s="772"/>
      <c r="Y528" s="783">
        <v>146.91721855572399</v>
      </c>
      <c r="Z528" s="772"/>
    </row>
    <row r="529" spans="1:26" s="753" customFormat="1">
      <c r="A529" s="756" t="s">
        <v>5377</v>
      </c>
      <c r="B529" s="757"/>
      <c r="C529" s="758"/>
      <c r="D529" s="773" t="s">
        <v>5167</v>
      </c>
      <c r="E529" s="782"/>
      <c r="F529" s="774" t="s">
        <v>5777</v>
      </c>
      <c r="G529" s="981" t="s">
        <v>11049</v>
      </c>
      <c r="H529" s="772" t="str">
        <f>VLOOKUP($D529,PID_from_BP!$B:$I,2,0)</f>
        <v>CDU HEATER HZ2101 PASS 5</v>
      </c>
      <c r="I529" s="981" t="s">
        <v>11049</v>
      </c>
      <c r="J529" s="772" t="str">
        <f>VLOOKUP($D529,PID_from_BP!$B:$I,2,0)</f>
        <v>CDU HEATER HZ2101 PASS 5</v>
      </c>
      <c r="K529" s="981" t="s">
        <v>11684</v>
      </c>
      <c r="L529" s="1064" t="str">
        <f>VLOOKUP($D529,PID_from_BP!$B:$I,5,0)</f>
        <v>M3/H</v>
      </c>
      <c r="M529" s="783">
        <v>0</v>
      </c>
      <c r="N529" s="772">
        <v>0</v>
      </c>
      <c r="O529" s="783">
        <v>1</v>
      </c>
      <c r="P529" s="772">
        <v>1</v>
      </c>
      <c r="Q529" s="783">
        <v>3600</v>
      </c>
      <c r="R529" s="772">
        <v>3600</v>
      </c>
      <c r="S529" s="783">
        <v>0</v>
      </c>
      <c r="T529" s="772">
        <f>VLOOKUP($D529,PID_from_BP!$B:$I,4,0)</f>
        <v>0</v>
      </c>
      <c r="U529" s="783">
        <v>313</v>
      </c>
      <c r="V529" s="772">
        <f>VLOOKUP($D529,PID_from_BP!$B:$I,3,0)</f>
        <v>313</v>
      </c>
      <c r="W529" s="783">
        <v>0</v>
      </c>
      <c r="X529" s="772"/>
      <c r="Y529" s="783">
        <v>146.91721855799301</v>
      </c>
      <c r="Z529" s="772"/>
    </row>
    <row r="530" spans="1:26" s="753" customFormat="1">
      <c r="A530" s="756" t="s">
        <v>5377</v>
      </c>
      <c r="B530" s="757"/>
      <c r="C530" s="758"/>
      <c r="D530" s="773" t="s">
        <v>5169</v>
      </c>
      <c r="E530" s="782"/>
      <c r="F530" s="774" t="s">
        <v>5778</v>
      </c>
      <c r="G530" s="981" t="s">
        <v>11050</v>
      </c>
      <c r="H530" s="772" t="str">
        <f>VLOOKUP($D530,PID_from_BP!$B:$I,2,0)</f>
        <v>CDU HEATER HZ2101 PASS 6</v>
      </c>
      <c r="I530" s="981" t="s">
        <v>11050</v>
      </c>
      <c r="J530" s="772" t="str">
        <f>VLOOKUP($D530,PID_from_BP!$B:$I,2,0)</f>
        <v>CDU HEATER HZ2101 PASS 6</v>
      </c>
      <c r="K530" s="981" t="s">
        <v>11684</v>
      </c>
      <c r="L530" s="1064" t="str">
        <f>VLOOKUP($D530,PID_from_BP!$B:$I,5,0)</f>
        <v>M3/H</v>
      </c>
      <c r="M530" s="783">
        <v>0</v>
      </c>
      <c r="N530" s="772">
        <v>0</v>
      </c>
      <c r="O530" s="783">
        <v>1</v>
      </c>
      <c r="P530" s="772">
        <v>1</v>
      </c>
      <c r="Q530" s="783">
        <v>3600</v>
      </c>
      <c r="R530" s="772">
        <v>3600</v>
      </c>
      <c r="S530" s="783">
        <v>0</v>
      </c>
      <c r="T530" s="772">
        <f>VLOOKUP($D530,PID_from_BP!$B:$I,4,0)</f>
        <v>0</v>
      </c>
      <c r="U530" s="783">
        <v>313</v>
      </c>
      <c r="V530" s="772">
        <f>VLOOKUP($D530,PID_from_BP!$B:$I,3,0)</f>
        <v>313</v>
      </c>
      <c r="W530" s="783">
        <v>0</v>
      </c>
      <c r="X530" s="772"/>
      <c r="Y530" s="783">
        <v>146.917218529161</v>
      </c>
      <c r="Z530" s="772"/>
    </row>
    <row r="531" spans="1:26" s="753" customFormat="1">
      <c r="A531" s="756" t="s">
        <v>5377</v>
      </c>
      <c r="B531" s="757"/>
      <c r="C531" s="758"/>
      <c r="D531" s="773" t="s">
        <v>5171</v>
      </c>
      <c r="E531" s="782"/>
      <c r="F531" s="774" t="s">
        <v>5779</v>
      </c>
      <c r="G531" s="981" t="s">
        <v>11051</v>
      </c>
      <c r="H531" s="772" t="str">
        <f>VLOOKUP($D531,PID_from_BP!$B:$I,2,0)</f>
        <v>CDU HEATER HZ2101 PASS 7</v>
      </c>
      <c r="I531" s="981" t="s">
        <v>11051</v>
      </c>
      <c r="J531" s="772" t="str">
        <f>VLOOKUP($D531,PID_from_BP!$B:$I,2,0)</f>
        <v>CDU HEATER HZ2101 PASS 7</v>
      </c>
      <c r="K531" s="981" t="s">
        <v>11684</v>
      </c>
      <c r="L531" s="1064" t="str">
        <f>VLOOKUP($D531,PID_from_BP!$B:$I,5,0)</f>
        <v>M3/H</v>
      </c>
      <c r="M531" s="783">
        <v>0</v>
      </c>
      <c r="N531" s="772">
        <v>0</v>
      </c>
      <c r="O531" s="783">
        <v>1</v>
      </c>
      <c r="P531" s="772">
        <v>1</v>
      </c>
      <c r="Q531" s="783">
        <v>3600</v>
      </c>
      <c r="R531" s="772">
        <v>3600</v>
      </c>
      <c r="S531" s="783">
        <v>0</v>
      </c>
      <c r="T531" s="772">
        <f>VLOOKUP($D531,PID_from_BP!$B:$I,4,0)</f>
        <v>0</v>
      </c>
      <c r="U531" s="783">
        <v>313</v>
      </c>
      <c r="V531" s="772">
        <f>VLOOKUP($D531,PID_from_BP!$B:$I,3,0)</f>
        <v>313</v>
      </c>
      <c r="W531" s="783">
        <v>0</v>
      </c>
      <c r="X531" s="772"/>
      <c r="Y531" s="783">
        <v>146.91722025070601</v>
      </c>
      <c r="Z531" s="772"/>
    </row>
    <row r="532" spans="1:26" s="753" customFormat="1">
      <c r="A532" s="756" t="s">
        <v>5377</v>
      </c>
      <c r="B532" s="757"/>
      <c r="C532" s="758"/>
      <c r="D532" s="773" t="s">
        <v>5173</v>
      </c>
      <c r="E532" s="782"/>
      <c r="F532" s="774" t="s">
        <v>5780</v>
      </c>
      <c r="G532" s="981" t="s">
        <v>11052</v>
      </c>
      <c r="H532" s="772" t="str">
        <f>VLOOKUP($D532,PID_from_BP!$B:$I,2,0)</f>
        <v>CDU HEATER HZ2101 PASS 8</v>
      </c>
      <c r="I532" s="981" t="s">
        <v>11052</v>
      </c>
      <c r="J532" s="772" t="str">
        <f>VLOOKUP($D532,PID_from_BP!$B:$I,2,0)</f>
        <v>CDU HEATER HZ2101 PASS 8</v>
      </c>
      <c r="K532" s="981" t="s">
        <v>11684</v>
      </c>
      <c r="L532" s="1064" t="str">
        <f>VLOOKUP($D532,PID_from_BP!$B:$I,5,0)</f>
        <v>M3/H</v>
      </c>
      <c r="M532" s="783">
        <v>0</v>
      </c>
      <c r="N532" s="772">
        <v>0</v>
      </c>
      <c r="O532" s="783">
        <v>1</v>
      </c>
      <c r="P532" s="772">
        <v>1</v>
      </c>
      <c r="Q532" s="783">
        <v>3600</v>
      </c>
      <c r="R532" s="772">
        <v>3600</v>
      </c>
      <c r="S532" s="783">
        <v>0</v>
      </c>
      <c r="T532" s="772">
        <f>VLOOKUP($D532,PID_from_BP!$B:$I,4,0)</f>
        <v>0</v>
      </c>
      <c r="U532" s="783">
        <v>313</v>
      </c>
      <c r="V532" s="772">
        <f>VLOOKUP($D532,PID_from_BP!$B:$I,3,0)</f>
        <v>313</v>
      </c>
      <c r="W532" s="783">
        <v>0</v>
      </c>
      <c r="X532" s="772"/>
      <c r="Y532" s="783">
        <v>146.91722075183799</v>
      </c>
      <c r="Z532" s="772"/>
    </row>
    <row r="533" spans="1:26" s="753" customFormat="1">
      <c r="A533" s="756" t="s">
        <v>5377</v>
      </c>
      <c r="B533" s="757"/>
      <c r="C533" s="758"/>
      <c r="D533" s="773" t="s">
        <v>5124</v>
      </c>
      <c r="E533" s="782"/>
      <c r="F533" s="774" t="s">
        <v>6444</v>
      </c>
      <c r="G533" s="981" t="s">
        <v>11426</v>
      </c>
      <c r="H533" s="772" t="str">
        <f>VLOOKUP($D533,PID_from_BP!$B:$I,2,0)</f>
        <v>WATER TO CRUDE EZ2101</v>
      </c>
      <c r="I533" s="981" t="s">
        <v>11426</v>
      </c>
      <c r="J533" s="772" t="str">
        <f>VLOOKUP($D533,PID_from_BP!$B:$I,2,0)</f>
        <v>WATER TO CRUDE EZ2101</v>
      </c>
      <c r="K533" s="981" t="s">
        <v>11684</v>
      </c>
      <c r="L533" s="1064" t="str">
        <f>VLOOKUP($D533,PID_from_BP!$B:$I,5,0)</f>
        <v>M3/H</v>
      </c>
      <c r="M533" s="783">
        <v>0</v>
      </c>
      <c r="N533" s="772">
        <v>0</v>
      </c>
      <c r="O533" s="783">
        <v>1</v>
      </c>
      <c r="P533" s="772">
        <v>1</v>
      </c>
      <c r="Q533" s="783">
        <v>3600</v>
      </c>
      <c r="R533" s="772">
        <v>3600</v>
      </c>
      <c r="S533" s="783">
        <v>0</v>
      </c>
      <c r="T533" s="772">
        <f>VLOOKUP($D533,PID_from_BP!$B:$I,4,0)</f>
        <v>0</v>
      </c>
      <c r="U533" s="783">
        <v>31.6</v>
      </c>
      <c r="V533" s="772">
        <f>VLOOKUP($D533,PID_from_BP!$B:$I,3,0)</f>
        <v>31.6</v>
      </c>
      <c r="W533" s="783">
        <v>0</v>
      </c>
      <c r="X533" s="772"/>
      <c r="Y533" s="783">
        <v>0</v>
      </c>
      <c r="Z533" s="772"/>
    </row>
    <row r="534" spans="1:26" s="753" customFormat="1">
      <c r="A534" s="756" t="s">
        <v>5790</v>
      </c>
      <c r="B534" s="757"/>
      <c r="C534" s="758"/>
      <c r="D534" s="773" t="s">
        <v>9476</v>
      </c>
      <c r="E534" s="782"/>
      <c r="F534" s="774" t="s">
        <v>5924</v>
      </c>
      <c r="G534" s="981" t="s">
        <v>11427</v>
      </c>
      <c r="H534" s="772" t="str">
        <f>VLOOKUP($D534,PID_from_BP!$B:$I,2,0)</f>
        <v>SPLITTER HEATER PASS 1</v>
      </c>
      <c r="I534" s="981" t="s">
        <v>11427</v>
      </c>
      <c r="J534" s="772" t="str">
        <f>VLOOKUP($D534,PID_from_BP!$B:$I,2,0)</f>
        <v>SPLITTER HEATER PASS 1</v>
      </c>
      <c r="K534" s="981" t="s">
        <v>11684</v>
      </c>
      <c r="L534" s="1064" t="str">
        <f>VLOOKUP($D534,PID_from_BP!$B:$I,5,0)</f>
        <v>M3/H</v>
      </c>
      <c r="M534" s="783">
        <v>0</v>
      </c>
      <c r="N534" s="772">
        <v>0</v>
      </c>
      <c r="O534" s="783">
        <v>1</v>
      </c>
      <c r="P534" s="772">
        <v>1</v>
      </c>
      <c r="Q534" s="783">
        <v>3600</v>
      </c>
      <c r="R534" s="772">
        <v>3600</v>
      </c>
      <c r="S534" s="783">
        <v>0</v>
      </c>
      <c r="T534" s="772">
        <f>VLOOKUP($D534,PID_from_BP!$B:$I,4,0)</f>
        <v>0</v>
      </c>
      <c r="U534" s="783">
        <v>152</v>
      </c>
      <c r="V534" s="772">
        <f>VLOOKUP($D534,PID_from_BP!$B:$I,3,0)</f>
        <v>152</v>
      </c>
      <c r="W534" s="783">
        <v>0</v>
      </c>
      <c r="X534" s="772"/>
      <c r="Y534" s="783">
        <v>103.23854083407601</v>
      </c>
      <c r="Z534" s="772"/>
    </row>
    <row r="535" spans="1:26" s="753" customFormat="1">
      <c r="A535" s="756" t="s">
        <v>5790</v>
      </c>
      <c r="B535" s="757"/>
      <c r="C535" s="758"/>
      <c r="D535" s="773" t="s">
        <v>5303</v>
      </c>
      <c r="E535" s="782"/>
      <c r="F535" s="774" t="s">
        <v>5925</v>
      </c>
      <c r="G535" s="981" t="s">
        <v>11428</v>
      </c>
      <c r="H535" s="772" t="str">
        <f>VLOOKUP($D535,PID_from_BP!$B:$I,2,0)</f>
        <v>SPLITTER HEATER PASS 2</v>
      </c>
      <c r="I535" s="981" t="s">
        <v>11428</v>
      </c>
      <c r="J535" s="772" t="str">
        <f>VLOOKUP($D535,PID_from_BP!$B:$I,2,0)</f>
        <v>SPLITTER HEATER PASS 2</v>
      </c>
      <c r="K535" s="981" t="s">
        <v>11684</v>
      </c>
      <c r="L535" s="1064" t="str">
        <f>VLOOKUP($D535,PID_from_BP!$B:$I,5,0)</f>
        <v>M3/H</v>
      </c>
      <c r="M535" s="783">
        <v>0</v>
      </c>
      <c r="N535" s="772">
        <v>0</v>
      </c>
      <c r="O535" s="783">
        <v>1</v>
      </c>
      <c r="P535" s="772">
        <v>1</v>
      </c>
      <c r="Q535" s="783">
        <v>3600</v>
      </c>
      <c r="R535" s="772">
        <v>3600</v>
      </c>
      <c r="S535" s="783">
        <v>0</v>
      </c>
      <c r="T535" s="772">
        <f>VLOOKUP($D535,PID_from_BP!$B:$I,4,0)</f>
        <v>0</v>
      </c>
      <c r="U535" s="783">
        <v>152</v>
      </c>
      <c r="V535" s="772">
        <f>VLOOKUP($D535,PID_from_BP!$B:$I,3,0)</f>
        <v>152</v>
      </c>
      <c r="W535" s="783">
        <v>0</v>
      </c>
      <c r="X535" s="772"/>
      <c r="Y535" s="783">
        <v>103.23854082679399</v>
      </c>
      <c r="Z535" s="772"/>
    </row>
    <row r="536" spans="1:26" s="753" customFormat="1">
      <c r="A536" s="756" t="s">
        <v>5377</v>
      </c>
      <c r="B536" s="757"/>
      <c r="C536" s="758"/>
      <c r="D536" s="773" t="s">
        <v>5305</v>
      </c>
      <c r="E536" s="782"/>
      <c r="F536" s="774" t="s">
        <v>5926</v>
      </c>
      <c r="G536" s="981" t="s">
        <v>11429</v>
      </c>
      <c r="H536" s="772" t="str">
        <f>VLOOKUP($D536,PID_from_BP!$B:$I,2,0)</f>
        <v>SPLITTER HEATER PASS 3</v>
      </c>
      <c r="I536" s="981" t="s">
        <v>11429</v>
      </c>
      <c r="J536" s="772" t="str">
        <f>VLOOKUP($D536,PID_from_BP!$B:$I,2,0)</f>
        <v>SPLITTER HEATER PASS 3</v>
      </c>
      <c r="K536" s="981" t="s">
        <v>11684</v>
      </c>
      <c r="L536" s="1064" t="str">
        <f>VLOOKUP($D536,PID_from_BP!$B:$I,5,0)</f>
        <v>M3/H</v>
      </c>
      <c r="M536" s="783">
        <v>0</v>
      </c>
      <c r="N536" s="772">
        <v>0</v>
      </c>
      <c r="O536" s="783">
        <v>1</v>
      </c>
      <c r="P536" s="772">
        <v>1</v>
      </c>
      <c r="Q536" s="783">
        <v>3600</v>
      </c>
      <c r="R536" s="772">
        <v>3600</v>
      </c>
      <c r="S536" s="783">
        <v>0</v>
      </c>
      <c r="T536" s="772">
        <f>VLOOKUP($D536,PID_from_BP!$B:$I,4,0)</f>
        <v>0</v>
      </c>
      <c r="U536" s="783">
        <v>152</v>
      </c>
      <c r="V536" s="772">
        <f>VLOOKUP($D536,PID_from_BP!$B:$I,3,0)</f>
        <v>152</v>
      </c>
      <c r="W536" s="783">
        <v>0</v>
      </c>
      <c r="X536" s="772"/>
      <c r="Y536" s="783">
        <v>103.238540827273</v>
      </c>
      <c r="Z536" s="772"/>
    </row>
    <row r="537" spans="1:26" s="753" customFormat="1">
      <c r="A537" s="756" t="s">
        <v>5377</v>
      </c>
      <c r="B537" s="757"/>
      <c r="C537" s="758"/>
      <c r="D537" s="773" t="s">
        <v>5307</v>
      </c>
      <c r="E537" s="782"/>
      <c r="F537" s="774" t="s">
        <v>5927</v>
      </c>
      <c r="G537" s="981" t="s">
        <v>11430</v>
      </c>
      <c r="H537" s="772" t="str">
        <f>VLOOKUP($D537,PID_from_BP!$B:$I,2,0)</f>
        <v>SPLITTER HEATER PASS 4</v>
      </c>
      <c r="I537" s="981" t="s">
        <v>11430</v>
      </c>
      <c r="J537" s="772" t="str">
        <f>VLOOKUP($D537,PID_from_BP!$B:$I,2,0)</f>
        <v>SPLITTER HEATER PASS 4</v>
      </c>
      <c r="K537" s="981" t="s">
        <v>11684</v>
      </c>
      <c r="L537" s="1064" t="str">
        <f>VLOOKUP($D537,PID_from_BP!$B:$I,5,0)</f>
        <v>M3/H</v>
      </c>
      <c r="M537" s="783">
        <v>0</v>
      </c>
      <c r="N537" s="772">
        <v>0</v>
      </c>
      <c r="O537" s="783">
        <v>1</v>
      </c>
      <c r="P537" s="772">
        <v>1</v>
      </c>
      <c r="Q537" s="783">
        <v>3600</v>
      </c>
      <c r="R537" s="772">
        <v>3600</v>
      </c>
      <c r="S537" s="783">
        <v>0</v>
      </c>
      <c r="T537" s="772">
        <f>VLOOKUP($D537,PID_from_BP!$B:$I,4,0)</f>
        <v>0</v>
      </c>
      <c r="U537" s="783">
        <v>152</v>
      </c>
      <c r="V537" s="772">
        <f>VLOOKUP($D537,PID_from_BP!$B:$I,3,0)</f>
        <v>152</v>
      </c>
      <c r="W537" s="783">
        <v>0</v>
      </c>
      <c r="X537" s="772"/>
      <c r="Y537" s="783">
        <v>103.23854082735799</v>
      </c>
      <c r="Z537" s="772"/>
    </row>
    <row r="538" spans="1:26" s="753" customFormat="1">
      <c r="A538" s="756" t="s">
        <v>5377</v>
      </c>
      <c r="B538" s="757"/>
      <c r="C538" s="758"/>
      <c r="D538" s="773" t="s">
        <v>5309</v>
      </c>
      <c r="E538" s="782"/>
      <c r="F538" s="774" t="s">
        <v>5928</v>
      </c>
      <c r="G538" s="981" t="s">
        <v>11431</v>
      </c>
      <c r="H538" s="772" t="str">
        <f>VLOOKUP($D538,PID_from_BP!$B:$I,2,0)</f>
        <v>SPLITTER HEATER PASS 5</v>
      </c>
      <c r="I538" s="981" t="s">
        <v>11431</v>
      </c>
      <c r="J538" s="772" t="str">
        <f>VLOOKUP($D538,PID_from_BP!$B:$I,2,0)</f>
        <v>SPLITTER HEATER PASS 5</v>
      </c>
      <c r="K538" s="981" t="s">
        <v>11684</v>
      </c>
      <c r="L538" s="1064" t="str">
        <f>VLOOKUP($D538,PID_from_BP!$B:$I,5,0)</f>
        <v>M3/H</v>
      </c>
      <c r="M538" s="783">
        <v>0</v>
      </c>
      <c r="N538" s="772">
        <v>0</v>
      </c>
      <c r="O538" s="783">
        <v>1</v>
      </c>
      <c r="P538" s="772">
        <v>1</v>
      </c>
      <c r="Q538" s="783">
        <v>3600</v>
      </c>
      <c r="R538" s="772">
        <v>3600</v>
      </c>
      <c r="S538" s="783">
        <v>0</v>
      </c>
      <c r="T538" s="772">
        <f>VLOOKUP($D538,PID_from_BP!$B:$I,4,0)</f>
        <v>0</v>
      </c>
      <c r="U538" s="783">
        <v>152</v>
      </c>
      <c r="V538" s="772">
        <f>VLOOKUP($D538,PID_from_BP!$B:$I,3,0)</f>
        <v>152</v>
      </c>
      <c r="W538" s="783">
        <v>0</v>
      </c>
      <c r="X538" s="772"/>
      <c r="Y538" s="783">
        <v>103.23854083481299</v>
      </c>
      <c r="Z538" s="772"/>
    </row>
    <row r="539" spans="1:26" s="753" customFormat="1">
      <c r="A539" s="756" t="s">
        <v>5377</v>
      </c>
      <c r="B539" s="757"/>
      <c r="C539" s="758"/>
      <c r="D539" s="773" t="s">
        <v>5311</v>
      </c>
      <c r="E539" s="782"/>
      <c r="F539" s="774" t="s">
        <v>5929</v>
      </c>
      <c r="G539" s="981" t="s">
        <v>11432</v>
      </c>
      <c r="H539" s="772" t="str">
        <f>VLOOKUP($D539,PID_from_BP!$B:$I,2,0)</f>
        <v>SPLITTER HEATER PASS 6</v>
      </c>
      <c r="I539" s="981" t="s">
        <v>11432</v>
      </c>
      <c r="J539" s="772" t="str">
        <f>VLOOKUP($D539,PID_from_BP!$B:$I,2,0)</f>
        <v>SPLITTER HEATER PASS 6</v>
      </c>
      <c r="K539" s="981" t="s">
        <v>11684</v>
      </c>
      <c r="L539" s="1064" t="str">
        <f>VLOOKUP($D539,PID_from_BP!$B:$I,5,0)</f>
        <v>M3/H</v>
      </c>
      <c r="M539" s="783">
        <v>0</v>
      </c>
      <c r="N539" s="772">
        <v>0</v>
      </c>
      <c r="O539" s="783">
        <v>1</v>
      </c>
      <c r="P539" s="772">
        <v>1</v>
      </c>
      <c r="Q539" s="783">
        <v>3600</v>
      </c>
      <c r="R539" s="772">
        <v>3600</v>
      </c>
      <c r="S539" s="783">
        <v>0</v>
      </c>
      <c r="T539" s="772">
        <f>VLOOKUP($D539,PID_from_BP!$B:$I,4,0)</f>
        <v>0</v>
      </c>
      <c r="U539" s="783">
        <v>152</v>
      </c>
      <c r="V539" s="772">
        <f>VLOOKUP($D539,PID_from_BP!$B:$I,3,0)</f>
        <v>152</v>
      </c>
      <c r="W539" s="783">
        <v>0</v>
      </c>
      <c r="X539" s="772"/>
      <c r="Y539" s="783">
        <v>103.238540834592</v>
      </c>
      <c r="Z539" s="772"/>
    </row>
    <row r="540" spans="1:26" s="753" customFormat="1">
      <c r="A540" s="756" t="s">
        <v>5377</v>
      </c>
      <c r="B540" s="757"/>
      <c r="C540" s="758"/>
      <c r="D540" s="773" t="s">
        <v>5313</v>
      </c>
      <c r="E540" s="782"/>
      <c r="F540" s="774" t="s">
        <v>5930</v>
      </c>
      <c r="G540" s="981" t="s">
        <v>11433</v>
      </c>
      <c r="H540" s="772" t="str">
        <f>VLOOKUP($D540,PID_from_BP!$B:$I,2,0)</f>
        <v>SPLITTER HEATER PASS 7</v>
      </c>
      <c r="I540" s="981" t="s">
        <v>11433</v>
      </c>
      <c r="J540" s="772" t="str">
        <f>VLOOKUP($D540,PID_from_BP!$B:$I,2,0)</f>
        <v>SPLITTER HEATER PASS 7</v>
      </c>
      <c r="K540" s="981" t="s">
        <v>11684</v>
      </c>
      <c r="L540" s="1064" t="str">
        <f>VLOOKUP($D540,PID_from_BP!$B:$I,5,0)</f>
        <v>M3/H</v>
      </c>
      <c r="M540" s="783">
        <v>0</v>
      </c>
      <c r="N540" s="772">
        <v>0</v>
      </c>
      <c r="O540" s="783">
        <v>1</v>
      </c>
      <c r="P540" s="772">
        <v>1</v>
      </c>
      <c r="Q540" s="783">
        <v>3600</v>
      </c>
      <c r="R540" s="772">
        <v>3600</v>
      </c>
      <c r="S540" s="783">
        <v>0</v>
      </c>
      <c r="T540" s="772">
        <f>VLOOKUP($D540,PID_from_BP!$B:$I,4,0)</f>
        <v>0</v>
      </c>
      <c r="U540" s="783">
        <v>152</v>
      </c>
      <c r="V540" s="772">
        <f>VLOOKUP($D540,PID_from_BP!$B:$I,3,0)</f>
        <v>152</v>
      </c>
      <c r="W540" s="783">
        <v>0</v>
      </c>
      <c r="X540" s="772"/>
      <c r="Y540" s="783">
        <v>103.23854084576899</v>
      </c>
      <c r="Z540" s="772"/>
    </row>
    <row r="541" spans="1:26" s="753" customFormat="1">
      <c r="A541" s="756" t="s">
        <v>5377</v>
      </c>
      <c r="B541" s="757"/>
      <c r="C541" s="758"/>
      <c r="D541" s="773" t="s">
        <v>5315</v>
      </c>
      <c r="E541" s="782"/>
      <c r="F541" s="774" t="s">
        <v>5931</v>
      </c>
      <c r="G541" s="981" t="s">
        <v>11434</v>
      </c>
      <c r="H541" s="772" t="str">
        <f>VLOOKUP($D541,PID_from_BP!$B:$I,2,0)</f>
        <v>SPLITTER HEATER PASS 8</v>
      </c>
      <c r="I541" s="981" t="s">
        <v>11434</v>
      </c>
      <c r="J541" s="772" t="str">
        <f>VLOOKUP($D541,PID_from_BP!$B:$I,2,0)</f>
        <v>SPLITTER HEATER PASS 8</v>
      </c>
      <c r="K541" s="981" t="s">
        <v>11684</v>
      </c>
      <c r="L541" s="1064" t="str">
        <f>VLOOKUP($D541,PID_from_BP!$B:$I,5,0)</f>
        <v>M3/H</v>
      </c>
      <c r="M541" s="783">
        <v>0</v>
      </c>
      <c r="N541" s="772">
        <v>0</v>
      </c>
      <c r="O541" s="783">
        <v>1</v>
      </c>
      <c r="P541" s="772">
        <v>1</v>
      </c>
      <c r="Q541" s="783">
        <v>3600</v>
      </c>
      <c r="R541" s="772">
        <v>3600</v>
      </c>
      <c r="S541" s="783">
        <v>0</v>
      </c>
      <c r="T541" s="772">
        <f>VLOOKUP($D541,PID_from_BP!$B:$I,4,0)</f>
        <v>0</v>
      </c>
      <c r="U541" s="783">
        <v>152</v>
      </c>
      <c r="V541" s="772">
        <f>VLOOKUP($D541,PID_from_BP!$B:$I,3,0)</f>
        <v>152</v>
      </c>
      <c r="W541" s="783">
        <v>0</v>
      </c>
      <c r="X541" s="772"/>
      <c r="Y541" s="783">
        <v>103.23854084576899</v>
      </c>
      <c r="Z541" s="772"/>
    </row>
    <row r="542" spans="1:26" s="753" customFormat="1">
      <c r="A542" s="756" t="s">
        <v>5377</v>
      </c>
      <c r="B542" s="757"/>
      <c r="C542" s="758"/>
      <c r="D542" s="773" t="s">
        <v>9477</v>
      </c>
      <c r="E542" s="782"/>
      <c r="F542" s="774" t="s">
        <v>8991</v>
      </c>
      <c r="G542" s="981" t="s">
        <v>11031</v>
      </c>
      <c r="H542" s="772" t="str">
        <f>VLOOKUP($D542,PID_from_BP!$B:$I,2,0)</f>
        <v>CDU TOWER TOP PUMP AROUND</v>
      </c>
      <c r="I542" s="981" t="s">
        <v>11031</v>
      </c>
      <c r="J542" s="772" t="str">
        <f>VLOOKUP($D542,PID_from_BP!$B:$I,2,0)</f>
        <v>CDU TOWER TOP PUMP AROUND</v>
      </c>
      <c r="K542" s="981" t="s">
        <v>11684</v>
      </c>
      <c r="L542" s="1064" t="str">
        <f>VLOOKUP($D542,PID_from_BP!$B:$I,5,0)</f>
        <v>M3/H</v>
      </c>
      <c r="M542" s="783">
        <v>0</v>
      </c>
      <c r="N542" s="772">
        <v>0</v>
      </c>
      <c r="O542" s="783">
        <v>1</v>
      </c>
      <c r="P542" s="772">
        <v>1</v>
      </c>
      <c r="Q542" s="783">
        <v>1</v>
      </c>
      <c r="R542" s="772">
        <v>1</v>
      </c>
      <c r="S542" s="783">
        <v>0</v>
      </c>
      <c r="T542" s="772">
        <f>VLOOKUP($D542,PID_from_BP!$B:$I,4,0)</f>
        <v>0</v>
      </c>
      <c r="U542" s="783">
        <v>1294</v>
      </c>
      <c r="V542" s="772">
        <f>VLOOKUP($D542,PID_from_BP!$B:$I,3,0)</f>
        <v>1294</v>
      </c>
      <c r="W542" s="783">
        <v>0</v>
      </c>
      <c r="X542" s="772"/>
      <c r="Y542" s="783">
        <v>768.60709868172398</v>
      </c>
      <c r="Z542" s="772"/>
    </row>
    <row r="543" spans="1:26" s="753" customFormat="1">
      <c r="A543" s="756" t="s">
        <v>5377</v>
      </c>
      <c r="B543" s="757"/>
      <c r="C543" s="758"/>
      <c r="D543" s="773" t="s">
        <v>9072</v>
      </c>
      <c r="E543" s="782"/>
      <c r="F543" s="774" t="s">
        <v>9073</v>
      </c>
      <c r="G543" s="981" t="s">
        <v>11299</v>
      </c>
      <c r="H543" s="772" t="str">
        <f>VLOOKUP($D543,PID_from_BP!$B:$I,2,0)</f>
        <v>HGO RUNDOWN</v>
      </c>
      <c r="I543" s="981" t="s">
        <v>11299</v>
      </c>
      <c r="J543" s="772" t="str">
        <f>VLOOKUP($D543,PID_from_BP!$B:$I,2,0)</f>
        <v>HGO RUNDOWN</v>
      </c>
      <c r="K543" s="981" t="s">
        <v>11684</v>
      </c>
      <c r="L543" s="1064" t="str">
        <f>VLOOKUP($D543,PID_from_BP!$B:$I,5,0)</f>
        <v>M3/H</v>
      </c>
      <c r="M543" s="783">
        <v>0</v>
      </c>
      <c r="N543" s="772">
        <v>0</v>
      </c>
      <c r="O543" s="783">
        <v>1</v>
      </c>
      <c r="P543" s="772">
        <v>1</v>
      </c>
      <c r="Q543" s="783">
        <v>3600</v>
      </c>
      <c r="R543" s="772">
        <v>3600</v>
      </c>
      <c r="S543" s="783">
        <v>0</v>
      </c>
      <c r="T543" s="772">
        <f>VLOOKUP($D543,PID_from_BP!$B:$I,4,0)</f>
        <v>0</v>
      </c>
      <c r="U543" s="783">
        <v>171.4</v>
      </c>
      <c r="V543" s="772">
        <f>VLOOKUP($D543,PID_from_BP!$B:$I,3,0)</f>
        <v>171.4</v>
      </c>
      <c r="W543" s="783">
        <v>0</v>
      </c>
      <c r="X543" s="772"/>
      <c r="Y543" s="783">
        <v>43.199947601781702</v>
      </c>
      <c r="Z543" s="772"/>
    </row>
    <row r="544" spans="1:26" s="753" customFormat="1">
      <c r="A544" s="756" t="s">
        <v>5790</v>
      </c>
      <c r="B544" s="757"/>
      <c r="C544" s="758"/>
      <c r="D544" s="773" t="s">
        <v>9481</v>
      </c>
      <c r="E544" s="782"/>
      <c r="F544" s="774" t="s">
        <v>5871</v>
      </c>
      <c r="G544" s="981" t="s">
        <v>11435</v>
      </c>
      <c r="H544" s="772" t="str">
        <f>VLOOKUP($D544,PID_from_BP!$B:$I,2,0)</f>
        <v>TOTAL AIR TO HZ2101</v>
      </c>
      <c r="I544" s="981" t="s">
        <v>11435</v>
      </c>
      <c r="J544" s="772" t="str">
        <f>VLOOKUP($D544,PID_from_BP!$B:$I,2,0)</f>
        <v>TOTAL AIR TO HZ2101</v>
      </c>
      <c r="K544" s="981" t="s">
        <v>11685</v>
      </c>
      <c r="L544" s="1064" t="str">
        <f>VLOOKUP($D544,PID_from_BP!$B:$I,5,0)</f>
        <v>T/H</v>
      </c>
      <c r="M544" s="783">
        <v>0</v>
      </c>
      <c r="N544" s="772">
        <v>0</v>
      </c>
      <c r="O544" s="783">
        <v>1</v>
      </c>
      <c r="P544" s="772">
        <v>1</v>
      </c>
      <c r="Q544" s="783">
        <v>1</v>
      </c>
      <c r="R544" s="772">
        <v>1</v>
      </c>
      <c r="S544" s="783">
        <v>0</v>
      </c>
      <c r="T544" s="772">
        <f>VLOOKUP($D544,PID_from_BP!$B:$I,4,0)</f>
        <v>0</v>
      </c>
      <c r="U544" s="783">
        <v>300</v>
      </c>
      <c r="V544" s="772">
        <f>VLOOKUP($D544,PID_from_BP!$B:$I,3,0)</f>
        <v>300</v>
      </c>
      <c r="W544" s="783">
        <v>0</v>
      </c>
      <c r="X544" s="772"/>
      <c r="Y544" s="783">
        <v>250.44057656359999</v>
      </c>
      <c r="Z544" s="772"/>
    </row>
    <row r="545" spans="1:26" s="753" customFormat="1">
      <c r="A545" s="756" t="s">
        <v>5377</v>
      </c>
      <c r="B545" s="757"/>
      <c r="C545" s="758"/>
      <c r="D545" s="773" t="s">
        <v>9076</v>
      </c>
      <c r="E545" s="782"/>
      <c r="F545" s="774" t="s">
        <v>9075</v>
      </c>
      <c r="G545" s="981" t="s">
        <v>11296</v>
      </c>
      <c r="H545" s="772" t="str">
        <f>VLOOKUP($D545,PID_from_BP!$B:$I,2,0)</f>
        <v>LGO RUNDOWN</v>
      </c>
      <c r="I545" s="981" t="s">
        <v>11296</v>
      </c>
      <c r="J545" s="772" t="str">
        <f>VLOOKUP($D545,PID_from_BP!$B:$I,2,0)</f>
        <v>LGO RUNDOWN</v>
      </c>
      <c r="K545" s="981" t="s">
        <v>11684</v>
      </c>
      <c r="L545" s="1064" t="str">
        <f>VLOOKUP($D545,PID_from_BP!$B:$I,5,0)</f>
        <v>M3/H</v>
      </c>
      <c r="M545" s="783">
        <v>0</v>
      </c>
      <c r="N545" s="772">
        <v>0</v>
      </c>
      <c r="O545" s="783">
        <v>1</v>
      </c>
      <c r="P545" s="772">
        <v>1</v>
      </c>
      <c r="Q545" s="783">
        <v>3600</v>
      </c>
      <c r="R545" s="772">
        <v>3600</v>
      </c>
      <c r="S545" s="783">
        <v>0</v>
      </c>
      <c r="T545" s="772">
        <f>VLOOKUP($D545,PID_from_BP!$B:$I,4,0)</f>
        <v>0</v>
      </c>
      <c r="U545" s="783">
        <v>401</v>
      </c>
      <c r="V545" s="772">
        <f>VLOOKUP($D545,PID_from_BP!$B:$I,3,0)</f>
        <v>401</v>
      </c>
      <c r="W545" s="783">
        <v>0</v>
      </c>
      <c r="X545" s="772"/>
      <c r="Y545" s="783">
        <v>316.19997273944102</v>
      </c>
      <c r="Z545" s="772"/>
    </row>
    <row r="546" spans="1:26" s="753" customFormat="1">
      <c r="A546" s="756" t="s">
        <v>5377</v>
      </c>
      <c r="B546" s="757"/>
      <c r="C546" s="758"/>
      <c r="D546" s="773" t="s">
        <v>9482</v>
      </c>
      <c r="E546" s="782"/>
      <c r="F546" s="774" t="s">
        <v>6359</v>
      </c>
      <c r="G546" s="981" t="s">
        <v>11391</v>
      </c>
      <c r="H546" s="772" t="str">
        <f>VLOOKUP($D546,PID_from_BP!$B:$I,2,0)</f>
        <v>STABILISER FEED</v>
      </c>
      <c r="I546" s="981" t="s">
        <v>11391</v>
      </c>
      <c r="J546" s="772" t="str">
        <f>VLOOKUP($D546,PID_from_BP!$B:$I,2,0)</f>
        <v>STABILISER FEED</v>
      </c>
      <c r="K546" s="981" t="s">
        <v>11684</v>
      </c>
      <c r="L546" s="1064" t="str">
        <f>VLOOKUP($D546,PID_from_BP!$B:$I,5,0)</f>
        <v>M3/H</v>
      </c>
      <c r="M546" s="783">
        <v>0</v>
      </c>
      <c r="N546" s="772">
        <v>0</v>
      </c>
      <c r="O546" s="783">
        <v>1</v>
      </c>
      <c r="P546" s="772">
        <v>1</v>
      </c>
      <c r="Q546" s="783">
        <v>3600</v>
      </c>
      <c r="R546" s="772">
        <v>3600</v>
      </c>
      <c r="S546" s="783">
        <v>0</v>
      </c>
      <c r="T546" s="772">
        <f>VLOOKUP($D546,PID_from_BP!$B:$I,4,0)</f>
        <v>0</v>
      </c>
      <c r="U546" s="783">
        <v>690</v>
      </c>
      <c r="V546" s="772">
        <f>VLOOKUP($D546,PID_from_BP!$B:$I,3,0)</f>
        <v>690</v>
      </c>
      <c r="W546" s="783">
        <v>0</v>
      </c>
      <c r="X546" s="772"/>
      <c r="Y546" s="783">
        <v>579.28076682206699</v>
      </c>
      <c r="Z546" s="772"/>
    </row>
    <row r="547" spans="1:26" s="753" customFormat="1">
      <c r="A547" s="756" t="s">
        <v>5377</v>
      </c>
      <c r="B547" s="757"/>
      <c r="C547" s="758"/>
      <c r="D547" s="773" t="s">
        <v>755</v>
      </c>
      <c r="E547" s="782"/>
      <c r="F547" s="774" t="s">
        <v>6360</v>
      </c>
      <c r="G547" s="981" t="s">
        <v>11436</v>
      </c>
      <c r="H547" s="772" t="str">
        <f>VLOOKUP($D547,PID_from_BP!$B:$I,2,0)</f>
        <v>DHT HP SEPARATOR OFFGAS</v>
      </c>
      <c r="I547" s="981" t="s">
        <v>11436</v>
      </c>
      <c r="J547" s="772" t="str">
        <f>VLOOKUP($D547,PID_from_BP!$B:$I,2,0)</f>
        <v>DHT HP SEPARATOR OFFGAS</v>
      </c>
      <c r="K547" s="981" t="s">
        <v>11686</v>
      </c>
      <c r="L547" s="1064" t="str">
        <f>VLOOKUP($D547,PID_from_BP!$B:$I,5,0)</f>
        <v>NM3/H</v>
      </c>
      <c r="M547" s="783">
        <v>14</v>
      </c>
      <c r="N547" s="772">
        <v>14</v>
      </c>
      <c r="O547" s="783">
        <v>1</v>
      </c>
      <c r="P547" s="772">
        <v>1</v>
      </c>
      <c r="Q547" s="783">
        <v>3600</v>
      </c>
      <c r="R547" s="772">
        <v>3600</v>
      </c>
      <c r="S547" s="783">
        <v>0</v>
      </c>
      <c r="T547" s="772">
        <f>VLOOKUP($D547,PID_from_BP!$B:$I,4,0)</f>
        <v>0</v>
      </c>
      <c r="U547" s="783">
        <v>2500</v>
      </c>
      <c r="V547" s="772">
        <f>VLOOKUP($D547,PID_from_BP!$B:$I,3,0)</f>
        <v>2500</v>
      </c>
      <c r="W547" s="783">
        <v>0</v>
      </c>
      <c r="X547" s="772"/>
      <c r="Y547" s="783">
        <v>0</v>
      </c>
      <c r="Z547" s="772"/>
    </row>
    <row r="548" spans="1:26" s="753" customFormat="1">
      <c r="A548" s="756" t="s">
        <v>5377</v>
      </c>
      <c r="B548" s="757"/>
      <c r="C548" s="758"/>
      <c r="D548" s="773" t="s">
        <v>9021</v>
      </c>
      <c r="E548" s="782"/>
      <c r="F548" s="774" t="s">
        <v>9022</v>
      </c>
      <c r="G548" s="981" t="s">
        <v>11437</v>
      </c>
      <c r="H548" s="772" t="str">
        <f>VLOOKUP($D548,PID_from_BP!$B:$I,2,0)</f>
        <v>HCCS EX. FCCU TO PZ2151 A/S</v>
      </c>
      <c r="I548" s="981" t="s">
        <v>11437</v>
      </c>
      <c r="J548" s="772" t="str">
        <f>VLOOKUP($D548,PID_from_BP!$B:$I,2,0)</f>
        <v>HCCS EX. FCCU TO PZ2151 A/S</v>
      </c>
      <c r="K548" s="981" t="s">
        <v>11684</v>
      </c>
      <c r="L548" s="1064" t="str">
        <f>VLOOKUP($D548,PID_from_BP!$B:$I,5,0)</f>
        <v>M3/H</v>
      </c>
      <c r="M548" s="783">
        <v>0</v>
      </c>
      <c r="N548" s="772">
        <v>0</v>
      </c>
      <c r="O548" s="783">
        <v>1</v>
      </c>
      <c r="P548" s="772">
        <v>1</v>
      </c>
      <c r="Q548" s="783">
        <v>3600</v>
      </c>
      <c r="R548" s="772">
        <v>3600</v>
      </c>
      <c r="S548" s="783">
        <v>0</v>
      </c>
      <c r="T548" s="772">
        <f>VLOOKUP($D548,PID_from_BP!$B:$I,4,0)</f>
        <v>0</v>
      </c>
      <c r="U548" s="783">
        <v>139</v>
      </c>
      <c r="V548" s="772">
        <f>VLOOKUP($D548,PID_from_BP!$B:$I,3,0)</f>
        <v>139</v>
      </c>
      <c r="W548" s="783">
        <v>0</v>
      </c>
      <c r="X548" s="772"/>
      <c r="Y548" s="783">
        <v>38.944723316887902</v>
      </c>
      <c r="Z548" s="772"/>
    </row>
    <row r="549" spans="1:26" s="753" customFormat="1">
      <c r="A549" s="756" t="s">
        <v>5377</v>
      </c>
      <c r="B549" s="757"/>
      <c r="C549" s="758"/>
      <c r="D549" s="773" t="s">
        <v>9190</v>
      </c>
      <c r="E549" s="782"/>
      <c r="F549" s="774" t="s">
        <v>9189</v>
      </c>
      <c r="G549" s="981" t="s">
        <v>11438</v>
      </c>
      <c r="H549" s="772" t="str">
        <f>VLOOKUP($D549,PID_from_BP!$B:$I,2,0)</f>
        <v>WASHWATER TO EZ2151/2</v>
      </c>
      <c r="I549" s="981" t="s">
        <v>11438</v>
      </c>
      <c r="J549" s="772" t="str">
        <f>VLOOKUP($D549,PID_from_BP!$B:$I,2,0)</f>
        <v>WASHWATER TO EZ2151/2</v>
      </c>
      <c r="K549" s="981" t="s">
        <v>11684</v>
      </c>
      <c r="L549" s="1064" t="str">
        <f>VLOOKUP($D549,PID_from_BP!$B:$I,5,0)</f>
        <v>M3/H</v>
      </c>
      <c r="M549" s="783">
        <v>0</v>
      </c>
      <c r="N549" s="772">
        <v>0</v>
      </c>
      <c r="O549" s="783">
        <v>1</v>
      </c>
      <c r="P549" s="772">
        <v>1</v>
      </c>
      <c r="Q549" s="783">
        <v>3600</v>
      </c>
      <c r="R549" s="772">
        <v>3600</v>
      </c>
      <c r="S549" s="783">
        <v>0</v>
      </c>
      <c r="T549" s="772">
        <f>VLOOKUP($D549,PID_from_BP!$B:$I,4,0)</f>
        <v>0</v>
      </c>
      <c r="U549" s="783">
        <v>10</v>
      </c>
      <c r="V549" s="772">
        <f>VLOOKUP($D549,PID_from_BP!$B:$I,3,0)</f>
        <v>10</v>
      </c>
      <c r="W549" s="783">
        <v>0</v>
      </c>
      <c r="X549" s="772"/>
      <c r="Y549" s="783">
        <v>5.0999972486340104</v>
      </c>
      <c r="Z549" s="772"/>
    </row>
    <row r="550" spans="1:26" s="753" customFormat="1">
      <c r="A550" s="756" t="s">
        <v>5377</v>
      </c>
      <c r="B550" s="757"/>
      <c r="C550" s="758"/>
      <c r="D550" s="773" t="s">
        <v>5260</v>
      </c>
      <c r="E550" s="782"/>
      <c r="F550" s="774" t="s">
        <v>9292</v>
      </c>
      <c r="G550" s="981" t="s">
        <v>11439</v>
      </c>
      <c r="H550" s="772" t="str">
        <f>VLOOKUP($D550,PID_from_BP!$B:$F,2,0)</f>
        <v>IMPORT H2 TO DZ2153</v>
      </c>
      <c r="I550" s="981" t="s">
        <v>11439</v>
      </c>
      <c r="J550" s="772" t="str">
        <f>VLOOKUP($D550,PID_from_BP!$B:$F,2,0)</f>
        <v>IMPORT H2 TO DZ2153</v>
      </c>
      <c r="K550" s="981" t="s">
        <v>11686</v>
      </c>
      <c r="L550" s="1064" t="str">
        <f>VLOOKUP($D550,PID_from_BP!$B:$I,5,0)</f>
        <v>NM3/H</v>
      </c>
      <c r="M550" s="783">
        <v>14</v>
      </c>
      <c r="N550" s="772">
        <v>14</v>
      </c>
      <c r="O550" s="783">
        <v>1</v>
      </c>
      <c r="P550" s="772">
        <v>1</v>
      </c>
      <c r="Q550" s="783">
        <v>3600</v>
      </c>
      <c r="R550" s="772">
        <v>3600</v>
      </c>
      <c r="S550" s="783">
        <v>0</v>
      </c>
      <c r="T550" s="772">
        <f>VLOOKUP($D550,PID_from_BP!$B:$F,4,0)</f>
        <v>0</v>
      </c>
      <c r="U550" s="783">
        <v>8000</v>
      </c>
      <c r="V550" s="772">
        <f>VLOOKUP($D550,PID_from_BP!$B:$F,3,0)</f>
        <v>8000</v>
      </c>
      <c r="W550" s="783">
        <v>0</v>
      </c>
      <c r="X550" s="772"/>
      <c r="Y550" s="783">
        <v>6326.6791226062596</v>
      </c>
      <c r="Z550" s="772"/>
    </row>
    <row r="551" spans="1:26" s="753" customFormat="1">
      <c r="A551" s="756" t="s">
        <v>5377</v>
      </c>
      <c r="B551" s="757"/>
      <c r="C551" s="758"/>
      <c r="D551" s="773" t="s">
        <v>5262</v>
      </c>
      <c r="E551" s="782"/>
      <c r="F551" s="774" t="s">
        <v>9327</v>
      </c>
      <c r="G551" s="981" t="s">
        <v>11440</v>
      </c>
      <c r="H551" s="772" t="str">
        <f>VLOOKUP($D551,PID_from_BP!$B:$F,2,0)</f>
        <v>CRU GAS TO DZ2153</v>
      </c>
      <c r="I551" s="981" t="s">
        <v>11440</v>
      </c>
      <c r="J551" s="772" t="str">
        <f>VLOOKUP($D551,PID_from_BP!$B:$F,2,0)</f>
        <v>CRU GAS TO DZ2153</v>
      </c>
      <c r="K551" s="981" t="s">
        <v>11686</v>
      </c>
      <c r="L551" s="1064" t="str">
        <f>VLOOKUP($D551,PID_from_BP!$B:$I,5,0)</f>
        <v>NM3/H</v>
      </c>
      <c r="M551" s="783">
        <v>14</v>
      </c>
      <c r="N551" s="772">
        <v>14</v>
      </c>
      <c r="O551" s="783">
        <v>1</v>
      </c>
      <c r="P551" s="772">
        <v>1</v>
      </c>
      <c r="Q551" s="783">
        <v>3600</v>
      </c>
      <c r="R551" s="772">
        <v>3600</v>
      </c>
      <c r="S551" s="783">
        <v>0</v>
      </c>
      <c r="T551" s="772">
        <f>VLOOKUP($D551,PID_from_BP!$B:$F,4,0)</f>
        <v>0</v>
      </c>
      <c r="U551" s="783">
        <v>13750</v>
      </c>
      <c r="V551" s="772">
        <f>VLOOKUP($D551,PID_from_BP!$B:$F,3,0)</f>
        <v>13750</v>
      </c>
      <c r="W551" s="783">
        <v>0</v>
      </c>
      <c r="X551" s="772"/>
      <c r="Y551" s="783">
        <v>0</v>
      </c>
      <c r="Z551" s="772"/>
    </row>
    <row r="552" spans="1:26" s="753" customFormat="1">
      <c r="A552" s="756" t="s">
        <v>5377</v>
      </c>
      <c r="B552" s="757"/>
      <c r="C552" s="758"/>
      <c r="D552" s="773" t="s">
        <v>5372</v>
      </c>
      <c r="E552" s="782"/>
      <c r="F552" s="774" t="s">
        <v>9316</v>
      </c>
      <c r="G552" s="981" t="s">
        <v>11441</v>
      </c>
      <c r="H552" s="772" t="str">
        <f>VLOOKUP($D552,PID_from_BP!$B:$F,2,0)</f>
        <v>NS CRUDE BLENDER TK106</v>
      </c>
      <c r="I552" s="981" t="s">
        <v>11441</v>
      </c>
      <c r="J552" s="772" t="str">
        <f>VLOOKUP($D552,PID_from_BP!$B:$F,2,0)</f>
        <v>NS CRUDE BLENDER TK106</v>
      </c>
      <c r="K552" s="981" t="s">
        <v>11684</v>
      </c>
      <c r="L552" s="772" t="str">
        <f>VLOOKUP($D552,PID_from_BP!$B:$F,5,0)</f>
        <v>M3/H</v>
      </c>
      <c r="M552" s="783">
        <v>0</v>
      </c>
      <c r="N552" s="772"/>
      <c r="O552" s="783">
        <v>1</v>
      </c>
      <c r="P552" s="772">
        <v>1</v>
      </c>
      <c r="Q552" s="783">
        <v>3600</v>
      </c>
      <c r="R552" s="772">
        <v>3600</v>
      </c>
      <c r="S552" s="783">
        <v>0</v>
      </c>
      <c r="T552" s="772">
        <f>VLOOKUP($D552,PID_from_BP!$B:$F,4,0)</f>
        <v>0</v>
      </c>
      <c r="U552" s="783">
        <v>400</v>
      </c>
      <c r="V552" s="772">
        <f>VLOOKUP($D552,PID_from_BP!$B:$F,3,0)</f>
        <v>400</v>
      </c>
      <c r="W552" s="783">
        <v>0</v>
      </c>
      <c r="X552" s="772"/>
      <c r="Y552" s="783">
        <v>155.00557162193601</v>
      </c>
      <c r="Z552" s="772"/>
    </row>
    <row r="553" spans="1:26" s="753" customFormat="1">
      <c r="A553" s="756" t="s">
        <v>5377</v>
      </c>
      <c r="B553" s="757"/>
      <c r="C553" s="758"/>
      <c r="D553" s="773" t="s">
        <v>5374</v>
      </c>
      <c r="E553" s="782"/>
      <c r="F553" s="774" t="s">
        <v>9259</v>
      </c>
      <c r="G553" s="981" t="s">
        <v>11442</v>
      </c>
      <c r="H553" s="772" t="str">
        <f>VLOOKUP($D553,PID_from_BP!$B:$F,2,0)</f>
        <v>NS CRUDE BLENDER TK105</v>
      </c>
      <c r="I553" s="981" t="s">
        <v>11442</v>
      </c>
      <c r="J553" s="772" t="str">
        <f>VLOOKUP($D553,PID_from_BP!$B:$F,2,0)</f>
        <v>NS CRUDE BLENDER TK105</v>
      </c>
      <c r="K553" s="981" t="s">
        <v>11684</v>
      </c>
      <c r="L553" s="1064" t="str">
        <f>VLOOKUP($D553,PID_from_BP!$B:$F,5,0)</f>
        <v>M3/H</v>
      </c>
      <c r="M553" s="783">
        <v>0</v>
      </c>
      <c r="N553" s="772"/>
      <c r="O553" s="783">
        <v>1</v>
      </c>
      <c r="P553" s="772">
        <v>1</v>
      </c>
      <c r="Q553" s="783">
        <v>3600</v>
      </c>
      <c r="R553" s="772">
        <v>3600</v>
      </c>
      <c r="S553" s="783">
        <v>0</v>
      </c>
      <c r="T553" s="772">
        <f>VLOOKUP($D553,PID_from_BP!$B:$F,4,0)</f>
        <v>0</v>
      </c>
      <c r="U553" s="783">
        <v>400</v>
      </c>
      <c r="V553" s="772">
        <f>VLOOKUP($D553,PID_from_BP!$B:$F,3,0)</f>
        <v>400</v>
      </c>
      <c r="W553" s="783">
        <v>0</v>
      </c>
      <c r="X553" s="772"/>
      <c r="Y553" s="783">
        <v>58.701600365015203</v>
      </c>
      <c r="Z553" s="772"/>
    </row>
    <row r="554" spans="1:26" s="753" customFormat="1">
      <c r="A554" s="756" t="s">
        <v>5377</v>
      </c>
      <c r="B554" s="757"/>
      <c r="C554" s="758"/>
      <c r="D554" s="773" t="s">
        <v>5376</v>
      </c>
      <c r="E554" s="782"/>
      <c r="F554" s="774" t="s">
        <v>9228</v>
      </c>
      <c r="G554" s="981" t="s">
        <v>11443</v>
      </c>
      <c r="H554" s="772" t="str">
        <f>VLOOKUP($D554,PID_from_BP!$B:$F,2,0)</f>
        <v>NS CRUDE BLENDER TK04 TO CDU4</v>
      </c>
      <c r="I554" s="981" t="s">
        <v>11443</v>
      </c>
      <c r="J554" s="772" t="str">
        <f>VLOOKUP($D554,PID_from_BP!$B:$F,2,0)</f>
        <v>NS CRUDE BLENDER TK04 TO CDU4</v>
      </c>
      <c r="K554" s="981" t="s">
        <v>11684</v>
      </c>
      <c r="L554" s="1064" t="str">
        <f>VLOOKUP($D554,PID_from_BP!$B:$F,5,0)</f>
        <v>M3/H</v>
      </c>
      <c r="M554" s="783">
        <v>0</v>
      </c>
      <c r="N554" s="772"/>
      <c r="O554" s="783">
        <v>1</v>
      </c>
      <c r="P554" s="772">
        <v>1</v>
      </c>
      <c r="Q554" s="783">
        <v>3600</v>
      </c>
      <c r="R554" s="772">
        <v>3600</v>
      </c>
      <c r="S554" s="783">
        <v>0</v>
      </c>
      <c r="T554" s="772">
        <f>VLOOKUP($D554,PID_from_BP!$B:$F,4,0)</f>
        <v>0</v>
      </c>
      <c r="U554" s="783">
        <v>150</v>
      </c>
      <c r="V554" s="772">
        <f>VLOOKUP($D554,PID_from_BP!$B:$F,3,0)</f>
        <v>150</v>
      </c>
      <c r="W554" s="783">
        <v>0</v>
      </c>
      <c r="X554" s="772"/>
      <c r="Y554" s="783">
        <v>0</v>
      </c>
      <c r="Z554" s="772"/>
    </row>
    <row r="555" spans="1:26" s="753" customFormat="1">
      <c r="A555" s="756" t="s">
        <v>5377</v>
      </c>
      <c r="B555" s="757"/>
      <c r="C555" s="758"/>
      <c r="D555" s="773" t="s">
        <v>5264</v>
      </c>
      <c r="E555" s="782"/>
      <c r="F555" s="774" t="s">
        <v>8593</v>
      </c>
      <c r="G555" s="981" t="s">
        <v>11444</v>
      </c>
      <c r="H555" s="772" t="str">
        <f>VLOOKUP($D555,PID_from_BP!$B:$I,2,0)</f>
        <v>STABILISER REFLUX</v>
      </c>
      <c r="I555" s="981" t="s">
        <v>11444</v>
      </c>
      <c r="J555" s="772" t="str">
        <f>VLOOKUP($D555,PID_from_BP!$B:$I,2,0)</f>
        <v>STABILISER REFLUX</v>
      </c>
      <c r="K555" s="981" t="s">
        <v>11684</v>
      </c>
      <c r="L555" s="1064" t="str">
        <f>VLOOKUP($D555,PID_from_BP!$B:$F,5,0)</f>
        <v>M3/H</v>
      </c>
      <c r="M555" s="783">
        <v>0</v>
      </c>
      <c r="N555" s="772"/>
      <c r="O555" s="783">
        <v>1</v>
      </c>
      <c r="P555" s="772">
        <v>1</v>
      </c>
      <c r="Q555" s="783">
        <v>3600</v>
      </c>
      <c r="R555" s="772">
        <v>3600</v>
      </c>
      <c r="S555" s="783">
        <v>0</v>
      </c>
      <c r="T555" s="772">
        <f>VLOOKUP($D555,PID_from_BP!$B:$I,4,0)</f>
        <v>0</v>
      </c>
      <c r="U555" s="783">
        <v>222</v>
      </c>
      <c r="V555" s="772">
        <f>VLOOKUP($D555,PID_from_BP!$B:$I,3,0)</f>
        <v>222</v>
      </c>
      <c r="W555" s="783">
        <v>0</v>
      </c>
      <c r="X555" s="772"/>
      <c r="Y555" s="783">
        <v>131.27274757021101</v>
      </c>
      <c r="Z555" s="772"/>
    </row>
    <row r="556" spans="1:26" s="753" customFormat="1">
      <c r="A556" s="756" t="s">
        <v>5377</v>
      </c>
      <c r="B556" s="757"/>
      <c r="C556" s="758"/>
      <c r="D556" s="773" t="s">
        <v>5267</v>
      </c>
      <c r="E556" s="782"/>
      <c r="F556" s="774" t="s">
        <v>8594</v>
      </c>
      <c r="G556" s="981" t="s">
        <v>11363</v>
      </c>
      <c r="H556" s="772" t="str">
        <f>VLOOKUP($D556,PID_from_BP!$B:$I,2,0)</f>
        <v>DFU SPLITTER FEED</v>
      </c>
      <c r="I556" s="981" t="s">
        <v>11363</v>
      </c>
      <c r="J556" s="772" t="str">
        <f>VLOOKUP($D556,PID_from_BP!$B:$I,2,0)</f>
        <v>DFU SPLITTER FEED</v>
      </c>
      <c r="K556" s="981" t="s">
        <v>11684</v>
      </c>
      <c r="L556" s="1064" t="str">
        <f>VLOOKUP($D556,PID_from_BP!$B:$F,5,0)</f>
        <v>M3/H</v>
      </c>
      <c r="M556" s="783">
        <v>0</v>
      </c>
      <c r="N556" s="772">
        <v>0</v>
      </c>
      <c r="O556" s="783">
        <v>1</v>
      </c>
      <c r="P556" s="772">
        <v>1</v>
      </c>
      <c r="Q556" s="783">
        <v>3600</v>
      </c>
      <c r="R556" s="772">
        <v>3600</v>
      </c>
      <c r="S556" s="783">
        <v>0</v>
      </c>
      <c r="T556" s="772">
        <f>VLOOKUP($D556,PID_from_BP!$B:$I,4,0)</f>
        <v>0</v>
      </c>
      <c r="U556" s="783">
        <v>597</v>
      </c>
      <c r="V556" s="772">
        <f>VLOOKUP($D556,PID_from_BP!$B:$I,3,0)</f>
        <v>597</v>
      </c>
      <c r="W556" s="783">
        <v>0</v>
      </c>
      <c r="X556" s="772"/>
      <c r="Y556" s="783">
        <v>537.11898237900402</v>
      </c>
      <c r="Z556" s="772"/>
    </row>
    <row r="557" spans="1:26" s="753" customFormat="1">
      <c r="A557" s="756" t="s">
        <v>5377</v>
      </c>
      <c r="B557" s="757"/>
      <c r="C557" s="758"/>
      <c r="D557" s="773" t="s">
        <v>9483</v>
      </c>
      <c r="E557" s="782"/>
      <c r="F557" s="774" t="s">
        <v>8595</v>
      </c>
      <c r="G557" s="981" t="s">
        <v>11445</v>
      </c>
      <c r="H557" s="772" t="str">
        <f>VLOOKUP($D557,PID_from_BP!$B:$I,2,0)</f>
        <v>LPG R/D TO 600 UNIT</v>
      </c>
      <c r="I557" s="981" t="s">
        <v>11445</v>
      </c>
      <c r="J557" s="772" t="str">
        <f>VLOOKUP($D557,PID_from_BP!$B:$I,2,0)</f>
        <v>LPG R/D TO 600 UNIT</v>
      </c>
      <c r="K557" s="981" t="s">
        <v>11684</v>
      </c>
      <c r="L557" s="1064" t="str">
        <f>VLOOKUP($D557,PID_from_BP!$B:$F,5,0)</f>
        <v>M3/H</v>
      </c>
      <c r="M557" s="783">
        <v>0</v>
      </c>
      <c r="N557" s="772">
        <v>0</v>
      </c>
      <c r="O557" s="783">
        <v>1</v>
      </c>
      <c r="P557" s="772">
        <v>1</v>
      </c>
      <c r="Q557" s="783">
        <v>3600</v>
      </c>
      <c r="R557" s="772">
        <v>3600</v>
      </c>
      <c r="S557" s="783">
        <v>0</v>
      </c>
      <c r="T557" s="772">
        <f>VLOOKUP($D557,PID_from_BP!$B:$I,4,0)</f>
        <v>0</v>
      </c>
      <c r="U557" s="783">
        <v>43</v>
      </c>
      <c r="V557" s="772">
        <f>VLOOKUP($D557,PID_from_BP!$B:$I,3,0)</f>
        <v>43</v>
      </c>
      <c r="W557" s="783">
        <v>0</v>
      </c>
      <c r="X557" s="772"/>
      <c r="Y557" s="783">
        <v>26.952463286841098</v>
      </c>
      <c r="Z557" s="772"/>
    </row>
    <row r="558" spans="1:26" s="753" customFormat="1">
      <c r="A558" s="756" t="s">
        <v>5790</v>
      </c>
      <c r="B558" s="757"/>
      <c r="C558" s="758"/>
      <c r="D558" s="773" t="s">
        <v>9484</v>
      </c>
      <c r="E558" s="782"/>
      <c r="F558" s="774" t="s">
        <v>7944</v>
      </c>
      <c r="G558" s="981" t="s">
        <v>11446</v>
      </c>
      <c r="H558" s="772" t="str">
        <f>VLOOKUP($D558,PID_from_BP!$B:$I,2,0)</f>
        <v>DFU SPLITTER REFLUX</v>
      </c>
      <c r="I558" s="981" t="s">
        <v>11446</v>
      </c>
      <c r="J558" s="772" t="str">
        <f>VLOOKUP($D558,PID_from_BP!$B:$I,2,0)</f>
        <v>DFU SPLITTER REFLUX</v>
      </c>
      <c r="K558" s="981" t="s">
        <v>11684</v>
      </c>
      <c r="L558" s="1064" t="str">
        <f>VLOOKUP($D558,PID_from_BP!$B:$F,5,0)</f>
        <v>M3/H</v>
      </c>
      <c r="M558" s="783">
        <v>0</v>
      </c>
      <c r="N558" s="772">
        <v>0</v>
      </c>
      <c r="O558" s="783">
        <v>1</v>
      </c>
      <c r="P558" s="772">
        <v>1</v>
      </c>
      <c r="Q558" s="783">
        <v>3600</v>
      </c>
      <c r="R558" s="772">
        <v>3600</v>
      </c>
      <c r="S558" s="783">
        <v>0</v>
      </c>
      <c r="T558" s="772">
        <f>VLOOKUP($D558,PID_from_BP!$B:$I,4,0)</f>
        <v>0</v>
      </c>
      <c r="U558" s="783">
        <v>864</v>
      </c>
      <c r="V558" s="772">
        <f>VLOOKUP($D558,PID_from_BP!$B:$I,3,0)</f>
        <v>864</v>
      </c>
      <c r="W558" s="783">
        <v>0</v>
      </c>
      <c r="X558" s="772"/>
      <c r="Y558" s="783">
        <v>459.995397807362</v>
      </c>
      <c r="Z558" s="772"/>
    </row>
    <row r="559" spans="1:26" s="753" customFormat="1">
      <c r="A559" s="756" t="s">
        <v>5377</v>
      </c>
      <c r="B559" s="757"/>
      <c r="C559" s="758"/>
      <c r="D559" s="773" t="s">
        <v>9485</v>
      </c>
      <c r="E559" s="782"/>
      <c r="F559" s="774" t="s">
        <v>7945</v>
      </c>
      <c r="G559" s="981" t="s">
        <v>11447</v>
      </c>
      <c r="H559" s="772" t="str">
        <f>VLOOKUP($D559,PID_from_BP!$B:$I,2,0)</f>
        <v>SRB STRIPPER FEED</v>
      </c>
      <c r="I559" s="981" t="s">
        <v>11447</v>
      </c>
      <c r="J559" s="772" t="str">
        <f>VLOOKUP($D559,PID_from_BP!$B:$I,2,0)</f>
        <v>SRB STRIPPER FEED</v>
      </c>
      <c r="K559" s="981" t="s">
        <v>11684</v>
      </c>
      <c r="L559" s="1064" t="str">
        <f>VLOOKUP($D559,PID_from_BP!$B:$F,5,0)</f>
        <v>M3/H</v>
      </c>
      <c r="M559" s="783">
        <v>0</v>
      </c>
      <c r="N559" s="772">
        <v>0</v>
      </c>
      <c r="O559" s="783">
        <v>1</v>
      </c>
      <c r="P559" s="772">
        <v>1</v>
      </c>
      <c r="Q559" s="783">
        <v>3600</v>
      </c>
      <c r="R559" s="772">
        <v>3600</v>
      </c>
      <c r="S559" s="783">
        <v>0</v>
      </c>
      <c r="T559" s="772">
        <f>VLOOKUP($D559,PID_from_BP!$B:$I,4,0)</f>
        <v>0</v>
      </c>
      <c r="U559" s="783">
        <v>342</v>
      </c>
      <c r="V559" s="772">
        <f>VLOOKUP($D559,PID_from_BP!$B:$I,3,0)</f>
        <v>342</v>
      </c>
      <c r="W559" s="783">
        <v>0</v>
      </c>
      <c r="X559" s="772"/>
      <c r="Y559" s="783">
        <v>197.75006951304201</v>
      </c>
      <c r="Z559" s="772"/>
    </row>
    <row r="560" spans="1:26" s="753" customFormat="1">
      <c r="A560" s="756" t="s">
        <v>5377</v>
      </c>
      <c r="B560" s="757"/>
      <c r="C560" s="758"/>
      <c r="D560" s="773" t="s">
        <v>5322</v>
      </c>
      <c r="E560" s="782"/>
      <c r="F560" s="774" t="s">
        <v>7946</v>
      </c>
      <c r="G560" s="981" t="s">
        <v>11448</v>
      </c>
      <c r="H560" s="772" t="str">
        <f>VLOOKUP($D560,PID_from_BP!$B:$I,2,0)</f>
        <v>SRB STRIPPER R/D</v>
      </c>
      <c r="I560" s="981" t="s">
        <v>11448</v>
      </c>
      <c r="J560" s="772" t="str">
        <f>VLOOKUP($D560,PID_from_BP!$B:$I,2,0)</f>
        <v>SRB STRIPPER R/D</v>
      </c>
      <c r="K560" s="981" t="s">
        <v>11684</v>
      </c>
      <c r="L560" s="1064" t="str">
        <f>VLOOKUP($D560,PID_from_BP!$B:$F,5,0)</f>
        <v>M3/H</v>
      </c>
      <c r="M560" s="783">
        <v>0</v>
      </c>
      <c r="N560" s="772">
        <v>0</v>
      </c>
      <c r="O560" s="783">
        <v>1</v>
      </c>
      <c r="P560" s="772">
        <v>1</v>
      </c>
      <c r="Q560" s="783">
        <v>3600</v>
      </c>
      <c r="R560" s="772">
        <v>3600</v>
      </c>
      <c r="S560" s="783">
        <v>0</v>
      </c>
      <c r="T560" s="772">
        <f>VLOOKUP($D560,PID_from_BP!$B:$I,4,0)</f>
        <v>0</v>
      </c>
      <c r="U560" s="783">
        <v>250.1</v>
      </c>
      <c r="V560" s="772">
        <f>VLOOKUP($D560,PID_from_BP!$B:$I,3,0)</f>
        <v>250.1</v>
      </c>
      <c r="W560" s="783">
        <v>0</v>
      </c>
      <c r="X560" s="772"/>
      <c r="Y560" s="783">
        <v>131.80060345217001</v>
      </c>
      <c r="Z560" s="772"/>
    </row>
    <row r="561" spans="1:26" s="753" customFormat="1">
      <c r="A561" s="756" t="s">
        <v>5377</v>
      </c>
      <c r="B561" s="757"/>
      <c r="C561" s="758"/>
      <c r="D561" s="773" t="s">
        <v>6229</v>
      </c>
      <c r="E561" s="782"/>
      <c r="F561" s="774" t="s">
        <v>7957</v>
      </c>
      <c r="G561" s="981" t="s">
        <v>11449</v>
      </c>
      <c r="H561" s="772" t="str">
        <f>VLOOKUP($D561,PID_from_BP!$B:$I,2,0)</f>
        <v>SRG R/D</v>
      </c>
      <c r="I561" s="981" t="s">
        <v>11449</v>
      </c>
      <c r="J561" s="772" t="str">
        <f>VLOOKUP($D561,PID_from_BP!$B:$I,2,0)</f>
        <v>SRG R/D</v>
      </c>
      <c r="K561" s="981" t="s">
        <v>11684</v>
      </c>
      <c r="L561" s="1064" t="str">
        <f>VLOOKUP($D561,PID_from_BP!$B:$F,5,0)</f>
        <v>M3/H</v>
      </c>
      <c r="M561" s="783">
        <v>0</v>
      </c>
      <c r="N561" s="772">
        <v>0</v>
      </c>
      <c r="O561" s="783">
        <v>1</v>
      </c>
      <c r="P561" s="772">
        <v>1</v>
      </c>
      <c r="Q561" s="783">
        <v>3600</v>
      </c>
      <c r="R561" s="772">
        <v>3600</v>
      </c>
      <c r="S561" s="783">
        <v>0</v>
      </c>
      <c r="T561" s="772">
        <f>VLOOKUP($D561,PID_from_BP!$B:$I,4,0)</f>
        <v>0</v>
      </c>
      <c r="U561" s="783">
        <v>220</v>
      </c>
      <c r="V561" s="772">
        <f>VLOOKUP($D561,PID_from_BP!$B:$I,3,0)</f>
        <v>220</v>
      </c>
      <c r="W561" s="783">
        <v>0</v>
      </c>
      <c r="X561" s="772"/>
      <c r="Y561" s="783">
        <v>151.72699105709299</v>
      </c>
      <c r="Z561" s="772"/>
    </row>
    <row r="562" spans="1:26" s="753" customFormat="1">
      <c r="A562" s="756" t="s">
        <v>5377</v>
      </c>
      <c r="B562" s="757"/>
      <c r="C562" s="758"/>
      <c r="D562" s="773" t="s">
        <v>5352</v>
      </c>
      <c r="E562" s="782"/>
      <c r="F562" s="774" t="s">
        <v>8798</v>
      </c>
      <c r="G562" s="981" t="s">
        <v>11388</v>
      </c>
      <c r="H562" s="772" t="str">
        <f>VLOOKUP($D562,PID_from_BP!$B:$I,2,0)</f>
        <v>LEAN AMINE TO TZ2851</v>
      </c>
      <c r="I562" s="981" t="s">
        <v>11388</v>
      </c>
      <c r="J562" s="772" t="str">
        <f>VLOOKUP($D562,PID_from_BP!$B:$I,2,0)</f>
        <v>LEAN AMINE TO TZ2851</v>
      </c>
      <c r="K562" s="981" t="s">
        <v>11684</v>
      </c>
      <c r="L562" s="1064" t="str">
        <f>VLOOKUP($D562,PID_from_BP!$B:$F,5,0)</f>
        <v>M3/H</v>
      </c>
      <c r="M562" s="783">
        <v>0</v>
      </c>
      <c r="N562" s="772"/>
      <c r="O562" s="783">
        <v>1</v>
      </c>
      <c r="P562" s="772">
        <v>1</v>
      </c>
      <c r="Q562" s="783">
        <v>3600</v>
      </c>
      <c r="R562" s="772">
        <v>3600</v>
      </c>
      <c r="S562" s="783">
        <v>0</v>
      </c>
      <c r="T562" s="772">
        <f>VLOOKUP($D562,PID_from_BP!$B:$I,4,0)</f>
        <v>0</v>
      </c>
      <c r="U562" s="783">
        <v>24.21</v>
      </c>
      <c r="V562" s="772">
        <f>VLOOKUP($D562,PID_from_BP!$B:$I,3,0)</f>
        <v>24.21</v>
      </c>
      <c r="W562" s="783">
        <v>0</v>
      </c>
      <c r="X562" s="772"/>
      <c r="Y562" s="783">
        <v>18.399831634756101</v>
      </c>
      <c r="Z562" s="772"/>
    </row>
    <row r="563" spans="1:26" s="753" customFormat="1">
      <c r="A563" s="756" t="s">
        <v>5377</v>
      </c>
      <c r="B563" s="757"/>
      <c r="C563" s="758"/>
      <c r="D563" s="773" t="s">
        <v>9204</v>
      </c>
      <c r="E563" s="782"/>
      <c r="F563" s="774" t="s">
        <v>9203</v>
      </c>
      <c r="G563" s="981" t="s">
        <v>11450</v>
      </c>
      <c r="H563" s="772" t="str">
        <f>VLOOKUP($D563,PID_from_BP!$B:$I,2,0)</f>
        <v>DZ3004 TO SLOPS</v>
      </c>
      <c r="I563" s="981" t="s">
        <v>11450</v>
      </c>
      <c r="J563" s="772" t="str">
        <f>VLOOKUP($D563,PID_from_BP!$B:$I,2,0)</f>
        <v>DZ3004 TO SLOPS</v>
      </c>
      <c r="K563" s="981" t="s">
        <v>11685</v>
      </c>
      <c r="L563" s="1064" t="str">
        <f>VLOOKUP($D563,PID_from_BP!$B:$F,5,0)</f>
        <v>T/H</v>
      </c>
      <c r="M563" s="783">
        <v>8</v>
      </c>
      <c r="N563" s="772">
        <v>8</v>
      </c>
      <c r="O563" s="783">
        <v>1</v>
      </c>
      <c r="P563" s="772">
        <v>1</v>
      </c>
      <c r="Q563" s="783">
        <v>1</v>
      </c>
      <c r="R563" s="772">
        <v>1</v>
      </c>
      <c r="S563" s="783">
        <v>0</v>
      </c>
      <c r="T563" s="772">
        <f>VLOOKUP($D563,PID_from_BP!$B:$I,4,0)</f>
        <v>0</v>
      </c>
      <c r="U563" s="783">
        <v>131.25</v>
      </c>
      <c r="V563" s="772">
        <f>VLOOKUP($D563,PID_from_BP!$B:$I,3,0)</f>
        <v>131.25</v>
      </c>
      <c r="W563" s="783">
        <v>0</v>
      </c>
      <c r="X563" s="772"/>
      <c r="Y563" s="783">
        <v>0</v>
      </c>
      <c r="Z563" s="772"/>
    </row>
    <row r="564" spans="1:26" s="753" customFormat="1">
      <c r="A564" s="756" t="s">
        <v>5377</v>
      </c>
      <c r="B564" s="757"/>
      <c r="C564" s="758"/>
      <c r="D564" s="773" t="s">
        <v>8570</v>
      </c>
      <c r="E564" s="782"/>
      <c r="F564" s="774" t="s">
        <v>8571</v>
      </c>
      <c r="G564" s="981" t="s">
        <v>11451</v>
      </c>
      <c r="H564" s="772" t="str">
        <f>VLOOKUP($D564,PID_from_BP!$B:$I,2,0)</f>
        <v>KERO R/D</v>
      </c>
      <c r="I564" s="981" t="s">
        <v>11451</v>
      </c>
      <c r="J564" s="772" t="str">
        <f>VLOOKUP($D564,PID_from_BP!$B:$I,2,0)</f>
        <v>KERO R/D</v>
      </c>
      <c r="K564" s="981" t="s">
        <v>11684</v>
      </c>
      <c r="L564" s="1064" t="str">
        <f>VLOOKUP($D564,PID_from_BP!$B:$F,5,0)</f>
        <v>M3/H</v>
      </c>
      <c r="M564" s="783">
        <v>0</v>
      </c>
      <c r="N564" s="772">
        <v>0</v>
      </c>
      <c r="O564" s="783">
        <v>1</v>
      </c>
      <c r="P564" s="772">
        <v>1</v>
      </c>
      <c r="Q564" s="783">
        <v>3600</v>
      </c>
      <c r="R564" s="772">
        <v>3600</v>
      </c>
      <c r="S564" s="783">
        <v>0</v>
      </c>
      <c r="T564" s="772">
        <f>VLOOKUP($D564,PID_from_BP!$B:$I,4,0)</f>
        <v>0</v>
      </c>
      <c r="U564" s="783">
        <v>400</v>
      </c>
      <c r="V564" s="772">
        <f>VLOOKUP($D564,PID_from_BP!$B:$I,3,0)</f>
        <v>400</v>
      </c>
      <c r="W564" s="783">
        <v>0</v>
      </c>
      <c r="X564" s="772"/>
      <c r="Y564" s="783">
        <v>280.38979611821497</v>
      </c>
      <c r="Z564" s="772"/>
    </row>
    <row r="565" spans="1:26" s="753" customFormat="1">
      <c r="A565" s="756" t="s">
        <v>5377</v>
      </c>
      <c r="B565" s="757"/>
      <c r="C565" s="758"/>
      <c r="D565" s="773" t="s">
        <v>9454</v>
      </c>
      <c r="E565" s="20"/>
      <c r="F565" s="774" t="s">
        <v>9254</v>
      </c>
      <c r="G565" s="981" t="s">
        <v>11452</v>
      </c>
      <c r="H565" s="772" t="str">
        <f>VLOOKUP($D565,PID_from_BP!$B:$F,2,0)</f>
        <v>RECYCLE GAS</v>
      </c>
      <c r="I565" s="981" t="s">
        <v>11452</v>
      </c>
      <c r="J565" s="772" t="str">
        <f>VLOOKUP($D565,PID_from_BP!$B:$F,2,0)</f>
        <v>RECYCLE GAS</v>
      </c>
      <c r="K565" s="981" t="s">
        <v>11687</v>
      </c>
      <c r="L565" s="1064" t="str">
        <f>VLOOKUP($D565,PID_from_BP!$B:$F,5,0)</f>
        <v>KNM3/H</v>
      </c>
      <c r="M565" s="783">
        <v>14</v>
      </c>
      <c r="N565" s="772">
        <v>14</v>
      </c>
      <c r="O565" s="783">
        <v>1</v>
      </c>
      <c r="P565" s="772">
        <v>1</v>
      </c>
      <c r="Q565" s="783">
        <v>3.6</v>
      </c>
      <c r="R565" s="772">
        <v>3.6</v>
      </c>
      <c r="S565" s="783">
        <v>0</v>
      </c>
      <c r="T565" s="772">
        <f>VLOOKUP($D565,PID_from_BP!$B:$F,4,0)</f>
        <v>0</v>
      </c>
      <c r="U565" s="783">
        <v>87.6</v>
      </c>
      <c r="V565" s="772">
        <f>VLOOKUP($D565,PID_from_BP!$B:$F,3,0)</f>
        <v>87.6</v>
      </c>
      <c r="W565" s="783">
        <v>0</v>
      </c>
      <c r="X565" s="772"/>
      <c r="Y565" s="783">
        <v>40.755474471197999</v>
      </c>
      <c r="Z565" s="772"/>
    </row>
    <row r="566" spans="1:26" s="753" customFormat="1">
      <c r="A566" s="756" t="s">
        <v>5377</v>
      </c>
      <c r="B566" s="757"/>
      <c r="C566" s="758"/>
      <c r="D566" s="773" t="s">
        <v>9517</v>
      </c>
      <c r="E566" s="782"/>
      <c r="F566" s="774" t="s">
        <v>8691</v>
      </c>
      <c r="G566" s="981" t="s">
        <v>11086</v>
      </c>
      <c r="H566" s="772" t="str">
        <f>VLOOKUP($D566,PID_from_BP!$B:$I,2,0)</f>
        <v>AMINE GAS ABSORBER</v>
      </c>
      <c r="I566" s="981" t="s">
        <v>11086</v>
      </c>
      <c r="J566" s="772" t="str">
        <f>VLOOKUP($D566,PID_from_BP!$B:$I,2,0)</f>
        <v>AMINE GAS ABSORBER</v>
      </c>
      <c r="K566" s="981" t="s">
        <v>11673</v>
      </c>
      <c r="L566" s="1064" t="str">
        <f>VLOOKUP($D566,PID_from_BP!$B:$F,5,0)</f>
        <v>%</v>
      </c>
      <c r="M566" s="783">
        <v>0</v>
      </c>
      <c r="N566" s="772"/>
      <c r="O566" s="783">
        <v>1</v>
      </c>
      <c r="P566" s="772">
        <v>1</v>
      </c>
      <c r="Q566" s="783">
        <v>1</v>
      </c>
      <c r="R566" s="772">
        <v>1</v>
      </c>
      <c r="S566" s="783">
        <v>2.5</v>
      </c>
      <c r="T566" s="772"/>
      <c r="U566" s="783">
        <v>12.5</v>
      </c>
      <c r="V566" s="772"/>
      <c r="W566" s="783">
        <v>1</v>
      </c>
      <c r="X566" s="772"/>
      <c r="Y566" s="783">
        <v>50.000426836613599</v>
      </c>
      <c r="Z566" s="772"/>
    </row>
    <row r="567" spans="1:26" s="753" customFormat="1">
      <c r="A567" s="756" t="s">
        <v>5377</v>
      </c>
      <c r="B567" s="757"/>
      <c r="C567" s="758"/>
      <c r="D567" s="773" t="s">
        <v>5094</v>
      </c>
      <c r="E567" s="782"/>
      <c r="F567" s="774" t="s">
        <v>8793</v>
      </c>
      <c r="G567" s="981" t="s">
        <v>11453</v>
      </c>
      <c r="H567" s="772" t="str">
        <f>VLOOKUP($D567,PID_from_BP!$B:$I,2,0)</f>
        <v>HGO/LGO COND DRUM DZ2105 VAC WAT</v>
      </c>
      <c r="I567" s="981" t="s">
        <v>11453</v>
      </c>
      <c r="J567" s="772" t="str">
        <f>VLOOKUP($D567,PID_from_BP!$B:$I,2,0)</f>
        <v>HGO/LGO COND DRUM DZ2105 VAC WAT</v>
      </c>
      <c r="K567" s="981" t="s">
        <v>11673</v>
      </c>
      <c r="L567" s="1064" t="str">
        <f>VLOOKUP($D567,PID_from_BP!$B:$F,5,0)</f>
        <v>%</v>
      </c>
      <c r="M567" s="783">
        <v>0</v>
      </c>
      <c r="N567" s="772"/>
      <c r="O567" s="783">
        <v>1</v>
      </c>
      <c r="P567" s="772">
        <v>1</v>
      </c>
      <c r="Q567" s="783">
        <v>1</v>
      </c>
      <c r="R567" s="772">
        <v>1</v>
      </c>
      <c r="S567" s="783">
        <v>10</v>
      </c>
      <c r="T567" s="772"/>
      <c r="U567" s="783">
        <v>50</v>
      </c>
      <c r="V567" s="772"/>
      <c r="W567" s="783">
        <v>1</v>
      </c>
      <c r="X567" s="772"/>
      <c r="Y567" s="783">
        <v>50.039684683089597</v>
      </c>
      <c r="Z567" s="772"/>
    </row>
    <row r="568" spans="1:26" s="753" customFormat="1">
      <c r="A568" s="756" t="s">
        <v>5377</v>
      </c>
      <c r="B568" s="757"/>
      <c r="C568" s="758"/>
      <c r="D568" s="773" t="s">
        <v>9518</v>
      </c>
      <c r="E568" s="782"/>
      <c r="F568" s="774" t="s">
        <v>8755</v>
      </c>
      <c r="G568" s="981" t="s">
        <v>11454</v>
      </c>
      <c r="H568" s="772" t="str">
        <f>VLOOKUP($D568,PID_from_BP!$B:$I,2,0)</f>
        <v>HGO/LGO COND DRUM DZ2105 VAC OIL</v>
      </c>
      <c r="I568" s="981" t="s">
        <v>11454</v>
      </c>
      <c r="J568" s="772" t="str">
        <f>VLOOKUP($D568,PID_from_BP!$B:$I,2,0)</f>
        <v>HGO/LGO COND DRUM DZ2105 VAC OIL</v>
      </c>
      <c r="K568" s="981" t="s">
        <v>11673</v>
      </c>
      <c r="L568" s="1064" t="str">
        <f>VLOOKUP($D568,PID_from_BP!$B:$F,5,0)</f>
        <v>%</v>
      </c>
      <c r="M568" s="783">
        <v>0</v>
      </c>
      <c r="N568" s="772"/>
      <c r="O568" s="783">
        <v>1</v>
      </c>
      <c r="P568" s="772">
        <v>1</v>
      </c>
      <c r="Q568" s="783">
        <v>1</v>
      </c>
      <c r="R568" s="772">
        <v>1</v>
      </c>
      <c r="S568" s="783">
        <v>16</v>
      </c>
      <c r="T568" s="772"/>
      <c r="U568" s="783">
        <v>50</v>
      </c>
      <c r="V568" s="772"/>
      <c r="W568" s="783">
        <v>1</v>
      </c>
      <c r="X568" s="772"/>
      <c r="Y568" s="783">
        <v>49.989185589459602</v>
      </c>
      <c r="Z568" s="772"/>
    </row>
    <row r="569" spans="1:26" s="753" customFormat="1">
      <c r="A569" s="756" t="s">
        <v>5377</v>
      </c>
      <c r="B569" s="757"/>
      <c r="C569" s="758"/>
      <c r="D569" s="773" t="s">
        <v>9519</v>
      </c>
      <c r="E569" s="782"/>
      <c r="F569" s="774" t="s">
        <v>8547</v>
      </c>
      <c r="G569" s="981" t="s">
        <v>11455</v>
      </c>
      <c r="H569" s="772" t="str">
        <f>VLOOKUP($D569,PID_from_BP!$B:$I,2,0)</f>
        <v>INTERFACE LEVEL DZ2101C</v>
      </c>
      <c r="I569" s="981" t="s">
        <v>11455</v>
      </c>
      <c r="J569" s="772" t="str">
        <f>VLOOKUP($D569,PID_from_BP!$B:$I,2,0)</f>
        <v>INTERFACE LEVEL DZ2101C</v>
      </c>
      <c r="K569" s="981" t="s">
        <v>11673</v>
      </c>
      <c r="L569" s="1064" t="str">
        <f>VLOOKUP($D569,PID_from_BP!$B:$F,5,0)</f>
        <v>%</v>
      </c>
      <c r="M569" s="783">
        <v>0</v>
      </c>
      <c r="N569" s="772">
        <v>0</v>
      </c>
      <c r="O569" s="783">
        <v>1</v>
      </c>
      <c r="P569" s="772">
        <v>1</v>
      </c>
      <c r="Q569" s="783">
        <v>1</v>
      </c>
      <c r="R569" s="772">
        <v>1</v>
      </c>
      <c r="S569" s="783">
        <v>2</v>
      </c>
      <c r="T569" s="772"/>
      <c r="U569" s="783">
        <v>45</v>
      </c>
      <c r="V569" s="772"/>
      <c r="W569" s="783">
        <v>1</v>
      </c>
      <c r="X569" s="772"/>
      <c r="Y569" s="783">
        <v>44.984273637483099</v>
      </c>
      <c r="Z569" s="772"/>
    </row>
    <row r="570" spans="1:26" s="753" customFormat="1">
      <c r="A570" s="756" t="s">
        <v>5377</v>
      </c>
      <c r="B570" s="757"/>
      <c r="C570" s="758"/>
      <c r="D570" s="773" t="s">
        <v>9520</v>
      </c>
      <c r="E570" s="782"/>
      <c r="F570" s="774" t="s">
        <v>6365</v>
      </c>
      <c r="G570" s="981" t="s">
        <v>11456</v>
      </c>
      <c r="H570" s="772" t="str">
        <f>VLOOKUP($D570,PID_from_BP!$B:$I,2,0)</f>
        <v>DHT COMPR SUCT DRUM DZ2153</v>
      </c>
      <c r="I570" s="981" t="s">
        <v>11456</v>
      </c>
      <c r="J570" s="772" t="str">
        <f>VLOOKUP($D570,PID_from_BP!$B:$I,2,0)</f>
        <v>DHT COMPR SUCT DRUM DZ2153</v>
      </c>
      <c r="K570" s="981" t="s">
        <v>11673</v>
      </c>
      <c r="L570" s="1064" t="str">
        <f>VLOOKUP($D570,PID_from_BP!$B:$F,5,0)</f>
        <v>%</v>
      </c>
      <c r="M570" s="783">
        <v>0</v>
      </c>
      <c r="N570" s="772">
        <v>0</v>
      </c>
      <c r="O570" s="783">
        <v>1</v>
      </c>
      <c r="P570" s="772">
        <v>1</v>
      </c>
      <c r="Q570" s="783">
        <v>1</v>
      </c>
      <c r="R570" s="772">
        <v>1</v>
      </c>
      <c r="S570" s="783">
        <v>5</v>
      </c>
      <c r="T570" s="772"/>
      <c r="U570" s="783">
        <v>95</v>
      </c>
      <c r="V570" s="772"/>
      <c r="W570" s="783">
        <v>1</v>
      </c>
      <c r="X570" s="772"/>
      <c r="Y570" s="783">
        <v>9.9999909734313999</v>
      </c>
      <c r="Z570" s="772"/>
    </row>
    <row r="571" spans="1:26" s="753" customFormat="1">
      <c r="A571" s="756" t="s">
        <v>5377</v>
      </c>
      <c r="B571" s="757"/>
      <c r="C571" s="758"/>
      <c r="D571" s="773" t="s">
        <v>4954</v>
      </c>
      <c r="E571" s="782"/>
      <c r="F571" s="774" t="s">
        <v>6362</v>
      </c>
      <c r="G571" s="981" t="s">
        <v>11457</v>
      </c>
      <c r="H571" s="772" t="str">
        <f>VLOOKUP($D571,PID_from_BP!$B:$I,2,0)</f>
        <v>DHT HP WATER BOOT</v>
      </c>
      <c r="I571" s="981" t="s">
        <v>11457</v>
      </c>
      <c r="J571" s="772" t="str">
        <f>VLOOKUP($D571,PID_from_BP!$B:$I,2,0)</f>
        <v>DHT HP WATER BOOT</v>
      </c>
      <c r="K571" s="981" t="s">
        <v>11673</v>
      </c>
      <c r="L571" s="1064" t="str">
        <f>VLOOKUP($D571,PID_from_BP!$B:$F,5,0)</f>
        <v>%</v>
      </c>
      <c r="M571" s="783">
        <v>0</v>
      </c>
      <c r="N571" s="772">
        <v>0</v>
      </c>
      <c r="O571" s="783">
        <v>1</v>
      </c>
      <c r="P571" s="772">
        <v>1</v>
      </c>
      <c r="Q571" s="783">
        <v>1</v>
      </c>
      <c r="R571" s="772">
        <v>1</v>
      </c>
      <c r="S571" s="783">
        <v>0</v>
      </c>
      <c r="T571" s="1063">
        <f>VLOOKUP($D571,PID_from_BP!$B:$F,4,0)</f>
        <v>0</v>
      </c>
      <c r="U571" s="783">
        <v>100</v>
      </c>
      <c r="V571" s="1063">
        <f>VLOOKUP($D571,PID_from_BP!$B:$F,3,0)</f>
        <v>100</v>
      </c>
      <c r="W571" s="783">
        <v>0</v>
      </c>
      <c r="X571" s="772"/>
      <c r="Y571" s="783">
        <v>49.982197991457603</v>
      </c>
      <c r="Z571" s="772"/>
    </row>
    <row r="572" spans="1:26" s="753" customFormat="1">
      <c r="A572" s="756" t="s">
        <v>5377</v>
      </c>
      <c r="B572" s="757"/>
      <c r="C572" s="758"/>
      <c r="D572" s="773" t="s">
        <v>6189</v>
      </c>
      <c r="E572" s="782"/>
      <c r="F572" s="774" t="s">
        <v>7951</v>
      </c>
      <c r="G572" s="981" t="s">
        <v>11364</v>
      </c>
      <c r="H572" s="772" t="str">
        <f>VLOOKUP($D572,PID_from_BP!$B:$I,2,0)</f>
        <v>DFU SPLITTER BOTTOM</v>
      </c>
      <c r="I572" s="981" t="s">
        <v>11364</v>
      </c>
      <c r="J572" s="772" t="str">
        <f>VLOOKUP($D572,PID_from_BP!$B:$I,2,0)</f>
        <v>DFU SPLITTER BOTTOM</v>
      </c>
      <c r="K572" s="981" t="s">
        <v>11673</v>
      </c>
      <c r="L572" s="1064" t="str">
        <f>VLOOKUP($D572,PID_from_BP!$B:$F,5,0)</f>
        <v>%</v>
      </c>
      <c r="M572" s="783">
        <v>0</v>
      </c>
      <c r="N572" s="772">
        <v>0</v>
      </c>
      <c r="O572" s="783">
        <v>1</v>
      </c>
      <c r="P572" s="772">
        <v>1</v>
      </c>
      <c r="Q572" s="783">
        <v>1</v>
      </c>
      <c r="R572" s="772">
        <v>1</v>
      </c>
      <c r="S572" s="783">
        <v>4.7391508370000004</v>
      </c>
      <c r="T572" s="772"/>
      <c r="U572" s="783">
        <v>19.256143359999999</v>
      </c>
      <c r="V572" s="772"/>
      <c r="W572" s="783">
        <v>1</v>
      </c>
      <c r="X572" s="772"/>
      <c r="Y572" s="783">
        <v>49.966037771755502</v>
      </c>
      <c r="Z572" s="772"/>
    </row>
    <row r="573" spans="1:26" s="753" customFormat="1">
      <c r="A573" s="756" t="s">
        <v>5377</v>
      </c>
      <c r="B573" s="757"/>
      <c r="C573" s="758"/>
      <c r="D573" s="773" t="s">
        <v>6226</v>
      </c>
      <c r="E573" s="782"/>
      <c r="F573" s="774" t="s">
        <v>7952</v>
      </c>
      <c r="G573" s="981" t="s">
        <v>11458</v>
      </c>
      <c r="H573" s="772" t="str">
        <f>VLOOKUP($D573,PID_from_BP!$B:$I,2,0)</f>
        <v>DFU STRIPPER BOTTOM</v>
      </c>
      <c r="I573" s="981" t="s">
        <v>11458</v>
      </c>
      <c r="J573" s="772" t="str">
        <f>VLOOKUP($D573,PID_from_BP!$B:$I,2,0)</f>
        <v>DFU STRIPPER BOTTOM</v>
      </c>
      <c r="K573" s="981" t="s">
        <v>11673</v>
      </c>
      <c r="L573" s="1064" t="str">
        <f>VLOOKUP($D573,PID_from_BP!$B:$F,5,0)</f>
        <v>%</v>
      </c>
      <c r="M573" s="783">
        <v>0</v>
      </c>
      <c r="N573" s="772">
        <v>0</v>
      </c>
      <c r="O573" s="783">
        <v>1</v>
      </c>
      <c r="P573" s="772">
        <v>1</v>
      </c>
      <c r="Q573" s="783">
        <v>1</v>
      </c>
      <c r="R573" s="772">
        <v>1</v>
      </c>
      <c r="S573" s="783">
        <v>3.1413572429999999</v>
      </c>
      <c r="T573" s="772"/>
      <c r="U573" s="783">
        <v>41.419376990000004</v>
      </c>
      <c r="V573" s="772"/>
      <c r="W573" s="783">
        <v>1</v>
      </c>
      <c r="X573" s="772"/>
      <c r="Y573" s="783">
        <v>49.860784942130003</v>
      </c>
      <c r="Z573" s="772"/>
    </row>
    <row r="574" spans="1:26" s="753" customFormat="1">
      <c r="A574" s="756" t="s">
        <v>5377</v>
      </c>
      <c r="B574" s="757"/>
      <c r="C574" s="758"/>
      <c r="D574" s="773" t="s">
        <v>6228</v>
      </c>
      <c r="E574" s="782"/>
      <c r="F574" s="774" t="s">
        <v>7960</v>
      </c>
      <c r="G574" s="981" t="s">
        <v>11459</v>
      </c>
      <c r="H574" s="772" t="str">
        <f>VLOOKUP($D574,PID_from_BP!$B:$I,2,0)</f>
        <v>DFU SPLITTER OVERHEAD DRUM</v>
      </c>
      <c r="I574" s="981" t="s">
        <v>11459</v>
      </c>
      <c r="J574" s="772" t="str">
        <f>VLOOKUP($D574,PID_from_BP!$B:$I,2,0)</f>
        <v>DFU SPLITTER OVERHEAD DRUM</v>
      </c>
      <c r="K574" s="981" t="s">
        <v>11673</v>
      </c>
      <c r="L574" s="1064" t="str">
        <f>VLOOKUP($D574,PID_from_BP!$B:$F,5,0)</f>
        <v>%</v>
      </c>
      <c r="M574" s="783">
        <v>0</v>
      </c>
      <c r="N574" s="772">
        <v>0</v>
      </c>
      <c r="O574" s="783">
        <v>1</v>
      </c>
      <c r="P574" s="772">
        <v>1</v>
      </c>
      <c r="Q574" s="783">
        <v>1</v>
      </c>
      <c r="R574" s="772">
        <v>1</v>
      </c>
      <c r="S574" s="783">
        <v>0</v>
      </c>
      <c r="T574" s="1063">
        <f>VLOOKUP($D574,PID_from_BP!$B:$F,4,0)</f>
        <v>0</v>
      </c>
      <c r="U574" s="783">
        <v>100</v>
      </c>
      <c r="V574" s="1063">
        <f>VLOOKUP($D574,PID_from_BP!$B:$F,3,0)</f>
        <v>100</v>
      </c>
      <c r="W574" s="783">
        <v>1</v>
      </c>
      <c r="X574" s="772"/>
      <c r="Y574" s="783">
        <v>53.377862141615097</v>
      </c>
      <c r="Z574" s="772"/>
    </row>
    <row r="575" spans="1:26" s="753" customFormat="1">
      <c r="A575" s="756" t="s">
        <v>5377</v>
      </c>
      <c r="B575" s="757"/>
      <c r="C575" s="758"/>
      <c r="D575" s="773" t="s">
        <v>914</v>
      </c>
      <c r="E575" s="782"/>
      <c r="F575" s="774" t="s">
        <v>8721</v>
      </c>
      <c r="G575" s="981" t="s">
        <v>11460</v>
      </c>
      <c r="H575" s="772" t="str">
        <f>VLOOKUP($D575,PID_from_BP!$B:$I,2,0)</f>
        <v>DZ2851 K.O. POT</v>
      </c>
      <c r="I575" s="981" t="s">
        <v>11460</v>
      </c>
      <c r="J575" s="772" t="str">
        <f>VLOOKUP($D575,PID_from_BP!$B:$I,2,0)</f>
        <v>DZ2851 K.O. POT</v>
      </c>
      <c r="K575" s="981" t="s">
        <v>11673</v>
      </c>
      <c r="L575" s="1064" t="str">
        <f>VLOOKUP($D575,PID_from_BP!$B:$F,5,0)</f>
        <v>%</v>
      </c>
      <c r="M575" s="783">
        <v>0</v>
      </c>
      <c r="N575" s="772"/>
      <c r="O575" s="783">
        <v>1</v>
      </c>
      <c r="P575" s="772">
        <v>1</v>
      </c>
      <c r="Q575" s="783">
        <v>1</v>
      </c>
      <c r="R575" s="772">
        <v>1</v>
      </c>
      <c r="S575" s="783">
        <v>7.8</v>
      </c>
      <c r="T575" s="772"/>
      <c r="U575" s="783">
        <v>60.5</v>
      </c>
      <c r="V575" s="772"/>
      <c r="W575" s="783">
        <v>1</v>
      </c>
      <c r="X575" s="772"/>
      <c r="Y575" s="783">
        <v>0</v>
      </c>
      <c r="Z575" s="772"/>
    </row>
    <row r="576" spans="1:26" s="753" customFormat="1">
      <c r="A576" s="756" t="s">
        <v>5377</v>
      </c>
      <c r="B576" s="757"/>
      <c r="C576" s="758"/>
      <c r="D576" s="773" t="s">
        <v>9521</v>
      </c>
      <c r="E576" s="782"/>
      <c r="F576" s="774" t="s">
        <v>8526</v>
      </c>
      <c r="G576" s="981" t="s">
        <v>11461</v>
      </c>
      <c r="H576" s="772" t="str">
        <f>VLOOKUP($D576,PID_from_BP!$B:$I,2,0)</f>
        <v>A DESALTER INTERFACE</v>
      </c>
      <c r="I576" s="981" t="s">
        <v>11461</v>
      </c>
      <c r="J576" s="772" t="str">
        <f>VLOOKUP($D576,PID_from_BP!$B:$I,2,0)</f>
        <v>A DESALTER INTERFACE</v>
      </c>
      <c r="K576" s="981" t="s">
        <v>11673</v>
      </c>
      <c r="L576" s="1064" t="str">
        <f>VLOOKUP($D576,PID_from_BP!$B:$F,5,0)</f>
        <v>%</v>
      </c>
      <c r="M576" s="783">
        <v>0</v>
      </c>
      <c r="N576" s="772">
        <v>0</v>
      </c>
      <c r="O576" s="783">
        <v>1</v>
      </c>
      <c r="P576" s="772">
        <v>1</v>
      </c>
      <c r="Q576" s="783">
        <v>1</v>
      </c>
      <c r="R576" s="772">
        <v>1</v>
      </c>
      <c r="S576" s="783">
        <v>8</v>
      </c>
      <c r="T576" s="772"/>
      <c r="U576" s="783">
        <v>60</v>
      </c>
      <c r="V576" s="772"/>
      <c r="W576" s="783">
        <v>1</v>
      </c>
      <c r="X576" s="772"/>
      <c r="Y576" s="783">
        <v>59.808043250907801</v>
      </c>
      <c r="Z576" s="772"/>
    </row>
    <row r="577" spans="1:26" s="753" customFormat="1">
      <c r="A577" s="756" t="s">
        <v>5377</v>
      </c>
      <c r="B577" s="757"/>
      <c r="C577" s="758"/>
      <c r="D577" s="773" t="s">
        <v>9522</v>
      </c>
      <c r="E577" s="782"/>
      <c r="F577" s="774" t="s">
        <v>8527</v>
      </c>
      <c r="G577" s="981" t="s">
        <v>11462</v>
      </c>
      <c r="H577" s="772" t="str">
        <f>VLOOKUP($D577,PID_from_BP!$B:$I,2,0)</f>
        <v>B DESALTER INTERFACE</v>
      </c>
      <c r="I577" s="981" t="s">
        <v>11462</v>
      </c>
      <c r="J577" s="772" t="str">
        <f>VLOOKUP($D577,PID_from_BP!$B:$I,2,0)</f>
        <v>B DESALTER INTERFACE</v>
      </c>
      <c r="K577" s="981" t="s">
        <v>11673</v>
      </c>
      <c r="L577" s="1064" t="str">
        <f>VLOOKUP($D577,PID_from_BP!$B:$F,5,0)</f>
        <v>%</v>
      </c>
      <c r="M577" s="783">
        <v>0</v>
      </c>
      <c r="N577" s="772">
        <v>0</v>
      </c>
      <c r="O577" s="783">
        <v>1</v>
      </c>
      <c r="P577" s="772">
        <v>1</v>
      </c>
      <c r="Q577" s="783">
        <v>1</v>
      </c>
      <c r="R577" s="772">
        <v>1</v>
      </c>
      <c r="S577" s="783">
        <v>8</v>
      </c>
      <c r="T577" s="772"/>
      <c r="U577" s="783">
        <v>60</v>
      </c>
      <c r="V577" s="772"/>
      <c r="W577" s="783">
        <v>1</v>
      </c>
      <c r="X577" s="772"/>
      <c r="Y577" s="783">
        <v>59.812007698074197</v>
      </c>
      <c r="Z577" s="772"/>
    </row>
    <row r="578" spans="1:26" s="753" customFormat="1">
      <c r="A578" s="756" t="s">
        <v>5377</v>
      </c>
      <c r="B578" s="757"/>
      <c r="C578" s="758"/>
      <c r="D578" s="773" t="s">
        <v>9523</v>
      </c>
      <c r="E578" s="782"/>
      <c r="F578" s="774" t="s">
        <v>9199</v>
      </c>
      <c r="G578" s="981" t="s">
        <v>11463</v>
      </c>
      <c r="H578" s="772" t="str">
        <f>VLOOKUP($D578,PID_from_BP!$B:$I,2,0)</f>
        <v>LGO STRIPR. TZ2102(LVZ1019)</v>
      </c>
      <c r="I578" s="981" t="s">
        <v>11463</v>
      </c>
      <c r="J578" s="772" t="str">
        <f>VLOOKUP($D578,PID_from_BP!$B:$I,2,0)</f>
        <v>LGO STRIPR. TZ2102(LVZ1019)</v>
      </c>
      <c r="K578" s="981" t="s">
        <v>11673</v>
      </c>
      <c r="L578" s="1064" t="str">
        <f>VLOOKUP($D578,PID_from_BP!$B:$F,5,0)</f>
        <v>%</v>
      </c>
      <c r="M578" s="783">
        <v>0</v>
      </c>
      <c r="N578" s="772"/>
      <c r="O578" s="783">
        <v>1</v>
      </c>
      <c r="P578" s="772">
        <v>1</v>
      </c>
      <c r="Q578" s="783">
        <v>1</v>
      </c>
      <c r="R578" s="772">
        <v>1</v>
      </c>
      <c r="S578" s="783">
        <v>1</v>
      </c>
      <c r="T578" s="772"/>
      <c r="U578" s="783">
        <v>36</v>
      </c>
      <c r="V578" s="772"/>
      <c r="W578" s="783">
        <v>1</v>
      </c>
      <c r="X578" s="772"/>
      <c r="Y578" s="783">
        <v>49.999514341398601</v>
      </c>
      <c r="Z578" s="772"/>
    </row>
    <row r="579" spans="1:26" s="753" customFormat="1">
      <c r="A579" s="756" t="s">
        <v>5377</v>
      </c>
      <c r="B579" s="757"/>
      <c r="C579" s="758"/>
      <c r="D579" s="773" t="s">
        <v>9524</v>
      </c>
      <c r="E579" s="782"/>
      <c r="F579" s="774" t="s">
        <v>8744</v>
      </c>
      <c r="G579" s="981" t="s">
        <v>11464</v>
      </c>
      <c r="H579" s="772" t="str">
        <f>VLOOKUP($D579,PID_from_BP!$B:$I,2,0)</f>
        <v>VACUUM COND KO POT A</v>
      </c>
      <c r="I579" s="981" t="s">
        <v>11464</v>
      </c>
      <c r="J579" s="772" t="str">
        <f>VLOOKUP($D579,PID_from_BP!$B:$I,2,0)</f>
        <v>VACUUM COND KO POT A</v>
      </c>
      <c r="K579" s="981" t="s">
        <v>11673</v>
      </c>
      <c r="L579" s="1064" t="str">
        <f>VLOOKUP($D579,PID_from_BP!$B:$F,5,0)</f>
        <v>%</v>
      </c>
      <c r="M579" s="783">
        <v>0</v>
      </c>
      <c r="N579" s="772"/>
      <c r="O579" s="783">
        <v>1</v>
      </c>
      <c r="P579" s="772">
        <v>1</v>
      </c>
      <c r="Q579" s="783">
        <v>1</v>
      </c>
      <c r="R579" s="772">
        <v>1</v>
      </c>
      <c r="S579" s="783">
        <v>0</v>
      </c>
      <c r="T579" s="1063">
        <f>VLOOKUP($D579,PID_from_BP!$B:$F,4,0)</f>
        <v>0</v>
      </c>
      <c r="U579" s="981">
        <v>100</v>
      </c>
      <c r="V579" s="1063">
        <f>VLOOKUP($D579,PID_from_BP!$B:$F,3,0)</f>
        <v>100</v>
      </c>
      <c r="W579" s="783">
        <v>1</v>
      </c>
      <c r="X579" s="772"/>
      <c r="Y579" s="783">
        <v>10.039302345779101</v>
      </c>
      <c r="Z579" s="772"/>
    </row>
    <row r="580" spans="1:26" s="753" customFormat="1">
      <c r="A580" s="756" t="s">
        <v>5377</v>
      </c>
      <c r="B580" s="757"/>
      <c r="C580" s="758"/>
      <c r="D580" s="773" t="s">
        <v>9525</v>
      </c>
      <c r="E580" s="782"/>
      <c r="F580" s="774" t="s">
        <v>8761</v>
      </c>
      <c r="G580" s="981" t="s">
        <v>11465</v>
      </c>
      <c r="H580" s="772" t="str">
        <f>VLOOKUP($D580,PID_from_BP!$B:$I,2,0)</f>
        <v>VACUUM COND KO POT B</v>
      </c>
      <c r="I580" s="981" t="s">
        <v>11465</v>
      </c>
      <c r="J580" s="772" t="str">
        <f>VLOOKUP($D580,PID_from_BP!$B:$I,2,0)</f>
        <v>VACUUM COND KO POT B</v>
      </c>
      <c r="K580" s="981" t="s">
        <v>11673</v>
      </c>
      <c r="L580" s="1064" t="str">
        <f>VLOOKUP($D580,PID_from_BP!$B:$F,5,0)</f>
        <v>%</v>
      </c>
      <c r="M580" s="783">
        <v>0</v>
      </c>
      <c r="N580" s="772"/>
      <c r="O580" s="783">
        <v>1</v>
      </c>
      <c r="P580" s="772">
        <v>1</v>
      </c>
      <c r="Q580" s="783">
        <v>1</v>
      </c>
      <c r="R580" s="772">
        <v>1</v>
      </c>
      <c r="S580" s="783">
        <v>0</v>
      </c>
      <c r="T580" s="1064">
        <f>VLOOKUP($D580,PID_from_BP!$B:$F,4,0)</f>
        <v>0</v>
      </c>
      <c r="U580" s="981">
        <v>100</v>
      </c>
      <c r="V580" s="1064">
        <f>VLOOKUP($D580,PID_from_BP!$B:$F,3,0)</f>
        <v>100</v>
      </c>
      <c r="W580" s="783">
        <v>1</v>
      </c>
      <c r="X580" s="772"/>
      <c r="Y580" s="783">
        <v>9.9999071539715203</v>
      </c>
      <c r="Z580" s="772"/>
    </row>
    <row r="581" spans="1:26" s="753" customFormat="1">
      <c r="A581" s="756" t="s">
        <v>5377</v>
      </c>
      <c r="B581" s="757"/>
      <c r="C581" s="758"/>
      <c r="D581" s="773" t="s">
        <v>9527</v>
      </c>
      <c r="E581" s="782"/>
      <c r="F581" s="774" t="s">
        <v>9211</v>
      </c>
      <c r="G581" s="981" t="s">
        <v>11466</v>
      </c>
      <c r="H581" s="772" t="str">
        <f>VLOOKUP($D581,PID_from_BP!$B:$I,2,0)</f>
        <v>WASTE HEAT BOILER EZ2128</v>
      </c>
      <c r="I581" s="981" t="s">
        <v>11466</v>
      </c>
      <c r="J581" s="772" t="str">
        <f>VLOOKUP($D581,PID_from_BP!$B:$I,2,0)</f>
        <v>WASTE HEAT BOILER EZ2128</v>
      </c>
      <c r="K581" s="981" t="s">
        <v>11673</v>
      </c>
      <c r="L581" s="1064" t="str">
        <f>VLOOKUP($D581,PID_from_BP!$B:$F,5,0)</f>
        <v>%</v>
      </c>
      <c r="M581" s="783">
        <v>0</v>
      </c>
      <c r="N581" s="772"/>
      <c r="O581" s="783">
        <v>1</v>
      </c>
      <c r="P581" s="772">
        <v>1</v>
      </c>
      <c r="Q581" s="783">
        <v>1</v>
      </c>
      <c r="R581" s="772">
        <v>1</v>
      </c>
      <c r="S581" s="783">
        <v>1</v>
      </c>
      <c r="T581" s="772"/>
      <c r="U581" s="783">
        <v>99</v>
      </c>
      <c r="V581" s="772"/>
      <c r="W581" s="783">
        <v>1</v>
      </c>
      <c r="X581" s="772"/>
      <c r="Y581" s="783">
        <v>71.995200122013003</v>
      </c>
      <c r="Z581" s="772"/>
    </row>
    <row r="582" spans="1:26" s="753" customFormat="1">
      <c r="A582" s="756" t="s">
        <v>5377</v>
      </c>
      <c r="B582" s="757"/>
      <c r="C582" s="758"/>
      <c r="D582" s="773" t="s">
        <v>9528</v>
      </c>
      <c r="E582" s="782"/>
      <c r="F582" s="774" t="s">
        <v>9209</v>
      </c>
      <c r="G582" s="981" t="s">
        <v>11467</v>
      </c>
      <c r="H582" s="772" t="str">
        <f>VLOOKUP($D582,PID_from_BP!$B:$I,2,0)</f>
        <v>TAILGAS KO</v>
      </c>
      <c r="I582" s="981" t="s">
        <v>11467</v>
      </c>
      <c r="J582" s="772" t="str">
        <f>VLOOKUP($D582,PID_from_BP!$B:$I,2,0)</f>
        <v>TAILGAS KO</v>
      </c>
      <c r="K582" s="981" t="s">
        <v>11673</v>
      </c>
      <c r="L582" s="1064" t="str">
        <f>VLOOKUP($D582,PID_from_BP!$B:$F,5,0)</f>
        <v>%</v>
      </c>
      <c r="M582" s="783">
        <v>0</v>
      </c>
      <c r="N582" s="772"/>
      <c r="O582" s="783">
        <v>1</v>
      </c>
      <c r="P582" s="772">
        <v>1</v>
      </c>
      <c r="Q582" s="783">
        <v>1</v>
      </c>
      <c r="R582" s="772">
        <v>1</v>
      </c>
      <c r="S582" s="783">
        <v>0</v>
      </c>
      <c r="T582" s="1064">
        <f>VLOOKUP($D582,PID_from_BP!$B:$F,4,0)</f>
        <v>0</v>
      </c>
      <c r="U582" s="783">
        <v>100</v>
      </c>
      <c r="V582" s="1064">
        <f>VLOOKUP($D582,PID_from_BP!$B:$F,3,0)</f>
        <v>100</v>
      </c>
      <c r="W582" s="783">
        <v>1</v>
      </c>
      <c r="X582" s="772"/>
      <c r="Y582" s="783">
        <v>2.46869838481543</v>
      </c>
      <c r="Z582" s="772"/>
    </row>
    <row r="583" spans="1:26" s="753" customFormat="1">
      <c r="A583" s="756" t="s">
        <v>5377</v>
      </c>
      <c r="B583" s="757"/>
      <c r="C583" s="758"/>
      <c r="D583" s="773" t="s">
        <v>9529</v>
      </c>
      <c r="E583" s="782"/>
      <c r="F583" s="774" t="s">
        <v>6367</v>
      </c>
      <c r="G583" s="981" t="s">
        <v>11162</v>
      </c>
      <c r="H583" s="772" t="str">
        <f>VLOOKUP($D583,PID_from_BP!$B:$I,2,0)</f>
        <v>DHT LP SEPARATOR</v>
      </c>
      <c r="I583" s="981" t="s">
        <v>11162</v>
      </c>
      <c r="J583" s="772" t="str">
        <f>VLOOKUP($D583,PID_from_BP!$B:$I,2,0)</f>
        <v>DHT LP SEPARATOR</v>
      </c>
      <c r="K583" s="981" t="s">
        <v>11673</v>
      </c>
      <c r="L583" s="1064" t="str">
        <f>VLOOKUP($D583,PID_from_BP!$B:$F,5,0)</f>
        <v>%</v>
      </c>
      <c r="M583" s="783">
        <v>0</v>
      </c>
      <c r="N583" s="772">
        <v>0</v>
      </c>
      <c r="O583" s="783">
        <v>1</v>
      </c>
      <c r="P583" s="772">
        <v>1</v>
      </c>
      <c r="Q583" s="783">
        <v>1</v>
      </c>
      <c r="R583" s="772">
        <v>1</v>
      </c>
      <c r="S583" s="783">
        <v>30.33</v>
      </c>
      <c r="T583" s="772"/>
      <c r="U583" s="783">
        <v>95</v>
      </c>
      <c r="V583" s="772"/>
      <c r="W583" s="783">
        <v>1</v>
      </c>
      <c r="X583" s="772"/>
      <c r="Y583" s="783">
        <v>49.834562372310401</v>
      </c>
      <c r="Z583" s="772"/>
    </row>
    <row r="584" spans="1:26" s="753" customFormat="1">
      <c r="A584" s="756" t="s">
        <v>5377</v>
      </c>
      <c r="B584" s="757"/>
      <c r="C584" s="758"/>
      <c r="D584" s="773" t="s">
        <v>9530</v>
      </c>
      <c r="E584" s="782"/>
      <c r="F584" s="774" t="s">
        <v>6363</v>
      </c>
      <c r="G584" s="981" t="s">
        <v>11100</v>
      </c>
      <c r="H584" s="772" t="str">
        <f>VLOOKUP($D584,PID_from_BP!$B:$I,2,0)</f>
        <v>DHT HP SEPARATOR</v>
      </c>
      <c r="I584" s="981" t="s">
        <v>11100</v>
      </c>
      <c r="J584" s="772" t="str">
        <f>VLOOKUP($D584,PID_from_BP!$B:$I,2,0)</f>
        <v>DHT HP SEPARATOR</v>
      </c>
      <c r="K584" s="981" t="s">
        <v>11673</v>
      </c>
      <c r="L584" s="1064" t="str">
        <f>VLOOKUP($D584,PID_from_BP!$B:$F,5,0)</f>
        <v>%</v>
      </c>
      <c r="M584" s="783">
        <v>0</v>
      </c>
      <c r="N584" s="772">
        <v>0</v>
      </c>
      <c r="O584" s="783">
        <v>1</v>
      </c>
      <c r="P584" s="772">
        <v>1</v>
      </c>
      <c r="Q584" s="783">
        <v>1</v>
      </c>
      <c r="R584" s="772">
        <v>1</v>
      </c>
      <c r="S584" s="783">
        <v>0</v>
      </c>
      <c r="T584" s="1064">
        <f>VLOOKUP($D584,PID_from_BP!$B:$F,4,0)</f>
        <v>0</v>
      </c>
      <c r="U584" s="783">
        <v>100</v>
      </c>
      <c r="V584" s="1064">
        <f>VLOOKUP($D584,PID_from_BP!$B:$F,3,0)</f>
        <v>100</v>
      </c>
      <c r="W584" s="783">
        <v>0</v>
      </c>
      <c r="X584" s="772"/>
      <c r="Y584" s="783">
        <v>49.9611740622789</v>
      </c>
      <c r="Z584" s="772"/>
    </row>
    <row r="585" spans="1:26" s="753" customFormat="1">
      <c r="A585" s="756" t="s">
        <v>5377</v>
      </c>
      <c r="B585" s="757"/>
      <c r="C585" s="758"/>
      <c r="D585" s="773" t="s">
        <v>9532</v>
      </c>
      <c r="E585" s="782"/>
      <c r="F585" s="774" t="s">
        <v>8596</v>
      </c>
      <c r="G585" s="981" t="s">
        <v>11359</v>
      </c>
      <c r="H585" s="772" t="str">
        <f>VLOOKUP($D585,PID_from_BP!$B:$I,2,0)</f>
        <v>DFU STABILISER BOTTOM</v>
      </c>
      <c r="I585" s="981" t="s">
        <v>11359</v>
      </c>
      <c r="J585" s="772" t="str">
        <f>VLOOKUP($D585,PID_from_BP!$B:$I,2,0)</f>
        <v>DFU STABILISER BOTTOM</v>
      </c>
      <c r="K585" s="981" t="s">
        <v>11673</v>
      </c>
      <c r="L585" s="1064" t="str">
        <f>VLOOKUP($D585,PID_from_BP!$B:$F,5,0)</f>
        <v>%</v>
      </c>
      <c r="M585" s="783">
        <v>0</v>
      </c>
      <c r="N585" s="772">
        <v>0</v>
      </c>
      <c r="O585" s="783">
        <v>1</v>
      </c>
      <c r="P585" s="772">
        <v>1</v>
      </c>
      <c r="Q585" s="783">
        <v>1</v>
      </c>
      <c r="R585" s="772">
        <v>1</v>
      </c>
      <c r="S585" s="783">
        <v>10.6467931747903</v>
      </c>
      <c r="T585" s="772"/>
      <c r="U585" s="783">
        <v>39.089675424351</v>
      </c>
      <c r="V585" s="772"/>
      <c r="W585" s="783">
        <v>1</v>
      </c>
      <c r="X585" s="772"/>
      <c r="Y585" s="783">
        <v>49.934192009731099</v>
      </c>
      <c r="Z585" s="772"/>
    </row>
    <row r="586" spans="1:26" s="753" customFormat="1">
      <c r="A586" s="756" t="s">
        <v>5377</v>
      </c>
      <c r="B586" s="757"/>
      <c r="C586" s="758"/>
      <c r="D586" s="773" t="s">
        <v>5274</v>
      </c>
      <c r="E586" s="782"/>
      <c r="F586" s="774" t="s">
        <v>8782</v>
      </c>
      <c r="G586" s="981" t="s">
        <v>11361</v>
      </c>
      <c r="H586" s="772" t="str">
        <f>VLOOKUP($D586,PID_from_BP!$B:$I,2,0)</f>
        <v>DFU STABILISER OVERHEAD DRUM</v>
      </c>
      <c r="I586" s="981" t="s">
        <v>11361</v>
      </c>
      <c r="J586" s="772" t="str">
        <f>VLOOKUP($D586,PID_from_BP!$B:$I,2,0)</f>
        <v>DFU STABILISER OVERHEAD DRUM</v>
      </c>
      <c r="K586" s="981" t="s">
        <v>11678</v>
      </c>
      <c r="L586" s="1064" t="str">
        <f>VLOOKUP($D586,PID_from_BP!$B:$F,5,0)</f>
        <v>PCT</v>
      </c>
      <c r="M586" s="783">
        <v>0</v>
      </c>
      <c r="N586" s="772"/>
      <c r="O586" s="783">
        <v>1</v>
      </c>
      <c r="P586" s="772">
        <v>1</v>
      </c>
      <c r="Q586" s="783">
        <v>1</v>
      </c>
      <c r="R586" s="772">
        <v>1</v>
      </c>
      <c r="S586" s="783">
        <v>235.5</v>
      </c>
      <c r="T586" s="772"/>
      <c r="U586" s="783">
        <v>1487</v>
      </c>
      <c r="V586" s="772"/>
      <c r="W586" s="783">
        <v>1</v>
      </c>
      <c r="X586" s="772"/>
      <c r="Y586" s="783">
        <v>50.2389517718589</v>
      </c>
      <c r="Z586" s="772"/>
    </row>
    <row r="587" spans="1:26" s="753" customFormat="1">
      <c r="A587" s="756" t="s">
        <v>5377</v>
      </c>
      <c r="B587" s="757"/>
      <c r="C587" s="758"/>
      <c r="D587" s="773" t="s">
        <v>9568</v>
      </c>
      <c r="E587" s="782"/>
      <c r="F587" s="774" t="s">
        <v>9321</v>
      </c>
      <c r="G587" s="981" t="s">
        <v>11468</v>
      </c>
      <c r="H587" s="772" t="str">
        <f>VLOOKUP($D587,PID_from_BP!$B:$F,2,0)</f>
        <v>DESALTER</v>
      </c>
      <c r="I587" s="981" t="s">
        <v>11468</v>
      </c>
      <c r="J587" s="772" t="str">
        <f>VLOOKUP($D587,PID_from_BP!$B:$F,2,0)</f>
        <v>DESALTER</v>
      </c>
      <c r="K587" s="981" t="s">
        <v>11689</v>
      </c>
      <c r="L587" s="1064" t="str">
        <f>VLOOKUP($D587,PID_from_BP!$B:$F,5,0)</f>
        <v>BARG</v>
      </c>
      <c r="M587" s="783">
        <v>2</v>
      </c>
      <c r="N587" s="772">
        <v>2</v>
      </c>
      <c r="O587" s="783">
        <v>1</v>
      </c>
      <c r="P587" s="772">
        <v>1</v>
      </c>
      <c r="Q587" s="783">
        <v>1</v>
      </c>
      <c r="R587" s="772">
        <v>1</v>
      </c>
      <c r="S587" s="783">
        <v>0</v>
      </c>
      <c r="T587" s="772">
        <f>VLOOKUP($D587,PID_from_BP!$B:$F,4,0)</f>
        <v>0</v>
      </c>
      <c r="U587" s="783">
        <v>16</v>
      </c>
      <c r="V587" s="772">
        <f>VLOOKUP($D587,PID_from_BP!$B:$F,3,0)</f>
        <v>16</v>
      </c>
      <c r="W587" s="783">
        <v>0</v>
      </c>
      <c r="X587" s="772"/>
      <c r="Y587" s="783">
        <v>8.5723375519020593</v>
      </c>
      <c r="Z587" s="772"/>
    </row>
    <row r="588" spans="1:26" s="753" customFormat="1">
      <c r="A588" s="756" t="s">
        <v>5377</v>
      </c>
      <c r="B588" s="757"/>
      <c r="C588" s="758"/>
      <c r="D588" s="773" t="s">
        <v>9213</v>
      </c>
      <c r="E588" s="782"/>
      <c r="F588" s="774" t="s">
        <v>9212</v>
      </c>
      <c r="G588" s="981" t="s">
        <v>11469</v>
      </c>
      <c r="H588" s="772" t="str">
        <f>VLOOKUP($D588,PID_from_BP!$B:$I,2,0)</f>
        <v>DESALTER EFFLUENCE BACK PRESSURE</v>
      </c>
      <c r="I588" s="981" t="s">
        <v>11469</v>
      </c>
      <c r="J588" s="772" t="str">
        <f>VLOOKUP($D588,PID_from_BP!$B:$I,2,0)</f>
        <v>DESALTER EFFLUENCE BACK PRESSURE</v>
      </c>
      <c r="K588" s="981" t="s">
        <v>11680</v>
      </c>
      <c r="L588" s="1064" t="str">
        <f>VLOOKUP($D588,PID_from_BP!$B:$F,5,0)</f>
        <v>BAR</v>
      </c>
      <c r="M588" s="783">
        <v>2</v>
      </c>
      <c r="N588" s="772">
        <v>2</v>
      </c>
      <c r="O588" s="783">
        <v>1</v>
      </c>
      <c r="P588" s="772">
        <v>1</v>
      </c>
      <c r="Q588" s="783">
        <v>1</v>
      </c>
      <c r="R588" s="772">
        <v>1</v>
      </c>
      <c r="S588" s="783">
        <v>0</v>
      </c>
      <c r="T588" s="772">
        <f>VLOOKUP($D588,PID_from_BP!$B:$I,4,0)</f>
        <v>0</v>
      </c>
      <c r="U588" s="783">
        <v>12</v>
      </c>
      <c r="V588" s="772">
        <f>VLOOKUP($D588,PID_from_BP!$B:$I,3,0)</f>
        <v>12</v>
      </c>
      <c r="W588" s="783">
        <v>0</v>
      </c>
      <c r="X588" s="772"/>
      <c r="Y588" s="783">
        <v>6.7107677221848103</v>
      </c>
      <c r="Z588" s="772"/>
    </row>
    <row r="589" spans="1:26" s="753" customFormat="1">
      <c r="A589" s="756" t="s">
        <v>5377</v>
      </c>
      <c r="B589" s="757"/>
      <c r="C589" s="758"/>
      <c r="D589" s="773" t="s">
        <v>9569</v>
      </c>
      <c r="E589" s="782"/>
      <c r="F589" s="774" t="s">
        <v>9294</v>
      </c>
      <c r="G589" s="981" t="s">
        <v>11132</v>
      </c>
      <c r="H589" s="772" t="str">
        <f>VLOOKUP($D589,PID_from_BP!$B:$F,2,0)</f>
        <v>CDU TOWER OVERH. DRUM</v>
      </c>
      <c r="I589" s="981" t="s">
        <v>11132</v>
      </c>
      <c r="J589" s="772" t="str">
        <f>VLOOKUP($D589,PID_from_BP!$B:$F,2,0)</f>
        <v>CDU TOWER OVERH. DRUM</v>
      </c>
      <c r="K589" s="981" t="s">
        <v>11689</v>
      </c>
      <c r="L589" s="1064" t="str">
        <f>VLOOKUP($D589,PID_from_BP!$B:$F,5,0)</f>
        <v>BARG</v>
      </c>
      <c r="M589" s="783">
        <v>2</v>
      </c>
      <c r="N589" s="772">
        <v>2</v>
      </c>
      <c r="O589" s="783">
        <v>1</v>
      </c>
      <c r="P589" s="772">
        <v>1</v>
      </c>
      <c r="Q589" s="783">
        <v>1</v>
      </c>
      <c r="R589" s="772">
        <v>1</v>
      </c>
      <c r="S589" s="783">
        <v>0</v>
      </c>
      <c r="T589" s="772">
        <f>VLOOKUP($D589,PID_from_BP!$B:$F,4,0)</f>
        <v>0</v>
      </c>
      <c r="U589" s="783">
        <v>3</v>
      </c>
      <c r="V589" s="772">
        <f>VLOOKUP($D589,PID_from_BP!$B:$F,3,0)</f>
        <v>3</v>
      </c>
      <c r="W589" s="783">
        <v>0</v>
      </c>
      <c r="X589" s="772"/>
      <c r="Y589" s="783">
        <v>0.689663602066374</v>
      </c>
      <c r="Z589" s="772"/>
    </row>
    <row r="590" spans="1:26" s="753" customFormat="1">
      <c r="A590" s="756" t="s">
        <v>5377</v>
      </c>
      <c r="B590" s="757"/>
      <c r="C590" s="758"/>
      <c r="D590" s="773" t="s">
        <v>9570</v>
      </c>
      <c r="E590" s="782"/>
      <c r="F590" s="774" t="s">
        <v>9275</v>
      </c>
      <c r="G590" s="981" t="s">
        <v>11116</v>
      </c>
      <c r="H590" s="772" t="str">
        <f>VLOOKUP($D590,PID_from_BP!$B:$F,2,0)</f>
        <v>HZ2101 INLET PRESSURE</v>
      </c>
      <c r="I590" s="981" t="s">
        <v>11116</v>
      </c>
      <c r="J590" s="772" t="str">
        <f>VLOOKUP($D590,PID_from_BP!$B:$F,2,0)</f>
        <v>HZ2101 INLET PRESSURE</v>
      </c>
      <c r="K590" s="981" t="s">
        <v>11689</v>
      </c>
      <c r="L590" s="1064" t="str">
        <f>VLOOKUP($D590,PID_from_BP!$B:$F,5,0)</f>
        <v>BARG</v>
      </c>
      <c r="M590" s="783">
        <v>2</v>
      </c>
      <c r="N590" s="772">
        <v>2</v>
      </c>
      <c r="O590" s="783">
        <v>1</v>
      </c>
      <c r="P590" s="772">
        <v>1</v>
      </c>
      <c r="Q590" s="783">
        <v>1</v>
      </c>
      <c r="R590" s="772">
        <v>1</v>
      </c>
      <c r="S590" s="783">
        <v>0</v>
      </c>
      <c r="T590" s="772">
        <f>VLOOKUP($D590,PID_from_BP!$B:$F,4,0)</f>
        <v>0</v>
      </c>
      <c r="U590" s="783">
        <v>40</v>
      </c>
      <c r="V590" s="772">
        <f>VLOOKUP($D590,PID_from_BP!$B:$F,3,0)</f>
        <v>40</v>
      </c>
      <c r="W590" s="783">
        <v>0</v>
      </c>
      <c r="X590" s="772"/>
      <c r="Y590" s="783">
        <v>20.4169676589114</v>
      </c>
      <c r="Z590" s="772"/>
    </row>
    <row r="591" spans="1:26" s="753" customFormat="1">
      <c r="A591" s="756" t="s">
        <v>5377</v>
      </c>
      <c r="B591" s="757"/>
      <c r="C591" s="758"/>
      <c r="D591" s="773" t="s">
        <v>9571</v>
      </c>
      <c r="E591" s="782"/>
      <c r="F591" s="774" t="s">
        <v>5861</v>
      </c>
      <c r="G591" s="981" t="s">
        <v>11080</v>
      </c>
      <c r="H591" s="772" t="str">
        <f>VLOOKUP($D591,PID_from_BP!$B:$I,2,0)</f>
        <v>CDU HEATER HZ2101 FUEL GAS</v>
      </c>
      <c r="I591" s="981" t="s">
        <v>11080</v>
      </c>
      <c r="J591" s="772" t="str">
        <f>VLOOKUP($D591,PID_from_BP!$B:$I,2,0)</f>
        <v>CDU HEATER HZ2101 FUEL GAS</v>
      </c>
      <c r="K591" s="981" t="s">
        <v>11680</v>
      </c>
      <c r="L591" s="1064" t="str">
        <f>VLOOKUP($D591,PID_from_BP!$B:$F,5,0)</f>
        <v>BAR</v>
      </c>
      <c r="M591" s="783">
        <v>2</v>
      </c>
      <c r="N591" s="772">
        <v>2</v>
      </c>
      <c r="O591" s="783">
        <v>1</v>
      </c>
      <c r="P591" s="772">
        <v>1</v>
      </c>
      <c r="Q591" s="783">
        <v>1</v>
      </c>
      <c r="R591" s="772">
        <v>1</v>
      </c>
      <c r="S591" s="783">
        <v>0</v>
      </c>
      <c r="T591" s="772">
        <f>VLOOKUP($D591,PID_from_BP!$B:$I,4,0)</f>
        <v>0</v>
      </c>
      <c r="U591" s="783">
        <v>2</v>
      </c>
      <c r="V591" s="772">
        <f>VLOOKUP($D591,PID_from_BP!$B:$I,3,0)</f>
        <v>2</v>
      </c>
      <c r="W591" s="783">
        <v>0</v>
      </c>
      <c r="X591" s="772"/>
      <c r="Y591" s="783">
        <v>0.25344222768781599</v>
      </c>
      <c r="Z591" s="772"/>
    </row>
    <row r="592" spans="1:26" s="753" customFormat="1">
      <c r="A592" s="756" t="s">
        <v>5377</v>
      </c>
      <c r="B592" s="757"/>
      <c r="C592" s="758"/>
      <c r="D592" s="773" t="s">
        <v>5106</v>
      </c>
      <c r="E592" s="782"/>
      <c r="F592" s="774" t="s">
        <v>5864</v>
      </c>
      <c r="G592" s="981" t="s">
        <v>11470</v>
      </c>
      <c r="H592" s="772" t="str">
        <f>VLOOKUP($D592,PID_from_BP!$B:$I,2,0)</f>
        <v>CDU HEATER RADIANT TOP</v>
      </c>
      <c r="I592" s="981" t="s">
        <v>11470</v>
      </c>
      <c r="J592" s="772" t="str">
        <f>VLOOKUP($D592,PID_from_BP!$B:$I,2,0)</f>
        <v>CDU HEATER RADIANT TOP</v>
      </c>
      <c r="K592" s="981" t="s">
        <v>11693</v>
      </c>
      <c r="L592" s="1064" t="str">
        <f>VLOOKUP($D592,PID_from_BP!$B:$F,5,0)</f>
        <v>MMWG</v>
      </c>
      <c r="M592" s="783">
        <v>2</v>
      </c>
      <c r="N592" s="772">
        <v>2</v>
      </c>
      <c r="O592" s="783">
        <v>1</v>
      </c>
      <c r="P592" s="772">
        <v>1</v>
      </c>
      <c r="Q592" s="783">
        <v>10197.44289</v>
      </c>
      <c r="R592" s="772">
        <v>10197.44289</v>
      </c>
      <c r="S592" s="783">
        <v>-70</v>
      </c>
      <c r="T592" s="772">
        <f>VLOOKUP($D592,PID_from_BP!$B:$I,4,0)</f>
        <v>-70</v>
      </c>
      <c r="U592" s="783">
        <v>70</v>
      </c>
      <c r="V592" s="772">
        <f>VLOOKUP($D592,PID_from_BP!$B:$I,3,0)</f>
        <v>70</v>
      </c>
      <c r="W592" s="783">
        <v>0</v>
      </c>
      <c r="X592" s="772"/>
      <c r="Y592" s="783">
        <v>-11.997768808227301</v>
      </c>
      <c r="Z592" s="772"/>
    </row>
    <row r="593" spans="1:26" s="753" customFormat="1">
      <c r="A593" s="756" t="s">
        <v>5377</v>
      </c>
      <c r="B593" s="757"/>
      <c r="C593" s="758"/>
      <c r="D593" s="773" t="s">
        <v>9572</v>
      </c>
      <c r="E593" s="782"/>
      <c r="F593" s="774" t="s">
        <v>6373</v>
      </c>
      <c r="G593" s="981" t="s">
        <v>11100</v>
      </c>
      <c r="H593" s="772" t="str">
        <f>VLOOKUP($D593,PID_from_BP!$B:$I,2,0)</f>
        <v>DHT HP SEPARATOR</v>
      </c>
      <c r="I593" s="981" t="s">
        <v>11100</v>
      </c>
      <c r="J593" s="772" t="str">
        <f>VLOOKUP($D593,PID_from_BP!$B:$I,2,0)</f>
        <v>DHT HP SEPARATOR</v>
      </c>
      <c r="K593" s="981" t="s">
        <v>11689</v>
      </c>
      <c r="L593" s="1064" t="str">
        <f>VLOOKUP($D593,PID_from_BP!$B:$F,5,0)</f>
        <v>BARG</v>
      </c>
      <c r="M593" s="783">
        <v>2</v>
      </c>
      <c r="N593" s="772">
        <v>2</v>
      </c>
      <c r="O593" s="783">
        <v>1</v>
      </c>
      <c r="P593" s="772">
        <v>1</v>
      </c>
      <c r="Q593" s="783">
        <v>1</v>
      </c>
      <c r="R593" s="772">
        <v>1</v>
      </c>
      <c r="S593" s="783">
        <v>0</v>
      </c>
      <c r="T593" s="772">
        <f>VLOOKUP($D593,PID_from_BP!$B:$I,4,0)</f>
        <v>0</v>
      </c>
      <c r="U593" s="783">
        <v>40</v>
      </c>
      <c r="V593" s="772">
        <f>VLOOKUP($D593,PID_from_BP!$B:$I,3,0)</f>
        <v>40</v>
      </c>
      <c r="W593" s="783">
        <v>0</v>
      </c>
      <c r="X593" s="772"/>
      <c r="Y593" s="783">
        <v>27.014041787674099</v>
      </c>
      <c r="Z593" s="772"/>
    </row>
    <row r="594" spans="1:26" s="753" customFormat="1">
      <c r="A594" s="756" t="s">
        <v>5377</v>
      </c>
      <c r="B594" s="757"/>
      <c r="C594" s="758"/>
      <c r="D594" s="773" t="s">
        <v>9573</v>
      </c>
      <c r="E594" s="782"/>
      <c r="F594" s="774" t="s">
        <v>6374</v>
      </c>
      <c r="G594" s="981" t="s">
        <v>11162</v>
      </c>
      <c r="H594" s="772" t="str">
        <f>VLOOKUP($D594,PID_from_BP!$B:$I,2,0)</f>
        <v>DHT LP SEPARATOR</v>
      </c>
      <c r="I594" s="981" t="s">
        <v>11162</v>
      </c>
      <c r="J594" s="772" t="str">
        <f>VLOOKUP($D594,PID_from_BP!$B:$I,2,0)</f>
        <v>DHT LP SEPARATOR</v>
      </c>
      <c r="K594" s="981" t="s">
        <v>11689</v>
      </c>
      <c r="L594" s="1064" t="str">
        <f>VLOOKUP($D594,PID_from_BP!$B:$F,5,0)</f>
        <v>BARG</v>
      </c>
      <c r="M594" s="783">
        <v>2</v>
      </c>
      <c r="N594" s="772">
        <v>2</v>
      </c>
      <c r="O594" s="783">
        <v>1</v>
      </c>
      <c r="P594" s="772">
        <v>1</v>
      </c>
      <c r="Q594" s="783">
        <v>1</v>
      </c>
      <c r="R594" s="772">
        <v>1</v>
      </c>
      <c r="S594" s="783">
        <v>0</v>
      </c>
      <c r="T594" s="772">
        <f>VLOOKUP($D594,PID_from_BP!$B:$I,4,0)</f>
        <v>0</v>
      </c>
      <c r="U594" s="783">
        <v>10</v>
      </c>
      <c r="V594" s="772">
        <f>VLOOKUP($D594,PID_from_BP!$B:$I,3,0)</f>
        <v>10</v>
      </c>
      <c r="W594" s="783">
        <v>0</v>
      </c>
      <c r="X594" s="772"/>
      <c r="Y594" s="783">
        <v>6.63995808608394</v>
      </c>
      <c r="Z594" s="772"/>
    </row>
    <row r="595" spans="1:26" s="753" customFormat="1">
      <c r="A595" s="756" t="s">
        <v>5377</v>
      </c>
      <c r="B595" s="757"/>
      <c r="C595" s="758"/>
      <c r="D595" s="773" t="s">
        <v>9574</v>
      </c>
      <c r="E595" s="782"/>
      <c r="F595" s="774" t="s">
        <v>6385</v>
      </c>
      <c r="G595" s="981" t="s">
        <v>11471</v>
      </c>
      <c r="H595" s="772" t="str">
        <f>VLOOKUP($D595,PID_from_BP!$B:$I,2,0)</f>
        <v>DHT HEATER FUELGAS</v>
      </c>
      <c r="I595" s="981" t="s">
        <v>11471</v>
      </c>
      <c r="J595" s="772" t="str">
        <f>VLOOKUP($D595,PID_from_BP!$B:$I,2,0)</f>
        <v>DHT HEATER FUELGAS</v>
      </c>
      <c r="K595" s="981" t="s">
        <v>11689</v>
      </c>
      <c r="L595" s="1064" t="str">
        <f>VLOOKUP($D595,PID_from_BP!$B:$F,5,0)</f>
        <v>BARG</v>
      </c>
      <c r="M595" s="783">
        <v>2</v>
      </c>
      <c r="N595" s="772">
        <v>2</v>
      </c>
      <c r="O595" s="783">
        <v>1</v>
      </c>
      <c r="P595" s="772">
        <v>1</v>
      </c>
      <c r="Q595" s="783">
        <v>1</v>
      </c>
      <c r="R595" s="772">
        <v>1</v>
      </c>
      <c r="S595" s="783">
        <v>0</v>
      </c>
      <c r="T595" s="772">
        <f>VLOOKUP($D595,PID_from_BP!$B:$I,4,0)</f>
        <v>0</v>
      </c>
      <c r="U595" s="783">
        <v>3</v>
      </c>
      <c r="V595" s="772">
        <f>VLOOKUP($D595,PID_from_BP!$B:$I,3,0)</f>
        <v>3</v>
      </c>
      <c r="W595" s="783">
        <v>0</v>
      </c>
      <c r="X595" s="772"/>
      <c r="Y595" s="783">
        <v>2.0188390560101501</v>
      </c>
      <c r="Z595" s="772"/>
    </row>
    <row r="596" spans="1:26" s="753" customFormat="1">
      <c r="A596" s="756" t="s">
        <v>5377</v>
      </c>
      <c r="B596" s="757"/>
      <c r="C596" s="758"/>
      <c r="D596" s="773" t="s">
        <v>9575</v>
      </c>
      <c r="E596" s="782"/>
      <c r="F596" s="774" t="s">
        <v>6416</v>
      </c>
      <c r="G596" s="981" t="s">
        <v>11472</v>
      </c>
      <c r="H596" s="772" t="str">
        <f>VLOOKUP($D596,PID_from_BP!$B:$I,2,0)</f>
        <v>DRAUGHT RADIANT HZ2151</v>
      </c>
      <c r="I596" s="981" t="s">
        <v>11472</v>
      </c>
      <c r="J596" s="772" t="str">
        <f>VLOOKUP($D596,PID_from_BP!$B:$I,2,0)</f>
        <v>DRAUGHT RADIANT HZ2151</v>
      </c>
      <c r="K596" s="981" t="s">
        <v>11693</v>
      </c>
      <c r="L596" s="1064" t="str">
        <f>VLOOKUP($D596,PID_from_BP!$B:$F,5,0)</f>
        <v>MMWG</v>
      </c>
      <c r="M596" s="783">
        <v>2</v>
      </c>
      <c r="N596" s="772">
        <v>2</v>
      </c>
      <c r="O596" s="783">
        <v>1</v>
      </c>
      <c r="P596" s="772">
        <v>1</v>
      </c>
      <c r="Q596" s="783">
        <v>10207.362160000001</v>
      </c>
      <c r="R596" s="772">
        <v>10207.362160000001</v>
      </c>
      <c r="S596" s="783">
        <v>-70</v>
      </c>
      <c r="T596" s="772">
        <f>VLOOKUP($D596,PID_from_BP!$B:$I,4,0)</f>
        <v>-70</v>
      </c>
      <c r="U596" s="783">
        <v>70</v>
      </c>
      <c r="V596" s="772">
        <f>VLOOKUP($D596,PID_from_BP!$B:$I,3,0)</f>
        <v>70</v>
      </c>
      <c r="W596" s="783">
        <v>0</v>
      </c>
      <c r="X596" s="772"/>
      <c r="Y596" s="783">
        <v>-34.0034112811108</v>
      </c>
      <c r="Z596" s="772"/>
    </row>
    <row r="597" spans="1:26" s="753" customFormat="1">
      <c r="A597" s="756" t="s">
        <v>5377</v>
      </c>
      <c r="B597" s="757"/>
      <c r="C597" s="758"/>
      <c r="D597" s="773" t="s">
        <v>9576</v>
      </c>
      <c r="E597" s="782"/>
      <c r="F597" s="774" t="s">
        <v>8723</v>
      </c>
      <c r="G597" s="981" t="s">
        <v>11361</v>
      </c>
      <c r="H597" s="772" t="str">
        <f>VLOOKUP($D597,PID_from_BP!$B:$I,2,0)</f>
        <v>DFU STABILISER OVERHEAD DRUM</v>
      </c>
      <c r="I597" s="981" t="s">
        <v>11361</v>
      </c>
      <c r="J597" s="772" t="str">
        <f>VLOOKUP($D597,PID_from_BP!$B:$I,2,0)</f>
        <v>DFU STABILISER OVERHEAD DRUM</v>
      </c>
      <c r="K597" s="981" t="s">
        <v>11689</v>
      </c>
      <c r="L597" s="1064" t="str">
        <f>VLOOKUP($D597,PID_from_BP!$B:$F,5,0)</f>
        <v>BARG</v>
      </c>
      <c r="M597" s="783">
        <v>2</v>
      </c>
      <c r="N597" s="772">
        <v>2</v>
      </c>
      <c r="O597" s="783">
        <v>1</v>
      </c>
      <c r="P597" s="772">
        <v>1</v>
      </c>
      <c r="Q597" s="783">
        <v>1</v>
      </c>
      <c r="R597" s="772">
        <v>1</v>
      </c>
      <c r="S597" s="783">
        <v>0</v>
      </c>
      <c r="T597" s="772">
        <f>VLOOKUP($D597,PID_from_BP!$B:$I,4,0)</f>
        <v>0</v>
      </c>
      <c r="U597" s="783">
        <v>16</v>
      </c>
      <c r="V597" s="772">
        <f>VLOOKUP($D597,PID_from_BP!$B:$I,3,0)</f>
        <v>16</v>
      </c>
      <c r="W597" s="783">
        <v>0</v>
      </c>
      <c r="X597" s="772"/>
      <c r="Y597" s="783">
        <v>8.1500846041492192</v>
      </c>
      <c r="Z597" s="772"/>
    </row>
    <row r="598" spans="1:26" s="753" customFormat="1">
      <c r="A598" s="756" t="s">
        <v>5377</v>
      </c>
      <c r="B598" s="757"/>
      <c r="C598" s="758"/>
      <c r="D598" s="773" t="s">
        <v>9577</v>
      </c>
      <c r="E598" s="782"/>
      <c r="F598" s="774" t="s">
        <v>8597</v>
      </c>
      <c r="G598" s="981" t="s">
        <v>11473</v>
      </c>
      <c r="H598" s="772" t="str">
        <f>VLOOKUP($D598,PID_from_BP!$B:$I,2,0)</f>
        <v>DFU STABILISER TOWER</v>
      </c>
      <c r="I598" s="981" t="s">
        <v>11473</v>
      </c>
      <c r="J598" s="772" t="str">
        <f>VLOOKUP($D598,PID_from_BP!$B:$I,2,0)</f>
        <v>DFU STABILISER TOWER</v>
      </c>
      <c r="K598" s="981" t="s">
        <v>11689</v>
      </c>
      <c r="L598" s="1064" t="str">
        <f>VLOOKUP($D598,PID_from_BP!$B:$F,5,0)</f>
        <v>BARG</v>
      </c>
      <c r="M598" s="783">
        <v>2</v>
      </c>
      <c r="N598" s="772">
        <v>2</v>
      </c>
      <c r="O598" s="783">
        <v>1</v>
      </c>
      <c r="P598" s="772">
        <v>1</v>
      </c>
      <c r="Q598" s="783">
        <v>1</v>
      </c>
      <c r="R598" s="772">
        <v>1</v>
      </c>
      <c r="S598" s="783">
        <v>0</v>
      </c>
      <c r="T598" s="772">
        <f>VLOOKUP($D598,PID_from_BP!$B:$I,4,0)</f>
        <v>0</v>
      </c>
      <c r="U598" s="783">
        <v>16</v>
      </c>
      <c r="V598" s="772">
        <f>VLOOKUP($D598,PID_from_BP!$B:$I,3,0)</f>
        <v>16</v>
      </c>
      <c r="W598" s="783">
        <v>0</v>
      </c>
      <c r="X598" s="772"/>
      <c r="Y598" s="783">
        <v>8.3028903987430702</v>
      </c>
      <c r="Z598" s="772"/>
    </row>
    <row r="599" spans="1:26" s="753" customFormat="1">
      <c r="A599" s="756" t="s">
        <v>5377</v>
      </c>
      <c r="B599" s="757"/>
      <c r="C599" s="758"/>
      <c r="D599" s="773" t="s">
        <v>9578</v>
      </c>
      <c r="E599" s="782"/>
      <c r="F599" s="774" t="s">
        <v>7959</v>
      </c>
      <c r="G599" s="981" t="s">
        <v>11459</v>
      </c>
      <c r="H599" s="772" t="str">
        <f>VLOOKUP($D599,PID_from_BP!$B:$I,2,0)</f>
        <v>DFU SPLITTER OVERHEAD DRUM</v>
      </c>
      <c r="I599" s="981" t="s">
        <v>11459</v>
      </c>
      <c r="J599" s="772" t="str">
        <f>VLOOKUP($D599,PID_from_BP!$B:$I,2,0)</f>
        <v>DFU SPLITTER OVERHEAD DRUM</v>
      </c>
      <c r="K599" s="981" t="s">
        <v>11689</v>
      </c>
      <c r="L599" s="1064" t="str">
        <f>VLOOKUP($D599,PID_from_BP!$B:$F,5,0)</f>
        <v>BARG</v>
      </c>
      <c r="M599" s="783">
        <v>2</v>
      </c>
      <c r="N599" s="772">
        <v>2</v>
      </c>
      <c r="O599" s="783">
        <v>1</v>
      </c>
      <c r="P599" s="772">
        <v>1</v>
      </c>
      <c r="Q599" s="783">
        <v>1</v>
      </c>
      <c r="R599" s="772">
        <v>1</v>
      </c>
      <c r="S599" s="783">
        <v>0</v>
      </c>
      <c r="T599" s="772">
        <f>VLOOKUP($D599,PID_from_BP!$B:$I,4,0)</f>
        <v>0</v>
      </c>
      <c r="U599" s="783">
        <v>1.8</v>
      </c>
      <c r="V599" s="772">
        <f>VLOOKUP($D599,PID_from_BP!$B:$I,3,0)</f>
        <v>1.8</v>
      </c>
      <c r="W599" s="783">
        <v>0</v>
      </c>
      <c r="X599" s="772"/>
      <c r="Y599" s="783">
        <v>0.65281902987185503</v>
      </c>
      <c r="Z599" s="772"/>
    </row>
    <row r="600" spans="1:26" s="753" customFormat="1">
      <c r="A600" s="756" t="s">
        <v>5377</v>
      </c>
      <c r="B600" s="757"/>
      <c r="C600" s="758"/>
      <c r="D600" s="773" t="s">
        <v>5341</v>
      </c>
      <c r="E600" s="782"/>
      <c r="F600" s="774" t="s">
        <v>5950</v>
      </c>
      <c r="G600" s="981" t="s">
        <v>11077</v>
      </c>
      <c r="H600" s="772" t="str">
        <f>VLOOKUP($D600,PID_from_BP!$B:$I,2,0)</f>
        <v>SPLITTER HEATER FUEL GAS</v>
      </c>
      <c r="I600" s="981" t="s">
        <v>11077</v>
      </c>
      <c r="J600" s="772" t="str">
        <f>VLOOKUP($D600,PID_from_BP!$B:$I,2,0)</f>
        <v>SPLITTER HEATER FUEL GAS</v>
      </c>
      <c r="K600" s="981" t="s">
        <v>11680</v>
      </c>
      <c r="L600" s="1064" t="str">
        <f>VLOOKUP($D600,PID_from_BP!$B:$F,5,0)</f>
        <v>BAR</v>
      </c>
      <c r="M600" s="783">
        <v>2</v>
      </c>
      <c r="N600" s="772">
        <v>2</v>
      </c>
      <c r="O600" s="783">
        <v>1</v>
      </c>
      <c r="P600" s="772">
        <v>1</v>
      </c>
      <c r="Q600" s="783">
        <v>1</v>
      </c>
      <c r="R600" s="772">
        <v>1</v>
      </c>
      <c r="S600" s="783">
        <v>0</v>
      </c>
      <c r="T600" s="772">
        <f>VLOOKUP($D600,PID_from_BP!$B:$I,4,0)</f>
        <v>0</v>
      </c>
      <c r="U600" s="783">
        <v>2</v>
      </c>
      <c r="V600" s="772">
        <f>VLOOKUP($D600,PID_from_BP!$B:$I,3,0)</f>
        <v>2</v>
      </c>
      <c r="W600" s="783">
        <v>0</v>
      </c>
      <c r="X600" s="772"/>
      <c r="Y600" s="783">
        <v>0.60032736923098995</v>
      </c>
      <c r="Z600" s="772"/>
    </row>
    <row r="601" spans="1:26" s="753" customFormat="1">
      <c r="A601" s="756" t="s">
        <v>5377</v>
      </c>
      <c r="B601" s="757"/>
      <c r="C601" s="758"/>
      <c r="D601" s="773" t="s">
        <v>9579</v>
      </c>
      <c r="E601" s="782"/>
      <c r="F601" s="774" t="s">
        <v>5966</v>
      </c>
      <c r="G601" s="981" t="s">
        <v>11474</v>
      </c>
      <c r="H601" s="772" t="str">
        <f>VLOOKUP($D601,PID_from_BP!$B:$I,2,0)</f>
        <v>DRAUGHT RADIANT HZ2201</v>
      </c>
      <c r="I601" s="981" t="s">
        <v>11474</v>
      </c>
      <c r="J601" s="772" t="str">
        <f>VLOOKUP($D601,PID_from_BP!$B:$I,2,0)</f>
        <v>DRAUGHT RADIANT HZ2201</v>
      </c>
      <c r="K601" s="981" t="s">
        <v>11693</v>
      </c>
      <c r="L601" s="1064" t="str">
        <f>VLOOKUP($D601,PID_from_BP!$B:$F,5,0)</f>
        <v>MMWG</v>
      </c>
      <c r="M601" s="783">
        <v>2</v>
      </c>
      <c r="N601" s="772">
        <v>2</v>
      </c>
      <c r="O601" s="783">
        <v>1</v>
      </c>
      <c r="P601" s="772">
        <v>1</v>
      </c>
      <c r="Q601" s="783">
        <v>10197.44289</v>
      </c>
      <c r="R601" s="772">
        <v>10197.44289</v>
      </c>
      <c r="S601" s="783">
        <v>-70</v>
      </c>
      <c r="T601" s="772">
        <f>VLOOKUP($D601,PID_from_BP!$B:$I,4,0)</f>
        <v>-70</v>
      </c>
      <c r="U601" s="783">
        <v>70</v>
      </c>
      <c r="V601" s="772">
        <f>VLOOKUP($D601,PID_from_BP!$B:$I,3,0)</f>
        <v>70</v>
      </c>
      <c r="W601" s="783">
        <v>0</v>
      </c>
      <c r="X601" s="772"/>
      <c r="Y601" s="783">
        <v>-34.816368507944297</v>
      </c>
      <c r="Z601" s="772"/>
    </row>
    <row r="602" spans="1:26" s="753" customFormat="1">
      <c r="A602" s="756" t="s">
        <v>5377</v>
      </c>
      <c r="B602" s="757"/>
      <c r="C602" s="758"/>
      <c r="D602" s="773" t="s">
        <v>9580</v>
      </c>
      <c r="E602" s="782"/>
      <c r="F602" s="774" t="s">
        <v>8692</v>
      </c>
      <c r="G602" s="981" t="s">
        <v>11086</v>
      </c>
      <c r="H602" s="772" t="str">
        <f>VLOOKUP($D602,PID_from_BP!$B:$I,2,0)</f>
        <v>AMINE GAS ABSORBER</v>
      </c>
      <c r="I602" s="981" t="s">
        <v>11086</v>
      </c>
      <c r="J602" s="772" t="str">
        <f>VLOOKUP($D602,PID_from_BP!$B:$I,2,0)</f>
        <v>AMINE GAS ABSORBER</v>
      </c>
      <c r="K602" s="981" t="s">
        <v>11689</v>
      </c>
      <c r="L602" s="772" t="str">
        <f>VLOOKUP($D602,PID_from_BP!$B:$I,5,0)</f>
        <v>BARG</v>
      </c>
      <c r="M602" s="783">
        <v>2</v>
      </c>
      <c r="N602" s="772">
        <v>2</v>
      </c>
      <c r="O602" s="783">
        <v>1</v>
      </c>
      <c r="P602" s="772">
        <v>1</v>
      </c>
      <c r="Q602" s="783">
        <v>1</v>
      </c>
      <c r="R602" s="772">
        <v>1</v>
      </c>
      <c r="S602" s="783">
        <v>0</v>
      </c>
      <c r="T602" s="772">
        <f>VLOOKUP($D602,PID_from_BP!$B:$I,4,0)</f>
        <v>0</v>
      </c>
      <c r="U602" s="783">
        <v>10</v>
      </c>
      <c r="V602" s="772">
        <f>VLOOKUP($D602,PID_from_BP!$B:$I,3,0)</f>
        <v>10</v>
      </c>
      <c r="W602" s="783">
        <v>0</v>
      </c>
      <c r="X602" s="772"/>
      <c r="Y602" s="783">
        <v>5.6000830006933597</v>
      </c>
      <c r="Z602" s="772"/>
    </row>
    <row r="603" spans="1:26" s="753" customFormat="1">
      <c r="A603" s="756" t="s">
        <v>5377</v>
      </c>
      <c r="B603" s="757"/>
      <c r="C603" s="758"/>
      <c r="D603" s="773" t="s">
        <v>9623</v>
      </c>
      <c r="E603" s="782"/>
      <c r="F603" s="774" t="s">
        <v>9183</v>
      </c>
      <c r="G603" s="981" t="s">
        <v>11475</v>
      </c>
      <c r="H603" s="772" t="str">
        <f>VLOOKUP($D603,PID_from_BP!$B:$I,2,0)</f>
        <v>DHT REACTOR OUTLET</v>
      </c>
      <c r="I603" s="981" t="s">
        <v>11475</v>
      </c>
      <c r="J603" s="772" t="str">
        <f>VLOOKUP($D603,PID_from_BP!$B:$I,2,0)</f>
        <v>DHT REACTOR OUTLET</v>
      </c>
      <c r="K603" s="981" t="s">
        <v>11676</v>
      </c>
      <c r="L603" s="1064" t="str">
        <f>VLOOKUP($D603,PID_from_BP!$B:$I,5,0)</f>
        <v>DEGC</v>
      </c>
      <c r="M603" s="783">
        <v>6</v>
      </c>
      <c r="N603" s="772">
        <v>6</v>
      </c>
      <c r="O603" s="783">
        <v>1</v>
      </c>
      <c r="P603" s="772">
        <v>1</v>
      </c>
      <c r="Q603" s="783">
        <v>1</v>
      </c>
      <c r="R603" s="772">
        <v>1</v>
      </c>
      <c r="S603" s="783">
        <v>0</v>
      </c>
      <c r="T603" s="772">
        <f>VLOOKUP($D603,PID_from_BP!$B:$I,4,0)</f>
        <v>0</v>
      </c>
      <c r="U603" s="783">
        <v>400</v>
      </c>
      <c r="V603" s="772">
        <f>VLOOKUP($D603,PID_from_BP!$B:$I,3,0)</f>
        <v>400</v>
      </c>
      <c r="W603" s="783">
        <v>0</v>
      </c>
      <c r="X603" s="772"/>
      <c r="Y603" s="783">
        <v>326.778100065508</v>
      </c>
      <c r="Z603" s="772"/>
    </row>
    <row r="604" spans="1:26" s="753" customFormat="1">
      <c r="A604" s="756" t="s">
        <v>5377</v>
      </c>
      <c r="B604" s="757"/>
      <c r="C604" s="758"/>
      <c r="D604" s="773" t="s">
        <v>9646</v>
      </c>
      <c r="E604" s="782"/>
      <c r="F604" s="774" t="s">
        <v>8741</v>
      </c>
      <c r="G604" s="981" t="s">
        <v>11030</v>
      </c>
      <c r="H604" s="772" t="str">
        <f>VLOOKUP($D604,PID_from_BP!$B:$I,2,0)</f>
        <v>RESIDUE RUNDOWN</v>
      </c>
      <c r="I604" s="981" t="s">
        <v>11030</v>
      </c>
      <c r="J604" s="772" t="str">
        <f>VLOOKUP($D604,PID_from_BP!$B:$I,2,0)</f>
        <v>RESIDUE RUNDOWN</v>
      </c>
      <c r="K604" s="981" t="s">
        <v>11676</v>
      </c>
      <c r="L604" s="1064" t="str">
        <f>VLOOKUP($D604,PID_from_BP!$B:$I,5,0)</f>
        <v>DEGC</v>
      </c>
      <c r="M604" s="783">
        <v>6</v>
      </c>
      <c r="N604" s="772">
        <v>6</v>
      </c>
      <c r="O604" s="783">
        <v>1</v>
      </c>
      <c r="P604" s="772">
        <v>1</v>
      </c>
      <c r="Q604" s="783">
        <v>1</v>
      </c>
      <c r="R604" s="772">
        <v>1</v>
      </c>
      <c r="S604" s="783">
        <v>0</v>
      </c>
      <c r="T604" s="772">
        <f>VLOOKUP($D604,PID_from_BP!$B:$I,4,0)</f>
        <v>0</v>
      </c>
      <c r="U604" s="783">
        <v>100</v>
      </c>
      <c r="V604" s="772">
        <f>VLOOKUP($D604,PID_from_BP!$B:$I,3,0)</f>
        <v>100</v>
      </c>
      <c r="W604" s="783">
        <v>0</v>
      </c>
      <c r="X604" s="772"/>
      <c r="Y604" s="783">
        <v>83.611170323088103</v>
      </c>
      <c r="Z604" s="772"/>
    </row>
    <row r="605" spans="1:26" s="753" customFormat="1">
      <c r="A605" s="756" t="s">
        <v>5377</v>
      </c>
      <c r="B605" s="757"/>
      <c r="C605" s="758"/>
      <c r="D605" s="773" t="s">
        <v>9647</v>
      </c>
      <c r="E605" s="782"/>
      <c r="F605" s="774" t="s">
        <v>8660</v>
      </c>
      <c r="G605" s="981" t="s">
        <v>11476</v>
      </c>
      <c r="H605" s="772" t="str">
        <f>VLOOKUP($D605,PID_from_BP!$B:$I,2,0)</f>
        <v>TEMP.WATER EZ2120</v>
      </c>
      <c r="I605" s="981" t="s">
        <v>11476</v>
      </c>
      <c r="J605" s="772" t="str">
        <f>VLOOKUP($D605,PID_from_BP!$B:$I,2,0)</f>
        <v>TEMP.WATER EZ2120</v>
      </c>
      <c r="K605" s="981" t="s">
        <v>11676</v>
      </c>
      <c r="L605" s="1064" t="str">
        <f>VLOOKUP($D605,PID_from_BP!$B:$I,5,0)</f>
        <v>DEGC</v>
      </c>
      <c r="M605" s="783">
        <v>6</v>
      </c>
      <c r="N605" s="772">
        <v>6</v>
      </c>
      <c r="O605" s="783">
        <v>1</v>
      </c>
      <c r="P605" s="772">
        <v>1</v>
      </c>
      <c r="Q605" s="783">
        <v>1</v>
      </c>
      <c r="R605" s="772">
        <v>1</v>
      </c>
      <c r="S605" s="783">
        <v>0</v>
      </c>
      <c r="T605" s="772">
        <f>VLOOKUP($D605,PID_from_BP!$B:$I,4,0)</f>
        <v>0</v>
      </c>
      <c r="U605" s="783">
        <v>100</v>
      </c>
      <c r="V605" s="772">
        <f>VLOOKUP($D605,PID_from_BP!$B:$I,3,0)</f>
        <v>100</v>
      </c>
      <c r="W605" s="783">
        <v>0</v>
      </c>
      <c r="X605" s="772"/>
      <c r="Y605" s="783">
        <v>73.643120457810298</v>
      </c>
      <c r="Z605" s="772"/>
    </row>
    <row r="606" spans="1:26" s="753" customFormat="1">
      <c r="A606" s="756" t="s">
        <v>5377</v>
      </c>
      <c r="B606" s="757"/>
      <c r="C606" s="758"/>
      <c r="D606" s="773" t="s">
        <v>9648</v>
      </c>
      <c r="E606" s="782"/>
      <c r="F606" s="774" t="s">
        <v>8794</v>
      </c>
      <c r="G606" s="981" t="s">
        <v>11477</v>
      </c>
      <c r="H606" s="772" t="str">
        <f>VLOOKUP($D606,PID_from_BP!$B:$I,2,0)</f>
        <v>TPA COOLER PITCH EZ2113</v>
      </c>
      <c r="I606" s="981" t="s">
        <v>11477</v>
      </c>
      <c r="J606" s="772" t="str">
        <f>VLOOKUP($D606,PID_from_BP!$B:$I,2,0)</f>
        <v>TPA COOLER PITCH EZ2113</v>
      </c>
      <c r="K606" s="981" t="s">
        <v>11676</v>
      </c>
      <c r="L606" s="1064" t="str">
        <f>VLOOKUP($D606,PID_from_BP!$B:$I,5,0)</f>
        <v>DEGC</v>
      </c>
      <c r="M606" s="783">
        <v>6</v>
      </c>
      <c r="N606" s="772">
        <v>6</v>
      </c>
      <c r="O606" s="783">
        <v>1</v>
      </c>
      <c r="P606" s="772">
        <v>1</v>
      </c>
      <c r="Q606" s="783">
        <v>1</v>
      </c>
      <c r="R606" s="772">
        <v>1</v>
      </c>
      <c r="S606" s="783">
        <v>0</v>
      </c>
      <c r="T606" s="1063">
        <f>VLOOKUP($D606,PID_from_BP!$B:$I,4,0)</f>
        <v>0</v>
      </c>
      <c r="U606" s="783">
        <v>200</v>
      </c>
      <c r="V606" s="1063">
        <f>VLOOKUP($D606,PID_from_BP!$B:$I,3,0)</f>
        <v>200</v>
      </c>
      <c r="W606" s="783">
        <v>0</v>
      </c>
      <c r="X606" s="772"/>
      <c r="Y606" s="783">
        <v>162.43133938658599</v>
      </c>
      <c r="Z606" s="772"/>
    </row>
    <row r="607" spans="1:26" s="753" customFormat="1">
      <c r="A607" s="756" t="s">
        <v>5377</v>
      </c>
      <c r="B607" s="757"/>
      <c r="C607" s="758"/>
      <c r="D607" s="773" t="s">
        <v>9649</v>
      </c>
      <c r="E607" s="782"/>
      <c r="F607" s="774" t="s">
        <v>5781</v>
      </c>
      <c r="G607" s="981" t="s">
        <v>11478</v>
      </c>
      <c r="H607" s="772" t="str">
        <f>VLOOKUP($D607,PID_from_BP!$B:$I,2,0)</f>
        <v>SUPER HEATED STM. HZ2101</v>
      </c>
      <c r="I607" s="981" t="s">
        <v>11478</v>
      </c>
      <c r="J607" s="772" t="str">
        <f>VLOOKUP($D607,PID_from_BP!$B:$I,2,0)</f>
        <v>SUPER HEATED STM. HZ2101</v>
      </c>
      <c r="K607" s="981" t="s">
        <v>11676</v>
      </c>
      <c r="L607" s="1064" t="str">
        <f>VLOOKUP($D607,PID_from_BP!$B:$I,5,0)</f>
        <v>DEGC</v>
      </c>
      <c r="M607" s="783">
        <v>6</v>
      </c>
      <c r="N607" s="772">
        <v>6</v>
      </c>
      <c r="O607" s="783">
        <v>1</v>
      </c>
      <c r="P607" s="772">
        <v>1</v>
      </c>
      <c r="Q607" s="783">
        <v>1</v>
      </c>
      <c r="R607" s="772">
        <v>1</v>
      </c>
      <c r="S607" s="783">
        <v>0</v>
      </c>
      <c r="T607" s="1063">
        <f>VLOOKUP($D607,PID_from_BP!$B:$I,4,0)</f>
        <v>0</v>
      </c>
      <c r="U607" s="783">
        <v>500</v>
      </c>
      <c r="V607" s="1063">
        <f>VLOOKUP($D607,PID_from_BP!$B:$I,3,0)</f>
        <v>500</v>
      </c>
      <c r="W607" s="783">
        <v>0</v>
      </c>
      <c r="X607" s="772"/>
      <c r="Y607" s="783">
        <v>375.94035340301298</v>
      </c>
      <c r="Z607" s="772"/>
    </row>
    <row r="608" spans="1:26" s="753" customFormat="1">
      <c r="A608" s="756" t="s">
        <v>5377</v>
      </c>
      <c r="B608" s="757"/>
      <c r="C608" s="758"/>
      <c r="D608" s="773" t="s">
        <v>9650</v>
      </c>
      <c r="E608" s="782"/>
      <c r="F608" s="774" t="s">
        <v>8766</v>
      </c>
      <c r="G608" s="981" t="s">
        <v>11479</v>
      </c>
      <c r="H608" s="772" t="str">
        <f>VLOOKUP($D608,PID_from_BP!$B:$I,2,0)</f>
        <v>LGO TO DRIER</v>
      </c>
      <c r="I608" s="981" t="s">
        <v>11479</v>
      </c>
      <c r="J608" s="772" t="str">
        <f>VLOOKUP($D608,PID_from_BP!$B:$I,2,0)</f>
        <v>LGO TO DRIER</v>
      </c>
      <c r="K608" s="981" t="s">
        <v>11676</v>
      </c>
      <c r="L608" s="1064" t="str">
        <f>VLOOKUP($D608,PID_from_BP!$B:$I,5,0)</f>
        <v>DEGC</v>
      </c>
      <c r="M608" s="783">
        <v>6</v>
      </c>
      <c r="N608" s="772">
        <v>6</v>
      </c>
      <c r="O608" s="783">
        <v>1</v>
      </c>
      <c r="P608" s="772">
        <v>1</v>
      </c>
      <c r="Q608" s="783">
        <v>1</v>
      </c>
      <c r="R608" s="772">
        <v>1</v>
      </c>
      <c r="S608" s="783">
        <v>0</v>
      </c>
      <c r="T608" s="1063">
        <f>VLOOKUP($D608,PID_from_BP!$B:$I,4,0)</f>
        <v>0</v>
      </c>
      <c r="U608" s="783">
        <v>300</v>
      </c>
      <c r="V608" s="1063">
        <f>VLOOKUP($D608,PID_from_BP!$B:$I,3,0)</f>
        <v>300</v>
      </c>
      <c r="W608" s="783">
        <v>0</v>
      </c>
      <c r="X608" s="772"/>
      <c r="Y608" s="783">
        <v>158.441089328761</v>
      </c>
      <c r="Z608" s="772"/>
    </row>
    <row r="609" spans="1:26" s="753" customFormat="1">
      <c r="A609" s="756" t="s">
        <v>5377</v>
      </c>
      <c r="B609" s="757"/>
      <c r="C609" s="758"/>
      <c r="D609" s="773" t="s">
        <v>9651</v>
      </c>
      <c r="E609" s="782"/>
      <c r="F609" s="774" t="s">
        <v>9215</v>
      </c>
      <c r="G609" s="981" t="s">
        <v>11210</v>
      </c>
      <c r="H609" s="772" t="str">
        <f>VLOOKUP($D609,PID_from_BP!$B:$I,2,0)</f>
        <v>CDU M.P.A. EZ2114 LOUVRES</v>
      </c>
      <c r="I609" s="981" t="s">
        <v>11210</v>
      </c>
      <c r="J609" s="772" t="str">
        <f>VLOOKUP($D609,PID_from_BP!$B:$I,2,0)</f>
        <v>CDU M.P.A. EZ2114 LOUVRES</v>
      </c>
      <c r="K609" s="981" t="s">
        <v>11676</v>
      </c>
      <c r="L609" s="1064" t="str">
        <f>VLOOKUP($D609,PID_from_BP!$B:$I,5,0)</f>
        <v>DEGC</v>
      </c>
      <c r="M609" s="783">
        <v>6</v>
      </c>
      <c r="N609" s="772">
        <v>6</v>
      </c>
      <c r="O609" s="783">
        <v>1</v>
      </c>
      <c r="P609" s="772">
        <v>1</v>
      </c>
      <c r="Q609" s="783">
        <v>1</v>
      </c>
      <c r="R609" s="772">
        <v>1</v>
      </c>
      <c r="S609" s="783">
        <v>0</v>
      </c>
      <c r="T609" s="1063">
        <f>VLOOKUP($D609,PID_from_BP!$B:$I,4,0)</f>
        <v>0</v>
      </c>
      <c r="U609" s="783">
        <v>250</v>
      </c>
      <c r="V609" s="1063">
        <f>VLOOKUP($D609,PID_from_BP!$B:$I,3,0)</f>
        <v>250</v>
      </c>
      <c r="W609" s="783">
        <v>0</v>
      </c>
      <c r="X609" s="772"/>
      <c r="Y609" s="783">
        <v>183.69286742335501</v>
      </c>
      <c r="Z609" s="772"/>
    </row>
    <row r="610" spans="1:26" s="753" customFormat="1">
      <c r="A610" s="756" t="s">
        <v>5377</v>
      </c>
      <c r="B610" s="757"/>
      <c r="C610" s="758"/>
      <c r="D610" s="773" t="s">
        <v>9654</v>
      </c>
      <c r="E610" s="782"/>
      <c r="F610" s="774" t="s">
        <v>5782</v>
      </c>
      <c r="G610" s="981" t="s">
        <v>11213</v>
      </c>
      <c r="H610" s="772" t="str">
        <f>VLOOKUP($D610,PID_from_BP!$B:$I,2,0)</f>
        <v>HZ2101 COMBINED OUTLET</v>
      </c>
      <c r="I610" s="981" t="s">
        <v>11213</v>
      </c>
      <c r="J610" s="772" t="str">
        <f>VLOOKUP($D610,PID_from_BP!$B:$I,2,0)</f>
        <v>HZ2101 COMBINED OUTLET</v>
      </c>
      <c r="K610" s="981" t="s">
        <v>11676</v>
      </c>
      <c r="L610" s="1064" t="str">
        <f>VLOOKUP($D610,PID_from_BP!$B:$I,5,0)</f>
        <v>DEGC</v>
      </c>
      <c r="M610" s="783">
        <v>6</v>
      </c>
      <c r="N610" s="772">
        <v>6</v>
      </c>
      <c r="O610" s="783">
        <v>1</v>
      </c>
      <c r="P610" s="772">
        <v>1</v>
      </c>
      <c r="Q610" s="783">
        <v>1</v>
      </c>
      <c r="R610" s="772">
        <v>1</v>
      </c>
      <c r="S610" s="783">
        <v>0</v>
      </c>
      <c r="T610" s="1063">
        <f>VLOOKUP($D610,PID_from_BP!$B:$I,4,0)</f>
        <v>0</v>
      </c>
      <c r="U610" s="783">
        <v>500</v>
      </c>
      <c r="V610" s="1063">
        <f>VLOOKUP($D610,PID_from_BP!$B:$I,3,0)</f>
        <v>500</v>
      </c>
      <c r="W610" s="783">
        <v>0</v>
      </c>
      <c r="X610" s="772"/>
      <c r="Y610" s="783">
        <v>375.42634421426999</v>
      </c>
      <c r="Z610" s="772"/>
    </row>
    <row r="611" spans="1:26" s="753" customFormat="1">
      <c r="A611" s="756" t="s">
        <v>5377</v>
      </c>
      <c r="B611" s="757"/>
      <c r="C611" s="758"/>
      <c r="D611" s="773" t="s">
        <v>9655</v>
      </c>
      <c r="E611" s="782"/>
      <c r="F611" s="774" t="s">
        <v>9048</v>
      </c>
      <c r="G611" s="981" t="s">
        <v>11117</v>
      </c>
      <c r="H611" s="772" t="str">
        <f>VLOOKUP($D611,PID_from_BP!$B:$I,2,0)</f>
        <v>CDU TOWER TOP</v>
      </c>
      <c r="I611" s="981" t="s">
        <v>11117</v>
      </c>
      <c r="J611" s="772" t="str">
        <f>VLOOKUP($D611,PID_from_BP!$B:$I,2,0)</f>
        <v>CDU TOWER TOP</v>
      </c>
      <c r="K611" s="981" t="s">
        <v>11676</v>
      </c>
      <c r="L611" s="1064" t="str">
        <f>VLOOKUP($D611,PID_from_BP!$B:$I,5,0)</f>
        <v>DEGC</v>
      </c>
      <c r="M611" s="783">
        <v>6</v>
      </c>
      <c r="N611" s="772">
        <v>6</v>
      </c>
      <c r="O611" s="783">
        <v>1</v>
      </c>
      <c r="P611" s="772">
        <v>1</v>
      </c>
      <c r="Q611" s="783">
        <v>1</v>
      </c>
      <c r="R611" s="772">
        <v>1</v>
      </c>
      <c r="S611" s="783">
        <v>0</v>
      </c>
      <c r="T611" s="1063">
        <f>VLOOKUP($D611,PID_from_BP!$B:$I,4,0)</f>
        <v>0</v>
      </c>
      <c r="U611" s="783">
        <v>300</v>
      </c>
      <c r="V611" s="1063">
        <f>VLOOKUP($D611,PID_from_BP!$B:$I,3,0)</f>
        <v>300</v>
      </c>
      <c r="W611" s="783">
        <v>0</v>
      </c>
      <c r="X611" s="772"/>
      <c r="Y611" s="783">
        <v>202.56307036991799</v>
      </c>
      <c r="Z611" s="772"/>
    </row>
    <row r="612" spans="1:26" s="753" customFormat="1">
      <c r="A612" s="756" t="s">
        <v>5790</v>
      </c>
      <c r="B612" s="757"/>
      <c r="C612" s="758"/>
      <c r="D612" s="773" t="s">
        <v>9656</v>
      </c>
      <c r="E612" s="782"/>
      <c r="F612" s="774" t="s">
        <v>5867</v>
      </c>
      <c r="G612" s="981" t="s">
        <v>11065</v>
      </c>
      <c r="H612" s="772" t="str">
        <f>VLOOKUP($D612,PID_from_BP!$B:$I,2,0)</f>
        <v>COLD AIR INLET EZ2125A</v>
      </c>
      <c r="I612" s="981" t="s">
        <v>11065</v>
      </c>
      <c r="J612" s="772" t="str">
        <f>VLOOKUP($D612,PID_from_BP!$B:$I,2,0)</f>
        <v>COLD AIR INLET EZ2125A</v>
      </c>
      <c r="K612" s="981" t="s">
        <v>11676</v>
      </c>
      <c r="L612" s="1064" t="str">
        <f>VLOOKUP($D612,PID_from_BP!$B:$I,5,0)</f>
        <v>DEGC</v>
      </c>
      <c r="M612" s="783">
        <v>6</v>
      </c>
      <c r="N612" s="772">
        <v>6</v>
      </c>
      <c r="O612" s="783">
        <v>1</v>
      </c>
      <c r="P612" s="772">
        <v>1</v>
      </c>
      <c r="Q612" s="783">
        <v>1</v>
      </c>
      <c r="R612" s="772">
        <v>1</v>
      </c>
      <c r="S612" s="783">
        <v>-20</v>
      </c>
      <c r="T612" s="1063">
        <f>VLOOKUP($D612,PID_from_BP!$B:$I,4,0)</f>
        <v>-20</v>
      </c>
      <c r="U612" s="783">
        <v>60</v>
      </c>
      <c r="V612" s="1063">
        <f>VLOOKUP($D612,PID_from_BP!$B:$I,3,0)</f>
        <v>60</v>
      </c>
      <c r="W612" s="783">
        <v>0</v>
      </c>
      <c r="X612" s="772"/>
      <c r="Y612" s="783">
        <v>57.000203171384101</v>
      </c>
      <c r="Z612" s="772"/>
    </row>
    <row r="613" spans="1:26" s="753" customFormat="1">
      <c r="A613" s="756" t="s">
        <v>5377</v>
      </c>
      <c r="B613" s="757"/>
      <c r="C613" s="758"/>
      <c r="D613" s="773" t="s">
        <v>5229</v>
      </c>
      <c r="E613" s="782"/>
      <c r="F613" s="774" t="s">
        <v>5868</v>
      </c>
      <c r="G613" s="981" t="s">
        <v>11066</v>
      </c>
      <c r="H613" s="772" t="str">
        <f>VLOOKUP($D613,PID_from_BP!$B:$I,2,0)</f>
        <v>COLD AIR INLET EZ2125B</v>
      </c>
      <c r="I613" s="981" t="s">
        <v>11066</v>
      </c>
      <c r="J613" s="772" t="str">
        <f>VLOOKUP($D613,PID_from_BP!$B:$I,2,0)</f>
        <v>COLD AIR INLET EZ2125B</v>
      </c>
      <c r="K613" s="981" t="s">
        <v>11676</v>
      </c>
      <c r="L613" s="1064" t="str">
        <f>VLOOKUP($D613,PID_from_BP!$B:$I,5,0)</f>
        <v>DEGC</v>
      </c>
      <c r="M613" s="783">
        <v>6</v>
      </c>
      <c r="N613" s="772">
        <v>6</v>
      </c>
      <c r="O613" s="783">
        <v>1</v>
      </c>
      <c r="P613" s="772">
        <v>1</v>
      </c>
      <c r="Q613" s="783">
        <v>1</v>
      </c>
      <c r="R613" s="772">
        <v>1</v>
      </c>
      <c r="S613" s="783">
        <v>-20</v>
      </c>
      <c r="T613" s="1063">
        <f>VLOOKUP($D613,PID_from_BP!$B:$I,4,0)</f>
        <v>-20</v>
      </c>
      <c r="U613" s="783">
        <v>60</v>
      </c>
      <c r="V613" s="1063">
        <f>VLOOKUP($D613,PID_from_BP!$B:$I,3,0)</f>
        <v>60</v>
      </c>
      <c r="W613" s="783">
        <v>0</v>
      </c>
      <c r="X613" s="772"/>
      <c r="Y613" s="783">
        <v>57.000203171386197</v>
      </c>
      <c r="Z613" s="772"/>
    </row>
    <row r="614" spans="1:26" s="753" customFormat="1">
      <c r="A614" s="756" t="s">
        <v>5790</v>
      </c>
      <c r="B614" s="757"/>
      <c r="C614" s="758"/>
      <c r="D614" s="773" t="s">
        <v>9657</v>
      </c>
      <c r="E614" s="782"/>
      <c r="F614" s="774" t="s">
        <v>5866</v>
      </c>
      <c r="G614" s="981" t="s">
        <v>11480</v>
      </c>
      <c r="H614" s="772" t="str">
        <f>VLOOKUP($D614,PID_from_BP!$B:$I,2,0)</f>
        <v>COMB. AIR TEMP TO HZ2101</v>
      </c>
      <c r="I614" s="981" t="s">
        <v>11480</v>
      </c>
      <c r="J614" s="772" t="str">
        <f>VLOOKUP($D614,PID_from_BP!$B:$I,2,0)</f>
        <v>COMB. AIR TEMP TO HZ2101</v>
      </c>
      <c r="K614" s="981" t="s">
        <v>11676</v>
      </c>
      <c r="L614" s="1064" t="str">
        <f>VLOOKUP($D614,PID_from_BP!$B:$I,5,0)</f>
        <v>DEGC</v>
      </c>
      <c r="M614" s="783">
        <v>6</v>
      </c>
      <c r="N614" s="772">
        <v>6</v>
      </c>
      <c r="O614" s="783">
        <v>1</v>
      </c>
      <c r="P614" s="772">
        <v>1</v>
      </c>
      <c r="Q614" s="783">
        <v>1</v>
      </c>
      <c r="R614" s="772">
        <v>1</v>
      </c>
      <c r="S614" s="783">
        <v>-20</v>
      </c>
      <c r="T614" s="1063">
        <f>VLOOKUP($D614,PID_from_BP!$B:$I,4,0)</f>
        <v>-20</v>
      </c>
      <c r="U614" s="783">
        <v>500</v>
      </c>
      <c r="V614" s="1063">
        <f>VLOOKUP($D614,PID_from_BP!$B:$I,3,0)</f>
        <v>500</v>
      </c>
      <c r="W614" s="783">
        <v>0</v>
      </c>
      <c r="X614" s="772"/>
      <c r="Y614" s="783">
        <v>231.44145777200001</v>
      </c>
      <c r="Z614" s="772"/>
    </row>
    <row r="615" spans="1:26" s="753" customFormat="1">
      <c r="A615" s="756" t="s">
        <v>5377</v>
      </c>
      <c r="B615" s="757"/>
      <c r="C615" s="758"/>
      <c r="D615" s="773" t="s">
        <v>9658</v>
      </c>
      <c r="E615" s="782"/>
      <c r="F615" s="774" t="s">
        <v>6414</v>
      </c>
      <c r="G615" s="981" t="s">
        <v>11342</v>
      </c>
      <c r="H615" s="772" t="str">
        <f>VLOOKUP($D615,PID_from_BP!$B:$I,2,0)</f>
        <v>DHT REACTOR INLET</v>
      </c>
      <c r="I615" s="981" t="s">
        <v>11342</v>
      </c>
      <c r="J615" s="772" t="str">
        <f>VLOOKUP($D615,PID_from_BP!$B:$I,2,0)</f>
        <v>DHT REACTOR INLET</v>
      </c>
      <c r="K615" s="981" t="s">
        <v>11676</v>
      </c>
      <c r="L615" s="1064" t="str">
        <f>VLOOKUP($D615,PID_from_BP!$B:$I,5,0)</f>
        <v>DEGC</v>
      </c>
      <c r="M615" s="783">
        <v>6</v>
      </c>
      <c r="N615" s="772">
        <v>6</v>
      </c>
      <c r="O615" s="783">
        <v>1</v>
      </c>
      <c r="P615" s="772">
        <v>1</v>
      </c>
      <c r="Q615" s="783">
        <v>1</v>
      </c>
      <c r="R615" s="772">
        <v>1</v>
      </c>
      <c r="S615" s="783">
        <v>0</v>
      </c>
      <c r="T615" s="1063">
        <f>VLOOKUP($D615,PID_from_BP!$B:$I,4,0)</f>
        <v>0</v>
      </c>
      <c r="U615" s="783">
        <v>450</v>
      </c>
      <c r="V615" s="1063">
        <f>VLOOKUP($D615,PID_from_BP!$B:$I,3,0)</f>
        <v>450</v>
      </c>
      <c r="W615" s="783">
        <v>0</v>
      </c>
      <c r="X615" s="772"/>
      <c r="Y615" s="783">
        <v>317.17819312104001</v>
      </c>
      <c r="Z615" s="772"/>
    </row>
    <row r="616" spans="1:26" s="753" customFormat="1">
      <c r="A616" s="756" t="s">
        <v>5377</v>
      </c>
      <c r="B616" s="757"/>
      <c r="C616" s="758"/>
      <c r="D616" s="773" t="s">
        <v>9659</v>
      </c>
      <c r="E616" s="782"/>
      <c r="F616" s="774" t="s">
        <v>8598</v>
      </c>
      <c r="G616" s="981" t="s">
        <v>11481</v>
      </c>
      <c r="H616" s="772" t="str">
        <f>VLOOKUP($D616,PID_from_BP!$B:$I,2,0)</f>
        <v>DFU STABILISER FEED</v>
      </c>
      <c r="I616" s="981" t="s">
        <v>11481</v>
      </c>
      <c r="J616" s="772" t="str">
        <f>VLOOKUP($D616,PID_from_BP!$B:$I,2,0)</f>
        <v>DFU STABILISER FEED</v>
      </c>
      <c r="K616" s="981" t="s">
        <v>11676</v>
      </c>
      <c r="L616" s="1064" t="str">
        <f>VLOOKUP($D616,PID_from_BP!$B:$I,5,0)</f>
        <v>DEGC</v>
      </c>
      <c r="M616" s="783">
        <v>6</v>
      </c>
      <c r="N616" s="772">
        <v>6</v>
      </c>
      <c r="O616" s="783">
        <v>1</v>
      </c>
      <c r="P616" s="772">
        <v>1</v>
      </c>
      <c r="Q616" s="783">
        <v>1</v>
      </c>
      <c r="R616" s="772">
        <v>1</v>
      </c>
      <c r="S616" s="783">
        <v>0</v>
      </c>
      <c r="T616" s="1063">
        <f>VLOOKUP($D616,PID_from_BP!$B:$I,4,0)</f>
        <v>0</v>
      </c>
      <c r="U616" s="783">
        <v>200</v>
      </c>
      <c r="V616" s="1063">
        <f>VLOOKUP($D616,PID_from_BP!$B:$I,3,0)</f>
        <v>200</v>
      </c>
      <c r="W616" s="783">
        <v>0</v>
      </c>
      <c r="X616" s="772"/>
      <c r="Y616" s="783">
        <v>158.87441167730901</v>
      </c>
      <c r="Z616" s="772"/>
    </row>
    <row r="617" spans="1:26" s="753" customFormat="1">
      <c r="A617" s="756" t="s">
        <v>5377</v>
      </c>
      <c r="B617" s="757"/>
      <c r="C617" s="758"/>
      <c r="D617" s="773" t="s">
        <v>9660</v>
      </c>
      <c r="E617" s="782"/>
      <c r="F617" s="774" t="s">
        <v>8599</v>
      </c>
      <c r="G617" s="981" t="s">
        <v>11482</v>
      </c>
      <c r="H617" s="772" t="str">
        <f>VLOOKUP($D617,PID_from_BP!$B:$I,2,0)</f>
        <v>DFU STABILISER TRAY3 (REBOIL)</v>
      </c>
      <c r="I617" s="981" t="s">
        <v>11482</v>
      </c>
      <c r="J617" s="772" t="str">
        <f>VLOOKUP($D617,PID_from_BP!$B:$I,2,0)</f>
        <v>DFU STABILISER TRAY3 (REBOIL)</v>
      </c>
      <c r="K617" s="981" t="s">
        <v>11676</v>
      </c>
      <c r="L617" s="1064" t="str">
        <f>VLOOKUP($D617,PID_from_BP!$B:$I,5,0)</f>
        <v>DEGC</v>
      </c>
      <c r="M617" s="783">
        <v>6</v>
      </c>
      <c r="N617" s="772">
        <v>6</v>
      </c>
      <c r="O617" s="783">
        <v>1</v>
      </c>
      <c r="P617" s="772">
        <v>1</v>
      </c>
      <c r="Q617" s="783">
        <v>1</v>
      </c>
      <c r="R617" s="772">
        <v>1</v>
      </c>
      <c r="S617" s="783">
        <v>0</v>
      </c>
      <c r="T617" s="1063">
        <f>VLOOKUP($D617,PID_from_BP!$B:$I,4,0)</f>
        <v>0</v>
      </c>
      <c r="U617" s="783">
        <v>200</v>
      </c>
      <c r="V617" s="1063">
        <f>VLOOKUP($D617,PID_from_BP!$B:$I,3,0)</f>
        <v>200</v>
      </c>
      <c r="W617" s="783">
        <v>0</v>
      </c>
      <c r="X617" s="772"/>
      <c r="Y617" s="783">
        <v>172.24040071720401</v>
      </c>
      <c r="Z617" s="772"/>
    </row>
    <row r="618" spans="1:26" s="753" customFormat="1">
      <c r="A618" s="756" t="s">
        <v>5377</v>
      </c>
      <c r="B618" s="757"/>
      <c r="C618" s="758"/>
      <c r="D618" s="773" t="s">
        <v>6227</v>
      </c>
      <c r="E618" s="782"/>
      <c r="F618" s="774" t="s">
        <v>7958</v>
      </c>
      <c r="G618" s="981" t="s">
        <v>11483</v>
      </c>
      <c r="H618" s="772" t="str">
        <f>VLOOKUP($D618,PID_from_BP!$B:$I,2,0)</f>
        <v>OUTLET GASOLINE</v>
      </c>
      <c r="I618" s="981" t="s">
        <v>11483</v>
      </c>
      <c r="J618" s="772" t="str">
        <f>VLOOKUP($D618,PID_from_BP!$B:$I,2,0)</f>
        <v>OUTLET GASOLINE</v>
      </c>
      <c r="K618" s="981" t="s">
        <v>11676</v>
      </c>
      <c r="L618" s="1064" t="str">
        <f>VLOOKUP($D618,PID_from_BP!$B:$I,5,0)</f>
        <v>DEGC</v>
      </c>
      <c r="M618" s="783">
        <v>6</v>
      </c>
      <c r="N618" s="772">
        <v>6</v>
      </c>
      <c r="O618" s="783">
        <v>1</v>
      </c>
      <c r="P618" s="772">
        <v>1</v>
      </c>
      <c r="Q618" s="783">
        <v>1</v>
      </c>
      <c r="R618" s="772">
        <v>1</v>
      </c>
      <c r="S618" s="783">
        <v>0</v>
      </c>
      <c r="T618" s="1063">
        <f>VLOOKUP($D618,PID_from_BP!$B:$I,4,0)</f>
        <v>0</v>
      </c>
      <c r="U618" s="783">
        <v>150</v>
      </c>
      <c r="V618" s="1063">
        <f>VLOOKUP($D618,PID_from_BP!$B:$I,3,0)</f>
        <v>150</v>
      </c>
      <c r="W618" s="783">
        <v>0</v>
      </c>
      <c r="X618" s="772"/>
      <c r="Y618" s="783">
        <v>34.740883895489603</v>
      </c>
      <c r="Z618" s="772"/>
    </row>
    <row r="619" spans="1:26" s="753" customFormat="1">
      <c r="A619" s="756" t="s">
        <v>5377</v>
      </c>
      <c r="B619" s="757"/>
      <c r="C619" s="758"/>
      <c r="D619" s="773" t="s">
        <v>9661</v>
      </c>
      <c r="E619" s="782"/>
      <c r="F619" s="774" t="s">
        <v>8600</v>
      </c>
      <c r="G619" s="981" t="s">
        <v>11484</v>
      </c>
      <c r="H619" s="772" t="str">
        <f>VLOOKUP($D619,PID_from_BP!$B:$I,2,0)</f>
        <v>DFU STABILISER TOP</v>
      </c>
      <c r="I619" s="981" t="s">
        <v>11484</v>
      </c>
      <c r="J619" s="772" t="str">
        <f>VLOOKUP($D619,PID_from_BP!$B:$I,2,0)</f>
        <v>DFU STABILISER TOP</v>
      </c>
      <c r="K619" s="981" t="s">
        <v>11676</v>
      </c>
      <c r="L619" s="1064" t="str">
        <f>VLOOKUP($D619,PID_from_BP!$B:$I,5,0)</f>
        <v>DEGC</v>
      </c>
      <c r="M619" s="783">
        <v>6</v>
      </c>
      <c r="N619" s="772">
        <v>6</v>
      </c>
      <c r="O619" s="783">
        <v>1</v>
      </c>
      <c r="P619" s="772">
        <v>1</v>
      </c>
      <c r="Q619" s="783">
        <v>1</v>
      </c>
      <c r="R619" s="772">
        <v>1</v>
      </c>
      <c r="S619" s="783">
        <v>0</v>
      </c>
      <c r="T619" s="1063">
        <f>VLOOKUP($D619,PID_from_BP!$B:$I,4,0)</f>
        <v>0</v>
      </c>
      <c r="U619" s="783">
        <v>100</v>
      </c>
      <c r="V619" s="1063">
        <f>VLOOKUP($D619,PID_from_BP!$B:$I,3,0)</f>
        <v>100</v>
      </c>
      <c r="W619" s="783">
        <v>0</v>
      </c>
      <c r="X619" s="772"/>
      <c r="Y619" s="783">
        <v>68.857354732456798</v>
      </c>
      <c r="Z619" s="772"/>
    </row>
    <row r="620" spans="1:26" s="753" customFormat="1">
      <c r="A620" s="756" t="s">
        <v>5377</v>
      </c>
      <c r="B620" s="757"/>
      <c r="C620" s="758"/>
      <c r="D620" s="773" t="s">
        <v>9662</v>
      </c>
      <c r="E620" s="782"/>
      <c r="F620" s="774" t="s">
        <v>7949</v>
      </c>
      <c r="G620" s="981" t="s">
        <v>11485</v>
      </c>
      <c r="H620" s="772" t="str">
        <f>VLOOKUP($D620,PID_from_BP!$B:$I,2,0)</f>
        <v>SRB NAPHTA TO FW UNIT 500</v>
      </c>
      <c r="I620" s="981" t="s">
        <v>11485</v>
      </c>
      <c r="J620" s="772" t="str">
        <f>VLOOKUP($D620,PID_from_BP!$B:$I,2,0)</f>
        <v>SRB NAPHTA TO FW UNIT 500</v>
      </c>
      <c r="K620" s="981" t="s">
        <v>11676</v>
      </c>
      <c r="L620" s="1064" t="str">
        <f>VLOOKUP($D620,PID_from_BP!$B:$I,5,0)</f>
        <v>DEGC</v>
      </c>
      <c r="M620" s="783">
        <v>6</v>
      </c>
      <c r="N620" s="772">
        <v>6</v>
      </c>
      <c r="O620" s="783">
        <v>1</v>
      </c>
      <c r="P620" s="772">
        <v>1</v>
      </c>
      <c r="Q620" s="783">
        <v>1</v>
      </c>
      <c r="R620" s="772">
        <v>1</v>
      </c>
      <c r="S620" s="783">
        <v>0</v>
      </c>
      <c r="T620" s="1063">
        <f>VLOOKUP($D620,PID_from_BP!$B:$I,4,0)</f>
        <v>0</v>
      </c>
      <c r="U620" s="783">
        <v>100</v>
      </c>
      <c r="V620" s="1063">
        <f>VLOOKUP($D620,PID_from_BP!$B:$I,3,0)</f>
        <v>100</v>
      </c>
      <c r="W620" s="783">
        <v>0</v>
      </c>
      <c r="X620" s="772"/>
      <c r="Y620" s="783">
        <v>38.892335827529202</v>
      </c>
      <c r="Z620" s="772"/>
    </row>
    <row r="621" spans="1:26" s="753" customFormat="1">
      <c r="A621" s="756" t="s">
        <v>5377</v>
      </c>
      <c r="B621" s="757"/>
      <c r="C621" s="758"/>
      <c r="D621" s="773" t="s">
        <v>9877</v>
      </c>
      <c r="E621" s="782"/>
      <c r="F621" s="774" t="s">
        <v>7948</v>
      </c>
      <c r="G621" s="981" t="s">
        <v>11165</v>
      </c>
      <c r="H621" s="772" t="str">
        <f>VLOOKUP($D621,PID_from_BP!$B:$I,2,0)</f>
        <v>DFU SPLITTER TOP</v>
      </c>
      <c r="I621" s="981" t="s">
        <v>11165</v>
      </c>
      <c r="J621" s="772" t="str">
        <f>VLOOKUP($D621,PID_from_BP!$B:$I,2,0)</f>
        <v>DFU SPLITTER TOP</v>
      </c>
      <c r="K621" s="981" t="s">
        <v>11676</v>
      </c>
      <c r="L621" s="1064" t="str">
        <f>VLOOKUP($D621,PID_from_BP!$B:$I,5,0)</f>
        <v>DEGC</v>
      </c>
      <c r="M621" s="783">
        <v>6</v>
      </c>
      <c r="N621" s="772">
        <v>6</v>
      </c>
      <c r="O621" s="783">
        <v>1</v>
      </c>
      <c r="P621" s="772">
        <v>1</v>
      </c>
      <c r="Q621" s="783">
        <v>1</v>
      </c>
      <c r="R621" s="772">
        <v>1</v>
      </c>
      <c r="S621" s="783">
        <v>0</v>
      </c>
      <c r="T621" s="1063">
        <f>VLOOKUP($D621,PID_from_BP!$B:$I,4,0)</f>
        <v>0</v>
      </c>
      <c r="U621" s="783">
        <v>150</v>
      </c>
      <c r="V621" s="1063">
        <f>VLOOKUP($D621,PID_from_BP!$B:$I,3,0)</f>
        <v>150</v>
      </c>
      <c r="W621" s="783">
        <v>0</v>
      </c>
      <c r="X621" s="772"/>
      <c r="Y621" s="783">
        <v>86.623666501495606</v>
      </c>
      <c r="Z621" s="772"/>
    </row>
    <row r="622" spans="1:26" s="753" customFormat="1">
      <c r="A622" s="756" t="s">
        <v>10414</v>
      </c>
      <c r="B622" s="757"/>
      <c r="C622" s="758"/>
      <c r="D622" s="773" t="s">
        <v>9509</v>
      </c>
      <c r="E622" s="782"/>
      <c r="F622" s="774" t="s">
        <v>9208</v>
      </c>
      <c r="G622" s="981" t="s">
        <v>11057</v>
      </c>
      <c r="H622" s="772" t="str">
        <f>VLOOKUP($D622,transmitter_from_BP!$B:$F,2,0)</f>
        <v>RICH AMINE FROM TZ2851</v>
      </c>
      <c r="I622" s="981" t="s">
        <v>11057</v>
      </c>
      <c r="J622" s="772" t="str">
        <f>VLOOKUP($D622,transmitter_from_BP!$B:$F,2,0)</f>
        <v>RICH AMINE FROM TZ2851</v>
      </c>
      <c r="K622" s="981" t="s">
        <v>11684</v>
      </c>
      <c r="L622" s="772" t="str">
        <f>VLOOKUP($D622,transmitter_from_BP!$B:$F,5,0)</f>
        <v>M3/H</v>
      </c>
      <c r="M622" s="783">
        <v>0</v>
      </c>
      <c r="N622" s="772">
        <v>0</v>
      </c>
      <c r="O622" s="783">
        <v>1</v>
      </c>
      <c r="P622" s="772">
        <v>1</v>
      </c>
      <c r="Q622" s="783">
        <v>3600</v>
      </c>
      <c r="R622" s="772">
        <v>3600</v>
      </c>
      <c r="S622" s="783">
        <v>0</v>
      </c>
      <c r="T622" s="772">
        <f>VLOOKUP($D622,transmitter_from_BP!$B:$F,4,0)</f>
        <v>0</v>
      </c>
      <c r="U622" s="783">
        <v>29.5</v>
      </c>
      <c r="V622" s="772">
        <f>VLOOKUP($D622,transmitter_from_BP!$B:$F,3,0)</f>
        <v>29.5</v>
      </c>
      <c r="W622" s="783">
        <v>0</v>
      </c>
      <c r="X622" s="772"/>
      <c r="Y622" s="783">
        <v>18.9229643948422</v>
      </c>
      <c r="Z622" s="772"/>
    </row>
    <row r="623" spans="1:26" s="753" customFormat="1">
      <c r="A623" s="756" t="s">
        <v>10414</v>
      </c>
      <c r="B623" s="757"/>
      <c r="C623" s="758"/>
      <c r="D623" s="773" t="s">
        <v>9774</v>
      </c>
      <c r="E623" s="782"/>
      <c r="F623" s="774" t="s">
        <v>9184</v>
      </c>
      <c r="G623" s="981" t="s">
        <v>11486</v>
      </c>
      <c r="H623" s="772" t="str">
        <f>VLOOKUP($D623,transmitter_from_BP!$B:$F,2,0)</f>
        <v>CRUDE OUTLET EZ2108A</v>
      </c>
      <c r="I623" s="981" t="s">
        <v>11486</v>
      </c>
      <c r="J623" s="772" t="str">
        <f>VLOOKUP($D623,transmitter_from_BP!$B:$F,2,0)</f>
        <v>CRUDE OUTLET EZ2108A</v>
      </c>
      <c r="K623" s="981" t="s">
        <v>11676</v>
      </c>
      <c r="L623" s="772" t="str">
        <f>VLOOKUP($D623,transmitter_from_BP!$B:$F,5,0)</f>
        <v>DEGC</v>
      </c>
      <c r="M623" s="783">
        <v>6</v>
      </c>
      <c r="N623" s="772">
        <v>6</v>
      </c>
      <c r="O623" s="783">
        <v>1</v>
      </c>
      <c r="P623" s="772">
        <v>1</v>
      </c>
      <c r="Q623" s="783">
        <v>1</v>
      </c>
      <c r="R623" s="772">
        <v>1</v>
      </c>
      <c r="S623" s="783">
        <v>0</v>
      </c>
      <c r="T623" s="772">
        <f>VLOOKUP($D623,transmitter_from_BP!$B:$F,4,0)</f>
        <v>0</v>
      </c>
      <c r="U623" s="783">
        <v>650</v>
      </c>
      <c r="V623" s="772">
        <f>VLOOKUP($D623,transmitter_from_BP!$B:$F,3,0)</f>
        <v>650</v>
      </c>
      <c r="W623" s="783">
        <v>0</v>
      </c>
      <c r="X623" s="772"/>
      <c r="Y623" s="783">
        <v>194.887359517075</v>
      </c>
      <c r="Z623" s="772"/>
    </row>
    <row r="624" spans="1:26" s="753" customFormat="1">
      <c r="A624" s="756"/>
      <c r="B624" s="757"/>
      <c r="C624" s="758"/>
      <c r="D624" s="773" t="s">
        <v>10412</v>
      </c>
      <c r="E624" s="782"/>
      <c r="F624" s="774" t="s">
        <v>6449</v>
      </c>
      <c r="G624" s="981" t="s">
        <v>11487</v>
      </c>
      <c r="H624" s="772" t="s">
        <v>9377</v>
      </c>
      <c r="I624" s="981" t="s">
        <v>11487</v>
      </c>
      <c r="J624" s="772" t="s">
        <v>9377</v>
      </c>
      <c r="K624" s="981" t="s">
        <v>11689</v>
      </c>
      <c r="L624" s="772" t="s">
        <v>10413</v>
      </c>
      <c r="M624" s="783">
        <v>2</v>
      </c>
      <c r="N624" s="772">
        <v>2</v>
      </c>
      <c r="O624" s="783">
        <v>1</v>
      </c>
      <c r="P624" s="772">
        <v>1</v>
      </c>
      <c r="Q624" s="783">
        <v>1</v>
      </c>
      <c r="R624" s="772">
        <v>1</v>
      </c>
      <c r="S624" s="783">
        <v>0</v>
      </c>
      <c r="T624" s="772"/>
      <c r="U624" s="783">
        <v>100</v>
      </c>
      <c r="V624" s="772"/>
      <c r="W624" s="783">
        <v>0</v>
      </c>
      <c r="X624" s="772"/>
      <c r="Y624" s="783">
        <v>33.518763243598798</v>
      </c>
      <c r="Z624" s="772"/>
    </row>
    <row r="625" spans="1:26" s="753" customFormat="1">
      <c r="A625" s="756"/>
      <c r="B625" s="757"/>
      <c r="C625" s="758"/>
      <c r="D625" s="773" t="s">
        <v>10412</v>
      </c>
      <c r="E625" s="782"/>
      <c r="F625" s="774" t="s">
        <v>6450</v>
      </c>
      <c r="G625" s="981" t="s">
        <v>11488</v>
      </c>
      <c r="H625" s="772" t="s">
        <v>9378</v>
      </c>
      <c r="I625" s="981" t="s">
        <v>11488</v>
      </c>
      <c r="J625" s="772" t="s">
        <v>9378</v>
      </c>
      <c r="K625" s="981" t="s">
        <v>11689</v>
      </c>
      <c r="L625" s="1064" t="s">
        <v>9473</v>
      </c>
      <c r="M625" s="783">
        <v>2</v>
      </c>
      <c r="N625" s="772">
        <v>2</v>
      </c>
      <c r="O625" s="783">
        <v>1</v>
      </c>
      <c r="P625" s="772">
        <v>1</v>
      </c>
      <c r="Q625" s="783">
        <v>1</v>
      </c>
      <c r="R625" s="772">
        <v>1</v>
      </c>
      <c r="S625" s="783">
        <v>0</v>
      </c>
      <c r="T625" s="772"/>
      <c r="U625" s="783">
        <v>100</v>
      </c>
      <c r="V625" s="772"/>
      <c r="W625" s="783">
        <v>0</v>
      </c>
      <c r="X625" s="772"/>
      <c r="Y625" s="783">
        <v>33.518763243598798</v>
      </c>
      <c r="Z625" s="772"/>
    </row>
    <row r="626" spans="1:26" s="753" customFormat="1">
      <c r="A626" s="756"/>
      <c r="B626" s="757"/>
      <c r="C626" s="758"/>
      <c r="D626" s="773" t="s">
        <v>10412</v>
      </c>
      <c r="E626" s="782"/>
      <c r="F626" s="774" t="s">
        <v>6451</v>
      </c>
      <c r="G626" s="981" t="s">
        <v>11489</v>
      </c>
      <c r="H626" s="772" t="s">
        <v>9379</v>
      </c>
      <c r="I626" s="981" t="s">
        <v>11489</v>
      </c>
      <c r="J626" s="772" t="s">
        <v>9379</v>
      </c>
      <c r="K626" s="981" t="s">
        <v>11689</v>
      </c>
      <c r="L626" s="1064" t="s">
        <v>9473</v>
      </c>
      <c r="M626" s="783">
        <v>2</v>
      </c>
      <c r="N626" s="772">
        <v>2</v>
      </c>
      <c r="O626" s="783">
        <v>1</v>
      </c>
      <c r="P626" s="772">
        <v>1</v>
      </c>
      <c r="Q626" s="783">
        <v>1</v>
      </c>
      <c r="R626" s="772">
        <v>1</v>
      </c>
      <c r="S626" s="783">
        <v>0</v>
      </c>
      <c r="T626" s="772"/>
      <c r="U626" s="783">
        <v>100</v>
      </c>
      <c r="V626" s="772"/>
      <c r="W626" s="783">
        <v>0</v>
      </c>
      <c r="X626" s="772"/>
      <c r="Y626" s="783">
        <v>33.518763243598798</v>
      </c>
      <c r="Z626" s="772"/>
    </row>
    <row r="627" spans="1:26" s="753" customFormat="1">
      <c r="A627" s="756"/>
      <c r="B627" s="757"/>
      <c r="C627" s="758"/>
      <c r="D627" s="773" t="s">
        <v>10412</v>
      </c>
      <c r="E627" s="782"/>
      <c r="F627" s="774" t="s">
        <v>8628</v>
      </c>
      <c r="G627" s="981" t="s">
        <v>11490</v>
      </c>
      <c r="H627" s="772" t="s">
        <v>9380</v>
      </c>
      <c r="I627" s="981" t="s">
        <v>11490</v>
      </c>
      <c r="J627" s="772" t="s">
        <v>9380</v>
      </c>
      <c r="K627" s="981" t="s">
        <v>11689</v>
      </c>
      <c r="L627" s="1064" t="s">
        <v>9473</v>
      </c>
      <c r="M627" s="783">
        <v>2</v>
      </c>
      <c r="N627" s="772">
        <v>2</v>
      </c>
      <c r="O627" s="783">
        <v>1</v>
      </c>
      <c r="P627" s="772">
        <v>1</v>
      </c>
      <c r="Q627" s="783">
        <v>1</v>
      </c>
      <c r="R627" s="772">
        <v>1</v>
      </c>
      <c r="S627" s="783">
        <v>0</v>
      </c>
      <c r="T627" s="772"/>
      <c r="U627" s="783">
        <v>100</v>
      </c>
      <c r="V627" s="772"/>
      <c r="W627" s="783">
        <v>0</v>
      </c>
      <c r="X627" s="772"/>
      <c r="Y627" s="783">
        <v>9.5425531724650501</v>
      </c>
      <c r="Z627" s="772"/>
    </row>
    <row r="628" spans="1:26" s="753" customFormat="1">
      <c r="A628" s="756"/>
      <c r="B628" s="757"/>
      <c r="C628" s="758"/>
      <c r="D628" s="773" t="s">
        <v>10412</v>
      </c>
      <c r="E628" s="782"/>
      <c r="F628" s="774" t="s">
        <v>8629</v>
      </c>
      <c r="G628" s="981" t="s">
        <v>11491</v>
      </c>
      <c r="H628" s="772" t="s">
        <v>9381</v>
      </c>
      <c r="I628" s="981" t="s">
        <v>11491</v>
      </c>
      <c r="J628" s="772" t="s">
        <v>9381</v>
      </c>
      <c r="K628" s="981" t="s">
        <v>11689</v>
      </c>
      <c r="L628" s="1064" t="s">
        <v>9473</v>
      </c>
      <c r="M628" s="783">
        <v>2</v>
      </c>
      <c r="N628" s="772">
        <v>2</v>
      </c>
      <c r="O628" s="783">
        <v>1</v>
      </c>
      <c r="P628" s="772">
        <v>1</v>
      </c>
      <c r="Q628" s="783">
        <v>1</v>
      </c>
      <c r="R628" s="772">
        <v>1</v>
      </c>
      <c r="S628" s="783">
        <v>0</v>
      </c>
      <c r="T628" s="772"/>
      <c r="U628" s="783">
        <v>100</v>
      </c>
      <c r="V628" s="772"/>
      <c r="W628" s="783">
        <v>0</v>
      </c>
      <c r="X628" s="772"/>
      <c r="Y628" s="783">
        <v>4.6378804125234296</v>
      </c>
      <c r="Z628" s="772"/>
    </row>
    <row r="629" spans="1:26" s="753" customFormat="1">
      <c r="A629" s="756"/>
      <c r="B629" s="757"/>
      <c r="C629" s="758"/>
      <c r="D629" s="773" t="s">
        <v>10412</v>
      </c>
      <c r="E629" s="782"/>
      <c r="F629" s="774" t="s">
        <v>8630</v>
      </c>
      <c r="G629" s="981" t="s">
        <v>11492</v>
      </c>
      <c r="H629" s="772" t="s">
        <v>9382</v>
      </c>
      <c r="I629" s="981" t="s">
        <v>11492</v>
      </c>
      <c r="J629" s="772" t="s">
        <v>9382</v>
      </c>
      <c r="K629" s="981" t="s">
        <v>11689</v>
      </c>
      <c r="L629" s="1064" t="s">
        <v>9473</v>
      </c>
      <c r="M629" s="783">
        <v>2</v>
      </c>
      <c r="N629" s="772">
        <v>2</v>
      </c>
      <c r="O629" s="783">
        <v>1</v>
      </c>
      <c r="P629" s="772">
        <v>1</v>
      </c>
      <c r="Q629" s="783">
        <v>1</v>
      </c>
      <c r="R629" s="772">
        <v>1</v>
      </c>
      <c r="S629" s="783">
        <v>0</v>
      </c>
      <c r="T629" s="772"/>
      <c r="U629" s="783">
        <v>100</v>
      </c>
      <c r="V629" s="772"/>
      <c r="W629" s="783">
        <v>0</v>
      </c>
      <c r="X629" s="772"/>
      <c r="Y629" s="783">
        <v>9.5510316482498894</v>
      </c>
      <c r="Z629" s="772"/>
    </row>
    <row r="630" spans="1:26" s="753" customFormat="1">
      <c r="A630" s="756"/>
      <c r="B630" s="757"/>
      <c r="C630" s="758"/>
      <c r="D630" s="773" t="s">
        <v>10412</v>
      </c>
      <c r="E630" s="782"/>
      <c r="F630" s="774" t="s">
        <v>8601</v>
      </c>
      <c r="G630" s="981" t="s">
        <v>11493</v>
      </c>
      <c r="H630" s="772" t="s">
        <v>9383</v>
      </c>
      <c r="I630" s="981" t="s">
        <v>11493</v>
      </c>
      <c r="J630" s="772" t="s">
        <v>9383</v>
      </c>
      <c r="K630" s="981" t="s">
        <v>11689</v>
      </c>
      <c r="L630" s="1064" t="s">
        <v>9473</v>
      </c>
      <c r="M630" s="783">
        <v>2</v>
      </c>
      <c r="N630" s="772">
        <v>2</v>
      </c>
      <c r="O630" s="783">
        <v>1</v>
      </c>
      <c r="P630" s="772">
        <v>1</v>
      </c>
      <c r="Q630" s="783">
        <v>1</v>
      </c>
      <c r="R630" s="772">
        <v>1</v>
      </c>
      <c r="S630" s="783">
        <v>0</v>
      </c>
      <c r="T630" s="772"/>
      <c r="U630" s="783">
        <v>100</v>
      </c>
      <c r="V630" s="772"/>
      <c r="W630" s="783">
        <v>0</v>
      </c>
      <c r="X630" s="772"/>
      <c r="Y630" s="783">
        <v>25.208425314147998</v>
      </c>
      <c r="Z630" s="772"/>
    </row>
    <row r="631" spans="1:26" s="753" customFormat="1">
      <c r="A631" s="756"/>
      <c r="B631" s="757"/>
      <c r="C631" s="758"/>
      <c r="D631" s="773" t="s">
        <v>10412</v>
      </c>
      <c r="E631" s="782"/>
      <c r="F631" s="774" t="s">
        <v>8602</v>
      </c>
      <c r="G631" s="981" t="s">
        <v>11494</v>
      </c>
      <c r="H631" s="772" t="s">
        <v>9384</v>
      </c>
      <c r="I631" s="981" t="s">
        <v>11494</v>
      </c>
      <c r="J631" s="772" t="s">
        <v>9384</v>
      </c>
      <c r="K631" s="981" t="s">
        <v>11689</v>
      </c>
      <c r="L631" s="1064" t="s">
        <v>9473</v>
      </c>
      <c r="M631" s="783">
        <v>2</v>
      </c>
      <c r="N631" s="772">
        <v>2</v>
      </c>
      <c r="O631" s="783">
        <v>1</v>
      </c>
      <c r="P631" s="772">
        <v>1</v>
      </c>
      <c r="Q631" s="783">
        <v>1</v>
      </c>
      <c r="R631" s="772">
        <v>1</v>
      </c>
      <c r="S631" s="783">
        <v>0</v>
      </c>
      <c r="T631" s="772"/>
      <c r="U631" s="783">
        <v>100</v>
      </c>
      <c r="V631" s="772"/>
      <c r="W631" s="783">
        <v>0</v>
      </c>
      <c r="X631" s="772"/>
      <c r="Y631" s="783">
        <v>25.208425314147998</v>
      </c>
      <c r="Z631" s="772"/>
    </row>
    <row r="632" spans="1:26" s="753" customFormat="1">
      <c r="A632" s="756"/>
      <c r="B632" s="757"/>
      <c r="C632" s="758"/>
      <c r="D632" s="773" t="s">
        <v>10412</v>
      </c>
      <c r="E632" s="782"/>
      <c r="F632" s="774" t="s">
        <v>8603</v>
      </c>
      <c r="G632" s="981" t="s">
        <v>11495</v>
      </c>
      <c r="H632" s="772" t="s">
        <v>9385</v>
      </c>
      <c r="I632" s="981" t="s">
        <v>11495</v>
      </c>
      <c r="J632" s="772" t="s">
        <v>9385</v>
      </c>
      <c r="K632" s="981" t="s">
        <v>11689</v>
      </c>
      <c r="L632" s="1064" t="s">
        <v>9473</v>
      </c>
      <c r="M632" s="783">
        <v>2</v>
      </c>
      <c r="N632" s="772">
        <v>2</v>
      </c>
      <c r="O632" s="783">
        <v>1</v>
      </c>
      <c r="P632" s="772">
        <v>1</v>
      </c>
      <c r="Q632" s="783">
        <v>1</v>
      </c>
      <c r="R632" s="772">
        <v>1</v>
      </c>
      <c r="S632" s="783">
        <v>0</v>
      </c>
      <c r="T632" s="772"/>
      <c r="U632" s="783">
        <v>100</v>
      </c>
      <c r="V632" s="772"/>
      <c r="W632" s="783">
        <v>0</v>
      </c>
      <c r="X632" s="772"/>
      <c r="Y632" s="783">
        <v>23.2182822326684</v>
      </c>
      <c r="Z632" s="772"/>
    </row>
    <row r="633" spans="1:26" s="753" customFormat="1">
      <c r="A633" s="756"/>
      <c r="B633" s="757"/>
      <c r="C633" s="758"/>
      <c r="D633" s="773" t="s">
        <v>10412</v>
      </c>
      <c r="E633" s="782"/>
      <c r="F633" s="774" t="s">
        <v>9023</v>
      </c>
      <c r="G633" s="981" t="s">
        <v>11496</v>
      </c>
      <c r="H633" s="772" t="s">
        <v>9376</v>
      </c>
      <c r="I633" s="981" t="s">
        <v>11496</v>
      </c>
      <c r="J633" s="772" t="s">
        <v>9375</v>
      </c>
      <c r="K633" s="981" t="s">
        <v>11689</v>
      </c>
      <c r="L633" s="1064" t="s">
        <v>9473</v>
      </c>
      <c r="M633" s="783">
        <v>2</v>
      </c>
      <c r="N633" s="772">
        <v>2</v>
      </c>
      <c r="O633" s="783">
        <v>1</v>
      </c>
      <c r="P633" s="772">
        <v>1</v>
      </c>
      <c r="Q633" s="783">
        <v>1</v>
      </c>
      <c r="R633" s="772">
        <v>1</v>
      </c>
      <c r="S633" s="783">
        <v>0</v>
      </c>
      <c r="T633" s="772"/>
      <c r="U633" s="783">
        <v>20</v>
      </c>
      <c r="V633" s="772"/>
      <c r="W633" s="783">
        <v>0</v>
      </c>
      <c r="X633" s="772"/>
      <c r="Y633" s="783">
        <v>10.999810229999399</v>
      </c>
      <c r="Z633" s="772"/>
    </row>
    <row r="634" spans="1:26" s="753" customFormat="1">
      <c r="A634" s="756"/>
      <c r="B634" s="757"/>
      <c r="C634" s="758"/>
      <c r="D634" s="773" t="s">
        <v>10412</v>
      </c>
      <c r="E634" s="782"/>
      <c r="F634" s="774" t="s">
        <v>9024</v>
      </c>
      <c r="G634" s="981" t="s">
        <v>11497</v>
      </c>
      <c r="H634" s="772" t="s">
        <v>9034</v>
      </c>
      <c r="I634" s="981" t="s">
        <v>11497</v>
      </c>
      <c r="J634" s="772" t="s">
        <v>9034</v>
      </c>
      <c r="K634" s="981" t="s">
        <v>11689</v>
      </c>
      <c r="L634" s="1064" t="s">
        <v>9473</v>
      </c>
      <c r="M634" s="783">
        <v>2</v>
      </c>
      <c r="N634" s="772">
        <v>2</v>
      </c>
      <c r="O634" s="783">
        <v>1</v>
      </c>
      <c r="P634" s="772">
        <v>1</v>
      </c>
      <c r="Q634" s="783">
        <v>1</v>
      </c>
      <c r="R634" s="772">
        <v>1</v>
      </c>
      <c r="S634" s="783">
        <v>0</v>
      </c>
      <c r="T634" s="772"/>
      <c r="U634" s="783">
        <v>20</v>
      </c>
      <c r="V634" s="772"/>
      <c r="W634" s="783">
        <v>0</v>
      </c>
      <c r="X634" s="772"/>
      <c r="Y634" s="783">
        <v>10.985109120973201</v>
      </c>
      <c r="Z634" s="772"/>
    </row>
    <row r="635" spans="1:26" s="753" customFormat="1">
      <c r="A635" s="756"/>
      <c r="B635" s="757"/>
      <c r="C635" s="758"/>
      <c r="D635" s="773" t="s">
        <v>10412</v>
      </c>
      <c r="E635" s="782"/>
      <c r="F635" s="774" t="s">
        <v>9025</v>
      </c>
      <c r="G635" s="981" t="s">
        <v>11498</v>
      </c>
      <c r="H635" s="772" t="s">
        <v>9035</v>
      </c>
      <c r="I635" s="981" t="s">
        <v>11498</v>
      </c>
      <c r="J635" s="772" t="s">
        <v>9035</v>
      </c>
      <c r="K635" s="981" t="s">
        <v>11689</v>
      </c>
      <c r="L635" s="1064" t="s">
        <v>9473</v>
      </c>
      <c r="M635" s="783">
        <v>2</v>
      </c>
      <c r="N635" s="772">
        <v>2</v>
      </c>
      <c r="O635" s="783">
        <v>1</v>
      </c>
      <c r="P635" s="772">
        <v>1</v>
      </c>
      <c r="Q635" s="783">
        <v>1</v>
      </c>
      <c r="R635" s="772">
        <v>1</v>
      </c>
      <c r="S635" s="783">
        <v>0</v>
      </c>
      <c r="T635" s="772"/>
      <c r="U635" s="783">
        <v>20</v>
      </c>
      <c r="V635" s="772"/>
      <c r="W635" s="783">
        <v>0</v>
      </c>
      <c r="X635" s="772"/>
      <c r="Y635" s="783">
        <v>11.809361760279799</v>
      </c>
      <c r="Z635" s="772"/>
    </row>
    <row r="636" spans="1:26" s="753" customFormat="1">
      <c r="A636" s="756"/>
      <c r="B636" s="757"/>
      <c r="C636" s="758"/>
      <c r="D636" s="773" t="s">
        <v>10412</v>
      </c>
      <c r="E636" s="782"/>
      <c r="F636" s="774" t="s">
        <v>9029</v>
      </c>
      <c r="G636" s="981" t="s">
        <v>11499</v>
      </c>
      <c r="H636" s="772" t="s">
        <v>9032</v>
      </c>
      <c r="I636" s="981" t="s">
        <v>11499</v>
      </c>
      <c r="J636" s="772" t="s">
        <v>9032</v>
      </c>
      <c r="K636" s="981" t="s">
        <v>11689</v>
      </c>
      <c r="L636" s="1064" t="s">
        <v>9473</v>
      </c>
      <c r="M636" s="783">
        <v>2</v>
      </c>
      <c r="N636" s="772">
        <v>2</v>
      </c>
      <c r="O636" s="783">
        <v>1</v>
      </c>
      <c r="P636" s="772">
        <v>1</v>
      </c>
      <c r="Q636" s="783">
        <v>1</v>
      </c>
      <c r="R636" s="772">
        <v>1</v>
      </c>
      <c r="S636" s="783">
        <v>0</v>
      </c>
      <c r="T636" s="772"/>
      <c r="U636" s="783">
        <v>20</v>
      </c>
      <c r="V636" s="772"/>
      <c r="W636" s="783">
        <v>0</v>
      </c>
      <c r="X636" s="772"/>
      <c r="Y636" s="783">
        <v>18.579058042217198</v>
      </c>
      <c r="Z636" s="772"/>
    </row>
    <row r="637" spans="1:26" s="753" customFormat="1">
      <c r="A637" s="756"/>
      <c r="B637" s="757"/>
      <c r="C637" s="758"/>
      <c r="D637" s="773" t="s">
        <v>10412</v>
      </c>
      <c r="E637" s="782"/>
      <c r="F637" s="774" t="s">
        <v>9028</v>
      </c>
      <c r="G637" s="981" t="s">
        <v>11500</v>
      </c>
      <c r="H637" s="772" t="s">
        <v>9033</v>
      </c>
      <c r="I637" s="981" t="s">
        <v>11500</v>
      </c>
      <c r="J637" s="772" t="s">
        <v>9033</v>
      </c>
      <c r="K637" s="981" t="s">
        <v>11689</v>
      </c>
      <c r="L637" s="1064" t="s">
        <v>9473</v>
      </c>
      <c r="M637" s="783">
        <v>2</v>
      </c>
      <c r="N637" s="772">
        <v>2</v>
      </c>
      <c r="O637" s="783">
        <v>1</v>
      </c>
      <c r="P637" s="772">
        <v>1</v>
      </c>
      <c r="Q637" s="783">
        <v>1</v>
      </c>
      <c r="R637" s="772">
        <v>1</v>
      </c>
      <c r="S637" s="783">
        <v>0</v>
      </c>
      <c r="T637" s="772"/>
      <c r="U637" s="783">
        <v>20</v>
      </c>
      <c r="V637" s="772"/>
      <c r="W637" s="783">
        <v>0</v>
      </c>
      <c r="X637" s="772"/>
      <c r="Y637" s="783">
        <v>0.73961643802757504</v>
      </c>
      <c r="Z637" s="772"/>
    </row>
    <row r="638" spans="1:26" s="753" customFormat="1">
      <c r="A638" s="756"/>
      <c r="B638" s="757"/>
      <c r="C638" s="758"/>
      <c r="D638" s="773" t="s">
        <v>10412</v>
      </c>
      <c r="E638" s="782"/>
      <c r="F638" s="774" t="s">
        <v>9026</v>
      </c>
      <c r="G638" s="981" t="s">
        <v>11501</v>
      </c>
      <c r="H638" s="772" t="s">
        <v>9030</v>
      </c>
      <c r="I638" s="981" t="s">
        <v>11501</v>
      </c>
      <c r="J638" s="772" t="s">
        <v>9030</v>
      </c>
      <c r="K638" s="981" t="s">
        <v>11689</v>
      </c>
      <c r="L638" s="1064" t="s">
        <v>9473</v>
      </c>
      <c r="M638" s="783">
        <v>2</v>
      </c>
      <c r="N638" s="772">
        <v>2</v>
      </c>
      <c r="O638" s="783">
        <v>1</v>
      </c>
      <c r="P638" s="772">
        <v>1</v>
      </c>
      <c r="Q638" s="783">
        <v>1</v>
      </c>
      <c r="R638" s="772">
        <v>1</v>
      </c>
      <c r="S638" s="783">
        <v>0</v>
      </c>
      <c r="T638" s="772"/>
      <c r="U638" s="783">
        <v>10</v>
      </c>
      <c r="V638" s="772"/>
      <c r="W638" s="783">
        <v>0</v>
      </c>
      <c r="X638" s="772"/>
      <c r="Y638" s="783">
        <v>1.59509126910572</v>
      </c>
      <c r="Z638" s="772"/>
    </row>
    <row r="639" spans="1:26" s="753" customFormat="1">
      <c r="A639" s="756"/>
      <c r="B639" s="757"/>
      <c r="C639" s="758"/>
      <c r="D639" s="773" t="s">
        <v>10412</v>
      </c>
      <c r="E639" s="782"/>
      <c r="F639" s="774" t="s">
        <v>9027</v>
      </c>
      <c r="G639" s="981" t="s">
        <v>11502</v>
      </c>
      <c r="H639" s="772" t="s">
        <v>9031</v>
      </c>
      <c r="I639" s="981" t="s">
        <v>11502</v>
      </c>
      <c r="J639" s="772" t="s">
        <v>9031</v>
      </c>
      <c r="K639" s="981" t="s">
        <v>11689</v>
      </c>
      <c r="L639" s="1064" t="s">
        <v>9473</v>
      </c>
      <c r="M639" s="783">
        <v>2</v>
      </c>
      <c r="N639" s="772">
        <v>2</v>
      </c>
      <c r="O639" s="783">
        <v>1</v>
      </c>
      <c r="P639" s="772">
        <v>1</v>
      </c>
      <c r="Q639" s="783">
        <v>1</v>
      </c>
      <c r="R639" s="772">
        <v>1</v>
      </c>
      <c r="S639" s="783">
        <v>0</v>
      </c>
      <c r="T639" s="772"/>
      <c r="U639" s="783">
        <v>10</v>
      </c>
      <c r="V639" s="772"/>
      <c r="W639" s="783">
        <v>0</v>
      </c>
      <c r="X639" s="772"/>
      <c r="Y639" s="783">
        <v>0.24995526822112099</v>
      </c>
      <c r="Z639" s="772"/>
    </row>
    <row r="640" spans="1:26" s="753" customFormat="1">
      <c r="A640" s="756"/>
      <c r="B640" s="757"/>
      <c r="C640" s="758"/>
      <c r="D640" s="773" t="s">
        <v>10412</v>
      </c>
      <c r="E640" s="20"/>
      <c r="F640" s="774" t="s">
        <v>9305</v>
      </c>
      <c r="G640" s="981" t="s">
        <v>11503</v>
      </c>
      <c r="H640" s="772" t="s">
        <v>9386</v>
      </c>
      <c r="I640" s="981" t="s">
        <v>11503</v>
      </c>
      <c r="J640" s="772" t="s">
        <v>9386</v>
      </c>
      <c r="K640" s="981" t="s">
        <v>11689</v>
      </c>
      <c r="L640" s="1064" t="s">
        <v>9473</v>
      </c>
      <c r="M640" s="783">
        <v>2</v>
      </c>
      <c r="N640" s="772">
        <v>2</v>
      </c>
      <c r="O640" s="783">
        <v>1</v>
      </c>
      <c r="P640" s="772">
        <v>1</v>
      </c>
      <c r="Q640" s="783">
        <v>1</v>
      </c>
      <c r="R640" s="772">
        <v>1</v>
      </c>
      <c r="S640" s="783">
        <v>0</v>
      </c>
      <c r="T640" s="772"/>
      <c r="U640" s="783">
        <v>100</v>
      </c>
      <c r="V640" s="772"/>
      <c r="W640" s="783">
        <v>0</v>
      </c>
      <c r="X640" s="772"/>
      <c r="Y640" s="783">
        <v>1.71234864080691</v>
      </c>
      <c r="Z640" s="772"/>
    </row>
    <row r="641" spans="1:26" s="753" customFormat="1">
      <c r="A641" s="756"/>
      <c r="B641" s="757"/>
      <c r="C641" s="758"/>
      <c r="D641" s="773" t="s">
        <v>10412</v>
      </c>
      <c r="E641" s="20"/>
      <c r="F641" s="774" t="s">
        <v>9232</v>
      </c>
      <c r="G641" s="981" t="s">
        <v>11504</v>
      </c>
      <c r="H641" s="772" t="s">
        <v>9387</v>
      </c>
      <c r="I641" s="981" t="s">
        <v>11504</v>
      </c>
      <c r="J641" s="772" t="s">
        <v>9387</v>
      </c>
      <c r="K641" s="981" t="s">
        <v>11689</v>
      </c>
      <c r="L641" s="1064" t="s">
        <v>9473</v>
      </c>
      <c r="M641" s="783">
        <v>2</v>
      </c>
      <c r="N641" s="772">
        <v>2</v>
      </c>
      <c r="O641" s="783">
        <v>1</v>
      </c>
      <c r="P641" s="772">
        <v>1</v>
      </c>
      <c r="Q641" s="783">
        <v>1</v>
      </c>
      <c r="R641" s="772">
        <v>1</v>
      </c>
      <c r="S641" s="783">
        <v>0</v>
      </c>
      <c r="T641" s="772"/>
      <c r="U641" s="783">
        <v>100</v>
      </c>
      <c r="V641" s="772"/>
      <c r="W641" s="783">
        <v>0</v>
      </c>
      <c r="X641" s="772"/>
      <c r="Y641" s="783">
        <v>1.7123486408080999</v>
      </c>
      <c r="Z641" s="772"/>
    </row>
    <row r="642" spans="1:26" s="753" customFormat="1">
      <c r="A642" s="756"/>
      <c r="B642" s="757"/>
      <c r="C642" s="758"/>
      <c r="D642" s="773" t="s">
        <v>10412</v>
      </c>
      <c r="E642" s="20"/>
      <c r="F642" s="774" t="s">
        <v>9269</v>
      </c>
      <c r="G642" s="981" t="s">
        <v>11505</v>
      </c>
      <c r="H642" s="772" t="s">
        <v>9388</v>
      </c>
      <c r="I642" s="981" t="s">
        <v>11505</v>
      </c>
      <c r="J642" s="772" t="s">
        <v>9388</v>
      </c>
      <c r="K642" s="981" t="s">
        <v>11689</v>
      </c>
      <c r="L642" s="1064" t="s">
        <v>9473</v>
      </c>
      <c r="M642" s="783">
        <v>2</v>
      </c>
      <c r="N642" s="772">
        <v>2</v>
      </c>
      <c r="O642" s="783">
        <v>1</v>
      </c>
      <c r="P642" s="772">
        <v>1</v>
      </c>
      <c r="Q642" s="783">
        <v>1</v>
      </c>
      <c r="R642" s="772">
        <v>1</v>
      </c>
      <c r="S642" s="783">
        <v>0</v>
      </c>
      <c r="T642" s="772"/>
      <c r="U642" s="783">
        <v>1000</v>
      </c>
      <c r="V642" s="772"/>
      <c r="W642" s="783">
        <v>0</v>
      </c>
      <c r="X642" s="772"/>
      <c r="Y642" s="783">
        <v>0</v>
      </c>
      <c r="Z642" s="772"/>
    </row>
    <row r="643" spans="1:26" s="753" customFormat="1">
      <c r="A643" s="756"/>
      <c r="B643" s="757"/>
      <c r="C643" s="758"/>
      <c r="D643" s="773" t="s">
        <v>10412</v>
      </c>
      <c r="E643" s="20"/>
      <c r="F643" s="774" t="s">
        <v>9246</v>
      </c>
      <c r="G643" s="981" t="s">
        <v>11506</v>
      </c>
      <c r="H643" s="772" t="s">
        <v>9389</v>
      </c>
      <c r="I643" s="981" t="s">
        <v>11506</v>
      </c>
      <c r="J643" s="772" t="s">
        <v>9389</v>
      </c>
      <c r="K643" s="981" t="s">
        <v>11689</v>
      </c>
      <c r="L643" s="1064" t="s">
        <v>9473</v>
      </c>
      <c r="M643" s="783">
        <v>2</v>
      </c>
      <c r="N643" s="772">
        <v>2</v>
      </c>
      <c r="O643" s="783">
        <v>1</v>
      </c>
      <c r="P643" s="772">
        <v>1</v>
      </c>
      <c r="Q643" s="783">
        <v>1</v>
      </c>
      <c r="R643" s="772">
        <v>1</v>
      </c>
      <c r="S643" s="783">
        <v>0</v>
      </c>
      <c r="T643" s="772"/>
      <c r="U643" s="783">
        <v>1000</v>
      </c>
      <c r="V643" s="772"/>
      <c r="W643" s="783">
        <v>0</v>
      </c>
      <c r="X643" s="772"/>
      <c r="Y643" s="783">
        <v>4.0285663544145103E-2</v>
      </c>
      <c r="Z643" s="772"/>
    </row>
    <row r="644" spans="1:26" s="753" customFormat="1">
      <c r="A644" s="756"/>
      <c r="B644" s="757"/>
      <c r="C644" s="758"/>
      <c r="D644" s="773" t="s">
        <v>10412</v>
      </c>
      <c r="E644" s="20"/>
      <c r="F644" s="774" t="s">
        <v>9429</v>
      </c>
      <c r="G644" s="981" t="s">
        <v>11507</v>
      </c>
      <c r="H644" s="772" t="s">
        <v>9431</v>
      </c>
      <c r="I644" s="981" t="s">
        <v>11507</v>
      </c>
      <c r="J644" s="772" t="s">
        <v>9431</v>
      </c>
      <c r="K644" s="981" t="s">
        <v>11689</v>
      </c>
      <c r="L644" s="1064" t="s">
        <v>9473</v>
      </c>
      <c r="M644" s="783">
        <v>2</v>
      </c>
      <c r="N644" s="772">
        <v>2</v>
      </c>
      <c r="O644" s="783">
        <v>1</v>
      </c>
      <c r="P644" s="772">
        <v>1</v>
      </c>
      <c r="Q644" s="783">
        <v>1</v>
      </c>
      <c r="R644" s="772">
        <v>1</v>
      </c>
      <c r="S644" s="783">
        <v>0</v>
      </c>
      <c r="T644" s="772"/>
      <c r="U644" s="783">
        <v>30</v>
      </c>
      <c r="V644" s="772"/>
      <c r="W644" s="783">
        <v>0</v>
      </c>
      <c r="X644" s="772"/>
      <c r="Y644" s="783">
        <v>0.70554944791031804</v>
      </c>
      <c r="Z644" s="772"/>
    </row>
    <row r="645" spans="1:26" s="753" customFormat="1">
      <c r="A645" s="756"/>
      <c r="B645" s="757"/>
      <c r="C645" s="758"/>
      <c r="D645" s="773" t="s">
        <v>10412</v>
      </c>
      <c r="E645" s="20"/>
      <c r="F645" s="774" t="s">
        <v>9370</v>
      </c>
      <c r="G645" s="981" t="s">
        <v>11508</v>
      </c>
      <c r="H645" s="772" t="s">
        <v>9390</v>
      </c>
      <c r="I645" s="981" t="s">
        <v>11508</v>
      </c>
      <c r="J645" s="772" t="s">
        <v>9390</v>
      </c>
      <c r="K645" s="981" t="s">
        <v>11689</v>
      </c>
      <c r="L645" s="1064" t="s">
        <v>9473</v>
      </c>
      <c r="M645" s="783">
        <v>2</v>
      </c>
      <c r="N645" s="772">
        <v>2</v>
      </c>
      <c r="O645" s="783">
        <v>1</v>
      </c>
      <c r="P645" s="772">
        <v>1</v>
      </c>
      <c r="Q645" s="783">
        <v>1</v>
      </c>
      <c r="R645" s="772">
        <v>1</v>
      </c>
      <c r="S645" s="783">
        <v>0</v>
      </c>
      <c r="T645" s="772"/>
      <c r="U645" s="783">
        <v>30</v>
      </c>
      <c r="V645" s="772"/>
      <c r="W645" s="783">
        <v>0</v>
      </c>
      <c r="X645" s="772"/>
      <c r="Y645" s="783">
        <v>20.468279473448401</v>
      </c>
      <c r="Z645" s="772"/>
    </row>
    <row r="646" spans="1:26" s="753" customFormat="1">
      <c r="A646" s="756"/>
      <c r="B646" s="757"/>
      <c r="C646" s="758"/>
      <c r="D646" s="773" t="s">
        <v>10412</v>
      </c>
      <c r="E646" s="782"/>
      <c r="F646" s="774" t="s">
        <v>6346</v>
      </c>
      <c r="G646" s="981" t="s">
        <v>11509</v>
      </c>
      <c r="H646" s="772" t="s">
        <v>9391</v>
      </c>
      <c r="I646" s="981" t="s">
        <v>11509</v>
      </c>
      <c r="J646" s="772" t="s">
        <v>9391</v>
      </c>
      <c r="K646" s="981" t="s">
        <v>11689</v>
      </c>
      <c r="L646" s="1064" t="s">
        <v>9473</v>
      </c>
      <c r="M646" s="783">
        <v>2</v>
      </c>
      <c r="N646" s="772">
        <v>2</v>
      </c>
      <c r="O646" s="783">
        <v>1</v>
      </c>
      <c r="P646" s="772">
        <v>1</v>
      </c>
      <c r="Q646" s="783">
        <v>1</v>
      </c>
      <c r="R646" s="772">
        <v>1</v>
      </c>
      <c r="S646" s="783">
        <v>0</v>
      </c>
      <c r="T646" s="772"/>
      <c r="U646" s="783">
        <v>100</v>
      </c>
      <c r="V646" s="772"/>
      <c r="W646" s="783">
        <v>0</v>
      </c>
      <c r="X646" s="772"/>
      <c r="Y646" s="783">
        <v>43.617869801551798</v>
      </c>
      <c r="Z646" s="772"/>
    </row>
    <row r="647" spans="1:26" s="753" customFormat="1">
      <c r="A647" s="756"/>
      <c r="B647" s="757"/>
      <c r="C647" s="758"/>
      <c r="D647" s="773" t="s">
        <v>10412</v>
      </c>
      <c r="E647" s="782"/>
      <c r="F647" s="774" t="s">
        <v>6347</v>
      </c>
      <c r="G647" s="981" t="s">
        <v>11510</v>
      </c>
      <c r="H647" s="772" t="s">
        <v>9392</v>
      </c>
      <c r="I647" s="981" t="s">
        <v>11510</v>
      </c>
      <c r="J647" s="772" t="s">
        <v>9392</v>
      </c>
      <c r="K647" s="981" t="s">
        <v>11689</v>
      </c>
      <c r="L647" s="1064" t="s">
        <v>9473</v>
      </c>
      <c r="M647" s="783">
        <v>2</v>
      </c>
      <c r="N647" s="772">
        <v>2</v>
      </c>
      <c r="O647" s="783">
        <v>1</v>
      </c>
      <c r="P647" s="772">
        <v>1</v>
      </c>
      <c r="Q647" s="783">
        <v>1</v>
      </c>
      <c r="R647" s="772">
        <v>1</v>
      </c>
      <c r="S647" s="783">
        <v>0</v>
      </c>
      <c r="T647" s="772"/>
      <c r="U647" s="783">
        <v>100</v>
      </c>
      <c r="V647" s="772"/>
      <c r="W647" s="783">
        <v>0</v>
      </c>
      <c r="X647" s="772"/>
      <c r="Y647" s="783">
        <v>35.028297646044301</v>
      </c>
      <c r="Z647" s="772"/>
    </row>
    <row r="648" spans="1:26" s="753" customFormat="1">
      <c r="A648" s="756"/>
      <c r="B648" s="757"/>
      <c r="C648" s="758"/>
      <c r="D648" s="773" t="s">
        <v>10412</v>
      </c>
      <c r="E648" s="782"/>
      <c r="F648" s="774" t="s">
        <v>6355</v>
      </c>
      <c r="G648" s="981" t="s">
        <v>11511</v>
      </c>
      <c r="H648" s="772" t="s">
        <v>9393</v>
      </c>
      <c r="I648" s="981" t="s">
        <v>11511</v>
      </c>
      <c r="J648" s="772" t="s">
        <v>9393</v>
      </c>
      <c r="K648" s="981" t="s">
        <v>11689</v>
      </c>
      <c r="L648" s="1064" t="s">
        <v>9473</v>
      </c>
      <c r="M648" s="783">
        <v>2</v>
      </c>
      <c r="N648" s="772">
        <v>2</v>
      </c>
      <c r="O648" s="783">
        <v>1</v>
      </c>
      <c r="P648" s="772">
        <v>1</v>
      </c>
      <c r="Q648" s="783">
        <v>1</v>
      </c>
      <c r="R648" s="772">
        <v>1</v>
      </c>
      <c r="S648" s="783">
        <v>0</v>
      </c>
      <c r="T648" s="772"/>
      <c r="U648" s="783">
        <v>100</v>
      </c>
      <c r="V648" s="772"/>
      <c r="W648" s="783">
        <v>0</v>
      </c>
      <c r="X648" s="772"/>
      <c r="Y648" s="783">
        <v>18.047538819512901</v>
      </c>
      <c r="Z648" s="772"/>
    </row>
    <row r="649" spans="1:26" s="753" customFormat="1">
      <c r="A649" s="756"/>
      <c r="B649" s="757"/>
      <c r="C649" s="758"/>
      <c r="D649" s="773" t="s">
        <v>10412</v>
      </c>
      <c r="E649" s="782"/>
      <c r="F649" s="774" t="s">
        <v>6356</v>
      </c>
      <c r="G649" s="981" t="s">
        <v>11512</v>
      </c>
      <c r="H649" s="772" t="s">
        <v>9394</v>
      </c>
      <c r="I649" s="981" t="s">
        <v>11512</v>
      </c>
      <c r="J649" s="772" t="s">
        <v>9394</v>
      </c>
      <c r="K649" s="981" t="s">
        <v>11689</v>
      </c>
      <c r="L649" s="1064" t="s">
        <v>9473</v>
      </c>
      <c r="M649" s="783">
        <v>2</v>
      </c>
      <c r="N649" s="772">
        <v>2</v>
      </c>
      <c r="O649" s="783">
        <v>1</v>
      </c>
      <c r="P649" s="772">
        <v>1</v>
      </c>
      <c r="Q649" s="783">
        <v>1</v>
      </c>
      <c r="R649" s="772">
        <v>1</v>
      </c>
      <c r="S649" s="783">
        <v>0</v>
      </c>
      <c r="T649" s="772"/>
      <c r="U649" s="783">
        <v>100</v>
      </c>
      <c r="V649" s="772"/>
      <c r="W649" s="783">
        <v>0</v>
      </c>
      <c r="X649" s="772"/>
      <c r="Y649" s="783">
        <v>0</v>
      </c>
      <c r="Z649" s="772"/>
    </row>
    <row r="650" spans="1:26" s="753" customFormat="1">
      <c r="A650" s="756"/>
      <c r="B650" s="757"/>
      <c r="C650" s="758"/>
      <c r="D650" s="773" t="s">
        <v>10412</v>
      </c>
      <c r="E650" s="782"/>
      <c r="F650" s="774" t="s">
        <v>6421</v>
      </c>
      <c r="G650" s="981" t="s">
        <v>11513</v>
      </c>
      <c r="H650" s="772" t="s">
        <v>9395</v>
      </c>
      <c r="I650" s="981" t="s">
        <v>11513</v>
      </c>
      <c r="J650" s="772" t="s">
        <v>9395</v>
      </c>
      <c r="K650" s="981" t="s">
        <v>11689</v>
      </c>
      <c r="L650" s="1064" t="s">
        <v>9473</v>
      </c>
      <c r="M650" s="783">
        <v>2</v>
      </c>
      <c r="N650" s="772">
        <v>2</v>
      </c>
      <c r="O650" s="783">
        <v>1</v>
      </c>
      <c r="P650" s="772">
        <v>1</v>
      </c>
      <c r="Q650" s="783">
        <v>1</v>
      </c>
      <c r="R650" s="772">
        <v>1</v>
      </c>
      <c r="S650" s="783">
        <v>0</v>
      </c>
      <c r="T650" s="772"/>
      <c r="U650" s="783">
        <v>100</v>
      </c>
      <c r="V650" s="772"/>
      <c r="W650" s="783">
        <v>0</v>
      </c>
      <c r="X650" s="772"/>
      <c r="Y650" s="783">
        <v>1.0885229477068701</v>
      </c>
      <c r="Z650" s="772"/>
    </row>
    <row r="651" spans="1:26" s="753" customFormat="1">
      <c r="A651" s="756"/>
      <c r="B651" s="757"/>
      <c r="C651" s="758"/>
      <c r="D651" s="773" t="s">
        <v>10412</v>
      </c>
      <c r="E651" s="20"/>
      <c r="F651" s="774" t="s">
        <v>9239</v>
      </c>
      <c r="G651" s="981" t="s">
        <v>11514</v>
      </c>
      <c r="H651" s="772" t="s">
        <v>9396</v>
      </c>
      <c r="I651" s="981" t="s">
        <v>11514</v>
      </c>
      <c r="J651" s="772" t="s">
        <v>9396</v>
      </c>
      <c r="K651" s="981" t="s">
        <v>11689</v>
      </c>
      <c r="L651" s="1064" t="s">
        <v>9473</v>
      </c>
      <c r="M651" s="783">
        <v>2</v>
      </c>
      <c r="N651" s="772">
        <v>2</v>
      </c>
      <c r="O651" s="783">
        <v>1</v>
      </c>
      <c r="P651" s="772">
        <v>1</v>
      </c>
      <c r="Q651" s="783">
        <v>1</v>
      </c>
      <c r="R651" s="772">
        <v>1</v>
      </c>
      <c r="S651" s="783">
        <v>0</v>
      </c>
      <c r="T651" s="772"/>
      <c r="U651" s="783">
        <v>10</v>
      </c>
      <c r="V651" s="772"/>
      <c r="W651" s="783">
        <v>0</v>
      </c>
      <c r="X651" s="772"/>
      <c r="Y651" s="783">
        <v>5.69592932553123</v>
      </c>
      <c r="Z651" s="772"/>
    </row>
    <row r="652" spans="1:26" s="753" customFormat="1">
      <c r="A652" s="756"/>
      <c r="B652" s="757"/>
      <c r="C652" s="758"/>
      <c r="D652" s="773" t="s">
        <v>10412</v>
      </c>
      <c r="E652" s="782"/>
      <c r="F652" s="774" t="s">
        <v>8541</v>
      </c>
      <c r="G652" s="981" t="s">
        <v>11515</v>
      </c>
      <c r="H652" s="772" t="s">
        <v>9397</v>
      </c>
      <c r="I652" s="981" t="s">
        <v>11515</v>
      </c>
      <c r="J652" s="772" t="s">
        <v>9397</v>
      </c>
      <c r="K652" s="981" t="s">
        <v>11689</v>
      </c>
      <c r="L652" s="772" t="s">
        <v>10413</v>
      </c>
      <c r="M652" s="783">
        <v>2</v>
      </c>
      <c r="N652" s="772">
        <v>2</v>
      </c>
      <c r="O652" s="783">
        <v>1</v>
      </c>
      <c r="P652" s="772">
        <v>1</v>
      </c>
      <c r="Q652" s="783">
        <v>1</v>
      </c>
      <c r="R652" s="772">
        <v>1</v>
      </c>
      <c r="S652" s="783">
        <v>0</v>
      </c>
      <c r="T652" s="772"/>
      <c r="U652" s="783">
        <v>100</v>
      </c>
      <c r="V652" s="772"/>
      <c r="W652" s="783">
        <v>0</v>
      </c>
      <c r="X652" s="772"/>
      <c r="Y652" s="783">
        <v>19.939330302800201</v>
      </c>
      <c r="Z652" s="772"/>
    </row>
    <row r="653" spans="1:26" s="753" customFormat="1">
      <c r="A653" s="756"/>
      <c r="B653" s="757"/>
      <c r="C653" s="758"/>
      <c r="D653" s="773" t="s">
        <v>10412</v>
      </c>
      <c r="E653" s="782"/>
      <c r="F653" s="774" t="s">
        <v>8542</v>
      </c>
      <c r="G653" s="981" t="s">
        <v>11516</v>
      </c>
      <c r="H653" s="772" t="s">
        <v>9398</v>
      </c>
      <c r="I653" s="981" t="s">
        <v>11516</v>
      </c>
      <c r="J653" s="772" t="s">
        <v>9398</v>
      </c>
      <c r="K653" s="981" t="s">
        <v>11689</v>
      </c>
      <c r="L653" s="1064" t="s">
        <v>9473</v>
      </c>
      <c r="M653" s="783">
        <v>2</v>
      </c>
      <c r="N653" s="772">
        <v>2</v>
      </c>
      <c r="O653" s="783">
        <v>1</v>
      </c>
      <c r="P653" s="772">
        <v>1</v>
      </c>
      <c r="Q653" s="783">
        <v>1</v>
      </c>
      <c r="R653" s="772">
        <v>1</v>
      </c>
      <c r="S653" s="783">
        <v>0</v>
      </c>
      <c r="T653" s="772"/>
      <c r="U653" s="783">
        <v>100</v>
      </c>
      <c r="V653" s="772"/>
      <c r="W653" s="783">
        <v>0</v>
      </c>
      <c r="X653" s="772"/>
      <c r="Y653" s="783">
        <v>8.4990994375261497</v>
      </c>
      <c r="Z653" s="772"/>
    </row>
    <row r="654" spans="1:26" s="753" customFormat="1">
      <c r="A654" s="756"/>
      <c r="B654" s="757"/>
      <c r="C654" s="758"/>
      <c r="D654" s="773" t="s">
        <v>10412</v>
      </c>
      <c r="E654" s="782"/>
      <c r="F654" s="774" t="s">
        <v>8562</v>
      </c>
      <c r="G654" s="981" t="s">
        <v>11517</v>
      </c>
      <c r="H654" s="772" t="s">
        <v>9399</v>
      </c>
      <c r="I654" s="981" t="s">
        <v>11517</v>
      </c>
      <c r="J654" s="772" t="s">
        <v>9399</v>
      </c>
      <c r="K654" s="981" t="s">
        <v>11689</v>
      </c>
      <c r="L654" s="1064" t="s">
        <v>9473</v>
      </c>
      <c r="M654" s="783">
        <v>2</v>
      </c>
      <c r="N654" s="772">
        <v>2</v>
      </c>
      <c r="O654" s="783">
        <v>1</v>
      </c>
      <c r="P654" s="772">
        <v>1</v>
      </c>
      <c r="Q654" s="783">
        <v>1</v>
      </c>
      <c r="R654" s="772">
        <v>1</v>
      </c>
      <c r="S654" s="783">
        <v>0</v>
      </c>
      <c r="T654" s="772"/>
      <c r="U654" s="783">
        <v>100</v>
      </c>
      <c r="V654" s="772"/>
      <c r="W654" s="783">
        <v>0</v>
      </c>
      <c r="X654" s="772"/>
      <c r="Y654" s="783">
        <v>13.0230224449696</v>
      </c>
      <c r="Z654" s="772"/>
    </row>
    <row r="655" spans="1:26" s="753" customFormat="1">
      <c r="A655" s="756"/>
      <c r="B655" s="757"/>
      <c r="C655" s="758"/>
      <c r="D655" s="773" t="s">
        <v>10412</v>
      </c>
      <c r="E655" s="782"/>
      <c r="F655" s="774" t="s">
        <v>8563</v>
      </c>
      <c r="G655" s="981" t="s">
        <v>11518</v>
      </c>
      <c r="H655" s="772" t="s">
        <v>9400</v>
      </c>
      <c r="I655" s="981" t="s">
        <v>11518</v>
      </c>
      <c r="J655" s="772" t="s">
        <v>9400</v>
      </c>
      <c r="K655" s="981" t="s">
        <v>11689</v>
      </c>
      <c r="L655" s="1064" t="s">
        <v>9473</v>
      </c>
      <c r="M655" s="783">
        <v>2</v>
      </c>
      <c r="N655" s="772">
        <v>2</v>
      </c>
      <c r="O655" s="783">
        <v>1</v>
      </c>
      <c r="P655" s="772">
        <v>1</v>
      </c>
      <c r="Q655" s="783">
        <v>1</v>
      </c>
      <c r="R655" s="772">
        <v>1</v>
      </c>
      <c r="S655" s="783">
        <v>0</v>
      </c>
      <c r="T655" s="772"/>
      <c r="U655" s="783">
        <v>100</v>
      </c>
      <c r="V655" s="772"/>
      <c r="W655" s="783">
        <v>0</v>
      </c>
      <c r="X655" s="772"/>
      <c r="Y655" s="783">
        <v>1.6570982103682199</v>
      </c>
      <c r="Z655" s="772"/>
    </row>
    <row r="656" spans="1:26" s="753" customFormat="1">
      <c r="A656" s="756"/>
      <c r="B656" s="757"/>
      <c r="C656" s="758"/>
      <c r="D656" s="773" t="s">
        <v>10412</v>
      </c>
      <c r="E656" s="782"/>
      <c r="F656" s="774" t="s">
        <v>8564</v>
      </c>
      <c r="G656" s="981" t="s">
        <v>11519</v>
      </c>
      <c r="H656" s="772" t="s">
        <v>9401</v>
      </c>
      <c r="I656" s="981" t="s">
        <v>11519</v>
      </c>
      <c r="J656" s="772" t="s">
        <v>9401</v>
      </c>
      <c r="K656" s="981" t="s">
        <v>11689</v>
      </c>
      <c r="L656" s="1064" t="s">
        <v>9473</v>
      </c>
      <c r="M656" s="783">
        <v>2</v>
      </c>
      <c r="N656" s="772">
        <v>2</v>
      </c>
      <c r="O656" s="783">
        <v>1</v>
      </c>
      <c r="P656" s="772">
        <v>1</v>
      </c>
      <c r="Q656" s="783">
        <v>1</v>
      </c>
      <c r="R656" s="772">
        <v>1</v>
      </c>
      <c r="S656" s="783">
        <v>0</v>
      </c>
      <c r="T656" s="772"/>
      <c r="U656" s="783">
        <v>100</v>
      </c>
      <c r="V656" s="772"/>
      <c r="W656" s="783">
        <v>0</v>
      </c>
      <c r="X656" s="772"/>
      <c r="Y656" s="783">
        <v>27.364374211500799</v>
      </c>
      <c r="Z656" s="772"/>
    </row>
    <row r="657" spans="1:26" s="753" customFormat="1">
      <c r="A657" s="756"/>
      <c r="B657" s="757"/>
      <c r="C657" s="758"/>
      <c r="D657" s="773" t="s">
        <v>10412</v>
      </c>
      <c r="E657" s="782"/>
      <c r="F657" s="774" t="s">
        <v>8565</v>
      </c>
      <c r="G657" s="981" t="s">
        <v>11520</v>
      </c>
      <c r="H657" s="772" t="s">
        <v>9402</v>
      </c>
      <c r="I657" s="981" t="s">
        <v>11520</v>
      </c>
      <c r="J657" s="772" t="s">
        <v>9402</v>
      </c>
      <c r="K657" s="981" t="s">
        <v>11689</v>
      </c>
      <c r="L657" s="1064" t="s">
        <v>9473</v>
      </c>
      <c r="M657" s="783">
        <v>2</v>
      </c>
      <c r="N657" s="772">
        <v>2</v>
      </c>
      <c r="O657" s="783">
        <v>1</v>
      </c>
      <c r="P657" s="772">
        <v>1</v>
      </c>
      <c r="Q657" s="783">
        <v>1</v>
      </c>
      <c r="R657" s="772">
        <v>1</v>
      </c>
      <c r="S657" s="783">
        <v>0</v>
      </c>
      <c r="T657" s="772"/>
      <c r="U657" s="783">
        <v>100</v>
      </c>
      <c r="V657" s="772"/>
      <c r="W657" s="783">
        <v>0</v>
      </c>
      <c r="X657" s="772"/>
      <c r="Y657" s="783">
        <v>15.001260953502999</v>
      </c>
      <c r="Z657" s="772"/>
    </row>
    <row r="658" spans="1:26" s="753" customFormat="1">
      <c r="A658" s="756"/>
      <c r="B658" s="757"/>
      <c r="C658" s="758"/>
      <c r="D658" s="773" t="s">
        <v>10412</v>
      </c>
      <c r="E658" s="782"/>
      <c r="F658" s="774" t="s">
        <v>6234</v>
      </c>
      <c r="G658" s="981" t="s">
        <v>11521</v>
      </c>
      <c r="H658" s="772" t="s">
        <v>6238</v>
      </c>
      <c r="I658" s="981" t="s">
        <v>11521</v>
      </c>
      <c r="J658" s="772" t="s">
        <v>6238</v>
      </c>
      <c r="K658" s="981" t="s">
        <v>11689</v>
      </c>
      <c r="L658" s="1064" t="s">
        <v>9473</v>
      </c>
      <c r="M658" s="783">
        <v>2</v>
      </c>
      <c r="N658" s="772">
        <v>2</v>
      </c>
      <c r="O658" s="783">
        <v>1</v>
      </c>
      <c r="P658" s="772">
        <v>1</v>
      </c>
      <c r="Q658" s="783">
        <v>1</v>
      </c>
      <c r="R658" s="772">
        <v>1</v>
      </c>
      <c r="S658" s="783">
        <v>0</v>
      </c>
      <c r="T658" s="772"/>
      <c r="U658" s="783">
        <v>20</v>
      </c>
      <c r="V658" s="772"/>
      <c r="W658" s="783">
        <v>0</v>
      </c>
      <c r="X658" s="772"/>
      <c r="Y658" s="783">
        <v>5.6424481703867704</v>
      </c>
      <c r="Z658" s="772"/>
    </row>
    <row r="659" spans="1:26" s="753" customFormat="1">
      <c r="A659" s="756"/>
      <c r="B659" s="757"/>
      <c r="C659" s="758"/>
      <c r="D659" s="773" t="s">
        <v>10412</v>
      </c>
      <c r="E659" s="782"/>
      <c r="F659" s="774" t="s">
        <v>6236</v>
      </c>
      <c r="G659" s="981" t="s">
        <v>11522</v>
      </c>
      <c r="H659" s="772" t="s">
        <v>6240</v>
      </c>
      <c r="I659" s="981" t="s">
        <v>11522</v>
      </c>
      <c r="J659" s="772" t="s">
        <v>6240</v>
      </c>
      <c r="K659" s="981" t="s">
        <v>11689</v>
      </c>
      <c r="L659" s="1064" t="s">
        <v>9473</v>
      </c>
      <c r="M659" s="783">
        <v>2</v>
      </c>
      <c r="N659" s="772">
        <v>2</v>
      </c>
      <c r="O659" s="783">
        <v>1</v>
      </c>
      <c r="P659" s="772">
        <v>1</v>
      </c>
      <c r="Q659" s="783">
        <v>1</v>
      </c>
      <c r="R659" s="772">
        <v>1</v>
      </c>
      <c r="S659" s="783">
        <v>0</v>
      </c>
      <c r="T659" s="772"/>
      <c r="U659" s="783">
        <v>20</v>
      </c>
      <c r="V659" s="772"/>
      <c r="W659" s="783">
        <v>0</v>
      </c>
      <c r="X659" s="772"/>
      <c r="Y659" s="783">
        <v>0</v>
      </c>
      <c r="Z659" s="772"/>
    </row>
    <row r="660" spans="1:26" s="753" customFormat="1">
      <c r="A660" s="756"/>
      <c r="B660" s="757"/>
      <c r="C660" s="758"/>
      <c r="D660" s="773" t="s">
        <v>10412</v>
      </c>
      <c r="E660" s="782"/>
      <c r="F660" s="774" t="s">
        <v>6203</v>
      </c>
      <c r="G660" s="981" t="s">
        <v>11523</v>
      </c>
      <c r="H660" s="772" t="s">
        <v>6215</v>
      </c>
      <c r="I660" s="981" t="s">
        <v>11523</v>
      </c>
      <c r="J660" s="772" t="s">
        <v>6215</v>
      </c>
      <c r="K660" s="981" t="s">
        <v>11689</v>
      </c>
      <c r="L660" s="1064" t="s">
        <v>9473</v>
      </c>
      <c r="M660" s="783">
        <v>2</v>
      </c>
      <c r="N660" s="772">
        <v>2</v>
      </c>
      <c r="O660" s="783">
        <v>1</v>
      </c>
      <c r="P660" s="772">
        <v>1</v>
      </c>
      <c r="Q660" s="783">
        <v>1</v>
      </c>
      <c r="R660" s="772">
        <v>1</v>
      </c>
      <c r="S660" s="783">
        <v>0</v>
      </c>
      <c r="T660" s="772"/>
      <c r="U660" s="783">
        <v>20</v>
      </c>
      <c r="V660" s="772"/>
      <c r="W660" s="783">
        <v>0</v>
      </c>
      <c r="X660" s="772"/>
      <c r="Y660" s="783">
        <v>15.3337583231911</v>
      </c>
      <c r="Z660" s="772"/>
    </row>
    <row r="661" spans="1:26" s="753" customFormat="1">
      <c r="A661" s="756"/>
      <c r="B661" s="757"/>
      <c r="C661" s="758"/>
      <c r="D661" s="773" t="s">
        <v>10412</v>
      </c>
      <c r="E661" s="782"/>
      <c r="F661" s="774" t="s">
        <v>6205</v>
      </c>
      <c r="G661" s="981" t="s">
        <v>11524</v>
      </c>
      <c r="H661" s="772" t="s">
        <v>6217</v>
      </c>
      <c r="I661" s="981" t="s">
        <v>11524</v>
      </c>
      <c r="J661" s="772" t="s">
        <v>6217</v>
      </c>
      <c r="K661" s="981" t="s">
        <v>11689</v>
      </c>
      <c r="L661" s="1064" t="s">
        <v>9473</v>
      </c>
      <c r="M661" s="783">
        <v>2</v>
      </c>
      <c r="N661" s="772">
        <v>2</v>
      </c>
      <c r="O661" s="783">
        <v>1</v>
      </c>
      <c r="P661" s="772">
        <v>1</v>
      </c>
      <c r="Q661" s="783">
        <v>1</v>
      </c>
      <c r="R661" s="772">
        <v>1</v>
      </c>
      <c r="S661" s="783">
        <v>0</v>
      </c>
      <c r="T661" s="772"/>
      <c r="U661" s="783">
        <v>20</v>
      </c>
      <c r="V661" s="772"/>
      <c r="W661" s="783">
        <v>0</v>
      </c>
      <c r="X661" s="772"/>
      <c r="Y661" s="783">
        <v>15.353477199219601</v>
      </c>
      <c r="Z661" s="772"/>
    </row>
    <row r="662" spans="1:26" s="753" customFormat="1">
      <c r="A662" s="756"/>
      <c r="B662" s="757"/>
      <c r="C662" s="758"/>
      <c r="D662" s="773" t="s">
        <v>10412</v>
      </c>
      <c r="E662" s="782"/>
      <c r="F662" s="774" t="s">
        <v>6207</v>
      </c>
      <c r="G662" s="981" t="s">
        <v>11525</v>
      </c>
      <c r="H662" s="772" t="s">
        <v>6219</v>
      </c>
      <c r="I662" s="981" t="s">
        <v>11525</v>
      </c>
      <c r="J662" s="772" t="s">
        <v>6219</v>
      </c>
      <c r="K662" s="981" t="s">
        <v>11689</v>
      </c>
      <c r="L662" s="1064" t="s">
        <v>9473</v>
      </c>
      <c r="M662" s="783">
        <v>2</v>
      </c>
      <c r="N662" s="772">
        <v>2</v>
      </c>
      <c r="O662" s="783">
        <v>1</v>
      </c>
      <c r="P662" s="772">
        <v>1</v>
      </c>
      <c r="Q662" s="783">
        <v>1</v>
      </c>
      <c r="R662" s="772">
        <v>1</v>
      </c>
      <c r="S662" s="783">
        <v>0</v>
      </c>
      <c r="T662" s="772"/>
      <c r="U662" s="783">
        <v>20</v>
      </c>
      <c r="V662" s="772"/>
      <c r="W662" s="783">
        <v>0</v>
      </c>
      <c r="X662" s="772"/>
      <c r="Y662" s="783">
        <v>15.3770805790483</v>
      </c>
      <c r="Z662" s="772"/>
    </row>
    <row r="663" spans="1:26" s="753" customFormat="1">
      <c r="A663" s="756"/>
      <c r="B663" s="757"/>
      <c r="C663" s="758"/>
      <c r="D663" s="773" t="s">
        <v>10412</v>
      </c>
      <c r="E663" s="782"/>
      <c r="F663" s="774" t="s">
        <v>7970</v>
      </c>
      <c r="G663" s="981" t="s">
        <v>11526</v>
      </c>
      <c r="H663" s="772" t="s">
        <v>6242</v>
      </c>
      <c r="I663" s="981" t="s">
        <v>11526</v>
      </c>
      <c r="J663" s="772" t="s">
        <v>6242</v>
      </c>
      <c r="K663" s="981" t="s">
        <v>11689</v>
      </c>
      <c r="L663" s="1064" t="s">
        <v>9473</v>
      </c>
      <c r="M663" s="783">
        <v>2</v>
      </c>
      <c r="N663" s="772">
        <v>2</v>
      </c>
      <c r="O663" s="783">
        <v>1</v>
      </c>
      <c r="P663" s="772">
        <v>1</v>
      </c>
      <c r="Q663" s="783">
        <v>1</v>
      </c>
      <c r="R663" s="772">
        <v>1</v>
      </c>
      <c r="S663" s="783">
        <v>0</v>
      </c>
      <c r="T663" s="772"/>
      <c r="U663" s="783">
        <v>20</v>
      </c>
      <c r="V663" s="772"/>
      <c r="W663" s="783">
        <v>0</v>
      </c>
      <c r="X663" s="772"/>
      <c r="Y663" s="783">
        <v>3.5304066754283201</v>
      </c>
      <c r="Z663" s="772"/>
    </row>
    <row r="664" spans="1:26" s="753" customFormat="1">
      <c r="A664" s="756"/>
      <c r="B664" s="757"/>
      <c r="C664" s="758"/>
      <c r="D664" s="773" t="s">
        <v>10412</v>
      </c>
      <c r="E664" s="782"/>
      <c r="F664" s="774" t="s">
        <v>7972</v>
      </c>
      <c r="G664" s="981" t="s">
        <v>11527</v>
      </c>
      <c r="H664" s="772" t="s">
        <v>6244</v>
      </c>
      <c r="I664" s="981" t="s">
        <v>11527</v>
      </c>
      <c r="J664" s="772" t="s">
        <v>6244</v>
      </c>
      <c r="K664" s="981" t="s">
        <v>11689</v>
      </c>
      <c r="L664" s="1064" t="s">
        <v>9473</v>
      </c>
      <c r="M664" s="783">
        <v>2</v>
      </c>
      <c r="N664" s="772">
        <v>2</v>
      </c>
      <c r="O664" s="783">
        <v>1</v>
      </c>
      <c r="P664" s="772">
        <v>1</v>
      </c>
      <c r="Q664" s="783">
        <v>1</v>
      </c>
      <c r="R664" s="772">
        <v>1</v>
      </c>
      <c r="S664" s="783">
        <v>0</v>
      </c>
      <c r="T664" s="772"/>
      <c r="U664" s="783">
        <v>20</v>
      </c>
      <c r="V664" s="772"/>
      <c r="W664" s="783">
        <v>0</v>
      </c>
      <c r="X664" s="772"/>
      <c r="Y664" s="783">
        <v>9.2043404265527204</v>
      </c>
      <c r="Z664" s="772"/>
    </row>
    <row r="665" spans="1:26" s="753" customFormat="1">
      <c r="A665" s="756"/>
      <c r="B665" s="757"/>
      <c r="C665" s="758"/>
      <c r="D665" s="773" t="s">
        <v>10412</v>
      </c>
      <c r="E665" s="782"/>
      <c r="F665" s="774" t="s">
        <v>6209</v>
      </c>
      <c r="G665" s="981" t="s">
        <v>11528</v>
      </c>
      <c r="H665" s="772" t="s">
        <v>6221</v>
      </c>
      <c r="I665" s="981" t="s">
        <v>11528</v>
      </c>
      <c r="J665" s="772" t="s">
        <v>6221</v>
      </c>
      <c r="K665" s="981" t="s">
        <v>11689</v>
      </c>
      <c r="L665" s="1064" t="s">
        <v>9473</v>
      </c>
      <c r="M665" s="783">
        <v>2</v>
      </c>
      <c r="N665" s="772">
        <v>2</v>
      </c>
      <c r="O665" s="783">
        <v>1</v>
      </c>
      <c r="P665" s="772">
        <v>1</v>
      </c>
      <c r="Q665" s="783">
        <v>1</v>
      </c>
      <c r="R665" s="772">
        <v>1</v>
      </c>
      <c r="S665" s="783">
        <v>0</v>
      </c>
      <c r="T665" s="772"/>
      <c r="U665" s="783">
        <v>20</v>
      </c>
      <c r="V665" s="772"/>
      <c r="W665" s="783">
        <v>0</v>
      </c>
      <c r="X665" s="772"/>
      <c r="Y665" s="783">
        <v>8.1216844438022697</v>
      </c>
      <c r="Z665" s="772"/>
    </row>
    <row r="666" spans="1:26" s="753" customFormat="1">
      <c r="A666" s="756"/>
      <c r="B666" s="757"/>
      <c r="C666" s="758"/>
      <c r="D666" s="773" t="s">
        <v>10412</v>
      </c>
      <c r="E666" s="782"/>
      <c r="F666" s="774" t="s">
        <v>6211</v>
      </c>
      <c r="G666" s="981" t="s">
        <v>11529</v>
      </c>
      <c r="H666" s="772" t="s">
        <v>6223</v>
      </c>
      <c r="I666" s="981" t="s">
        <v>11529</v>
      </c>
      <c r="J666" s="772" t="s">
        <v>6223</v>
      </c>
      <c r="K666" s="981" t="s">
        <v>11689</v>
      </c>
      <c r="L666" s="1064" t="s">
        <v>9473</v>
      </c>
      <c r="M666" s="783">
        <v>2</v>
      </c>
      <c r="N666" s="772">
        <v>2</v>
      </c>
      <c r="O666" s="783">
        <v>1</v>
      </c>
      <c r="P666" s="772">
        <v>1</v>
      </c>
      <c r="Q666" s="783">
        <v>1</v>
      </c>
      <c r="R666" s="772">
        <v>1</v>
      </c>
      <c r="S666" s="783">
        <v>0</v>
      </c>
      <c r="T666" s="772"/>
      <c r="U666" s="783">
        <v>20</v>
      </c>
      <c r="V666" s="772"/>
      <c r="W666" s="783">
        <v>0</v>
      </c>
      <c r="X666" s="772"/>
      <c r="Y666" s="783">
        <v>0.74545897258876903</v>
      </c>
      <c r="Z666" s="772"/>
    </row>
    <row r="667" spans="1:26" s="753" customFormat="1">
      <c r="A667" s="756"/>
      <c r="B667" s="757"/>
      <c r="C667" s="758"/>
      <c r="D667" s="773" t="s">
        <v>10412</v>
      </c>
      <c r="E667" s="782"/>
      <c r="F667" s="774" t="s">
        <v>6213</v>
      </c>
      <c r="G667" s="981" t="s">
        <v>11530</v>
      </c>
      <c r="H667" s="772" t="s">
        <v>6225</v>
      </c>
      <c r="I667" s="981" t="s">
        <v>11530</v>
      </c>
      <c r="J667" s="772" t="s">
        <v>6225</v>
      </c>
      <c r="K667" s="981" t="s">
        <v>11689</v>
      </c>
      <c r="L667" s="1064" t="s">
        <v>9473</v>
      </c>
      <c r="M667" s="783">
        <v>2</v>
      </c>
      <c r="N667" s="772">
        <v>2</v>
      </c>
      <c r="O667" s="783">
        <v>1</v>
      </c>
      <c r="P667" s="772">
        <v>1</v>
      </c>
      <c r="Q667" s="783">
        <v>1</v>
      </c>
      <c r="R667" s="772">
        <v>1</v>
      </c>
      <c r="S667" s="783">
        <v>0</v>
      </c>
      <c r="T667" s="772"/>
      <c r="U667" s="783">
        <v>20</v>
      </c>
      <c r="V667" s="772"/>
      <c r="W667" s="783">
        <v>0</v>
      </c>
      <c r="X667" s="772"/>
      <c r="Y667" s="783">
        <v>3.0756119996765099</v>
      </c>
      <c r="Z667" s="772"/>
    </row>
    <row r="668" spans="1:26" s="753" customFormat="1">
      <c r="A668" s="756"/>
      <c r="B668" s="757"/>
      <c r="C668" s="758"/>
      <c r="D668" s="773" t="s">
        <v>10412</v>
      </c>
      <c r="E668" s="782"/>
      <c r="F668" s="774" t="s">
        <v>9285</v>
      </c>
      <c r="G668" s="981" t="s">
        <v>11531</v>
      </c>
      <c r="H668" s="772" t="s">
        <v>9403</v>
      </c>
      <c r="I668" s="981" t="s">
        <v>11531</v>
      </c>
      <c r="J668" s="772" t="s">
        <v>9403</v>
      </c>
      <c r="K668" s="981" t="s">
        <v>11689</v>
      </c>
      <c r="L668" s="1064" t="s">
        <v>9473</v>
      </c>
      <c r="M668" s="783">
        <v>2</v>
      </c>
      <c r="N668" s="772">
        <v>2</v>
      </c>
      <c r="O668" s="783">
        <v>1</v>
      </c>
      <c r="P668" s="772">
        <v>1</v>
      </c>
      <c r="Q668" s="783">
        <v>1</v>
      </c>
      <c r="R668" s="772">
        <v>1</v>
      </c>
      <c r="S668" s="783">
        <v>0</v>
      </c>
      <c r="T668" s="772"/>
      <c r="U668" s="783">
        <v>10</v>
      </c>
      <c r="V668" s="772"/>
      <c r="W668" s="783">
        <v>0</v>
      </c>
      <c r="X668" s="772"/>
      <c r="Y668" s="783">
        <v>8.4816495435652506</v>
      </c>
      <c r="Z668" s="772"/>
    </row>
    <row r="669" spans="1:26" s="753" customFormat="1">
      <c r="A669" s="756"/>
      <c r="B669" s="757"/>
      <c r="C669" s="758"/>
      <c r="D669" s="773" t="s">
        <v>10412</v>
      </c>
      <c r="E669" s="782"/>
      <c r="F669" s="774" t="s">
        <v>9295</v>
      </c>
      <c r="G669" s="981" t="s">
        <v>11532</v>
      </c>
      <c r="H669" s="772" t="s">
        <v>9404</v>
      </c>
      <c r="I669" s="981" t="s">
        <v>11532</v>
      </c>
      <c r="J669" s="772" t="s">
        <v>9404</v>
      </c>
      <c r="K669" s="981" t="s">
        <v>11689</v>
      </c>
      <c r="L669" s="1064" t="s">
        <v>9473</v>
      </c>
      <c r="M669" s="783">
        <v>2</v>
      </c>
      <c r="N669" s="772">
        <v>2</v>
      </c>
      <c r="O669" s="783">
        <v>1</v>
      </c>
      <c r="P669" s="772">
        <v>1</v>
      </c>
      <c r="Q669" s="783">
        <v>1</v>
      </c>
      <c r="R669" s="772">
        <v>1</v>
      </c>
      <c r="S669" s="783">
        <v>0</v>
      </c>
      <c r="T669" s="772"/>
      <c r="U669" s="783">
        <v>10</v>
      </c>
      <c r="V669" s="772"/>
      <c r="W669" s="783">
        <v>0</v>
      </c>
      <c r="X669" s="772"/>
      <c r="Y669" s="783">
        <v>5.0353904741771398</v>
      </c>
      <c r="Z669" s="772"/>
    </row>
    <row r="670" spans="1:26" s="753" customFormat="1">
      <c r="A670" s="756"/>
      <c r="B670" s="757"/>
      <c r="C670" s="758"/>
      <c r="D670" s="773" t="s">
        <v>10412</v>
      </c>
      <c r="E670" s="782"/>
      <c r="F670" s="921" t="s">
        <v>10727</v>
      </c>
      <c r="G670" s="981" t="s">
        <v>11533</v>
      </c>
      <c r="H670" s="772" t="s">
        <v>9405</v>
      </c>
      <c r="I670" s="981" t="s">
        <v>11533</v>
      </c>
      <c r="J670" s="772" t="s">
        <v>9405</v>
      </c>
      <c r="K670" s="981" t="s">
        <v>11689</v>
      </c>
      <c r="L670" s="1064" t="s">
        <v>9473</v>
      </c>
      <c r="M670" s="922">
        <v>2</v>
      </c>
      <c r="N670" s="772">
        <v>2</v>
      </c>
      <c r="O670" s="922">
        <v>1</v>
      </c>
      <c r="P670" s="772">
        <v>1</v>
      </c>
      <c r="Q670" s="922">
        <v>1</v>
      </c>
      <c r="R670" s="772">
        <v>1</v>
      </c>
      <c r="S670" s="922">
        <v>0</v>
      </c>
      <c r="T670" s="772"/>
      <c r="U670" s="922">
        <v>100</v>
      </c>
      <c r="V670" s="772"/>
      <c r="W670" s="922">
        <v>0</v>
      </c>
      <c r="X670" s="772"/>
      <c r="Y670" s="922">
        <v>2.4608922689862398</v>
      </c>
      <c r="Z670" s="772"/>
    </row>
    <row r="671" spans="1:26" s="753" customFormat="1">
      <c r="A671" s="756"/>
      <c r="B671" s="757"/>
      <c r="C671" s="758"/>
      <c r="D671" s="773" t="s">
        <v>10412</v>
      </c>
      <c r="E671" s="782"/>
      <c r="F671" s="921" t="s">
        <v>10728</v>
      </c>
      <c r="G671" s="981" t="s">
        <v>11534</v>
      </c>
      <c r="H671" s="772" t="s">
        <v>9406</v>
      </c>
      <c r="I671" s="981" t="s">
        <v>11534</v>
      </c>
      <c r="J671" s="772" t="s">
        <v>9406</v>
      </c>
      <c r="K671" s="981" t="s">
        <v>11689</v>
      </c>
      <c r="L671" s="1064" t="s">
        <v>9473</v>
      </c>
      <c r="M671" s="922">
        <v>2</v>
      </c>
      <c r="N671" s="772">
        <v>2</v>
      </c>
      <c r="O671" s="922">
        <v>1</v>
      </c>
      <c r="P671" s="772">
        <v>1</v>
      </c>
      <c r="Q671" s="922">
        <v>1</v>
      </c>
      <c r="R671" s="772">
        <v>1</v>
      </c>
      <c r="S671" s="922">
        <v>0</v>
      </c>
      <c r="T671" s="772"/>
      <c r="U671" s="922">
        <v>100</v>
      </c>
      <c r="V671" s="772"/>
      <c r="W671" s="922">
        <v>0</v>
      </c>
      <c r="X671" s="772"/>
      <c r="Y671" s="922">
        <v>3.32871517322388</v>
      </c>
      <c r="Z671" s="772"/>
    </row>
    <row r="672" spans="1:26" s="753" customFormat="1">
      <c r="A672" s="756"/>
      <c r="B672" s="757"/>
      <c r="C672" s="758"/>
      <c r="D672" s="773" t="s">
        <v>10412</v>
      </c>
      <c r="E672" s="782"/>
      <c r="F672" s="921" t="s">
        <v>10729</v>
      </c>
      <c r="G672" s="981" t="s">
        <v>11535</v>
      </c>
      <c r="H672" s="772" t="s">
        <v>9407</v>
      </c>
      <c r="I672" s="981" t="s">
        <v>11535</v>
      </c>
      <c r="J672" s="772" t="s">
        <v>9407</v>
      </c>
      <c r="K672" s="981" t="s">
        <v>11689</v>
      </c>
      <c r="L672" s="1064" t="s">
        <v>9473</v>
      </c>
      <c r="M672" s="783">
        <v>2</v>
      </c>
      <c r="N672" s="772">
        <v>2</v>
      </c>
      <c r="O672" s="783">
        <v>1</v>
      </c>
      <c r="P672" s="772">
        <v>1</v>
      </c>
      <c r="Q672" s="783">
        <v>1</v>
      </c>
      <c r="R672" s="772">
        <v>1</v>
      </c>
      <c r="S672" s="783">
        <v>0</v>
      </c>
      <c r="T672" s="772"/>
      <c r="U672" s="783">
        <v>100</v>
      </c>
      <c r="V672" s="772"/>
      <c r="W672" s="783">
        <v>0</v>
      </c>
      <c r="X672" s="772"/>
      <c r="Y672" s="783">
        <v>2.4750192275773299</v>
      </c>
      <c r="Z672" s="772"/>
    </row>
    <row r="673" spans="1:26" s="753" customFormat="1">
      <c r="A673" s="756"/>
      <c r="B673" s="757"/>
      <c r="C673" s="758"/>
      <c r="D673" s="773" t="s">
        <v>10412</v>
      </c>
      <c r="E673" s="782"/>
      <c r="F673" s="921" t="s">
        <v>10730</v>
      </c>
      <c r="G673" s="981" t="s">
        <v>11536</v>
      </c>
      <c r="H673" s="772" t="s">
        <v>9464</v>
      </c>
      <c r="I673" s="981" t="s">
        <v>11536</v>
      </c>
      <c r="J673" s="772" t="s">
        <v>9464</v>
      </c>
      <c r="K673" s="981" t="s">
        <v>11689</v>
      </c>
      <c r="L673" s="1064" t="s">
        <v>9473</v>
      </c>
      <c r="M673" s="783">
        <v>2</v>
      </c>
      <c r="N673" s="772">
        <v>2</v>
      </c>
      <c r="O673" s="783">
        <v>1</v>
      </c>
      <c r="P673" s="772">
        <v>1</v>
      </c>
      <c r="Q673" s="783">
        <v>1</v>
      </c>
      <c r="R673" s="772">
        <v>1</v>
      </c>
      <c r="S673" s="783">
        <v>0</v>
      </c>
      <c r="T673" s="772"/>
      <c r="U673" s="783">
        <v>100</v>
      </c>
      <c r="V673" s="772"/>
      <c r="W673" s="783">
        <v>0</v>
      </c>
      <c r="X673" s="772"/>
      <c r="Y673" s="783">
        <v>2.9170482399144602</v>
      </c>
      <c r="Z673" s="772"/>
    </row>
    <row r="674" spans="1:26" s="753" customFormat="1">
      <c r="A674" s="756"/>
      <c r="B674" s="757"/>
      <c r="C674" s="758"/>
      <c r="D674" s="773" t="s">
        <v>10412</v>
      </c>
      <c r="E674" s="782"/>
      <c r="F674" s="921" t="s">
        <v>10731</v>
      </c>
      <c r="G674" s="981" t="s">
        <v>11537</v>
      </c>
      <c r="H674" s="772" t="s">
        <v>9465</v>
      </c>
      <c r="I674" s="981" t="s">
        <v>11537</v>
      </c>
      <c r="J674" s="772" t="s">
        <v>9465</v>
      </c>
      <c r="K674" s="981" t="s">
        <v>11689</v>
      </c>
      <c r="L674" s="1064" t="s">
        <v>9473</v>
      </c>
      <c r="M674" s="783">
        <v>2</v>
      </c>
      <c r="N674" s="772">
        <v>2</v>
      </c>
      <c r="O674" s="783">
        <v>1</v>
      </c>
      <c r="P674" s="772">
        <v>1</v>
      </c>
      <c r="Q674" s="783">
        <v>1</v>
      </c>
      <c r="R674" s="772">
        <v>1</v>
      </c>
      <c r="S674" s="783">
        <v>0</v>
      </c>
      <c r="T674" s="772"/>
      <c r="U674" s="783">
        <v>100</v>
      </c>
      <c r="V674" s="772"/>
      <c r="W674" s="783">
        <v>0</v>
      </c>
      <c r="X674" s="772"/>
      <c r="Y674" s="783">
        <v>2.9170482399144602</v>
      </c>
      <c r="Z674" s="772"/>
    </row>
    <row r="675" spans="1:26" s="753" customFormat="1">
      <c r="A675" s="756"/>
      <c r="B675" s="757"/>
      <c r="C675" s="758"/>
      <c r="D675" s="773" t="s">
        <v>10412</v>
      </c>
      <c r="E675" s="782"/>
      <c r="F675" s="921" t="s">
        <v>10732</v>
      </c>
      <c r="G675" s="981" t="s">
        <v>11538</v>
      </c>
      <c r="H675" s="772" t="s">
        <v>9466</v>
      </c>
      <c r="I675" s="981" t="s">
        <v>11538</v>
      </c>
      <c r="J675" s="772" t="s">
        <v>9466</v>
      </c>
      <c r="K675" s="981" t="s">
        <v>11689</v>
      </c>
      <c r="L675" s="1064" t="s">
        <v>9473</v>
      </c>
      <c r="M675" s="783">
        <v>2</v>
      </c>
      <c r="N675" s="772">
        <v>2</v>
      </c>
      <c r="O675" s="783">
        <v>1</v>
      </c>
      <c r="P675" s="772">
        <v>1</v>
      </c>
      <c r="Q675" s="783">
        <v>1</v>
      </c>
      <c r="R675" s="772">
        <v>1</v>
      </c>
      <c r="S675" s="783">
        <v>0</v>
      </c>
      <c r="T675" s="772"/>
      <c r="U675" s="783">
        <v>100</v>
      </c>
      <c r="V675" s="772"/>
      <c r="W675" s="783">
        <v>0</v>
      </c>
      <c r="X675" s="772"/>
      <c r="Y675" s="783">
        <v>2.9170482399144602</v>
      </c>
      <c r="Z675" s="772"/>
    </row>
    <row r="676" spans="1:26" s="753" customFormat="1">
      <c r="A676" s="756"/>
      <c r="B676" s="757"/>
      <c r="C676" s="758"/>
      <c r="D676" s="773" t="s">
        <v>10412</v>
      </c>
      <c r="E676" s="782"/>
      <c r="F676" s="921" t="s">
        <v>10733</v>
      </c>
      <c r="G676" s="981" t="s">
        <v>11539</v>
      </c>
      <c r="H676" s="772" t="s">
        <v>9408</v>
      </c>
      <c r="I676" s="981" t="s">
        <v>11539</v>
      </c>
      <c r="J676" s="772" t="s">
        <v>9408</v>
      </c>
      <c r="K676" s="981" t="s">
        <v>11689</v>
      </c>
      <c r="L676" s="1064" t="s">
        <v>9473</v>
      </c>
      <c r="M676" s="783">
        <v>2</v>
      </c>
      <c r="N676" s="772">
        <v>2</v>
      </c>
      <c r="O676" s="783">
        <v>1</v>
      </c>
      <c r="P676" s="772">
        <v>1</v>
      </c>
      <c r="Q676" s="783">
        <v>1</v>
      </c>
      <c r="R676" s="772">
        <v>1</v>
      </c>
      <c r="S676" s="783">
        <v>0</v>
      </c>
      <c r="T676" s="772"/>
      <c r="U676" s="783">
        <v>100</v>
      </c>
      <c r="V676" s="772"/>
      <c r="W676" s="783">
        <v>0</v>
      </c>
      <c r="X676" s="772"/>
      <c r="Y676" s="783">
        <v>2.6331786474627399</v>
      </c>
      <c r="Z676" s="772"/>
    </row>
    <row r="677" spans="1:26" s="753" customFormat="1">
      <c r="A677" s="756"/>
      <c r="B677" s="757"/>
      <c r="C677" s="758"/>
      <c r="D677" s="773" t="s">
        <v>10412</v>
      </c>
      <c r="E677" s="782"/>
      <c r="F677" s="921" t="s">
        <v>10734</v>
      </c>
      <c r="G677" s="981" t="s">
        <v>11540</v>
      </c>
      <c r="H677" s="772" t="s">
        <v>9409</v>
      </c>
      <c r="I677" s="981" t="s">
        <v>11540</v>
      </c>
      <c r="J677" s="772" t="s">
        <v>9409</v>
      </c>
      <c r="K677" s="981" t="s">
        <v>11689</v>
      </c>
      <c r="L677" s="1064" t="s">
        <v>9473</v>
      </c>
      <c r="M677" s="783">
        <v>2</v>
      </c>
      <c r="N677" s="772">
        <v>2</v>
      </c>
      <c r="O677" s="783">
        <v>1</v>
      </c>
      <c r="P677" s="772">
        <v>1</v>
      </c>
      <c r="Q677" s="783">
        <v>1</v>
      </c>
      <c r="R677" s="772">
        <v>1</v>
      </c>
      <c r="S677" s="783">
        <v>0</v>
      </c>
      <c r="T677" s="772"/>
      <c r="U677" s="783">
        <v>100</v>
      </c>
      <c r="V677" s="772"/>
      <c r="W677" s="783">
        <v>0</v>
      </c>
      <c r="X677" s="772"/>
      <c r="Y677" s="783">
        <v>2.6331786474627399</v>
      </c>
      <c r="Z677" s="772"/>
    </row>
    <row r="678" spans="1:26" s="753" customFormat="1">
      <c r="A678" s="756"/>
      <c r="B678" s="757"/>
      <c r="C678" s="758"/>
      <c r="D678" s="773" t="s">
        <v>10412</v>
      </c>
      <c r="E678" s="782"/>
      <c r="F678" s="921" t="s">
        <v>10735</v>
      </c>
      <c r="G678" s="981" t="s">
        <v>11541</v>
      </c>
      <c r="H678" s="772" t="s">
        <v>9467</v>
      </c>
      <c r="I678" s="981" t="s">
        <v>11541</v>
      </c>
      <c r="J678" s="772" t="s">
        <v>9467</v>
      </c>
      <c r="K678" s="981" t="s">
        <v>11689</v>
      </c>
      <c r="L678" s="1064" t="s">
        <v>9473</v>
      </c>
      <c r="M678" s="922">
        <v>2</v>
      </c>
      <c r="N678" s="772">
        <v>2</v>
      </c>
      <c r="O678" s="922">
        <v>1</v>
      </c>
      <c r="P678" s="772">
        <v>1</v>
      </c>
      <c r="Q678" s="922">
        <v>1</v>
      </c>
      <c r="R678" s="772">
        <v>1</v>
      </c>
      <c r="S678" s="922">
        <v>0</v>
      </c>
      <c r="T678" s="772"/>
      <c r="U678" s="922">
        <v>100</v>
      </c>
      <c r="V678" s="772"/>
      <c r="W678" s="922">
        <v>0</v>
      </c>
      <c r="X678" s="772"/>
      <c r="Y678" s="922">
        <v>2.67138117713451</v>
      </c>
      <c r="Z678" s="772"/>
    </row>
    <row r="679" spans="1:26" s="753" customFormat="1">
      <c r="A679" s="756"/>
      <c r="B679" s="757"/>
      <c r="C679" s="758"/>
      <c r="D679" s="773" t="s">
        <v>10412</v>
      </c>
      <c r="E679" s="782"/>
      <c r="F679" s="921" t="s">
        <v>10736</v>
      </c>
      <c r="G679" s="981" t="s">
        <v>11542</v>
      </c>
      <c r="H679" s="772" t="s">
        <v>9468</v>
      </c>
      <c r="I679" s="981" t="s">
        <v>11542</v>
      </c>
      <c r="J679" s="772" t="s">
        <v>9468</v>
      </c>
      <c r="K679" s="981" t="s">
        <v>11689</v>
      </c>
      <c r="L679" s="1064" t="s">
        <v>9473</v>
      </c>
      <c r="M679" s="922">
        <v>2</v>
      </c>
      <c r="N679" s="772">
        <v>2</v>
      </c>
      <c r="O679" s="922">
        <v>1</v>
      </c>
      <c r="P679" s="772">
        <v>1</v>
      </c>
      <c r="Q679" s="922">
        <v>1</v>
      </c>
      <c r="R679" s="772">
        <v>1</v>
      </c>
      <c r="S679" s="922">
        <v>0</v>
      </c>
      <c r="T679" s="772"/>
      <c r="U679" s="922">
        <v>100</v>
      </c>
      <c r="V679" s="772"/>
      <c r="W679" s="922">
        <v>0</v>
      </c>
      <c r="X679" s="772"/>
      <c r="Y679" s="922">
        <v>2.67138117713451</v>
      </c>
      <c r="Z679" s="772"/>
    </row>
    <row r="680" spans="1:26" s="753" customFormat="1">
      <c r="A680" s="756"/>
      <c r="B680" s="757"/>
      <c r="C680" s="758"/>
      <c r="D680" s="773" t="s">
        <v>10412</v>
      </c>
      <c r="E680" s="782"/>
      <c r="F680" s="921" t="s">
        <v>10737</v>
      </c>
      <c r="G680" s="981" t="s">
        <v>11543</v>
      </c>
      <c r="H680" s="772" t="s">
        <v>9410</v>
      </c>
      <c r="I680" s="981" t="s">
        <v>11543</v>
      </c>
      <c r="J680" s="772" t="s">
        <v>9410</v>
      </c>
      <c r="K680" s="981" t="s">
        <v>11689</v>
      </c>
      <c r="L680" s="1064" t="s">
        <v>9473</v>
      </c>
      <c r="M680" s="922">
        <v>2</v>
      </c>
      <c r="N680" s="772">
        <v>2</v>
      </c>
      <c r="O680" s="922">
        <v>1</v>
      </c>
      <c r="P680" s="772">
        <v>1</v>
      </c>
      <c r="Q680" s="922">
        <v>1</v>
      </c>
      <c r="R680" s="772">
        <v>1</v>
      </c>
      <c r="S680" s="922">
        <v>0</v>
      </c>
      <c r="T680" s="772"/>
      <c r="U680" s="922">
        <v>100</v>
      </c>
      <c r="V680" s="772"/>
      <c r="W680" s="922">
        <v>0</v>
      </c>
      <c r="X680" s="772"/>
      <c r="Y680" s="922">
        <v>2.67138117713451</v>
      </c>
      <c r="Z680" s="772"/>
    </row>
    <row r="681" spans="1:26">
      <c r="A681" s="611"/>
      <c r="B681" s="612"/>
      <c r="C681" s="613"/>
      <c r="D681" s="773" t="s">
        <v>10412</v>
      </c>
      <c r="E681" s="782"/>
      <c r="F681" s="556" t="s">
        <v>6452</v>
      </c>
      <c r="G681" s="981" t="s">
        <v>11544</v>
      </c>
      <c r="H681" s="610" t="s">
        <v>9411</v>
      </c>
      <c r="I681" s="981" t="s">
        <v>11544</v>
      </c>
      <c r="J681" s="755" t="s">
        <v>9411</v>
      </c>
      <c r="K681" s="981" t="s">
        <v>11689</v>
      </c>
      <c r="L681" s="1064" t="s">
        <v>9473</v>
      </c>
      <c r="M681" s="614">
        <v>2</v>
      </c>
      <c r="N681" s="772">
        <v>2</v>
      </c>
      <c r="O681" s="614">
        <v>1</v>
      </c>
      <c r="P681" s="765">
        <v>1</v>
      </c>
      <c r="Q681" s="614">
        <v>1</v>
      </c>
      <c r="R681" s="610">
        <v>1</v>
      </c>
      <c r="S681" s="614">
        <v>0</v>
      </c>
      <c r="T681" s="610"/>
      <c r="U681" s="614">
        <v>100</v>
      </c>
      <c r="V681" s="610"/>
      <c r="W681" s="614">
        <v>0</v>
      </c>
      <c r="X681" s="610"/>
      <c r="Y681" s="614">
        <v>7.5203670505041202</v>
      </c>
      <c r="Z681" s="610"/>
    </row>
    <row r="682" spans="1:26">
      <c r="A682" s="611"/>
      <c r="B682" s="612"/>
      <c r="C682" s="613"/>
      <c r="D682" s="773" t="s">
        <v>10412</v>
      </c>
      <c r="E682" s="740"/>
      <c r="F682" s="556" t="s">
        <v>6453</v>
      </c>
      <c r="G682" s="981" t="s">
        <v>11545</v>
      </c>
      <c r="H682" s="610" t="s">
        <v>9412</v>
      </c>
      <c r="I682" s="981" t="s">
        <v>11545</v>
      </c>
      <c r="J682" s="755" t="s">
        <v>9412</v>
      </c>
      <c r="K682" s="981" t="s">
        <v>11689</v>
      </c>
      <c r="L682" s="1064" t="s">
        <v>9473</v>
      </c>
      <c r="M682" s="614">
        <v>2</v>
      </c>
      <c r="N682" s="772">
        <v>2</v>
      </c>
      <c r="O682" s="614">
        <v>1</v>
      </c>
      <c r="P682" s="765">
        <v>1</v>
      </c>
      <c r="Q682" s="614">
        <v>1</v>
      </c>
      <c r="R682" s="610">
        <v>1</v>
      </c>
      <c r="S682" s="614">
        <v>0</v>
      </c>
      <c r="T682" s="610"/>
      <c r="U682" s="614">
        <v>100</v>
      </c>
      <c r="V682" s="610"/>
      <c r="W682" s="614">
        <v>0</v>
      </c>
      <c r="X682" s="610"/>
      <c r="Y682" s="614">
        <v>7.5203670505041202</v>
      </c>
      <c r="Z682" s="610"/>
    </row>
    <row r="683" spans="1:26">
      <c r="A683" s="611"/>
      <c r="B683" s="612"/>
      <c r="C683" s="613"/>
      <c r="D683" s="773" t="s">
        <v>10412</v>
      </c>
      <c r="E683" s="740"/>
      <c r="F683" s="556" t="s">
        <v>6454</v>
      </c>
      <c r="G683" s="981" t="s">
        <v>11546</v>
      </c>
      <c r="H683" s="755" t="s">
        <v>9413</v>
      </c>
      <c r="I683" s="981" t="s">
        <v>11546</v>
      </c>
      <c r="J683" s="755" t="s">
        <v>9413</v>
      </c>
      <c r="K683" s="981" t="s">
        <v>11689</v>
      </c>
      <c r="L683" s="1064" t="s">
        <v>9473</v>
      </c>
      <c r="M683" s="614">
        <v>2</v>
      </c>
      <c r="N683" s="772">
        <v>2</v>
      </c>
      <c r="O683" s="614">
        <v>1</v>
      </c>
      <c r="P683" s="765">
        <v>1</v>
      </c>
      <c r="Q683" s="614">
        <v>1</v>
      </c>
      <c r="R683" s="610">
        <v>1</v>
      </c>
      <c r="S683" s="614">
        <v>0</v>
      </c>
      <c r="T683" s="610"/>
      <c r="U683" s="614">
        <v>100</v>
      </c>
      <c r="V683" s="610"/>
      <c r="W683" s="614">
        <v>0</v>
      </c>
      <c r="X683" s="610"/>
      <c r="Y683" s="614">
        <v>7.5203670505041202</v>
      </c>
      <c r="Z683" s="610"/>
    </row>
    <row r="684" spans="1:26" s="753" customFormat="1">
      <c r="A684" s="756"/>
      <c r="B684" s="757"/>
      <c r="C684" s="758"/>
      <c r="D684" s="773" t="s">
        <v>10412</v>
      </c>
      <c r="E684" s="782"/>
      <c r="F684" s="774" t="s">
        <v>9047</v>
      </c>
      <c r="G684" s="981" t="s">
        <v>11547</v>
      </c>
      <c r="H684" s="772" t="s">
        <v>9469</v>
      </c>
      <c r="I684" s="981" t="s">
        <v>11547</v>
      </c>
      <c r="J684" s="772" t="s">
        <v>9469</v>
      </c>
      <c r="K684" s="981" t="s">
        <v>11689</v>
      </c>
      <c r="L684" s="1064" t="s">
        <v>9473</v>
      </c>
      <c r="M684" s="783">
        <v>2</v>
      </c>
      <c r="N684" s="772">
        <v>2</v>
      </c>
      <c r="O684" s="783">
        <v>1</v>
      </c>
      <c r="P684" s="772">
        <v>1</v>
      </c>
      <c r="Q684" s="783">
        <v>1</v>
      </c>
      <c r="R684" s="772">
        <v>1</v>
      </c>
      <c r="S684" s="783">
        <v>0</v>
      </c>
      <c r="T684" s="772"/>
      <c r="U684" s="783">
        <v>10</v>
      </c>
      <c r="V684" s="772"/>
      <c r="W684" s="783">
        <v>0</v>
      </c>
      <c r="X684" s="772"/>
      <c r="Y684" s="783">
        <v>0</v>
      </c>
      <c r="Z684" s="772"/>
    </row>
    <row r="685" spans="1:26" s="753" customFormat="1">
      <c r="A685" s="756"/>
      <c r="B685" s="757"/>
      <c r="C685" s="758"/>
      <c r="D685" s="773" t="s">
        <v>10412</v>
      </c>
      <c r="E685" s="782"/>
      <c r="F685" s="774" t="s">
        <v>9040</v>
      </c>
      <c r="G685" s="981" t="s">
        <v>11548</v>
      </c>
      <c r="H685" s="772" t="s">
        <v>9470</v>
      </c>
      <c r="I685" s="981" t="s">
        <v>11548</v>
      </c>
      <c r="J685" s="772" t="s">
        <v>9470</v>
      </c>
      <c r="K685" s="981" t="s">
        <v>11689</v>
      </c>
      <c r="L685" s="1064" t="s">
        <v>9473</v>
      </c>
      <c r="M685" s="783">
        <v>2</v>
      </c>
      <c r="N685" s="772">
        <v>2</v>
      </c>
      <c r="O685" s="783">
        <v>1</v>
      </c>
      <c r="P685" s="772">
        <v>1</v>
      </c>
      <c r="Q685" s="783">
        <v>1</v>
      </c>
      <c r="R685" s="772">
        <v>1</v>
      </c>
      <c r="S685" s="783">
        <v>0</v>
      </c>
      <c r="T685" s="772"/>
      <c r="U685" s="783">
        <v>10</v>
      </c>
      <c r="V685" s="772"/>
      <c r="W685" s="783">
        <v>0</v>
      </c>
      <c r="X685" s="772"/>
      <c r="Y685" s="783">
        <v>0</v>
      </c>
      <c r="Z685" s="772"/>
    </row>
    <row r="686" spans="1:26" s="753" customFormat="1">
      <c r="A686" s="756"/>
      <c r="B686" s="757"/>
      <c r="C686" s="758"/>
      <c r="D686" s="773" t="s">
        <v>10412</v>
      </c>
      <c r="E686" s="782"/>
      <c r="F686" s="774" t="s">
        <v>9041</v>
      </c>
      <c r="G686" s="981" t="s">
        <v>11549</v>
      </c>
      <c r="H686" s="772" t="s">
        <v>9046</v>
      </c>
      <c r="I686" s="981" t="s">
        <v>11549</v>
      </c>
      <c r="J686" s="772" t="s">
        <v>9046</v>
      </c>
      <c r="K686" s="981" t="s">
        <v>11689</v>
      </c>
      <c r="L686" s="1064" t="s">
        <v>9473</v>
      </c>
      <c r="M686" s="783">
        <v>2</v>
      </c>
      <c r="N686" s="772">
        <v>2</v>
      </c>
      <c r="O686" s="783">
        <v>1</v>
      </c>
      <c r="P686" s="772">
        <v>1</v>
      </c>
      <c r="Q686" s="783">
        <v>1</v>
      </c>
      <c r="R686" s="772">
        <v>1</v>
      </c>
      <c r="S686" s="783">
        <v>0</v>
      </c>
      <c r="T686" s="772"/>
      <c r="U686" s="783">
        <v>10</v>
      </c>
      <c r="V686" s="772"/>
      <c r="W686" s="783">
        <v>0</v>
      </c>
      <c r="X686" s="772"/>
      <c r="Y686" s="783">
        <v>0</v>
      </c>
      <c r="Z686" s="772"/>
    </row>
    <row r="687" spans="1:26" s="753" customFormat="1">
      <c r="A687" s="756"/>
      <c r="B687" s="757"/>
      <c r="C687" s="758"/>
      <c r="D687" s="773" t="s">
        <v>10412</v>
      </c>
      <c r="E687" s="782"/>
      <c r="F687" s="774" t="s">
        <v>9038</v>
      </c>
      <c r="G687" s="981" t="s">
        <v>11550</v>
      </c>
      <c r="H687" s="772" t="s">
        <v>9044</v>
      </c>
      <c r="I687" s="981" t="s">
        <v>11550</v>
      </c>
      <c r="J687" s="772" t="s">
        <v>9044</v>
      </c>
      <c r="K687" s="981" t="s">
        <v>11689</v>
      </c>
      <c r="L687" s="1064" t="s">
        <v>9473</v>
      </c>
      <c r="M687" s="783">
        <v>2</v>
      </c>
      <c r="N687" s="772">
        <v>2</v>
      </c>
      <c r="O687" s="783">
        <v>1</v>
      </c>
      <c r="P687" s="772">
        <v>1</v>
      </c>
      <c r="Q687" s="783">
        <v>1</v>
      </c>
      <c r="R687" s="772">
        <v>1</v>
      </c>
      <c r="S687" s="783">
        <v>-5</v>
      </c>
      <c r="T687" s="772"/>
      <c r="U687" s="783">
        <v>10</v>
      </c>
      <c r="V687" s="772"/>
      <c r="W687" s="783">
        <v>0</v>
      </c>
      <c r="X687" s="772"/>
      <c r="Y687" s="783">
        <v>-0.82714817761748005</v>
      </c>
      <c r="Z687" s="772"/>
    </row>
    <row r="688" spans="1:26" s="753" customFormat="1">
      <c r="A688" s="756"/>
      <c r="B688" s="757"/>
      <c r="C688" s="758"/>
      <c r="D688" s="773" t="s">
        <v>10412</v>
      </c>
      <c r="E688" s="782"/>
      <c r="F688" s="774" t="s">
        <v>9039</v>
      </c>
      <c r="G688" s="981" t="s">
        <v>11551</v>
      </c>
      <c r="H688" s="772" t="s">
        <v>9045</v>
      </c>
      <c r="I688" s="981" t="s">
        <v>11551</v>
      </c>
      <c r="J688" s="772" t="s">
        <v>9045</v>
      </c>
      <c r="K688" s="981" t="s">
        <v>11689</v>
      </c>
      <c r="L688" s="1064" t="s">
        <v>9473</v>
      </c>
      <c r="M688" s="783">
        <v>2</v>
      </c>
      <c r="N688" s="772">
        <v>2</v>
      </c>
      <c r="O688" s="783">
        <v>1</v>
      </c>
      <c r="P688" s="772">
        <v>1</v>
      </c>
      <c r="Q688" s="783">
        <v>1</v>
      </c>
      <c r="R688" s="772">
        <v>1</v>
      </c>
      <c r="S688" s="783">
        <v>-5</v>
      </c>
      <c r="T688" s="772"/>
      <c r="U688" s="783">
        <v>10</v>
      </c>
      <c r="V688" s="772"/>
      <c r="W688" s="783">
        <v>0</v>
      </c>
      <c r="X688" s="772"/>
      <c r="Y688" s="783">
        <v>-0.82714817761748005</v>
      </c>
      <c r="Z688" s="772"/>
    </row>
    <row r="689" spans="1:26" s="753" customFormat="1">
      <c r="A689" s="756"/>
      <c r="B689" s="757"/>
      <c r="C689" s="758"/>
      <c r="D689" s="773" t="s">
        <v>10412</v>
      </c>
      <c r="E689" s="782"/>
      <c r="F689" s="774" t="s">
        <v>9036</v>
      </c>
      <c r="G689" s="981" t="s">
        <v>11552</v>
      </c>
      <c r="H689" s="772" t="s">
        <v>9042</v>
      </c>
      <c r="I689" s="981" t="s">
        <v>11552</v>
      </c>
      <c r="J689" s="772" t="s">
        <v>9042</v>
      </c>
      <c r="K689" s="981" t="s">
        <v>11689</v>
      </c>
      <c r="L689" s="1064" t="s">
        <v>9473</v>
      </c>
      <c r="M689" s="783">
        <v>2</v>
      </c>
      <c r="N689" s="772">
        <v>2</v>
      </c>
      <c r="O689" s="783">
        <v>1</v>
      </c>
      <c r="P689" s="772">
        <v>1</v>
      </c>
      <c r="Q689" s="783">
        <v>1</v>
      </c>
      <c r="R689" s="772">
        <v>1</v>
      </c>
      <c r="S689" s="783">
        <v>-5</v>
      </c>
      <c r="T689" s="772"/>
      <c r="U689" s="783">
        <v>10</v>
      </c>
      <c r="V689" s="772"/>
      <c r="W689" s="783">
        <v>0</v>
      </c>
      <c r="X689" s="772"/>
      <c r="Y689" s="783">
        <v>-0.87343003392623597</v>
      </c>
      <c r="Z689" s="772"/>
    </row>
    <row r="690" spans="1:26" s="753" customFormat="1">
      <c r="A690" s="756"/>
      <c r="B690" s="757"/>
      <c r="C690" s="758"/>
      <c r="D690" s="773" t="s">
        <v>10412</v>
      </c>
      <c r="E690" s="782"/>
      <c r="F690" s="774" t="s">
        <v>9037</v>
      </c>
      <c r="G690" s="981" t="s">
        <v>11553</v>
      </c>
      <c r="H690" s="772" t="s">
        <v>9043</v>
      </c>
      <c r="I690" s="981" t="s">
        <v>11553</v>
      </c>
      <c r="J690" s="772" t="s">
        <v>9043</v>
      </c>
      <c r="K690" s="981" t="s">
        <v>11689</v>
      </c>
      <c r="L690" s="1064" t="s">
        <v>9473</v>
      </c>
      <c r="M690" s="783">
        <v>2</v>
      </c>
      <c r="N690" s="772">
        <v>2</v>
      </c>
      <c r="O690" s="783">
        <v>1</v>
      </c>
      <c r="P690" s="772">
        <v>1</v>
      </c>
      <c r="Q690" s="783">
        <v>1</v>
      </c>
      <c r="R690" s="772">
        <v>1</v>
      </c>
      <c r="S690" s="783">
        <v>-5</v>
      </c>
      <c r="T690" s="772"/>
      <c r="U690" s="783">
        <v>10</v>
      </c>
      <c r="V690" s="772"/>
      <c r="W690" s="783">
        <v>0</v>
      </c>
      <c r="X690" s="772"/>
      <c r="Y690" s="783">
        <v>-0.87343003392623597</v>
      </c>
      <c r="Z690" s="772"/>
    </row>
    <row r="691" spans="1:26" s="753" customFormat="1">
      <c r="A691" s="756"/>
      <c r="B691" s="757"/>
      <c r="C691" s="758"/>
      <c r="D691" s="773" t="s">
        <v>10412</v>
      </c>
      <c r="E691" s="20"/>
      <c r="F691" s="774" t="s">
        <v>9261</v>
      </c>
      <c r="G691" s="981" t="s">
        <v>11554</v>
      </c>
      <c r="H691" s="772" t="s">
        <v>9414</v>
      </c>
      <c r="I691" s="981" t="s">
        <v>11554</v>
      </c>
      <c r="J691" s="772" t="s">
        <v>9414</v>
      </c>
      <c r="K691" s="981" t="s">
        <v>11689</v>
      </c>
      <c r="L691" s="1064" t="s">
        <v>9473</v>
      </c>
      <c r="M691" s="783">
        <v>2</v>
      </c>
      <c r="N691" s="772">
        <v>2</v>
      </c>
      <c r="O691" s="783">
        <v>1</v>
      </c>
      <c r="P691" s="772">
        <v>1</v>
      </c>
      <c r="Q691" s="783">
        <v>1</v>
      </c>
      <c r="R691" s="772">
        <v>1</v>
      </c>
      <c r="S691" s="783">
        <v>0</v>
      </c>
      <c r="T691" s="772"/>
      <c r="U691" s="783">
        <v>100</v>
      </c>
      <c r="V691" s="772"/>
      <c r="W691" s="783">
        <v>0</v>
      </c>
      <c r="X691" s="772"/>
      <c r="Y691" s="783">
        <v>0.19963578614252001</v>
      </c>
      <c r="Z691" s="772"/>
    </row>
    <row r="692" spans="1:26" s="753" customFormat="1">
      <c r="A692" s="756"/>
      <c r="B692" s="757"/>
      <c r="C692" s="758"/>
      <c r="D692" s="773" t="s">
        <v>10412</v>
      </c>
      <c r="E692" s="20"/>
      <c r="F692" s="774" t="s">
        <v>9332</v>
      </c>
      <c r="G692" s="981" t="s">
        <v>11555</v>
      </c>
      <c r="H692" s="772" t="s">
        <v>9415</v>
      </c>
      <c r="I692" s="981" t="s">
        <v>11555</v>
      </c>
      <c r="J692" s="772" t="s">
        <v>9415</v>
      </c>
      <c r="K692" s="981" t="s">
        <v>11689</v>
      </c>
      <c r="L692" s="1064" t="s">
        <v>9473</v>
      </c>
      <c r="M692" s="783">
        <v>2</v>
      </c>
      <c r="N692" s="772">
        <v>2</v>
      </c>
      <c r="O692" s="783">
        <v>1</v>
      </c>
      <c r="P692" s="772">
        <v>1</v>
      </c>
      <c r="Q692" s="783">
        <v>1</v>
      </c>
      <c r="R692" s="772">
        <v>1</v>
      </c>
      <c r="S692" s="783">
        <v>0</v>
      </c>
      <c r="T692" s="772"/>
      <c r="U692" s="783">
        <v>100</v>
      </c>
      <c r="V692" s="772"/>
      <c r="W692" s="783">
        <v>0</v>
      </c>
      <c r="X692" s="772"/>
      <c r="Y692" s="783">
        <v>0.19963578614252001</v>
      </c>
      <c r="Z692" s="772"/>
    </row>
    <row r="693" spans="1:26" s="753" customFormat="1">
      <c r="A693" s="756"/>
      <c r="B693" s="757"/>
      <c r="C693" s="758"/>
      <c r="D693" s="773" t="s">
        <v>10412</v>
      </c>
      <c r="E693" s="20"/>
      <c r="F693" s="774" t="s">
        <v>9430</v>
      </c>
      <c r="G693" s="981" t="s">
        <v>11556</v>
      </c>
      <c r="H693" s="772" t="s">
        <v>9432</v>
      </c>
      <c r="I693" s="981" t="s">
        <v>11556</v>
      </c>
      <c r="J693" s="772" t="s">
        <v>9432</v>
      </c>
      <c r="K693" s="981" t="s">
        <v>11689</v>
      </c>
      <c r="L693" s="1064" t="s">
        <v>9473</v>
      </c>
      <c r="M693" s="783">
        <v>2</v>
      </c>
      <c r="N693" s="772">
        <v>2</v>
      </c>
      <c r="O693" s="783">
        <v>1</v>
      </c>
      <c r="P693" s="772">
        <v>1</v>
      </c>
      <c r="Q693" s="783">
        <v>1</v>
      </c>
      <c r="R693" s="772">
        <v>1</v>
      </c>
      <c r="S693" s="783">
        <v>0</v>
      </c>
      <c r="T693" s="772"/>
      <c r="U693" s="783">
        <v>3</v>
      </c>
      <c r="V693" s="772"/>
      <c r="W693" s="783">
        <v>0</v>
      </c>
      <c r="X693" s="772"/>
      <c r="Y693" s="783">
        <v>0.234706073724475</v>
      </c>
      <c r="Z693" s="772"/>
    </row>
    <row r="694" spans="1:26" s="753" customFormat="1">
      <c r="A694" s="756"/>
      <c r="B694" s="757"/>
      <c r="C694" s="758"/>
      <c r="D694" s="773" t="s">
        <v>10412</v>
      </c>
      <c r="E694" s="20"/>
      <c r="F694" s="774" t="s">
        <v>9282</v>
      </c>
      <c r="G694" s="981" t="s">
        <v>11557</v>
      </c>
      <c r="H694" s="772" t="s">
        <v>9416</v>
      </c>
      <c r="I694" s="981" t="s">
        <v>11557</v>
      </c>
      <c r="J694" s="772" t="s">
        <v>9416</v>
      </c>
      <c r="K694" s="981" t="s">
        <v>11689</v>
      </c>
      <c r="L694" s="1064" t="s">
        <v>9473</v>
      </c>
      <c r="M694" s="783">
        <v>2</v>
      </c>
      <c r="N694" s="772">
        <v>2</v>
      </c>
      <c r="O694" s="783">
        <v>1</v>
      </c>
      <c r="P694" s="772">
        <v>1</v>
      </c>
      <c r="Q694" s="783">
        <v>1</v>
      </c>
      <c r="R694" s="772">
        <v>1</v>
      </c>
      <c r="S694" s="783">
        <v>0</v>
      </c>
      <c r="T694" s="772"/>
      <c r="U694" s="783">
        <v>3</v>
      </c>
      <c r="V694" s="772"/>
      <c r="W694" s="783">
        <v>0</v>
      </c>
      <c r="X694" s="772"/>
      <c r="Y694" s="783">
        <v>0.234706073724475</v>
      </c>
      <c r="Z694" s="772"/>
    </row>
    <row r="695" spans="1:26" s="753" customFormat="1">
      <c r="A695" s="756"/>
      <c r="B695" s="757"/>
      <c r="C695" s="758"/>
      <c r="D695" s="773" t="s">
        <v>10412</v>
      </c>
      <c r="E695" s="782"/>
      <c r="F695" s="774" t="s">
        <v>6348</v>
      </c>
      <c r="G695" s="981" t="s">
        <v>11558</v>
      </c>
      <c r="H695" s="772" t="s">
        <v>9417</v>
      </c>
      <c r="I695" s="981" t="s">
        <v>11558</v>
      </c>
      <c r="J695" s="772" t="s">
        <v>9417</v>
      </c>
      <c r="K695" s="981" t="s">
        <v>11689</v>
      </c>
      <c r="L695" s="1064" t="s">
        <v>9473</v>
      </c>
      <c r="M695" s="783">
        <v>2</v>
      </c>
      <c r="N695" s="772">
        <v>2</v>
      </c>
      <c r="O695" s="783">
        <v>1</v>
      </c>
      <c r="P695" s="772">
        <v>1</v>
      </c>
      <c r="Q695" s="783">
        <v>1</v>
      </c>
      <c r="R695" s="772">
        <v>1</v>
      </c>
      <c r="S695" s="783">
        <v>0</v>
      </c>
      <c r="T695" s="772"/>
      <c r="U695" s="783">
        <v>100</v>
      </c>
      <c r="V695" s="772"/>
      <c r="W695" s="783">
        <v>0</v>
      </c>
      <c r="X695" s="772"/>
      <c r="Y695" s="783">
        <v>0.69435020104850798</v>
      </c>
      <c r="Z695" s="772"/>
    </row>
    <row r="696" spans="1:26" s="514" customFormat="1">
      <c r="A696" s="729"/>
      <c r="B696" s="612"/>
      <c r="C696" s="613"/>
      <c r="D696" s="773" t="s">
        <v>10412</v>
      </c>
      <c r="E696" s="740"/>
      <c r="F696" s="743" t="s">
        <v>6349</v>
      </c>
      <c r="G696" s="981" t="s">
        <v>11559</v>
      </c>
      <c r="H696" s="755" t="s">
        <v>9418</v>
      </c>
      <c r="I696" s="981" t="s">
        <v>11559</v>
      </c>
      <c r="J696" s="755" t="s">
        <v>9418</v>
      </c>
      <c r="K696" s="981" t="s">
        <v>11689</v>
      </c>
      <c r="L696" s="1064" t="s">
        <v>9473</v>
      </c>
      <c r="M696" s="744">
        <v>2</v>
      </c>
      <c r="N696" s="772">
        <v>2</v>
      </c>
      <c r="O696" s="744">
        <v>1</v>
      </c>
      <c r="P696" s="765">
        <v>1</v>
      </c>
      <c r="Q696" s="744">
        <v>1</v>
      </c>
      <c r="R696" s="610">
        <v>1</v>
      </c>
      <c r="S696" s="744">
        <v>0</v>
      </c>
      <c r="T696" s="741"/>
      <c r="U696" s="744">
        <v>100</v>
      </c>
      <c r="V696" s="741"/>
      <c r="W696" s="744">
        <v>0</v>
      </c>
      <c r="X696" s="610"/>
      <c r="Y696" s="744">
        <v>0.69435020104850798</v>
      </c>
      <c r="Z696" s="610"/>
    </row>
    <row r="697" spans="1:26">
      <c r="A697" s="611"/>
      <c r="B697" s="612"/>
      <c r="C697" s="613"/>
      <c r="D697" s="773" t="s">
        <v>10412</v>
      </c>
      <c r="E697" s="740"/>
      <c r="F697" s="731" t="s">
        <v>6357</v>
      </c>
      <c r="G697" s="981" t="s">
        <v>11560</v>
      </c>
      <c r="H697" s="755" t="s">
        <v>9419</v>
      </c>
      <c r="I697" s="981" t="s">
        <v>11560</v>
      </c>
      <c r="J697" s="755" t="s">
        <v>9419</v>
      </c>
      <c r="K697" s="981" t="s">
        <v>11689</v>
      </c>
      <c r="L697" s="1064" t="s">
        <v>9473</v>
      </c>
      <c r="M697" s="732">
        <v>2</v>
      </c>
      <c r="N697" s="772">
        <v>2</v>
      </c>
      <c r="O697" s="732">
        <v>1</v>
      </c>
      <c r="P697" s="765">
        <v>1</v>
      </c>
      <c r="Q697" s="732">
        <v>1</v>
      </c>
      <c r="R697" s="610">
        <v>1</v>
      </c>
      <c r="S697" s="732">
        <v>0</v>
      </c>
      <c r="T697" s="610"/>
      <c r="U697" s="732">
        <v>100</v>
      </c>
      <c r="V697" s="610"/>
      <c r="W697" s="732">
        <v>0</v>
      </c>
      <c r="X697" s="610"/>
      <c r="Y697" s="732">
        <v>6.7131594127204597</v>
      </c>
      <c r="Z697" s="610"/>
    </row>
    <row r="698" spans="1:26">
      <c r="A698" s="611"/>
      <c r="B698" s="612"/>
      <c r="C698" s="613"/>
      <c r="D698" s="773" t="s">
        <v>10412</v>
      </c>
      <c r="E698" s="740"/>
      <c r="F698" s="556" t="s">
        <v>6358</v>
      </c>
      <c r="G698" s="981" t="s">
        <v>11561</v>
      </c>
      <c r="H698" s="610" t="s">
        <v>9420</v>
      </c>
      <c r="I698" s="981" t="s">
        <v>11561</v>
      </c>
      <c r="J698" s="755" t="s">
        <v>9420</v>
      </c>
      <c r="K698" s="981" t="s">
        <v>11689</v>
      </c>
      <c r="L698" s="1064" t="s">
        <v>9473</v>
      </c>
      <c r="M698" s="614">
        <v>2</v>
      </c>
      <c r="N698" s="772">
        <v>2</v>
      </c>
      <c r="O698" s="614">
        <v>1</v>
      </c>
      <c r="P698" s="765">
        <v>1</v>
      </c>
      <c r="Q698" s="614">
        <v>1</v>
      </c>
      <c r="R698" s="610">
        <v>1</v>
      </c>
      <c r="S698" s="614">
        <v>0</v>
      </c>
      <c r="T698" s="610"/>
      <c r="U698" s="614">
        <v>100</v>
      </c>
      <c r="V698" s="610"/>
      <c r="W698" s="614">
        <v>0</v>
      </c>
      <c r="X698" s="610"/>
      <c r="Y698" s="614">
        <v>6.7131594127204597</v>
      </c>
      <c r="Z698" s="610"/>
    </row>
    <row r="699" spans="1:26">
      <c r="A699" s="611"/>
      <c r="B699" s="612"/>
      <c r="C699" s="613"/>
      <c r="D699" s="773" t="s">
        <v>10412</v>
      </c>
      <c r="E699" s="740"/>
      <c r="F699" s="556" t="s">
        <v>6422</v>
      </c>
      <c r="G699" s="981" t="s">
        <v>11562</v>
      </c>
      <c r="H699" s="610" t="s">
        <v>9421</v>
      </c>
      <c r="I699" s="981" t="s">
        <v>11562</v>
      </c>
      <c r="J699" s="755" t="s">
        <v>9421</v>
      </c>
      <c r="K699" s="981" t="s">
        <v>11689</v>
      </c>
      <c r="L699" s="1064" t="s">
        <v>9473</v>
      </c>
      <c r="M699" s="614">
        <v>2</v>
      </c>
      <c r="N699" s="772">
        <v>2</v>
      </c>
      <c r="O699" s="614">
        <v>1</v>
      </c>
      <c r="P699" s="765">
        <v>1</v>
      </c>
      <c r="Q699" s="614">
        <v>1</v>
      </c>
      <c r="R699" s="610">
        <v>1</v>
      </c>
      <c r="S699" s="614">
        <v>0</v>
      </c>
      <c r="T699" s="610"/>
      <c r="U699" s="614">
        <v>100</v>
      </c>
      <c r="V699" s="610"/>
      <c r="W699" s="614">
        <v>0</v>
      </c>
      <c r="X699" s="610"/>
      <c r="Y699" s="614">
        <v>9.0631038108759707E-2</v>
      </c>
      <c r="Z699" s="610"/>
    </row>
    <row r="700" spans="1:26">
      <c r="A700" s="611"/>
      <c r="B700" s="612"/>
      <c r="C700" s="613"/>
      <c r="D700" s="773" t="s">
        <v>10412</v>
      </c>
      <c r="E700" s="20"/>
      <c r="F700" s="556" t="s">
        <v>9339</v>
      </c>
      <c r="G700" s="981" t="s">
        <v>11563</v>
      </c>
      <c r="H700" s="610" t="s">
        <v>9422</v>
      </c>
      <c r="I700" s="981" t="s">
        <v>11563</v>
      </c>
      <c r="J700" s="755" t="s">
        <v>9422</v>
      </c>
      <c r="K700" s="981" t="s">
        <v>11689</v>
      </c>
      <c r="L700" s="1064" t="s">
        <v>9473</v>
      </c>
      <c r="M700" s="614">
        <v>2</v>
      </c>
      <c r="N700" s="772">
        <v>2</v>
      </c>
      <c r="O700" s="614">
        <v>1</v>
      </c>
      <c r="P700" s="765">
        <v>1</v>
      </c>
      <c r="Q700" s="614">
        <v>1</v>
      </c>
      <c r="R700" s="610">
        <v>1</v>
      </c>
      <c r="S700" s="614">
        <v>0</v>
      </c>
      <c r="T700" s="610"/>
      <c r="U700" s="614">
        <v>3</v>
      </c>
      <c r="V700" s="610"/>
      <c r="W700" s="614">
        <v>0</v>
      </c>
      <c r="X700" s="610"/>
      <c r="Y700" s="614">
        <v>0.737354762211896</v>
      </c>
      <c r="Z700" s="610"/>
    </row>
    <row r="701" spans="1:26">
      <c r="A701" s="611"/>
      <c r="B701" s="612"/>
      <c r="C701" s="613"/>
      <c r="D701" s="773" t="s">
        <v>10412</v>
      </c>
      <c r="E701" s="740"/>
      <c r="F701" s="556" t="s">
        <v>8543</v>
      </c>
      <c r="G701" s="981" t="s">
        <v>11564</v>
      </c>
      <c r="H701" s="755" t="s">
        <v>9423</v>
      </c>
      <c r="I701" s="981" t="s">
        <v>11564</v>
      </c>
      <c r="J701" s="755" t="s">
        <v>9423</v>
      </c>
      <c r="K701" s="981" t="s">
        <v>11689</v>
      </c>
      <c r="L701" s="1064" t="s">
        <v>9473</v>
      </c>
      <c r="M701" s="614">
        <v>2</v>
      </c>
      <c r="N701" s="772">
        <v>2</v>
      </c>
      <c r="O701" s="614">
        <v>1</v>
      </c>
      <c r="P701" s="765">
        <v>1</v>
      </c>
      <c r="Q701" s="614">
        <v>1</v>
      </c>
      <c r="R701" s="610">
        <v>1</v>
      </c>
      <c r="S701" s="614">
        <v>0</v>
      </c>
      <c r="T701" s="610"/>
      <c r="U701" s="614">
        <v>100</v>
      </c>
      <c r="V701" s="610"/>
      <c r="W701" s="614">
        <v>0</v>
      </c>
      <c r="X701" s="610"/>
      <c r="Y701" s="614">
        <v>7.8067648256428601</v>
      </c>
      <c r="Z701" s="610"/>
    </row>
    <row r="702" spans="1:26">
      <c r="A702" s="611"/>
      <c r="B702" s="612"/>
      <c r="C702" s="613"/>
      <c r="D702" s="773" t="s">
        <v>10412</v>
      </c>
      <c r="E702" s="782"/>
      <c r="F702" s="556" t="s">
        <v>8544</v>
      </c>
      <c r="G702" s="981" t="s">
        <v>11565</v>
      </c>
      <c r="H702" s="610" t="s">
        <v>9424</v>
      </c>
      <c r="I702" s="981" t="s">
        <v>11565</v>
      </c>
      <c r="J702" s="755" t="s">
        <v>9424</v>
      </c>
      <c r="K702" s="981" t="s">
        <v>11689</v>
      </c>
      <c r="L702" s="772" t="s">
        <v>10413</v>
      </c>
      <c r="M702" s="614">
        <v>2</v>
      </c>
      <c r="N702" s="772">
        <v>2</v>
      </c>
      <c r="O702" s="614">
        <v>1</v>
      </c>
      <c r="P702" s="765">
        <v>1</v>
      </c>
      <c r="Q702" s="614">
        <v>1</v>
      </c>
      <c r="R702" s="610">
        <v>1</v>
      </c>
      <c r="S702" s="614">
        <v>0</v>
      </c>
      <c r="T702" s="610"/>
      <c r="U702" s="614">
        <v>100</v>
      </c>
      <c r="V702" s="610"/>
      <c r="W702" s="614">
        <v>0</v>
      </c>
      <c r="X702" s="610"/>
      <c r="Y702" s="614">
        <v>7.8067648256428601</v>
      </c>
      <c r="Z702" s="610"/>
    </row>
    <row r="703" spans="1:26">
      <c r="A703" s="611"/>
      <c r="B703" s="612"/>
      <c r="C703" s="613"/>
      <c r="D703" s="773" t="s">
        <v>10412</v>
      </c>
      <c r="E703" s="740"/>
      <c r="F703" s="556" t="s">
        <v>8566</v>
      </c>
      <c r="G703" s="981" t="s">
        <v>11566</v>
      </c>
      <c r="H703" s="610" t="s">
        <v>9425</v>
      </c>
      <c r="I703" s="981" t="s">
        <v>11566</v>
      </c>
      <c r="J703" s="755" t="s">
        <v>9425</v>
      </c>
      <c r="K703" s="981" t="s">
        <v>11689</v>
      </c>
      <c r="L703" s="1064" t="s">
        <v>9473</v>
      </c>
      <c r="M703" s="614">
        <v>2</v>
      </c>
      <c r="N703" s="772">
        <v>2</v>
      </c>
      <c r="O703" s="614">
        <v>1</v>
      </c>
      <c r="P703" s="765">
        <v>1</v>
      </c>
      <c r="Q703" s="614">
        <v>1</v>
      </c>
      <c r="R703" s="610">
        <v>1</v>
      </c>
      <c r="S703" s="614">
        <v>0</v>
      </c>
      <c r="T703" s="610"/>
      <c r="U703" s="614">
        <v>100</v>
      </c>
      <c r="V703" s="610"/>
      <c r="W703" s="614">
        <v>0</v>
      </c>
      <c r="X703" s="610"/>
      <c r="Y703" s="614">
        <v>8.1968186594183603</v>
      </c>
      <c r="Z703" s="610"/>
    </row>
    <row r="704" spans="1:26">
      <c r="A704" s="611"/>
      <c r="B704" s="612"/>
      <c r="C704" s="613"/>
      <c r="D704" s="773" t="s">
        <v>10412</v>
      </c>
      <c r="E704" s="740"/>
      <c r="F704" s="556" t="s">
        <v>8567</v>
      </c>
      <c r="G704" s="981" t="s">
        <v>11567</v>
      </c>
      <c r="H704" s="610" t="s">
        <v>9426</v>
      </c>
      <c r="I704" s="981" t="s">
        <v>11567</v>
      </c>
      <c r="J704" s="755" t="s">
        <v>9426</v>
      </c>
      <c r="K704" s="981" t="s">
        <v>11689</v>
      </c>
      <c r="L704" s="1064" t="s">
        <v>9473</v>
      </c>
      <c r="M704" s="614">
        <v>2</v>
      </c>
      <c r="N704" s="772">
        <v>2</v>
      </c>
      <c r="O704" s="614">
        <v>1</v>
      </c>
      <c r="P704" s="765">
        <v>1</v>
      </c>
      <c r="Q704" s="614">
        <v>1</v>
      </c>
      <c r="R704" s="610">
        <v>1</v>
      </c>
      <c r="S704" s="614">
        <v>0</v>
      </c>
      <c r="T704" s="610"/>
      <c r="U704" s="614">
        <v>100</v>
      </c>
      <c r="V704" s="610"/>
      <c r="W704" s="614">
        <v>0</v>
      </c>
      <c r="X704" s="610"/>
      <c r="Y704" s="614">
        <v>8.1968186594183603</v>
      </c>
      <c r="Z704" s="610"/>
    </row>
    <row r="705" spans="1:26">
      <c r="A705" s="756"/>
      <c r="B705" s="757"/>
      <c r="C705" s="758"/>
      <c r="D705" s="773" t="s">
        <v>10412</v>
      </c>
      <c r="E705" s="781"/>
      <c r="F705" s="760" t="s">
        <v>8568</v>
      </c>
      <c r="G705" s="981" t="s">
        <v>11568</v>
      </c>
      <c r="H705" s="755" t="s">
        <v>9471</v>
      </c>
      <c r="I705" s="981" t="s">
        <v>11568</v>
      </c>
      <c r="J705" s="755" t="s">
        <v>9471</v>
      </c>
      <c r="K705" s="981" t="s">
        <v>11689</v>
      </c>
      <c r="L705" s="1064" t="s">
        <v>9473</v>
      </c>
      <c r="M705" s="761">
        <v>2</v>
      </c>
      <c r="N705" s="772">
        <v>2</v>
      </c>
      <c r="O705" s="761">
        <v>1</v>
      </c>
      <c r="P705" s="765">
        <v>1</v>
      </c>
      <c r="Q705" s="761">
        <v>1</v>
      </c>
      <c r="R705" s="755">
        <v>1</v>
      </c>
      <c r="S705" s="761">
        <v>0</v>
      </c>
      <c r="T705" s="755"/>
      <c r="U705" s="761">
        <v>100</v>
      </c>
      <c r="V705" s="755"/>
      <c r="W705" s="761">
        <v>0</v>
      </c>
      <c r="X705" s="755"/>
      <c r="Y705" s="761">
        <v>8.1968186594183603</v>
      </c>
      <c r="Z705" s="755"/>
    </row>
    <row r="706" spans="1:26">
      <c r="A706" s="756"/>
      <c r="B706" s="757"/>
      <c r="C706" s="758"/>
      <c r="D706" s="773" t="s">
        <v>10412</v>
      </c>
      <c r="E706" s="781"/>
      <c r="F706" s="760" t="s">
        <v>8569</v>
      </c>
      <c r="G706" s="981" t="s">
        <v>11569</v>
      </c>
      <c r="H706" s="755" t="s">
        <v>9472</v>
      </c>
      <c r="I706" s="981" t="s">
        <v>11569</v>
      </c>
      <c r="J706" s="755" t="s">
        <v>9472</v>
      </c>
      <c r="K706" s="981" t="s">
        <v>11689</v>
      </c>
      <c r="L706" s="1064" t="s">
        <v>9473</v>
      </c>
      <c r="M706" s="761">
        <v>2</v>
      </c>
      <c r="N706" s="772">
        <v>2</v>
      </c>
      <c r="O706" s="761">
        <v>1</v>
      </c>
      <c r="P706" s="765">
        <v>1</v>
      </c>
      <c r="Q706" s="761">
        <v>1</v>
      </c>
      <c r="R706" s="755">
        <v>1</v>
      </c>
      <c r="S706" s="761">
        <v>0</v>
      </c>
      <c r="T706" s="755"/>
      <c r="U706" s="761">
        <v>100</v>
      </c>
      <c r="V706" s="755"/>
      <c r="W706" s="761">
        <v>0</v>
      </c>
      <c r="X706" s="755"/>
      <c r="Y706" s="761">
        <v>8.1968186594183603</v>
      </c>
      <c r="Z706" s="755"/>
    </row>
    <row r="707" spans="1:26">
      <c r="A707" s="756"/>
      <c r="B707" s="757"/>
      <c r="C707" s="758"/>
      <c r="D707" s="773" t="s">
        <v>10412</v>
      </c>
      <c r="E707" s="781"/>
      <c r="F707" s="760" t="s">
        <v>6233</v>
      </c>
      <c r="G707" s="981" t="s">
        <v>11570</v>
      </c>
      <c r="H707" s="755" t="s">
        <v>6237</v>
      </c>
      <c r="I707" s="981" t="s">
        <v>11570</v>
      </c>
      <c r="J707" s="755" t="s">
        <v>6237</v>
      </c>
      <c r="K707" s="981" t="s">
        <v>11689</v>
      </c>
      <c r="L707" s="1064" t="s">
        <v>9473</v>
      </c>
      <c r="M707" s="761">
        <v>2</v>
      </c>
      <c r="N707" s="772">
        <v>2</v>
      </c>
      <c r="O707" s="761">
        <v>1</v>
      </c>
      <c r="P707" s="765">
        <v>1</v>
      </c>
      <c r="Q707" s="761">
        <v>1</v>
      </c>
      <c r="R707" s="755">
        <v>1</v>
      </c>
      <c r="S707" s="761">
        <v>0</v>
      </c>
      <c r="T707" s="755"/>
      <c r="U707" s="761">
        <v>10</v>
      </c>
      <c r="V707" s="755"/>
      <c r="W707" s="761">
        <v>0</v>
      </c>
      <c r="X707" s="755"/>
      <c r="Y707" s="761">
        <v>0.65538468537800898</v>
      </c>
      <c r="Z707" s="755"/>
    </row>
    <row r="708" spans="1:26">
      <c r="A708" s="756"/>
      <c r="B708" s="757"/>
      <c r="C708" s="758"/>
      <c r="D708" s="773" t="s">
        <v>10412</v>
      </c>
      <c r="E708" s="781"/>
      <c r="F708" s="760" t="s">
        <v>6235</v>
      </c>
      <c r="G708" s="981" t="s">
        <v>11571</v>
      </c>
      <c r="H708" s="755" t="s">
        <v>6239</v>
      </c>
      <c r="I708" s="981" t="s">
        <v>11571</v>
      </c>
      <c r="J708" s="755" t="s">
        <v>6239</v>
      </c>
      <c r="K708" s="981" t="s">
        <v>11689</v>
      </c>
      <c r="L708" s="1064" t="s">
        <v>9473</v>
      </c>
      <c r="M708" s="761">
        <v>2</v>
      </c>
      <c r="N708" s="772">
        <v>2</v>
      </c>
      <c r="O708" s="761">
        <v>1</v>
      </c>
      <c r="P708" s="765">
        <v>1</v>
      </c>
      <c r="Q708" s="761">
        <v>1</v>
      </c>
      <c r="R708" s="755">
        <v>1</v>
      </c>
      <c r="S708" s="761">
        <v>0</v>
      </c>
      <c r="T708" s="755"/>
      <c r="U708" s="761">
        <v>10</v>
      </c>
      <c r="V708" s="755"/>
      <c r="W708" s="761">
        <v>0</v>
      </c>
      <c r="X708" s="755"/>
      <c r="Y708" s="761">
        <v>0</v>
      </c>
      <c r="Z708" s="755"/>
    </row>
    <row r="709" spans="1:26">
      <c r="A709" s="756"/>
      <c r="B709" s="757"/>
      <c r="C709" s="758"/>
      <c r="D709" s="773" t="s">
        <v>10412</v>
      </c>
      <c r="E709" s="781"/>
      <c r="F709" s="760" t="s">
        <v>6202</v>
      </c>
      <c r="G709" s="981" t="s">
        <v>11572</v>
      </c>
      <c r="H709" s="755" t="s">
        <v>6214</v>
      </c>
      <c r="I709" s="981" t="s">
        <v>11572</v>
      </c>
      <c r="J709" s="755" t="s">
        <v>6214</v>
      </c>
      <c r="K709" s="981" t="s">
        <v>11689</v>
      </c>
      <c r="L709" s="1064" t="s">
        <v>9473</v>
      </c>
      <c r="M709" s="761">
        <v>2</v>
      </c>
      <c r="N709" s="772">
        <v>2</v>
      </c>
      <c r="O709" s="761">
        <v>1</v>
      </c>
      <c r="P709" s="765">
        <v>1</v>
      </c>
      <c r="Q709" s="761">
        <v>1</v>
      </c>
      <c r="R709" s="755">
        <v>1</v>
      </c>
      <c r="S709" s="761">
        <v>0</v>
      </c>
      <c r="T709" s="755"/>
      <c r="U709" s="761">
        <v>10</v>
      </c>
      <c r="V709" s="755"/>
      <c r="W709" s="761">
        <v>0</v>
      </c>
      <c r="X709" s="755"/>
      <c r="Y709" s="761">
        <v>1.30415288411036</v>
      </c>
      <c r="Z709" s="755"/>
    </row>
    <row r="710" spans="1:26">
      <c r="A710" s="756"/>
      <c r="B710" s="757"/>
      <c r="C710" s="758"/>
      <c r="D710" s="773" t="s">
        <v>10412</v>
      </c>
      <c r="E710" s="781"/>
      <c r="F710" s="760" t="s">
        <v>6204</v>
      </c>
      <c r="G710" s="981" t="s">
        <v>11573</v>
      </c>
      <c r="H710" s="755" t="s">
        <v>6216</v>
      </c>
      <c r="I710" s="981" t="s">
        <v>11573</v>
      </c>
      <c r="J710" s="755" t="s">
        <v>6216</v>
      </c>
      <c r="K710" s="981" t="s">
        <v>11689</v>
      </c>
      <c r="L710" s="1064" t="s">
        <v>9473</v>
      </c>
      <c r="M710" s="761">
        <v>2</v>
      </c>
      <c r="N710" s="772">
        <v>2</v>
      </c>
      <c r="O710" s="761">
        <v>1</v>
      </c>
      <c r="P710" s="765">
        <v>1</v>
      </c>
      <c r="Q710" s="761">
        <v>1</v>
      </c>
      <c r="R710" s="755">
        <v>1</v>
      </c>
      <c r="S710" s="761">
        <v>0</v>
      </c>
      <c r="T710" s="755"/>
      <c r="U710" s="761">
        <v>10</v>
      </c>
      <c r="V710" s="755"/>
      <c r="W710" s="761">
        <v>0</v>
      </c>
      <c r="X710" s="755"/>
      <c r="Y710" s="761">
        <v>1.30415288411036</v>
      </c>
      <c r="Z710" s="755"/>
    </row>
    <row r="711" spans="1:26">
      <c r="A711" s="756"/>
      <c r="B711" s="757"/>
      <c r="C711" s="758"/>
      <c r="D711" s="773" t="s">
        <v>10412</v>
      </c>
      <c r="E711" s="781"/>
      <c r="F711" s="760" t="s">
        <v>6206</v>
      </c>
      <c r="G711" s="981" t="s">
        <v>11574</v>
      </c>
      <c r="H711" s="755" t="s">
        <v>6218</v>
      </c>
      <c r="I711" s="981" t="s">
        <v>11574</v>
      </c>
      <c r="J711" s="755" t="s">
        <v>6218</v>
      </c>
      <c r="K711" s="981" t="s">
        <v>11689</v>
      </c>
      <c r="L711" s="1064" t="s">
        <v>9473</v>
      </c>
      <c r="M711" s="761">
        <v>2</v>
      </c>
      <c r="N711" s="772">
        <v>2</v>
      </c>
      <c r="O711" s="761">
        <v>1</v>
      </c>
      <c r="P711" s="765">
        <v>1</v>
      </c>
      <c r="Q711" s="761">
        <v>1</v>
      </c>
      <c r="R711" s="755">
        <v>1</v>
      </c>
      <c r="S711" s="761">
        <v>0</v>
      </c>
      <c r="T711" s="755"/>
      <c r="U711" s="761">
        <v>10</v>
      </c>
      <c r="V711" s="755"/>
      <c r="W711" s="761">
        <v>0</v>
      </c>
      <c r="X711" s="755"/>
      <c r="Y711" s="761">
        <v>1.30415288411036</v>
      </c>
      <c r="Z711" s="755"/>
    </row>
    <row r="712" spans="1:26">
      <c r="A712" s="756"/>
      <c r="B712" s="757"/>
      <c r="C712" s="758"/>
      <c r="D712" s="773" t="s">
        <v>10412</v>
      </c>
      <c r="E712" s="781"/>
      <c r="F712" s="760" t="s">
        <v>7969</v>
      </c>
      <c r="G712" s="981" t="s">
        <v>11575</v>
      </c>
      <c r="H712" s="755" t="s">
        <v>6241</v>
      </c>
      <c r="I712" s="981" t="s">
        <v>11575</v>
      </c>
      <c r="J712" s="755" t="s">
        <v>6241</v>
      </c>
      <c r="K712" s="981" t="s">
        <v>11689</v>
      </c>
      <c r="L712" s="1064" t="s">
        <v>9473</v>
      </c>
      <c r="M712" s="761">
        <v>2</v>
      </c>
      <c r="N712" s="772">
        <v>2</v>
      </c>
      <c r="O712" s="761">
        <v>1</v>
      </c>
      <c r="P712" s="765">
        <v>1</v>
      </c>
      <c r="Q712" s="761">
        <v>1</v>
      </c>
      <c r="R712" s="755">
        <v>1</v>
      </c>
      <c r="S712" s="761">
        <v>0</v>
      </c>
      <c r="T712" s="755"/>
      <c r="U712" s="761">
        <v>10</v>
      </c>
      <c r="V712" s="755"/>
      <c r="W712" s="761">
        <v>0</v>
      </c>
      <c r="X712" s="755"/>
      <c r="Y712" s="761">
        <v>0.69728658548248201</v>
      </c>
      <c r="Z712" s="755"/>
    </row>
    <row r="713" spans="1:26">
      <c r="A713" s="756"/>
      <c r="B713" s="757"/>
      <c r="C713" s="758"/>
      <c r="D713" s="773" t="s">
        <v>10412</v>
      </c>
      <c r="E713" s="781"/>
      <c r="F713" s="760" t="s">
        <v>7971</v>
      </c>
      <c r="G713" s="981" t="s">
        <v>11576</v>
      </c>
      <c r="H713" s="755" t="s">
        <v>6243</v>
      </c>
      <c r="I713" s="981" t="s">
        <v>11576</v>
      </c>
      <c r="J713" s="755" t="s">
        <v>6243</v>
      </c>
      <c r="K713" s="981" t="s">
        <v>11689</v>
      </c>
      <c r="L713" s="1064" t="s">
        <v>9473</v>
      </c>
      <c r="M713" s="761">
        <v>2</v>
      </c>
      <c r="N713" s="772">
        <v>2</v>
      </c>
      <c r="O713" s="761">
        <v>1</v>
      </c>
      <c r="P713" s="765">
        <v>1</v>
      </c>
      <c r="Q713" s="761">
        <v>1</v>
      </c>
      <c r="R713" s="755">
        <v>1</v>
      </c>
      <c r="S713" s="761">
        <v>0</v>
      </c>
      <c r="T713" s="755"/>
      <c r="U713" s="761">
        <v>10</v>
      </c>
      <c r="V713" s="755"/>
      <c r="W713" s="761">
        <v>0</v>
      </c>
      <c r="X713" s="755"/>
      <c r="Y713" s="761">
        <v>0.69728658548248201</v>
      </c>
      <c r="Z713" s="755"/>
    </row>
    <row r="714" spans="1:26">
      <c r="A714" s="756"/>
      <c r="B714" s="757"/>
      <c r="C714" s="758"/>
      <c r="D714" s="773" t="s">
        <v>10412</v>
      </c>
      <c r="E714" s="781"/>
      <c r="F714" s="760" t="s">
        <v>6208</v>
      </c>
      <c r="G714" s="981" t="s">
        <v>11577</v>
      </c>
      <c r="H714" s="755" t="s">
        <v>6220</v>
      </c>
      <c r="I714" s="981" t="s">
        <v>11577</v>
      </c>
      <c r="J714" s="755" t="s">
        <v>6220</v>
      </c>
      <c r="K714" s="981" t="s">
        <v>11689</v>
      </c>
      <c r="L714" s="1064" t="s">
        <v>9473</v>
      </c>
      <c r="M714" s="761">
        <v>2</v>
      </c>
      <c r="N714" s="772">
        <v>2</v>
      </c>
      <c r="O714" s="761">
        <v>1</v>
      </c>
      <c r="P714" s="765">
        <v>1</v>
      </c>
      <c r="Q714" s="761">
        <v>1</v>
      </c>
      <c r="R714" s="755">
        <v>1</v>
      </c>
      <c r="S714" s="761">
        <v>0</v>
      </c>
      <c r="T714" s="755"/>
      <c r="U714" s="761">
        <v>10</v>
      </c>
      <c r="V714" s="755"/>
      <c r="W714" s="761">
        <v>0</v>
      </c>
      <c r="X714" s="755"/>
      <c r="Y714" s="761">
        <v>1.14116225261535</v>
      </c>
      <c r="Z714" s="755"/>
    </row>
    <row r="715" spans="1:26">
      <c r="A715" s="756"/>
      <c r="B715" s="757"/>
      <c r="C715" s="758"/>
      <c r="D715" s="773" t="s">
        <v>10412</v>
      </c>
      <c r="E715" s="781"/>
      <c r="F715" s="760" t="s">
        <v>6210</v>
      </c>
      <c r="G715" s="981" t="s">
        <v>11578</v>
      </c>
      <c r="H715" s="755" t="s">
        <v>6222</v>
      </c>
      <c r="I715" s="981" t="s">
        <v>11578</v>
      </c>
      <c r="J715" s="755" t="s">
        <v>6222</v>
      </c>
      <c r="K715" s="981" t="s">
        <v>11689</v>
      </c>
      <c r="L715" s="1064" t="s">
        <v>9473</v>
      </c>
      <c r="M715" s="761">
        <v>2</v>
      </c>
      <c r="N715" s="772">
        <v>2</v>
      </c>
      <c r="O715" s="761">
        <v>1</v>
      </c>
      <c r="P715" s="765">
        <v>1</v>
      </c>
      <c r="Q715" s="761">
        <v>1</v>
      </c>
      <c r="R715" s="755">
        <v>1</v>
      </c>
      <c r="S715" s="761">
        <v>0</v>
      </c>
      <c r="T715" s="755"/>
      <c r="U715" s="761">
        <v>10</v>
      </c>
      <c r="V715" s="755"/>
      <c r="W715" s="761">
        <v>0</v>
      </c>
      <c r="X715" s="755"/>
      <c r="Y715" s="761">
        <v>0</v>
      </c>
      <c r="Z715" s="755"/>
    </row>
    <row r="716" spans="1:26">
      <c r="A716" s="756"/>
      <c r="B716" s="757"/>
      <c r="C716" s="758"/>
      <c r="D716" s="773" t="s">
        <v>10412</v>
      </c>
      <c r="E716" s="781"/>
      <c r="F716" s="760" t="s">
        <v>6212</v>
      </c>
      <c r="G716" s="981" t="s">
        <v>11579</v>
      </c>
      <c r="H716" s="755" t="s">
        <v>6224</v>
      </c>
      <c r="I716" s="981" t="s">
        <v>11579</v>
      </c>
      <c r="J716" s="755" t="s">
        <v>6224</v>
      </c>
      <c r="K716" s="981" t="s">
        <v>11689</v>
      </c>
      <c r="L716" s="1064" t="s">
        <v>9473</v>
      </c>
      <c r="M716" s="761">
        <v>2</v>
      </c>
      <c r="N716" s="772">
        <v>2</v>
      </c>
      <c r="O716" s="761">
        <v>1</v>
      </c>
      <c r="P716" s="765">
        <v>1</v>
      </c>
      <c r="Q716" s="761">
        <v>1</v>
      </c>
      <c r="R716" s="755">
        <v>1</v>
      </c>
      <c r="S716" s="761">
        <v>0</v>
      </c>
      <c r="T716" s="755"/>
      <c r="U716" s="761">
        <v>10</v>
      </c>
      <c r="V716" s="755"/>
      <c r="W716" s="761">
        <v>0</v>
      </c>
      <c r="X716" s="755"/>
      <c r="Y716" s="761">
        <v>1.30415288411036</v>
      </c>
      <c r="Z716" s="755"/>
    </row>
    <row r="717" spans="1:26">
      <c r="A717" s="756"/>
      <c r="B717" s="757"/>
      <c r="C717" s="758"/>
      <c r="D717" s="773" t="s">
        <v>10412</v>
      </c>
      <c r="E717" s="781"/>
      <c r="F717" s="760" t="s">
        <v>9249</v>
      </c>
      <c r="G717" s="981" t="s">
        <v>11580</v>
      </c>
      <c r="H717" s="755" t="s">
        <v>9427</v>
      </c>
      <c r="I717" s="981" t="s">
        <v>11580</v>
      </c>
      <c r="J717" s="755" t="s">
        <v>9427</v>
      </c>
      <c r="K717" s="981" t="s">
        <v>11689</v>
      </c>
      <c r="L717" s="1064" t="s">
        <v>9473</v>
      </c>
      <c r="M717" s="761">
        <v>2</v>
      </c>
      <c r="N717" s="772">
        <v>2</v>
      </c>
      <c r="O717" s="761">
        <v>1</v>
      </c>
      <c r="P717" s="765">
        <v>1</v>
      </c>
      <c r="Q717" s="761">
        <v>1</v>
      </c>
      <c r="R717" s="755">
        <v>1</v>
      </c>
      <c r="S717" s="761">
        <v>0</v>
      </c>
      <c r="T717" s="755"/>
      <c r="U717" s="761">
        <v>10</v>
      </c>
      <c r="V717" s="755"/>
      <c r="W717" s="761">
        <v>0</v>
      </c>
      <c r="X717" s="755"/>
      <c r="Y717" s="761">
        <v>5.6834295668495001</v>
      </c>
      <c r="Z717" s="755"/>
    </row>
    <row r="718" spans="1:26">
      <c r="A718" s="756"/>
      <c r="B718" s="757"/>
      <c r="C718" s="758"/>
      <c r="D718" s="773" t="s">
        <v>10412</v>
      </c>
      <c r="E718" s="781"/>
      <c r="F718" s="760" t="s">
        <v>9324</v>
      </c>
      <c r="G718" s="981" t="s">
        <v>11581</v>
      </c>
      <c r="H718" s="755" t="s">
        <v>9428</v>
      </c>
      <c r="I718" s="981" t="s">
        <v>11581</v>
      </c>
      <c r="J718" s="755" t="s">
        <v>9428</v>
      </c>
      <c r="K718" s="981" t="s">
        <v>11689</v>
      </c>
      <c r="L718" s="1064" t="s">
        <v>9473</v>
      </c>
      <c r="M718" s="761">
        <v>2</v>
      </c>
      <c r="N718" s="772">
        <v>2</v>
      </c>
      <c r="O718" s="761">
        <v>1</v>
      </c>
      <c r="P718" s="765">
        <v>1</v>
      </c>
      <c r="Q718" s="761">
        <v>1</v>
      </c>
      <c r="R718" s="755">
        <v>1</v>
      </c>
      <c r="S718" s="761">
        <v>0</v>
      </c>
      <c r="T718" s="755"/>
      <c r="U718" s="761">
        <v>10</v>
      </c>
      <c r="V718" s="755"/>
      <c r="W718" s="761">
        <v>0</v>
      </c>
      <c r="X718" s="755"/>
      <c r="Y718" s="761">
        <v>5.6834295668495001</v>
      </c>
      <c r="Z718" s="755"/>
    </row>
    <row r="719" spans="1:26">
      <c r="A719" s="756"/>
      <c r="B719" s="757"/>
      <c r="C719" s="758"/>
      <c r="D719" s="797" t="s">
        <v>10447</v>
      </c>
      <c r="E719" s="781"/>
      <c r="F719" s="794" t="s">
        <v>8559</v>
      </c>
      <c r="G719" s="981" t="s">
        <v>11582</v>
      </c>
      <c r="H719" s="755" t="s">
        <v>8560</v>
      </c>
      <c r="I719" s="981" t="s">
        <v>11582</v>
      </c>
      <c r="J719" s="755" t="s">
        <v>8560</v>
      </c>
      <c r="K719" s="981" t="s">
        <v>11676</v>
      </c>
      <c r="L719" s="755" t="s">
        <v>1535</v>
      </c>
      <c r="M719" s="761">
        <v>6</v>
      </c>
      <c r="N719" s="755">
        <v>6</v>
      </c>
      <c r="O719" s="761">
        <v>1</v>
      </c>
      <c r="P719" s="765">
        <v>1</v>
      </c>
      <c r="Q719" s="761">
        <v>1</v>
      </c>
      <c r="R719" s="755">
        <v>1</v>
      </c>
      <c r="S719" s="761">
        <v>-25</v>
      </c>
      <c r="T719" s="772"/>
      <c r="U719" s="761">
        <v>523</v>
      </c>
      <c r="V719" s="755"/>
      <c r="W719" s="761">
        <v>0</v>
      </c>
      <c r="X719" s="755"/>
      <c r="Y719" s="761">
        <v>52.897219005287198</v>
      </c>
      <c r="Z719" s="755"/>
    </row>
    <row r="720" spans="1:26">
      <c r="A720" s="756"/>
      <c r="B720" s="757"/>
      <c r="C720" s="758"/>
      <c r="D720" s="797" t="s">
        <v>10447</v>
      </c>
      <c r="E720" s="781"/>
      <c r="F720" s="794" t="s">
        <v>8588</v>
      </c>
      <c r="G720" s="981" t="s">
        <v>11583</v>
      </c>
      <c r="H720" s="755" t="s">
        <v>8589</v>
      </c>
      <c r="I720" s="981" t="s">
        <v>11583</v>
      </c>
      <c r="J720" s="755" t="s">
        <v>8589</v>
      </c>
      <c r="K720" s="981" t="s">
        <v>11676</v>
      </c>
      <c r="L720" s="755" t="s">
        <v>1535</v>
      </c>
      <c r="M720" s="761">
        <v>6</v>
      </c>
      <c r="N720" s="755">
        <v>6</v>
      </c>
      <c r="O720" s="761">
        <v>1</v>
      </c>
      <c r="P720" s="765">
        <v>1</v>
      </c>
      <c r="Q720" s="761">
        <v>1</v>
      </c>
      <c r="R720" s="755">
        <v>1</v>
      </c>
      <c r="S720" s="761">
        <v>0</v>
      </c>
      <c r="T720" s="772"/>
      <c r="U720" s="761">
        <v>400</v>
      </c>
      <c r="V720" s="755"/>
      <c r="W720" s="761">
        <v>0</v>
      </c>
      <c r="X720" s="755"/>
      <c r="Y720" s="761">
        <v>322.75778105703</v>
      </c>
      <c r="Z720" s="755"/>
    </row>
    <row r="721" spans="1:26">
      <c r="A721" s="756"/>
      <c r="B721" s="757"/>
      <c r="C721" s="758"/>
      <c r="D721" s="797" t="s">
        <v>10447</v>
      </c>
      <c r="E721" s="781"/>
      <c r="F721" s="794" t="s">
        <v>8590</v>
      </c>
      <c r="G721" s="981" t="s">
        <v>11583</v>
      </c>
      <c r="H721" s="755" t="s">
        <v>8589</v>
      </c>
      <c r="I721" s="981" t="s">
        <v>11583</v>
      </c>
      <c r="J721" s="755" t="s">
        <v>8589</v>
      </c>
      <c r="K721" s="981" t="s">
        <v>11676</v>
      </c>
      <c r="L721" s="755" t="s">
        <v>1535</v>
      </c>
      <c r="M721" s="761">
        <v>6</v>
      </c>
      <c r="N721" s="755">
        <v>6</v>
      </c>
      <c r="O721" s="761">
        <v>1</v>
      </c>
      <c r="P721" s="765">
        <v>1</v>
      </c>
      <c r="Q721" s="761">
        <v>1</v>
      </c>
      <c r="R721" s="755">
        <v>1</v>
      </c>
      <c r="S721" s="761">
        <v>0</v>
      </c>
      <c r="T721" s="772"/>
      <c r="U721" s="761">
        <v>400</v>
      </c>
      <c r="V721" s="755"/>
      <c r="W721" s="761">
        <v>0</v>
      </c>
      <c r="X721" s="755"/>
      <c r="Y721" s="761">
        <v>322.75778105703</v>
      </c>
      <c r="Z721" s="755"/>
    </row>
    <row r="722" spans="1:26">
      <c r="A722" s="756"/>
      <c r="B722" s="757"/>
      <c r="C722" s="758"/>
      <c r="D722" s="797" t="s">
        <v>10447</v>
      </c>
      <c r="E722" s="781"/>
      <c r="F722" s="794" t="s">
        <v>8591</v>
      </c>
      <c r="G722" s="981" t="s">
        <v>11583</v>
      </c>
      <c r="H722" s="755" t="s">
        <v>8589</v>
      </c>
      <c r="I722" s="981" t="s">
        <v>11583</v>
      </c>
      <c r="J722" s="755" t="s">
        <v>8589</v>
      </c>
      <c r="K722" s="981" t="s">
        <v>11676</v>
      </c>
      <c r="L722" s="755" t="s">
        <v>1535</v>
      </c>
      <c r="M722" s="761">
        <v>6</v>
      </c>
      <c r="N722" s="755">
        <v>6</v>
      </c>
      <c r="O722" s="761">
        <v>1</v>
      </c>
      <c r="P722" s="765">
        <v>1</v>
      </c>
      <c r="Q722" s="761">
        <v>1</v>
      </c>
      <c r="R722" s="755">
        <v>1</v>
      </c>
      <c r="S722" s="761">
        <v>0</v>
      </c>
      <c r="T722" s="772"/>
      <c r="U722" s="761">
        <v>400</v>
      </c>
      <c r="V722" s="755"/>
      <c r="W722" s="761">
        <v>0</v>
      </c>
      <c r="X722" s="755"/>
      <c r="Y722" s="761">
        <v>322.75778105703</v>
      </c>
      <c r="Z722" s="755"/>
    </row>
    <row r="723" spans="1:26">
      <c r="A723" s="756"/>
      <c r="B723" s="757"/>
      <c r="C723" s="758"/>
      <c r="D723" s="797" t="s">
        <v>10447</v>
      </c>
      <c r="E723" s="781"/>
      <c r="F723" s="794" t="s">
        <v>8592</v>
      </c>
      <c r="G723" s="981" t="s">
        <v>11583</v>
      </c>
      <c r="H723" s="755" t="s">
        <v>8589</v>
      </c>
      <c r="I723" s="981" t="s">
        <v>11583</v>
      </c>
      <c r="J723" s="755" t="s">
        <v>8589</v>
      </c>
      <c r="K723" s="981" t="s">
        <v>11676</v>
      </c>
      <c r="L723" s="755" t="s">
        <v>1535</v>
      </c>
      <c r="M723" s="761">
        <v>6</v>
      </c>
      <c r="N723" s="755">
        <v>6</v>
      </c>
      <c r="O723" s="761">
        <v>1</v>
      </c>
      <c r="P723" s="765">
        <v>1</v>
      </c>
      <c r="Q723" s="761">
        <v>1</v>
      </c>
      <c r="R723" s="755">
        <v>1</v>
      </c>
      <c r="S723" s="761">
        <v>0</v>
      </c>
      <c r="T723" s="772"/>
      <c r="U723" s="761">
        <v>400</v>
      </c>
      <c r="V723" s="755"/>
      <c r="W723" s="761">
        <v>0</v>
      </c>
      <c r="X723" s="755"/>
      <c r="Y723" s="761">
        <v>322.75778105703</v>
      </c>
      <c r="Z723" s="755"/>
    </row>
    <row r="724" spans="1:26">
      <c r="A724" s="756"/>
      <c r="B724" s="757"/>
      <c r="C724" s="758"/>
      <c r="D724" s="797" t="s">
        <v>10447</v>
      </c>
      <c r="E724" s="781"/>
      <c r="F724" s="794" t="s">
        <v>9241</v>
      </c>
      <c r="G724" s="981" t="s">
        <v>11584</v>
      </c>
      <c r="H724" s="755" t="s">
        <v>9371</v>
      </c>
      <c r="I724" s="761"/>
      <c r="J724" s="755"/>
      <c r="K724" s="981" t="s">
        <v>11686</v>
      </c>
      <c r="L724" s="755" t="s">
        <v>2209</v>
      </c>
      <c r="M724" s="761">
        <v>14</v>
      </c>
      <c r="N724" s="755">
        <v>14</v>
      </c>
      <c r="O724" s="761">
        <v>1</v>
      </c>
      <c r="P724" s="765">
        <v>1</v>
      </c>
      <c r="Q724" s="761">
        <v>3600</v>
      </c>
      <c r="R724" s="755">
        <v>3600</v>
      </c>
      <c r="S724" s="761">
        <v>0</v>
      </c>
      <c r="T724" s="772"/>
      <c r="U724" s="761">
        <v>20000</v>
      </c>
      <c r="V724" s="755"/>
      <c r="W724" s="761">
        <v>0</v>
      </c>
      <c r="X724" s="755"/>
      <c r="Y724" s="761">
        <v>11117.6747724588</v>
      </c>
      <c r="Z724" s="755"/>
    </row>
    <row r="725" spans="1:26">
      <c r="A725" s="756"/>
      <c r="B725" s="757"/>
      <c r="C725" s="758"/>
      <c r="D725" s="797" t="s">
        <v>10447</v>
      </c>
      <c r="E725" s="781"/>
      <c r="F725" s="794" t="s">
        <v>9299</v>
      </c>
      <c r="G725" s="981" t="s">
        <v>11585</v>
      </c>
      <c r="H725" s="755" t="s">
        <v>10415</v>
      </c>
      <c r="I725" s="761"/>
      <c r="J725" s="755"/>
      <c r="K725" s="981" t="s">
        <v>11687</v>
      </c>
      <c r="L725" s="755" t="s">
        <v>1949</v>
      </c>
      <c r="M725" s="761">
        <v>0</v>
      </c>
      <c r="N725" s="755">
        <v>0</v>
      </c>
      <c r="O725" s="761">
        <v>1</v>
      </c>
      <c r="P725" s="765">
        <v>1</v>
      </c>
      <c r="Q725" s="761">
        <v>1E-3</v>
      </c>
      <c r="R725" s="755">
        <v>1E-3</v>
      </c>
      <c r="S725" s="761">
        <v>0</v>
      </c>
      <c r="T725" s="772"/>
      <c r="U725" s="761">
        <v>10</v>
      </c>
      <c r="V725" s="755"/>
      <c r="W725" s="761">
        <v>0</v>
      </c>
      <c r="X725" s="755"/>
      <c r="Y725" s="761">
        <v>1.1507384576899</v>
      </c>
      <c r="Z725" s="755"/>
    </row>
    <row r="726" spans="1:26">
      <c r="A726" s="756"/>
      <c r="B726" s="757"/>
      <c r="C726" s="758"/>
      <c r="D726" s="797" t="s">
        <v>10447</v>
      </c>
      <c r="E726" s="781"/>
      <c r="F726" s="794" t="s">
        <v>9303</v>
      </c>
      <c r="G726" s="981" t="s">
        <v>11586</v>
      </c>
      <c r="H726" s="755" t="s">
        <v>10416</v>
      </c>
      <c r="I726" s="761"/>
      <c r="J726" s="755"/>
      <c r="K726" s="981" t="s">
        <v>11686</v>
      </c>
      <c r="L726" s="755" t="s">
        <v>2209</v>
      </c>
      <c r="M726" s="761">
        <v>14</v>
      </c>
      <c r="N726" s="772">
        <v>14</v>
      </c>
      <c r="O726" s="761">
        <v>1</v>
      </c>
      <c r="P726" s="765">
        <v>1</v>
      </c>
      <c r="Q726" s="761">
        <v>3600</v>
      </c>
      <c r="R726" s="755">
        <v>3600</v>
      </c>
      <c r="S726" s="761">
        <v>0</v>
      </c>
      <c r="T726" s="772"/>
      <c r="U726" s="761">
        <v>20000</v>
      </c>
      <c r="V726" s="755"/>
      <c r="W726" s="761">
        <v>0</v>
      </c>
      <c r="X726" s="755"/>
      <c r="Y726" s="761">
        <v>1833.8844038961499</v>
      </c>
      <c r="Z726" s="755"/>
    </row>
    <row r="727" spans="1:26">
      <c r="A727" s="756"/>
      <c r="B727" s="757"/>
      <c r="C727" s="758"/>
      <c r="D727" s="797" t="s">
        <v>10447</v>
      </c>
      <c r="E727" s="781"/>
      <c r="F727" s="794" t="s">
        <v>9262</v>
      </c>
      <c r="G727" s="981" t="s">
        <v>11587</v>
      </c>
      <c r="H727" s="755" t="s">
        <v>9372</v>
      </c>
      <c r="I727" s="783"/>
      <c r="J727" s="755"/>
      <c r="K727" s="981" t="s">
        <v>11686</v>
      </c>
      <c r="L727" s="755" t="s">
        <v>2209</v>
      </c>
      <c r="M727" s="761">
        <v>14</v>
      </c>
      <c r="N727" s="772">
        <v>14</v>
      </c>
      <c r="O727" s="761">
        <v>1</v>
      </c>
      <c r="P727" s="765">
        <v>1</v>
      </c>
      <c r="Q727" s="761">
        <v>3600</v>
      </c>
      <c r="R727" s="755">
        <v>3600</v>
      </c>
      <c r="S727" s="761">
        <v>0</v>
      </c>
      <c r="T727" s="772"/>
      <c r="U727" s="761">
        <v>20000</v>
      </c>
      <c r="V727" s="755"/>
      <c r="W727" s="761">
        <v>0</v>
      </c>
      <c r="X727" s="755"/>
      <c r="Y727" s="761">
        <v>0</v>
      </c>
      <c r="Z727" s="755"/>
    </row>
    <row r="728" spans="1:26">
      <c r="A728" s="756"/>
      <c r="B728" s="757"/>
      <c r="C728" s="758"/>
      <c r="D728" s="797" t="s">
        <v>10447</v>
      </c>
      <c r="E728" s="781"/>
      <c r="F728" s="794" t="s">
        <v>9296</v>
      </c>
      <c r="G728" s="981" t="s">
        <v>11588</v>
      </c>
      <c r="H728" s="755" t="s">
        <v>9448</v>
      </c>
      <c r="I728" s="981" t="s">
        <v>11588</v>
      </c>
      <c r="J728" s="755" t="s">
        <v>9448</v>
      </c>
      <c r="K728" s="981" t="s">
        <v>11686</v>
      </c>
      <c r="L728" s="755" t="s">
        <v>2209</v>
      </c>
      <c r="M728" s="761">
        <v>14</v>
      </c>
      <c r="N728" s="772">
        <v>14</v>
      </c>
      <c r="O728" s="761">
        <v>1</v>
      </c>
      <c r="P728" s="765">
        <v>1</v>
      </c>
      <c r="Q728" s="761">
        <v>3600</v>
      </c>
      <c r="R728" s="755">
        <v>3600</v>
      </c>
      <c r="S728" s="761">
        <v>0</v>
      </c>
      <c r="T728" s="772"/>
      <c r="U728" s="761">
        <v>20000</v>
      </c>
      <c r="V728" s="755"/>
      <c r="W728" s="761">
        <v>0</v>
      </c>
      <c r="X728" s="755"/>
      <c r="Y728" s="761">
        <v>0</v>
      </c>
      <c r="Z728" s="755"/>
    </row>
    <row r="729" spans="1:26">
      <c r="A729" s="756"/>
      <c r="B729" s="757"/>
      <c r="C729" s="758"/>
      <c r="D729" s="797" t="s">
        <v>10447</v>
      </c>
      <c r="E729" s="781"/>
      <c r="F729" s="794" t="s">
        <v>9320</v>
      </c>
      <c r="G729" s="981" t="s">
        <v>11589</v>
      </c>
      <c r="H729" s="755" t="s">
        <v>9446</v>
      </c>
      <c r="I729" s="981" t="s">
        <v>11589</v>
      </c>
      <c r="J729" s="755" t="s">
        <v>9446</v>
      </c>
      <c r="K729" s="981" t="s">
        <v>11686</v>
      </c>
      <c r="L729" s="755" t="s">
        <v>2209</v>
      </c>
      <c r="M729" s="761">
        <v>14</v>
      </c>
      <c r="N729" s="772">
        <v>14</v>
      </c>
      <c r="O729" s="761">
        <v>1</v>
      </c>
      <c r="P729" s="765">
        <v>1</v>
      </c>
      <c r="Q729" s="761">
        <v>3600</v>
      </c>
      <c r="R729" s="755">
        <v>3600</v>
      </c>
      <c r="S729" s="761">
        <v>0</v>
      </c>
      <c r="T729" s="772"/>
      <c r="U729" s="761">
        <v>20000</v>
      </c>
      <c r="V729" s="755"/>
      <c r="W729" s="761">
        <v>0</v>
      </c>
      <c r="X729" s="755"/>
      <c r="Y729" s="761">
        <v>0</v>
      </c>
      <c r="Z729" s="755"/>
    </row>
    <row r="730" spans="1:26">
      <c r="A730" s="756"/>
      <c r="B730" s="757"/>
      <c r="C730" s="758"/>
      <c r="D730" s="797" t="s">
        <v>10447</v>
      </c>
      <c r="E730" s="781"/>
      <c r="F730" s="794" t="s">
        <v>8659</v>
      </c>
      <c r="G730" s="981" t="s">
        <v>11590</v>
      </c>
      <c r="H730" s="755" t="s">
        <v>9461</v>
      </c>
      <c r="I730" s="981" t="s">
        <v>11590</v>
      </c>
      <c r="J730" s="755" t="s">
        <v>9461</v>
      </c>
      <c r="K730" s="981" t="s">
        <v>11699</v>
      </c>
      <c r="L730" s="755" t="s">
        <v>2286</v>
      </c>
      <c r="M730" s="761">
        <v>11</v>
      </c>
      <c r="N730" s="755">
        <v>11</v>
      </c>
      <c r="O730" s="761">
        <v>1</v>
      </c>
      <c r="P730" s="765">
        <v>1</v>
      </c>
      <c r="Q730" s="761">
        <v>1</v>
      </c>
      <c r="R730" s="755">
        <v>1</v>
      </c>
      <c r="S730" s="761">
        <v>0</v>
      </c>
      <c r="T730" s="772"/>
      <c r="U730" s="761">
        <v>800</v>
      </c>
      <c r="V730" s="755"/>
      <c r="W730" s="761">
        <v>0</v>
      </c>
      <c r="X730" s="755"/>
      <c r="Y730" s="761">
        <v>300.01125611607</v>
      </c>
      <c r="Z730" s="755"/>
    </row>
    <row r="731" spans="1:26">
      <c r="A731" s="756"/>
      <c r="B731" s="757"/>
      <c r="C731" s="758"/>
      <c r="D731" s="797" t="s">
        <v>10447</v>
      </c>
      <c r="E731" s="781"/>
      <c r="F731" s="794" t="s">
        <v>8992</v>
      </c>
      <c r="G731" s="981" t="s">
        <v>11032</v>
      </c>
      <c r="H731" s="755" t="s">
        <v>2065</v>
      </c>
      <c r="I731" s="981" t="s">
        <v>11032</v>
      </c>
      <c r="J731" s="755" t="s">
        <v>2065</v>
      </c>
      <c r="K731" s="981" t="s">
        <v>11685</v>
      </c>
      <c r="L731" s="755" t="s">
        <v>1556</v>
      </c>
      <c r="M731" s="761">
        <v>8</v>
      </c>
      <c r="N731" s="755">
        <v>8</v>
      </c>
      <c r="O731" s="761">
        <v>1</v>
      </c>
      <c r="P731" s="765">
        <v>1</v>
      </c>
      <c r="Q731" s="761">
        <v>1</v>
      </c>
      <c r="R731" s="755">
        <v>1</v>
      </c>
      <c r="S731" s="761">
        <v>0</v>
      </c>
      <c r="T731" s="772"/>
      <c r="U731" s="761">
        <v>1179</v>
      </c>
      <c r="V731" s="755"/>
      <c r="W731" s="761">
        <v>0</v>
      </c>
      <c r="X731" s="755"/>
      <c r="Y731" s="761">
        <v>699.74049580444398</v>
      </c>
      <c r="Z731" s="755"/>
    </row>
    <row r="732" spans="1:26">
      <c r="A732" s="756"/>
      <c r="B732" s="757"/>
      <c r="C732" s="758"/>
      <c r="D732" s="797" t="s">
        <v>10447</v>
      </c>
      <c r="E732" s="781"/>
      <c r="F732" s="794" t="s">
        <v>8993</v>
      </c>
      <c r="G732" s="981" t="s">
        <v>11033</v>
      </c>
      <c r="H732" s="755" t="s">
        <v>2068</v>
      </c>
      <c r="I732" s="981" t="s">
        <v>11033</v>
      </c>
      <c r="J732" s="755" t="s">
        <v>2068</v>
      </c>
      <c r="K732" s="981" t="s">
        <v>11700</v>
      </c>
      <c r="L732" s="755" t="s">
        <v>10411</v>
      </c>
      <c r="M732" s="761">
        <v>8</v>
      </c>
      <c r="N732" s="755">
        <v>8</v>
      </c>
      <c r="O732" s="761">
        <v>1</v>
      </c>
      <c r="P732" s="765">
        <v>1</v>
      </c>
      <c r="Q732" s="761">
        <v>1</v>
      </c>
      <c r="R732" s="755">
        <v>1</v>
      </c>
      <c r="S732" s="761">
        <v>0</v>
      </c>
      <c r="T732" s="772"/>
      <c r="U732" s="761">
        <v>1794</v>
      </c>
      <c r="V732" s="755"/>
      <c r="W732" s="761">
        <v>0</v>
      </c>
      <c r="X732" s="755"/>
      <c r="Y732" s="761">
        <v>625.94086453861803</v>
      </c>
      <c r="Z732" s="755"/>
    </row>
    <row r="733" spans="1:26">
      <c r="A733" s="756"/>
      <c r="B733" s="757"/>
      <c r="C733" s="758"/>
      <c r="D733" s="797" t="s">
        <v>10447</v>
      </c>
      <c r="E733" s="781"/>
      <c r="F733" s="794" t="s">
        <v>9074</v>
      </c>
      <c r="G733" s="981" t="s">
        <v>11591</v>
      </c>
      <c r="H733" s="755" t="s">
        <v>9460</v>
      </c>
      <c r="I733" s="981" t="s">
        <v>11591</v>
      </c>
      <c r="J733" s="755" t="s">
        <v>9460</v>
      </c>
      <c r="K733" s="981" t="s">
        <v>11684</v>
      </c>
      <c r="L733" s="755" t="s">
        <v>1549</v>
      </c>
      <c r="M733" s="761">
        <v>0</v>
      </c>
      <c r="N733" s="755">
        <v>0</v>
      </c>
      <c r="O733" s="761">
        <v>1</v>
      </c>
      <c r="P733" s="765">
        <v>1</v>
      </c>
      <c r="Q733" s="761">
        <v>3600</v>
      </c>
      <c r="R733" s="772">
        <v>3600</v>
      </c>
      <c r="S733" s="761">
        <v>0</v>
      </c>
      <c r="T733" s="772"/>
      <c r="U733" s="761">
        <v>1000</v>
      </c>
      <c r="V733" s="755"/>
      <c r="W733" s="761">
        <v>0</v>
      </c>
      <c r="X733" s="755"/>
      <c r="Y733" s="761">
        <v>0</v>
      </c>
      <c r="Z733" s="755"/>
    </row>
    <row r="734" spans="1:26">
      <c r="A734" s="756"/>
      <c r="B734" s="757"/>
      <c r="C734" s="758"/>
      <c r="D734" s="797" t="s">
        <v>10447</v>
      </c>
      <c r="E734" s="781"/>
      <c r="F734" s="794" t="s">
        <v>6457</v>
      </c>
      <c r="G734" s="981" t="s">
        <v>11038</v>
      </c>
      <c r="H734" s="755" t="s">
        <v>7908</v>
      </c>
      <c r="I734" s="981" t="s">
        <v>11038</v>
      </c>
      <c r="J734" s="755" t="s">
        <v>7908</v>
      </c>
      <c r="K734" s="981" t="s">
        <v>11684</v>
      </c>
      <c r="L734" s="755" t="s">
        <v>1549</v>
      </c>
      <c r="M734" s="761">
        <v>0</v>
      </c>
      <c r="N734" s="755">
        <v>0</v>
      </c>
      <c r="O734" s="761">
        <v>1</v>
      </c>
      <c r="P734" s="765">
        <v>1</v>
      </c>
      <c r="Q734" s="761">
        <v>1</v>
      </c>
      <c r="R734" s="755">
        <v>1</v>
      </c>
      <c r="S734" s="761">
        <v>0</v>
      </c>
      <c r="T734" s="772"/>
      <c r="U734" s="761">
        <v>598</v>
      </c>
      <c r="V734" s="755"/>
      <c r="W734" s="761">
        <v>0</v>
      </c>
      <c r="X734" s="755"/>
      <c r="Y734" s="761">
        <v>575.80804527067301</v>
      </c>
      <c r="Z734" s="755"/>
    </row>
    <row r="735" spans="1:26">
      <c r="A735" s="756"/>
      <c r="B735" s="757"/>
      <c r="C735" s="758"/>
      <c r="D735" s="797" t="s">
        <v>10447</v>
      </c>
      <c r="E735" s="781"/>
      <c r="F735" s="794" t="s">
        <v>9231</v>
      </c>
      <c r="G735" s="981" t="s">
        <v>11592</v>
      </c>
      <c r="H735" s="755" t="s">
        <v>9373</v>
      </c>
      <c r="I735" s="761"/>
      <c r="J735" s="755"/>
      <c r="K735" s="981" t="s">
        <v>11685</v>
      </c>
      <c r="L735" s="772" t="s">
        <v>1556</v>
      </c>
      <c r="M735" s="761">
        <v>8</v>
      </c>
      <c r="N735" s="755">
        <v>8</v>
      </c>
      <c r="O735" s="761">
        <v>1</v>
      </c>
      <c r="P735" s="765">
        <v>1</v>
      </c>
      <c r="Q735" s="761">
        <v>1</v>
      </c>
      <c r="R735" s="755">
        <v>1</v>
      </c>
      <c r="S735" s="761">
        <v>0</v>
      </c>
      <c r="T735" s="772"/>
      <c r="U735" s="761">
        <v>1000</v>
      </c>
      <c r="V735" s="755"/>
      <c r="W735" s="761">
        <v>0</v>
      </c>
      <c r="X735" s="755"/>
      <c r="Y735" s="761">
        <v>3.6819286170387402</v>
      </c>
      <c r="Z735" s="755"/>
    </row>
    <row r="736" spans="1:26">
      <c r="A736" s="756"/>
      <c r="B736" s="757"/>
      <c r="C736" s="758"/>
      <c r="D736" s="797" t="s">
        <v>10447</v>
      </c>
      <c r="E736" s="781"/>
      <c r="F736" s="794" t="s">
        <v>6324</v>
      </c>
      <c r="G736" s="981" t="s">
        <v>11593</v>
      </c>
      <c r="H736" s="755" t="s">
        <v>10417</v>
      </c>
      <c r="I736" s="783"/>
      <c r="J736" s="755"/>
      <c r="K736" s="981" t="s">
        <v>11685</v>
      </c>
      <c r="L736" s="755" t="s">
        <v>1556</v>
      </c>
      <c r="M736" s="761">
        <v>8</v>
      </c>
      <c r="N736" s="755">
        <v>8</v>
      </c>
      <c r="O736" s="761">
        <v>1</v>
      </c>
      <c r="P736" s="765">
        <v>1</v>
      </c>
      <c r="Q736" s="761">
        <v>1</v>
      </c>
      <c r="R736" s="755">
        <v>1</v>
      </c>
      <c r="S736" s="761">
        <v>0</v>
      </c>
      <c r="T736" s="772"/>
      <c r="U736" s="761">
        <v>1000</v>
      </c>
      <c r="V736" s="755"/>
      <c r="W736" s="761">
        <v>0</v>
      </c>
      <c r="X736" s="755"/>
      <c r="Y736" s="761">
        <v>457.86581819793599</v>
      </c>
      <c r="Z736" s="755"/>
    </row>
    <row r="737" spans="1:26">
      <c r="A737" s="756"/>
      <c r="B737" s="757"/>
      <c r="C737" s="758"/>
      <c r="D737" s="797" t="s">
        <v>10447</v>
      </c>
      <c r="E737" s="757"/>
      <c r="F737" s="794" t="s">
        <v>9272</v>
      </c>
      <c r="G737" s="981" t="s">
        <v>11594</v>
      </c>
      <c r="H737" s="755" t="s">
        <v>9434</v>
      </c>
      <c r="I737" s="981" t="s">
        <v>11594</v>
      </c>
      <c r="J737" s="755" t="s">
        <v>9434</v>
      </c>
      <c r="K737" s="981" t="s">
        <v>11696</v>
      </c>
      <c r="L737" s="755" t="s">
        <v>3472</v>
      </c>
      <c r="M737" s="761">
        <v>0</v>
      </c>
      <c r="N737" s="755"/>
      <c r="O737" s="761">
        <v>1</v>
      </c>
      <c r="P737" s="765">
        <v>1</v>
      </c>
      <c r="Q737" s="761">
        <v>1</v>
      </c>
      <c r="R737" s="755">
        <v>1</v>
      </c>
      <c r="S737" s="761">
        <v>0</v>
      </c>
      <c r="T737" s="772"/>
      <c r="U737" s="761">
        <v>200</v>
      </c>
      <c r="V737" s="755"/>
      <c r="W737" s="761">
        <v>0</v>
      </c>
      <c r="X737" s="755"/>
      <c r="Y737" s="761">
        <v>165</v>
      </c>
      <c r="Z737" s="755"/>
    </row>
    <row r="738" spans="1:26">
      <c r="A738" s="756"/>
      <c r="B738" s="757"/>
      <c r="C738" s="758"/>
      <c r="D738" s="797" t="s">
        <v>10447</v>
      </c>
      <c r="E738" s="757"/>
      <c r="F738" s="794" t="s">
        <v>9255</v>
      </c>
      <c r="G738" s="981" t="s">
        <v>11595</v>
      </c>
      <c r="H738" s="755" t="s">
        <v>9435</v>
      </c>
      <c r="I738" s="981" t="s">
        <v>11595</v>
      </c>
      <c r="J738" s="755" t="s">
        <v>9435</v>
      </c>
      <c r="K738" s="981" t="s">
        <v>11696</v>
      </c>
      <c r="L738" s="755" t="s">
        <v>3472</v>
      </c>
      <c r="M738" s="761">
        <v>0</v>
      </c>
      <c r="N738" s="755"/>
      <c r="O738" s="761">
        <v>1</v>
      </c>
      <c r="P738" s="765">
        <v>1</v>
      </c>
      <c r="Q738" s="761">
        <v>1</v>
      </c>
      <c r="R738" s="755">
        <v>1</v>
      </c>
      <c r="S738" s="761">
        <v>0</v>
      </c>
      <c r="T738" s="772"/>
      <c r="U738" s="761">
        <v>100</v>
      </c>
      <c r="V738" s="755"/>
      <c r="W738" s="761">
        <v>0</v>
      </c>
      <c r="X738" s="755"/>
      <c r="Y738" s="761">
        <v>24</v>
      </c>
      <c r="Z738" s="755"/>
    </row>
    <row r="739" spans="1:26">
      <c r="A739" s="756"/>
      <c r="B739" s="757"/>
      <c r="C739" s="758"/>
      <c r="D739" s="797" t="s">
        <v>10447</v>
      </c>
      <c r="E739" s="757"/>
      <c r="F739" s="794" t="s">
        <v>9243</v>
      </c>
      <c r="G739" s="981" t="s">
        <v>11596</v>
      </c>
      <c r="H739" s="755" t="s">
        <v>9436</v>
      </c>
      <c r="I739" s="981" t="s">
        <v>11596</v>
      </c>
      <c r="J739" s="755" t="s">
        <v>9436</v>
      </c>
      <c r="K739" s="981" t="s">
        <v>11696</v>
      </c>
      <c r="L739" s="755" t="s">
        <v>3472</v>
      </c>
      <c r="M739" s="761">
        <v>0</v>
      </c>
      <c r="N739" s="755"/>
      <c r="O739" s="761">
        <v>1</v>
      </c>
      <c r="P739" s="765">
        <v>1</v>
      </c>
      <c r="Q739" s="761">
        <v>1</v>
      </c>
      <c r="R739" s="755">
        <v>1</v>
      </c>
      <c r="S739" s="761">
        <v>0</v>
      </c>
      <c r="T739" s="772"/>
      <c r="U739" s="761">
        <v>100</v>
      </c>
      <c r="V739" s="755"/>
      <c r="W739" s="761">
        <v>0</v>
      </c>
      <c r="X739" s="755"/>
      <c r="Y739" s="761">
        <v>60</v>
      </c>
      <c r="Z739" s="755"/>
    </row>
    <row r="740" spans="1:26">
      <c r="A740" s="756"/>
      <c r="B740" s="757"/>
      <c r="C740" s="758"/>
      <c r="D740" s="797" t="s">
        <v>10447</v>
      </c>
      <c r="E740" s="781"/>
      <c r="F740" s="794" t="s">
        <v>6325</v>
      </c>
      <c r="G740" s="981" t="s">
        <v>11597</v>
      </c>
      <c r="H740" s="755" t="s">
        <v>10418</v>
      </c>
      <c r="I740" s="761"/>
      <c r="J740" s="755"/>
      <c r="K740" s="981" t="s">
        <v>11686</v>
      </c>
      <c r="L740" s="755" t="s">
        <v>2209</v>
      </c>
      <c r="M740" s="761">
        <v>14</v>
      </c>
      <c r="N740" s="755">
        <v>14</v>
      </c>
      <c r="O740" s="761">
        <v>1</v>
      </c>
      <c r="P740" s="765">
        <v>1</v>
      </c>
      <c r="Q740" s="761">
        <v>3600</v>
      </c>
      <c r="R740" s="755">
        <v>3600</v>
      </c>
      <c r="S740" s="761">
        <v>0</v>
      </c>
      <c r="T740" s="772"/>
      <c r="U740" s="761">
        <v>20000</v>
      </c>
      <c r="V740" s="755"/>
      <c r="W740" s="761">
        <v>0</v>
      </c>
      <c r="X740" s="755"/>
      <c r="Y740" s="761">
        <v>5318.0284155833097</v>
      </c>
      <c r="Z740" s="755"/>
    </row>
    <row r="741" spans="1:26">
      <c r="A741" s="756"/>
      <c r="B741" s="757"/>
      <c r="C741" s="758"/>
      <c r="D741" s="797" t="s">
        <v>10447</v>
      </c>
      <c r="E741" s="781"/>
      <c r="F741" s="794" t="s">
        <v>6326</v>
      </c>
      <c r="G741" s="981" t="s">
        <v>11598</v>
      </c>
      <c r="H741" s="755" t="s">
        <v>10419</v>
      </c>
      <c r="I741" s="761"/>
      <c r="J741" s="755"/>
      <c r="K741" s="981" t="s">
        <v>11686</v>
      </c>
      <c r="L741" s="755" t="s">
        <v>2209</v>
      </c>
      <c r="M741" s="761">
        <v>14</v>
      </c>
      <c r="N741" s="755">
        <v>14</v>
      </c>
      <c r="O741" s="761">
        <v>1</v>
      </c>
      <c r="P741" s="765">
        <v>1</v>
      </c>
      <c r="Q741" s="761">
        <v>3600</v>
      </c>
      <c r="R741" s="755">
        <v>3600</v>
      </c>
      <c r="S741" s="761">
        <v>0</v>
      </c>
      <c r="T741" s="772"/>
      <c r="U741" s="761">
        <v>1000</v>
      </c>
      <c r="V741" s="755"/>
      <c r="W741" s="761">
        <v>0</v>
      </c>
      <c r="X741" s="755"/>
      <c r="Y741" s="761">
        <v>1000</v>
      </c>
      <c r="Z741" s="755"/>
    </row>
    <row r="742" spans="1:26">
      <c r="A742" s="756"/>
      <c r="B742" s="757"/>
      <c r="C742" s="758"/>
      <c r="D742" s="797" t="s">
        <v>10447</v>
      </c>
      <c r="E742" s="757"/>
      <c r="F742" s="794" t="s">
        <v>9317</v>
      </c>
      <c r="G742" s="981" t="s">
        <v>11599</v>
      </c>
      <c r="H742" s="755" t="s">
        <v>10420</v>
      </c>
      <c r="I742" s="783"/>
      <c r="J742" s="755"/>
      <c r="K742" s="981" t="s">
        <v>11686</v>
      </c>
      <c r="L742" s="755" t="s">
        <v>2209</v>
      </c>
      <c r="M742" s="761">
        <v>14</v>
      </c>
      <c r="N742" s="755">
        <v>14</v>
      </c>
      <c r="O742" s="761">
        <v>1</v>
      </c>
      <c r="P742" s="765">
        <v>1</v>
      </c>
      <c r="Q742" s="761">
        <v>3600</v>
      </c>
      <c r="R742" s="755">
        <v>3600</v>
      </c>
      <c r="S742" s="761">
        <v>0</v>
      </c>
      <c r="T742" s="772"/>
      <c r="U742" s="761">
        <v>20000</v>
      </c>
      <c r="V742" s="755"/>
      <c r="W742" s="761">
        <v>0</v>
      </c>
      <c r="X742" s="755"/>
      <c r="Y742" s="761">
        <v>0</v>
      </c>
      <c r="Z742" s="755"/>
    </row>
    <row r="743" spans="1:26">
      <c r="A743" s="756"/>
      <c r="B743" s="757"/>
      <c r="C743" s="758"/>
      <c r="D743" s="797" t="s">
        <v>10447</v>
      </c>
      <c r="E743" s="781"/>
      <c r="F743" s="794" t="s">
        <v>8722</v>
      </c>
      <c r="G743" s="981" t="s">
        <v>11307</v>
      </c>
      <c r="H743" s="755" t="s">
        <v>2080</v>
      </c>
      <c r="I743" s="981" t="s">
        <v>11307</v>
      </c>
      <c r="J743" s="755" t="s">
        <v>2080</v>
      </c>
      <c r="K743" s="981" t="s">
        <v>11684</v>
      </c>
      <c r="L743" s="755" t="s">
        <v>1549</v>
      </c>
      <c r="M743" s="761">
        <v>0</v>
      </c>
      <c r="N743" s="755">
        <v>0</v>
      </c>
      <c r="O743" s="761">
        <v>1</v>
      </c>
      <c r="P743" s="765">
        <v>1</v>
      </c>
      <c r="Q743" s="761">
        <v>3600</v>
      </c>
      <c r="R743" s="755">
        <v>3600</v>
      </c>
      <c r="S743" s="761">
        <v>0</v>
      </c>
      <c r="T743" s="772"/>
      <c r="U743" s="761">
        <v>300</v>
      </c>
      <c r="V743" s="755"/>
      <c r="W743" s="761">
        <v>0</v>
      </c>
      <c r="X743" s="755"/>
      <c r="Y743" s="761">
        <v>208.700803224662</v>
      </c>
      <c r="Z743" s="755"/>
    </row>
    <row r="744" spans="1:26">
      <c r="A744" s="756"/>
      <c r="B744" s="757"/>
      <c r="C744" s="758"/>
      <c r="D744" s="797" t="s">
        <v>10447</v>
      </c>
      <c r="E744" s="757"/>
      <c r="F744" s="794" t="s">
        <v>9306</v>
      </c>
      <c r="G744" s="981" t="s">
        <v>11041</v>
      </c>
      <c r="H744" s="755" t="s">
        <v>1969</v>
      </c>
      <c r="I744" s="981" t="s">
        <v>11041</v>
      </c>
      <c r="J744" s="755" t="s">
        <v>1969</v>
      </c>
      <c r="K744" s="981" t="s">
        <v>11684</v>
      </c>
      <c r="L744" s="755" t="s">
        <v>1549</v>
      </c>
      <c r="M744" s="761">
        <v>0</v>
      </c>
      <c r="N744" s="772">
        <v>0</v>
      </c>
      <c r="O744" s="761">
        <v>1</v>
      </c>
      <c r="P744" s="765">
        <v>1</v>
      </c>
      <c r="Q744" s="761">
        <v>3600</v>
      </c>
      <c r="R744" s="755">
        <v>3600</v>
      </c>
      <c r="S744" s="761">
        <v>0</v>
      </c>
      <c r="T744" s="772"/>
      <c r="U744" s="761">
        <v>1839</v>
      </c>
      <c r="V744" s="755"/>
      <c r="W744" s="761">
        <v>0</v>
      </c>
      <c r="X744" s="755"/>
      <c r="Y744" s="761">
        <v>1175.2850491750701</v>
      </c>
      <c r="Z744" s="755"/>
    </row>
    <row r="745" spans="1:26">
      <c r="A745" s="756"/>
      <c r="B745" s="757"/>
      <c r="C745" s="758"/>
      <c r="D745" s="797" t="s">
        <v>10447</v>
      </c>
      <c r="E745" s="757"/>
      <c r="F745" s="794" t="s">
        <v>9237</v>
      </c>
      <c r="G745" s="981" t="s">
        <v>11430</v>
      </c>
      <c r="H745" s="755" t="s">
        <v>3589</v>
      </c>
      <c r="I745" s="981" t="s">
        <v>11430</v>
      </c>
      <c r="J745" s="755" t="s">
        <v>3589</v>
      </c>
      <c r="K745" s="981" t="s">
        <v>11684</v>
      </c>
      <c r="L745" s="755" t="s">
        <v>1549</v>
      </c>
      <c r="M745" s="761">
        <v>0</v>
      </c>
      <c r="N745" s="772">
        <v>0</v>
      </c>
      <c r="O745" s="761">
        <v>1</v>
      </c>
      <c r="P745" s="765">
        <v>1</v>
      </c>
      <c r="Q745" s="761">
        <v>3600</v>
      </c>
      <c r="R745" s="755">
        <v>3600</v>
      </c>
      <c r="S745" s="761">
        <v>0</v>
      </c>
      <c r="T745" s="772"/>
      <c r="U745" s="761">
        <v>1520</v>
      </c>
      <c r="V745" s="755"/>
      <c r="W745" s="761">
        <v>0</v>
      </c>
      <c r="X745" s="755"/>
      <c r="Y745" s="761">
        <v>825.908342560184</v>
      </c>
      <c r="Z745" s="755"/>
    </row>
    <row r="746" spans="1:26">
      <c r="A746" s="756"/>
      <c r="B746" s="757"/>
      <c r="C746" s="758"/>
      <c r="D746" s="797" t="s">
        <v>10447</v>
      </c>
      <c r="E746" s="781"/>
      <c r="F746" s="794" t="s">
        <v>6459</v>
      </c>
      <c r="G746" s="981" t="s">
        <v>11461</v>
      </c>
      <c r="H746" s="755" t="s">
        <v>1576</v>
      </c>
      <c r="I746" s="981" t="s">
        <v>11461</v>
      </c>
      <c r="J746" s="755" t="s">
        <v>1576</v>
      </c>
      <c r="K746" s="981" t="s">
        <v>11673</v>
      </c>
      <c r="L746" s="755" t="s">
        <v>463</v>
      </c>
      <c r="M746" s="761">
        <v>0</v>
      </c>
      <c r="N746" s="755">
        <v>0</v>
      </c>
      <c r="O746" s="761">
        <v>1</v>
      </c>
      <c r="P746" s="765">
        <v>1</v>
      </c>
      <c r="Q746" s="761">
        <v>1</v>
      </c>
      <c r="R746" s="755">
        <v>1</v>
      </c>
      <c r="S746" s="761">
        <v>8</v>
      </c>
      <c r="T746" s="772"/>
      <c r="U746" s="761">
        <v>70</v>
      </c>
      <c r="V746" s="755"/>
      <c r="W746" s="761">
        <v>1</v>
      </c>
      <c r="X746" s="755"/>
      <c r="Y746" s="761">
        <v>50.161538526448702</v>
      </c>
      <c r="Z746" s="755"/>
    </row>
    <row r="747" spans="1:26">
      <c r="A747" s="756"/>
      <c r="B747" s="757"/>
      <c r="C747" s="758"/>
      <c r="D747" s="797" t="s">
        <v>10447</v>
      </c>
      <c r="E747" s="781"/>
      <c r="F747" s="794" t="s">
        <v>6445</v>
      </c>
      <c r="G747" s="981" t="s">
        <v>11462</v>
      </c>
      <c r="H747" s="755" t="s">
        <v>1580</v>
      </c>
      <c r="I747" s="981" t="s">
        <v>11462</v>
      </c>
      <c r="J747" s="755" t="s">
        <v>1580</v>
      </c>
      <c r="K747" s="981" t="s">
        <v>11673</v>
      </c>
      <c r="L747" s="755" t="s">
        <v>463</v>
      </c>
      <c r="M747" s="761">
        <v>0</v>
      </c>
      <c r="N747" s="755">
        <v>0</v>
      </c>
      <c r="O747" s="761">
        <v>1</v>
      </c>
      <c r="P747" s="765">
        <v>1</v>
      </c>
      <c r="Q747" s="761">
        <v>1</v>
      </c>
      <c r="R747" s="755">
        <v>1</v>
      </c>
      <c r="S747" s="761">
        <v>8</v>
      </c>
      <c r="T747" s="772"/>
      <c r="U747" s="761">
        <v>70</v>
      </c>
      <c r="V747" s="755"/>
      <c r="W747" s="761">
        <v>1</v>
      </c>
      <c r="X747" s="755"/>
      <c r="Y747" s="761">
        <v>50.1649013168987</v>
      </c>
      <c r="Z747" s="755"/>
    </row>
    <row r="748" spans="1:26">
      <c r="A748" s="756"/>
      <c r="B748" s="757"/>
      <c r="C748" s="758"/>
      <c r="D748" s="797" t="s">
        <v>10447</v>
      </c>
      <c r="E748" s="781"/>
      <c r="F748" s="794" t="s">
        <v>8548</v>
      </c>
      <c r="G748" s="981" t="s">
        <v>11455</v>
      </c>
      <c r="H748" s="755" t="s">
        <v>2478</v>
      </c>
      <c r="I748" s="981" t="s">
        <v>11455</v>
      </c>
      <c r="J748" s="755" t="s">
        <v>2478</v>
      </c>
      <c r="K748" s="981" t="s">
        <v>11673</v>
      </c>
      <c r="L748" s="755" t="s">
        <v>463</v>
      </c>
      <c r="M748" s="761">
        <v>0</v>
      </c>
      <c r="N748" s="755">
        <v>0</v>
      </c>
      <c r="O748" s="761">
        <v>1</v>
      </c>
      <c r="P748" s="765">
        <v>1</v>
      </c>
      <c r="Q748" s="761">
        <v>1</v>
      </c>
      <c r="R748" s="755">
        <v>1</v>
      </c>
      <c r="S748" s="761">
        <v>7</v>
      </c>
      <c r="T748" s="772"/>
      <c r="U748" s="761">
        <v>70</v>
      </c>
      <c r="V748" s="755"/>
      <c r="W748" s="761">
        <v>1</v>
      </c>
      <c r="X748" s="755"/>
      <c r="Y748" s="761">
        <v>22.767044594488599</v>
      </c>
      <c r="Z748" s="755"/>
    </row>
    <row r="749" spans="1:26" s="753" customFormat="1">
      <c r="A749" s="756"/>
      <c r="B749" s="757"/>
      <c r="C749" s="758"/>
      <c r="D749" s="797" t="s">
        <v>10447</v>
      </c>
      <c r="E749" s="782"/>
      <c r="F749" s="794" t="s">
        <v>8549</v>
      </c>
      <c r="G749" s="981" t="s">
        <v>11455</v>
      </c>
      <c r="H749" s="772" t="s">
        <v>2478</v>
      </c>
      <c r="I749" s="981" t="s">
        <v>11455</v>
      </c>
      <c r="J749" s="772" t="s">
        <v>2478</v>
      </c>
      <c r="K749" s="981" t="s">
        <v>11673</v>
      </c>
      <c r="L749" s="772" t="s">
        <v>463</v>
      </c>
      <c r="M749" s="783">
        <v>0</v>
      </c>
      <c r="N749" s="772">
        <v>0</v>
      </c>
      <c r="O749" s="783">
        <v>1</v>
      </c>
      <c r="P749" s="772">
        <v>1</v>
      </c>
      <c r="Q749" s="783">
        <v>1</v>
      </c>
      <c r="R749" s="772">
        <v>1</v>
      </c>
      <c r="S749" s="783">
        <v>7</v>
      </c>
      <c r="T749" s="772"/>
      <c r="U749" s="783">
        <v>70</v>
      </c>
      <c r="V749" s="772"/>
      <c r="W749" s="783">
        <v>1</v>
      </c>
      <c r="X749" s="772"/>
      <c r="Y749" s="783">
        <v>22.767044594488599</v>
      </c>
      <c r="Z749" s="772"/>
    </row>
    <row r="750" spans="1:26" s="753" customFormat="1">
      <c r="A750" s="756"/>
      <c r="B750" s="757"/>
      <c r="C750" s="758"/>
      <c r="D750" s="797" t="s">
        <v>10447</v>
      </c>
      <c r="E750" s="782"/>
      <c r="F750" s="794" t="s">
        <v>8689</v>
      </c>
      <c r="G750" s="981" t="s">
        <v>11600</v>
      </c>
      <c r="H750" s="772" t="s">
        <v>8690</v>
      </c>
      <c r="I750" s="981" t="s">
        <v>11600</v>
      </c>
      <c r="J750" s="772" t="s">
        <v>8690</v>
      </c>
      <c r="K750" s="981" t="s">
        <v>11673</v>
      </c>
      <c r="L750" s="772" t="s">
        <v>463</v>
      </c>
      <c r="M750" s="783">
        <v>0</v>
      </c>
      <c r="N750" s="772">
        <v>0</v>
      </c>
      <c r="O750" s="783">
        <v>1</v>
      </c>
      <c r="P750" s="772">
        <v>1</v>
      </c>
      <c r="Q750" s="783">
        <v>1</v>
      </c>
      <c r="R750" s="772">
        <v>1</v>
      </c>
      <c r="S750" s="783">
        <v>5</v>
      </c>
      <c r="T750" s="772"/>
      <c r="U750" s="783">
        <v>70</v>
      </c>
      <c r="V750" s="772"/>
      <c r="W750" s="783">
        <v>1</v>
      </c>
      <c r="X750" s="772"/>
      <c r="Y750" s="783">
        <v>63.4257209051204</v>
      </c>
      <c r="Z750" s="772"/>
    </row>
    <row r="751" spans="1:26" s="753" customFormat="1">
      <c r="A751" s="756"/>
      <c r="B751" s="757"/>
      <c r="C751" s="758"/>
      <c r="D751" s="797" t="s">
        <v>10447</v>
      </c>
      <c r="E751" s="782"/>
      <c r="F751" s="794" t="s">
        <v>6327</v>
      </c>
      <c r="G751" s="981" t="s">
        <v>11601</v>
      </c>
      <c r="H751" s="772" t="s">
        <v>7905</v>
      </c>
      <c r="I751" s="981" t="s">
        <v>11601</v>
      </c>
      <c r="J751" s="772" t="s">
        <v>7905</v>
      </c>
      <c r="K751" s="981" t="s">
        <v>11673</v>
      </c>
      <c r="L751" s="772" t="s">
        <v>463</v>
      </c>
      <c r="M751" s="783">
        <v>0</v>
      </c>
      <c r="N751" s="772">
        <v>0</v>
      </c>
      <c r="O751" s="783">
        <v>1</v>
      </c>
      <c r="P751" s="772">
        <v>1</v>
      </c>
      <c r="Q751" s="783">
        <v>1</v>
      </c>
      <c r="R751" s="772">
        <v>1</v>
      </c>
      <c r="S751" s="783">
        <v>0</v>
      </c>
      <c r="T751" s="772"/>
      <c r="U751" s="783">
        <v>90</v>
      </c>
      <c r="V751" s="772"/>
      <c r="W751" s="783">
        <v>1</v>
      </c>
      <c r="X751" s="772">
        <v>1</v>
      </c>
      <c r="Y751" s="783">
        <v>83.797806925515005</v>
      </c>
      <c r="Z751" s="772"/>
    </row>
    <row r="752" spans="1:26" s="753" customFormat="1">
      <c r="A752" s="756"/>
      <c r="B752" s="757"/>
      <c r="C752" s="758"/>
      <c r="D752" s="797" t="s">
        <v>10447</v>
      </c>
      <c r="E752" s="782"/>
      <c r="F752" s="794" t="s">
        <v>8804</v>
      </c>
      <c r="G752" s="981" t="s">
        <v>11089</v>
      </c>
      <c r="H752" s="772" t="s">
        <v>2222</v>
      </c>
      <c r="I752" s="981" t="s">
        <v>11089</v>
      </c>
      <c r="J752" s="772" t="s">
        <v>2222</v>
      </c>
      <c r="K752" s="981" t="s">
        <v>11673</v>
      </c>
      <c r="L752" s="772" t="s">
        <v>463</v>
      </c>
      <c r="M752" s="783">
        <v>0</v>
      </c>
      <c r="N752" s="772">
        <v>0</v>
      </c>
      <c r="O752" s="783">
        <v>1</v>
      </c>
      <c r="P752" s="772">
        <v>1</v>
      </c>
      <c r="Q752" s="783">
        <v>1</v>
      </c>
      <c r="R752" s="772">
        <v>1</v>
      </c>
      <c r="S752" s="783">
        <v>5.4</v>
      </c>
      <c r="T752" s="772"/>
      <c r="U752" s="783">
        <v>62.5</v>
      </c>
      <c r="V752" s="772"/>
      <c r="W752" s="783">
        <v>0</v>
      </c>
      <c r="X752" s="772"/>
      <c r="Y752" s="783">
        <v>5.4</v>
      </c>
      <c r="Z752" s="772"/>
    </row>
    <row r="753" spans="1:26" s="753" customFormat="1">
      <c r="A753" s="756"/>
      <c r="B753" s="757"/>
      <c r="C753" s="758"/>
      <c r="D753" s="797" t="s">
        <v>10447</v>
      </c>
      <c r="E753" s="782"/>
      <c r="F753" s="794" t="s">
        <v>8740</v>
      </c>
      <c r="G753" s="981" t="s">
        <v>11361</v>
      </c>
      <c r="H753" s="772" t="s">
        <v>3406</v>
      </c>
      <c r="I753" s="981" t="s">
        <v>11361</v>
      </c>
      <c r="J753" s="772" t="s">
        <v>3406</v>
      </c>
      <c r="K753" s="981" t="s">
        <v>11678</v>
      </c>
      <c r="L753" s="772" t="s">
        <v>1577</v>
      </c>
      <c r="M753" s="783">
        <v>0</v>
      </c>
      <c r="N753" s="772">
        <v>0</v>
      </c>
      <c r="O753" s="783">
        <v>1</v>
      </c>
      <c r="P753" s="772">
        <v>1</v>
      </c>
      <c r="Q753" s="783">
        <v>1</v>
      </c>
      <c r="R753" s="772">
        <v>1</v>
      </c>
      <c r="S753" s="783">
        <v>217.5</v>
      </c>
      <c r="T753" s="772"/>
      <c r="U753" s="783">
        <v>1577.7</v>
      </c>
      <c r="V753" s="772"/>
      <c r="W753" s="783">
        <v>1</v>
      </c>
      <c r="X753" s="772"/>
      <c r="Y753" s="783">
        <v>47.5473302069094</v>
      </c>
      <c r="Z753" s="772"/>
    </row>
    <row r="754" spans="1:26" s="753" customFormat="1">
      <c r="A754" s="756"/>
      <c r="B754" s="757"/>
      <c r="C754" s="758"/>
      <c r="D754" s="797" t="s">
        <v>10447</v>
      </c>
      <c r="E754" s="782"/>
      <c r="F754" s="794" t="s">
        <v>6364</v>
      </c>
      <c r="G754" s="981" t="s">
        <v>11456</v>
      </c>
      <c r="H754" s="772" t="s">
        <v>8525</v>
      </c>
      <c r="I754" s="981" t="s">
        <v>11456</v>
      </c>
      <c r="J754" s="772" t="s">
        <v>8525</v>
      </c>
      <c r="K754" s="981" t="s">
        <v>11673</v>
      </c>
      <c r="L754" s="772" t="s">
        <v>463</v>
      </c>
      <c r="M754" s="783">
        <v>0</v>
      </c>
      <c r="N754" s="772">
        <v>0</v>
      </c>
      <c r="O754" s="783">
        <v>1</v>
      </c>
      <c r="P754" s="772">
        <v>1</v>
      </c>
      <c r="Q754" s="783">
        <v>1</v>
      </c>
      <c r="R754" s="772">
        <v>1</v>
      </c>
      <c r="S754" s="783">
        <v>5</v>
      </c>
      <c r="T754" s="772"/>
      <c r="U754" s="783">
        <v>95</v>
      </c>
      <c r="V754" s="772"/>
      <c r="W754" s="783">
        <v>1</v>
      </c>
      <c r="X754" s="772">
        <v>1</v>
      </c>
      <c r="Y754" s="783">
        <v>9.9999909990954698</v>
      </c>
      <c r="Z754" s="772"/>
    </row>
    <row r="755" spans="1:26" s="753" customFormat="1">
      <c r="A755" s="756"/>
      <c r="B755" s="757"/>
      <c r="C755" s="758"/>
      <c r="D755" s="797" t="s">
        <v>10447</v>
      </c>
      <c r="E755" s="782"/>
      <c r="F755" s="794" t="s">
        <v>6366</v>
      </c>
      <c r="G755" s="981" t="s">
        <v>11162</v>
      </c>
      <c r="H755" s="772" t="s">
        <v>7906</v>
      </c>
      <c r="I755" s="981" t="s">
        <v>11162</v>
      </c>
      <c r="J755" s="772" t="s">
        <v>7906</v>
      </c>
      <c r="K755" s="981" t="s">
        <v>11673</v>
      </c>
      <c r="L755" s="772" t="s">
        <v>463</v>
      </c>
      <c r="M755" s="783">
        <v>0</v>
      </c>
      <c r="N755" s="772">
        <v>0</v>
      </c>
      <c r="O755" s="783">
        <v>1</v>
      </c>
      <c r="P755" s="772">
        <v>1</v>
      </c>
      <c r="Q755" s="783">
        <v>1</v>
      </c>
      <c r="R755" s="772">
        <v>1</v>
      </c>
      <c r="S755" s="783">
        <v>0</v>
      </c>
      <c r="T755" s="772"/>
      <c r="U755" s="783">
        <v>3.1</v>
      </c>
      <c r="V755" s="772"/>
      <c r="W755" s="783">
        <v>1</v>
      </c>
      <c r="X755" s="772">
        <v>1</v>
      </c>
      <c r="Y755" s="783">
        <v>0</v>
      </c>
      <c r="Z755" s="772"/>
    </row>
    <row r="756" spans="1:26" s="753" customFormat="1">
      <c r="A756" s="756"/>
      <c r="B756" s="757"/>
      <c r="C756" s="758"/>
      <c r="D756" s="797" t="s">
        <v>10447</v>
      </c>
      <c r="E756" s="782"/>
      <c r="F756" s="794" t="s">
        <v>8773</v>
      </c>
      <c r="G756" s="981" t="s">
        <v>11103</v>
      </c>
      <c r="H756" s="772" t="s">
        <v>3302</v>
      </c>
      <c r="I756" s="981" t="s">
        <v>11103</v>
      </c>
      <c r="J756" s="772" t="s">
        <v>3302</v>
      </c>
      <c r="K756" s="981" t="s">
        <v>11678</v>
      </c>
      <c r="L756" s="772" t="s">
        <v>1577</v>
      </c>
      <c r="M756" s="783">
        <v>0</v>
      </c>
      <c r="N756" s="772">
        <v>0</v>
      </c>
      <c r="O756" s="783">
        <v>1</v>
      </c>
      <c r="P756" s="772">
        <v>1</v>
      </c>
      <c r="Q756" s="783">
        <v>1</v>
      </c>
      <c r="R756" s="772">
        <v>1</v>
      </c>
      <c r="S756" s="783">
        <v>0</v>
      </c>
      <c r="T756" s="772"/>
      <c r="U756" s="783">
        <v>100</v>
      </c>
      <c r="V756" s="772"/>
      <c r="W756" s="783">
        <v>0</v>
      </c>
      <c r="X756" s="772"/>
      <c r="Y756" s="783">
        <v>49.999927764875203</v>
      </c>
      <c r="Z756" s="772"/>
    </row>
    <row r="757" spans="1:26" s="753" customFormat="1">
      <c r="A757" s="756"/>
      <c r="B757" s="757"/>
      <c r="C757" s="758"/>
      <c r="D757" s="797" t="s">
        <v>10447</v>
      </c>
      <c r="E757" s="782"/>
      <c r="F757" s="794" t="s">
        <v>9020</v>
      </c>
      <c r="G757" s="981" t="s">
        <v>11601</v>
      </c>
      <c r="H757" s="772" t="s">
        <v>7905</v>
      </c>
      <c r="I757" s="981" t="s">
        <v>11601</v>
      </c>
      <c r="J757" s="772" t="s">
        <v>7905</v>
      </c>
      <c r="K757" s="981" t="s">
        <v>11673</v>
      </c>
      <c r="L757" s="772" t="s">
        <v>463</v>
      </c>
      <c r="M757" s="783">
        <v>0</v>
      </c>
      <c r="N757" s="772">
        <v>0</v>
      </c>
      <c r="O757" s="783">
        <v>1</v>
      </c>
      <c r="P757" s="772">
        <v>1</v>
      </c>
      <c r="Q757" s="783">
        <v>1</v>
      </c>
      <c r="R757" s="772">
        <v>1</v>
      </c>
      <c r="S757" s="783">
        <v>0</v>
      </c>
      <c r="T757" s="772"/>
      <c r="U757" s="783">
        <v>90</v>
      </c>
      <c r="V757" s="772"/>
      <c r="W757" s="783">
        <v>1</v>
      </c>
      <c r="X757" s="772">
        <v>1</v>
      </c>
      <c r="Y757" s="783">
        <v>83.797806925515005</v>
      </c>
      <c r="Z757" s="772"/>
    </row>
    <row r="758" spans="1:26" s="753" customFormat="1">
      <c r="A758" s="756"/>
      <c r="B758" s="757"/>
      <c r="C758" s="758"/>
      <c r="D758" s="797" t="s">
        <v>10447</v>
      </c>
      <c r="E758" s="782"/>
      <c r="F758" s="794" t="s">
        <v>9325</v>
      </c>
      <c r="G758" s="981" t="s">
        <v>11602</v>
      </c>
      <c r="H758" s="772" t="s">
        <v>9437</v>
      </c>
      <c r="I758" s="981" t="s">
        <v>11602</v>
      </c>
      <c r="J758" s="772" t="s">
        <v>9437</v>
      </c>
      <c r="K758" s="981" t="s">
        <v>11673</v>
      </c>
      <c r="L758" s="772" t="s">
        <v>463</v>
      </c>
      <c r="M758" s="783">
        <v>0</v>
      </c>
      <c r="N758" s="772">
        <v>0</v>
      </c>
      <c r="O758" s="783">
        <v>1</v>
      </c>
      <c r="P758" s="772">
        <v>1</v>
      </c>
      <c r="Q758" s="783">
        <v>1</v>
      </c>
      <c r="R758" s="772">
        <v>1</v>
      </c>
      <c r="S758" s="783">
        <v>0</v>
      </c>
      <c r="T758" s="772"/>
      <c r="U758" s="783">
        <v>90</v>
      </c>
      <c r="V758" s="772"/>
      <c r="W758" s="783">
        <v>1</v>
      </c>
      <c r="X758" s="772"/>
      <c r="Y758" s="783">
        <v>0</v>
      </c>
      <c r="Z758" s="772"/>
    </row>
    <row r="759" spans="1:26" s="753" customFormat="1">
      <c r="A759" s="756"/>
      <c r="B759" s="757"/>
      <c r="C759" s="758"/>
      <c r="D759" s="797" t="s">
        <v>10447</v>
      </c>
      <c r="E759" s="20"/>
      <c r="F759" s="794" t="s">
        <v>9277</v>
      </c>
      <c r="G759" s="981" t="s">
        <v>11603</v>
      </c>
      <c r="H759" s="772" t="s">
        <v>9438</v>
      </c>
      <c r="I759" s="981" t="s">
        <v>11603</v>
      </c>
      <c r="J759" s="772" t="s">
        <v>9438</v>
      </c>
      <c r="K759" s="981" t="s">
        <v>11679</v>
      </c>
      <c r="L759" s="772" t="s">
        <v>1939</v>
      </c>
      <c r="M759" s="783">
        <v>0</v>
      </c>
      <c r="N759" s="772">
        <v>0</v>
      </c>
      <c r="O759" s="783">
        <v>1</v>
      </c>
      <c r="P759" s="772">
        <v>1</v>
      </c>
      <c r="Q759" s="783">
        <v>1</v>
      </c>
      <c r="R759" s="772">
        <v>1</v>
      </c>
      <c r="S759" s="783">
        <v>0</v>
      </c>
      <c r="T759" s="772"/>
      <c r="U759" s="783">
        <v>1000</v>
      </c>
      <c r="V759" s="772"/>
      <c r="W759" s="783">
        <v>0</v>
      </c>
      <c r="X759" s="772"/>
      <c r="Y759" s="981" t="s">
        <v>11701</v>
      </c>
      <c r="Z759" s="772"/>
    </row>
    <row r="760" spans="1:26" s="753" customFormat="1">
      <c r="A760" s="756"/>
      <c r="B760" s="757"/>
      <c r="C760" s="758"/>
      <c r="D760" s="797" t="s">
        <v>10447</v>
      </c>
      <c r="E760" s="782"/>
      <c r="F760" s="794" t="s">
        <v>6328</v>
      </c>
      <c r="G760" s="981" t="s">
        <v>11604</v>
      </c>
      <c r="H760" s="772" t="s">
        <v>10421</v>
      </c>
      <c r="I760" s="783"/>
      <c r="J760" s="772"/>
      <c r="K760" s="981" t="s">
        <v>11689</v>
      </c>
      <c r="L760" s="772" t="s">
        <v>9473</v>
      </c>
      <c r="M760" s="783">
        <v>2</v>
      </c>
      <c r="N760" s="772">
        <v>2</v>
      </c>
      <c r="O760" s="783">
        <v>1</v>
      </c>
      <c r="P760" s="772">
        <v>1</v>
      </c>
      <c r="Q760" s="783">
        <v>1</v>
      </c>
      <c r="R760" s="772">
        <v>1</v>
      </c>
      <c r="S760" s="783">
        <v>0</v>
      </c>
      <c r="T760" s="772"/>
      <c r="U760" s="783">
        <v>5</v>
      </c>
      <c r="V760" s="772"/>
      <c r="W760" s="783">
        <v>0</v>
      </c>
      <c r="X760" s="772"/>
      <c r="Y760" s="783">
        <v>3.48835341002696</v>
      </c>
      <c r="Z760" s="772"/>
    </row>
    <row r="761" spans="1:26" s="753" customFormat="1">
      <c r="A761" s="756"/>
      <c r="B761" s="757"/>
      <c r="C761" s="758"/>
      <c r="D761" s="797" t="s">
        <v>10447</v>
      </c>
      <c r="E761" s="782"/>
      <c r="F761" s="794" t="s">
        <v>7936</v>
      </c>
      <c r="G761" s="981" t="s">
        <v>11605</v>
      </c>
      <c r="H761" s="772" t="s">
        <v>5922</v>
      </c>
      <c r="I761" s="981" t="s">
        <v>11605</v>
      </c>
      <c r="J761" s="772" t="s">
        <v>5922</v>
      </c>
      <c r="K761" s="981" t="s">
        <v>11680</v>
      </c>
      <c r="L761" s="772" t="s">
        <v>1635</v>
      </c>
      <c r="M761" s="783">
        <v>1</v>
      </c>
      <c r="N761" s="772">
        <v>1</v>
      </c>
      <c r="O761" s="783">
        <v>1</v>
      </c>
      <c r="P761" s="772">
        <v>1</v>
      </c>
      <c r="Q761" s="783">
        <v>1</v>
      </c>
      <c r="R761" s="772">
        <v>1</v>
      </c>
      <c r="S761" s="783">
        <v>0</v>
      </c>
      <c r="T761" s="772"/>
      <c r="U761" s="783">
        <v>10</v>
      </c>
      <c r="V761" s="772"/>
      <c r="W761" s="783">
        <v>0</v>
      </c>
      <c r="X761" s="772"/>
      <c r="Y761" s="783">
        <v>2.0589465449851099E-2</v>
      </c>
      <c r="Z761" s="772"/>
    </row>
    <row r="762" spans="1:26" s="753" customFormat="1">
      <c r="A762" s="756"/>
      <c r="B762" s="757"/>
      <c r="C762" s="758"/>
      <c r="D762" s="797" t="s">
        <v>10447</v>
      </c>
      <c r="E762" s="782"/>
      <c r="F762" s="794" t="s">
        <v>7934</v>
      </c>
      <c r="G762" s="981" t="s">
        <v>11606</v>
      </c>
      <c r="H762" s="772" t="s">
        <v>5920</v>
      </c>
      <c r="I762" s="981" t="s">
        <v>11606</v>
      </c>
      <c r="J762" s="772" t="s">
        <v>5920</v>
      </c>
      <c r="K762" s="981" t="s">
        <v>11680</v>
      </c>
      <c r="L762" s="772" t="s">
        <v>1635</v>
      </c>
      <c r="M762" s="783">
        <v>1</v>
      </c>
      <c r="N762" s="772">
        <v>1</v>
      </c>
      <c r="O762" s="783">
        <v>1</v>
      </c>
      <c r="P762" s="772">
        <v>1</v>
      </c>
      <c r="Q762" s="783">
        <v>1</v>
      </c>
      <c r="R762" s="772">
        <v>1</v>
      </c>
      <c r="S762" s="783">
        <v>0</v>
      </c>
      <c r="T762" s="772"/>
      <c r="U762" s="783">
        <v>10</v>
      </c>
      <c r="V762" s="772"/>
      <c r="W762" s="783">
        <v>0</v>
      </c>
      <c r="X762" s="772"/>
      <c r="Y762" s="783">
        <v>0.16320873857798801</v>
      </c>
      <c r="Z762" s="772"/>
    </row>
    <row r="763" spans="1:26" s="753" customFormat="1">
      <c r="A763" s="756"/>
      <c r="B763" s="757"/>
      <c r="C763" s="758"/>
      <c r="D763" s="797" t="s">
        <v>10447</v>
      </c>
      <c r="E763" s="782"/>
      <c r="F763" s="794" t="s">
        <v>7935</v>
      </c>
      <c r="G763" s="981" t="s">
        <v>11607</v>
      </c>
      <c r="H763" s="772" t="s">
        <v>5921</v>
      </c>
      <c r="I763" s="981" t="s">
        <v>11607</v>
      </c>
      <c r="J763" s="772" t="s">
        <v>5921</v>
      </c>
      <c r="K763" s="981" t="s">
        <v>11680</v>
      </c>
      <c r="L763" s="772" t="s">
        <v>1635</v>
      </c>
      <c r="M763" s="783">
        <v>1</v>
      </c>
      <c r="N763" s="772">
        <v>1</v>
      </c>
      <c r="O763" s="783">
        <v>1</v>
      </c>
      <c r="P763" s="772">
        <v>1</v>
      </c>
      <c r="Q763" s="783">
        <v>1</v>
      </c>
      <c r="R763" s="772">
        <v>1</v>
      </c>
      <c r="S763" s="783">
        <v>0</v>
      </c>
      <c r="T763" s="772"/>
      <c r="U763" s="783">
        <v>10</v>
      </c>
      <c r="V763" s="772"/>
      <c r="W763" s="783">
        <v>0</v>
      </c>
      <c r="X763" s="772"/>
      <c r="Y763" s="783">
        <v>0.29217723492631897</v>
      </c>
      <c r="Z763" s="772"/>
    </row>
    <row r="764" spans="1:26" s="753" customFormat="1">
      <c r="A764" s="756"/>
      <c r="B764" s="757"/>
      <c r="C764" s="758"/>
      <c r="D764" s="797" t="s">
        <v>10447</v>
      </c>
      <c r="E764" s="782"/>
      <c r="F764" s="794" t="s">
        <v>5963</v>
      </c>
      <c r="G764" s="981" t="s">
        <v>11608</v>
      </c>
      <c r="H764" s="772" t="s">
        <v>5968</v>
      </c>
      <c r="I764" s="981" t="s">
        <v>11608</v>
      </c>
      <c r="J764" s="772" t="s">
        <v>5968</v>
      </c>
      <c r="K764" s="981" t="s">
        <v>11680</v>
      </c>
      <c r="L764" s="772" t="s">
        <v>1635</v>
      </c>
      <c r="M764" s="783">
        <v>1</v>
      </c>
      <c r="N764" s="772">
        <v>1</v>
      </c>
      <c r="O764" s="783">
        <v>1</v>
      </c>
      <c r="P764" s="772">
        <v>1</v>
      </c>
      <c r="Q764" s="783">
        <v>1</v>
      </c>
      <c r="R764" s="772">
        <v>1</v>
      </c>
      <c r="S764" s="783">
        <v>0</v>
      </c>
      <c r="T764" s="772"/>
      <c r="U764" s="783">
        <v>10</v>
      </c>
      <c r="V764" s="772"/>
      <c r="W764" s="783">
        <v>0</v>
      </c>
      <c r="X764" s="772"/>
      <c r="Y764" s="783">
        <v>5.8024903158191603E-4</v>
      </c>
      <c r="Z764" s="772"/>
    </row>
    <row r="765" spans="1:26" s="753" customFormat="1">
      <c r="A765" s="756"/>
      <c r="B765" s="757"/>
      <c r="C765" s="758"/>
      <c r="D765" s="797" t="s">
        <v>10447</v>
      </c>
      <c r="E765" s="782"/>
      <c r="F765" s="794" t="s">
        <v>6426</v>
      </c>
      <c r="G765" s="981" t="s">
        <v>11609</v>
      </c>
      <c r="H765" s="772" t="s">
        <v>9443</v>
      </c>
      <c r="I765" s="981" t="s">
        <v>11609</v>
      </c>
      <c r="J765" s="772" t="s">
        <v>9443</v>
      </c>
      <c r="K765" s="981" t="s">
        <v>11680</v>
      </c>
      <c r="L765" s="772" t="s">
        <v>1635</v>
      </c>
      <c r="M765" s="783">
        <v>1</v>
      </c>
      <c r="N765" s="772">
        <v>1</v>
      </c>
      <c r="O765" s="783">
        <v>1</v>
      </c>
      <c r="P765" s="772">
        <v>1</v>
      </c>
      <c r="Q765" s="783">
        <v>1</v>
      </c>
      <c r="R765" s="772">
        <v>1</v>
      </c>
      <c r="S765" s="783">
        <v>0</v>
      </c>
      <c r="T765" s="772"/>
      <c r="U765" s="783">
        <v>10</v>
      </c>
      <c r="V765" s="772"/>
      <c r="W765" s="783">
        <v>0</v>
      </c>
      <c r="X765" s="772"/>
      <c r="Y765" s="783">
        <v>1.54422006789071E-3</v>
      </c>
      <c r="Z765" s="772"/>
    </row>
    <row r="766" spans="1:26" s="753" customFormat="1">
      <c r="A766" s="756"/>
      <c r="B766" s="757"/>
      <c r="C766" s="758"/>
      <c r="D766" s="797" t="s">
        <v>10447</v>
      </c>
      <c r="E766" s="782"/>
      <c r="F766" s="794" t="s">
        <v>6427</v>
      </c>
      <c r="G766" s="981" t="s">
        <v>11610</v>
      </c>
      <c r="H766" s="772" t="s">
        <v>9444</v>
      </c>
      <c r="I766" s="981" t="s">
        <v>11610</v>
      </c>
      <c r="J766" s="772" t="s">
        <v>9444</v>
      </c>
      <c r="K766" s="981" t="s">
        <v>11680</v>
      </c>
      <c r="L766" s="772" t="s">
        <v>1635</v>
      </c>
      <c r="M766" s="783">
        <v>1</v>
      </c>
      <c r="N766" s="772">
        <v>1</v>
      </c>
      <c r="O766" s="783">
        <v>1</v>
      </c>
      <c r="P766" s="772">
        <v>1</v>
      </c>
      <c r="Q766" s="783">
        <v>1</v>
      </c>
      <c r="R766" s="772">
        <v>1</v>
      </c>
      <c r="S766" s="783">
        <v>0</v>
      </c>
      <c r="T766" s="772"/>
      <c r="U766" s="783">
        <v>10</v>
      </c>
      <c r="V766" s="772"/>
      <c r="W766" s="783">
        <v>0</v>
      </c>
      <c r="X766" s="772"/>
      <c r="Y766" s="783">
        <v>1.16304530390026E-2</v>
      </c>
      <c r="Z766" s="772"/>
    </row>
    <row r="767" spans="1:26" s="753" customFormat="1">
      <c r="A767" s="756"/>
      <c r="B767" s="757"/>
      <c r="C767" s="758"/>
      <c r="D767" s="797" t="s">
        <v>10447</v>
      </c>
      <c r="E767" s="782"/>
      <c r="F767" s="794" t="s">
        <v>5964</v>
      </c>
      <c r="G767" s="981" t="s">
        <v>11611</v>
      </c>
      <c r="H767" s="772" t="s">
        <v>5967</v>
      </c>
      <c r="I767" s="981" t="s">
        <v>11611</v>
      </c>
      <c r="J767" s="772" t="s">
        <v>5967</v>
      </c>
      <c r="K767" s="981" t="s">
        <v>11680</v>
      </c>
      <c r="L767" s="772" t="s">
        <v>1635</v>
      </c>
      <c r="M767" s="783">
        <v>1</v>
      </c>
      <c r="N767" s="772">
        <v>1</v>
      </c>
      <c r="O767" s="783">
        <v>1</v>
      </c>
      <c r="P767" s="772">
        <v>1</v>
      </c>
      <c r="Q767" s="783">
        <v>1</v>
      </c>
      <c r="R767" s="772">
        <v>1</v>
      </c>
      <c r="S767" s="783">
        <v>0</v>
      </c>
      <c r="T767" s="772"/>
      <c r="U767" s="783">
        <v>10</v>
      </c>
      <c r="V767" s="772"/>
      <c r="W767" s="783">
        <v>0</v>
      </c>
      <c r="X767" s="772"/>
      <c r="Y767" s="783">
        <v>0.653046288905612</v>
      </c>
      <c r="Z767" s="772"/>
    </row>
    <row r="768" spans="1:26" s="753" customFormat="1">
      <c r="A768" s="756"/>
      <c r="B768" s="757"/>
      <c r="C768" s="758"/>
      <c r="D768" s="797" t="s">
        <v>10447</v>
      </c>
      <c r="E768" s="782"/>
      <c r="F768" s="794" t="s">
        <v>5965</v>
      </c>
      <c r="G768" s="981" t="s">
        <v>11612</v>
      </c>
      <c r="H768" s="772" t="s">
        <v>5969</v>
      </c>
      <c r="I768" s="981" t="s">
        <v>11612</v>
      </c>
      <c r="J768" s="772" t="s">
        <v>5969</v>
      </c>
      <c r="K768" s="981" t="s">
        <v>11680</v>
      </c>
      <c r="L768" s="772" t="s">
        <v>1635</v>
      </c>
      <c r="M768" s="783">
        <v>1</v>
      </c>
      <c r="N768" s="772">
        <v>1</v>
      </c>
      <c r="O768" s="783">
        <v>1</v>
      </c>
      <c r="P768" s="772">
        <v>1</v>
      </c>
      <c r="Q768" s="783">
        <v>1</v>
      </c>
      <c r="R768" s="772">
        <v>1</v>
      </c>
      <c r="S768" s="783">
        <v>0</v>
      </c>
      <c r="T768" s="772"/>
      <c r="U768" s="783">
        <v>10</v>
      </c>
      <c r="V768" s="772"/>
      <c r="W768" s="783">
        <v>0</v>
      </c>
      <c r="X768" s="772"/>
      <c r="Y768" s="783">
        <v>2.02981474882842E-2</v>
      </c>
      <c r="Z768" s="772"/>
    </row>
    <row r="769" spans="1:26" s="753" customFormat="1">
      <c r="A769" s="756"/>
      <c r="B769" s="757"/>
      <c r="C769" s="758"/>
      <c r="D769" s="797" t="s">
        <v>10447</v>
      </c>
      <c r="E769" s="782"/>
      <c r="F769" s="794" t="s">
        <v>6428</v>
      </c>
      <c r="G769" s="981" t="s">
        <v>11613</v>
      </c>
      <c r="H769" s="772" t="s">
        <v>6429</v>
      </c>
      <c r="I769" s="981" t="s">
        <v>11613</v>
      </c>
      <c r="J769" s="772" t="s">
        <v>6429</v>
      </c>
      <c r="K769" s="981" t="s">
        <v>11680</v>
      </c>
      <c r="L769" s="772" t="s">
        <v>1635</v>
      </c>
      <c r="M769" s="783">
        <v>1</v>
      </c>
      <c r="N769" s="772">
        <v>1</v>
      </c>
      <c r="O769" s="783">
        <v>1</v>
      </c>
      <c r="P769" s="772">
        <v>1</v>
      </c>
      <c r="Q769" s="783">
        <v>1</v>
      </c>
      <c r="R769" s="772">
        <v>1</v>
      </c>
      <c r="S769" s="783">
        <v>0</v>
      </c>
      <c r="T769" s="772"/>
      <c r="U769" s="783">
        <v>10</v>
      </c>
      <c r="V769" s="772"/>
      <c r="W769" s="783">
        <v>0</v>
      </c>
      <c r="X769" s="772"/>
      <c r="Y769" s="783">
        <v>3.42440104144279E-2</v>
      </c>
      <c r="Z769" s="772"/>
    </row>
    <row r="770" spans="1:26" s="753" customFormat="1">
      <c r="A770" s="756"/>
      <c r="B770" s="757"/>
      <c r="C770" s="758"/>
      <c r="D770" s="797" t="s">
        <v>10447</v>
      </c>
      <c r="E770" s="782"/>
      <c r="F770" s="794" t="s">
        <v>9337</v>
      </c>
      <c r="G770" s="981" t="s">
        <v>11588</v>
      </c>
      <c r="H770" s="772" t="s">
        <v>9449</v>
      </c>
      <c r="I770" s="981" t="s">
        <v>11588</v>
      </c>
      <c r="J770" s="772" t="s">
        <v>9449</v>
      </c>
      <c r="K770" s="981" t="s">
        <v>11689</v>
      </c>
      <c r="L770" s="772" t="s">
        <v>2000</v>
      </c>
      <c r="M770" s="783">
        <v>2</v>
      </c>
      <c r="N770" s="772">
        <v>2</v>
      </c>
      <c r="O770" s="783">
        <v>1</v>
      </c>
      <c r="P770" s="772">
        <v>1</v>
      </c>
      <c r="Q770" s="783">
        <v>1</v>
      </c>
      <c r="R770" s="772">
        <v>1</v>
      </c>
      <c r="S770" s="783">
        <v>0</v>
      </c>
      <c r="T770" s="772"/>
      <c r="U770" s="783">
        <v>10</v>
      </c>
      <c r="V770" s="772"/>
      <c r="W770" s="783">
        <v>0</v>
      </c>
      <c r="X770" s="772"/>
      <c r="Y770" s="783">
        <v>5.4000000000000199</v>
      </c>
      <c r="Z770" s="772"/>
    </row>
    <row r="771" spans="1:26" s="753" customFormat="1">
      <c r="A771" s="756"/>
      <c r="B771" s="757"/>
      <c r="C771" s="758"/>
      <c r="D771" s="797" t="s">
        <v>10447</v>
      </c>
      <c r="E771" s="782"/>
      <c r="F771" s="794" t="s">
        <v>9291</v>
      </c>
      <c r="G771" s="981" t="s">
        <v>11614</v>
      </c>
      <c r="H771" s="772" t="s">
        <v>9445</v>
      </c>
      <c r="I771" s="981" t="s">
        <v>11614</v>
      </c>
      <c r="J771" s="772" t="s">
        <v>9445</v>
      </c>
      <c r="K771" s="981" t="s">
        <v>11689</v>
      </c>
      <c r="L771" s="772" t="s">
        <v>2000</v>
      </c>
      <c r="M771" s="783">
        <v>2</v>
      </c>
      <c r="N771" s="772">
        <v>2</v>
      </c>
      <c r="O771" s="783">
        <v>1</v>
      </c>
      <c r="P771" s="772">
        <v>1</v>
      </c>
      <c r="Q771" s="783">
        <v>1</v>
      </c>
      <c r="R771" s="772">
        <v>1</v>
      </c>
      <c r="S771" s="783">
        <v>0</v>
      </c>
      <c r="T771" s="772"/>
      <c r="U771" s="783">
        <v>10</v>
      </c>
      <c r="V771" s="772"/>
      <c r="W771" s="783">
        <v>0</v>
      </c>
      <c r="X771" s="772"/>
      <c r="Y771" s="783">
        <v>5.4367831725298599</v>
      </c>
      <c r="Z771" s="772"/>
    </row>
    <row r="772" spans="1:26" s="753" customFormat="1">
      <c r="A772" s="756"/>
      <c r="B772" s="757"/>
      <c r="C772" s="758"/>
      <c r="D772" s="797" t="s">
        <v>10447</v>
      </c>
      <c r="E772" s="782"/>
      <c r="F772" s="794" t="s">
        <v>9334</v>
      </c>
      <c r="G772" s="981" t="s">
        <v>11614</v>
      </c>
      <c r="H772" s="772" t="s">
        <v>9445</v>
      </c>
      <c r="I772" s="981" t="s">
        <v>11614</v>
      </c>
      <c r="J772" s="772" t="s">
        <v>9445</v>
      </c>
      <c r="K772" s="981" t="s">
        <v>11689</v>
      </c>
      <c r="L772" s="772" t="s">
        <v>2000</v>
      </c>
      <c r="M772" s="783">
        <v>2</v>
      </c>
      <c r="N772" s="772">
        <v>2</v>
      </c>
      <c r="O772" s="783">
        <v>1</v>
      </c>
      <c r="P772" s="772">
        <v>1</v>
      </c>
      <c r="Q772" s="783">
        <v>1</v>
      </c>
      <c r="R772" s="772">
        <v>1</v>
      </c>
      <c r="S772" s="783">
        <v>0</v>
      </c>
      <c r="T772" s="772"/>
      <c r="U772" s="783">
        <v>5</v>
      </c>
      <c r="V772" s="772"/>
      <c r="W772" s="783">
        <v>0</v>
      </c>
      <c r="X772" s="772"/>
      <c r="Y772" s="783">
        <v>3.5039045778705602</v>
      </c>
      <c r="Z772" s="772"/>
    </row>
    <row r="773" spans="1:26" s="753" customFormat="1">
      <c r="A773" s="756"/>
      <c r="B773" s="757"/>
      <c r="C773" s="758"/>
      <c r="D773" s="797" t="s">
        <v>10447</v>
      </c>
      <c r="E773" s="782"/>
      <c r="F773" s="794" t="s">
        <v>9271</v>
      </c>
      <c r="G773" s="981" t="s">
        <v>11589</v>
      </c>
      <c r="H773" s="772" t="s">
        <v>9447</v>
      </c>
      <c r="I773" s="981" t="s">
        <v>11589</v>
      </c>
      <c r="J773" s="772" t="s">
        <v>9447</v>
      </c>
      <c r="K773" s="981" t="s">
        <v>11689</v>
      </c>
      <c r="L773" s="772" t="s">
        <v>2000</v>
      </c>
      <c r="M773" s="783">
        <v>2</v>
      </c>
      <c r="N773" s="772">
        <v>2</v>
      </c>
      <c r="O773" s="783">
        <v>1</v>
      </c>
      <c r="P773" s="772">
        <v>1</v>
      </c>
      <c r="Q773" s="783">
        <v>1</v>
      </c>
      <c r="R773" s="772">
        <v>1</v>
      </c>
      <c r="S773" s="783">
        <v>0</v>
      </c>
      <c r="T773" s="772"/>
      <c r="U773" s="783">
        <v>10</v>
      </c>
      <c r="V773" s="772"/>
      <c r="W773" s="783">
        <v>0</v>
      </c>
      <c r="X773" s="772"/>
      <c r="Y773" s="783">
        <v>5.3868747853671897</v>
      </c>
      <c r="Z773" s="772"/>
    </row>
    <row r="774" spans="1:26" s="753" customFormat="1">
      <c r="A774" s="756"/>
      <c r="B774" s="757"/>
      <c r="C774" s="758"/>
      <c r="D774" s="797" t="s">
        <v>10447</v>
      </c>
      <c r="E774" s="782"/>
      <c r="F774" s="794" t="s">
        <v>8561</v>
      </c>
      <c r="G774" s="981" t="s">
        <v>11472</v>
      </c>
      <c r="H774" s="772" t="s">
        <v>3198</v>
      </c>
      <c r="I774" s="981" t="s">
        <v>11472</v>
      </c>
      <c r="J774" s="772" t="s">
        <v>3198</v>
      </c>
      <c r="K774" s="981" t="s">
        <v>11693</v>
      </c>
      <c r="L774" s="772" t="s">
        <v>1639</v>
      </c>
      <c r="M774" s="783">
        <v>2</v>
      </c>
      <c r="N774" s="772">
        <v>2</v>
      </c>
      <c r="O774" s="783">
        <v>1</v>
      </c>
      <c r="P774" s="772">
        <v>1</v>
      </c>
      <c r="Q774" s="783">
        <v>10207.362160000001</v>
      </c>
      <c r="R774" s="772">
        <v>10207.362160000001</v>
      </c>
      <c r="S774" s="783">
        <v>-70</v>
      </c>
      <c r="T774" s="772"/>
      <c r="U774" s="783">
        <v>700</v>
      </c>
      <c r="V774" s="772"/>
      <c r="W774" s="783">
        <v>0</v>
      </c>
      <c r="X774" s="772"/>
      <c r="Y774" s="783">
        <v>-43.214893249743703</v>
      </c>
      <c r="Z774" s="772"/>
    </row>
    <row r="775" spans="1:26" s="753" customFormat="1">
      <c r="A775" s="756"/>
      <c r="B775" s="757"/>
      <c r="C775" s="758"/>
      <c r="D775" s="797" t="s">
        <v>10447</v>
      </c>
      <c r="E775" s="782"/>
      <c r="F775" s="794" t="s">
        <v>6430</v>
      </c>
      <c r="G775" s="981" t="s">
        <v>11615</v>
      </c>
      <c r="H775" s="772" t="s">
        <v>9451</v>
      </c>
      <c r="I775" s="981" t="s">
        <v>11615</v>
      </c>
      <c r="J775" s="772" t="s">
        <v>9451</v>
      </c>
      <c r="K775" s="981" t="s">
        <v>11680</v>
      </c>
      <c r="L775" s="772" t="s">
        <v>1635</v>
      </c>
      <c r="M775" s="783">
        <v>1</v>
      </c>
      <c r="N775" s="772">
        <v>1</v>
      </c>
      <c r="O775" s="783">
        <v>1</v>
      </c>
      <c r="P775" s="772">
        <v>1</v>
      </c>
      <c r="Q775" s="783">
        <v>1</v>
      </c>
      <c r="R775" s="772">
        <v>1</v>
      </c>
      <c r="S775" s="783">
        <v>0</v>
      </c>
      <c r="T775" s="772"/>
      <c r="U775" s="783">
        <v>10</v>
      </c>
      <c r="V775" s="772"/>
      <c r="W775" s="783">
        <v>0</v>
      </c>
      <c r="X775" s="772"/>
      <c r="Y775" s="783">
        <v>2.0454067752488698</v>
      </c>
      <c r="Z775" s="772"/>
    </row>
    <row r="776" spans="1:26" s="753" customFormat="1">
      <c r="A776" s="756"/>
      <c r="B776" s="757"/>
      <c r="C776" s="758"/>
      <c r="D776" s="797" t="s">
        <v>10447</v>
      </c>
      <c r="E776" s="782"/>
      <c r="F776" s="794" t="s">
        <v>7950</v>
      </c>
      <c r="G776" s="783"/>
      <c r="H776" s="772"/>
      <c r="I776" s="783"/>
      <c r="J776" s="772"/>
      <c r="K776" s="981" t="s">
        <v>11689</v>
      </c>
      <c r="L776" s="772" t="s">
        <v>2000</v>
      </c>
      <c r="M776" s="783">
        <v>2</v>
      </c>
      <c r="N776" s="772">
        <v>2</v>
      </c>
      <c r="O776" s="783">
        <v>1</v>
      </c>
      <c r="P776" s="772">
        <v>1</v>
      </c>
      <c r="Q776" s="783">
        <v>1</v>
      </c>
      <c r="R776" s="772">
        <v>1</v>
      </c>
      <c r="S776" s="783">
        <v>0</v>
      </c>
      <c r="T776" s="772"/>
      <c r="U776" s="783">
        <v>20</v>
      </c>
      <c r="V776" s="772"/>
      <c r="W776" s="783">
        <v>0</v>
      </c>
      <c r="X776" s="772"/>
      <c r="Y776" s="783">
        <v>4.4846806512626696</v>
      </c>
      <c r="Z776" s="772"/>
    </row>
    <row r="777" spans="1:26" s="753" customFormat="1">
      <c r="A777" s="756"/>
      <c r="B777" s="757"/>
      <c r="C777" s="758"/>
      <c r="D777" s="797" t="s">
        <v>10447</v>
      </c>
      <c r="E777" s="782"/>
      <c r="F777" s="794" t="s">
        <v>6329</v>
      </c>
      <c r="G777" s="981" t="s">
        <v>11133</v>
      </c>
      <c r="H777" s="772" t="s">
        <v>3869</v>
      </c>
      <c r="I777" s="981" t="s">
        <v>11133</v>
      </c>
      <c r="J777" s="772" t="s">
        <v>3869</v>
      </c>
      <c r="K777" s="981" t="s">
        <v>11689</v>
      </c>
      <c r="L777" s="772" t="s">
        <v>2000</v>
      </c>
      <c r="M777" s="783">
        <v>2</v>
      </c>
      <c r="N777" s="772">
        <v>2</v>
      </c>
      <c r="O777" s="783">
        <v>1</v>
      </c>
      <c r="P777" s="772">
        <v>1</v>
      </c>
      <c r="Q777" s="783">
        <v>1</v>
      </c>
      <c r="R777" s="772">
        <v>1</v>
      </c>
      <c r="S777" s="783">
        <v>0</v>
      </c>
      <c r="T777" s="772"/>
      <c r="U777" s="783">
        <v>5</v>
      </c>
      <c r="V777" s="772"/>
      <c r="W777" s="783">
        <v>0</v>
      </c>
      <c r="X777" s="772"/>
      <c r="Y777" s="783">
        <v>3.3000220220118099</v>
      </c>
      <c r="Z777" s="772"/>
    </row>
    <row r="778" spans="1:26" s="753" customFormat="1">
      <c r="A778" s="756"/>
      <c r="B778" s="757"/>
      <c r="C778" s="758"/>
      <c r="D778" s="797" t="s">
        <v>10447</v>
      </c>
      <c r="E778" s="782"/>
      <c r="F778" s="794" t="s">
        <v>8672</v>
      </c>
      <c r="G778" s="981" t="s">
        <v>11616</v>
      </c>
      <c r="H778" s="772" t="s">
        <v>10422</v>
      </c>
      <c r="I778" s="783"/>
      <c r="J778" s="772"/>
      <c r="K778" s="981" t="s">
        <v>11689</v>
      </c>
      <c r="L778" s="772" t="s">
        <v>2000</v>
      </c>
      <c r="M778" s="783">
        <v>2</v>
      </c>
      <c r="N778" s="772">
        <v>2</v>
      </c>
      <c r="O778" s="783">
        <v>1</v>
      </c>
      <c r="P778" s="772">
        <v>1</v>
      </c>
      <c r="Q778" s="783">
        <v>1</v>
      </c>
      <c r="R778" s="772">
        <v>1</v>
      </c>
      <c r="S778" s="783">
        <v>0</v>
      </c>
      <c r="T778" s="772"/>
      <c r="U778" s="783">
        <v>3</v>
      </c>
      <c r="V778" s="772"/>
      <c r="W778" s="783">
        <v>0</v>
      </c>
      <c r="X778" s="772"/>
      <c r="Y778" s="783">
        <v>0.100283875976816</v>
      </c>
      <c r="Z778" s="772"/>
    </row>
    <row r="779" spans="1:26" s="753" customFormat="1">
      <c r="A779" s="756"/>
      <c r="B779" s="757"/>
      <c r="C779" s="758"/>
      <c r="D779" s="797" t="s">
        <v>10447</v>
      </c>
      <c r="E779" s="782"/>
      <c r="F779" s="794" t="s">
        <v>8718</v>
      </c>
      <c r="G779" s="981" t="s">
        <v>11617</v>
      </c>
      <c r="H779" s="772" t="s">
        <v>10423</v>
      </c>
      <c r="I779" s="783"/>
      <c r="J779" s="772"/>
      <c r="K779" s="981" t="s">
        <v>11689</v>
      </c>
      <c r="L779" s="772" t="s">
        <v>2000</v>
      </c>
      <c r="M779" s="783">
        <v>2</v>
      </c>
      <c r="N779" s="772">
        <v>2</v>
      </c>
      <c r="O779" s="783">
        <v>1</v>
      </c>
      <c r="P779" s="772">
        <v>1</v>
      </c>
      <c r="Q779" s="783">
        <v>1</v>
      </c>
      <c r="R779" s="772">
        <v>1</v>
      </c>
      <c r="S779" s="783">
        <v>0</v>
      </c>
      <c r="T779" s="772"/>
      <c r="U779" s="783">
        <v>1000</v>
      </c>
      <c r="V779" s="772"/>
      <c r="W779" s="783">
        <v>0</v>
      </c>
      <c r="X779" s="772"/>
      <c r="Y779" s="783">
        <v>0</v>
      </c>
      <c r="Z779" s="772"/>
    </row>
    <row r="780" spans="1:26" s="753" customFormat="1">
      <c r="A780" s="756"/>
      <c r="B780" s="757"/>
      <c r="C780" s="758"/>
      <c r="D780" s="797" t="s">
        <v>10447</v>
      </c>
      <c r="E780" s="782"/>
      <c r="F780" s="794" t="s">
        <v>8673</v>
      </c>
      <c r="G780" s="981" t="s">
        <v>11618</v>
      </c>
      <c r="H780" s="772" t="s">
        <v>10424</v>
      </c>
      <c r="I780" s="783"/>
      <c r="J780" s="772"/>
      <c r="K780" s="981" t="s">
        <v>11689</v>
      </c>
      <c r="L780" s="772" t="s">
        <v>2000</v>
      </c>
      <c r="M780" s="783">
        <v>2</v>
      </c>
      <c r="N780" s="772">
        <v>2</v>
      </c>
      <c r="O780" s="783">
        <v>1</v>
      </c>
      <c r="P780" s="772">
        <v>1</v>
      </c>
      <c r="Q780" s="783">
        <v>1</v>
      </c>
      <c r="R780" s="772">
        <v>1</v>
      </c>
      <c r="S780" s="783">
        <v>0</v>
      </c>
      <c r="T780" s="772"/>
      <c r="U780" s="783">
        <v>3</v>
      </c>
      <c r="V780" s="772"/>
      <c r="W780" s="783">
        <v>0</v>
      </c>
      <c r="X780" s="772"/>
      <c r="Y780" s="783">
        <v>0.689663602066374</v>
      </c>
      <c r="Z780" s="772"/>
    </row>
    <row r="781" spans="1:26" s="753" customFormat="1">
      <c r="A781" s="756"/>
      <c r="B781" s="757"/>
      <c r="C781" s="758"/>
      <c r="D781" s="797" t="s">
        <v>10447</v>
      </c>
      <c r="E781" s="782"/>
      <c r="F781" s="794" t="s">
        <v>8674</v>
      </c>
      <c r="G781" s="981" t="s">
        <v>11619</v>
      </c>
      <c r="H781" s="772" t="s">
        <v>10425</v>
      </c>
      <c r="I781" s="783"/>
      <c r="J781" s="772"/>
      <c r="K781" s="981" t="s">
        <v>11689</v>
      </c>
      <c r="L781" s="772" t="s">
        <v>2000</v>
      </c>
      <c r="M781" s="783">
        <v>2</v>
      </c>
      <c r="N781" s="772">
        <v>2</v>
      </c>
      <c r="O781" s="783">
        <v>1</v>
      </c>
      <c r="P781" s="772">
        <v>1</v>
      </c>
      <c r="Q781" s="783">
        <v>1</v>
      </c>
      <c r="R781" s="772">
        <v>1</v>
      </c>
      <c r="S781" s="783">
        <v>0</v>
      </c>
      <c r="T781" s="772"/>
      <c r="U781" s="783">
        <v>3</v>
      </c>
      <c r="V781" s="772"/>
      <c r="W781" s="783">
        <v>0</v>
      </c>
      <c r="X781" s="772"/>
      <c r="Y781" s="783">
        <v>0.68966504260549399</v>
      </c>
      <c r="Z781" s="772"/>
    </row>
    <row r="782" spans="1:26" s="753" customFormat="1">
      <c r="A782" s="756"/>
      <c r="B782" s="757"/>
      <c r="C782" s="758"/>
      <c r="D782" s="797" t="s">
        <v>10447</v>
      </c>
      <c r="E782" s="782"/>
      <c r="F782" s="794" t="s">
        <v>6447</v>
      </c>
      <c r="G782" s="981" t="s">
        <v>11620</v>
      </c>
      <c r="H782" s="772" t="s">
        <v>9452</v>
      </c>
      <c r="I782" s="981" t="s">
        <v>11620</v>
      </c>
      <c r="J782" s="772" t="s">
        <v>9452</v>
      </c>
      <c r="K782" s="981" t="s">
        <v>11689</v>
      </c>
      <c r="L782" s="772" t="s">
        <v>2000</v>
      </c>
      <c r="M782" s="783">
        <v>2</v>
      </c>
      <c r="N782" s="772">
        <v>2</v>
      </c>
      <c r="O782" s="783">
        <v>1</v>
      </c>
      <c r="P782" s="772">
        <v>1</v>
      </c>
      <c r="Q782" s="783">
        <v>1</v>
      </c>
      <c r="R782" s="772">
        <v>1</v>
      </c>
      <c r="S782" s="783">
        <v>0</v>
      </c>
      <c r="T782" s="772"/>
      <c r="U782" s="783">
        <v>30</v>
      </c>
      <c r="V782" s="772"/>
      <c r="W782" s="783">
        <v>0</v>
      </c>
      <c r="X782" s="772"/>
      <c r="Y782" s="783">
        <v>8.9432870059272709</v>
      </c>
      <c r="Z782" s="772"/>
    </row>
    <row r="783" spans="1:26" s="753" customFormat="1">
      <c r="A783" s="756"/>
      <c r="B783" s="757"/>
      <c r="C783" s="758"/>
      <c r="D783" s="797" t="s">
        <v>10447</v>
      </c>
      <c r="E783" s="782"/>
      <c r="F783" s="794" t="s">
        <v>6448</v>
      </c>
      <c r="G783" s="981" t="s">
        <v>11621</v>
      </c>
      <c r="H783" s="772" t="s">
        <v>9453</v>
      </c>
      <c r="I783" s="981" t="s">
        <v>11621</v>
      </c>
      <c r="J783" s="772" t="s">
        <v>9453</v>
      </c>
      <c r="K783" s="981" t="s">
        <v>11689</v>
      </c>
      <c r="L783" s="772" t="s">
        <v>2000</v>
      </c>
      <c r="M783" s="783">
        <v>2</v>
      </c>
      <c r="N783" s="772">
        <v>2</v>
      </c>
      <c r="O783" s="783">
        <v>1</v>
      </c>
      <c r="P783" s="772">
        <v>1</v>
      </c>
      <c r="Q783" s="783">
        <v>1</v>
      </c>
      <c r="R783" s="772">
        <v>1</v>
      </c>
      <c r="S783" s="783">
        <v>0</v>
      </c>
      <c r="T783" s="772"/>
      <c r="U783" s="783">
        <v>30</v>
      </c>
      <c r="V783" s="772"/>
      <c r="W783" s="783">
        <v>0</v>
      </c>
      <c r="X783" s="772"/>
      <c r="Y783" s="783">
        <v>8.9432730567444292</v>
      </c>
      <c r="Z783" s="772"/>
    </row>
    <row r="784" spans="1:26" s="753" customFormat="1">
      <c r="A784" s="756"/>
      <c r="B784" s="757"/>
      <c r="C784" s="758"/>
      <c r="D784" s="797" t="s">
        <v>10447</v>
      </c>
      <c r="E784" s="782"/>
      <c r="F784" s="794" t="s">
        <v>8728</v>
      </c>
      <c r="G784" s="981" t="s">
        <v>11622</v>
      </c>
      <c r="H784" s="772" t="s">
        <v>10426</v>
      </c>
      <c r="I784" s="783"/>
      <c r="J784" s="772"/>
      <c r="K784" s="981" t="s">
        <v>11689</v>
      </c>
      <c r="L784" s="772" t="s">
        <v>2000</v>
      </c>
      <c r="M784" s="783">
        <v>2</v>
      </c>
      <c r="N784" s="772">
        <v>2</v>
      </c>
      <c r="O784" s="783">
        <v>1</v>
      </c>
      <c r="P784" s="772">
        <v>1</v>
      </c>
      <c r="Q784" s="783">
        <v>1</v>
      </c>
      <c r="R784" s="772">
        <v>1</v>
      </c>
      <c r="S784" s="783">
        <v>-10</v>
      </c>
      <c r="T784" s="772"/>
      <c r="U784" s="783">
        <v>1000</v>
      </c>
      <c r="V784" s="772"/>
      <c r="W784" s="783">
        <v>0</v>
      </c>
      <c r="X784" s="772"/>
      <c r="Y784" s="783">
        <v>-0.87387725847353603</v>
      </c>
      <c r="Z784" s="772"/>
    </row>
    <row r="785" spans="1:26" s="753" customFormat="1">
      <c r="A785" s="756"/>
      <c r="B785" s="757"/>
      <c r="C785" s="758"/>
      <c r="D785" s="797" t="s">
        <v>10447</v>
      </c>
      <c r="E785" s="782"/>
      <c r="F785" s="794" t="s">
        <v>8760</v>
      </c>
      <c r="G785" s="981" t="s">
        <v>11623</v>
      </c>
      <c r="H785" s="772" t="s">
        <v>10427</v>
      </c>
      <c r="I785" s="783"/>
      <c r="J785" s="772"/>
      <c r="K785" s="981" t="s">
        <v>11689</v>
      </c>
      <c r="L785" s="772" t="s">
        <v>2000</v>
      </c>
      <c r="M785" s="783">
        <v>2</v>
      </c>
      <c r="N785" s="772">
        <v>2</v>
      </c>
      <c r="O785" s="783">
        <v>1</v>
      </c>
      <c r="P785" s="772">
        <v>1</v>
      </c>
      <c r="Q785" s="783">
        <v>1</v>
      </c>
      <c r="R785" s="772">
        <v>1</v>
      </c>
      <c r="S785" s="783">
        <v>-10</v>
      </c>
      <c r="T785" s="772"/>
      <c r="U785" s="783">
        <v>1000</v>
      </c>
      <c r="V785" s="772"/>
      <c r="W785" s="783">
        <v>0</v>
      </c>
      <c r="X785" s="772"/>
      <c r="Y785" s="783">
        <v>-0.87324610316976603</v>
      </c>
      <c r="Z785" s="772"/>
    </row>
    <row r="786" spans="1:26" s="753" customFormat="1">
      <c r="A786" s="756"/>
      <c r="B786" s="757"/>
      <c r="C786" s="758"/>
      <c r="D786" s="797" t="s">
        <v>10447</v>
      </c>
      <c r="E786" s="782"/>
      <c r="F786" s="794" t="s">
        <v>8776</v>
      </c>
      <c r="G786" s="981" t="s">
        <v>11624</v>
      </c>
      <c r="H786" s="772" t="s">
        <v>10428</v>
      </c>
      <c r="I786" s="783"/>
      <c r="J786" s="772"/>
      <c r="K786" s="981" t="s">
        <v>11689</v>
      </c>
      <c r="L786" s="772" t="s">
        <v>2000</v>
      </c>
      <c r="M786" s="783">
        <v>2</v>
      </c>
      <c r="N786" s="772">
        <v>2</v>
      </c>
      <c r="O786" s="783">
        <v>1</v>
      </c>
      <c r="P786" s="772">
        <v>1</v>
      </c>
      <c r="Q786" s="783">
        <v>1</v>
      </c>
      <c r="R786" s="772">
        <v>1</v>
      </c>
      <c r="S786" s="783">
        <v>-10</v>
      </c>
      <c r="T786" s="772"/>
      <c r="U786" s="783">
        <v>1000</v>
      </c>
      <c r="V786" s="772"/>
      <c r="W786" s="783">
        <v>0</v>
      </c>
      <c r="X786" s="772"/>
      <c r="Y786" s="783">
        <v>9.8554447025827205E-2</v>
      </c>
      <c r="Z786" s="772"/>
    </row>
    <row r="787" spans="1:26" s="753" customFormat="1">
      <c r="A787" s="756"/>
      <c r="B787" s="757"/>
      <c r="C787" s="758"/>
      <c r="D787" s="797" t="s">
        <v>10447</v>
      </c>
      <c r="E787" s="782"/>
      <c r="F787" s="794" t="s">
        <v>8733</v>
      </c>
      <c r="G787" s="981" t="s">
        <v>11625</v>
      </c>
      <c r="H787" s="772" t="s">
        <v>10429</v>
      </c>
      <c r="I787" s="783"/>
      <c r="J787" s="772"/>
      <c r="K787" s="981" t="s">
        <v>11689</v>
      </c>
      <c r="L787" s="772" t="s">
        <v>2000</v>
      </c>
      <c r="M787" s="783">
        <v>2</v>
      </c>
      <c r="N787" s="772">
        <v>2</v>
      </c>
      <c r="O787" s="783">
        <v>1</v>
      </c>
      <c r="P787" s="772">
        <v>1</v>
      </c>
      <c r="Q787" s="783">
        <v>1</v>
      </c>
      <c r="R787" s="772">
        <v>1</v>
      </c>
      <c r="S787" s="783">
        <v>-10</v>
      </c>
      <c r="T787" s="772"/>
      <c r="U787" s="783">
        <v>1000</v>
      </c>
      <c r="V787" s="772"/>
      <c r="W787" s="783">
        <v>0</v>
      </c>
      <c r="X787" s="772"/>
      <c r="Y787" s="783">
        <v>-0.34367353704821302</v>
      </c>
      <c r="Z787" s="772"/>
    </row>
    <row r="788" spans="1:26" s="753" customFormat="1">
      <c r="A788" s="756"/>
      <c r="B788" s="757"/>
      <c r="C788" s="758"/>
      <c r="D788" s="797" t="s">
        <v>10447</v>
      </c>
      <c r="E788" s="782"/>
      <c r="F788" s="794" t="s">
        <v>8769</v>
      </c>
      <c r="G788" s="981" t="s">
        <v>11626</v>
      </c>
      <c r="H788" s="772" t="s">
        <v>10430</v>
      </c>
      <c r="I788" s="783"/>
      <c r="J788" s="772"/>
      <c r="K788" s="981" t="s">
        <v>11689</v>
      </c>
      <c r="L788" s="772" t="s">
        <v>2000</v>
      </c>
      <c r="M788" s="783">
        <v>2</v>
      </c>
      <c r="N788" s="772">
        <v>2</v>
      </c>
      <c r="O788" s="783">
        <v>1</v>
      </c>
      <c r="P788" s="772">
        <v>1</v>
      </c>
      <c r="Q788" s="783">
        <v>1</v>
      </c>
      <c r="R788" s="772">
        <v>1</v>
      </c>
      <c r="S788" s="783">
        <v>-10</v>
      </c>
      <c r="T788" s="772"/>
      <c r="U788" s="783">
        <v>1000</v>
      </c>
      <c r="V788" s="772"/>
      <c r="W788" s="783">
        <v>0</v>
      </c>
      <c r="X788" s="772"/>
      <c r="Y788" s="783">
        <v>-0.338234549099869</v>
      </c>
      <c r="Z788" s="772"/>
    </row>
    <row r="789" spans="1:26" s="753" customFormat="1">
      <c r="A789" s="756"/>
      <c r="B789" s="757"/>
      <c r="C789" s="758"/>
      <c r="D789" s="797" t="s">
        <v>10447</v>
      </c>
      <c r="E789" s="782"/>
      <c r="F789" s="794" t="s">
        <v>8805</v>
      </c>
      <c r="G789" s="981" t="s">
        <v>11627</v>
      </c>
      <c r="H789" s="772" t="s">
        <v>10431</v>
      </c>
      <c r="I789" s="783"/>
      <c r="J789" s="772"/>
      <c r="K789" s="981" t="s">
        <v>11689</v>
      </c>
      <c r="L789" s="772" t="s">
        <v>2000</v>
      </c>
      <c r="M789" s="783">
        <v>2</v>
      </c>
      <c r="N789" s="772">
        <v>2</v>
      </c>
      <c r="O789" s="783">
        <v>1</v>
      </c>
      <c r="P789" s="772">
        <v>1</v>
      </c>
      <c r="Q789" s="783">
        <v>1</v>
      </c>
      <c r="R789" s="772">
        <v>1</v>
      </c>
      <c r="S789" s="783">
        <v>-10</v>
      </c>
      <c r="T789" s="772"/>
      <c r="U789" s="783">
        <v>1000</v>
      </c>
      <c r="V789" s="772"/>
      <c r="W789" s="783">
        <v>0</v>
      </c>
      <c r="X789" s="772"/>
      <c r="Y789" s="783">
        <v>-9.70354195895477E-2</v>
      </c>
      <c r="Z789" s="772"/>
    </row>
    <row r="790" spans="1:26" s="753" customFormat="1">
      <c r="A790" s="756"/>
      <c r="B790" s="757"/>
      <c r="C790" s="758"/>
      <c r="D790" s="797" t="s">
        <v>10447</v>
      </c>
      <c r="E790" s="782"/>
      <c r="F790" s="794" t="s">
        <v>9245</v>
      </c>
      <c r="G790" s="981" t="s">
        <v>11628</v>
      </c>
      <c r="H790" s="772" t="s">
        <v>9374</v>
      </c>
      <c r="I790" s="783"/>
      <c r="J790" s="772"/>
      <c r="K790" s="981" t="s">
        <v>11689</v>
      </c>
      <c r="L790" s="772" t="s">
        <v>2000</v>
      </c>
      <c r="M790" s="783">
        <v>2</v>
      </c>
      <c r="N790" s="772">
        <v>2</v>
      </c>
      <c r="O790" s="783">
        <v>1</v>
      </c>
      <c r="P790" s="772">
        <v>1</v>
      </c>
      <c r="Q790" s="783">
        <v>1</v>
      </c>
      <c r="R790" s="772">
        <v>1</v>
      </c>
      <c r="S790" s="783">
        <v>-10</v>
      </c>
      <c r="T790" s="772"/>
      <c r="U790" s="783">
        <v>1000</v>
      </c>
      <c r="V790" s="772"/>
      <c r="W790" s="783">
        <v>0</v>
      </c>
      <c r="X790" s="772"/>
      <c r="Y790" s="783">
        <v>-0.82714815292271504</v>
      </c>
      <c r="Z790" s="772"/>
    </row>
    <row r="791" spans="1:26" s="753" customFormat="1">
      <c r="A791" s="756"/>
      <c r="B791" s="757"/>
      <c r="C791" s="758"/>
      <c r="D791" s="797" t="s">
        <v>10447</v>
      </c>
      <c r="E791" s="782"/>
      <c r="F791" s="794" t="s">
        <v>9326</v>
      </c>
      <c r="G791" s="981" t="s">
        <v>11629</v>
      </c>
      <c r="H791" s="772" t="s">
        <v>10432</v>
      </c>
      <c r="I791" s="783"/>
      <c r="J791" s="772"/>
      <c r="K791" s="981" t="s">
        <v>11689</v>
      </c>
      <c r="L791" s="772" t="s">
        <v>2000</v>
      </c>
      <c r="M791" s="783">
        <v>2</v>
      </c>
      <c r="N791" s="772">
        <v>2</v>
      </c>
      <c r="O791" s="783">
        <v>1</v>
      </c>
      <c r="P791" s="772">
        <v>1</v>
      </c>
      <c r="Q791" s="783">
        <v>1</v>
      </c>
      <c r="R791" s="772">
        <v>1</v>
      </c>
      <c r="S791" s="783">
        <v>-10</v>
      </c>
      <c r="T791" s="772"/>
      <c r="U791" s="783">
        <v>1000</v>
      </c>
      <c r="V791" s="772"/>
      <c r="W791" s="783">
        <v>0</v>
      </c>
      <c r="X791" s="772"/>
      <c r="Y791" s="783">
        <v>-0.82714815292271504</v>
      </c>
      <c r="Z791" s="772"/>
    </row>
    <row r="792" spans="1:26" s="753" customFormat="1">
      <c r="A792" s="756"/>
      <c r="B792" s="757"/>
      <c r="C792" s="758"/>
      <c r="D792" s="797" t="s">
        <v>10447</v>
      </c>
      <c r="E792" s="782"/>
      <c r="F792" s="794" t="s">
        <v>8802</v>
      </c>
      <c r="G792" s="981" t="s">
        <v>11630</v>
      </c>
      <c r="H792" s="772" t="s">
        <v>10433</v>
      </c>
      <c r="I792" s="783"/>
      <c r="J792" s="772"/>
      <c r="K792" s="981" t="s">
        <v>11689</v>
      </c>
      <c r="L792" s="772" t="s">
        <v>2000</v>
      </c>
      <c r="M792" s="783">
        <v>2</v>
      </c>
      <c r="N792" s="772">
        <v>2</v>
      </c>
      <c r="O792" s="783">
        <v>1</v>
      </c>
      <c r="P792" s="772">
        <v>1</v>
      </c>
      <c r="Q792" s="783">
        <v>1</v>
      </c>
      <c r="R792" s="772">
        <v>1</v>
      </c>
      <c r="S792" s="783">
        <v>-10</v>
      </c>
      <c r="T792" s="772"/>
      <c r="U792" s="783">
        <v>1000</v>
      </c>
      <c r="V792" s="772"/>
      <c r="W792" s="783">
        <v>0</v>
      </c>
      <c r="X792" s="772"/>
      <c r="Y792" s="783">
        <v>2.4914518525423701</v>
      </c>
      <c r="Z792" s="772"/>
    </row>
    <row r="793" spans="1:26" s="753" customFormat="1">
      <c r="A793" s="756"/>
      <c r="B793" s="757"/>
      <c r="C793" s="758"/>
      <c r="D793" s="797" t="s">
        <v>10447</v>
      </c>
      <c r="E793" s="782"/>
      <c r="F793" s="794" t="s">
        <v>8675</v>
      </c>
      <c r="G793" s="981" t="s">
        <v>11631</v>
      </c>
      <c r="H793" s="772" t="s">
        <v>10434</v>
      </c>
      <c r="I793" s="783"/>
      <c r="J793" s="772"/>
      <c r="K793" s="981" t="s">
        <v>11689</v>
      </c>
      <c r="L793" s="772" t="s">
        <v>2000</v>
      </c>
      <c r="M793" s="783">
        <v>2</v>
      </c>
      <c r="N793" s="772">
        <v>2</v>
      </c>
      <c r="O793" s="783">
        <v>1</v>
      </c>
      <c r="P793" s="772">
        <v>1</v>
      </c>
      <c r="Q793" s="783">
        <v>1</v>
      </c>
      <c r="R793" s="772">
        <v>1</v>
      </c>
      <c r="S793" s="783">
        <v>-10</v>
      </c>
      <c r="T793" s="772"/>
      <c r="U793" s="783">
        <v>3</v>
      </c>
      <c r="V793" s="772"/>
      <c r="W793" s="783">
        <v>0</v>
      </c>
      <c r="X793" s="772"/>
      <c r="Y793" s="783">
        <v>0.89</v>
      </c>
      <c r="Z793" s="772"/>
    </row>
    <row r="794" spans="1:26" s="753" customFormat="1">
      <c r="A794" s="756"/>
      <c r="B794" s="757"/>
      <c r="C794" s="758"/>
      <c r="D794" s="797" t="s">
        <v>10447</v>
      </c>
      <c r="E794" s="782"/>
      <c r="F794" s="794" t="s">
        <v>8720</v>
      </c>
      <c r="G794" s="981" t="s">
        <v>11632</v>
      </c>
      <c r="H794" s="772" t="s">
        <v>10435</v>
      </c>
      <c r="I794" s="783"/>
      <c r="J794" s="772"/>
      <c r="K794" s="981" t="s">
        <v>11689</v>
      </c>
      <c r="L794" s="772" t="s">
        <v>2000</v>
      </c>
      <c r="M794" s="783">
        <v>2</v>
      </c>
      <c r="N794" s="772">
        <v>2</v>
      </c>
      <c r="O794" s="783">
        <v>1</v>
      </c>
      <c r="P794" s="772">
        <v>1</v>
      </c>
      <c r="Q794" s="783">
        <v>1</v>
      </c>
      <c r="R794" s="772">
        <v>1</v>
      </c>
      <c r="S794" s="783">
        <v>0</v>
      </c>
      <c r="T794" s="772"/>
      <c r="U794" s="783">
        <v>1000</v>
      </c>
      <c r="V794" s="772"/>
      <c r="W794" s="783">
        <v>0</v>
      </c>
      <c r="X794" s="772"/>
      <c r="Y794" s="783">
        <v>8.0040413931661902</v>
      </c>
      <c r="Z794" s="772"/>
    </row>
    <row r="795" spans="1:26" s="753" customFormat="1">
      <c r="A795" s="756"/>
      <c r="B795" s="757"/>
      <c r="C795" s="758"/>
      <c r="D795" s="797" t="s">
        <v>10447</v>
      </c>
      <c r="E795" s="782"/>
      <c r="F795" s="794" t="s">
        <v>8778</v>
      </c>
      <c r="G795" s="981" t="s">
        <v>11633</v>
      </c>
      <c r="H795" s="772" t="s">
        <v>10436</v>
      </c>
      <c r="I795" s="783"/>
      <c r="J795" s="772"/>
      <c r="K795" s="981" t="s">
        <v>11689</v>
      </c>
      <c r="L795" s="772" t="s">
        <v>2000</v>
      </c>
      <c r="M795" s="783">
        <v>2</v>
      </c>
      <c r="N795" s="772">
        <v>2</v>
      </c>
      <c r="O795" s="783">
        <v>1</v>
      </c>
      <c r="P795" s="772">
        <v>1</v>
      </c>
      <c r="Q795" s="783">
        <v>1</v>
      </c>
      <c r="R795" s="772">
        <v>1</v>
      </c>
      <c r="S795" s="783">
        <v>0</v>
      </c>
      <c r="T795" s="772"/>
      <c r="U795" s="783">
        <v>1000</v>
      </c>
      <c r="V795" s="772"/>
      <c r="W795" s="783">
        <v>0</v>
      </c>
      <c r="X795" s="772"/>
      <c r="Y795" s="783">
        <v>8.0088908850652203</v>
      </c>
      <c r="Z795" s="772"/>
    </row>
    <row r="796" spans="1:26" s="753" customFormat="1">
      <c r="A796" s="756"/>
      <c r="B796" s="757"/>
      <c r="C796" s="758"/>
      <c r="D796" s="797" t="s">
        <v>10447</v>
      </c>
      <c r="E796" s="782"/>
      <c r="F796" s="794" t="s">
        <v>6342</v>
      </c>
      <c r="G796" s="981" t="s">
        <v>11634</v>
      </c>
      <c r="H796" s="772" t="s">
        <v>7909</v>
      </c>
      <c r="I796" s="981" t="s">
        <v>11634</v>
      </c>
      <c r="J796" s="772" t="s">
        <v>7909</v>
      </c>
      <c r="K796" s="981" t="s">
        <v>11689</v>
      </c>
      <c r="L796" s="772" t="s">
        <v>2000</v>
      </c>
      <c r="M796" s="783">
        <v>2</v>
      </c>
      <c r="N796" s="772">
        <v>2</v>
      </c>
      <c r="O796" s="783">
        <v>1</v>
      </c>
      <c r="P796" s="772">
        <v>1</v>
      </c>
      <c r="Q796" s="783">
        <v>1</v>
      </c>
      <c r="R796" s="772">
        <v>1</v>
      </c>
      <c r="S796" s="783">
        <v>0</v>
      </c>
      <c r="T796" s="772"/>
      <c r="U796" s="783">
        <v>100</v>
      </c>
      <c r="V796" s="772"/>
      <c r="W796" s="783">
        <v>0</v>
      </c>
      <c r="X796" s="772"/>
      <c r="Y796" s="783">
        <v>38.662395901529798</v>
      </c>
      <c r="Z796" s="772"/>
    </row>
    <row r="797" spans="1:26" s="753" customFormat="1">
      <c r="A797" s="756"/>
      <c r="B797" s="757"/>
      <c r="C797" s="758"/>
      <c r="D797" s="797" t="s">
        <v>10447</v>
      </c>
      <c r="E797" s="782"/>
      <c r="F797" s="794" t="s">
        <v>6343</v>
      </c>
      <c r="G797" s="981" t="s">
        <v>11635</v>
      </c>
      <c r="H797" s="772" t="s">
        <v>7910</v>
      </c>
      <c r="I797" s="981" t="s">
        <v>11635</v>
      </c>
      <c r="J797" s="772" t="s">
        <v>7910</v>
      </c>
      <c r="K797" s="981" t="s">
        <v>11689</v>
      </c>
      <c r="L797" s="772" t="s">
        <v>2000</v>
      </c>
      <c r="M797" s="783">
        <v>2</v>
      </c>
      <c r="N797" s="772">
        <v>2</v>
      </c>
      <c r="O797" s="783">
        <v>1</v>
      </c>
      <c r="P797" s="772">
        <v>1</v>
      </c>
      <c r="Q797" s="783">
        <v>1</v>
      </c>
      <c r="R797" s="772">
        <v>1</v>
      </c>
      <c r="S797" s="783">
        <v>0</v>
      </c>
      <c r="T797" s="772"/>
      <c r="U797" s="783">
        <v>100</v>
      </c>
      <c r="V797" s="772"/>
      <c r="W797" s="783">
        <v>0</v>
      </c>
      <c r="X797" s="772"/>
      <c r="Y797" s="783">
        <v>38.017707641275997</v>
      </c>
      <c r="Z797" s="772"/>
    </row>
    <row r="798" spans="1:26" s="753" customFormat="1">
      <c r="A798" s="756"/>
      <c r="B798" s="757"/>
      <c r="C798" s="758"/>
      <c r="D798" s="797" t="s">
        <v>10447</v>
      </c>
      <c r="E798" s="782"/>
      <c r="F798" s="794" t="s">
        <v>6344</v>
      </c>
      <c r="G798" s="981" t="s">
        <v>11636</v>
      </c>
      <c r="H798" s="772" t="s">
        <v>7911</v>
      </c>
      <c r="I798" s="981" t="s">
        <v>11636</v>
      </c>
      <c r="J798" s="772" t="s">
        <v>7911</v>
      </c>
      <c r="K798" s="981" t="s">
        <v>11689</v>
      </c>
      <c r="L798" s="772" t="s">
        <v>2000</v>
      </c>
      <c r="M798" s="783">
        <v>2</v>
      </c>
      <c r="N798" s="772">
        <v>2</v>
      </c>
      <c r="O798" s="783">
        <v>1</v>
      </c>
      <c r="P798" s="772">
        <v>1</v>
      </c>
      <c r="Q798" s="783">
        <v>1</v>
      </c>
      <c r="R798" s="772">
        <v>1</v>
      </c>
      <c r="S798" s="783">
        <v>0</v>
      </c>
      <c r="T798" s="772"/>
      <c r="U798" s="783">
        <v>100</v>
      </c>
      <c r="V798" s="772"/>
      <c r="W798" s="783">
        <v>0</v>
      </c>
      <c r="X798" s="772"/>
      <c r="Y798" s="783">
        <v>35.365619198392999</v>
      </c>
      <c r="Z798" s="772"/>
    </row>
    <row r="799" spans="1:26" s="753" customFormat="1">
      <c r="A799" s="756"/>
      <c r="B799" s="757"/>
      <c r="C799" s="758"/>
      <c r="D799" s="797" t="s">
        <v>10447</v>
      </c>
      <c r="E799" s="782"/>
      <c r="F799" s="794" t="s">
        <v>6345</v>
      </c>
      <c r="G799" s="981" t="s">
        <v>11637</v>
      </c>
      <c r="H799" s="772" t="s">
        <v>7912</v>
      </c>
      <c r="I799" s="981" t="s">
        <v>11637</v>
      </c>
      <c r="J799" s="772" t="s">
        <v>7912</v>
      </c>
      <c r="K799" s="981" t="s">
        <v>11689</v>
      </c>
      <c r="L799" s="772" t="s">
        <v>2000</v>
      </c>
      <c r="M799" s="783">
        <v>2</v>
      </c>
      <c r="N799" s="772">
        <v>2</v>
      </c>
      <c r="O799" s="783">
        <v>1</v>
      </c>
      <c r="P799" s="772">
        <v>1</v>
      </c>
      <c r="Q799" s="783">
        <v>1</v>
      </c>
      <c r="R799" s="772">
        <v>1</v>
      </c>
      <c r="S799" s="783">
        <v>0</v>
      </c>
      <c r="T799" s="772"/>
      <c r="U799" s="783">
        <v>100</v>
      </c>
      <c r="V799" s="772"/>
      <c r="W799" s="783">
        <v>0</v>
      </c>
      <c r="X799" s="772"/>
      <c r="Y799" s="783">
        <v>28.123403899700801</v>
      </c>
      <c r="Z799" s="772"/>
    </row>
    <row r="800" spans="1:26" s="753" customFormat="1">
      <c r="A800" s="756"/>
      <c r="B800" s="757"/>
      <c r="C800" s="758"/>
      <c r="D800" s="797" t="s">
        <v>10447</v>
      </c>
      <c r="E800" s="782"/>
      <c r="F800" s="794" t="s">
        <v>8695</v>
      </c>
      <c r="G800" s="981" t="s">
        <v>11166</v>
      </c>
      <c r="H800" s="772" t="s">
        <v>3809</v>
      </c>
      <c r="I800" s="981" t="s">
        <v>11166</v>
      </c>
      <c r="J800" s="772" t="s">
        <v>3809</v>
      </c>
      <c r="K800" s="981" t="s">
        <v>11689</v>
      </c>
      <c r="L800" s="772" t="s">
        <v>2000</v>
      </c>
      <c r="M800" s="783">
        <v>2</v>
      </c>
      <c r="N800" s="772">
        <v>2</v>
      </c>
      <c r="O800" s="783">
        <v>1</v>
      </c>
      <c r="P800" s="772">
        <v>1</v>
      </c>
      <c r="Q800" s="783">
        <v>1</v>
      </c>
      <c r="R800" s="772">
        <v>1</v>
      </c>
      <c r="S800" s="783">
        <v>0</v>
      </c>
      <c r="T800" s="772"/>
      <c r="U800" s="783">
        <v>10</v>
      </c>
      <c r="V800" s="772"/>
      <c r="W800" s="783">
        <v>0</v>
      </c>
      <c r="X800" s="772"/>
      <c r="Y800" s="783">
        <v>5.7142646605286904</v>
      </c>
      <c r="Z800" s="772"/>
    </row>
    <row r="801" spans="1:26" s="753" customFormat="1">
      <c r="A801" s="756"/>
      <c r="B801" s="757"/>
      <c r="C801" s="758"/>
      <c r="D801" s="797" t="s">
        <v>10447</v>
      </c>
      <c r="E801" s="782"/>
      <c r="F801" s="794" t="s">
        <v>9049</v>
      </c>
      <c r="G801" s="981" t="s">
        <v>11638</v>
      </c>
      <c r="H801" s="772" t="s">
        <v>9345</v>
      </c>
      <c r="I801" s="783"/>
      <c r="J801" s="772"/>
      <c r="K801" s="981" t="s">
        <v>11676</v>
      </c>
      <c r="L801" s="772" t="s">
        <v>1535</v>
      </c>
      <c r="M801" s="783">
        <v>6</v>
      </c>
      <c r="N801" s="772">
        <v>6</v>
      </c>
      <c r="O801" s="783">
        <v>1</v>
      </c>
      <c r="P801" s="772">
        <v>1</v>
      </c>
      <c r="Q801" s="783">
        <v>1</v>
      </c>
      <c r="R801" s="772">
        <v>1</v>
      </c>
      <c r="S801" s="783">
        <v>0</v>
      </c>
      <c r="T801" s="772"/>
      <c r="U801" s="783">
        <v>200</v>
      </c>
      <c r="V801" s="772"/>
      <c r="W801" s="783">
        <v>0</v>
      </c>
      <c r="X801" s="772"/>
      <c r="Y801" s="783">
        <v>99.999996710580504</v>
      </c>
      <c r="Z801" s="772"/>
    </row>
    <row r="802" spans="1:26" s="753" customFormat="1">
      <c r="A802" s="756"/>
      <c r="B802" s="757"/>
      <c r="C802" s="758"/>
      <c r="D802" s="797" t="s">
        <v>10447</v>
      </c>
      <c r="E802" s="782"/>
      <c r="F802" s="794" t="s">
        <v>6446</v>
      </c>
      <c r="G802" s="981" t="s">
        <v>11639</v>
      </c>
      <c r="H802" s="772" t="s">
        <v>9450</v>
      </c>
      <c r="I802" s="981" t="s">
        <v>11639</v>
      </c>
      <c r="J802" s="772" t="s">
        <v>9450</v>
      </c>
      <c r="K802" s="981" t="s">
        <v>11676</v>
      </c>
      <c r="L802" s="772" t="s">
        <v>1535</v>
      </c>
      <c r="M802" s="783">
        <v>6</v>
      </c>
      <c r="N802" s="772">
        <v>6</v>
      </c>
      <c r="O802" s="783">
        <v>1</v>
      </c>
      <c r="P802" s="772">
        <v>1</v>
      </c>
      <c r="Q802" s="783">
        <v>1</v>
      </c>
      <c r="R802" s="772">
        <v>1</v>
      </c>
      <c r="S802" s="783">
        <v>0</v>
      </c>
      <c r="T802" s="772"/>
      <c r="U802" s="783">
        <v>150</v>
      </c>
      <c r="V802" s="772"/>
      <c r="W802" s="783">
        <v>0</v>
      </c>
      <c r="X802" s="772"/>
      <c r="Y802" s="783">
        <v>46.0634703607776</v>
      </c>
      <c r="Z802" s="772"/>
    </row>
    <row r="803" spans="1:26" s="753" customFormat="1">
      <c r="A803" s="756"/>
      <c r="B803" s="757"/>
      <c r="C803" s="758"/>
      <c r="D803" s="797" t="s">
        <v>10447</v>
      </c>
      <c r="E803" s="782"/>
      <c r="F803" s="794" t="s">
        <v>7947</v>
      </c>
      <c r="G803" s="981" t="s">
        <v>11640</v>
      </c>
      <c r="H803" s="772" t="s">
        <v>6246</v>
      </c>
      <c r="I803" s="783"/>
      <c r="J803" s="772"/>
      <c r="K803" s="981" t="s">
        <v>11676</v>
      </c>
      <c r="L803" s="772" t="s">
        <v>1535</v>
      </c>
      <c r="M803" s="783">
        <v>6</v>
      </c>
      <c r="N803" s="772">
        <v>6</v>
      </c>
      <c r="O803" s="783">
        <v>1</v>
      </c>
      <c r="P803" s="772">
        <v>1</v>
      </c>
      <c r="Q803" s="783">
        <v>1</v>
      </c>
      <c r="R803" s="772">
        <v>1</v>
      </c>
      <c r="S803" s="783">
        <v>0</v>
      </c>
      <c r="T803" s="772"/>
      <c r="U803" s="783">
        <v>500</v>
      </c>
      <c r="V803" s="772"/>
      <c r="W803" s="783">
        <v>0</v>
      </c>
      <c r="X803" s="772"/>
      <c r="Y803" s="783">
        <v>222.51339282913199</v>
      </c>
      <c r="Z803" s="772"/>
    </row>
    <row r="804" spans="1:26" s="753" customFormat="1">
      <c r="A804" s="756"/>
      <c r="B804" s="757"/>
      <c r="C804" s="758"/>
      <c r="D804" s="797" t="s">
        <v>10447</v>
      </c>
      <c r="E804" s="782"/>
      <c r="F804" s="794" t="s">
        <v>8688</v>
      </c>
      <c r="G804" s="981" t="s">
        <v>11641</v>
      </c>
      <c r="H804" s="772" t="s">
        <v>10437</v>
      </c>
      <c r="I804" s="783"/>
      <c r="J804" s="772"/>
      <c r="K804" s="981" t="s">
        <v>11676</v>
      </c>
      <c r="L804" s="772" t="s">
        <v>1535</v>
      </c>
      <c r="M804" s="783">
        <v>6</v>
      </c>
      <c r="N804" s="772">
        <v>6</v>
      </c>
      <c r="O804" s="783">
        <v>1</v>
      </c>
      <c r="P804" s="772">
        <v>1</v>
      </c>
      <c r="Q804" s="783">
        <v>1</v>
      </c>
      <c r="R804" s="772">
        <v>1</v>
      </c>
      <c r="S804" s="783">
        <v>0</v>
      </c>
      <c r="T804" s="772"/>
      <c r="U804" s="783">
        <v>300</v>
      </c>
      <c r="V804" s="772"/>
      <c r="W804" s="783">
        <v>0</v>
      </c>
      <c r="X804" s="772"/>
      <c r="Y804" s="783">
        <v>88.421992564064794</v>
      </c>
      <c r="Z804" s="772"/>
    </row>
    <row r="805" spans="1:26" s="753" customFormat="1">
      <c r="A805" s="756"/>
      <c r="B805" s="757"/>
      <c r="C805" s="758"/>
      <c r="D805" s="797" t="s">
        <v>10447</v>
      </c>
      <c r="E805" s="782"/>
      <c r="F805" s="794" t="s">
        <v>8729</v>
      </c>
      <c r="G805" s="981" t="s">
        <v>11117</v>
      </c>
      <c r="H805" s="772" t="s">
        <v>1634</v>
      </c>
      <c r="I805" s="981" t="s">
        <v>11117</v>
      </c>
      <c r="J805" s="772" t="s">
        <v>1634</v>
      </c>
      <c r="K805" s="981" t="s">
        <v>11676</v>
      </c>
      <c r="L805" s="772" t="s">
        <v>1535</v>
      </c>
      <c r="M805" s="783">
        <v>6</v>
      </c>
      <c r="N805" s="772">
        <v>6</v>
      </c>
      <c r="O805" s="783">
        <v>1</v>
      </c>
      <c r="P805" s="772">
        <v>1</v>
      </c>
      <c r="Q805" s="783">
        <v>1</v>
      </c>
      <c r="R805" s="772">
        <v>1</v>
      </c>
      <c r="S805" s="783">
        <v>-25</v>
      </c>
      <c r="T805" s="772"/>
      <c r="U805" s="783">
        <v>523</v>
      </c>
      <c r="V805" s="772"/>
      <c r="W805" s="783">
        <v>0</v>
      </c>
      <c r="X805" s="772"/>
      <c r="Y805" s="783">
        <v>52.46</v>
      </c>
      <c r="Z805" s="772"/>
    </row>
    <row r="806" spans="1:26" s="753" customFormat="1">
      <c r="A806" s="756"/>
      <c r="B806" s="757"/>
      <c r="C806" s="758"/>
      <c r="D806" s="797" t="s">
        <v>10447</v>
      </c>
      <c r="E806" s="782"/>
      <c r="F806" s="794" t="s">
        <v>8537</v>
      </c>
      <c r="G806" s="981" t="s">
        <v>11642</v>
      </c>
      <c r="H806" s="772" t="s">
        <v>8538</v>
      </c>
      <c r="I806" s="981" t="s">
        <v>11642</v>
      </c>
      <c r="J806" s="772" t="s">
        <v>8538</v>
      </c>
      <c r="K806" s="981" t="s">
        <v>11676</v>
      </c>
      <c r="L806" s="772" t="s">
        <v>1535</v>
      </c>
      <c r="M806" s="783">
        <v>6</v>
      </c>
      <c r="N806" s="772">
        <v>6</v>
      </c>
      <c r="O806" s="783">
        <v>1</v>
      </c>
      <c r="P806" s="772">
        <v>1</v>
      </c>
      <c r="Q806" s="783">
        <v>1</v>
      </c>
      <c r="R806" s="772">
        <v>1</v>
      </c>
      <c r="S806" s="783">
        <v>0</v>
      </c>
      <c r="T806" s="772"/>
      <c r="U806" s="783">
        <v>200</v>
      </c>
      <c r="V806" s="772"/>
      <c r="W806" s="783">
        <v>0</v>
      </c>
      <c r="X806" s="772"/>
      <c r="Y806" s="783">
        <v>121.59440234243201</v>
      </c>
      <c r="Z806" s="772"/>
    </row>
    <row r="807" spans="1:26" s="753" customFormat="1">
      <c r="A807" s="756"/>
      <c r="B807" s="757"/>
      <c r="C807" s="758"/>
      <c r="D807" s="797" t="s">
        <v>10447</v>
      </c>
      <c r="E807" s="782"/>
      <c r="F807" s="794" t="s">
        <v>8539</v>
      </c>
      <c r="G807" s="981" t="s">
        <v>11643</v>
      </c>
      <c r="H807" s="772" t="s">
        <v>8540</v>
      </c>
      <c r="I807" s="981" t="s">
        <v>11643</v>
      </c>
      <c r="J807" s="772" t="s">
        <v>8540</v>
      </c>
      <c r="K807" s="981" t="s">
        <v>11676</v>
      </c>
      <c r="L807" s="772" t="s">
        <v>1535</v>
      </c>
      <c r="M807" s="783">
        <v>6</v>
      </c>
      <c r="N807" s="772">
        <v>6</v>
      </c>
      <c r="O807" s="783">
        <v>1</v>
      </c>
      <c r="P807" s="772">
        <v>1</v>
      </c>
      <c r="Q807" s="783">
        <v>1</v>
      </c>
      <c r="R807" s="772">
        <v>1</v>
      </c>
      <c r="S807" s="783">
        <v>0</v>
      </c>
      <c r="T807" s="772"/>
      <c r="U807" s="783">
        <v>200</v>
      </c>
      <c r="V807" s="772"/>
      <c r="W807" s="783">
        <v>0</v>
      </c>
      <c r="X807" s="772"/>
      <c r="Y807" s="783">
        <v>121.594049998746</v>
      </c>
      <c r="Z807" s="772"/>
    </row>
    <row r="808" spans="1:26" s="753" customFormat="1">
      <c r="A808" s="756"/>
      <c r="B808" s="757"/>
      <c r="C808" s="758"/>
      <c r="D808" s="797" t="s">
        <v>10447</v>
      </c>
      <c r="E808" s="782"/>
      <c r="F808" s="794" t="s">
        <v>8762</v>
      </c>
      <c r="G808" s="981" t="s">
        <v>11644</v>
      </c>
      <c r="H808" s="772" t="s">
        <v>10438</v>
      </c>
      <c r="I808" s="783"/>
      <c r="J808" s="772"/>
      <c r="K808" s="981" t="s">
        <v>11676</v>
      </c>
      <c r="L808" s="772" t="s">
        <v>1535</v>
      </c>
      <c r="M808" s="783">
        <v>6</v>
      </c>
      <c r="N808" s="772">
        <v>6</v>
      </c>
      <c r="O808" s="783">
        <v>1</v>
      </c>
      <c r="P808" s="772">
        <v>1</v>
      </c>
      <c r="Q808" s="783">
        <v>1</v>
      </c>
      <c r="R808" s="772">
        <v>1</v>
      </c>
      <c r="S808" s="783">
        <v>0</v>
      </c>
      <c r="T808" s="772"/>
      <c r="U808" s="783">
        <v>1000</v>
      </c>
      <c r="V808" s="772"/>
      <c r="W808" s="783">
        <v>0</v>
      </c>
      <c r="X808" s="772"/>
      <c r="Y808" s="783">
        <v>195.52728417832901</v>
      </c>
      <c r="Z808" s="772"/>
    </row>
    <row r="809" spans="1:26" s="753" customFormat="1">
      <c r="A809" s="756"/>
      <c r="B809" s="757"/>
      <c r="C809" s="758"/>
      <c r="D809" s="797" t="s">
        <v>10447</v>
      </c>
      <c r="E809" s="782"/>
      <c r="F809" s="794" t="s">
        <v>8731</v>
      </c>
      <c r="G809" s="981" t="s">
        <v>11645</v>
      </c>
      <c r="H809" s="772" t="s">
        <v>10439</v>
      </c>
      <c r="I809" s="783"/>
      <c r="J809" s="772"/>
      <c r="K809" s="981" t="s">
        <v>11676</v>
      </c>
      <c r="L809" s="772" t="s">
        <v>1535</v>
      </c>
      <c r="M809" s="783">
        <v>6</v>
      </c>
      <c r="N809" s="772">
        <v>6</v>
      </c>
      <c r="O809" s="783">
        <v>1</v>
      </c>
      <c r="P809" s="772">
        <v>1</v>
      </c>
      <c r="Q809" s="783">
        <v>1</v>
      </c>
      <c r="R809" s="772">
        <v>1</v>
      </c>
      <c r="S809" s="783">
        <v>0</v>
      </c>
      <c r="T809" s="772"/>
      <c r="U809" s="783">
        <v>1000</v>
      </c>
      <c r="V809" s="772"/>
      <c r="W809" s="783">
        <v>0</v>
      </c>
      <c r="X809" s="772"/>
      <c r="Y809" s="783">
        <v>263.59007489314803</v>
      </c>
      <c r="Z809" s="772"/>
    </row>
    <row r="810" spans="1:26" s="753" customFormat="1">
      <c r="A810" s="756"/>
      <c r="B810" s="757"/>
      <c r="C810" s="758"/>
      <c r="D810" s="797" t="s">
        <v>10447</v>
      </c>
      <c r="E810" s="782"/>
      <c r="F810" s="794" t="s">
        <v>8725</v>
      </c>
      <c r="G810" s="981" t="s">
        <v>11646</v>
      </c>
      <c r="H810" s="772" t="s">
        <v>10440</v>
      </c>
      <c r="I810" s="783"/>
      <c r="J810" s="772"/>
      <c r="K810" s="981" t="s">
        <v>11676</v>
      </c>
      <c r="L810" s="772" t="s">
        <v>1535</v>
      </c>
      <c r="M810" s="783">
        <v>6</v>
      </c>
      <c r="N810" s="772">
        <v>6</v>
      </c>
      <c r="O810" s="783">
        <v>1</v>
      </c>
      <c r="P810" s="772">
        <v>1</v>
      </c>
      <c r="Q810" s="783">
        <v>1</v>
      </c>
      <c r="R810" s="772">
        <v>1</v>
      </c>
      <c r="S810" s="783">
        <v>0</v>
      </c>
      <c r="T810" s="772"/>
      <c r="U810" s="783">
        <v>1000</v>
      </c>
      <c r="V810" s="772"/>
      <c r="W810" s="783">
        <v>0</v>
      </c>
      <c r="X810" s="772"/>
      <c r="Y810" s="783">
        <v>338.95157645980203</v>
      </c>
      <c r="Z810" s="772"/>
    </row>
    <row r="811" spans="1:26" s="753" customFormat="1">
      <c r="A811" s="756"/>
      <c r="B811" s="757"/>
      <c r="C811" s="758"/>
      <c r="D811" s="797" t="s">
        <v>10447</v>
      </c>
      <c r="E811" s="782"/>
      <c r="F811" s="794" t="s">
        <v>8759</v>
      </c>
      <c r="G811" s="981" t="s">
        <v>11647</v>
      </c>
      <c r="H811" s="772" t="s">
        <v>10441</v>
      </c>
      <c r="I811" s="783"/>
      <c r="J811" s="772"/>
      <c r="K811" s="981" t="s">
        <v>11676</v>
      </c>
      <c r="L811" s="772" t="s">
        <v>1535</v>
      </c>
      <c r="M811" s="783">
        <v>6</v>
      </c>
      <c r="N811" s="772">
        <v>6</v>
      </c>
      <c r="O811" s="783">
        <v>1</v>
      </c>
      <c r="P811" s="772">
        <v>1</v>
      </c>
      <c r="Q811" s="783">
        <v>1</v>
      </c>
      <c r="R811" s="772">
        <v>1</v>
      </c>
      <c r="S811" s="783">
        <v>0</v>
      </c>
      <c r="T811" s="772"/>
      <c r="U811" s="783">
        <v>1000</v>
      </c>
      <c r="V811" s="772"/>
      <c r="W811" s="783">
        <v>0</v>
      </c>
      <c r="X811" s="772"/>
      <c r="Y811" s="783">
        <v>166.39608069399799</v>
      </c>
      <c r="Z811" s="772"/>
    </row>
    <row r="812" spans="1:26" s="753" customFormat="1">
      <c r="A812" s="756"/>
      <c r="B812" s="757"/>
      <c r="C812" s="758"/>
      <c r="D812" s="797" t="s">
        <v>10447</v>
      </c>
      <c r="E812" s="782"/>
      <c r="F812" s="794" t="s">
        <v>8797</v>
      </c>
      <c r="G812" s="981" t="s">
        <v>11648</v>
      </c>
      <c r="H812" s="772" t="s">
        <v>10442</v>
      </c>
      <c r="I812" s="783"/>
      <c r="J812" s="772"/>
      <c r="K812" s="981" t="s">
        <v>11676</v>
      </c>
      <c r="L812" s="772" t="s">
        <v>1535</v>
      </c>
      <c r="M812" s="783">
        <v>6</v>
      </c>
      <c r="N812" s="772">
        <v>6</v>
      </c>
      <c r="O812" s="783">
        <v>1</v>
      </c>
      <c r="P812" s="772">
        <v>1</v>
      </c>
      <c r="Q812" s="783">
        <v>1</v>
      </c>
      <c r="R812" s="772">
        <v>1</v>
      </c>
      <c r="S812" s="783">
        <v>0</v>
      </c>
      <c r="T812" s="772"/>
      <c r="U812" s="783">
        <v>1000</v>
      </c>
      <c r="V812" s="772"/>
      <c r="W812" s="783">
        <v>0</v>
      </c>
      <c r="X812" s="772"/>
      <c r="Y812" s="783">
        <v>222.51142587151401</v>
      </c>
      <c r="Z812" s="772"/>
    </row>
    <row r="813" spans="1:26" s="753" customFormat="1">
      <c r="A813" s="756"/>
      <c r="B813" s="757"/>
      <c r="C813" s="758"/>
      <c r="D813" s="797" t="s">
        <v>10447</v>
      </c>
      <c r="E813" s="782"/>
      <c r="F813" s="794" t="s">
        <v>8789</v>
      </c>
      <c r="G813" s="981" t="s">
        <v>11649</v>
      </c>
      <c r="H813" s="772" t="s">
        <v>10443</v>
      </c>
      <c r="I813" s="783"/>
      <c r="J813" s="772"/>
      <c r="K813" s="981" t="s">
        <v>11676</v>
      </c>
      <c r="L813" s="772" t="s">
        <v>1535</v>
      </c>
      <c r="M813" s="783">
        <v>6</v>
      </c>
      <c r="N813" s="772">
        <v>6</v>
      </c>
      <c r="O813" s="783">
        <v>1</v>
      </c>
      <c r="P813" s="772">
        <v>1</v>
      </c>
      <c r="Q813" s="783">
        <v>1</v>
      </c>
      <c r="R813" s="772">
        <v>1</v>
      </c>
      <c r="S813" s="783">
        <v>0</v>
      </c>
      <c r="T813" s="772"/>
      <c r="U813" s="783">
        <v>1000</v>
      </c>
      <c r="V813" s="772"/>
      <c r="W813" s="783">
        <v>0</v>
      </c>
      <c r="X813" s="772"/>
      <c r="Y813" s="783">
        <v>222.51142587151401</v>
      </c>
      <c r="Z813" s="772"/>
    </row>
    <row r="814" spans="1:26" s="753" customFormat="1">
      <c r="A814" s="756"/>
      <c r="B814" s="757"/>
      <c r="C814" s="758"/>
      <c r="D814" s="797" t="s">
        <v>10447</v>
      </c>
      <c r="E814" s="782"/>
      <c r="F814" s="794" t="s">
        <v>6330</v>
      </c>
      <c r="G814" s="981" t="s">
        <v>11650</v>
      </c>
      <c r="H814" s="772" t="s">
        <v>10444</v>
      </c>
      <c r="I814" s="783"/>
      <c r="J814" s="772"/>
      <c r="K814" s="981" t="s">
        <v>11676</v>
      </c>
      <c r="L814" s="772" t="s">
        <v>1535</v>
      </c>
      <c r="M814" s="783">
        <v>6</v>
      </c>
      <c r="N814" s="772">
        <v>6</v>
      </c>
      <c r="O814" s="783">
        <v>1</v>
      </c>
      <c r="P814" s="772">
        <v>1</v>
      </c>
      <c r="Q814" s="783">
        <v>1</v>
      </c>
      <c r="R814" s="772">
        <v>1</v>
      </c>
      <c r="S814" s="783">
        <v>0</v>
      </c>
      <c r="T814" s="772"/>
      <c r="U814" s="783">
        <v>1000</v>
      </c>
      <c r="V814" s="772"/>
      <c r="W814" s="783">
        <v>0</v>
      </c>
      <c r="X814" s="772"/>
      <c r="Y814" s="783">
        <v>20.000667464360401</v>
      </c>
      <c r="Z814" s="772"/>
    </row>
    <row r="815" spans="1:26" s="753" customFormat="1">
      <c r="A815" s="756"/>
      <c r="B815" s="757"/>
      <c r="C815" s="758"/>
      <c r="D815" s="797" t="s">
        <v>10447</v>
      </c>
      <c r="E815" s="782"/>
      <c r="F815" s="794" t="s">
        <v>8715</v>
      </c>
      <c r="G815" s="981" t="s">
        <v>11651</v>
      </c>
      <c r="H815" s="772" t="s">
        <v>10445</v>
      </c>
      <c r="I815" s="783"/>
      <c r="J815" s="772"/>
      <c r="K815" s="981" t="s">
        <v>11676</v>
      </c>
      <c r="L815" s="772" t="s">
        <v>1535</v>
      </c>
      <c r="M815" s="783">
        <v>6</v>
      </c>
      <c r="N815" s="772">
        <v>6</v>
      </c>
      <c r="O815" s="783">
        <v>1</v>
      </c>
      <c r="P815" s="772">
        <v>1</v>
      </c>
      <c r="Q815" s="783">
        <v>1</v>
      </c>
      <c r="R815" s="772">
        <v>1</v>
      </c>
      <c r="S815" s="783">
        <v>0</v>
      </c>
      <c r="T815" s="772"/>
      <c r="U815" s="783">
        <v>1000</v>
      </c>
      <c r="V815" s="772"/>
      <c r="W815" s="783">
        <v>0</v>
      </c>
      <c r="X815" s="772"/>
      <c r="Y815" s="783">
        <v>34.1504689752121</v>
      </c>
      <c r="Z815" s="772"/>
    </row>
    <row r="816" spans="1:26" s="753" customFormat="1">
      <c r="A816" s="756"/>
      <c r="B816" s="757"/>
      <c r="C816" s="758"/>
      <c r="D816" s="797" t="s">
        <v>10447</v>
      </c>
      <c r="E816" s="782"/>
      <c r="F816" s="794" t="s">
        <v>6331</v>
      </c>
      <c r="G816" s="981" t="s">
        <v>11652</v>
      </c>
      <c r="H816" s="772" t="s">
        <v>10446</v>
      </c>
      <c r="I816" s="783"/>
      <c r="J816" s="772"/>
      <c r="K816" s="981" t="s">
        <v>11676</v>
      </c>
      <c r="L816" s="772" t="s">
        <v>1535</v>
      </c>
      <c r="M816" s="783">
        <v>6</v>
      </c>
      <c r="N816" s="772">
        <v>6</v>
      </c>
      <c r="O816" s="783">
        <v>1</v>
      </c>
      <c r="P816" s="772">
        <v>1</v>
      </c>
      <c r="Q816" s="783">
        <v>1</v>
      </c>
      <c r="R816" s="772">
        <v>1</v>
      </c>
      <c r="S816" s="783">
        <v>0</v>
      </c>
      <c r="T816" s="772"/>
      <c r="U816" s="783">
        <v>1000</v>
      </c>
      <c r="V816" s="772"/>
      <c r="W816" s="783">
        <v>0</v>
      </c>
      <c r="X816" s="772"/>
      <c r="Y816" s="783">
        <v>26.015013376772998</v>
      </c>
      <c r="Z816" s="772"/>
    </row>
    <row r="817" spans="1:26" s="753" customFormat="1">
      <c r="A817" s="756"/>
      <c r="B817" s="757"/>
      <c r="C817" s="758"/>
      <c r="D817" s="797" t="s">
        <v>10447</v>
      </c>
      <c r="E817" s="782"/>
      <c r="F817" s="794" t="s">
        <v>9463</v>
      </c>
      <c r="G817" s="981" t="s">
        <v>11653</v>
      </c>
      <c r="H817" s="772" t="s">
        <v>9439</v>
      </c>
      <c r="I817" s="981" t="s">
        <v>11653</v>
      </c>
      <c r="J817" s="772" t="s">
        <v>9439</v>
      </c>
      <c r="K817" s="981" t="s">
        <v>11689</v>
      </c>
      <c r="L817" s="772" t="s">
        <v>2000</v>
      </c>
      <c r="M817" s="783">
        <v>2</v>
      </c>
      <c r="N817" s="772">
        <v>2</v>
      </c>
      <c r="O817" s="783">
        <v>1</v>
      </c>
      <c r="P817" s="772">
        <v>1</v>
      </c>
      <c r="Q817" s="783">
        <v>1</v>
      </c>
      <c r="R817" s="772">
        <v>1</v>
      </c>
      <c r="S817" s="783">
        <v>0</v>
      </c>
      <c r="T817" s="772"/>
      <c r="U817" s="783">
        <v>1000</v>
      </c>
      <c r="V817" s="772"/>
      <c r="W817" s="783">
        <v>0</v>
      </c>
      <c r="X817" s="772"/>
      <c r="Y817" s="783">
        <v>4.9999891567337897</v>
      </c>
      <c r="Z817" s="772"/>
    </row>
    <row r="818" spans="1:26" s="753" customFormat="1">
      <c r="A818" s="756"/>
      <c r="B818" s="757"/>
      <c r="C818" s="758"/>
      <c r="D818" s="797" t="s">
        <v>10447</v>
      </c>
      <c r="E818" s="782"/>
      <c r="F818" s="794" t="s">
        <v>5862</v>
      </c>
      <c r="G818" s="981" t="s">
        <v>11654</v>
      </c>
      <c r="H818" s="772" t="s">
        <v>5918</v>
      </c>
      <c r="I818" s="981" t="s">
        <v>11654</v>
      </c>
      <c r="J818" s="772" t="s">
        <v>5918</v>
      </c>
      <c r="K818" s="981" t="s">
        <v>11689</v>
      </c>
      <c r="L818" s="772" t="s">
        <v>2000</v>
      </c>
      <c r="M818" s="783">
        <v>2</v>
      </c>
      <c r="N818" s="772">
        <v>2</v>
      </c>
      <c r="O818" s="783">
        <v>1</v>
      </c>
      <c r="P818" s="772">
        <v>1</v>
      </c>
      <c r="Q818" s="783">
        <v>1</v>
      </c>
      <c r="R818" s="772">
        <v>1</v>
      </c>
      <c r="S818" s="783">
        <v>0</v>
      </c>
      <c r="T818" s="772"/>
      <c r="U818" s="783">
        <v>10</v>
      </c>
      <c r="V818" s="772"/>
      <c r="W818" s="783">
        <v>0</v>
      </c>
      <c r="X818" s="772"/>
      <c r="Y818" s="783">
        <v>1.30000069735858</v>
      </c>
      <c r="Z818" s="772"/>
    </row>
    <row r="819" spans="1:26" s="753" customFormat="1">
      <c r="A819" s="756"/>
      <c r="B819" s="757"/>
      <c r="C819" s="758"/>
      <c r="D819" s="797" t="s">
        <v>10447</v>
      </c>
      <c r="E819" s="782"/>
      <c r="F819" s="794" t="s">
        <v>5863</v>
      </c>
      <c r="G819" s="981" t="s">
        <v>11655</v>
      </c>
      <c r="H819" s="772" t="s">
        <v>5919</v>
      </c>
      <c r="I819" s="981" t="s">
        <v>11655</v>
      </c>
      <c r="J819" s="772" t="s">
        <v>5919</v>
      </c>
      <c r="K819" s="981" t="s">
        <v>11689</v>
      </c>
      <c r="L819" s="772" t="s">
        <v>2000</v>
      </c>
      <c r="M819" s="783">
        <v>2</v>
      </c>
      <c r="N819" s="772">
        <v>2</v>
      </c>
      <c r="O819" s="783">
        <v>1</v>
      </c>
      <c r="P819" s="772">
        <v>1</v>
      </c>
      <c r="Q819" s="783">
        <v>1</v>
      </c>
      <c r="R819" s="772">
        <v>1</v>
      </c>
      <c r="S819" s="783">
        <v>0</v>
      </c>
      <c r="T819" s="772"/>
      <c r="U819" s="783">
        <v>10</v>
      </c>
      <c r="V819" s="772"/>
      <c r="W819" s="783">
        <v>0</v>
      </c>
      <c r="X819" s="772"/>
      <c r="Y819" s="783">
        <v>1.1999998968526999</v>
      </c>
      <c r="Z819" s="772"/>
    </row>
    <row r="820" spans="1:26" s="753" customFormat="1">
      <c r="A820" s="756"/>
      <c r="B820" s="757"/>
      <c r="C820" s="758"/>
      <c r="D820" s="797" t="s">
        <v>10447</v>
      </c>
      <c r="E820" s="782"/>
      <c r="F820" s="794" t="s">
        <v>6423</v>
      </c>
      <c r="G820" s="981" t="s">
        <v>11656</v>
      </c>
      <c r="H820" s="772" t="s">
        <v>9442</v>
      </c>
      <c r="I820" s="981" t="s">
        <v>11656</v>
      </c>
      <c r="J820" s="772" t="s">
        <v>9442</v>
      </c>
      <c r="K820" s="981" t="s">
        <v>11689</v>
      </c>
      <c r="L820" s="772" t="s">
        <v>2000</v>
      </c>
      <c r="M820" s="783">
        <v>2</v>
      </c>
      <c r="N820" s="772">
        <v>2</v>
      </c>
      <c r="O820" s="783">
        <v>1</v>
      </c>
      <c r="P820" s="772">
        <v>1</v>
      </c>
      <c r="Q820" s="783">
        <v>1</v>
      </c>
      <c r="R820" s="772">
        <v>1</v>
      </c>
      <c r="S820" s="783">
        <v>0</v>
      </c>
      <c r="T820" s="772"/>
      <c r="U820" s="783">
        <v>10</v>
      </c>
      <c r="V820" s="772"/>
      <c r="W820" s="783">
        <v>0</v>
      </c>
      <c r="X820" s="772"/>
      <c r="Y820" s="783">
        <v>2.0188347525943802</v>
      </c>
      <c r="Z820" s="772"/>
    </row>
    <row r="821" spans="1:26" s="753" customFormat="1">
      <c r="A821" s="756"/>
      <c r="B821" s="757"/>
      <c r="C821" s="758"/>
      <c r="D821" s="797" t="s">
        <v>10447</v>
      </c>
      <c r="E821" s="782"/>
      <c r="F821" s="794" t="s">
        <v>6424</v>
      </c>
      <c r="G821" s="981" t="s">
        <v>11657</v>
      </c>
      <c r="H821" s="772" t="s">
        <v>9441</v>
      </c>
      <c r="I821" s="981" t="s">
        <v>11657</v>
      </c>
      <c r="J821" s="772" t="s">
        <v>9441</v>
      </c>
      <c r="K821" s="981" t="s">
        <v>11689</v>
      </c>
      <c r="L821" s="772" t="s">
        <v>2000</v>
      </c>
      <c r="M821" s="783">
        <v>2</v>
      </c>
      <c r="N821" s="772">
        <v>2</v>
      </c>
      <c r="O821" s="783">
        <v>1</v>
      </c>
      <c r="P821" s="772">
        <v>1</v>
      </c>
      <c r="Q821" s="783">
        <v>1</v>
      </c>
      <c r="R821" s="772">
        <v>1</v>
      </c>
      <c r="S821" s="783">
        <v>0</v>
      </c>
      <c r="T821" s="772"/>
      <c r="U821" s="783">
        <v>10</v>
      </c>
      <c r="V821" s="772"/>
      <c r="W821" s="783">
        <v>0</v>
      </c>
      <c r="X821" s="772"/>
      <c r="Y821" s="783">
        <v>1.3999999976691999</v>
      </c>
      <c r="Z821" s="772"/>
    </row>
    <row r="822" spans="1:26" s="753" customFormat="1">
      <c r="A822" s="756"/>
      <c r="B822" s="757"/>
      <c r="C822" s="758"/>
      <c r="D822" s="797" t="s">
        <v>10447</v>
      </c>
      <c r="E822" s="782"/>
      <c r="F822" s="794" t="s">
        <v>6425</v>
      </c>
      <c r="G822" s="981" t="s">
        <v>11658</v>
      </c>
      <c r="H822" s="772" t="s">
        <v>9440</v>
      </c>
      <c r="I822" s="981" t="s">
        <v>11658</v>
      </c>
      <c r="J822" s="772" t="s">
        <v>9440</v>
      </c>
      <c r="K822" s="981" t="s">
        <v>11689</v>
      </c>
      <c r="L822" s="772" t="s">
        <v>2000</v>
      </c>
      <c r="M822" s="783">
        <v>2</v>
      </c>
      <c r="N822" s="772">
        <v>2</v>
      </c>
      <c r="O822" s="783">
        <v>1</v>
      </c>
      <c r="P822" s="772">
        <v>1</v>
      </c>
      <c r="Q822" s="783">
        <v>1</v>
      </c>
      <c r="R822" s="772">
        <v>1</v>
      </c>
      <c r="S822" s="783">
        <v>0</v>
      </c>
      <c r="T822" s="772"/>
      <c r="U822" s="783">
        <v>10</v>
      </c>
      <c r="V822" s="772"/>
      <c r="W822" s="783">
        <v>0</v>
      </c>
      <c r="X822" s="772"/>
      <c r="Y822" s="783">
        <v>1.20000017455832</v>
      </c>
      <c r="Z822" s="772"/>
    </row>
    <row r="823" spans="1:26" s="753" customFormat="1">
      <c r="A823" s="756"/>
      <c r="B823" s="757"/>
      <c r="C823" s="758"/>
      <c r="D823" s="797" t="s">
        <v>10447</v>
      </c>
      <c r="E823" s="782"/>
      <c r="F823" s="794" t="s">
        <v>5951</v>
      </c>
      <c r="G823" s="981" t="s">
        <v>11659</v>
      </c>
      <c r="H823" s="772" t="s">
        <v>5970</v>
      </c>
      <c r="I823" s="981" t="s">
        <v>11659</v>
      </c>
      <c r="J823" s="772" t="s">
        <v>5970</v>
      </c>
      <c r="K823" s="981" t="s">
        <v>11689</v>
      </c>
      <c r="L823" s="772" t="s">
        <v>2000</v>
      </c>
      <c r="M823" s="783">
        <v>2</v>
      </c>
      <c r="N823" s="772">
        <v>2</v>
      </c>
      <c r="O823" s="783">
        <v>1</v>
      </c>
      <c r="P823" s="772">
        <v>1</v>
      </c>
      <c r="Q823" s="783">
        <v>1</v>
      </c>
      <c r="R823" s="772">
        <v>1</v>
      </c>
      <c r="S823" s="783">
        <v>0</v>
      </c>
      <c r="T823" s="772"/>
      <c r="U823" s="783">
        <v>10</v>
      </c>
      <c r="V823" s="772"/>
      <c r="W823" s="783">
        <v>0</v>
      </c>
      <c r="X823" s="772"/>
      <c r="Y823" s="783">
        <v>0.60081562918084797</v>
      </c>
      <c r="Z823" s="772"/>
    </row>
    <row r="824" spans="1:26" s="753" customFormat="1">
      <c r="A824" s="756"/>
      <c r="B824" s="757"/>
      <c r="C824" s="758"/>
      <c r="D824" s="797" t="s">
        <v>10447</v>
      </c>
      <c r="E824" s="782"/>
      <c r="F824" s="794" t="s">
        <v>5952</v>
      </c>
      <c r="G824" s="981" t="s">
        <v>11660</v>
      </c>
      <c r="H824" s="772" t="s">
        <v>5971</v>
      </c>
      <c r="I824" s="981" t="s">
        <v>11660</v>
      </c>
      <c r="J824" s="772" t="s">
        <v>5971</v>
      </c>
      <c r="K824" s="981" t="s">
        <v>11689</v>
      </c>
      <c r="L824" s="772" t="s">
        <v>2000</v>
      </c>
      <c r="M824" s="783">
        <v>2</v>
      </c>
      <c r="N824" s="772">
        <v>2</v>
      </c>
      <c r="O824" s="783">
        <v>1</v>
      </c>
      <c r="P824" s="772">
        <v>1</v>
      </c>
      <c r="Q824" s="783">
        <v>1</v>
      </c>
      <c r="R824" s="772">
        <v>1</v>
      </c>
      <c r="S824" s="783">
        <v>0</v>
      </c>
      <c r="T824" s="772"/>
      <c r="U824" s="783">
        <v>10</v>
      </c>
      <c r="V824" s="772"/>
      <c r="W824" s="783">
        <v>0</v>
      </c>
      <c r="X824" s="772"/>
      <c r="Y824" s="783">
        <v>1.40000161309074</v>
      </c>
      <c r="Z824" s="772"/>
    </row>
    <row r="825" spans="1:26" s="753" customFormat="1">
      <c r="A825" s="756"/>
      <c r="B825" s="757"/>
      <c r="C825" s="758"/>
      <c r="D825" s="797" t="s">
        <v>10447</v>
      </c>
      <c r="E825" s="782"/>
      <c r="F825" s="794" t="s">
        <v>5953</v>
      </c>
      <c r="G825" s="981" t="s">
        <v>11661</v>
      </c>
      <c r="H825" s="772" t="s">
        <v>5972</v>
      </c>
      <c r="I825" s="981" t="s">
        <v>11661</v>
      </c>
      <c r="J825" s="772" t="s">
        <v>5972</v>
      </c>
      <c r="K825" s="981" t="s">
        <v>11689</v>
      </c>
      <c r="L825" s="772" t="s">
        <v>2000</v>
      </c>
      <c r="M825" s="783">
        <v>2</v>
      </c>
      <c r="N825" s="772">
        <v>2</v>
      </c>
      <c r="O825" s="783">
        <v>1</v>
      </c>
      <c r="P825" s="772">
        <v>1</v>
      </c>
      <c r="Q825" s="783">
        <v>1</v>
      </c>
      <c r="R825" s="772">
        <v>1</v>
      </c>
      <c r="S825" s="783">
        <v>0</v>
      </c>
      <c r="T825" s="772"/>
      <c r="U825" s="783">
        <v>10</v>
      </c>
      <c r="V825" s="772"/>
      <c r="W825" s="783">
        <v>0</v>
      </c>
      <c r="X825" s="772"/>
      <c r="Y825" s="783">
        <v>1.3000000039680399</v>
      </c>
      <c r="Z825" s="772"/>
    </row>
  </sheetData>
  <sheetProtection sheet="1" objects="1" scenarios="1" formatCells="0" formatColumns="0" formatRows="0" insertColumns="0" insertRows="0" insertHyperlinks="0" deleteColumns="0" deleteRows="0" sort="0" autoFilter="0" pivotTables="0"/>
  <sortState ref="A719:AB831">
    <sortCondition ref="F719:F831"/>
  </sortState>
  <dataConsolidate/>
  <mergeCells count="11">
    <mergeCell ref="S1:T1"/>
    <mergeCell ref="U1:V1"/>
    <mergeCell ref="W1:X1"/>
    <mergeCell ref="Y1:Z1"/>
    <mergeCell ref="G1:H1"/>
    <mergeCell ref="E3:F3"/>
    <mergeCell ref="K1:L1"/>
    <mergeCell ref="M1:N1"/>
    <mergeCell ref="O1:P1"/>
    <mergeCell ref="Q1:R1"/>
    <mergeCell ref="I1:J1"/>
  </mergeCells>
  <phoneticPr fontId="14" type="noConversion"/>
  <conditionalFormatting sqref="A1">
    <cfRule type="cellIs" dxfId="10198" priority="11783" stopIfTrue="1" operator="equal">
      <formula>"NOK"</formula>
    </cfRule>
  </conditionalFormatting>
  <conditionalFormatting sqref="G5:G226 I5:I226 K5:K226 Q5:Q226 O5:O226 M5:M226 U5:U226 W5:W226 S5:S226 G232:G254 I232:I254 K232:K254 Q232:Q254 O232:O254 U232:U254 W232:W254 S232:S254 G293:G335 I293:I335 K293:K335 Q293:Q335 O293:O335 M293:M335 U293:U335 W293:W335 S293:S335 M232:M250 M252:M254 Y5:Y825 Q358:Q825 I358:I825 W358:W825 S358:S825 K358:K825 G358:G825 M358:M825 O358:O825 U358:U825">
    <cfRule type="cellIs" dxfId="10197" priority="11782" stopIfTrue="1" operator="notEqual">
      <formula>H5</formula>
    </cfRule>
  </conditionalFormatting>
  <conditionalFormatting sqref="Y91 Q91:Q95 O91:O95 M91:M95 G91:G95 K91:K95 S91:S95 U91:U95 W91:W95 I91:I95">
    <cfRule type="cellIs" dxfId="10196" priority="11769" stopIfTrue="1" operator="notEqual">
      <formula>H91</formula>
    </cfRule>
  </conditionalFormatting>
  <conditionalFormatting sqref="Y140:Y178 Q140:Q178 O140:O178 M140:M178 G140:G178 K140:K178 S140:S178 U140:U178 I140:I178 W140:W178">
    <cfRule type="cellIs" dxfId="10195" priority="11768" stopIfTrue="1" operator="notEqual">
      <formula>H140</formula>
    </cfRule>
  </conditionalFormatting>
  <conditionalFormatting sqref="Y151:Y178 Q151:Q178 O151:O178 M151:M178 G151:G178 K151:K178 S151:S178 U151:U178 I151:I178 W151:W178">
    <cfRule type="cellIs" dxfId="10194" priority="11767" stopIfTrue="1" operator="notEqual">
      <formula>H151</formula>
    </cfRule>
  </conditionalFormatting>
  <conditionalFormatting sqref="Y179:Y181 Q179:Q181 O179:O181 M179:M181 G179:G181 K179:K181 S179:S181 U179:U181 W179:W181 I179:I181">
    <cfRule type="cellIs" dxfId="10193" priority="11766" stopIfTrue="1" operator="notEqual">
      <formula>H179</formula>
    </cfRule>
  </conditionalFormatting>
  <conditionalFormatting sqref="Q182 O182 M182 G182 K182 S182 U182 W182 I182 Y182">
    <cfRule type="cellIs" dxfId="10192" priority="11765" stopIfTrue="1" operator="notEqual">
      <formula>H182</formula>
    </cfRule>
  </conditionalFormatting>
  <conditionalFormatting sqref="Q186 O186 M186 G186 K186 S186 U186 I186 Y186 W186 Q188 Q194:Q195 Q197 O188 O194:O195 O197 M188 M194:M195 M197 G188 G194:G195 G197 K188 K194:K195 K197 S188 S194:S195 S197 U188 U194:U195 U197 I188 I194:I195 I197 Y188 Y194:Y195 Y197 W188 W194:W195 W197 Q190:Q192 O190:O192 M190:M192 G190:G192 K190:K192 S190:S192 U190:U192 I190:I192 Y190:Y192 W190:W192">
    <cfRule type="cellIs" dxfId="10191" priority="11758" stopIfTrue="1" operator="notEqual">
      <formula>H186</formula>
    </cfRule>
  </conditionalFormatting>
  <conditionalFormatting sqref="Q183 O183 M183 G183 K183 S183 U183 W183 I183 Y183">
    <cfRule type="cellIs" dxfId="10190" priority="11764" stopIfTrue="1" operator="notEqual">
      <formula>H183</formula>
    </cfRule>
  </conditionalFormatting>
  <conditionalFormatting sqref="Q196 Q198 O196 O198 M196 M198 G196 G198 K196 K198 S196 S198 U196 U198 I196 I198 Y187 Y189 Y193 Y196 Y198 W196 W198 Y184:Y185 Q184:Q194 O184:O194 M184:M194 G184:G194 K184:K194 S184:S194 U184:U194 I184:I194 W184:W194">
    <cfRule type="cellIs" dxfId="10189" priority="11763" stopIfTrue="1" operator="notEqual">
      <formula>H184</formula>
    </cfRule>
  </conditionalFormatting>
  <conditionalFormatting sqref="Q196 Q198 O196 O198 M196 M198 G196 G198 K196 K198 S196 S198 U196 U198 I196 I198 Y187 Y189 Y193 Y196 Y198 W196 W198 Y184:Y185 Q184:Q194 O184:O194 M184:M194 G184:G194 K184:K194 S184:S194 U184:U194 I184:I194 W184:W194">
    <cfRule type="cellIs" dxfId="10188" priority="11762" stopIfTrue="1" operator="notEqual">
      <formula>H184</formula>
    </cfRule>
  </conditionalFormatting>
  <conditionalFormatting sqref="Q186 O186 M186 G186 K186 S186 U186 I186 Y186 W186 Q188 Q194:Q195 Q197 O188 O194:O195 O197 M188 M194:M195 M197 G188 G194:G195 G197 K188 K194:K195 K197 S188 S194:S195 S197 U188 U194:U195 U197 I188 I194:I195 I197 Y188 Y194:Y195 Y197 W188 W194:W195 W197 Q190:Q192 O190:O192 M190:M192 G190:G192 K190:K192 S190:S192 U190:U192 I190:I192 Y190:Y192 W190:W192">
    <cfRule type="cellIs" dxfId="10187" priority="11761" stopIfTrue="1" operator="notEqual">
      <formula>H186</formula>
    </cfRule>
  </conditionalFormatting>
  <conditionalFormatting sqref="Q186 O186 M186 G186 K186 S186 U186 I186 Y186 W186 Q188 Q194:Q195 Q197 O188 O194:O195 O197 M188 M194:M195 M197 G188 G194:G195 G197 K188 K194:K195 K197 S188 S194:S195 S197 U188 U194:U195 U197 I188 I194:I195 I197 Y188 Y194:Y195 Y197 W188 W194:W195 W197 Q190:Q192 O190:O192 M190:M192 G190:G192 K190:K192 S190:S192 U190:U192 I190:I192 Y190:Y192 W190:W192">
    <cfRule type="cellIs" dxfId="10186" priority="11760" stopIfTrue="1" operator="notEqual">
      <formula>H186</formula>
    </cfRule>
  </conditionalFormatting>
  <conditionalFormatting sqref="Q186 O186 M186 G186 K186 S186 U186 I186 Y186 W186 Q188 Q194:Q195 Q197 O188 O194:O195 O197 M188 M194:M195 M197 G188 G194:G195 G197 K188 K194:K195 K197 S188 S194:S195 S197 U188 U194:U195 U197 I188 I194:I195 I197 Y188 Y194:Y195 Y197 W188 W194:W195 W197 Q190:Q192 O190:O192 M190:M192 G190:G192 K190:K192 S190:S192 U190:U192 I190:I192 Y190:Y192 W190:W192">
    <cfRule type="cellIs" dxfId="10185" priority="11759" stopIfTrue="1" operator="notEqual">
      <formula>H186</formula>
    </cfRule>
  </conditionalFormatting>
  <conditionalFormatting sqref="Q192 O192 M192 G192 K192 S192 U192 I192 Y192 W192">
    <cfRule type="cellIs" dxfId="10184" priority="11757" stopIfTrue="1" operator="notEqual">
      <formula>H192</formula>
    </cfRule>
  </conditionalFormatting>
  <conditionalFormatting sqref="Q192 O192 M192 G192 K192 S192 U192 I192 Y192 W192">
    <cfRule type="cellIs" dxfId="10183" priority="11756" stopIfTrue="1" operator="notEqual">
      <formula>H192</formula>
    </cfRule>
  </conditionalFormatting>
  <conditionalFormatting sqref="O160 M160 G160 K160 S160 U160 W160 I160 Y160 Q160">
    <cfRule type="cellIs" dxfId="10182" priority="11755" stopIfTrue="1" operator="notEqual">
      <formula>H160</formula>
    </cfRule>
  </conditionalFormatting>
  <conditionalFormatting sqref="Y199:Y200 O199:O202 M199:M202 G199:G202 K199:K202 S199:S202 U199:U202 W199:W202 I199:I202 Q199:Q202">
    <cfRule type="cellIs" dxfId="10181" priority="11754" stopIfTrue="1" operator="notEqual">
      <formula>H199</formula>
    </cfRule>
  </conditionalFormatting>
  <conditionalFormatting sqref="O201 M201 G201 K201 S201 U201 W201 I201 Y201 Q201">
    <cfRule type="cellIs" dxfId="10180" priority="11753" stopIfTrue="1" operator="notEqual">
      <formula>H201</formula>
    </cfRule>
  </conditionalFormatting>
  <conditionalFormatting sqref="Y202:Y203 O202:O204 M202:M204 G202:G204 K202:K204 S202:S204 U202:U204 W202:W204 I202:I204 Q202:Q204">
    <cfRule type="cellIs" dxfId="10179" priority="11752" stopIfTrue="1" operator="notEqual">
      <formula>H202</formula>
    </cfRule>
  </conditionalFormatting>
  <conditionalFormatting sqref="O204 M204 G204 K204 S204 U204 W204 I204 Y204 Q204">
    <cfRule type="cellIs" dxfId="10178" priority="11751" stopIfTrue="1" operator="notEqual">
      <formula>H204</formula>
    </cfRule>
  </conditionalFormatting>
  <conditionalFormatting sqref="O205 M205 G205 K205 S205 U205 W205 I205 Y205 Q205">
    <cfRule type="cellIs" dxfId="10177" priority="11750" stopIfTrue="1" operator="notEqual">
      <formula>H205</formula>
    </cfRule>
  </conditionalFormatting>
  <conditionalFormatting sqref="O205 M205 G205 K205 S205 U205 W205 I205 Y205 Q205">
    <cfRule type="cellIs" dxfId="10176" priority="11749" stopIfTrue="1" operator="notEqual">
      <formula>H205</formula>
    </cfRule>
  </conditionalFormatting>
  <conditionalFormatting sqref="Y206:Y207 O206:O207 M206:M207 G206:G207 K206:K207 S206:S207 U206:U207 W206:W207 I206:I207 Q206:Q207">
    <cfRule type="cellIs" dxfId="10175" priority="11748" stopIfTrue="1" operator="notEqual">
      <formula>H206</formula>
    </cfRule>
  </conditionalFormatting>
  <conditionalFormatting sqref="Y208:Y209 O208:O223 M208:M223 G208:G223 K208:K223 S208:S223 U208:U223 W208:W223 I208:I223 Q208:Q223">
    <cfRule type="cellIs" dxfId="10174" priority="11747" stopIfTrue="1" operator="notEqual">
      <formula>H208</formula>
    </cfRule>
  </conditionalFormatting>
  <conditionalFormatting sqref="O210 M210 G210 K210 S210 U210 W210 I210 Y210 Q210">
    <cfRule type="cellIs" dxfId="10173" priority="11746" stopIfTrue="1" operator="notEqual">
      <formula>H210</formula>
    </cfRule>
  </conditionalFormatting>
  <conditionalFormatting sqref="O211 M211 G211 K211 S211 U211 W211 I211 Y211 Q211">
    <cfRule type="cellIs" dxfId="10172" priority="11745" stopIfTrue="1" operator="notEqual">
      <formula>H211</formula>
    </cfRule>
  </conditionalFormatting>
  <conditionalFormatting sqref="O212 M212 G212 K212 S212 U212 W212 I212 Y212 Q212">
    <cfRule type="cellIs" dxfId="10171" priority="11744" stopIfTrue="1" operator="notEqual">
      <formula>H212</formula>
    </cfRule>
  </conditionalFormatting>
  <conditionalFormatting sqref="O213 M213 G213 K213 S213 U213 W213 I213 Y213 Q213">
    <cfRule type="cellIs" dxfId="10170" priority="11743" stopIfTrue="1" operator="notEqual">
      <formula>H213</formula>
    </cfRule>
  </conditionalFormatting>
  <conditionalFormatting sqref="O214 M214 G214 K214 S214 U214 W214 I214 Y214 Q214">
    <cfRule type="cellIs" dxfId="10169" priority="11742" stopIfTrue="1" operator="notEqual">
      <formula>H214</formula>
    </cfRule>
  </conditionalFormatting>
  <conditionalFormatting sqref="O215 M215 G215 K215 S215 U215 W215 I215 Y215 Q215">
    <cfRule type="cellIs" dxfId="10168" priority="11741" stopIfTrue="1" operator="notEqual">
      <formula>H215</formula>
    </cfRule>
  </conditionalFormatting>
  <conditionalFormatting sqref="O216 M216 G216 K216 S216 U216 W216 I216 Y216 Q216">
    <cfRule type="cellIs" dxfId="10167" priority="11740" stopIfTrue="1" operator="notEqual">
      <formula>H216</formula>
    </cfRule>
  </conditionalFormatting>
  <conditionalFormatting sqref="O217 M217 G217 K217 S217 U217 W217 I217 Y217 Q217">
    <cfRule type="cellIs" dxfId="10166" priority="11739" stopIfTrue="1" operator="notEqual">
      <formula>H217</formula>
    </cfRule>
  </conditionalFormatting>
  <conditionalFormatting sqref="O218 M218 G218 K218 S218 U218 W218 I218 Y218 Q218">
    <cfRule type="cellIs" dxfId="10165" priority="11738" stopIfTrue="1" operator="notEqual">
      <formula>H218</formula>
    </cfRule>
  </conditionalFormatting>
  <conditionalFormatting sqref="O219 M219 G219 K219 S219 U219 W219 I219 Y219 Q219">
    <cfRule type="cellIs" dxfId="10164" priority="11737" stopIfTrue="1" operator="notEqual">
      <formula>H219</formula>
    </cfRule>
  </conditionalFormatting>
  <conditionalFormatting sqref="O220:O221 M220:M221 G220:G221 K220:K221 S220:S221 U220:U221 W220:W221 I220:I221 Y220:Y221 Q220:Q221">
    <cfRule type="cellIs" dxfId="10163" priority="11736" stopIfTrue="1" operator="notEqual">
      <formula>H220</formula>
    </cfRule>
  </conditionalFormatting>
  <conditionalFormatting sqref="O222 M222 G222 K222 S222 U222 W222 I222 Y222 Q222">
    <cfRule type="cellIs" dxfId="10162" priority="11735" stopIfTrue="1" operator="notEqual">
      <formula>H222</formula>
    </cfRule>
  </conditionalFormatting>
  <conditionalFormatting sqref="O223 M223 G223 K223 S223 U223 W223 I223 Y223 Q223">
    <cfRule type="cellIs" dxfId="10161" priority="11734" stopIfTrue="1" operator="notEqual">
      <formula>H223</formula>
    </cfRule>
  </conditionalFormatting>
  <conditionalFormatting sqref="O224 M224 G224 K224 S224 U224 W224 I224 Y224 Q224">
    <cfRule type="cellIs" dxfId="10160" priority="11733" stopIfTrue="1" operator="notEqual">
      <formula>H224</formula>
    </cfRule>
  </conditionalFormatting>
  <conditionalFormatting sqref="O225 M225 G225 K225 S225 U225 W225 I225 Y225 Q225">
    <cfRule type="cellIs" dxfId="10159" priority="11732" stopIfTrue="1" operator="notEqual">
      <formula>H225</formula>
    </cfRule>
  </conditionalFormatting>
  <conditionalFormatting sqref="O226 M226 G226 K226 S226 U226 W226 I226 Y226 Q226">
    <cfRule type="cellIs" dxfId="10158" priority="11731" stopIfTrue="1" operator="notEqual">
      <formula>H226</formula>
    </cfRule>
  </conditionalFormatting>
  <conditionalFormatting sqref="O227 M227 G227 K227 S227 U227 W227 I227 Y227 Q227">
    <cfRule type="cellIs" dxfId="10157" priority="11730" stopIfTrue="1" operator="notEqual">
      <formula>H227</formula>
    </cfRule>
  </conditionalFormatting>
  <conditionalFormatting sqref="O228 M228 G228 K228 S228 U228 W228 I228 Y228 Q228">
    <cfRule type="cellIs" dxfId="10156" priority="11729" stopIfTrue="1" operator="notEqual">
      <formula>H228</formula>
    </cfRule>
  </conditionalFormatting>
  <conditionalFormatting sqref="O229 M229 G229 K229 S229 U229 W229 I229 Y229 Q229">
    <cfRule type="cellIs" dxfId="10155" priority="11728" stopIfTrue="1" operator="notEqual">
      <formula>H229</formula>
    </cfRule>
  </conditionalFormatting>
  <conditionalFormatting sqref="O230 M230 G230 K230 S230 U230 W230 I230 Y230 Q230">
    <cfRule type="cellIs" dxfId="10154" priority="11727" stopIfTrue="1" operator="notEqual">
      <formula>H230</formula>
    </cfRule>
  </conditionalFormatting>
  <conditionalFormatting sqref="O231 M231 G231 K231 S231 U231 W231 I231 Y231 Q231">
    <cfRule type="cellIs" dxfId="10153" priority="11726" stopIfTrue="1" operator="notEqual">
      <formula>H231</formula>
    </cfRule>
  </conditionalFormatting>
  <conditionalFormatting sqref="O232 M232 G232 K232 S232 U232 W232 I232 Y232 Q232">
    <cfRule type="cellIs" dxfId="10152" priority="11725" stopIfTrue="1" operator="notEqual">
      <formula>H232</formula>
    </cfRule>
  </conditionalFormatting>
  <conditionalFormatting sqref="O233 M233 G233 K233 S233 U233 W233 I233 Y233 Q233">
    <cfRule type="cellIs" dxfId="10151" priority="11724" stopIfTrue="1" operator="notEqual">
      <formula>H233</formula>
    </cfRule>
  </conditionalFormatting>
  <conditionalFormatting sqref="O234 M234 G234 K234 S234 U234 W234 I234 Y234 Q234">
    <cfRule type="cellIs" dxfId="10150" priority="11723" stopIfTrue="1" operator="notEqual">
      <formula>H234</formula>
    </cfRule>
  </conditionalFormatting>
  <conditionalFormatting sqref="Q221 O221 M221 G221 K221 S221 U221 I221 Y221 W221">
    <cfRule type="cellIs" dxfId="10149" priority="11721" stopIfTrue="1" operator="notEqual">
      <formula>H221</formula>
    </cfRule>
  </conditionalFormatting>
  <conditionalFormatting sqref="Q221 O221 M221 G221 K221 S221 U221 I221 Y221 W221">
    <cfRule type="cellIs" dxfId="10148" priority="11720" stopIfTrue="1" operator="notEqual">
      <formula>H221</formula>
    </cfRule>
  </conditionalFormatting>
  <conditionalFormatting sqref="Q221 O221 M221 G221 K221 S221 U221 I221 Y221 W221">
    <cfRule type="cellIs" dxfId="10147" priority="11719" stopIfTrue="1" operator="notEqual">
      <formula>H221</formula>
    </cfRule>
  </conditionalFormatting>
  <conditionalFormatting sqref="Q221 O221 M221 G221 K221 S221 U221 I221 Y221 W221">
    <cfRule type="cellIs" dxfId="10146" priority="11718" stopIfTrue="1" operator="notEqual">
      <formula>H221</formula>
    </cfRule>
  </conditionalFormatting>
  <conditionalFormatting sqref="Q221 O221 M221 G221 K221 S221 U221 I221 Y221 W221">
    <cfRule type="cellIs" dxfId="10145" priority="11717" stopIfTrue="1" operator="notEqual">
      <formula>H221</formula>
    </cfRule>
  </conditionalFormatting>
  <conditionalFormatting sqref="Q221 O221 M221 G221 K221 S221 U221 I221 Y221 W221">
    <cfRule type="cellIs" dxfId="10144" priority="11716" stopIfTrue="1" operator="notEqual">
      <formula>H221</formula>
    </cfRule>
  </conditionalFormatting>
  <conditionalFormatting sqref="O237 M237 G237 K237 S237 U237 W237 I237 Y237 Q237">
    <cfRule type="cellIs" dxfId="10143" priority="11713" stopIfTrue="1" operator="notEqual">
      <formula>H237</formula>
    </cfRule>
  </conditionalFormatting>
  <conditionalFormatting sqref="O238 M238 G238 K238 S238 U238 W238 I238 Y238 Q238">
    <cfRule type="cellIs" dxfId="10142" priority="11712" stopIfTrue="1" operator="notEqual">
      <formula>H238</formula>
    </cfRule>
  </conditionalFormatting>
  <conditionalFormatting sqref="O238 M238 G238 K238 S238 U238 W238 I238 Y238 Q238">
    <cfRule type="cellIs" dxfId="10141" priority="11711" stopIfTrue="1" operator="notEqual">
      <formula>H238</formula>
    </cfRule>
  </conditionalFormatting>
  <conditionalFormatting sqref="Y236 O236:O239 M236:M239 G236:G239 K236:K239 S236:S239 U236:U239 W236:W239 I236:I239 Q236:Q239">
    <cfRule type="cellIs" dxfId="10140" priority="11709" stopIfTrue="1" operator="notEqual">
      <formula>H236</formula>
    </cfRule>
  </conditionalFormatting>
  <conditionalFormatting sqref="O241 M241 G241 K241 S241 U241 W241 I241 Y241 Q241">
    <cfRule type="cellIs" dxfId="10139" priority="11708" stopIfTrue="1" operator="notEqual">
      <formula>H241</formula>
    </cfRule>
  </conditionalFormatting>
  <conditionalFormatting sqref="O242 M242 G242 K242 S242 U242 W242 I242 Y242 Q242">
    <cfRule type="cellIs" dxfId="10138" priority="11707" stopIfTrue="1" operator="notEqual">
      <formula>H242</formula>
    </cfRule>
  </conditionalFormatting>
  <conditionalFormatting sqref="Y240 O240:O247 M240:M247 G240:G247 K240:K247 S240:S247 U240:U247 W240:W247 I240:I247 Q240:Q247">
    <cfRule type="cellIs" dxfId="10137" priority="11706" stopIfTrue="1" operator="notEqual">
      <formula>H240</formula>
    </cfRule>
  </conditionalFormatting>
  <conditionalFormatting sqref="O243 M243 G243 K243 S243 U243 W243 I243 Y243 Q243">
    <cfRule type="cellIs" dxfId="10136" priority="11705" stopIfTrue="1" operator="notEqual">
      <formula>H243</formula>
    </cfRule>
  </conditionalFormatting>
  <conditionalFormatting sqref="O244 M244 G244 K244 S244 U244 W244 I244 Y244 Q244">
    <cfRule type="cellIs" dxfId="10135" priority="11704" stopIfTrue="1" operator="notEqual">
      <formula>H244</formula>
    </cfRule>
  </conditionalFormatting>
  <conditionalFormatting sqref="O245 M245 G245 K245 S245 U245 W245 I245 Y245 Q245">
    <cfRule type="cellIs" dxfId="10134" priority="11703" stopIfTrue="1" operator="notEqual">
      <formula>H245</formula>
    </cfRule>
  </conditionalFormatting>
  <conditionalFormatting sqref="O246 M246 G246 K246 S246 U246 W246 I246 Y246 Q246">
    <cfRule type="cellIs" dxfId="10133" priority="11702" stopIfTrue="1" operator="notEqual">
      <formula>H246</formula>
    </cfRule>
  </conditionalFormatting>
  <conditionalFormatting sqref="O247 M247 G247 K247 S247 U247 W247 I247 Y247 Q247">
    <cfRule type="cellIs" dxfId="10132" priority="11701" stopIfTrue="1" operator="notEqual">
      <formula>H247</formula>
    </cfRule>
  </conditionalFormatting>
  <conditionalFormatting sqref="O248 M248 G248 K248 S248 U248 W248 I248 Y248 Q248">
    <cfRule type="cellIs" dxfId="10131" priority="11700" stopIfTrue="1" operator="notEqual">
      <formula>H248</formula>
    </cfRule>
  </conditionalFormatting>
  <conditionalFormatting sqref="O249 M249 G249 K249 S249 U249 W249 I249 Y249 Q249">
    <cfRule type="cellIs" dxfId="10130" priority="11699" stopIfTrue="1" operator="notEqual">
      <formula>H249</formula>
    </cfRule>
  </conditionalFormatting>
  <conditionalFormatting sqref="O250 M250 G250 K250 S250 U250 W250 I250 Y250 Q250">
    <cfRule type="cellIs" dxfId="10129" priority="11698" stopIfTrue="1" operator="notEqual">
      <formula>H250</formula>
    </cfRule>
  </conditionalFormatting>
  <conditionalFormatting sqref="O251 G251 K251 S251 U251 W251 I251 Y251 Q251">
    <cfRule type="cellIs" dxfId="10128" priority="11697" stopIfTrue="1" operator="notEqual">
      <formula>H251</formula>
    </cfRule>
  </conditionalFormatting>
  <conditionalFormatting sqref="O252 M252 G252 K252 S252 U252 W252 I252 Y252 Q252">
    <cfRule type="cellIs" dxfId="10127" priority="11696" stopIfTrue="1" operator="notEqual">
      <formula>H252</formula>
    </cfRule>
  </conditionalFormatting>
  <conditionalFormatting sqref="O253 M253 G253 K253 S253 U253 W253 I253 Y253 Q253">
    <cfRule type="cellIs" dxfId="10126" priority="11695" stopIfTrue="1" operator="notEqual">
      <formula>H253</formula>
    </cfRule>
  </conditionalFormatting>
  <conditionalFormatting sqref="O254 M254 G254 K254 S254 U254 W254 I254 Y254 Q254">
    <cfRule type="cellIs" dxfId="10125" priority="11694" stopIfTrue="1" operator="notEqual">
      <formula>H254</formula>
    </cfRule>
  </conditionalFormatting>
  <conditionalFormatting sqref="O255 M255 G255 K255 S255 U255 W255 I255 Y255 Q255">
    <cfRule type="cellIs" dxfId="10124" priority="11693" stopIfTrue="1" operator="notEqual">
      <formula>H255</formula>
    </cfRule>
  </conditionalFormatting>
  <conditionalFormatting sqref="S493">
    <cfRule type="cellIs" dxfId="10123" priority="11689" stopIfTrue="1" operator="notEqual">
      <formula>T493</formula>
    </cfRule>
  </conditionalFormatting>
  <conditionalFormatting sqref="S506">
    <cfRule type="cellIs" dxfId="10122" priority="11688" stopIfTrue="1" operator="notEqual">
      <formula>T506</formula>
    </cfRule>
  </conditionalFormatting>
  <conditionalFormatting sqref="S523">
    <cfRule type="cellIs" dxfId="10121" priority="11687" stopIfTrue="1" operator="notEqual">
      <formula>T523</formula>
    </cfRule>
  </conditionalFormatting>
  <conditionalFormatting sqref="U493">
    <cfRule type="cellIs" dxfId="10120" priority="11680" stopIfTrue="1" operator="notEqual">
      <formula>V493</formula>
    </cfRule>
  </conditionalFormatting>
  <conditionalFormatting sqref="U506">
    <cfRule type="cellIs" dxfId="10119" priority="11679" stopIfTrue="1" operator="notEqual">
      <formula>V506</formula>
    </cfRule>
  </conditionalFormatting>
  <conditionalFormatting sqref="U523">
    <cfRule type="cellIs" dxfId="10118" priority="11678" stopIfTrue="1" operator="notEqual">
      <formula>V523</formula>
    </cfRule>
  </conditionalFormatting>
  <conditionalFormatting sqref="Y91 G235:G247 I235:I247 K235:K247 Q235:Q247 O235:O247 M235:M247 U235:U247 W235:W247 S235:S247">
    <cfRule type="cellIs" dxfId="10117" priority="11674" stopIfTrue="1" operator="notEqual">
      <formula>H91</formula>
    </cfRule>
  </conditionalFormatting>
  <conditionalFormatting sqref="Q91:Q95 O91:O95 M91:M95 G91:G95 K91:K95 S91:S95 U91:U95 W91:W95 I91:I95">
    <cfRule type="cellIs" dxfId="10116" priority="11672" stopIfTrue="1" operator="notEqual">
      <formula>H91</formula>
    </cfRule>
  </conditionalFormatting>
  <conditionalFormatting sqref="Q140:Q178 O140:O178 M140:M178 G140:G178 K140:K178 S140:S178 U140:U178 I140:I178 W140:W178">
    <cfRule type="cellIs" dxfId="10115" priority="11671" stopIfTrue="1" operator="notEqual">
      <formula>H140</formula>
    </cfRule>
  </conditionalFormatting>
  <conditionalFormatting sqref="Q151:Q178 O151:O178 M151:M178 G151:G178 K151:K178 S151:S178 U151:U178 I151:I178 W151:W178">
    <cfRule type="cellIs" dxfId="10114" priority="11670" stopIfTrue="1" operator="notEqual">
      <formula>H151</formula>
    </cfRule>
  </conditionalFormatting>
  <conditionalFormatting sqref="Q179:Q181 O179:O181 M179:M181 G179:G181 K179:K181 S179:S181 U179:U181 W179:W181 I179:I181">
    <cfRule type="cellIs" dxfId="10113" priority="11669" stopIfTrue="1" operator="notEqual">
      <formula>H179</formula>
    </cfRule>
  </conditionalFormatting>
  <conditionalFormatting sqref="Q182 O182 M182 G182 K182 S182 U182 W182 I182">
    <cfRule type="cellIs" dxfId="10112" priority="11668" stopIfTrue="1" operator="notEqual">
      <formula>H182</formula>
    </cfRule>
  </conditionalFormatting>
  <conditionalFormatting sqref="Q186 O186 M186 G186 K186 S186 U186 I186 W186 Q188 Q194:Q195 Q197 O188 O194:O195 O197 M188 M194:M195 M197 G188 G194:G195 G197 K188 K194:K195 K197 S188 S194:S195 S197 U188 U194:U195 U197 I188 I194:I195 I197 W188 W194:W195 W197 Q190:Q192 O190:O192 M190:M192 G190:G192 K190:K192 S190:S192 U190:U192 I190:I192 W190:W192">
    <cfRule type="cellIs" dxfId="10111" priority="11667" stopIfTrue="1" operator="notEqual">
      <formula>H186</formula>
    </cfRule>
  </conditionalFormatting>
  <conditionalFormatting sqref="Q183 O183 M183 G183 K183 S183 U183 W183 I183">
    <cfRule type="cellIs" dxfId="10110" priority="11666" stopIfTrue="1" operator="notEqual">
      <formula>H183</formula>
    </cfRule>
  </conditionalFormatting>
  <conditionalFormatting sqref="Q196 Q198 O196 O198 M196 M198 G196 G198 K196 K198 S196 S198 U196 U198 I196 I198 W196 W198 Q184:Q194 O184:O194 M184:M194 G184:G194 K184:K194 S184:S194 U184:U194 I184:I194 W184:W194">
    <cfRule type="cellIs" dxfId="10109" priority="11665" stopIfTrue="1" operator="notEqual">
      <formula>H184</formula>
    </cfRule>
  </conditionalFormatting>
  <conditionalFormatting sqref="Q196 Q198 O196 O198 M196 M198 G196 G198 K196 K198 S196 S198 U196 U198 I196 I198 W196 W198 Q184:Q194 O184:O194 M184:M194 G184:G194 K184:K194 S184:S194 U184:U194 I184:I194 W184:W194">
    <cfRule type="cellIs" dxfId="10108" priority="11664" stopIfTrue="1" operator="notEqual">
      <formula>H184</formula>
    </cfRule>
  </conditionalFormatting>
  <conditionalFormatting sqref="Q186 O186 M186 G186 K186 S186 U186 I186 W186 Q188 Q194:Q195 Q197 O188 O194:O195 O197 M188 M194:M195 M197 G188 G194:G195 G197 K188 K194:K195 K197 S188 S194:S195 S197 U188 U194:U195 U197 I188 I194:I195 I197 W188 W194:W195 W197 Q190:Q192 O190:O192 M190:M192 G190:G192 K190:K192 S190:S192 U190:U192 I190:I192 W190:W192">
    <cfRule type="cellIs" dxfId="10107" priority="11663" stopIfTrue="1" operator="notEqual">
      <formula>H186</formula>
    </cfRule>
  </conditionalFormatting>
  <conditionalFormatting sqref="Q186 O186 M186 G186 K186 S186 U186 I186 W186 Q188 Q194:Q195 Q197 O188 O194:O195 O197 M188 M194:M195 M197 G188 G194:G195 G197 K188 K194:K195 K197 S188 S194:S195 S197 U188 U194:U195 U197 I188 I194:I195 I197 W188 W194:W195 W197 Q190:Q192 O190:O192 M190:M192 G190:G192 K190:K192 S190:S192 U190:U192 I190:I192 W190:W192">
    <cfRule type="cellIs" dxfId="10106" priority="11662" stopIfTrue="1" operator="notEqual">
      <formula>H186</formula>
    </cfRule>
  </conditionalFormatting>
  <conditionalFormatting sqref="Q186 O186 M186 G186 K186 S186 U186 I186 W186 Q188 Q194:Q195 Q197 O188 O194:O195 O197 M188 M194:M195 M197 G188 G194:G195 G197 K188 K194:K195 K197 S188 S194:S195 S197 U188 U194:U195 U197 I188 I194:I195 I197 W188 W194:W195 W197 Q190:Q192 O190:O192 M190:M192 G190:G192 K190:K192 S190:S192 U190:U192 I190:I192 W190:W192">
    <cfRule type="cellIs" dxfId="10105" priority="11661" stopIfTrue="1" operator="notEqual">
      <formula>H186</formula>
    </cfRule>
  </conditionalFormatting>
  <conditionalFormatting sqref="Q192 O192 M192 G192 K192 S192 U192 I192 W192">
    <cfRule type="cellIs" dxfId="10104" priority="11660" stopIfTrue="1" operator="notEqual">
      <formula>H192</formula>
    </cfRule>
  </conditionalFormatting>
  <conditionalFormatting sqref="Q192 O192 M192 G192 K192 S192 U192 I192 W192">
    <cfRule type="cellIs" dxfId="10103" priority="11659" stopIfTrue="1" operator="notEqual">
      <formula>H192</formula>
    </cfRule>
  </conditionalFormatting>
  <conditionalFormatting sqref="O160 M160 G160 K160 S160 U160 W160 I160 Q160">
    <cfRule type="cellIs" dxfId="10102" priority="11658" stopIfTrue="1" operator="notEqual">
      <formula>H160</formula>
    </cfRule>
  </conditionalFormatting>
  <conditionalFormatting sqref="O199:O202 M199:M202 G199:G202 K199:K202 S199:S202 U199:U202 W199:W202 I199:I202 Q199:Q202">
    <cfRule type="cellIs" dxfId="10101" priority="11657" stopIfTrue="1" operator="notEqual">
      <formula>H199</formula>
    </cfRule>
  </conditionalFormatting>
  <conditionalFormatting sqref="O201 M201 G201 K201 S201 U201 W201 I201 Q201">
    <cfRule type="cellIs" dxfId="10100" priority="11656" stopIfTrue="1" operator="notEqual">
      <formula>H201</formula>
    </cfRule>
  </conditionalFormatting>
  <conditionalFormatting sqref="O202:O204 M202:M204 G202:G204 K202:K204 S202:S204 U202:U204 W202:W204 I202:I204 Q202:Q204">
    <cfRule type="cellIs" dxfId="10099" priority="11655" stopIfTrue="1" operator="notEqual">
      <formula>H202</formula>
    </cfRule>
  </conditionalFormatting>
  <conditionalFormatting sqref="O204 M204 G204 K204 S204 U204 W204 I204 Q204">
    <cfRule type="cellIs" dxfId="10098" priority="11654" stopIfTrue="1" operator="notEqual">
      <formula>H204</formula>
    </cfRule>
  </conditionalFormatting>
  <conditionalFormatting sqref="O205 M205 G205 K205 S205 U205 W205 I205 Q205">
    <cfRule type="cellIs" dxfId="10097" priority="11653" stopIfTrue="1" operator="notEqual">
      <formula>H205</formula>
    </cfRule>
  </conditionalFormatting>
  <conditionalFormatting sqref="O205 M205 G205 K205 S205 U205 W205 I205 Q205">
    <cfRule type="cellIs" dxfId="10096" priority="11652" stopIfTrue="1" operator="notEqual">
      <formula>H205</formula>
    </cfRule>
  </conditionalFormatting>
  <conditionalFormatting sqref="O206:O207 M206:M207 G206:G207 K206:K207 S206:S207 U206:U207 W206:W207 I206:I207 Q206:Q207">
    <cfRule type="cellIs" dxfId="10095" priority="11651" stopIfTrue="1" operator="notEqual">
      <formula>H206</formula>
    </cfRule>
  </conditionalFormatting>
  <conditionalFormatting sqref="O208:O223 M208:M223 G208:G223 K208:K223 S208:S223 U208:U223 W208:W223 I208:I223 Q208:Q223">
    <cfRule type="cellIs" dxfId="10094" priority="11650" stopIfTrue="1" operator="notEqual">
      <formula>H208</formula>
    </cfRule>
  </conditionalFormatting>
  <conditionalFormatting sqref="O210 M210 G210 K210 S210 U210 W210 I210 Q210">
    <cfRule type="cellIs" dxfId="10093" priority="11649" stopIfTrue="1" operator="notEqual">
      <formula>H210</formula>
    </cfRule>
  </conditionalFormatting>
  <conditionalFormatting sqref="O211 M211 G211 K211 S211 U211 W211 I211 Q211">
    <cfRule type="cellIs" dxfId="10092" priority="11648" stopIfTrue="1" operator="notEqual">
      <formula>H211</formula>
    </cfRule>
  </conditionalFormatting>
  <conditionalFormatting sqref="O212 M212 G212 K212 S212 U212 W212 I212 Q212">
    <cfRule type="cellIs" dxfId="10091" priority="11647" stopIfTrue="1" operator="notEqual">
      <formula>H212</formula>
    </cfRule>
  </conditionalFormatting>
  <conditionalFormatting sqref="O213 M213 G213 K213 S213 U213 W213 I213 Q213">
    <cfRule type="cellIs" dxfId="10090" priority="11646" stopIfTrue="1" operator="notEqual">
      <formula>H213</formula>
    </cfRule>
  </conditionalFormatting>
  <conditionalFormatting sqref="O214 M214 G214 K214 S214 U214 W214 I214 Q214">
    <cfRule type="cellIs" dxfId="10089" priority="11645" stopIfTrue="1" operator="notEqual">
      <formula>H214</formula>
    </cfRule>
  </conditionalFormatting>
  <conditionalFormatting sqref="O215 M215 G215 K215 S215 U215 W215 I215 Q215">
    <cfRule type="cellIs" dxfId="10088" priority="11644" stopIfTrue="1" operator="notEqual">
      <formula>H215</formula>
    </cfRule>
  </conditionalFormatting>
  <conditionalFormatting sqref="O216 M216 G216 K216 S216 U216 W216 I216 Q216">
    <cfRule type="cellIs" dxfId="10087" priority="11643" stopIfTrue="1" operator="notEqual">
      <formula>H216</formula>
    </cfRule>
  </conditionalFormatting>
  <conditionalFormatting sqref="O217 M217 G217 K217 S217 U217 W217 I217 Q217">
    <cfRule type="cellIs" dxfId="10086" priority="11642" stopIfTrue="1" operator="notEqual">
      <formula>H217</formula>
    </cfRule>
  </conditionalFormatting>
  <conditionalFormatting sqref="O218 M218 G218 K218 S218 U218 W218 I218 Q218">
    <cfRule type="cellIs" dxfId="10085" priority="11641" stopIfTrue="1" operator="notEqual">
      <formula>H218</formula>
    </cfRule>
  </conditionalFormatting>
  <conditionalFormatting sqref="O219 M219 G219 K219 S219 U219 W219 I219 Q219">
    <cfRule type="cellIs" dxfId="10084" priority="11640" stopIfTrue="1" operator="notEqual">
      <formula>H219</formula>
    </cfRule>
  </conditionalFormatting>
  <conditionalFormatting sqref="O220:O221 M220:M221 G220:G221 K220:K221 S220:S221 U220:U221 W220:W221 I220:I221 Q220:Q221">
    <cfRule type="cellIs" dxfId="10083" priority="11639" stopIfTrue="1" operator="notEqual">
      <formula>H220</formula>
    </cfRule>
  </conditionalFormatting>
  <conditionalFormatting sqref="O222 M222 G222 K222 S222 U222 W222 I222 Q222">
    <cfRule type="cellIs" dxfId="10082" priority="11638" stopIfTrue="1" operator="notEqual">
      <formula>H222</formula>
    </cfRule>
  </conditionalFormatting>
  <conditionalFormatting sqref="O223 M223 G223 K223 S223 U223 W223 I223 Q223">
    <cfRule type="cellIs" dxfId="10081" priority="11637" stopIfTrue="1" operator="notEqual">
      <formula>H223</formula>
    </cfRule>
  </conditionalFormatting>
  <conditionalFormatting sqref="O224 M224 G224 K224 S224 U224 W224 I224 Q224">
    <cfRule type="cellIs" dxfId="10080" priority="11636" stopIfTrue="1" operator="notEqual">
      <formula>H224</formula>
    </cfRule>
  </conditionalFormatting>
  <conditionalFormatting sqref="O225 M225 G225 K225 S225 U225 W225 I225 Q225">
    <cfRule type="cellIs" dxfId="10079" priority="11635" stopIfTrue="1" operator="notEqual">
      <formula>H225</formula>
    </cfRule>
  </conditionalFormatting>
  <conditionalFormatting sqref="O226 M226 G226 K226 S226 U226 W226 I226 Q226">
    <cfRule type="cellIs" dxfId="10078" priority="11634" stopIfTrue="1" operator="notEqual">
      <formula>H226</formula>
    </cfRule>
  </conditionalFormatting>
  <conditionalFormatting sqref="O227 M227 G227 K227 S227 U227 W227 I227 Q227">
    <cfRule type="cellIs" dxfId="10077" priority="11633" stopIfTrue="1" operator="notEqual">
      <formula>H227</formula>
    </cfRule>
  </conditionalFormatting>
  <conditionalFormatting sqref="O228 M228 G228 K228 S228 U228 W228 I228 Q228">
    <cfRule type="cellIs" dxfId="10076" priority="11632" stopIfTrue="1" operator="notEqual">
      <formula>H228</formula>
    </cfRule>
  </conditionalFormatting>
  <conditionalFormatting sqref="O229 M229 G229 K229 S229 U229 W229 I229 Q229">
    <cfRule type="cellIs" dxfId="10075" priority="11631" stopIfTrue="1" operator="notEqual">
      <formula>H229</formula>
    </cfRule>
  </conditionalFormatting>
  <conditionalFormatting sqref="O230 M230 G230 K230 S230 U230 W230 I230 Q230">
    <cfRule type="cellIs" dxfId="10074" priority="11630" stopIfTrue="1" operator="notEqual">
      <formula>H230</formula>
    </cfRule>
  </conditionalFormatting>
  <conditionalFormatting sqref="O231 M231 G231 K231 S231 U231 W231 I231 Q231">
    <cfRule type="cellIs" dxfId="10073" priority="11629" stopIfTrue="1" operator="notEqual">
      <formula>H231</formula>
    </cfRule>
  </conditionalFormatting>
  <conditionalFormatting sqref="O232 M232 G232 K232 S232 U232 W232 I232 Q232">
    <cfRule type="cellIs" dxfId="10072" priority="11628" stopIfTrue="1" operator="notEqual">
      <formula>H232</formula>
    </cfRule>
  </conditionalFormatting>
  <conditionalFormatting sqref="O233 M233 G233 K233 S233 U233 W233 I233 Q233">
    <cfRule type="cellIs" dxfId="10071" priority="11627" stopIfTrue="1" operator="notEqual">
      <formula>H233</formula>
    </cfRule>
  </conditionalFormatting>
  <conditionalFormatting sqref="O234 M234 G234 K234 S234 U234 W234 I234 Q234">
    <cfRule type="cellIs" dxfId="10070" priority="11626" stopIfTrue="1" operator="notEqual">
      <formula>H234</formula>
    </cfRule>
  </conditionalFormatting>
  <conditionalFormatting sqref="Q221 O221 M221 G221 K221 S221 U221 I221 W221">
    <cfRule type="cellIs" dxfId="10069" priority="11625" stopIfTrue="1" operator="notEqual">
      <formula>H221</formula>
    </cfRule>
  </conditionalFormatting>
  <conditionalFormatting sqref="Q221 O221 M221 G221 K221 S221 U221 I221 W221">
    <cfRule type="cellIs" dxfId="10068" priority="11624" stopIfTrue="1" operator="notEqual">
      <formula>H221</formula>
    </cfRule>
  </conditionalFormatting>
  <conditionalFormatting sqref="Q221 O221 M221 G221 K221 S221 U221 I221 W221">
    <cfRule type="cellIs" dxfId="10067" priority="11623" stopIfTrue="1" operator="notEqual">
      <formula>H221</formula>
    </cfRule>
  </conditionalFormatting>
  <conditionalFormatting sqref="Q221 O221 M221 G221 K221 S221 U221 I221 W221">
    <cfRule type="cellIs" dxfId="10066" priority="11622" stopIfTrue="1" operator="notEqual">
      <formula>H221</formula>
    </cfRule>
  </conditionalFormatting>
  <conditionalFormatting sqref="Q221 O221 M221 G221 K221 S221 U221 I221 W221">
    <cfRule type="cellIs" dxfId="10065" priority="11621" stopIfTrue="1" operator="notEqual">
      <formula>H221</formula>
    </cfRule>
  </conditionalFormatting>
  <conditionalFormatting sqref="Q221 O221 M221 G221 K221 S221 U221 I221 W221">
    <cfRule type="cellIs" dxfId="10064" priority="11620" stopIfTrue="1" operator="notEqual">
      <formula>H221</formula>
    </cfRule>
  </conditionalFormatting>
  <conditionalFormatting sqref="O237 M237 G237 K237 S237 U237 W237 I237 Q237">
    <cfRule type="cellIs" dxfId="10063" priority="11619" stopIfTrue="1" operator="notEqual">
      <formula>H237</formula>
    </cfRule>
  </conditionalFormatting>
  <conditionalFormatting sqref="O238 M238 G238 K238 S238 U238 W238 I238 Q238">
    <cfRule type="cellIs" dxfId="10062" priority="11618" stopIfTrue="1" operator="notEqual">
      <formula>H238</formula>
    </cfRule>
  </conditionalFormatting>
  <conditionalFormatting sqref="O238 M238 G238 K238 S238 U238 W238 I238 Q238">
    <cfRule type="cellIs" dxfId="10061" priority="11617" stopIfTrue="1" operator="notEqual">
      <formula>H238</formula>
    </cfRule>
  </conditionalFormatting>
  <conditionalFormatting sqref="O236:O239 M236:M239 G236:G239 K236:K239 S236:S239 U236:U239 W236:W239 I236:I239 Q236:Q239">
    <cfRule type="cellIs" dxfId="10060" priority="11616" stopIfTrue="1" operator="notEqual">
      <formula>H236</formula>
    </cfRule>
  </conditionalFormatting>
  <conditionalFormatting sqref="O241 M241 G241 K241 S241 U241 W241 I241 Q241">
    <cfRule type="cellIs" dxfId="10059" priority="11615" stopIfTrue="1" operator="notEqual">
      <formula>H241</formula>
    </cfRule>
  </conditionalFormatting>
  <conditionalFormatting sqref="O242 M242 G242 K242 S242 U242 W242 I242 Q242">
    <cfRule type="cellIs" dxfId="10058" priority="11614" stopIfTrue="1" operator="notEqual">
      <formula>H242</formula>
    </cfRule>
  </conditionalFormatting>
  <conditionalFormatting sqref="O240:O247 M240:M247 G240:G247 K240:K247 S240:S247 U240:U247 W240:W247 I240:I247 Q240:Q247">
    <cfRule type="cellIs" dxfId="10057" priority="11613" stopIfTrue="1" operator="notEqual">
      <formula>H240</formula>
    </cfRule>
  </conditionalFormatting>
  <conditionalFormatting sqref="O243 M243 G243 K243 S243 U243 W243 I243 Q243">
    <cfRule type="cellIs" dxfId="10056" priority="11612" stopIfTrue="1" operator="notEqual">
      <formula>H243</formula>
    </cfRule>
  </conditionalFormatting>
  <conditionalFormatting sqref="O244 M244 G244 K244 S244 U244 W244 I244 Q244">
    <cfRule type="cellIs" dxfId="10055" priority="11611" stopIfTrue="1" operator="notEqual">
      <formula>H244</formula>
    </cfRule>
  </conditionalFormatting>
  <conditionalFormatting sqref="O245 M245 G245 K245 S245 U245 W245 I245 Q245">
    <cfRule type="cellIs" dxfId="10054" priority="11610" stopIfTrue="1" operator="notEqual">
      <formula>H245</formula>
    </cfRule>
  </conditionalFormatting>
  <conditionalFormatting sqref="O246 M246 G246 K246 S246 U246 W246 I246 Q246">
    <cfRule type="cellIs" dxfId="10053" priority="11609" stopIfTrue="1" operator="notEqual">
      <formula>H246</formula>
    </cfRule>
  </conditionalFormatting>
  <conditionalFormatting sqref="O247 M247 G247 K247 S247 U247 W247 I247 Q247">
    <cfRule type="cellIs" dxfId="10052" priority="11608" stopIfTrue="1" operator="notEqual">
      <formula>H247</formula>
    </cfRule>
  </conditionalFormatting>
  <conditionalFormatting sqref="O248 M248 G248 K248 S248 U248 W248 I248 Q248">
    <cfRule type="cellIs" dxfId="10051" priority="11607" stopIfTrue="1" operator="notEqual">
      <formula>H248</formula>
    </cfRule>
  </conditionalFormatting>
  <conditionalFormatting sqref="O249 M249 G249 K249 S249 U249 W249 I249 Q249">
    <cfRule type="cellIs" dxfId="10050" priority="11606" stopIfTrue="1" operator="notEqual">
      <formula>H249</formula>
    </cfRule>
  </conditionalFormatting>
  <conditionalFormatting sqref="O250 M250 G250 K250 S250 U250 W250 I250 Q250">
    <cfRule type="cellIs" dxfId="10049" priority="11605" stopIfTrue="1" operator="notEqual">
      <formula>H250</formula>
    </cfRule>
  </conditionalFormatting>
  <conditionalFormatting sqref="O251 G251 K251 S251 U251 W251 I251 Q251">
    <cfRule type="cellIs" dxfId="10048" priority="11604" stopIfTrue="1" operator="notEqual">
      <formula>H251</formula>
    </cfRule>
  </conditionalFormatting>
  <conditionalFormatting sqref="O252 M252 G252 K252 S252 U252 W252 I252 Q252">
    <cfRule type="cellIs" dxfId="10047" priority="11603" stopIfTrue="1" operator="notEqual">
      <formula>H252</formula>
    </cfRule>
  </conditionalFormatting>
  <conditionalFormatting sqref="O253 M253 G253 K253 S253 U253 W253 I253 Q253">
    <cfRule type="cellIs" dxfId="10046" priority="11602" stopIfTrue="1" operator="notEqual">
      <formula>H253</formula>
    </cfRule>
  </conditionalFormatting>
  <conditionalFormatting sqref="O254 M254 G254 K254 S254 U254 W254 I254 Q254">
    <cfRule type="cellIs" dxfId="10045" priority="11601" stopIfTrue="1" operator="notEqual">
      <formula>H254</formula>
    </cfRule>
  </conditionalFormatting>
  <conditionalFormatting sqref="O255 M255 G255 K255 S255 U255 W255 I255 Q255">
    <cfRule type="cellIs" dxfId="10044" priority="11600" stopIfTrue="1" operator="notEqual">
      <formula>H255</formula>
    </cfRule>
  </conditionalFormatting>
  <conditionalFormatting sqref="S494">
    <cfRule type="cellIs" dxfId="10043" priority="11596" stopIfTrue="1" operator="notEqual">
      <formula>T494</formula>
    </cfRule>
  </conditionalFormatting>
  <conditionalFormatting sqref="S507:S526">
    <cfRule type="cellIs" dxfId="10042" priority="11595" stopIfTrue="1" operator="notEqual">
      <formula>T507</formula>
    </cfRule>
  </conditionalFormatting>
  <conditionalFormatting sqref="S524">
    <cfRule type="cellIs" dxfId="10041" priority="11594" stopIfTrue="1" operator="notEqual">
      <formula>T524</formula>
    </cfRule>
  </conditionalFormatting>
  <conditionalFormatting sqref="U494">
    <cfRule type="cellIs" dxfId="10040" priority="11587" stopIfTrue="1" operator="notEqual">
      <formula>V494</formula>
    </cfRule>
  </conditionalFormatting>
  <conditionalFormatting sqref="U507:U526">
    <cfRule type="cellIs" dxfId="10039" priority="11586" stopIfTrue="1" operator="notEqual">
      <formula>V507</formula>
    </cfRule>
  </conditionalFormatting>
  <conditionalFormatting sqref="U524">
    <cfRule type="cellIs" dxfId="10038" priority="11585" stopIfTrue="1" operator="notEqual">
      <formula>V524</formula>
    </cfRule>
  </conditionalFormatting>
  <conditionalFormatting sqref="G555:G563">
    <cfRule type="cellIs" dxfId="10037" priority="11581" stopIfTrue="1" operator="notEqual">
      <formula>H555</formula>
    </cfRule>
  </conditionalFormatting>
  <conditionalFormatting sqref="G555:G563">
    <cfRule type="cellIs" dxfId="10036" priority="11580" stopIfTrue="1" operator="notEqual">
      <formula>H555</formula>
    </cfRule>
  </conditionalFormatting>
  <conditionalFormatting sqref="G555:G563">
    <cfRule type="cellIs" dxfId="10035" priority="11579" stopIfTrue="1" operator="notEqual">
      <formula>H555</formula>
    </cfRule>
  </conditionalFormatting>
  <conditionalFormatting sqref="G555:G563">
    <cfRule type="cellIs" dxfId="10034" priority="11578" stopIfTrue="1" operator="notEqual">
      <formula>H555</formula>
    </cfRule>
  </conditionalFormatting>
  <conditionalFormatting sqref="G430">
    <cfRule type="cellIs" dxfId="10033" priority="11577" stopIfTrue="1" operator="notEqual">
      <formula>H430</formula>
    </cfRule>
  </conditionalFormatting>
  <conditionalFormatting sqref="G430">
    <cfRule type="cellIs" dxfId="10032" priority="11576" stopIfTrue="1" operator="notEqual">
      <formula>H430</formula>
    </cfRule>
  </conditionalFormatting>
  <conditionalFormatting sqref="G430">
    <cfRule type="cellIs" dxfId="10031" priority="11575" stopIfTrue="1" operator="notEqual">
      <formula>H430</formula>
    </cfRule>
  </conditionalFormatting>
  <conditionalFormatting sqref="G430">
    <cfRule type="cellIs" dxfId="10030" priority="11574" stopIfTrue="1" operator="notEqual">
      <formula>H430</formula>
    </cfRule>
  </conditionalFormatting>
  <conditionalFormatting sqref="G430">
    <cfRule type="cellIs" dxfId="10029" priority="11573" stopIfTrue="1" operator="notEqual">
      <formula>H430</formula>
    </cfRule>
  </conditionalFormatting>
  <conditionalFormatting sqref="G430">
    <cfRule type="cellIs" dxfId="10028" priority="11572" stopIfTrue="1" operator="notEqual">
      <formula>H430</formula>
    </cfRule>
  </conditionalFormatting>
  <conditionalFormatting sqref="G303">
    <cfRule type="cellIs" dxfId="10027" priority="11571" stopIfTrue="1" operator="notEqual">
      <formula>H303</formula>
    </cfRule>
  </conditionalFormatting>
  <conditionalFormatting sqref="G270:G275">
    <cfRule type="cellIs" dxfId="10026" priority="11570" stopIfTrue="1" operator="notEqual">
      <formula>H270</formula>
    </cfRule>
  </conditionalFormatting>
  <conditionalFormatting sqref="G256:G258">
    <cfRule type="cellIs" dxfId="10025" priority="11569" stopIfTrue="1" operator="notEqual">
      <formula>H256</formula>
    </cfRule>
  </conditionalFormatting>
  <conditionalFormatting sqref="G257">
    <cfRule type="cellIs" dxfId="10024" priority="11568" stopIfTrue="1" operator="notEqual">
      <formula>H257</formula>
    </cfRule>
  </conditionalFormatting>
  <conditionalFormatting sqref="G258">
    <cfRule type="cellIs" dxfId="10023" priority="11567" stopIfTrue="1" operator="notEqual">
      <formula>H258</formula>
    </cfRule>
  </conditionalFormatting>
  <conditionalFormatting sqref="G259">
    <cfRule type="cellIs" dxfId="10022" priority="11566" stopIfTrue="1" operator="notEqual">
      <formula>H259</formula>
    </cfRule>
  </conditionalFormatting>
  <conditionalFormatting sqref="G260">
    <cfRule type="cellIs" dxfId="10021" priority="11565" stopIfTrue="1" operator="notEqual">
      <formula>H260</formula>
    </cfRule>
  </conditionalFormatting>
  <conditionalFormatting sqref="G261">
    <cfRule type="cellIs" dxfId="10020" priority="11564" stopIfTrue="1" operator="notEqual">
      <formula>H261</formula>
    </cfRule>
  </conditionalFormatting>
  <conditionalFormatting sqref="G262">
    <cfRule type="cellIs" dxfId="10019" priority="11563" stopIfTrue="1" operator="notEqual">
      <formula>H262</formula>
    </cfRule>
  </conditionalFormatting>
  <conditionalFormatting sqref="G263">
    <cfRule type="cellIs" dxfId="10018" priority="11562" stopIfTrue="1" operator="notEqual">
      <formula>H263</formula>
    </cfRule>
  </conditionalFormatting>
  <conditionalFormatting sqref="G264">
    <cfRule type="cellIs" dxfId="10017" priority="11561" stopIfTrue="1" operator="notEqual">
      <formula>H264</formula>
    </cfRule>
  </conditionalFormatting>
  <conditionalFormatting sqref="G265">
    <cfRule type="cellIs" dxfId="10016" priority="11560" stopIfTrue="1" operator="notEqual">
      <formula>H265</formula>
    </cfRule>
  </conditionalFormatting>
  <conditionalFormatting sqref="G266">
    <cfRule type="cellIs" dxfId="10015" priority="11559" stopIfTrue="1" operator="notEqual">
      <formula>H266</formula>
    </cfRule>
  </conditionalFormatting>
  <conditionalFormatting sqref="G267">
    <cfRule type="cellIs" dxfId="10014" priority="11558" stopIfTrue="1" operator="notEqual">
      <formula>H267</formula>
    </cfRule>
  </conditionalFormatting>
  <conditionalFormatting sqref="G268:G279">
    <cfRule type="cellIs" dxfId="10013" priority="11557" stopIfTrue="1" operator="notEqual">
      <formula>H268</formula>
    </cfRule>
  </conditionalFormatting>
  <conditionalFormatting sqref="G269">
    <cfRule type="cellIs" dxfId="10012" priority="11556" stopIfTrue="1" operator="notEqual">
      <formula>H269</formula>
    </cfRule>
  </conditionalFormatting>
  <conditionalFormatting sqref="G256:G258">
    <cfRule type="cellIs" dxfId="10011" priority="11555" stopIfTrue="1" operator="notEqual">
      <formula>H256</formula>
    </cfRule>
  </conditionalFormatting>
  <conditionalFormatting sqref="G256:G258">
    <cfRule type="cellIs" dxfId="10010" priority="11554" stopIfTrue="1" operator="notEqual">
      <formula>H256</formula>
    </cfRule>
  </conditionalFormatting>
  <conditionalFormatting sqref="G256:G258">
    <cfRule type="cellIs" dxfId="10009" priority="11553" stopIfTrue="1" operator="notEqual">
      <formula>H256</formula>
    </cfRule>
  </conditionalFormatting>
  <conditionalFormatting sqref="G256:G258">
    <cfRule type="cellIs" dxfId="10008" priority="11552" stopIfTrue="1" operator="notEqual">
      <formula>H256</formula>
    </cfRule>
  </conditionalFormatting>
  <conditionalFormatting sqref="G256:G258">
    <cfRule type="cellIs" dxfId="10007" priority="11551" stopIfTrue="1" operator="notEqual">
      <formula>H256</formula>
    </cfRule>
  </conditionalFormatting>
  <conditionalFormatting sqref="G256:G258">
    <cfRule type="cellIs" dxfId="10006" priority="11550" stopIfTrue="1" operator="notEqual">
      <formula>H256</formula>
    </cfRule>
  </conditionalFormatting>
  <conditionalFormatting sqref="G272">
    <cfRule type="cellIs" dxfId="10005" priority="11549" stopIfTrue="1" operator="notEqual">
      <formula>H272</formula>
    </cfRule>
  </conditionalFormatting>
  <conditionalFormatting sqref="G273">
    <cfRule type="cellIs" dxfId="10004" priority="11548" stopIfTrue="1" operator="notEqual">
      <formula>H273</formula>
    </cfRule>
  </conditionalFormatting>
  <conditionalFormatting sqref="G273">
    <cfRule type="cellIs" dxfId="10003" priority="11547" stopIfTrue="1" operator="notEqual">
      <formula>H273</formula>
    </cfRule>
  </conditionalFormatting>
  <conditionalFormatting sqref="G271">
    <cfRule type="cellIs" dxfId="10002" priority="11546" stopIfTrue="1" operator="notEqual">
      <formula>H271</formula>
    </cfRule>
  </conditionalFormatting>
  <conditionalFormatting sqref="G276">
    <cfRule type="cellIs" dxfId="10001" priority="11545" stopIfTrue="1" operator="notEqual">
      <formula>H276</formula>
    </cfRule>
  </conditionalFormatting>
  <conditionalFormatting sqref="G277">
    <cfRule type="cellIs" dxfId="10000" priority="11544" stopIfTrue="1" operator="notEqual">
      <formula>H277</formula>
    </cfRule>
  </conditionalFormatting>
  <conditionalFormatting sqref="G275">
    <cfRule type="cellIs" dxfId="9999" priority="11543" stopIfTrue="1" operator="notEqual">
      <formula>H275</formula>
    </cfRule>
  </conditionalFormatting>
  <conditionalFormatting sqref="G278">
    <cfRule type="cellIs" dxfId="9998" priority="11542" stopIfTrue="1" operator="notEqual">
      <formula>H278</formula>
    </cfRule>
  </conditionalFormatting>
  <conditionalFormatting sqref="G279">
    <cfRule type="cellIs" dxfId="9997" priority="11541" stopIfTrue="1" operator="notEqual">
      <formula>H279</formula>
    </cfRule>
  </conditionalFormatting>
  <conditionalFormatting sqref="G280">
    <cfRule type="cellIs" dxfId="9996" priority="11540" stopIfTrue="1" operator="notEqual">
      <formula>H280</formula>
    </cfRule>
  </conditionalFormatting>
  <conditionalFormatting sqref="G281">
    <cfRule type="cellIs" dxfId="9995" priority="11539" stopIfTrue="1" operator="notEqual">
      <formula>H281</formula>
    </cfRule>
  </conditionalFormatting>
  <conditionalFormatting sqref="G282">
    <cfRule type="cellIs" dxfId="9994" priority="11538" stopIfTrue="1" operator="notEqual">
      <formula>H282</formula>
    </cfRule>
  </conditionalFormatting>
  <conditionalFormatting sqref="G283">
    <cfRule type="cellIs" dxfId="9993" priority="11537" stopIfTrue="1" operator="notEqual">
      <formula>H283</formula>
    </cfRule>
  </conditionalFormatting>
  <conditionalFormatting sqref="G284">
    <cfRule type="cellIs" dxfId="9992" priority="11536" stopIfTrue="1" operator="notEqual">
      <formula>H284</formula>
    </cfRule>
  </conditionalFormatting>
  <conditionalFormatting sqref="G285">
    <cfRule type="cellIs" dxfId="9991" priority="11535" stopIfTrue="1" operator="notEqual">
      <formula>H285</formula>
    </cfRule>
  </conditionalFormatting>
  <conditionalFormatting sqref="G286">
    <cfRule type="cellIs" dxfId="9990" priority="11534" stopIfTrue="1" operator="notEqual">
      <formula>H286</formula>
    </cfRule>
  </conditionalFormatting>
  <conditionalFormatting sqref="G287">
    <cfRule type="cellIs" dxfId="9989" priority="11533" stopIfTrue="1" operator="notEqual">
      <formula>H287</formula>
    </cfRule>
  </conditionalFormatting>
  <conditionalFormatting sqref="G288">
    <cfRule type="cellIs" dxfId="9988" priority="11532" stopIfTrue="1" operator="notEqual">
      <formula>H288</formula>
    </cfRule>
  </conditionalFormatting>
  <conditionalFormatting sqref="G289:G294">
    <cfRule type="cellIs" dxfId="9987" priority="11531" stopIfTrue="1" operator="notEqual">
      <formula>H289</formula>
    </cfRule>
  </conditionalFormatting>
  <conditionalFormatting sqref="G290">
    <cfRule type="cellIs" dxfId="9986" priority="11530" stopIfTrue="1" operator="notEqual">
      <formula>H290</formula>
    </cfRule>
  </conditionalFormatting>
  <conditionalFormatting sqref="G291">
    <cfRule type="cellIs" dxfId="9985" priority="11529" stopIfTrue="1" operator="notEqual">
      <formula>H291</formula>
    </cfRule>
  </conditionalFormatting>
  <conditionalFormatting sqref="G292">
    <cfRule type="cellIs" dxfId="9984" priority="11528" stopIfTrue="1" operator="notEqual">
      <formula>H292</formula>
    </cfRule>
  </conditionalFormatting>
  <conditionalFormatting sqref="G293">
    <cfRule type="cellIs" dxfId="9983" priority="11527" stopIfTrue="1" operator="notEqual">
      <formula>H293</formula>
    </cfRule>
  </conditionalFormatting>
  <conditionalFormatting sqref="G294">
    <cfRule type="cellIs" dxfId="9982" priority="11526" stopIfTrue="1" operator="notEqual">
      <formula>H294</formula>
    </cfRule>
  </conditionalFormatting>
  <conditionalFormatting sqref="G295">
    <cfRule type="cellIs" dxfId="9981" priority="11525" stopIfTrue="1" operator="notEqual">
      <formula>H295</formula>
    </cfRule>
  </conditionalFormatting>
  <conditionalFormatting sqref="G296">
    <cfRule type="cellIs" dxfId="9980" priority="11524" stopIfTrue="1" operator="notEqual">
      <formula>H296</formula>
    </cfRule>
  </conditionalFormatting>
  <conditionalFormatting sqref="G297">
    <cfRule type="cellIs" dxfId="9979" priority="11523" stopIfTrue="1" operator="notEqual">
      <formula>H297</formula>
    </cfRule>
  </conditionalFormatting>
  <conditionalFormatting sqref="G298">
    <cfRule type="cellIs" dxfId="9978" priority="11522" stopIfTrue="1" operator="notEqual">
      <formula>H298</formula>
    </cfRule>
  </conditionalFormatting>
  <conditionalFormatting sqref="G299:G300">
    <cfRule type="cellIs" dxfId="9977" priority="11521" stopIfTrue="1" operator="notEqual">
      <formula>H299</formula>
    </cfRule>
  </conditionalFormatting>
  <conditionalFormatting sqref="G300">
    <cfRule type="cellIs" dxfId="9976" priority="11520" stopIfTrue="1" operator="notEqual">
      <formula>H300</formula>
    </cfRule>
  </conditionalFormatting>
  <conditionalFormatting sqref="G301">
    <cfRule type="cellIs" dxfId="9975" priority="11519" stopIfTrue="1" operator="notEqual">
      <formula>H301</formula>
    </cfRule>
  </conditionalFormatting>
  <conditionalFormatting sqref="G302">
    <cfRule type="cellIs" dxfId="9974" priority="11518" stopIfTrue="1" operator="notEqual">
      <formula>H302</formula>
    </cfRule>
  </conditionalFormatting>
  <conditionalFormatting sqref="O266:O279 M266:M279 G266:G279 K266:K279 S266:S279 U266:U279 W266:W279 I266:I279 Q266:Q279">
    <cfRule type="cellIs" dxfId="9973" priority="11517" stopIfTrue="1" operator="notEqual">
      <formula>H266</formula>
    </cfRule>
  </conditionalFormatting>
  <conditionalFormatting sqref="O256:O258 M256:M258 G256:G258 K256:K258 S256:S258 U256:U258 W256:W258 I256:I258 Q256:Q258">
    <cfRule type="cellIs" dxfId="9972" priority="11516" stopIfTrue="1" operator="notEqual">
      <formula>H256</formula>
    </cfRule>
  </conditionalFormatting>
  <conditionalFormatting sqref="O257 M257 G257 K257 S257 U257 W257 I257 Q257">
    <cfRule type="cellIs" dxfId="9971" priority="11515" stopIfTrue="1" operator="notEqual">
      <formula>H257</formula>
    </cfRule>
  </conditionalFormatting>
  <conditionalFormatting sqref="O258 M258 G258 K258 S258 U258 W258 I258 Q258">
    <cfRule type="cellIs" dxfId="9970" priority="11514" stopIfTrue="1" operator="notEqual">
      <formula>H258</formula>
    </cfRule>
  </conditionalFormatting>
  <conditionalFormatting sqref="O259 M259 G259 K259 S259 U259 W259 I259 Q259">
    <cfRule type="cellIs" dxfId="9969" priority="11513" stopIfTrue="1" operator="notEqual">
      <formula>H259</formula>
    </cfRule>
  </conditionalFormatting>
  <conditionalFormatting sqref="O260 M260 G260 K260 S260 U260 W260 I260 Q260">
    <cfRule type="cellIs" dxfId="9968" priority="11512" stopIfTrue="1" operator="notEqual">
      <formula>H260</formula>
    </cfRule>
  </conditionalFormatting>
  <conditionalFormatting sqref="O261 M261 G261 K261 S261 U261 W261 I261 Q261">
    <cfRule type="cellIs" dxfId="9967" priority="11511" stopIfTrue="1" operator="notEqual">
      <formula>H261</formula>
    </cfRule>
  </conditionalFormatting>
  <conditionalFormatting sqref="O262 M262 G262 K262 S262 U262 W262 I262 Q262">
    <cfRule type="cellIs" dxfId="9966" priority="11510" stopIfTrue="1" operator="notEqual">
      <formula>H262</formula>
    </cfRule>
  </conditionalFormatting>
  <conditionalFormatting sqref="O263 G263 K263 S263 U263 W263 I263 Q263">
    <cfRule type="cellIs" dxfId="9965" priority="11509" stopIfTrue="1" operator="notEqual">
      <formula>H263</formula>
    </cfRule>
  </conditionalFormatting>
  <conditionalFormatting sqref="O264 M264 G264 K264 S264 U264 W264 I264 Q264">
    <cfRule type="cellIs" dxfId="9964" priority="11508" stopIfTrue="1" operator="notEqual">
      <formula>H264</formula>
    </cfRule>
  </conditionalFormatting>
  <conditionalFormatting sqref="O265 M265 G265 K265 S265 U265 W265 I265 Q265">
    <cfRule type="cellIs" dxfId="9963" priority="11507" stopIfTrue="1" operator="notEqual">
      <formula>H265</formula>
    </cfRule>
  </conditionalFormatting>
  <conditionalFormatting sqref="O268:O279 M268:M279 G268:G279 K268:K279 S268:S279 U268:U279 W268:W279 I268:I279 Q268:Q279">
    <cfRule type="cellIs" dxfId="9962" priority="11506" stopIfTrue="1" operator="notEqual">
      <formula>H268</formula>
    </cfRule>
  </conditionalFormatting>
  <conditionalFormatting sqref="O269 M269 G269 K269 S269 U269 W269 I269 Q269">
    <cfRule type="cellIs" dxfId="9961" priority="11505" stopIfTrue="1" operator="notEqual">
      <formula>H269</formula>
    </cfRule>
  </conditionalFormatting>
  <conditionalFormatting sqref="O269 M269 G269 K269 S269 U269 W269 I269 Q269">
    <cfRule type="cellIs" dxfId="9960" priority="11504" stopIfTrue="1" operator="notEqual">
      <formula>H269</formula>
    </cfRule>
  </conditionalFormatting>
  <conditionalFormatting sqref="O267 M267 G267 K267 S267 U267 W267 I267 Q267">
    <cfRule type="cellIs" dxfId="9959" priority="11503" stopIfTrue="1" operator="notEqual">
      <formula>H267</formula>
    </cfRule>
  </conditionalFormatting>
  <conditionalFormatting sqref="O272 M272 G272 K272 S272 U272 W272 I272 Q272">
    <cfRule type="cellIs" dxfId="9958" priority="11502" stopIfTrue="1" operator="notEqual">
      <formula>H272</formula>
    </cfRule>
  </conditionalFormatting>
  <conditionalFormatting sqref="O273 M273 G273 K273 S273 U273 W273 I273 Q273">
    <cfRule type="cellIs" dxfId="9957" priority="11501" stopIfTrue="1" operator="notEqual">
      <formula>H273</formula>
    </cfRule>
  </conditionalFormatting>
  <conditionalFormatting sqref="O271 M271 G271 K271 S271 U271 W271 I271 Q271">
    <cfRule type="cellIs" dxfId="9956" priority="11500" stopIfTrue="1" operator="notEqual">
      <formula>H271</formula>
    </cfRule>
  </conditionalFormatting>
  <conditionalFormatting sqref="O274 M274 G274 K274 S274 U274 W274 I274 Q274">
    <cfRule type="cellIs" dxfId="9955" priority="11499" stopIfTrue="1" operator="notEqual">
      <formula>H274</formula>
    </cfRule>
  </conditionalFormatting>
  <conditionalFormatting sqref="O275 M275 G275 K275 S275 U275 W275 I275 Q275">
    <cfRule type="cellIs" dxfId="9954" priority="11498" stopIfTrue="1" operator="notEqual">
      <formula>H275</formula>
    </cfRule>
  </conditionalFormatting>
  <conditionalFormatting sqref="O276 M276 G276 K276 S276 U276 W276 I276 Q276">
    <cfRule type="cellIs" dxfId="9953" priority="11497" stopIfTrue="1" operator="notEqual">
      <formula>H276</formula>
    </cfRule>
  </conditionalFormatting>
  <conditionalFormatting sqref="O277 M277 G277 K277 S277 U277 W277 I277 Q277">
    <cfRule type="cellIs" dxfId="9952" priority="11496" stopIfTrue="1" operator="notEqual">
      <formula>H277</formula>
    </cfRule>
  </conditionalFormatting>
  <conditionalFormatting sqref="O278 M278 G278 K278 S278 U278 W278 I278 Q278">
    <cfRule type="cellIs" dxfId="9951" priority="11495" stopIfTrue="1" operator="notEqual">
      <formula>H278</formula>
    </cfRule>
  </conditionalFormatting>
  <conditionalFormatting sqref="O279 M279 G279 K279 S279 U279 W279 I279 Q279">
    <cfRule type="cellIs" dxfId="9950" priority="11494" stopIfTrue="1" operator="notEqual">
      <formula>H279</formula>
    </cfRule>
  </conditionalFormatting>
  <conditionalFormatting sqref="O280 M280 G280 K280 S280 U280 W280 I280 Q280">
    <cfRule type="cellIs" dxfId="9949" priority="11493" stopIfTrue="1" operator="notEqual">
      <formula>H280</formula>
    </cfRule>
  </conditionalFormatting>
  <conditionalFormatting sqref="O281 M281 G281 K281 S281 U281 W281 I281 Q281">
    <cfRule type="cellIs" dxfId="9948" priority="11492" stopIfTrue="1" operator="notEqual">
      <formula>H281</formula>
    </cfRule>
  </conditionalFormatting>
  <conditionalFormatting sqref="O282 M282 G282 K282 S282 U282 W282 I282 Q282">
    <cfRule type="cellIs" dxfId="9947" priority="11491" stopIfTrue="1" operator="notEqual">
      <formula>H282</formula>
    </cfRule>
  </conditionalFormatting>
  <conditionalFormatting sqref="O283 M283 G283 K283 S283 U283 W283 I283 Q283">
    <cfRule type="cellIs" dxfId="9946" priority="11490" stopIfTrue="1" operator="notEqual">
      <formula>H283</formula>
    </cfRule>
  </conditionalFormatting>
  <conditionalFormatting sqref="O284 M284 G284 K284 S284 U284 W284 I284 Q284">
    <cfRule type="cellIs" dxfId="9945" priority="11489" stopIfTrue="1" operator="notEqual">
      <formula>H284</formula>
    </cfRule>
  </conditionalFormatting>
  <conditionalFormatting sqref="O285 M285 G285 K285 S285 U285 W285 I285 Q285">
    <cfRule type="cellIs" dxfId="9944" priority="11488" stopIfTrue="1" operator="notEqual">
      <formula>H285</formula>
    </cfRule>
  </conditionalFormatting>
  <conditionalFormatting sqref="O286 M286 G286 K286 S286 U286 W286 I286 Q286">
    <cfRule type="cellIs" dxfId="9943" priority="11487" stopIfTrue="1" operator="notEqual">
      <formula>H286</formula>
    </cfRule>
  </conditionalFormatting>
  <conditionalFormatting sqref="O256:O258 M256:M258 G256:G258 K256:K258 S256:S258 U256:U258 W256:W258 I256:I258 Q256:Q258">
    <cfRule type="cellIs" dxfId="9942" priority="11486" stopIfTrue="1" operator="notEqual">
      <formula>H256</formula>
    </cfRule>
  </conditionalFormatting>
  <conditionalFormatting sqref="O257 M257 G257 K257 S257 U257 W257 I257 Q257">
    <cfRule type="cellIs" dxfId="9941" priority="11485" stopIfTrue="1" operator="notEqual">
      <formula>H257</formula>
    </cfRule>
  </conditionalFormatting>
  <conditionalFormatting sqref="O258 M258 G258 K258 S258 U258 W258 I258 Q258">
    <cfRule type="cellIs" dxfId="9940" priority="11484" stopIfTrue="1" operator="notEqual">
      <formula>H258</formula>
    </cfRule>
  </conditionalFormatting>
  <conditionalFormatting sqref="O256:O258 M256:M258 G256:G258 K256:K258 S256:S258 U256:U258 W256:W258 I256:I258 Q256:Q258">
    <cfRule type="cellIs" dxfId="9939" priority="11483" stopIfTrue="1" operator="notEqual">
      <formula>H256</formula>
    </cfRule>
  </conditionalFormatting>
  <conditionalFormatting sqref="O259 M259 G259 K259 S259 U259 W259 I259 Q259">
    <cfRule type="cellIs" dxfId="9938" priority="11482" stopIfTrue="1" operator="notEqual">
      <formula>H259</formula>
    </cfRule>
  </conditionalFormatting>
  <conditionalFormatting sqref="O260 M260 G260 K260 S260 U260 W260 I260 Q260">
    <cfRule type="cellIs" dxfId="9937" priority="11481" stopIfTrue="1" operator="notEqual">
      <formula>H260</formula>
    </cfRule>
  </conditionalFormatting>
  <conditionalFormatting sqref="O261 M261 G261 K261 S261 U261 W261 I261 Q261">
    <cfRule type="cellIs" dxfId="9936" priority="11480" stopIfTrue="1" operator="notEqual">
      <formula>H261</formula>
    </cfRule>
  </conditionalFormatting>
  <conditionalFormatting sqref="O262 M262 G262 K262 S262 U262 W262 I262 Q262">
    <cfRule type="cellIs" dxfId="9935" priority="11479" stopIfTrue="1" operator="notEqual">
      <formula>H262</formula>
    </cfRule>
  </conditionalFormatting>
  <conditionalFormatting sqref="O263 G263 K263 S263 U263 W263 I263 Q263">
    <cfRule type="cellIs" dxfId="9934" priority="11478" stopIfTrue="1" operator="notEqual">
      <formula>H263</formula>
    </cfRule>
  </conditionalFormatting>
  <conditionalFormatting sqref="O264 M264 G264 K264 S264 U264 W264 I264 Q264">
    <cfRule type="cellIs" dxfId="9933" priority="11477" stopIfTrue="1" operator="notEqual">
      <formula>H264</formula>
    </cfRule>
  </conditionalFormatting>
  <conditionalFormatting sqref="O265 M265 G265 K265 S265 U265 W265 I265 Q265">
    <cfRule type="cellIs" dxfId="9932" priority="11476" stopIfTrue="1" operator="notEqual">
      <formula>H265</formula>
    </cfRule>
  </conditionalFormatting>
  <conditionalFormatting sqref="O266 M266 G266 K266 S266 U266 W266 I266 Q266">
    <cfRule type="cellIs" dxfId="9931" priority="11475" stopIfTrue="1" operator="notEqual">
      <formula>H266</formula>
    </cfRule>
  </conditionalFormatting>
  <conditionalFormatting sqref="O267 M267 G267 K267 S267 U267 W267 I267 Q267">
    <cfRule type="cellIs" dxfId="9930" priority="11474" stopIfTrue="1" operator="notEqual">
      <formula>H267</formula>
    </cfRule>
  </conditionalFormatting>
  <conditionalFormatting sqref="O268:O279 M268:M279 G268:G279 K268:K279 S268:S279 U268:U279 W268:W279 I268:I279 Q268:Q279">
    <cfRule type="cellIs" dxfId="9929" priority="11473" stopIfTrue="1" operator="notEqual">
      <formula>H268</formula>
    </cfRule>
  </conditionalFormatting>
  <conditionalFormatting sqref="O269 M269 G269 K269 S269 U269 W269 I269 Q269">
    <cfRule type="cellIs" dxfId="9928" priority="11472" stopIfTrue="1" operator="notEqual">
      <formula>H269</formula>
    </cfRule>
  </conditionalFormatting>
  <conditionalFormatting sqref="O270 M270 G270 K270 S270 U270 W270 I270 Q270">
    <cfRule type="cellIs" dxfId="9927" priority="11471" stopIfTrue="1" operator="notEqual">
      <formula>H270</formula>
    </cfRule>
  </conditionalFormatting>
  <conditionalFormatting sqref="O271 M271 G271 K271 S271 U271 W271 I271 Q271">
    <cfRule type="cellIs" dxfId="9926" priority="11470" stopIfTrue="1" operator="notEqual">
      <formula>H271</formula>
    </cfRule>
  </conditionalFormatting>
  <conditionalFormatting sqref="G286:G287">
    <cfRule type="cellIs" dxfId="9925" priority="11469" stopIfTrue="1" operator="notEqual">
      <formula>H286</formula>
    </cfRule>
  </conditionalFormatting>
  <conditionalFormatting sqref="G272">
    <cfRule type="cellIs" dxfId="9924" priority="11468" stopIfTrue="1" operator="notEqual">
      <formula>H272</formula>
    </cfRule>
  </conditionalFormatting>
  <conditionalFormatting sqref="G273">
    <cfRule type="cellIs" dxfId="9923" priority="11467" stopIfTrue="1" operator="notEqual">
      <formula>H273</formula>
    </cfRule>
  </conditionalFormatting>
  <conditionalFormatting sqref="G274">
    <cfRule type="cellIs" dxfId="9922" priority="11466" stopIfTrue="1" operator="notEqual">
      <formula>H274</formula>
    </cfRule>
  </conditionalFormatting>
  <conditionalFormatting sqref="G275">
    <cfRule type="cellIs" dxfId="9921" priority="11465" stopIfTrue="1" operator="notEqual">
      <formula>H275</formula>
    </cfRule>
  </conditionalFormatting>
  <conditionalFormatting sqref="G276">
    <cfRule type="cellIs" dxfId="9920" priority="11464" stopIfTrue="1" operator="notEqual">
      <formula>H276</formula>
    </cfRule>
  </conditionalFormatting>
  <conditionalFormatting sqref="G277">
    <cfRule type="cellIs" dxfId="9919" priority="11463" stopIfTrue="1" operator="notEqual">
      <formula>H277</formula>
    </cfRule>
  </conditionalFormatting>
  <conditionalFormatting sqref="G278">
    <cfRule type="cellIs" dxfId="9918" priority="11462" stopIfTrue="1" operator="notEqual">
      <formula>H278</formula>
    </cfRule>
  </conditionalFormatting>
  <conditionalFormatting sqref="G279">
    <cfRule type="cellIs" dxfId="9917" priority="11461" stopIfTrue="1" operator="notEqual">
      <formula>H279</formula>
    </cfRule>
  </conditionalFormatting>
  <conditionalFormatting sqref="G280">
    <cfRule type="cellIs" dxfId="9916" priority="11460" stopIfTrue="1" operator="notEqual">
      <formula>H280</formula>
    </cfRule>
  </conditionalFormatting>
  <conditionalFormatting sqref="G281">
    <cfRule type="cellIs" dxfId="9915" priority="11459" stopIfTrue="1" operator="notEqual">
      <formula>H281</formula>
    </cfRule>
  </conditionalFormatting>
  <conditionalFormatting sqref="G282">
    <cfRule type="cellIs" dxfId="9914" priority="11458" stopIfTrue="1" operator="notEqual">
      <formula>H282</formula>
    </cfRule>
  </conditionalFormatting>
  <conditionalFormatting sqref="G283">
    <cfRule type="cellIs" dxfId="9913" priority="11457" stopIfTrue="1" operator="notEqual">
      <formula>H283</formula>
    </cfRule>
  </conditionalFormatting>
  <conditionalFormatting sqref="G284">
    <cfRule type="cellIs" dxfId="9912" priority="11456" stopIfTrue="1" operator="notEqual">
      <formula>H284</formula>
    </cfRule>
  </conditionalFormatting>
  <conditionalFormatting sqref="G285">
    <cfRule type="cellIs" dxfId="9911" priority="11455" stopIfTrue="1" operator="notEqual">
      <formula>H285</formula>
    </cfRule>
  </conditionalFormatting>
  <conditionalFormatting sqref="G272">
    <cfRule type="cellIs" dxfId="9910" priority="11454" stopIfTrue="1" operator="notEqual">
      <formula>H272</formula>
    </cfRule>
  </conditionalFormatting>
  <conditionalFormatting sqref="G272">
    <cfRule type="cellIs" dxfId="9909" priority="11453" stopIfTrue="1" operator="notEqual">
      <formula>H272</formula>
    </cfRule>
  </conditionalFormatting>
  <conditionalFormatting sqref="G272">
    <cfRule type="cellIs" dxfId="9908" priority="11452" stopIfTrue="1" operator="notEqual">
      <formula>H272</formula>
    </cfRule>
  </conditionalFormatting>
  <conditionalFormatting sqref="G272">
    <cfRule type="cellIs" dxfId="9907" priority="11451" stopIfTrue="1" operator="notEqual">
      <formula>H272</formula>
    </cfRule>
  </conditionalFormatting>
  <conditionalFormatting sqref="G272">
    <cfRule type="cellIs" dxfId="9906" priority="11450" stopIfTrue="1" operator="notEqual">
      <formula>H272</formula>
    </cfRule>
  </conditionalFormatting>
  <conditionalFormatting sqref="G272">
    <cfRule type="cellIs" dxfId="9905" priority="11449" stopIfTrue="1" operator="notEqual">
      <formula>H272</formula>
    </cfRule>
  </conditionalFormatting>
  <conditionalFormatting sqref="G287">
    <cfRule type="cellIs" dxfId="9904" priority="11448" stopIfTrue="1" operator="notEqual">
      <formula>H287</formula>
    </cfRule>
  </conditionalFormatting>
  <conditionalFormatting sqref="O282:O287 M282:M287 G282:G287 K282:K287 S282:S287 U282:U287 W282:W287 I282:I287 Q282:Q287">
    <cfRule type="cellIs" dxfId="9903" priority="11447" stopIfTrue="1" operator="notEqual">
      <formula>H282</formula>
    </cfRule>
  </conditionalFormatting>
  <conditionalFormatting sqref="O272 M272 G272 K272 S272 U272 W272 I272 Q272">
    <cfRule type="cellIs" dxfId="9902" priority="11446" stopIfTrue="1" operator="notEqual">
      <formula>H272</formula>
    </cfRule>
  </conditionalFormatting>
  <conditionalFormatting sqref="O273 M273 G273 K273 S273 U273 W273 I273 Q273">
    <cfRule type="cellIs" dxfId="9901" priority="11445" stopIfTrue="1" operator="notEqual">
      <formula>H273</formula>
    </cfRule>
  </conditionalFormatting>
  <conditionalFormatting sqref="O274 M274 G274 K274 S274 U274 W274 I274 Q274">
    <cfRule type="cellIs" dxfId="9900" priority="11444" stopIfTrue="1" operator="notEqual">
      <formula>H274</formula>
    </cfRule>
  </conditionalFormatting>
  <conditionalFormatting sqref="O275 M275 G275 K275 S275 U275 W275 I275 Q275">
    <cfRule type="cellIs" dxfId="9899" priority="11443" stopIfTrue="1" operator="notEqual">
      <formula>H275</formula>
    </cfRule>
  </conditionalFormatting>
  <conditionalFormatting sqref="O276 M276 G276 K276 S276 U276 W276 I276 Q276">
    <cfRule type="cellIs" dxfId="9898" priority="11442" stopIfTrue="1" operator="notEqual">
      <formula>H276</formula>
    </cfRule>
  </conditionalFormatting>
  <conditionalFormatting sqref="O277 M277 G277 K277 S277 U277 W277 I277 Q277">
    <cfRule type="cellIs" dxfId="9897" priority="11441" stopIfTrue="1" operator="notEqual">
      <formula>H277</formula>
    </cfRule>
  </conditionalFormatting>
  <conditionalFormatting sqref="O278 M278 G278 K278 S278 U278 W278 I278 Q278">
    <cfRule type="cellIs" dxfId="9896" priority="11440" stopIfTrue="1" operator="notEqual">
      <formula>H278</formula>
    </cfRule>
  </conditionalFormatting>
  <conditionalFormatting sqref="O279 M279 G279 K279 S279 U279 W279 I279 Q279">
    <cfRule type="cellIs" dxfId="9895" priority="11439" stopIfTrue="1" operator="notEqual">
      <formula>H279</formula>
    </cfRule>
  </conditionalFormatting>
  <conditionalFormatting sqref="O280 M280 G280 K280 S280 U280 W280 I280 Q280">
    <cfRule type="cellIs" dxfId="9894" priority="11438" stopIfTrue="1" operator="notEqual">
      <formula>H280</formula>
    </cfRule>
  </conditionalFormatting>
  <conditionalFormatting sqref="O281 M281 G281 K281 S281 U281 W281 I281 Q281">
    <cfRule type="cellIs" dxfId="9893" priority="11437" stopIfTrue="1" operator="notEqual">
      <formula>H281</formula>
    </cfRule>
  </conditionalFormatting>
  <conditionalFormatting sqref="O284 M284 G284 K284 S284 U284 W284 I284 Q284">
    <cfRule type="cellIs" dxfId="9892" priority="11436" stopIfTrue="1" operator="notEqual">
      <formula>H284</formula>
    </cfRule>
  </conditionalFormatting>
  <conditionalFormatting sqref="O285 M285 G285 K285 S285 U285 W285 I285 Q285">
    <cfRule type="cellIs" dxfId="9891" priority="11435" stopIfTrue="1" operator="notEqual">
      <formula>H285</formula>
    </cfRule>
  </conditionalFormatting>
  <conditionalFormatting sqref="O285 M285 G285 K285 S285 U285 W285 I285 Q285">
    <cfRule type="cellIs" dxfId="9890" priority="11434" stopIfTrue="1" operator="notEqual">
      <formula>H285</formula>
    </cfRule>
  </conditionalFormatting>
  <conditionalFormatting sqref="O283 M283 G283 K283 S283 U283 W283 I283 Q283">
    <cfRule type="cellIs" dxfId="9889" priority="11433" stopIfTrue="1" operator="notEqual">
      <formula>H283</formula>
    </cfRule>
  </conditionalFormatting>
  <conditionalFormatting sqref="O287 M287 G287 K287 S287 U287 W287 I287 Q287">
    <cfRule type="cellIs" dxfId="9888" priority="11432" stopIfTrue="1" operator="notEqual">
      <formula>H287</formula>
    </cfRule>
  </conditionalFormatting>
  <conditionalFormatting sqref="O272 M272 G272 K272 S272 U272 W272 I272 Q272">
    <cfRule type="cellIs" dxfId="9887" priority="11431" stopIfTrue="1" operator="notEqual">
      <formula>H272</formula>
    </cfRule>
  </conditionalFormatting>
  <conditionalFormatting sqref="O273 M273 G273 K273 S273 U273 W273 I273 Q273">
    <cfRule type="cellIs" dxfId="9886" priority="11430" stopIfTrue="1" operator="notEqual">
      <formula>H273</formula>
    </cfRule>
  </conditionalFormatting>
  <conditionalFormatting sqref="O274 M274 G274 K274 S274 U274 W274 I274 Q274">
    <cfRule type="cellIs" dxfId="9885" priority="11429" stopIfTrue="1" operator="notEqual">
      <formula>H274</formula>
    </cfRule>
  </conditionalFormatting>
  <conditionalFormatting sqref="O272 M272 G272 K272 S272 U272 W272 I272 Q272">
    <cfRule type="cellIs" dxfId="9884" priority="11428" stopIfTrue="1" operator="notEqual">
      <formula>H272</formula>
    </cfRule>
  </conditionalFormatting>
  <conditionalFormatting sqref="O275 M275 G275 K275 S275 U275 W275 I275 Q275">
    <cfRule type="cellIs" dxfId="9883" priority="11427" stopIfTrue="1" operator="notEqual">
      <formula>H275</formula>
    </cfRule>
  </conditionalFormatting>
  <conditionalFormatting sqref="O276 M276 G276 K276 S276 U276 W276 I276 Q276">
    <cfRule type="cellIs" dxfId="9882" priority="11426" stopIfTrue="1" operator="notEqual">
      <formula>H276</formula>
    </cfRule>
  </conditionalFormatting>
  <conditionalFormatting sqref="O277 M277 G277 K277 S277 U277 W277 I277 Q277">
    <cfRule type="cellIs" dxfId="9881" priority="11425" stopIfTrue="1" operator="notEqual">
      <formula>H277</formula>
    </cfRule>
  </conditionalFormatting>
  <conditionalFormatting sqref="O278 M278 G278 K278 S278 U278 W278 I278 Q278">
    <cfRule type="cellIs" dxfId="9880" priority="11424" stopIfTrue="1" operator="notEqual">
      <formula>H278</formula>
    </cfRule>
  </conditionalFormatting>
  <conditionalFormatting sqref="O279 M279 G279 K279 S279 U279 W279 I279 Q279">
    <cfRule type="cellIs" dxfId="9879" priority="11423" stopIfTrue="1" operator="notEqual">
      <formula>H279</formula>
    </cfRule>
  </conditionalFormatting>
  <conditionalFormatting sqref="O280 M280 G280 K280 S280 U280 W280 I280 Q280">
    <cfRule type="cellIs" dxfId="9878" priority="11422" stopIfTrue="1" operator="notEqual">
      <formula>H280</formula>
    </cfRule>
  </conditionalFormatting>
  <conditionalFormatting sqref="O281 M281 G281 K281 S281 U281 W281 I281 Q281">
    <cfRule type="cellIs" dxfId="9877" priority="11421" stopIfTrue="1" operator="notEqual">
      <formula>H281</formula>
    </cfRule>
  </conditionalFormatting>
  <conditionalFormatting sqref="O282 M282 G282 K282 S282 U282 W282 I282 Q282">
    <cfRule type="cellIs" dxfId="9876" priority="11420" stopIfTrue="1" operator="notEqual">
      <formula>H282</formula>
    </cfRule>
  </conditionalFormatting>
  <conditionalFormatting sqref="O283 M283 G283 K283 S283 U283 W283 I283 Q283">
    <cfRule type="cellIs" dxfId="9875" priority="11419" stopIfTrue="1" operator="notEqual">
      <formula>H283</formula>
    </cfRule>
  </conditionalFormatting>
  <conditionalFormatting sqref="O284 M284 G284 K284 S284 U284 W284 I284 Q284">
    <cfRule type="cellIs" dxfId="9874" priority="11418" stopIfTrue="1" operator="notEqual">
      <formula>H284</formula>
    </cfRule>
  </conditionalFormatting>
  <conditionalFormatting sqref="O285 M285 G285 K285 S285 U285 W285 I285 Q285">
    <cfRule type="cellIs" dxfId="9873" priority="11417" stopIfTrue="1" operator="notEqual">
      <formula>H285</formula>
    </cfRule>
  </conditionalFormatting>
  <conditionalFormatting sqref="O286 M286 G286 K286 S286 U286 W286 I286 Q286">
    <cfRule type="cellIs" dxfId="9872" priority="11416" stopIfTrue="1" operator="notEqual">
      <formula>H286</formula>
    </cfRule>
  </conditionalFormatting>
  <conditionalFormatting sqref="O287 M287 G287 K287 S287 U287 W287 I287 Q287">
    <cfRule type="cellIs" dxfId="9871" priority="11415" stopIfTrue="1" operator="notEqual">
      <formula>H287</formula>
    </cfRule>
  </conditionalFormatting>
  <conditionalFormatting sqref="G287:G294">
    <cfRule type="cellIs" dxfId="9870" priority="11414" stopIfTrue="1" operator="notEqual">
      <formula>H287</formula>
    </cfRule>
  </conditionalFormatting>
  <conditionalFormatting sqref="G287">
    <cfRule type="cellIs" dxfId="9869" priority="11413" stopIfTrue="1" operator="notEqual">
      <formula>H287</formula>
    </cfRule>
  </conditionalFormatting>
  <conditionalFormatting sqref="G288">
    <cfRule type="cellIs" dxfId="9868" priority="11412" stopIfTrue="1" operator="notEqual">
      <formula>H288</formula>
    </cfRule>
  </conditionalFormatting>
  <conditionalFormatting sqref="G288">
    <cfRule type="cellIs" dxfId="9867" priority="11411" stopIfTrue="1" operator="notEqual">
      <formula>H288</formula>
    </cfRule>
  </conditionalFormatting>
  <conditionalFormatting sqref="G291">
    <cfRule type="cellIs" dxfId="9866" priority="11410" stopIfTrue="1" operator="notEqual">
      <formula>H291</formula>
    </cfRule>
  </conditionalFormatting>
  <conditionalFormatting sqref="G292">
    <cfRule type="cellIs" dxfId="9865" priority="11409" stopIfTrue="1" operator="notEqual">
      <formula>H292</formula>
    </cfRule>
  </conditionalFormatting>
  <conditionalFormatting sqref="G290">
    <cfRule type="cellIs" dxfId="9864" priority="11408" stopIfTrue="1" operator="notEqual">
      <formula>H290</formula>
    </cfRule>
  </conditionalFormatting>
  <conditionalFormatting sqref="G293">
    <cfRule type="cellIs" dxfId="9863" priority="11407" stopIfTrue="1" operator="notEqual">
      <formula>H293</formula>
    </cfRule>
  </conditionalFormatting>
  <conditionalFormatting sqref="G294">
    <cfRule type="cellIs" dxfId="9862" priority="11406" stopIfTrue="1" operator="notEqual">
      <formula>H294</formula>
    </cfRule>
  </conditionalFormatting>
  <conditionalFormatting sqref="G295">
    <cfRule type="cellIs" dxfId="9861" priority="11405" stopIfTrue="1" operator="notEqual">
      <formula>H295</formula>
    </cfRule>
  </conditionalFormatting>
  <conditionalFormatting sqref="G296">
    <cfRule type="cellIs" dxfId="9860" priority="11404" stopIfTrue="1" operator="notEqual">
      <formula>H296</formula>
    </cfRule>
  </conditionalFormatting>
  <conditionalFormatting sqref="G297">
    <cfRule type="cellIs" dxfId="9859" priority="11403" stopIfTrue="1" operator="notEqual">
      <formula>H297</formula>
    </cfRule>
  </conditionalFormatting>
  <conditionalFormatting sqref="G298">
    <cfRule type="cellIs" dxfId="9858" priority="11402" stopIfTrue="1" operator="notEqual">
      <formula>H298</formula>
    </cfRule>
  </conditionalFormatting>
  <conditionalFormatting sqref="G299:G300">
    <cfRule type="cellIs" dxfId="9857" priority="11401" stopIfTrue="1" operator="notEqual">
      <formula>H299</formula>
    </cfRule>
  </conditionalFormatting>
  <conditionalFormatting sqref="G300">
    <cfRule type="cellIs" dxfId="9856" priority="11400" stopIfTrue="1" operator="notEqual">
      <formula>H300</formula>
    </cfRule>
  </conditionalFormatting>
  <conditionalFormatting sqref="G301">
    <cfRule type="cellIs" dxfId="9855" priority="11399" stopIfTrue="1" operator="notEqual">
      <formula>H301</formula>
    </cfRule>
  </conditionalFormatting>
  <conditionalFormatting sqref="G302">
    <cfRule type="cellIs" dxfId="9854" priority="11398" stopIfTrue="1" operator="notEqual">
      <formula>H302</formula>
    </cfRule>
  </conditionalFormatting>
  <conditionalFormatting sqref="O287 M287 G287 K287 S287 U287 W287 I287 Q287">
    <cfRule type="cellIs" dxfId="9853" priority="11397" stopIfTrue="1" operator="notEqual">
      <formula>H287</formula>
    </cfRule>
  </conditionalFormatting>
  <conditionalFormatting sqref="O288 M288 G288 K288 S288 U288 W288 I288 Q288">
    <cfRule type="cellIs" dxfId="9852" priority="11396" stopIfTrue="1" operator="notEqual">
      <formula>H288</formula>
    </cfRule>
  </conditionalFormatting>
  <conditionalFormatting sqref="O289:O294 M289:M294 G289:G294 K289:K294 S289:S294 U289:U294 W289:W294 I289:I294 Q289:Q294">
    <cfRule type="cellIs" dxfId="9851" priority="11395" stopIfTrue="1" operator="notEqual">
      <formula>H289</formula>
    </cfRule>
  </conditionalFormatting>
  <conditionalFormatting sqref="O290 M290 G290 K290 S290 U290 W290 I290 Q290">
    <cfRule type="cellIs" dxfId="9850" priority="11394" stopIfTrue="1" operator="notEqual">
      <formula>H290</formula>
    </cfRule>
  </conditionalFormatting>
  <conditionalFormatting sqref="O291 M291 G291 K291 S291 U291 W291 I291 Q291">
    <cfRule type="cellIs" dxfId="9849" priority="11393" stopIfTrue="1" operator="notEqual">
      <formula>H291</formula>
    </cfRule>
  </conditionalFormatting>
  <conditionalFormatting sqref="O292 M292 G292 K292 S292 U292 W292 I292 Q292">
    <cfRule type="cellIs" dxfId="9848" priority="11392" stopIfTrue="1" operator="notEqual">
      <formula>H292</formula>
    </cfRule>
  </conditionalFormatting>
  <conditionalFormatting sqref="O293 M293 G293 K293 S293 U293 W293 I293 Q293">
    <cfRule type="cellIs" dxfId="9847" priority="11391" stopIfTrue="1" operator="notEqual">
      <formula>H293</formula>
    </cfRule>
  </conditionalFormatting>
  <conditionalFormatting sqref="O294 M294 G294 K294 S294 U294 W294 I294 Q294">
    <cfRule type="cellIs" dxfId="9846" priority="11390" stopIfTrue="1" operator="notEqual">
      <formula>H294</formula>
    </cfRule>
  </conditionalFormatting>
  <conditionalFormatting sqref="O295 M295 G295 K295 S295 U295 W295 I295 Q295">
    <cfRule type="cellIs" dxfId="9845" priority="11389" stopIfTrue="1" operator="notEqual">
      <formula>H295</formula>
    </cfRule>
  </conditionalFormatting>
  <conditionalFormatting sqref="O296 M296 G296 K296 S296 U296 W296 I296 Q296">
    <cfRule type="cellIs" dxfId="9844" priority="11388" stopIfTrue="1" operator="notEqual">
      <formula>H296</formula>
    </cfRule>
  </conditionalFormatting>
  <conditionalFormatting sqref="O297 M297 G297 K297 S297 U297 W297 I297 Q297">
    <cfRule type="cellIs" dxfId="9843" priority="11387" stopIfTrue="1" operator="notEqual">
      <formula>H297</formula>
    </cfRule>
  </conditionalFormatting>
  <conditionalFormatting sqref="O298 M298 G298 K298 S298 U298 W298 I298 Q298">
    <cfRule type="cellIs" dxfId="9842" priority="11386" stopIfTrue="1" operator="notEqual">
      <formula>H298</formula>
    </cfRule>
  </conditionalFormatting>
  <conditionalFormatting sqref="O299:O300 M299:M300 G299:G300 K299:K300 S299:S300 U299:U300 W299:W300 I299:I300 Q299:Q300">
    <cfRule type="cellIs" dxfId="9841" priority="11385" stopIfTrue="1" operator="notEqual">
      <formula>H299</formula>
    </cfRule>
  </conditionalFormatting>
  <conditionalFormatting sqref="O300 M300 G300 K300 S300 U300 W300 I300 Q300">
    <cfRule type="cellIs" dxfId="9840" priority="11384" stopIfTrue="1" operator="notEqual">
      <formula>H300</formula>
    </cfRule>
  </conditionalFormatting>
  <conditionalFormatting sqref="O301 M301 G301 K301 S301 U301 W301 I301 Q301">
    <cfRule type="cellIs" dxfId="9839" priority="11383" stopIfTrue="1" operator="notEqual">
      <formula>H301</formula>
    </cfRule>
  </conditionalFormatting>
  <conditionalFormatting sqref="G301:G302">
    <cfRule type="cellIs" dxfId="9838" priority="11382" stopIfTrue="1" operator="notEqual">
      <formula>H301</formula>
    </cfRule>
  </conditionalFormatting>
  <conditionalFormatting sqref="G287">
    <cfRule type="cellIs" dxfId="9837" priority="11381" stopIfTrue="1" operator="notEqual">
      <formula>H287</formula>
    </cfRule>
  </conditionalFormatting>
  <conditionalFormatting sqref="G288">
    <cfRule type="cellIs" dxfId="9836" priority="11380" stopIfTrue="1" operator="notEqual">
      <formula>H288</formula>
    </cfRule>
  </conditionalFormatting>
  <conditionalFormatting sqref="G289:G294">
    <cfRule type="cellIs" dxfId="9835" priority="11379" stopIfTrue="1" operator="notEqual">
      <formula>H289</formula>
    </cfRule>
  </conditionalFormatting>
  <conditionalFormatting sqref="G290">
    <cfRule type="cellIs" dxfId="9834" priority="11378" stopIfTrue="1" operator="notEqual">
      <formula>H290</formula>
    </cfRule>
  </conditionalFormatting>
  <conditionalFormatting sqref="G291">
    <cfRule type="cellIs" dxfId="9833" priority="11377" stopIfTrue="1" operator="notEqual">
      <formula>H291</formula>
    </cfRule>
  </conditionalFormatting>
  <conditionalFormatting sqref="G292">
    <cfRule type="cellIs" dxfId="9832" priority="11376" stopIfTrue="1" operator="notEqual">
      <formula>H292</formula>
    </cfRule>
  </conditionalFormatting>
  <conditionalFormatting sqref="G293">
    <cfRule type="cellIs" dxfId="9831" priority="11375" stopIfTrue="1" operator="notEqual">
      <formula>H293</formula>
    </cfRule>
  </conditionalFormatting>
  <conditionalFormatting sqref="G294">
    <cfRule type="cellIs" dxfId="9830" priority="11374" stopIfTrue="1" operator="notEqual">
      <formula>H294</formula>
    </cfRule>
  </conditionalFormatting>
  <conditionalFormatting sqref="G295">
    <cfRule type="cellIs" dxfId="9829" priority="11373" stopIfTrue="1" operator="notEqual">
      <formula>H295</formula>
    </cfRule>
  </conditionalFormatting>
  <conditionalFormatting sqref="G296">
    <cfRule type="cellIs" dxfId="9828" priority="11372" stopIfTrue="1" operator="notEqual">
      <formula>H296</formula>
    </cfRule>
  </conditionalFormatting>
  <conditionalFormatting sqref="G297">
    <cfRule type="cellIs" dxfId="9827" priority="11371" stopIfTrue="1" operator="notEqual">
      <formula>H297</formula>
    </cfRule>
  </conditionalFormatting>
  <conditionalFormatting sqref="G298">
    <cfRule type="cellIs" dxfId="9826" priority="11370" stopIfTrue="1" operator="notEqual">
      <formula>H298</formula>
    </cfRule>
  </conditionalFormatting>
  <conditionalFormatting sqref="G299:G300">
    <cfRule type="cellIs" dxfId="9825" priority="11369" stopIfTrue="1" operator="notEqual">
      <formula>H299</formula>
    </cfRule>
  </conditionalFormatting>
  <conditionalFormatting sqref="G300">
    <cfRule type="cellIs" dxfId="9824" priority="11368" stopIfTrue="1" operator="notEqual">
      <formula>H300</formula>
    </cfRule>
  </conditionalFormatting>
  <conditionalFormatting sqref="G287">
    <cfRule type="cellIs" dxfId="9823" priority="11367" stopIfTrue="1" operator="notEqual">
      <formula>H287</formula>
    </cfRule>
  </conditionalFormatting>
  <conditionalFormatting sqref="G287">
    <cfRule type="cellIs" dxfId="9822" priority="11366" stopIfTrue="1" operator="notEqual">
      <formula>H287</formula>
    </cfRule>
  </conditionalFormatting>
  <conditionalFormatting sqref="G287">
    <cfRule type="cellIs" dxfId="9821" priority="11365" stopIfTrue="1" operator="notEqual">
      <formula>H287</formula>
    </cfRule>
  </conditionalFormatting>
  <conditionalFormatting sqref="G287">
    <cfRule type="cellIs" dxfId="9820" priority="11364" stopIfTrue="1" operator="notEqual">
      <formula>H287</formula>
    </cfRule>
  </conditionalFormatting>
  <conditionalFormatting sqref="G287">
    <cfRule type="cellIs" dxfId="9819" priority="11363" stopIfTrue="1" operator="notEqual">
      <formula>H287</formula>
    </cfRule>
  </conditionalFormatting>
  <conditionalFormatting sqref="G287">
    <cfRule type="cellIs" dxfId="9818" priority="11362" stopIfTrue="1" operator="notEqual">
      <formula>H287</formula>
    </cfRule>
  </conditionalFormatting>
  <conditionalFormatting sqref="G302">
    <cfRule type="cellIs" dxfId="9817" priority="11361" stopIfTrue="1" operator="notEqual">
      <formula>H302</formula>
    </cfRule>
  </conditionalFormatting>
  <conditionalFormatting sqref="O297:O302 M297:M302 G297:G302 K297:K302 S297:S302 U297:U302 W297:W302 I297:I302 Q297:Q302">
    <cfRule type="cellIs" dxfId="9816" priority="11360" stopIfTrue="1" operator="notEqual">
      <formula>H297</formula>
    </cfRule>
  </conditionalFormatting>
  <conditionalFormatting sqref="O287 M287 G287 K287 S287 U287 W287 I287 Q287">
    <cfRule type="cellIs" dxfId="9815" priority="11359" stopIfTrue="1" operator="notEqual">
      <formula>H287</formula>
    </cfRule>
  </conditionalFormatting>
  <conditionalFormatting sqref="O288 M288 G288 K288 S288 U288 W288 I288 Q288">
    <cfRule type="cellIs" dxfId="9814" priority="11358" stopIfTrue="1" operator="notEqual">
      <formula>H288</formula>
    </cfRule>
  </conditionalFormatting>
  <conditionalFormatting sqref="O289:O294 M289:M294 G289:G294 K289:K294 S289:S294 U289:U294 W289:W294 I289:I294 Q289:Q294">
    <cfRule type="cellIs" dxfId="9813" priority="11357" stopIfTrue="1" operator="notEqual">
      <formula>H289</formula>
    </cfRule>
  </conditionalFormatting>
  <conditionalFormatting sqref="O290 M290 G290 K290 S290 U290 W290 I290 Q290">
    <cfRule type="cellIs" dxfId="9812" priority="11356" stopIfTrue="1" operator="notEqual">
      <formula>H290</formula>
    </cfRule>
  </conditionalFormatting>
  <conditionalFormatting sqref="O291 M291 G291 K291 S291 U291 W291 I291 Q291">
    <cfRule type="cellIs" dxfId="9811" priority="11355" stopIfTrue="1" operator="notEqual">
      <formula>H291</formula>
    </cfRule>
  </conditionalFormatting>
  <conditionalFormatting sqref="O292 M292 G292 K292 S292 U292 W292 I292 Q292">
    <cfRule type="cellIs" dxfId="9810" priority="11354" stopIfTrue="1" operator="notEqual">
      <formula>H292</formula>
    </cfRule>
  </conditionalFormatting>
  <conditionalFormatting sqref="O293 M293 G293 K293 S293 U293 W293 I293 Q293">
    <cfRule type="cellIs" dxfId="9809" priority="11353" stopIfTrue="1" operator="notEqual">
      <formula>H293</formula>
    </cfRule>
  </conditionalFormatting>
  <conditionalFormatting sqref="O294 M294 G294 K294 S294 U294 W294 I294 Q294">
    <cfRule type="cellIs" dxfId="9808" priority="11352" stopIfTrue="1" operator="notEqual">
      <formula>H294</formula>
    </cfRule>
  </conditionalFormatting>
  <conditionalFormatting sqref="O295 M295 G295 K295 S295 U295 W295 I295 Q295">
    <cfRule type="cellIs" dxfId="9807" priority="11351" stopIfTrue="1" operator="notEqual">
      <formula>H295</formula>
    </cfRule>
  </conditionalFormatting>
  <conditionalFormatting sqref="O296 M296 G296 K296 S296 U296 W296 I296 Q296">
    <cfRule type="cellIs" dxfId="9806" priority="11350" stopIfTrue="1" operator="notEqual">
      <formula>H296</formula>
    </cfRule>
  </conditionalFormatting>
  <conditionalFormatting sqref="O299:O300 M299:M300 G299:G300 K299:K300 S299:S300 U299:U300 W299:W300 I299:I300 Q299:Q300">
    <cfRule type="cellIs" dxfId="9805" priority="11349" stopIfTrue="1" operator="notEqual">
      <formula>H299</formula>
    </cfRule>
  </conditionalFormatting>
  <conditionalFormatting sqref="O300 M300 G300 K300 S300 U300 W300 I300 Q300">
    <cfRule type="cellIs" dxfId="9804" priority="11348" stopIfTrue="1" operator="notEqual">
      <formula>H300</formula>
    </cfRule>
  </conditionalFormatting>
  <conditionalFormatting sqref="O300 M300 G300 K300 S300 U300 W300 I300 Q300">
    <cfRule type="cellIs" dxfId="9803" priority="11347" stopIfTrue="1" operator="notEqual">
      <formula>H300</formula>
    </cfRule>
  </conditionalFormatting>
  <conditionalFormatting sqref="O298 M298 G298 K298 S298 U298 W298 I298 Q298">
    <cfRule type="cellIs" dxfId="9802" priority="11346" stopIfTrue="1" operator="notEqual">
      <formula>H298</formula>
    </cfRule>
  </conditionalFormatting>
  <conditionalFormatting sqref="O302 M302 G302 K302 S302 U302 W302 I302 Q302">
    <cfRule type="cellIs" dxfId="9801" priority="11345" stopIfTrue="1" operator="notEqual">
      <formula>H302</formula>
    </cfRule>
  </conditionalFormatting>
  <conditionalFormatting sqref="O287 M287 G287 K287 S287 U287 W287 I287 Q287">
    <cfRule type="cellIs" dxfId="9800" priority="11344" stopIfTrue="1" operator="notEqual">
      <formula>H287</formula>
    </cfRule>
  </conditionalFormatting>
  <conditionalFormatting sqref="O288 M288 G288 K288 S288 U288 W288 I288 Q288">
    <cfRule type="cellIs" dxfId="9799" priority="11343" stopIfTrue="1" operator="notEqual">
      <formula>H288</formula>
    </cfRule>
  </conditionalFormatting>
  <conditionalFormatting sqref="O289:O294 M289:M294 G289:G294 K289:K294 S289:S294 U289:U294 W289:W294 I289:I294 Q289:Q294">
    <cfRule type="cellIs" dxfId="9798" priority="11342" stopIfTrue="1" operator="notEqual">
      <formula>H289</formula>
    </cfRule>
  </conditionalFormatting>
  <conditionalFormatting sqref="O287 M287 G287 K287 S287 U287 W287 I287 Q287">
    <cfRule type="cellIs" dxfId="9797" priority="11341" stopIfTrue="1" operator="notEqual">
      <formula>H287</formula>
    </cfRule>
  </conditionalFormatting>
  <conditionalFormatting sqref="O290 M290 G290 K290 S290 U290 W290 I290 Q290">
    <cfRule type="cellIs" dxfId="9796" priority="11340" stopIfTrue="1" operator="notEqual">
      <formula>H290</formula>
    </cfRule>
  </conditionalFormatting>
  <conditionalFormatting sqref="O291 M291 G291 K291 S291 U291 W291 I291 Q291">
    <cfRule type="cellIs" dxfId="9795" priority="11339" stopIfTrue="1" operator="notEqual">
      <formula>H291</formula>
    </cfRule>
  </conditionalFormatting>
  <conditionalFormatting sqref="O292 M292 G292 K292 S292 U292 W292 I292 Q292">
    <cfRule type="cellIs" dxfId="9794" priority="11338" stopIfTrue="1" operator="notEqual">
      <formula>H292</formula>
    </cfRule>
  </conditionalFormatting>
  <conditionalFormatting sqref="O293 M293 G293 K293 S293 U293 W293 I293 Q293">
    <cfRule type="cellIs" dxfId="9793" priority="11337" stopIfTrue="1" operator="notEqual">
      <formula>H293</formula>
    </cfRule>
  </conditionalFormatting>
  <conditionalFormatting sqref="O294 M294 G294 K294 S294 U294 W294 I294 Q294">
    <cfRule type="cellIs" dxfId="9792" priority="11336" stopIfTrue="1" operator="notEqual">
      <formula>H294</formula>
    </cfRule>
  </conditionalFormatting>
  <conditionalFormatting sqref="O295 M295 G295 K295 S295 U295 W295 I295 Q295">
    <cfRule type="cellIs" dxfId="9791" priority="11335" stopIfTrue="1" operator="notEqual">
      <formula>H295</formula>
    </cfRule>
  </conditionalFormatting>
  <conditionalFormatting sqref="O296 M296 G296 K296 S296 U296 W296 I296 Q296">
    <cfRule type="cellIs" dxfId="9790" priority="11334" stopIfTrue="1" operator="notEqual">
      <formula>H296</formula>
    </cfRule>
  </conditionalFormatting>
  <conditionalFormatting sqref="O297 M297 G297 K297 S297 U297 W297 I297 Q297">
    <cfRule type="cellIs" dxfId="9789" priority="11333" stopIfTrue="1" operator="notEqual">
      <formula>H297</formula>
    </cfRule>
  </conditionalFormatting>
  <conditionalFormatting sqref="O298 M298 G298 K298 S298 U298 W298 I298 Q298">
    <cfRule type="cellIs" dxfId="9788" priority="11332" stopIfTrue="1" operator="notEqual">
      <formula>H298</formula>
    </cfRule>
  </conditionalFormatting>
  <conditionalFormatting sqref="O299:O300 M299:M300 G299:G300 K299:K300 S299:S300 U299:U300 W299:W300 I299:I300 Q299:Q300">
    <cfRule type="cellIs" dxfId="9787" priority="11331" stopIfTrue="1" operator="notEqual">
      <formula>H299</formula>
    </cfRule>
  </conditionalFormatting>
  <conditionalFormatting sqref="O300 M300 G300 K300 S300 U300 W300 I300 Q300">
    <cfRule type="cellIs" dxfId="9786" priority="11330" stopIfTrue="1" operator="notEqual">
      <formula>H300</formula>
    </cfRule>
  </conditionalFormatting>
  <conditionalFormatting sqref="O301 M301 G301 K301 S301 U301 W301 I301 Q301">
    <cfRule type="cellIs" dxfId="9785" priority="11329" stopIfTrue="1" operator="notEqual">
      <formula>H301</formula>
    </cfRule>
  </conditionalFormatting>
  <conditionalFormatting sqref="O302 M302 G302 K302 S302 U302 W302 I302 Q302">
    <cfRule type="cellIs" dxfId="9784" priority="11328" stopIfTrue="1" operator="notEqual">
      <formula>H302</formula>
    </cfRule>
  </conditionalFormatting>
  <conditionalFormatting sqref="O256:O260 M256:M260 G256:G260 K256:K260 S256:S260 U256:U260 W256:W260 I256:I260 Q256:Q260">
    <cfRule type="cellIs" dxfId="9783" priority="11327" stopIfTrue="1" operator="notEqual">
      <formula>H256</formula>
    </cfRule>
  </conditionalFormatting>
  <conditionalFormatting sqref="O257 M257 G257 K257 S257 U257 W257 I257 Q257">
    <cfRule type="cellIs" dxfId="9782" priority="11326" stopIfTrue="1" operator="notEqual">
      <formula>H257</formula>
    </cfRule>
  </conditionalFormatting>
  <conditionalFormatting sqref="O258 M258 G258 K258 S258 U258 W258 I258 Q258">
    <cfRule type="cellIs" dxfId="9781" priority="11325" stopIfTrue="1" operator="notEqual">
      <formula>H258</formula>
    </cfRule>
  </conditionalFormatting>
  <conditionalFormatting sqref="O258 M258 G258 K258 S258 U258 W258 I258 Q258">
    <cfRule type="cellIs" dxfId="9780" priority="11324" stopIfTrue="1" operator="notEqual">
      <formula>H258</formula>
    </cfRule>
  </conditionalFormatting>
  <conditionalFormatting sqref="O256:O258 M256:M258 G256:G258 K256:K258 S256:S258 U256:U258 W256:W258 I256:I258 Q256:Q258">
    <cfRule type="cellIs" dxfId="9779" priority="11323" stopIfTrue="1" operator="notEqual">
      <formula>H256</formula>
    </cfRule>
  </conditionalFormatting>
  <conditionalFormatting sqref="O261 M261 G261 K261 S261 U261 W261 I261 Q261">
    <cfRule type="cellIs" dxfId="9778" priority="11322" stopIfTrue="1" operator="notEqual">
      <formula>H261</formula>
    </cfRule>
  </conditionalFormatting>
  <conditionalFormatting sqref="O262 M262 G262 K262 S262 U262 W262 I262 Q262">
    <cfRule type="cellIs" dxfId="9777" priority="11321" stopIfTrue="1" operator="notEqual">
      <formula>H262</formula>
    </cfRule>
  </conditionalFormatting>
  <conditionalFormatting sqref="O260 M260 G260 K260 S260 U260 W260 I260 Q260">
    <cfRule type="cellIs" dxfId="9776" priority="11320" stopIfTrue="1" operator="notEqual">
      <formula>H260</formula>
    </cfRule>
  </conditionalFormatting>
  <conditionalFormatting sqref="O263 G263 K263 S263 U263 W263 I263 Q263">
    <cfRule type="cellIs" dxfId="9775" priority="11319" stopIfTrue="1" operator="notEqual">
      <formula>H263</formula>
    </cfRule>
  </conditionalFormatting>
  <conditionalFormatting sqref="O264 M264 G264 K264 S264 U264 W264 I264 Q264">
    <cfRule type="cellIs" dxfId="9774" priority="11318" stopIfTrue="1" operator="notEqual">
      <formula>H264</formula>
    </cfRule>
  </conditionalFormatting>
  <conditionalFormatting sqref="O265 M265 G265 K265 S265 U265 W265 I265 Q265">
    <cfRule type="cellIs" dxfId="9773" priority="11317" stopIfTrue="1" operator="notEqual">
      <formula>H265</formula>
    </cfRule>
  </conditionalFormatting>
  <conditionalFormatting sqref="O266 M266 G266 K266 S266 U266 W266 I266 Q266">
    <cfRule type="cellIs" dxfId="9772" priority="11316" stopIfTrue="1" operator="notEqual">
      <formula>H266</formula>
    </cfRule>
  </conditionalFormatting>
  <conditionalFormatting sqref="O267 M267 G267 K267 S267 U267 W267 I267 Q267">
    <cfRule type="cellIs" dxfId="9771" priority="11315" stopIfTrue="1" operator="notEqual">
      <formula>H267</formula>
    </cfRule>
  </conditionalFormatting>
  <conditionalFormatting sqref="O268:O279 M268:M279 G268:G279 K268:K279 S268:S279 U268:U279 W268:W279 I268:I279 Q268:Q279">
    <cfRule type="cellIs" dxfId="9770" priority="11314" stopIfTrue="1" operator="notEqual">
      <formula>H268</formula>
    </cfRule>
  </conditionalFormatting>
  <conditionalFormatting sqref="O269 M269 G269 K269 S269 U269 W269 I269 Q269">
    <cfRule type="cellIs" dxfId="9769" priority="11313" stopIfTrue="1" operator="notEqual">
      <formula>H269</formula>
    </cfRule>
  </conditionalFormatting>
  <conditionalFormatting sqref="O270 M270 G270 K270 S270 U270 W270 I270 Q270">
    <cfRule type="cellIs" dxfId="9768" priority="11312" stopIfTrue="1" operator="notEqual">
      <formula>H270</formula>
    </cfRule>
  </conditionalFormatting>
  <conditionalFormatting sqref="O271 M271 G271 K271 S271 U271 W271 I271 Q271">
    <cfRule type="cellIs" dxfId="9767" priority="11311" stopIfTrue="1" operator="notEqual">
      <formula>H271</formula>
    </cfRule>
  </conditionalFormatting>
  <conditionalFormatting sqref="O272 M272 G272 K272 S272 U272 W272 I272 Q272">
    <cfRule type="cellIs" dxfId="9766" priority="11310" stopIfTrue="1" operator="notEqual">
      <formula>H272</formula>
    </cfRule>
  </conditionalFormatting>
  <conditionalFormatting sqref="O273 M273 G273 K273 S273 U273 W273 I273 Q273">
    <cfRule type="cellIs" dxfId="9765" priority="11309" stopIfTrue="1" operator="notEqual">
      <formula>H273</formula>
    </cfRule>
  </conditionalFormatting>
  <conditionalFormatting sqref="O274 M274 G274 K274 S274 U274 W274 I274 Q274">
    <cfRule type="cellIs" dxfId="9764" priority="11308" stopIfTrue="1" operator="notEqual">
      <formula>H274</formula>
    </cfRule>
  </conditionalFormatting>
  <conditionalFormatting sqref="O275 M275 G275 K275 S275 U275 W275 I275 Q275">
    <cfRule type="cellIs" dxfId="9763" priority="11307" stopIfTrue="1" operator="notEqual">
      <formula>H275</formula>
    </cfRule>
  </conditionalFormatting>
  <conditionalFormatting sqref="G290:G295">
    <cfRule type="cellIs" dxfId="9762" priority="11306" stopIfTrue="1" operator="notEqual">
      <formula>H290</formula>
    </cfRule>
  </conditionalFormatting>
  <conditionalFormatting sqref="G276">
    <cfRule type="cellIs" dxfId="9761" priority="11305" stopIfTrue="1" operator="notEqual">
      <formula>H276</formula>
    </cfRule>
  </conditionalFormatting>
  <conditionalFormatting sqref="G277">
    <cfRule type="cellIs" dxfId="9760" priority="11304" stopIfTrue="1" operator="notEqual">
      <formula>H277</formula>
    </cfRule>
  </conditionalFormatting>
  <conditionalFormatting sqref="G278">
    <cfRule type="cellIs" dxfId="9759" priority="11303" stopIfTrue="1" operator="notEqual">
      <formula>H278</formula>
    </cfRule>
  </conditionalFormatting>
  <conditionalFormatting sqref="G279">
    <cfRule type="cellIs" dxfId="9758" priority="11302" stopIfTrue="1" operator="notEqual">
      <formula>H279</formula>
    </cfRule>
  </conditionalFormatting>
  <conditionalFormatting sqref="G280">
    <cfRule type="cellIs" dxfId="9757" priority="11301" stopIfTrue="1" operator="notEqual">
      <formula>H280</formula>
    </cfRule>
  </conditionalFormatting>
  <conditionalFormatting sqref="G281">
    <cfRule type="cellIs" dxfId="9756" priority="11300" stopIfTrue="1" operator="notEqual">
      <formula>H281</formula>
    </cfRule>
  </conditionalFormatting>
  <conditionalFormatting sqref="G282">
    <cfRule type="cellIs" dxfId="9755" priority="11299" stopIfTrue="1" operator="notEqual">
      <formula>H282</formula>
    </cfRule>
  </conditionalFormatting>
  <conditionalFormatting sqref="G283">
    <cfRule type="cellIs" dxfId="9754" priority="11298" stopIfTrue="1" operator="notEqual">
      <formula>H283</formula>
    </cfRule>
  </conditionalFormatting>
  <conditionalFormatting sqref="G284">
    <cfRule type="cellIs" dxfId="9753" priority="11297" stopIfTrue="1" operator="notEqual">
      <formula>H284</formula>
    </cfRule>
  </conditionalFormatting>
  <conditionalFormatting sqref="G285">
    <cfRule type="cellIs" dxfId="9752" priority="11296" stopIfTrue="1" operator="notEqual">
      <formula>H285</formula>
    </cfRule>
  </conditionalFormatting>
  <conditionalFormatting sqref="G286">
    <cfRule type="cellIs" dxfId="9751" priority="11295" stopIfTrue="1" operator="notEqual">
      <formula>H286</formula>
    </cfRule>
  </conditionalFormatting>
  <conditionalFormatting sqref="G287">
    <cfRule type="cellIs" dxfId="9750" priority="11294" stopIfTrue="1" operator="notEqual">
      <formula>H287</formula>
    </cfRule>
  </conditionalFormatting>
  <conditionalFormatting sqref="G288">
    <cfRule type="cellIs" dxfId="9749" priority="11293" stopIfTrue="1" operator="notEqual">
      <formula>H288</formula>
    </cfRule>
  </conditionalFormatting>
  <conditionalFormatting sqref="G289:G294">
    <cfRule type="cellIs" dxfId="9748" priority="11292" stopIfTrue="1" operator="notEqual">
      <formula>H289</formula>
    </cfRule>
  </conditionalFormatting>
  <conditionalFormatting sqref="G276">
    <cfRule type="cellIs" dxfId="9747" priority="11291" stopIfTrue="1" operator="notEqual">
      <formula>H276</formula>
    </cfRule>
  </conditionalFormatting>
  <conditionalFormatting sqref="G276">
    <cfRule type="cellIs" dxfId="9746" priority="11290" stopIfTrue="1" operator="notEqual">
      <formula>H276</formula>
    </cfRule>
  </conditionalFormatting>
  <conditionalFormatting sqref="G276">
    <cfRule type="cellIs" dxfId="9745" priority="11289" stopIfTrue="1" operator="notEqual">
      <formula>H276</formula>
    </cfRule>
  </conditionalFormatting>
  <conditionalFormatting sqref="G276">
    <cfRule type="cellIs" dxfId="9744" priority="11288" stopIfTrue="1" operator="notEqual">
      <formula>H276</formula>
    </cfRule>
  </conditionalFormatting>
  <conditionalFormatting sqref="G276">
    <cfRule type="cellIs" dxfId="9743" priority="11287" stopIfTrue="1" operator="notEqual">
      <formula>H276</formula>
    </cfRule>
  </conditionalFormatting>
  <conditionalFormatting sqref="G276">
    <cfRule type="cellIs" dxfId="9742" priority="11286" stopIfTrue="1" operator="notEqual">
      <formula>H276</formula>
    </cfRule>
  </conditionalFormatting>
  <conditionalFormatting sqref="G292">
    <cfRule type="cellIs" dxfId="9741" priority="11285" stopIfTrue="1" operator="notEqual">
      <formula>H292</formula>
    </cfRule>
  </conditionalFormatting>
  <conditionalFormatting sqref="G293">
    <cfRule type="cellIs" dxfId="9740" priority="11284" stopIfTrue="1" operator="notEqual">
      <formula>H293</formula>
    </cfRule>
  </conditionalFormatting>
  <conditionalFormatting sqref="G293">
    <cfRule type="cellIs" dxfId="9739" priority="11283" stopIfTrue="1" operator="notEqual">
      <formula>H293</formula>
    </cfRule>
  </conditionalFormatting>
  <conditionalFormatting sqref="G291">
    <cfRule type="cellIs" dxfId="9738" priority="11282" stopIfTrue="1" operator="notEqual">
      <formula>H291</formula>
    </cfRule>
  </conditionalFormatting>
  <conditionalFormatting sqref="G295">
    <cfRule type="cellIs" dxfId="9737" priority="11281" stopIfTrue="1" operator="notEqual">
      <formula>H295</formula>
    </cfRule>
  </conditionalFormatting>
  <conditionalFormatting sqref="O286:O294 M286:M294 G286:G294 K286:K294 S286:S294 U286:U294 W286:W294 I286:I294 Q286:Q294">
    <cfRule type="cellIs" dxfId="9736" priority="11280" stopIfTrue="1" operator="notEqual">
      <formula>H286</formula>
    </cfRule>
  </conditionalFormatting>
  <conditionalFormatting sqref="O276 M276 G276 K276 S276 U276 W276 I276 Q276">
    <cfRule type="cellIs" dxfId="9735" priority="11279" stopIfTrue="1" operator="notEqual">
      <formula>H276</formula>
    </cfRule>
  </conditionalFormatting>
  <conditionalFormatting sqref="O277 M277 G277 K277 S277 U277 W277 I277 Q277">
    <cfRule type="cellIs" dxfId="9734" priority="11278" stopIfTrue="1" operator="notEqual">
      <formula>H277</formula>
    </cfRule>
  </conditionalFormatting>
  <conditionalFormatting sqref="O278 M278 G278 K278 S278 U278 W278 I278 Q278">
    <cfRule type="cellIs" dxfId="9733" priority="11277" stopIfTrue="1" operator="notEqual">
      <formula>H278</formula>
    </cfRule>
  </conditionalFormatting>
  <conditionalFormatting sqref="O279 M279 G279 K279 S279 U279 W279 I279 Q279">
    <cfRule type="cellIs" dxfId="9732" priority="11276" stopIfTrue="1" operator="notEqual">
      <formula>H279</formula>
    </cfRule>
  </conditionalFormatting>
  <conditionalFormatting sqref="O280 M280 G280 K280 S280 U280 W280 I280 Q280">
    <cfRule type="cellIs" dxfId="9731" priority="11275" stopIfTrue="1" operator="notEqual">
      <formula>H280</formula>
    </cfRule>
  </conditionalFormatting>
  <conditionalFormatting sqref="O281 M281 G281 K281 S281 U281 W281 I281 Q281">
    <cfRule type="cellIs" dxfId="9730" priority="11274" stopIfTrue="1" operator="notEqual">
      <formula>H281</formula>
    </cfRule>
  </conditionalFormatting>
  <conditionalFormatting sqref="O282 M282 G282 K282 S282 U282 W282 I282 Q282">
    <cfRule type="cellIs" dxfId="9729" priority="11273" stopIfTrue="1" operator="notEqual">
      <formula>H282</formula>
    </cfRule>
  </conditionalFormatting>
  <conditionalFormatting sqref="O283 M283 G283 K283 S283 U283 W283 I283 Q283">
    <cfRule type="cellIs" dxfId="9728" priority="11272" stopIfTrue="1" operator="notEqual">
      <formula>H283</formula>
    </cfRule>
  </conditionalFormatting>
  <conditionalFormatting sqref="O284 M284 G284 K284 S284 U284 W284 I284 Q284">
    <cfRule type="cellIs" dxfId="9727" priority="11271" stopIfTrue="1" operator="notEqual">
      <formula>H284</formula>
    </cfRule>
  </conditionalFormatting>
  <conditionalFormatting sqref="O285 M285 G285 K285 S285 U285 W285 I285 Q285">
    <cfRule type="cellIs" dxfId="9726" priority="11270" stopIfTrue="1" operator="notEqual">
      <formula>H285</formula>
    </cfRule>
  </conditionalFormatting>
  <conditionalFormatting sqref="O288 M288 G288 K288 S288 U288 W288 I288 Q288">
    <cfRule type="cellIs" dxfId="9725" priority="11269" stopIfTrue="1" operator="notEqual">
      <formula>H288</formula>
    </cfRule>
  </conditionalFormatting>
  <conditionalFormatting sqref="O289:O294 M289:M294 G289:G294 K289:K294 S289:S294 U289:U294 W289:W294 I289:I294 Q289:Q294">
    <cfRule type="cellIs" dxfId="9724" priority="11268" stopIfTrue="1" operator="notEqual">
      <formula>H289</formula>
    </cfRule>
  </conditionalFormatting>
  <conditionalFormatting sqref="O289:O294 M289:M294 G289:G294 K289:K294 S289:S294 U289:U294 W289:W294 I289:I294 Q289:Q294">
    <cfRule type="cellIs" dxfId="9723" priority="11267" stopIfTrue="1" operator="notEqual">
      <formula>H289</formula>
    </cfRule>
  </conditionalFormatting>
  <conditionalFormatting sqref="O287 M287 G287 K287 S287 U287 W287 I287 Q287">
    <cfRule type="cellIs" dxfId="9722" priority="11266" stopIfTrue="1" operator="notEqual">
      <formula>H287</formula>
    </cfRule>
  </conditionalFormatting>
  <conditionalFormatting sqref="O292 M292 G292 K292 S292 U292 W292 I292 Q292">
    <cfRule type="cellIs" dxfId="9721" priority="11265" stopIfTrue="1" operator="notEqual">
      <formula>H292</formula>
    </cfRule>
  </conditionalFormatting>
  <conditionalFormatting sqref="O293 M293 G293 K293 S293 U293 W293 I293 Q293">
    <cfRule type="cellIs" dxfId="9720" priority="11264" stopIfTrue="1" operator="notEqual">
      <formula>H293</formula>
    </cfRule>
  </conditionalFormatting>
  <conditionalFormatting sqref="O291 M291 G291 K291 S291 U291 W291 I291 Q291">
    <cfRule type="cellIs" dxfId="9719" priority="11263" stopIfTrue="1" operator="notEqual">
      <formula>H291</formula>
    </cfRule>
  </conditionalFormatting>
  <conditionalFormatting sqref="O294 M294 G294 K294 S294 U294 W294 I294 Q294">
    <cfRule type="cellIs" dxfId="9718" priority="11262" stopIfTrue="1" operator="notEqual">
      <formula>H294</formula>
    </cfRule>
  </conditionalFormatting>
  <conditionalFormatting sqref="O295 M295 G295 K295 S295 U295 W295 I295 Q295">
    <cfRule type="cellIs" dxfId="9717" priority="11261" stopIfTrue="1" operator="notEqual">
      <formula>H295</formula>
    </cfRule>
  </conditionalFormatting>
  <conditionalFormatting sqref="O276 M276 G276 K276 S276 U276 W276 I276 Q276">
    <cfRule type="cellIs" dxfId="9716" priority="11260" stopIfTrue="1" operator="notEqual">
      <formula>H276</formula>
    </cfRule>
  </conditionalFormatting>
  <conditionalFormatting sqref="O277 M277 G277 K277 S277 U277 W277 I277 Q277">
    <cfRule type="cellIs" dxfId="9715" priority="11259" stopIfTrue="1" operator="notEqual">
      <formula>H277</formula>
    </cfRule>
  </conditionalFormatting>
  <conditionalFormatting sqref="O278 M278 G278 K278 S278 U278 W278 I278 Q278">
    <cfRule type="cellIs" dxfId="9714" priority="11258" stopIfTrue="1" operator="notEqual">
      <formula>H278</formula>
    </cfRule>
  </conditionalFormatting>
  <conditionalFormatting sqref="O276 M276 G276 K276 S276 U276 W276 I276 Q276">
    <cfRule type="cellIs" dxfId="9713" priority="11257" stopIfTrue="1" operator="notEqual">
      <formula>H276</formula>
    </cfRule>
  </conditionalFormatting>
  <conditionalFormatting sqref="O279 M279 G279 K279 S279 U279 W279 I279 Q279">
    <cfRule type="cellIs" dxfId="9712" priority="11256" stopIfTrue="1" operator="notEqual">
      <formula>H279</formula>
    </cfRule>
  </conditionalFormatting>
  <conditionalFormatting sqref="O280 M280 G280 K280 S280 U280 W280 I280 Q280">
    <cfRule type="cellIs" dxfId="9711" priority="11255" stopIfTrue="1" operator="notEqual">
      <formula>H280</formula>
    </cfRule>
  </conditionalFormatting>
  <conditionalFormatting sqref="O281 M281 G281 K281 S281 U281 W281 I281 Q281">
    <cfRule type="cellIs" dxfId="9710" priority="11254" stopIfTrue="1" operator="notEqual">
      <formula>H281</formula>
    </cfRule>
  </conditionalFormatting>
  <conditionalFormatting sqref="O282 M282 G282 K282 S282 U282 W282 I282 Q282">
    <cfRule type="cellIs" dxfId="9709" priority="11253" stopIfTrue="1" operator="notEqual">
      <formula>H282</formula>
    </cfRule>
  </conditionalFormatting>
  <conditionalFormatting sqref="O283 M283 G283 K283 S283 U283 W283 I283 Q283">
    <cfRule type="cellIs" dxfId="9708" priority="11252" stopIfTrue="1" operator="notEqual">
      <formula>H283</formula>
    </cfRule>
  </conditionalFormatting>
  <conditionalFormatting sqref="O284 M284 G284 K284 S284 U284 W284 I284 Q284">
    <cfRule type="cellIs" dxfId="9707" priority="11251" stopIfTrue="1" operator="notEqual">
      <formula>H284</formula>
    </cfRule>
  </conditionalFormatting>
  <conditionalFormatting sqref="O285 M285 G285 K285 S285 U285 W285 I285 Q285">
    <cfRule type="cellIs" dxfId="9706" priority="11250" stopIfTrue="1" operator="notEqual">
      <formula>H285</formula>
    </cfRule>
  </conditionalFormatting>
  <conditionalFormatting sqref="O286 M286 G286 K286 S286 U286 W286 I286 Q286">
    <cfRule type="cellIs" dxfId="9705" priority="11249" stopIfTrue="1" operator="notEqual">
      <formula>H286</formula>
    </cfRule>
  </conditionalFormatting>
  <conditionalFormatting sqref="O287 M287 G287 K287 S287 U287 W287 I287 Q287">
    <cfRule type="cellIs" dxfId="9704" priority="11248" stopIfTrue="1" operator="notEqual">
      <formula>H287</formula>
    </cfRule>
  </conditionalFormatting>
  <conditionalFormatting sqref="O288 M288 G288 K288 S288 U288 W288 I288 Q288">
    <cfRule type="cellIs" dxfId="9703" priority="11247" stopIfTrue="1" operator="notEqual">
      <formula>H288</formula>
    </cfRule>
  </conditionalFormatting>
  <conditionalFormatting sqref="O289:O294 M289:M294 G289:G294 K289:K294 S289:S294 U289:U294 W289:W294 I289:I294 Q289:Q294">
    <cfRule type="cellIs" dxfId="9702" priority="11246" stopIfTrue="1" operator="notEqual">
      <formula>H289</formula>
    </cfRule>
  </conditionalFormatting>
  <conditionalFormatting sqref="O290 M290 G290 K290 S290 U290 W290 I290 Q290">
    <cfRule type="cellIs" dxfId="9701" priority="11245" stopIfTrue="1" operator="notEqual">
      <formula>H290</formula>
    </cfRule>
  </conditionalFormatting>
  <conditionalFormatting sqref="O291 M291 G291 K291 S291 U291 W291 I291 Q291">
    <cfRule type="cellIs" dxfId="9700" priority="11244" stopIfTrue="1" operator="notEqual">
      <formula>H291</formula>
    </cfRule>
  </conditionalFormatting>
  <conditionalFormatting sqref="G292">
    <cfRule type="cellIs" dxfId="9699" priority="11243" stopIfTrue="1" operator="notEqual">
      <formula>H292</formula>
    </cfRule>
  </conditionalFormatting>
  <conditionalFormatting sqref="G293">
    <cfRule type="cellIs" dxfId="9698" priority="11242" stopIfTrue="1" operator="notEqual">
      <formula>H293</formula>
    </cfRule>
  </conditionalFormatting>
  <conditionalFormatting sqref="G294">
    <cfRule type="cellIs" dxfId="9697" priority="11241" stopIfTrue="1" operator="notEqual">
      <formula>H294</formula>
    </cfRule>
  </conditionalFormatting>
  <conditionalFormatting sqref="G295">
    <cfRule type="cellIs" dxfId="9696" priority="11240" stopIfTrue="1" operator="notEqual">
      <formula>H295</formula>
    </cfRule>
  </conditionalFormatting>
  <conditionalFormatting sqref="G292">
    <cfRule type="cellIs" dxfId="9695" priority="11239" stopIfTrue="1" operator="notEqual">
      <formula>H292</formula>
    </cfRule>
  </conditionalFormatting>
  <conditionalFormatting sqref="G292">
    <cfRule type="cellIs" dxfId="9694" priority="11238" stopIfTrue="1" operator="notEqual">
      <formula>H292</formula>
    </cfRule>
  </conditionalFormatting>
  <conditionalFormatting sqref="G292">
    <cfRule type="cellIs" dxfId="9693" priority="11237" stopIfTrue="1" operator="notEqual">
      <formula>H292</formula>
    </cfRule>
  </conditionalFormatting>
  <conditionalFormatting sqref="G292">
    <cfRule type="cellIs" dxfId="9692" priority="11236" stopIfTrue="1" operator="notEqual">
      <formula>H292</formula>
    </cfRule>
  </conditionalFormatting>
  <conditionalFormatting sqref="G292">
    <cfRule type="cellIs" dxfId="9691" priority="11235" stopIfTrue="1" operator="notEqual">
      <formula>H292</formula>
    </cfRule>
  </conditionalFormatting>
  <conditionalFormatting sqref="G292">
    <cfRule type="cellIs" dxfId="9690" priority="11234" stopIfTrue="1" operator="notEqual">
      <formula>H292</formula>
    </cfRule>
  </conditionalFormatting>
  <conditionalFormatting sqref="O292 M292 G292 K292 S292 U292 W292 I292 Q292">
    <cfRule type="cellIs" dxfId="9689" priority="11233" stopIfTrue="1" operator="notEqual">
      <formula>H292</formula>
    </cfRule>
  </conditionalFormatting>
  <conditionalFormatting sqref="O293 M293 G293 K293 S293 U293 W293 I293 Q293">
    <cfRule type="cellIs" dxfId="9688" priority="11232" stopIfTrue="1" operator="notEqual">
      <formula>H293</formula>
    </cfRule>
  </conditionalFormatting>
  <conditionalFormatting sqref="O294 M294 G294 K294 S294 U294 W294 I294 Q294">
    <cfRule type="cellIs" dxfId="9687" priority="11231" stopIfTrue="1" operator="notEqual">
      <formula>H294</formula>
    </cfRule>
  </conditionalFormatting>
  <conditionalFormatting sqref="O295 M295 G295 K295 S295 U295 W295 I295 Q295">
    <cfRule type="cellIs" dxfId="9686" priority="11230" stopIfTrue="1" operator="notEqual">
      <formula>H295</formula>
    </cfRule>
  </conditionalFormatting>
  <conditionalFormatting sqref="O292 M292 G292 K292 S292 U292 W292 I292 Q292">
    <cfRule type="cellIs" dxfId="9685" priority="11229" stopIfTrue="1" operator="notEqual">
      <formula>H292</formula>
    </cfRule>
  </conditionalFormatting>
  <conditionalFormatting sqref="O293 M293 G293 K293 S293 U293 W293 I293 Q293">
    <cfRule type="cellIs" dxfId="9684" priority="11228" stopIfTrue="1" operator="notEqual">
      <formula>H293</formula>
    </cfRule>
  </conditionalFormatting>
  <conditionalFormatting sqref="O294 M294 G294 K294 S294 U294 W294 I294 Q294">
    <cfRule type="cellIs" dxfId="9683" priority="11227" stopIfTrue="1" operator="notEqual">
      <formula>H294</formula>
    </cfRule>
  </conditionalFormatting>
  <conditionalFormatting sqref="O292 M292 G292 K292 S292 U292 W292 I292 Q292">
    <cfRule type="cellIs" dxfId="9682" priority="11226" stopIfTrue="1" operator="notEqual">
      <formula>H292</formula>
    </cfRule>
  </conditionalFormatting>
  <conditionalFormatting sqref="O295 M295 G295 K295 S295 U295 W295 I295 Q295">
    <cfRule type="cellIs" dxfId="9681" priority="11225" stopIfTrue="1" operator="notEqual">
      <formula>H295</formula>
    </cfRule>
  </conditionalFormatting>
  <conditionalFormatting sqref="O276:O280 M276:M280 G276:G280 K276:K280 S276:S280 U276:U280 W276:W280 I276:I280 Q276:Q280">
    <cfRule type="cellIs" dxfId="9680" priority="11224" stopIfTrue="1" operator="notEqual">
      <formula>H276</formula>
    </cfRule>
  </conditionalFormatting>
  <conditionalFormatting sqref="O277 M277 G277 K277 S277 U277 W277 I277 Q277">
    <cfRule type="cellIs" dxfId="9679" priority="11223" stopIfTrue="1" operator="notEqual">
      <formula>H277</formula>
    </cfRule>
  </conditionalFormatting>
  <conditionalFormatting sqref="O278 M278 G278 K278 S278 U278 W278 I278 Q278">
    <cfRule type="cellIs" dxfId="9678" priority="11222" stopIfTrue="1" operator="notEqual">
      <formula>H278</formula>
    </cfRule>
  </conditionalFormatting>
  <conditionalFormatting sqref="O278 M278 G278 K278 S278 U278 W278 I278 Q278">
    <cfRule type="cellIs" dxfId="9677" priority="11221" stopIfTrue="1" operator="notEqual">
      <formula>H278</formula>
    </cfRule>
  </conditionalFormatting>
  <conditionalFormatting sqref="O276 M276 G276 K276 S276 U276 W276 I276 Q276">
    <cfRule type="cellIs" dxfId="9676" priority="11220" stopIfTrue="1" operator="notEqual">
      <formula>H276</formula>
    </cfRule>
  </conditionalFormatting>
  <conditionalFormatting sqref="O281 M281 G281 K281 S281 U281 W281 I281 Q281">
    <cfRule type="cellIs" dxfId="9675" priority="11219" stopIfTrue="1" operator="notEqual">
      <formula>H281</formula>
    </cfRule>
  </conditionalFormatting>
  <conditionalFormatting sqref="O282 M282 G282 K282 S282 U282 W282 I282 Q282">
    <cfRule type="cellIs" dxfId="9674" priority="11218" stopIfTrue="1" operator="notEqual">
      <formula>H282</formula>
    </cfRule>
  </conditionalFormatting>
  <conditionalFormatting sqref="O280 M280 G280 K280 S280 U280 W280 I280 Q280">
    <cfRule type="cellIs" dxfId="9673" priority="11217" stopIfTrue="1" operator="notEqual">
      <formula>H280</formula>
    </cfRule>
  </conditionalFormatting>
  <conditionalFormatting sqref="O283 M283 G283 K283 S283 U283 W283 I283 Q283">
    <cfRule type="cellIs" dxfId="9672" priority="11216" stopIfTrue="1" operator="notEqual">
      <formula>H283</formula>
    </cfRule>
  </conditionalFormatting>
  <conditionalFormatting sqref="O284 M284 G284 K284 S284 U284 W284 I284 Q284">
    <cfRule type="cellIs" dxfId="9671" priority="11215" stopIfTrue="1" operator="notEqual">
      <formula>H284</formula>
    </cfRule>
  </conditionalFormatting>
  <conditionalFormatting sqref="O285 M285 G285 K285 S285 U285 W285 I285 Q285">
    <cfRule type="cellIs" dxfId="9670" priority="11214" stopIfTrue="1" operator="notEqual">
      <formula>H285</formula>
    </cfRule>
  </conditionalFormatting>
  <conditionalFormatting sqref="O286 M286 G286 K286 S286 U286 W286 I286 Q286">
    <cfRule type="cellIs" dxfId="9669" priority="11213" stopIfTrue="1" operator="notEqual">
      <formula>H286</formula>
    </cfRule>
  </conditionalFormatting>
  <conditionalFormatting sqref="O287 M287 G287 K287 S287 U287 W287 I287 Q287">
    <cfRule type="cellIs" dxfId="9668" priority="11212" stopIfTrue="1" operator="notEqual">
      <formula>H287</formula>
    </cfRule>
  </conditionalFormatting>
  <conditionalFormatting sqref="O288 M288 G288 K288 S288 U288 W288 I288 Q288">
    <cfRule type="cellIs" dxfId="9667" priority="11211" stopIfTrue="1" operator="notEqual">
      <formula>H288</formula>
    </cfRule>
  </conditionalFormatting>
  <conditionalFormatting sqref="O289:O294 M289:M294 G289:G294 K289:K294 S289:S294 U289:U294 W289:W294 I289:I294 Q289:Q294">
    <cfRule type="cellIs" dxfId="9666" priority="11210" stopIfTrue="1" operator="notEqual">
      <formula>H289</formula>
    </cfRule>
  </conditionalFormatting>
  <conditionalFormatting sqref="O290 M290 G290 K290 S290 U290 W290 I290 Q290">
    <cfRule type="cellIs" dxfId="9665" priority="11209" stopIfTrue="1" operator="notEqual">
      <formula>H290</formula>
    </cfRule>
  </conditionalFormatting>
  <conditionalFormatting sqref="O291 M291 G291 K291 S291 U291 W291 I291 Q291">
    <cfRule type="cellIs" dxfId="9664" priority="11208" stopIfTrue="1" operator="notEqual">
      <formula>H291</formula>
    </cfRule>
  </conditionalFormatting>
  <conditionalFormatting sqref="O292 M292 G292 K292 S292 U292 W292 I292 Q292">
    <cfRule type="cellIs" dxfId="9663" priority="11207" stopIfTrue="1" operator="notEqual">
      <formula>H292</formula>
    </cfRule>
  </conditionalFormatting>
  <conditionalFormatting sqref="O293 M293 G293 K293 S293 U293 W293 I293 Q293">
    <cfRule type="cellIs" dxfId="9662" priority="11206" stopIfTrue="1" operator="notEqual">
      <formula>H293</formula>
    </cfRule>
  </conditionalFormatting>
  <conditionalFormatting sqref="O294 M294 G294 K294 S294 U294 W294 I294 Q294">
    <cfRule type="cellIs" dxfId="9661" priority="11205" stopIfTrue="1" operator="notEqual">
      <formula>H294</formula>
    </cfRule>
  </conditionalFormatting>
  <conditionalFormatting sqref="O295 M295 G295 K295 S295 U295 W295 I295 Q295">
    <cfRule type="cellIs" dxfId="9660" priority="11204" stopIfTrue="1" operator="notEqual">
      <formula>H295</formula>
    </cfRule>
  </conditionalFormatting>
  <conditionalFormatting sqref="G296">
    <cfRule type="cellIs" dxfId="9659" priority="11203" stopIfTrue="1" operator="notEqual">
      <formula>H296</formula>
    </cfRule>
  </conditionalFormatting>
  <conditionalFormatting sqref="G297">
    <cfRule type="cellIs" dxfId="9658" priority="11202" stopIfTrue="1" operator="notEqual">
      <formula>H297</formula>
    </cfRule>
  </conditionalFormatting>
  <conditionalFormatting sqref="G298">
    <cfRule type="cellIs" dxfId="9657" priority="11201" stopIfTrue="1" operator="notEqual">
      <formula>H298</formula>
    </cfRule>
  </conditionalFormatting>
  <conditionalFormatting sqref="G299:G300">
    <cfRule type="cellIs" dxfId="9656" priority="11200" stopIfTrue="1" operator="notEqual">
      <formula>H299</formula>
    </cfRule>
  </conditionalFormatting>
  <conditionalFormatting sqref="G300">
    <cfRule type="cellIs" dxfId="9655" priority="11199" stopIfTrue="1" operator="notEqual">
      <formula>H300</formula>
    </cfRule>
  </conditionalFormatting>
  <conditionalFormatting sqref="G301">
    <cfRule type="cellIs" dxfId="9654" priority="11198" stopIfTrue="1" operator="notEqual">
      <formula>H301</formula>
    </cfRule>
  </conditionalFormatting>
  <conditionalFormatting sqref="G302">
    <cfRule type="cellIs" dxfId="9653" priority="11197" stopIfTrue="1" operator="notEqual">
      <formula>H302</formula>
    </cfRule>
  </conditionalFormatting>
  <conditionalFormatting sqref="G303">
    <cfRule type="cellIs" dxfId="9652" priority="11196" stopIfTrue="1" operator="notEqual">
      <formula>H303</formula>
    </cfRule>
  </conditionalFormatting>
  <conditionalFormatting sqref="G304">
    <cfRule type="cellIs" dxfId="9651" priority="11195" stopIfTrue="1" operator="notEqual">
      <formula>H304</formula>
    </cfRule>
  </conditionalFormatting>
  <conditionalFormatting sqref="G305">
    <cfRule type="cellIs" dxfId="9650" priority="11194" stopIfTrue="1" operator="notEqual">
      <formula>H305</formula>
    </cfRule>
  </conditionalFormatting>
  <conditionalFormatting sqref="G306">
    <cfRule type="cellIs" dxfId="9649" priority="11193" stopIfTrue="1" operator="notEqual">
      <formula>H306</formula>
    </cfRule>
  </conditionalFormatting>
  <conditionalFormatting sqref="G307">
    <cfRule type="cellIs" dxfId="9648" priority="11192" stopIfTrue="1" operator="notEqual">
      <formula>H307</formula>
    </cfRule>
  </conditionalFormatting>
  <conditionalFormatting sqref="G308:G312">
    <cfRule type="cellIs" dxfId="9647" priority="11191" stopIfTrue="1" operator="notEqual">
      <formula>H308</formula>
    </cfRule>
  </conditionalFormatting>
  <conditionalFormatting sqref="G309">
    <cfRule type="cellIs" dxfId="9646" priority="11190" stopIfTrue="1" operator="notEqual">
      <formula>H309</formula>
    </cfRule>
  </conditionalFormatting>
  <conditionalFormatting sqref="G310">
    <cfRule type="cellIs" dxfId="9645" priority="11189" stopIfTrue="1" operator="notEqual">
      <formula>H310</formula>
    </cfRule>
  </conditionalFormatting>
  <conditionalFormatting sqref="G311">
    <cfRule type="cellIs" dxfId="9644" priority="11188" stopIfTrue="1" operator="notEqual">
      <formula>H311</formula>
    </cfRule>
  </conditionalFormatting>
  <conditionalFormatting sqref="G312">
    <cfRule type="cellIs" dxfId="9643" priority="11187" stopIfTrue="1" operator="notEqual">
      <formula>H312</formula>
    </cfRule>
  </conditionalFormatting>
  <conditionalFormatting sqref="G313">
    <cfRule type="cellIs" dxfId="9642" priority="11186" stopIfTrue="1" operator="notEqual">
      <formula>H313</formula>
    </cfRule>
  </conditionalFormatting>
  <conditionalFormatting sqref="G314">
    <cfRule type="cellIs" dxfId="9641" priority="11185" stopIfTrue="1" operator="notEqual">
      <formula>H314</formula>
    </cfRule>
  </conditionalFormatting>
  <conditionalFormatting sqref="G315:G324">
    <cfRule type="cellIs" dxfId="9640" priority="11184" stopIfTrue="1" operator="notEqual">
      <formula>H315</formula>
    </cfRule>
  </conditionalFormatting>
  <conditionalFormatting sqref="O296 M296 G296 K296 S296 U296 W296 I296 Q296">
    <cfRule type="cellIs" dxfId="9639" priority="11183" stopIfTrue="1" operator="notEqual">
      <formula>H296</formula>
    </cfRule>
  </conditionalFormatting>
  <conditionalFormatting sqref="O297 M297 G297 K297 S297 U297 W297 I297 Q297">
    <cfRule type="cellIs" dxfId="9638" priority="11182" stopIfTrue="1" operator="notEqual">
      <formula>H297</formula>
    </cfRule>
  </conditionalFormatting>
  <conditionalFormatting sqref="O298 M298 G298 K298 S298 U298 W298 I298 Q298">
    <cfRule type="cellIs" dxfId="9637" priority="11181" stopIfTrue="1" operator="notEqual">
      <formula>H298</formula>
    </cfRule>
  </conditionalFormatting>
  <conditionalFormatting sqref="O299:O300 M299:M300 G299:G300 K299:K300 S299:S300 U299:U300 W299:W300 I299:I300 Q299:Q300">
    <cfRule type="cellIs" dxfId="9636" priority="11180" stopIfTrue="1" operator="notEqual">
      <formula>H299</formula>
    </cfRule>
  </conditionalFormatting>
  <conditionalFormatting sqref="O300 M300 G300 K300 S300 U300 W300 I300 Q300">
    <cfRule type="cellIs" dxfId="9635" priority="11179" stopIfTrue="1" operator="notEqual">
      <formula>H300</formula>
    </cfRule>
  </conditionalFormatting>
  <conditionalFormatting sqref="O301 M301 G301 K301 S301 U301 W301 I301 Q301">
    <cfRule type="cellIs" dxfId="9634" priority="11178" stopIfTrue="1" operator="notEqual">
      <formula>H301</formula>
    </cfRule>
  </conditionalFormatting>
  <conditionalFormatting sqref="O302 M302 G302 K302 S302 U302 W302 I302 Q302">
    <cfRule type="cellIs" dxfId="9633" priority="11177" stopIfTrue="1" operator="notEqual">
      <formula>H302</formula>
    </cfRule>
  </conditionalFormatting>
  <conditionalFormatting sqref="O303 M303 G303 K303 S303 U303 W303 I303 Q303">
    <cfRule type="cellIs" dxfId="9632" priority="11176" stopIfTrue="1" operator="notEqual">
      <formula>H303</formula>
    </cfRule>
  </conditionalFormatting>
  <conditionalFormatting sqref="O304 M304 G304 K304 S304 U304 W304 I304 Q304">
    <cfRule type="cellIs" dxfId="9631" priority="11175" stopIfTrue="1" operator="notEqual">
      <formula>H304</formula>
    </cfRule>
  </conditionalFormatting>
  <conditionalFormatting sqref="O305 M305 G305 K305 S305 U305 W305 I305 Q305">
    <cfRule type="cellIs" dxfId="9630" priority="11174" stopIfTrue="1" operator="notEqual">
      <formula>H305</formula>
    </cfRule>
  </conditionalFormatting>
  <conditionalFormatting sqref="O306 M306 G306 K306 S306 U306 W306 I306 Q306">
    <cfRule type="cellIs" dxfId="9629" priority="11173" stopIfTrue="1" operator="notEqual">
      <formula>H306</formula>
    </cfRule>
  </conditionalFormatting>
  <conditionalFormatting sqref="G306:G307">
    <cfRule type="cellIs" dxfId="9628" priority="11172" stopIfTrue="1" operator="notEqual">
      <formula>H306</formula>
    </cfRule>
  </conditionalFormatting>
  <conditionalFormatting sqref="G296">
    <cfRule type="cellIs" dxfId="9627" priority="11171" stopIfTrue="1" operator="notEqual">
      <formula>H296</formula>
    </cfRule>
  </conditionalFormatting>
  <conditionalFormatting sqref="G297">
    <cfRule type="cellIs" dxfId="9626" priority="11170" stopIfTrue="1" operator="notEqual">
      <formula>H297</formula>
    </cfRule>
  </conditionalFormatting>
  <conditionalFormatting sqref="G298">
    <cfRule type="cellIs" dxfId="9625" priority="11169" stopIfTrue="1" operator="notEqual">
      <formula>H298</formula>
    </cfRule>
  </conditionalFormatting>
  <conditionalFormatting sqref="G299:G300">
    <cfRule type="cellIs" dxfId="9624" priority="11168" stopIfTrue="1" operator="notEqual">
      <formula>H299</formula>
    </cfRule>
  </conditionalFormatting>
  <conditionalFormatting sqref="G300">
    <cfRule type="cellIs" dxfId="9623" priority="11167" stopIfTrue="1" operator="notEqual">
      <formula>H300</formula>
    </cfRule>
  </conditionalFormatting>
  <conditionalFormatting sqref="G301">
    <cfRule type="cellIs" dxfId="9622" priority="11166" stopIfTrue="1" operator="notEqual">
      <formula>H301</formula>
    </cfRule>
  </conditionalFormatting>
  <conditionalFormatting sqref="G302">
    <cfRule type="cellIs" dxfId="9621" priority="11165" stopIfTrue="1" operator="notEqual">
      <formula>H302</formula>
    </cfRule>
  </conditionalFormatting>
  <conditionalFormatting sqref="G303">
    <cfRule type="cellIs" dxfId="9620" priority="11164" stopIfTrue="1" operator="notEqual">
      <formula>H303</formula>
    </cfRule>
  </conditionalFormatting>
  <conditionalFormatting sqref="G304">
    <cfRule type="cellIs" dxfId="9619" priority="11163" stopIfTrue="1" operator="notEqual">
      <formula>H304</formula>
    </cfRule>
  </conditionalFormatting>
  <conditionalFormatting sqref="G305">
    <cfRule type="cellIs" dxfId="9618" priority="11162" stopIfTrue="1" operator="notEqual">
      <formula>H305</formula>
    </cfRule>
  </conditionalFormatting>
  <conditionalFormatting sqref="G307">
    <cfRule type="cellIs" dxfId="9617" priority="11161" stopIfTrue="1" operator="notEqual">
      <formula>H307</formula>
    </cfRule>
  </conditionalFormatting>
  <conditionalFormatting sqref="O302:O307 M302:M307 G302:G307 K302:K307 S302:S307 U302:U307 W302:W307 I302:I307 Q302:Q307">
    <cfRule type="cellIs" dxfId="9616" priority="11160" stopIfTrue="1" operator="notEqual">
      <formula>H302</formula>
    </cfRule>
  </conditionalFormatting>
  <conditionalFormatting sqref="O296 M296 G296 K296 S296 U296 W296 I296 Q296">
    <cfRule type="cellIs" dxfId="9615" priority="11159" stopIfTrue="1" operator="notEqual">
      <formula>H296</formula>
    </cfRule>
  </conditionalFormatting>
  <conditionalFormatting sqref="O297 M297 G297 K297 S297 U297 W297 I297 Q297">
    <cfRule type="cellIs" dxfId="9614" priority="11158" stopIfTrue="1" operator="notEqual">
      <formula>H297</formula>
    </cfRule>
  </conditionalFormatting>
  <conditionalFormatting sqref="O298 M298 G298 K298 S298 U298 W298 I298 Q298">
    <cfRule type="cellIs" dxfId="9613" priority="11157" stopIfTrue="1" operator="notEqual">
      <formula>H298</formula>
    </cfRule>
  </conditionalFormatting>
  <conditionalFormatting sqref="O299:O300 M299:M300 G299:G300 K299:K300 S299:S300 U299:U300 W299:W300 I299:I300 Q299:Q300">
    <cfRule type="cellIs" dxfId="9612" priority="11156" stopIfTrue="1" operator="notEqual">
      <formula>H299</formula>
    </cfRule>
  </conditionalFormatting>
  <conditionalFormatting sqref="O300 M300 G300 K300 S300 U300 W300 I300 Q300">
    <cfRule type="cellIs" dxfId="9611" priority="11155" stopIfTrue="1" operator="notEqual">
      <formula>H300</formula>
    </cfRule>
  </conditionalFormatting>
  <conditionalFormatting sqref="O301 M301 G301 K301 S301 U301 W301 I301 Q301">
    <cfRule type="cellIs" dxfId="9610" priority="11154" stopIfTrue="1" operator="notEqual">
      <formula>H301</formula>
    </cfRule>
  </conditionalFormatting>
  <conditionalFormatting sqref="O304 M304 G304 K304 S304 U304 W304 I304 Q304">
    <cfRule type="cellIs" dxfId="9609" priority="11153" stopIfTrue="1" operator="notEqual">
      <formula>H304</formula>
    </cfRule>
  </conditionalFormatting>
  <conditionalFormatting sqref="O305 M305 G305 K305 S305 U305 W305 I305 Q305">
    <cfRule type="cellIs" dxfId="9608" priority="11152" stopIfTrue="1" operator="notEqual">
      <formula>H305</formula>
    </cfRule>
  </conditionalFormatting>
  <conditionalFormatting sqref="O305 M305 G305 K305 S305 U305 W305 I305 Q305">
    <cfRule type="cellIs" dxfId="9607" priority="11151" stopIfTrue="1" operator="notEqual">
      <formula>H305</formula>
    </cfRule>
  </conditionalFormatting>
  <conditionalFormatting sqref="O303 M303 G303 K303 S303 U303 W303 I303 Q303">
    <cfRule type="cellIs" dxfId="9606" priority="11150" stopIfTrue="1" operator="notEqual">
      <formula>H303</formula>
    </cfRule>
  </conditionalFormatting>
  <conditionalFormatting sqref="O307 M307 G307 K307 S307 U307 W307 I307 Q307">
    <cfRule type="cellIs" dxfId="9605" priority="11149" stopIfTrue="1" operator="notEqual">
      <formula>H307</formula>
    </cfRule>
  </conditionalFormatting>
  <conditionalFormatting sqref="O296 M296 G296 K296 S296 U296 W296 I296 Q296">
    <cfRule type="cellIs" dxfId="9604" priority="11148" stopIfTrue="1" operator="notEqual">
      <formula>H296</formula>
    </cfRule>
  </conditionalFormatting>
  <conditionalFormatting sqref="O297 M297 G297 K297 S297 U297 W297 I297 Q297">
    <cfRule type="cellIs" dxfId="9603" priority="11147" stopIfTrue="1" operator="notEqual">
      <formula>H297</formula>
    </cfRule>
  </conditionalFormatting>
  <conditionalFormatting sqref="O298 M298 G298 K298 S298 U298 W298 I298 Q298">
    <cfRule type="cellIs" dxfId="9602" priority="11146" stopIfTrue="1" operator="notEqual">
      <formula>H298</formula>
    </cfRule>
  </conditionalFormatting>
  <conditionalFormatting sqref="O299:O300 M299:M300 G299:G300 K299:K300 S299:S300 U299:U300 W299:W300 I299:I300 Q299:Q300">
    <cfRule type="cellIs" dxfId="9601" priority="11145" stopIfTrue="1" operator="notEqual">
      <formula>H299</formula>
    </cfRule>
  </conditionalFormatting>
  <conditionalFormatting sqref="O300 M300 G300 K300 S300 U300 W300 I300 Q300">
    <cfRule type="cellIs" dxfId="9600" priority="11144" stopIfTrue="1" operator="notEqual">
      <formula>H300</formula>
    </cfRule>
  </conditionalFormatting>
  <conditionalFormatting sqref="O301 M301 G301 K301 S301 U301 W301 I301 Q301">
    <cfRule type="cellIs" dxfId="9599" priority="11143" stopIfTrue="1" operator="notEqual">
      <formula>H301</formula>
    </cfRule>
  </conditionalFormatting>
  <conditionalFormatting sqref="O302 M302 G302 K302 S302 U302 W302 I302 Q302">
    <cfRule type="cellIs" dxfId="9598" priority="11142" stopIfTrue="1" operator="notEqual">
      <formula>H302</formula>
    </cfRule>
  </conditionalFormatting>
  <conditionalFormatting sqref="O303 M303 G303 K303 S303 U303 W303 I303 Q303">
    <cfRule type="cellIs" dxfId="9597" priority="11141" stopIfTrue="1" operator="notEqual">
      <formula>H303</formula>
    </cfRule>
  </conditionalFormatting>
  <conditionalFormatting sqref="O304 M304 G304 K304 S304 U304 W304 I304 Q304">
    <cfRule type="cellIs" dxfId="9596" priority="11140" stopIfTrue="1" operator="notEqual">
      <formula>H304</formula>
    </cfRule>
  </conditionalFormatting>
  <conditionalFormatting sqref="O305 M305 G305 K305 S305 U305 W305 I305 Q305">
    <cfRule type="cellIs" dxfId="9595" priority="11139" stopIfTrue="1" operator="notEqual">
      <formula>H305</formula>
    </cfRule>
  </conditionalFormatting>
  <conditionalFormatting sqref="O306 M306 G306 K306 S306 U306 W306 I306 Q306">
    <cfRule type="cellIs" dxfId="9594" priority="11138" stopIfTrue="1" operator="notEqual">
      <formula>H306</formula>
    </cfRule>
  </conditionalFormatting>
  <conditionalFormatting sqref="O307 M307 G307 K307 S307 U307 W307 I307 Q307">
    <cfRule type="cellIs" dxfId="9593" priority="11137" stopIfTrue="1" operator="notEqual">
      <formula>H307</formula>
    </cfRule>
  </conditionalFormatting>
  <conditionalFormatting sqref="G307:G312">
    <cfRule type="cellIs" dxfId="9592" priority="11136" stopIfTrue="1" operator="notEqual">
      <formula>H307</formula>
    </cfRule>
  </conditionalFormatting>
  <conditionalFormatting sqref="G307">
    <cfRule type="cellIs" dxfId="9591" priority="11135" stopIfTrue="1" operator="notEqual">
      <formula>H307</formula>
    </cfRule>
  </conditionalFormatting>
  <conditionalFormatting sqref="G308:G312">
    <cfRule type="cellIs" dxfId="9590" priority="11134" stopIfTrue="1" operator="notEqual">
      <formula>H308</formula>
    </cfRule>
  </conditionalFormatting>
  <conditionalFormatting sqref="G308:G312">
    <cfRule type="cellIs" dxfId="9589" priority="11133" stopIfTrue="1" operator="notEqual">
      <formula>H308</formula>
    </cfRule>
  </conditionalFormatting>
  <conditionalFormatting sqref="G311">
    <cfRule type="cellIs" dxfId="9588" priority="11132" stopIfTrue="1" operator="notEqual">
      <formula>H311</formula>
    </cfRule>
  </conditionalFormatting>
  <conditionalFormatting sqref="G312">
    <cfRule type="cellIs" dxfId="9587" priority="11131" stopIfTrue="1" operator="notEqual">
      <formula>H312</formula>
    </cfRule>
  </conditionalFormatting>
  <conditionalFormatting sqref="G310">
    <cfRule type="cellIs" dxfId="9586" priority="11130" stopIfTrue="1" operator="notEqual">
      <formula>H310</formula>
    </cfRule>
  </conditionalFormatting>
  <conditionalFormatting sqref="G313">
    <cfRule type="cellIs" dxfId="9585" priority="11129" stopIfTrue="1" operator="notEqual">
      <formula>H313</formula>
    </cfRule>
  </conditionalFormatting>
  <conditionalFormatting sqref="G314">
    <cfRule type="cellIs" dxfId="9584" priority="11128" stopIfTrue="1" operator="notEqual">
      <formula>H314</formula>
    </cfRule>
  </conditionalFormatting>
  <conditionalFormatting sqref="G315:G324">
    <cfRule type="cellIs" dxfId="9583" priority="11127" stopIfTrue="1" operator="notEqual">
      <formula>H315</formula>
    </cfRule>
  </conditionalFormatting>
  <conditionalFormatting sqref="O307 M307 G307 K307 S307 U307 W307 I307 Q307">
    <cfRule type="cellIs" dxfId="9582" priority="11126" stopIfTrue="1" operator="notEqual">
      <formula>H307</formula>
    </cfRule>
  </conditionalFormatting>
  <conditionalFormatting sqref="O308:O312 M308:M312 G308:G312 K308:K312 S308:S312 U308:U312 W308:W312 I308:I312 Q308:Q312">
    <cfRule type="cellIs" dxfId="9581" priority="11125" stopIfTrue="1" operator="notEqual">
      <formula>H308</formula>
    </cfRule>
  </conditionalFormatting>
  <conditionalFormatting sqref="O309 M309 G309 K309 S309 U309 W309 I309 Q309">
    <cfRule type="cellIs" dxfId="9580" priority="11124" stopIfTrue="1" operator="notEqual">
      <formula>H309</formula>
    </cfRule>
  </conditionalFormatting>
  <conditionalFormatting sqref="O310 M310 G310 K310 S310 U310 W310 I310 Q310">
    <cfRule type="cellIs" dxfId="9579" priority="11123" stopIfTrue="1" operator="notEqual">
      <formula>H310</formula>
    </cfRule>
  </conditionalFormatting>
  <conditionalFormatting sqref="O311 M311 G311 K311 S311 U311 W311 I311 Q311">
    <cfRule type="cellIs" dxfId="9578" priority="11122" stopIfTrue="1" operator="notEqual">
      <formula>H311</formula>
    </cfRule>
  </conditionalFormatting>
  <conditionalFormatting sqref="O312 M312 G312 K312 S312 U312 W312 I312 Q312">
    <cfRule type="cellIs" dxfId="9577" priority="11121" stopIfTrue="1" operator="notEqual">
      <formula>H312</formula>
    </cfRule>
  </conditionalFormatting>
  <conditionalFormatting sqref="O313 M313 G313 K313 S313 U313 W313 I313 Q313">
    <cfRule type="cellIs" dxfId="9576" priority="11120" stopIfTrue="1" operator="notEqual">
      <formula>H313</formula>
    </cfRule>
  </conditionalFormatting>
  <conditionalFormatting sqref="O314 M314 G314 K314 S314 U314 W314 I314 Q314">
    <cfRule type="cellIs" dxfId="9575" priority="11119" stopIfTrue="1" operator="notEqual">
      <formula>H314</formula>
    </cfRule>
  </conditionalFormatting>
  <conditionalFormatting sqref="O315:O324 M315:M324 G315:G324 K315:K324 S315:S324 U315:U324 W315:W324 I315:I324 Q315:Q324">
    <cfRule type="cellIs" dxfId="9574" priority="11118" stopIfTrue="1" operator="notEqual">
      <formula>H315</formula>
    </cfRule>
  </conditionalFormatting>
  <conditionalFormatting sqref="G307">
    <cfRule type="cellIs" dxfId="9573" priority="11117" stopIfTrue="1" operator="notEqual">
      <formula>H307</formula>
    </cfRule>
  </conditionalFormatting>
  <conditionalFormatting sqref="G308:G312">
    <cfRule type="cellIs" dxfId="9572" priority="11116" stopIfTrue="1" operator="notEqual">
      <formula>H308</formula>
    </cfRule>
  </conditionalFormatting>
  <conditionalFormatting sqref="G309">
    <cfRule type="cellIs" dxfId="9571" priority="11115" stopIfTrue="1" operator="notEqual">
      <formula>H309</formula>
    </cfRule>
  </conditionalFormatting>
  <conditionalFormatting sqref="G310">
    <cfRule type="cellIs" dxfId="9570" priority="11114" stopIfTrue="1" operator="notEqual">
      <formula>H310</formula>
    </cfRule>
  </conditionalFormatting>
  <conditionalFormatting sqref="G311">
    <cfRule type="cellIs" dxfId="9569" priority="11113" stopIfTrue="1" operator="notEqual">
      <formula>H311</formula>
    </cfRule>
  </conditionalFormatting>
  <conditionalFormatting sqref="G312">
    <cfRule type="cellIs" dxfId="9568" priority="11112" stopIfTrue="1" operator="notEqual">
      <formula>H312</formula>
    </cfRule>
  </conditionalFormatting>
  <conditionalFormatting sqref="G313">
    <cfRule type="cellIs" dxfId="9567" priority="11111" stopIfTrue="1" operator="notEqual">
      <formula>H313</formula>
    </cfRule>
  </conditionalFormatting>
  <conditionalFormatting sqref="G314">
    <cfRule type="cellIs" dxfId="9566" priority="11110" stopIfTrue="1" operator="notEqual">
      <formula>H314</formula>
    </cfRule>
  </conditionalFormatting>
  <conditionalFormatting sqref="G315:G324">
    <cfRule type="cellIs" dxfId="9565" priority="11109" stopIfTrue="1" operator="notEqual">
      <formula>H315</formula>
    </cfRule>
  </conditionalFormatting>
  <conditionalFormatting sqref="G307">
    <cfRule type="cellIs" dxfId="9564" priority="11108" stopIfTrue="1" operator="notEqual">
      <formula>H307</formula>
    </cfRule>
  </conditionalFormatting>
  <conditionalFormatting sqref="G307">
    <cfRule type="cellIs" dxfId="9563" priority="11107" stopIfTrue="1" operator="notEqual">
      <formula>H307</formula>
    </cfRule>
  </conditionalFormatting>
  <conditionalFormatting sqref="G307">
    <cfRule type="cellIs" dxfId="9562" priority="11106" stopIfTrue="1" operator="notEqual">
      <formula>H307</formula>
    </cfRule>
  </conditionalFormatting>
  <conditionalFormatting sqref="G307">
    <cfRule type="cellIs" dxfId="9561" priority="11105" stopIfTrue="1" operator="notEqual">
      <formula>H307</formula>
    </cfRule>
  </conditionalFormatting>
  <conditionalFormatting sqref="G307">
    <cfRule type="cellIs" dxfId="9560" priority="11104" stopIfTrue="1" operator="notEqual">
      <formula>H307</formula>
    </cfRule>
  </conditionalFormatting>
  <conditionalFormatting sqref="G307">
    <cfRule type="cellIs" dxfId="9559" priority="11103" stopIfTrue="1" operator="notEqual">
      <formula>H307</formula>
    </cfRule>
  </conditionalFormatting>
  <conditionalFormatting sqref="O307 M307 G307 K307 S307 U307 W307 I307 Q307">
    <cfRule type="cellIs" dxfId="9558" priority="11102" stopIfTrue="1" operator="notEqual">
      <formula>H307</formula>
    </cfRule>
  </conditionalFormatting>
  <conditionalFormatting sqref="O308:O312 M308:M312 G308:G312 K308:K312 S308:S312 U308:U312 W308:W312 I308:I312 Q308:Q312">
    <cfRule type="cellIs" dxfId="9557" priority="11101" stopIfTrue="1" operator="notEqual">
      <formula>H308</formula>
    </cfRule>
  </conditionalFormatting>
  <conditionalFormatting sqref="O309 M309 G309 K309 S309 U309 W309 I309 Q309">
    <cfRule type="cellIs" dxfId="9556" priority="11100" stopIfTrue="1" operator="notEqual">
      <formula>H309</formula>
    </cfRule>
  </conditionalFormatting>
  <conditionalFormatting sqref="O310 M310 G310 K310 S310 U310 W310 I310 Q310">
    <cfRule type="cellIs" dxfId="9555" priority="11099" stopIfTrue="1" operator="notEqual">
      <formula>H310</formula>
    </cfRule>
  </conditionalFormatting>
  <conditionalFormatting sqref="O311 M311 G311 K311 S311 U311 W311 I311 Q311">
    <cfRule type="cellIs" dxfId="9554" priority="11098" stopIfTrue="1" operator="notEqual">
      <formula>H311</formula>
    </cfRule>
  </conditionalFormatting>
  <conditionalFormatting sqref="O312 M312 G312 K312 S312 U312 W312 I312 Q312">
    <cfRule type="cellIs" dxfId="9553" priority="11097" stopIfTrue="1" operator="notEqual">
      <formula>H312</formula>
    </cfRule>
  </conditionalFormatting>
  <conditionalFormatting sqref="O313 M313 G313 K313 S313 U313 W313 I313 Q313">
    <cfRule type="cellIs" dxfId="9552" priority="11096" stopIfTrue="1" operator="notEqual">
      <formula>H313</formula>
    </cfRule>
  </conditionalFormatting>
  <conditionalFormatting sqref="O314 M314 G314 K314 S314 U314 W314 I314 Q314">
    <cfRule type="cellIs" dxfId="9551" priority="11095" stopIfTrue="1" operator="notEqual">
      <formula>H314</formula>
    </cfRule>
  </conditionalFormatting>
  <conditionalFormatting sqref="O315:O324 M315:M324 G315:G324 K315:K324 S315:S324 U315:U324 W315:W324 I315:I324 Q315:Q324">
    <cfRule type="cellIs" dxfId="9550" priority="11094" stopIfTrue="1" operator="notEqual">
      <formula>H315</formula>
    </cfRule>
  </conditionalFormatting>
  <conditionalFormatting sqref="O307 M307 G307 K307 S307 U307 W307 I307 Q307">
    <cfRule type="cellIs" dxfId="9549" priority="11093" stopIfTrue="1" operator="notEqual">
      <formula>H307</formula>
    </cfRule>
  </conditionalFormatting>
  <conditionalFormatting sqref="O308:O312 M308:M312 G308:G312 K308:K312 S308:S312 U308:U312 W308:W312 I308:I312 Q308:Q312">
    <cfRule type="cellIs" dxfId="9548" priority="11092" stopIfTrue="1" operator="notEqual">
      <formula>H308</formula>
    </cfRule>
  </conditionalFormatting>
  <conditionalFormatting sqref="O309 M309 G309 K309 S309 U309 W309 I309 Q309">
    <cfRule type="cellIs" dxfId="9547" priority="11091" stopIfTrue="1" operator="notEqual">
      <formula>H309</formula>
    </cfRule>
  </conditionalFormatting>
  <conditionalFormatting sqref="O307 M307 G307 K307 S307 U307 W307 I307 Q307">
    <cfRule type="cellIs" dxfId="9546" priority="11090" stopIfTrue="1" operator="notEqual">
      <formula>H307</formula>
    </cfRule>
  </conditionalFormatting>
  <conditionalFormatting sqref="O310 M310 G310 K310 S310 U310 W310 I310 Q310">
    <cfRule type="cellIs" dxfId="9545" priority="11089" stopIfTrue="1" operator="notEqual">
      <formula>H310</formula>
    </cfRule>
  </conditionalFormatting>
  <conditionalFormatting sqref="O311 M311 G311 K311 S311 U311 W311 I311 Q311">
    <cfRule type="cellIs" dxfId="9544" priority="11088" stopIfTrue="1" operator="notEqual">
      <formula>H311</formula>
    </cfRule>
  </conditionalFormatting>
  <conditionalFormatting sqref="O312 M312 G312 K312 S312 U312 W312 I312 Q312">
    <cfRule type="cellIs" dxfId="9543" priority="11087" stopIfTrue="1" operator="notEqual">
      <formula>H312</formula>
    </cfRule>
  </conditionalFormatting>
  <conditionalFormatting sqref="O313 M313 G313 K313 S313 U313 W313 I313 Q313">
    <cfRule type="cellIs" dxfId="9542" priority="11086" stopIfTrue="1" operator="notEqual">
      <formula>H313</formula>
    </cfRule>
  </conditionalFormatting>
  <conditionalFormatting sqref="O314 M314 G314 K314 S314 U314 W314 I314 Q314">
    <cfRule type="cellIs" dxfId="9541" priority="11085" stopIfTrue="1" operator="notEqual">
      <formula>H314</formula>
    </cfRule>
  </conditionalFormatting>
  <conditionalFormatting sqref="O315:O324 M315:M324 G315:G324 K315:K324 S315:S324 U315:U324 W315:W324 I315:I324 Q315:Q324">
    <cfRule type="cellIs" dxfId="9540" priority="11084" stopIfTrue="1" operator="notEqual">
      <formula>H315</formula>
    </cfRule>
  </conditionalFormatting>
  <conditionalFormatting sqref="G310:G324">
    <cfRule type="cellIs" dxfId="9539" priority="11083" stopIfTrue="1" operator="notEqual">
      <formula>H310</formula>
    </cfRule>
  </conditionalFormatting>
  <conditionalFormatting sqref="G296">
    <cfRule type="cellIs" dxfId="9538" priority="11082" stopIfTrue="1" operator="notEqual">
      <formula>H296</formula>
    </cfRule>
  </conditionalFormatting>
  <conditionalFormatting sqref="G297">
    <cfRule type="cellIs" dxfId="9537" priority="11081" stopIfTrue="1" operator="notEqual">
      <formula>H297</formula>
    </cfRule>
  </conditionalFormatting>
  <conditionalFormatting sqref="G298">
    <cfRule type="cellIs" dxfId="9536" priority="11080" stopIfTrue="1" operator="notEqual">
      <formula>H298</formula>
    </cfRule>
  </conditionalFormatting>
  <conditionalFormatting sqref="G299:G300">
    <cfRule type="cellIs" dxfId="9535" priority="11079" stopIfTrue="1" operator="notEqual">
      <formula>H299</formula>
    </cfRule>
  </conditionalFormatting>
  <conditionalFormatting sqref="G300">
    <cfRule type="cellIs" dxfId="9534" priority="11078" stopIfTrue="1" operator="notEqual">
      <formula>H300</formula>
    </cfRule>
  </conditionalFormatting>
  <conditionalFormatting sqref="G301">
    <cfRule type="cellIs" dxfId="9533" priority="11077" stopIfTrue="1" operator="notEqual">
      <formula>H301</formula>
    </cfRule>
  </conditionalFormatting>
  <conditionalFormatting sqref="G302">
    <cfRule type="cellIs" dxfId="9532" priority="11076" stopIfTrue="1" operator="notEqual">
      <formula>H302</formula>
    </cfRule>
  </conditionalFormatting>
  <conditionalFormatting sqref="G303">
    <cfRule type="cellIs" dxfId="9531" priority="11075" stopIfTrue="1" operator="notEqual">
      <formula>H303</formula>
    </cfRule>
  </conditionalFormatting>
  <conditionalFormatting sqref="G304">
    <cfRule type="cellIs" dxfId="9530" priority="11074" stopIfTrue="1" operator="notEqual">
      <formula>H304</formula>
    </cfRule>
  </conditionalFormatting>
  <conditionalFormatting sqref="G305">
    <cfRule type="cellIs" dxfId="9529" priority="11073" stopIfTrue="1" operator="notEqual">
      <formula>H305</formula>
    </cfRule>
  </conditionalFormatting>
  <conditionalFormatting sqref="G306">
    <cfRule type="cellIs" dxfId="9528" priority="11072" stopIfTrue="1" operator="notEqual">
      <formula>H306</formula>
    </cfRule>
  </conditionalFormatting>
  <conditionalFormatting sqref="G307">
    <cfRule type="cellIs" dxfId="9527" priority="11071" stopIfTrue="1" operator="notEqual">
      <formula>H307</formula>
    </cfRule>
  </conditionalFormatting>
  <conditionalFormatting sqref="G308:G312">
    <cfRule type="cellIs" dxfId="9526" priority="11070" stopIfTrue="1" operator="notEqual">
      <formula>H308</formula>
    </cfRule>
  </conditionalFormatting>
  <conditionalFormatting sqref="G309">
    <cfRule type="cellIs" dxfId="9525" priority="11069" stopIfTrue="1" operator="notEqual">
      <formula>H309</formula>
    </cfRule>
  </conditionalFormatting>
  <conditionalFormatting sqref="G296">
    <cfRule type="cellIs" dxfId="9524" priority="11068" stopIfTrue="1" operator="notEqual">
      <formula>H296</formula>
    </cfRule>
  </conditionalFormatting>
  <conditionalFormatting sqref="G296">
    <cfRule type="cellIs" dxfId="9523" priority="11067" stopIfTrue="1" operator="notEqual">
      <formula>H296</formula>
    </cfRule>
  </conditionalFormatting>
  <conditionalFormatting sqref="G296">
    <cfRule type="cellIs" dxfId="9522" priority="11066" stopIfTrue="1" operator="notEqual">
      <formula>H296</formula>
    </cfRule>
  </conditionalFormatting>
  <conditionalFormatting sqref="G296">
    <cfRule type="cellIs" dxfId="9521" priority="11065" stopIfTrue="1" operator="notEqual">
      <formula>H296</formula>
    </cfRule>
  </conditionalFormatting>
  <conditionalFormatting sqref="G296">
    <cfRule type="cellIs" dxfId="9520" priority="11064" stopIfTrue="1" operator="notEqual">
      <formula>H296</formula>
    </cfRule>
  </conditionalFormatting>
  <conditionalFormatting sqref="G296">
    <cfRule type="cellIs" dxfId="9519" priority="11063" stopIfTrue="1" operator="notEqual">
      <formula>H296</formula>
    </cfRule>
  </conditionalFormatting>
  <conditionalFormatting sqref="G312">
    <cfRule type="cellIs" dxfId="9518" priority="11062" stopIfTrue="1" operator="notEqual">
      <formula>H312</formula>
    </cfRule>
  </conditionalFormatting>
  <conditionalFormatting sqref="G313">
    <cfRule type="cellIs" dxfId="9517" priority="11061" stopIfTrue="1" operator="notEqual">
      <formula>H313</formula>
    </cfRule>
  </conditionalFormatting>
  <conditionalFormatting sqref="G313">
    <cfRule type="cellIs" dxfId="9516" priority="11060" stopIfTrue="1" operator="notEqual">
      <formula>H313</formula>
    </cfRule>
  </conditionalFormatting>
  <conditionalFormatting sqref="G311">
    <cfRule type="cellIs" dxfId="9515" priority="11059" stopIfTrue="1" operator="notEqual">
      <formula>H311</formula>
    </cfRule>
  </conditionalFormatting>
  <conditionalFormatting sqref="G315:G324">
    <cfRule type="cellIs" dxfId="9514" priority="11058" stopIfTrue="1" operator="notEqual">
      <formula>H315</formula>
    </cfRule>
  </conditionalFormatting>
  <conditionalFormatting sqref="O306:O312 M306:M312 G306:G312 K306:K312 S306:S312 U306:U312 W306:W312 I306:I312 Q306:Q312">
    <cfRule type="cellIs" dxfId="9513" priority="11057" stopIfTrue="1" operator="notEqual">
      <formula>H306</formula>
    </cfRule>
  </conditionalFormatting>
  <conditionalFormatting sqref="O296 M296 G296 K296 S296 U296 W296 I296 Q296">
    <cfRule type="cellIs" dxfId="9512" priority="11056" stopIfTrue="1" operator="notEqual">
      <formula>H296</formula>
    </cfRule>
  </conditionalFormatting>
  <conditionalFormatting sqref="O297 M297 G297 K297 S297 U297 W297 I297 Q297">
    <cfRule type="cellIs" dxfId="9511" priority="11055" stopIfTrue="1" operator="notEqual">
      <formula>H297</formula>
    </cfRule>
  </conditionalFormatting>
  <conditionalFormatting sqref="O298 M298 G298 K298 S298 U298 W298 I298 Q298">
    <cfRule type="cellIs" dxfId="9510" priority="11054" stopIfTrue="1" operator="notEqual">
      <formula>H298</formula>
    </cfRule>
  </conditionalFormatting>
  <conditionalFormatting sqref="O299:O300 M299:M300 G299:G300 K299:K300 S299:S300 U299:U300 W299:W300 I299:I300 Q299:Q300">
    <cfRule type="cellIs" dxfId="9509" priority="11053" stopIfTrue="1" operator="notEqual">
      <formula>H299</formula>
    </cfRule>
  </conditionalFormatting>
  <conditionalFormatting sqref="O300 M300 G300 K300 S300 U300 W300 I300 Q300">
    <cfRule type="cellIs" dxfId="9508" priority="11052" stopIfTrue="1" operator="notEqual">
      <formula>H300</formula>
    </cfRule>
  </conditionalFormatting>
  <conditionalFormatting sqref="O301 M301 G301 K301 S301 U301 W301 I301 Q301">
    <cfRule type="cellIs" dxfId="9507" priority="11051" stopIfTrue="1" operator="notEqual">
      <formula>H301</formula>
    </cfRule>
  </conditionalFormatting>
  <conditionalFormatting sqref="O302 M302 G302 K302 S302 U302 W302 I302 Q302">
    <cfRule type="cellIs" dxfId="9506" priority="11050" stopIfTrue="1" operator="notEqual">
      <formula>H302</formula>
    </cfRule>
  </conditionalFormatting>
  <conditionalFormatting sqref="O303 M303 G303 K303 S303 U303 W303 I303 Q303">
    <cfRule type="cellIs" dxfId="9505" priority="11049" stopIfTrue="1" operator="notEqual">
      <formula>H303</formula>
    </cfRule>
  </conditionalFormatting>
  <conditionalFormatting sqref="O304 M304 G304 K304 S304 U304 W304 I304 Q304">
    <cfRule type="cellIs" dxfId="9504" priority="11048" stopIfTrue="1" operator="notEqual">
      <formula>H304</formula>
    </cfRule>
  </conditionalFormatting>
  <conditionalFormatting sqref="O305 M305 G305 K305 S305 U305 W305 I305 Q305">
    <cfRule type="cellIs" dxfId="9503" priority="11047" stopIfTrue="1" operator="notEqual">
      <formula>H305</formula>
    </cfRule>
  </conditionalFormatting>
  <conditionalFormatting sqref="O308:O312 M308:M312 G308:G312 K308:K312 S308:S312 U308:U312 W308:W312 I308:I312 Q308:Q312">
    <cfRule type="cellIs" dxfId="9502" priority="11046" stopIfTrue="1" operator="notEqual">
      <formula>H308</formula>
    </cfRule>
  </conditionalFormatting>
  <conditionalFormatting sqref="O309 M309 G309 K309 S309 U309 W309 I309 Q309">
    <cfRule type="cellIs" dxfId="9501" priority="11045" stopIfTrue="1" operator="notEqual">
      <formula>H309</formula>
    </cfRule>
  </conditionalFormatting>
  <conditionalFormatting sqref="O309 M309 G309 K309 S309 U309 W309 I309 Q309">
    <cfRule type="cellIs" dxfId="9500" priority="11044" stopIfTrue="1" operator="notEqual">
      <formula>H309</formula>
    </cfRule>
  </conditionalFormatting>
  <conditionalFormatting sqref="O307 M307 G307 K307 S307 U307 W307 I307 Q307">
    <cfRule type="cellIs" dxfId="9499" priority="11043" stopIfTrue="1" operator="notEqual">
      <formula>H307</formula>
    </cfRule>
  </conditionalFormatting>
  <conditionalFormatting sqref="O312 M312 G312 K312 S312 U312 W312 I312 Q312">
    <cfRule type="cellIs" dxfId="9498" priority="11042" stopIfTrue="1" operator="notEqual">
      <formula>H312</formula>
    </cfRule>
  </conditionalFormatting>
  <conditionalFormatting sqref="O313 M313 G313 K313 S313 U313 W313 I313 Q313">
    <cfRule type="cellIs" dxfId="9497" priority="11041" stopIfTrue="1" operator="notEqual">
      <formula>H313</formula>
    </cfRule>
  </conditionalFormatting>
  <conditionalFormatting sqref="O311 M311 G311 K311 S311 U311 W311 I311 Q311">
    <cfRule type="cellIs" dxfId="9496" priority="11040" stopIfTrue="1" operator="notEqual">
      <formula>H311</formula>
    </cfRule>
  </conditionalFormatting>
  <conditionalFormatting sqref="O314 M314 G314 K314 S314 U314 W314 I314 Q314">
    <cfRule type="cellIs" dxfId="9495" priority="11039" stopIfTrue="1" operator="notEqual">
      <formula>H314</formula>
    </cfRule>
  </conditionalFormatting>
  <conditionalFormatting sqref="O315:O324 M315:M324 G315:G324 K315:K324 S315:S324 U315:U324 W315:W324 I315:I324 Q315:Q324">
    <cfRule type="cellIs" dxfId="9494" priority="11038" stopIfTrue="1" operator="notEqual">
      <formula>H315</formula>
    </cfRule>
  </conditionalFormatting>
  <conditionalFormatting sqref="O296 M296 G296 K296 S296 U296 W296 I296 Q296">
    <cfRule type="cellIs" dxfId="9493" priority="11037" stopIfTrue="1" operator="notEqual">
      <formula>H296</formula>
    </cfRule>
  </conditionalFormatting>
  <conditionalFormatting sqref="O297 M297 G297 K297 S297 U297 W297 I297 Q297">
    <cfRule type="cellIs" dxfId="9492" priority="11036" stopIfTrue="1" operator="notEqual">
      <formula>H297</formula>
    </cfRule>
  </conditionalFormatting>
  <conditionalFormatting sqref="O298 M298 G298 K298 S298 U298 W298 I298 Q298">
    <cfRule type="cellIs" dxfId="9491" priority="11035" stopIfTrue="1" operator="notEqual">
      <formula>H298</formula>
    </cfRule>
  </conditionalFormatting>
  <conditionalFormatting sqref="O296 M296 G296 K296 S296 U296 W296 I296 Q296">
    <cfRule type="cellIs" dxfId="9490" priority="11034" stopIfTrue="1" operator="notEqual">
      <formula>H296</formula>
    </cfRule>
  </conditionalFormatting>
  <conditionalFormatting sqref="O299:O300 M299:M300 G299:G300 K299:K300 S299:S300 U299:U300 W299:W300 I299:I300 Q299:Q300">
    <cfRule type="cellIs" dxfId="9489" priority="11033" stopIfTrue="1" operator="notEqual">
      <formula>H299</formula>
    </cfRule>
  </conditionalFormatting>
  <conditionalFormatting sqref="O300 M300 G300 K300 S300 U300 W300 I300 Q300">
    <cfRule type="cellIs" dxfId="9488" priority="11032" stopIfTrue="1" operator="notEqual">
      <formula>H300</formula>
    </cfRule>
  </conditionalFormatting>
  <conditionalFormatting sqref="O301 M301 G301 K301 S301 U301 W301 I301 Q301">
    <cfRule type="cellIs" dxfId="9487" priority="11031" stopIfTrue="1" operator="notEqual">
      <formula>H301</formula>
    </cfRule>
  </conditionalFormatting>
  <conditionalFormatting sqref="O302 M302 G302 K302 S302 U302 W302 I302 Q302">
    <cfRule type="cellIs" dxfId="9486" priority="11030" stopIfTrue="1" operator="notEqual">
      <formula>H302</formula>
    </cfRule>
  </conditionalFormatting>
  <conditionalFormatting sqref="O303 M303 G303 K303 S303 U303 W303 I303 Q303">
    <cfRule type="cellIs" dxfId="9485" priority="11029" stopIfTrue="1" operator="notEqual">
      <formula>H303</formula>
    </cfRule>
  </conditionalFormatting>
  <conditionalFormatting sqref="O304 M304 G304 K304 S304 U304 W304 I304 Q304">
    <cfRule type="cellIs" dxfId="9484" priority="11028" stopIfTrue="1" operator="notEqual">
      <formula>H304</formula>
    </cfRule>
  </conditionalFormatting>
  <conditionalFormatting sqref="O305 M305 G305 K305 S305 U305 W305 I305 Q305">
    <cfRule type="cellIs" dxfId="9483" priority="11027" stopIfTrue="1" operator="notEqual">
      <formula>H305</formula>
    </cfRule>
  </conditionalFormatting>
  <conditionalFormatting sqref="O306 M306 G306 K306 S306 U306 W306 I306 Q306">
    <cfRule type="cellIs" dxfId="9482" priority="11026" stopIfTrue="1" operator="notEqual">
      <formula>H306</formula>
    </cfRule>
  </conditionalFormatting>
  <conditionalFormatting sqref="O307 M307 G307 K307 S307 U307 W307 I307 Q307">
    <cfRule type="cellIs" dxfId="9481" priority="11025" stopIfTrue="1" operator="notEqual">
      <formula>H307</formula>
    </cfRule>
  </conditionalFormatting>
  <conditionalFormatting sqref="O308:O312 M308:M312 G308:G312 K308:K312 S308:S312 U308:U312 W308:W312 I308:I312 Q308:Q312">
    <cfRule type="cellIs" dxfId="9480" priority="11024" stopIfTrue="1" operator="notEqual">
      <formula>H308</formula>
    </cfRule>
  </conditionalFormatting>
  <conditionalFormatting sqref="O309 M309 G309 K309 S309 U309 W309 I309 Q309">
    <cfRule type="cellIs" dxfId="9479" priority="11023" stopIfTrue="1" operator="notEqual">
      <formula>H309</formula>
    </cfRule>
  </conditionalFormatting>
  <conditionalFormatting sqref="O310 M310 G310 K310 S310 U310 W310 I310 Q310">
    <cfRule type="cellIs" dxfId="9478" priority="11022" stopIfTrue="1" operator="notEqual">
      <formula>H310</formula>
    </cfRule>
  </conditionalFormatting>
  <conditionalFormatting sqref="O311 M311 G311 K311 S311 U311 W311 I311 Q311">
    <cfRule type="cellIs" dxfId="9477" priority="11021" stopIfTrue="1" operator="notEqual">
      <formula>H311</formula>
    </cfRule>
  </conditionalFormatting>
  <conditionalFormatting sqref="G312">
    <cfRule type="cellIs" dxfId="9476" priority="11020" stopIfTrue="1" operator="notEqual">
      <formula>H312</formula>
    </cfRule>
  </conditionalFormatting>
  <conditionalFormatting sqref="G313">
    <cfRule type="cellIs" dxfId="9475" priority="11019" stopIfTrue="1" operator="notEqual">
      <formula>H313</formula>
    </cfRule>
  </conditionalFormatting>
  <conditionalFormatting sqref="G314">
    <cfRule type="cellIs" dxfId="9474" priority="11018" stopIfTrue="1" operator="notEqual">
      <formula>H314</formula>
    </cfRule>
  </conditionalFormatting>
  <conditionalFormatting sqref="G315:G324">
    <cfRule type="cellIs" dxfId="9473" priority="11017" stopIfTrue="1" operator="notEqual">
      <formula>H315</formula>
    </cfRule>
  </conditionalFormatting>
  <conditionalFormatting sqref="G312">
    <cfRule type="cellIs" dxfId="9472" priority="11016" stopIfTrue="1" operator="notEqual">
      <formula>H312</formula>
    </cfRule>
  </conditionalFormatting>
  <conditionalFormatting sqref="G312">
    <cfRule type="cellIs" dxfId="9471" priority="11015" stopIfTrue="1" operator="notEqual">
      <formula>H312</formula>
    </cfRule>
  </conditionalFormatting>
  <conditionalFormatting sqref="G312">
    <cfRule type="cellIs" dxfId="9470" priority="11014" stopIfTrue="1" operator="notEqual">
      <formula>H312</formula>
    </cfRule>
  </conditionalFormatting>
  <conditionalFormatting sqref="G312">
    <cfRule type="cellIs" dxfId="9469" priority="11013" stopIfTrue="1" operator="notEqual">
      <formula>H312</formula>
    </cfRule>
  </conditionalFormatting>
  <conditionalFormatting sqref="G312">
    <cfRule type="cellIs" dxfId="9468" priority="11012" stopIfTrue="1" operator="notEqual">
      <formula>H312</formula>
    </cfRule>
  </conditionalFormatting>
  <conditionalFormatting sqref="G312">
    <cfRule type="cellIs" dxfId="9467" priority="11011" stopIfTrue="1" operator="notEqual">
      <formula>H312</formula>
    </cfRule>
  </conditionalFormatting>
  <conditionalFormatting sqref="O312 M312 G312 K312 S312 U312 W312 I312 Q312">
    <cfRule type="cellIs" dxfId="9466" priority="11010" stopIfTrue="1" operator="notEqual">
      <formula>H312</formula>
    </cfRule>
  </conditionalFormatting>
  <conditionalFormatting sqref="O313 M313 G313 K313 S313 U313 W313 I313 Q313">
    <cfRule type="cellIs" dxfId="9465" priority="11009" stopIfTrue="1" operator="notEqual">
      <formula>H313</formula>
    </cfRule>
  </conditionalFormatting>
  <conditionalFormatting sqref="O314 M314 G314 K314 S314 U314 W314 I314 Q314">
    <cfRule type="cellIs" dxfId="9464" priority="11008" stopIfTrue="1" operator="notEqual">
      <formula>H314</formula>
    </cfRule>
  </conditionalFormatting>
  <conditionalFormatting sqref="O315:O324 M315:M324 G315:G324 K315:K324 S315:S324 U315:U324 W315:W324 I315:I324 Q315:Q324">
    <cfRule type="cellIs" dxfId="9463" priority="11007" stopIfTrue="1" operator="notEqual">
      <formula>H315</formula>
    </cfRule>
  </conditionalFormatting>
  <conditionalFormatting sqref="O312 M312 G312 K312 S312 U312 W312 I312 Q312">
    <cfRule type="cellIs" dxfId="9462" priority="11006" stopIfTrue="1" operator="notEqual">
      <formula>H312</formula>
    </cfRule>
  </conditionalFormatting>
  <conditionalFormatting sqref="O313 M313 G313 K313 S313 U313 W313 I313 Q313">
    <cfRule type="cellIs" dxfId="9461" priority="11005" stopIfTrue="1" operator="notEqual">
      <formula>H313</formula>
    </cfRule>
  </conditionalFormatting>
  <conditionalFormatting sqref="O314 M314 G314 K314 S314 U314 W314 I314 Q314">
    <cfRule type="cellIs" dxfId="9460" priority="11004" stopIfTrue="1" operator="notEqual">
      <formula>H314</formula>
    </cfRule>
  </conditionalFormatting>
  <conditionalFormatting sqref="O312 M312 G312 K312 S312 U312 W312 I312 Q312">
    <cfRule type="cellIs" dxfId="9459" priority="11003" stopIfTrue="1" operator="notEqual">
      <formula>H312</formula>
    </cfRule>
  </conditionalFormatting>
  <conditionalFormatting sqref="O315:O324 M315:M324 G315:G324 K315:K324 S315:S324 U315:U324 W315:W324 I315:I324 Q315:Q324">
    <cfRule type="cellIs" dxfId="9458" priority="11002" stopIfTrue="1" operator="notEqual">
      <formula>H315</formula>
    </cfRule>
  </conditionalFormatting>
  <conditionalFormatting sqref="O296:O300 M296:M300 G296:G300 K296:K300 S296:S300 U296:U300 W296:W300 I296:I300 Q296:Q300">
    <cfRule type="cellIs" dxfId="9457" priority="11001" stopIfTrue="1" operator="notEqual">
      <formula>H296</formula>
    </cfRule>
  </conditionalFormatting>
  <conditionalFormatting sqref="O297 M297 G297 K297 S297 U297 W297 I297 Q297">
    <cfRule type="cellIs" dxfId="9456" priority="11000" stopIfTrue="1" operator="notEqual">
      <formula>H297</formula>
    </cfRule>
  </conditionalFormatting>
  <conditionalFormatting sqref="O298 M298 G298 K298 S298 U298 W298 I298 Q298">
    <cfRule type="cellIs" dxfId="9455" priority="10999" stopIfTrue="1" operator="notEqual">
      <formula>H298</formula>
    </cfRule>
  </conditionalFormatting>
  <conditionalFormatting sqref="O298 M298 G298 K298 S298 U298 W298 I298 Q298">
    <cfRule type="cellIs" dxfId="9454" priority="10998" stopIfTrue="1" operator="notEqual">
      <formula>H298</formula>
    </cfRule>
  </conditionalFormatting>
  <conditionalFormatting sqref="O296 M296 G296 K296 S296 U296 W296 I296 Q296">
    <cfRule type="cellIs" dxfId="9453" priority="10997" stopIfTrue="1" operator="notEqual">
      <formula>H296</formula>
    </cfRule>
  </conditionalFormatting>
  <conditionalFormatting sqref="O301 M301 G301 K301 S301 U301 W301 I301 Q301">
    <cfRule type="cellIs" dxfId="9452" priority="10996" stopIfTrue="1" operator="notEqual">
      <formula>H301</formula>
    </cfRule>
  </conditionalFormatting>
  <conditionalFormatting sqref="O302 M302 G302 K302 S302 U302 W302 I302 Q302">
    <cfRule type="cellIs" dxfId="9451" priority="10995" stopIfTrue="1" operator="notEqual">
      <formula>H302</formula>
    </cfRule>
  </conditionalFormatting>
  <conditionalFormatting sqref="O300 M300 G300 K300 S300 U300 W300 I300 Q300">
    <cfRule type="cellIs" dxfId="9450" priority="10994" stopIfTrue="1" operator="notEqual">
      <formula>H300</formula>
    </cfRule>
  </conditionalFormatting>
  <conditionalFormatting sqref="O303 M303 G303 K303 S303 U303 W303 I303 Q303">
    <cfRule type="cellIs" dxfId="9449" priority="10993" stopIfTrue="1" operator="notEqual">
      <formula>H303</formula>
    </cfRule>
  </conditionalFormatting>
  <conditionalFormatting sqref="O304 M304 G304 K304 S304 U304 W304 I304 Q304">
    <cfRule type="cellIs" dxfId="9448" priority="10992" stopIfTrue="1" operator="notEqual">
      <formula>H304</formula>
    </cfRule>
  </conditionalFormatting>
  <conditionalFormatting sqref="O305 M305 G305 K305 S305 U305 W305 I305 Q305">
    <cfRule type="cellIs" dxfId="9447" priority="10991" stopIfTrue="1" operator="notEqual">
      <formula>H305</formula>
    </cfRule>
  </conditionalFormatting>
  <conditionalFormatting sqref="O306 M306 G306 K306 S306 U306 W306 I306 Q306">
    <cfRule type="cellIs" dxfId="9446" priority="10990" stopIfTrue="1" operator="notEqual">
      <formula>H306</formula>
    </cfRule>
  </conditionalFormatting>
  <conditionalFormatting sqref="O307 M307 G307 K307 S307 U307 W307 I307 Q307">
    <cfRule type="cellIs" dxfId="9445" priority="10989" stopIfTrue="1" operator="notEqual">
      <formula>H307</formula>
    </cfRule>
  </conditionalFormatting>
  <conditionalFormatting sqref="O308:O312 M308:M312 G308:G312 K308:K312 S308:S312 U308:U312 W308:W312 I308:I312 Q308:Q312">
    <cfRule type="cellIs" dxfId="9444" priority="10988" stopIfTrue="1" operator="notEqual">
      <formula>H308</formula>
    </cfRule>
  </conditionalFormatting>
  <conditionalFormatting sqref="O309 M309 G309 K309 S309 U309 W309 I309 Q309">
    <cfRule type="cellIs" dxfId="9443" priority="10987" stopIfTrue="1" operator="notEqual">
      <formula>H309</formula>
    </cfRule>
  </conditionalFormatting>
  <conditionalFormatting sqref="O310 M310 G310 K310 S310 U310 W310 I310 Q310">
    <cfRule type="cellIs" dxfId="9442" priority="10986" stopIfTrue="1" operator="notEqual">
      <formula>H310</formula>
    </cfRule>
  </conditionalFormatting>
  <conditionalFormatting sqref="O311 M311 G311 K311 S311 U311 W311 I311 Q311">
    <cfRule type="cellIs" dxfId="9441" priority="10985" stopIfTrue="1" operator="notEqual">
      <formula>H311</formula>
    </cfRule>
  </conditionalFormatting>
  <conditionalFormatting sqref="O312 M312 G312 K312 S312 U312 W312 I312 Q312">
    <cfRule type="cellIs" dxfId="9440" priority="10984" stopIfTrue="1" operator="notEqual">
      <formula>H312</formula>
    </cfRule>
  </conditionalFormatting>
  <conditionalFormatting sqref="O313 M313 G313 K313 S313 U313 W313 I313 Q313">
    <cfRule type="cellIs" dxfId="9439" priority="10983" stopIfTrue="1" operator="notEqual">
      <formula>H313</formula>
    </cfRule>
  </conditionalFormatting>
  <conditionalFormatting sqref="O314 M314 G314 K314 S314 U314 W314 I314 Q314">
    <cfRule type="cellIs" dxfId="9438" priority="10982" stopIfTrue="1" operator="notEqual">
      <formula>H314</formula>
    </cfRule>
  </conditionalFormatting>
  <conditionalFormatting sqref="O315:O324 M315:M324 G315:G324 K315:K324 S315:S324 U315:U324 W315:W324 I315:I324 Q315:Q324">
    <cfRule type="cellIs" dxfId="9437" priority="10981" stopIfTrue="1" operator="notEqual">
      <formula>H315</formula>
    </cfRule>
  </conditionalFormatting>
  <conditionalFormatting sqref="G323">
    <cfRule type="cellIs" dxfId="9436" priority="10980" stopIfTrue="1" operator="notEqual">
      <formula>H323</formula>
    </cfRule>
  </conditionalFormatting>
  <conditionalFormatting sqref="G316">
    <cfRule type="cellIs" dxfId="9435" priority="10979" stopIfTrue="1" operator="notEqual">
      <formula>H316</formula>
    </cfRule>
  </conditionalFormatting>
  <conditionalFormatting sqref="G317">
    <cfRule type="cellIs" dxfId="9434" priority="10978" stopIfTrue="1" operator="notEqual">
      <formula>H317</formula>
    </cfRule>
  </conditionalFormatting>
  <conditionalFormatting sqref="G318">
    <cfRule type="cellIs" dxfId="9433" priority="10977" stopIfTrue="1" operator="notEqual">
      <formula>H318</formula>
    </cfRule>
  </conditionalFormatting>
  <conditionalFormatting sqref="G319">
    <cfRule type="cellIs" dxfId="9432" priority="10976" stopIfTrue="1" operator="notEqual">
      <formula>H319</formula>
    </cfRule>
  </conditionalFormatting>
  <conditionalFormatting sqref="G320">
    <cfRule type="cellIs" dxfId="9431" priority="10975" stopIfTrue="1" operator="notEqual">
      <formula>H320</formula>
    </cfRule>
  </conditionalFormatting>
  <conditionalFormatting sqref="G321">
    <cfRule type="cellIs" dxfId="9430" priority="10974" stopIfTrue="1" operator="notEqual">
      <formula>H321</formula>
    </cfRule>
  </conditionalFormatting>
  <conditionalFormatting sqref="G322">
    <cfRule type="cellIs" dxfId="9429" priority="10973" stopIfTrue="1" operator="notEqual">
      <formula>H322</formula>
    </cfRule>
  </conditionalFormatting>
  <conditionalFormatting sqref="G316">
    <cfRule type="cellIs" dxfId="9428" priority="10972" stopIfTrue="1" operator="notEqual">
      <formula>H316</formula>
    </cfRule>
  </conditionalFormatting>
  <conditionalFormatting sqref="G317">
    <cfRule type="cellIs" dxfId="9427" priority="10971" stopIfTrue="1" operator="notEqual">
      <formula>H317</formula>
    </cfRule>
  </conditionalFormatting>
  <conditionalFormatting sqref="G318">
    <cfRule type="cellIs" dxfId="9426" priority="10970" stopIfTrue="1" operator="notEqual">
      <formula>H318</formula>
    </cfRule>
  </conditionalFormatting>
  <conditionalFormatting sqref="G319">
    <cfRule type="cellIs" dxfId="9425" priority="10969" stopIfTrue="1" operator="notEqual">
      <formula>H319</formula>
    </cfRule>
  </conditionalFormatting>
  <conditionalFormatting sqref="G320">
    <cfRule type="cellIs" dxfId="9424" priority="10968" stopIfTrue="1" operator="notEqual">
      <formula>H320</formula>
    </cfRule>
  </conditionalFormatting>
  <conditionalFormatting sqref="G321">
    <cfRule type="cellIs" dxfId="9423" priority="10967" stopIfTrue="1" operator="notEqual">
      <formula>H321</formula>
    </cfRule>
  </conditionalFormatting>
  <conditionalFormatting sqref="G322">
    <cfRule type="cellIs" dxfId="9422" priority="10966" stopIfTrue="1" operator="notEqual">
      <formula>H322</formula>
    </cfRule>
  </conditionalFormatting>
  <conditionalFormatting sqref="O316 M316 G316 K316 S316 U316 W316 I316 Q316">
    <cfRule type="cellIs" dxfId="9421" priority="10965" stopIfTrue="1" operator="notEqual">
      <formula>H316</formula>
    </cfRule>
  </conditionalFormatting>
  <conditionalFormatting sqref="O317 M317 G317 K317 S317 U317 W317 I317 Q317">
    <cfRule type="cellIs" dxfId="9420" priority="10964" stopIfTrue="1" operator="notEqual">
      <formula>H317</formula>
    </cfRule>
  </conditionalFormatting>
  <conditionalFormatting sqref="O318 M318 G318 K318 S318 U318 W318 I318 Q318">
    <cfRule type="cellIs" dxfId="9419" priority="10963" stopIfTrue="1" operator="notEqual">
      <formula>H318</formula>
    </cfRule>
  </conditionalFormatting>
  <conditionalFormatting sqref="O319 M319 G319 K319 S319 U319 W319 I319 Q319">
    <cfRule type="cellIs" dxfId="9418" priority="10962" stopIfTrue="1" operator="notEqual">
      <formula>H319</formula>
    </cfRule>
  </conditionalFormatting>
  <conditionalFormatting sqref="O320 M320 G320 K320 S320 U320 W320 I320 Q320">
    <cfRule type="cellIs" dxfId="9417" priority="10961" stopIfTrue="1" operator="notEqual">
      <formula>H320</formula>
    </cfRule>
  </conditionalFormatting>
  <conditionalFormatting sqref="O321 M321 G321 K321 S321 U321 W321 I321 Q321">
    <cfRule type="cellIs" dxfId="9416" priority="10960" stopIfTrue="1" operator="notEqual">
      <formula>H321</formula>
    </cfRule>
  </conditionalFormatting>
  <conditionalFormatting sqref="G321:G322">
    <cfRule type="cellIs" dxfId="9415" priority="10959" stopIfTrue="1" operator="notEqual">
      <formula>H321</formula>
    </cfRule>
  </conditionalFormatting>
  <conditionalFormatting sqref="G316">
    <cfRule type="cellIs" dxfId="9414" priority="10958" stopIfTrue="1" operator="notEqual">
      <formula>H316</formula>
    </cfRule>
  </conditionalFormatting>
  <conditionalFormatting sqref="G317">
    <cfRule type="cellIs" dxfId="9413" priority="10957" stopIfTrue="1" operator="notEqual">
      <formula>H317</formula>
    </cfRule>
  </conditionalFormatting>
  <conditionalFormatting sqref="G318">
    <cfRule type="cellIs" dxfId="9412" priority="10956" stopIfTrue="1" operator="notEqual">
      <formula>H318</formula>
    </cfRule>
  </conditionalFormatting>
  <conditionalFormatting sqref="G319">
    <cfRule type="cellIs" dxfId="9411" priority="10955" stopIfTrue="1" operator="notEqual">
      <formula>H319</formula>
    </cfRule>
  </conditionalFormatting>
  <conditionalFormatting sqref="G320">
    <cfRule type="cellIs" dxfId="9410" priority="10954" stopIfTrue="1" operator="notEqual">
      <formula>H320</formula>
    </cfRule>
  </conditionalFormatting>
  <conditionalFormatting sqref="G322">
    <cfRule type="cellIs" dxfId="9409" priority="10953" stopIfTrue="1" operator="notEqual">
      <formula>H322</formula>
    </cfRule>
  </conditionalFormatting>
  <conditionalFormatting sqref="O317:O322 M317:M322 G317:G322 K317:K322 S317:S322 U317:U322 W317:W322 I317:I322 Q317:Q322">
    <cfRule type="cellIs" dxfId="9408" priority="10952" stopIfTrue="1" operator="notEqual">
      <formula>H317</formula>
    </cfRule>
  </conditionalFormatting>
  <conditionalFormatting sqref="O316 M316 G316 K316 S316 U316 W316 I316 Q316">
    <cfRule type="cellIs" dxfId="9407" priority="10951" stopIfTrue="1" operator="notEqual">
      <formula>H316</formula>
    </cfRule>
  </conditionalFormatting>
  <conditionalFormatting sqref="O319 M319 G319 K319 S319 U319 W319 I319 Q319">
    <cfRule type="cellIs" dxfId="9406" priority="10950" stopIfTrue="1" operator="notEqual">
      <formula>H319</formula>
    </cfRule>
  </conditionalFormatting>
  <conditionalFormatting sqref="O320 M320 G320 K320 S320 U320 W320 I320 Q320">
    <cfRule type="cellIs" dxfId="9405" priority="10949" stopIfTrue="1" operator="notEqual">
      <formula>H320</formula>
    </cfRule>
  </conditionalFormatting>
  <conditionalFormatting sqref="O320 M320 G320 K320 S320 U320 W320 I320 Q320">
    <cfRule type="cellIs" dxfId="9404" priority="10948" stopIfTrue="1" operator="notEqual">
      <formula>H320</formula>
    </cfRule>
  </conditionalFormatting>
  <conditionalFormatting sqref="O318 M318 G318 K318 S318 U318 W318 I318 Q318">
    <cfRule type="cellIs" dxfId="9403" priority="10947" stopIfTrue="1" operator="notEqual">
      <formula>H318</formula>
    </cfRule>
  </conditionalFormatting>
  <conditionalFormatting sqref="O322 M322 G322 K322 S322 U322 W322 I322 Q322">
    <cfRule type="cellIs" dxfId="9402" priority="10946" stopIfTrue="1" operator="notEqual">
      <formula>H322</formula>
    </cfRule>
  </conditionalFormatting>
  <conditionalFormatting sqref="O316 M316 G316 K316 S316 U316 W316 I316 Q316">
    <cfRule type="cellIs" dxfId="9401" priority="10945" stopIfTrue="1" operator="notEqual">
      <formula>H316</formula>
    </cfRule>
  </conditionalFormatting>
  <conditionalFormatting sqref="O317 M317 G317 K317 S317 U317 W317 I317 Q317">
    <cfRule type="cellIs" dxfId="9400" priority="10944" stopIfTrue="1" operator="notEqual">
      <formula>H317</formula>
    </cfRule>
  </conditionalFormatting>
  <conditionalFormatting sqref="O318 M318 G318 K318 S318 U318 W318 I318 Q318">
    <cfRule type="cellIs" dxfId="9399" priority="10943" stopIfTrue="1" operator="notEqual">
      <formula>H318</formula>
    </cfRule>
  </conditionalFormatting>
  <conditionalFormatting sqref="O319 M319 G319 K319 S319 U319 W319 I319 Q319">
    <cfRule type="cellIs" dxfId="9398" priority="10942" stopIfTrue="1" operator="notEqual">
      <formula>H319</formula>
    </cfRule>
  </conditionalFormatting>
  <conditionalFormatting sqref="O320 M320 G320 K320 S320 U320 W320 I320 Q320">
    <cfRule type="cellIs" dxfId="9397" priority="10941" stopIfTrue="1" operator="notEqual">
      <formula>H320</formula>
    </cfRule>
  </conditionalFormatting>
  <conditionalFormatting sqref="O321 M321 G321 K321 S321 U321 W321 I321 Q321">
    <cfRule type="cellIs" dxfId="9396" priority="10940" stopIfTrue="1" operator="notEqual">
      <formula>H321</formula>
    </cfRule>
  </conditionalFormatting>
  <conditionalFormatting sqref="O322 M322 G322 K322 S322 U322 W322 I322 Q322">
    <cfRule type="cellIs" dxfId="9395" priority="10939" stopIfTrue="1" operator="notEqual">
      <formula>H322</formula>
    </cfRule>
  </conditionalFormatting>
  <conditionalFormatting sqref="G316">
    <cfRule type="cellIs" dxfId="9394" priority="10938" stopIfTrue="1" operator="notEqual">
      <formula>H316</formula>
    </cfRule>
  </conditionalFormatting>
  <conditionalFormatting sqref="G317">
    <cfRule type="cellIs" dxfId="9393" priority="10937" stopIfTrue="1" operator="notEqual">
      <formula>H317</formula>
    </cfRule>
  </conditionalFormatting>
  <conditionalFormatting sqref="G318">
    <cfRule type="cellIs" dxfId="9392" priority="10936" stopIfTrue="1" operator="notEqual">
      <formula>H318</formula>
    </cfRule>
  </conditionalFormatting>
  <conditionalFormatting sqref="G319">
    <cfRule type="cellIs" dxfId="9391" priority="10935" stopIfTrue="1" operator="notEqual">
      <formula>H319</formula>
    </cfRule>
  </conditionalFormatting>
  <conditionalFormatting sqref="G320">
    <cfRule type="cellIs" dxfId="9390" priority="10934" stopIfTrue="1" operator="notEqual">
      <formula>H320</formula>
    </cfRule>
  </conditionalFormatting>
  <conditionalFormatting sqref="G321">
    <cfRule type="cellIs" dxfId="9389" priority="10933" stopIfTrue="1" operator="notEqual">
      <formula>H321</formula>
    </cfRule>
  </conditionalFormatting>
  <conditionalFormatting sqref="G322">
    <cfRule type="cellIs" dxfId="9388" priority="10932" stopIfTrue="1" operator="notEqual">
      <formula>H322</formula>
    </cfRule>
  </conditionalFormatting>
  <conditionalFormatting sqref="G323">
    <cfRule type="cellIs" dxfId="9387" priority="10931" stopIfTrue="1" operator="notEqual">
      <formula>H323</formula>
    </cfRule>
  </conditionalFormatting>
  <conditionalFormatting sqref="G324">
    <cfRule type="cellIs" dxfId="9386" priority="10930" stopIfTrue="1" operator="notEqual">
      <formula>H324</formula>
    </cfRule>
  </conditionalFormatting>
  <conditionalFormatting sqref="G325">
    <cfRule type="cellIs" dxfId="9385" priority="10929" stopIfTrue="1" operator="notEqual">
      <formula>H325</formula>
    </cfRule>
  </conditionalFormatting>
  <conditionalFormatting sqref="G326:G354">
    <cfRule type="cellIs" dxfId="9384" priority="10928" stopIfTrue="1" operator="notEqual">
      <formula>H326</formula>
    </cfRule>
  </conditionalFormatting>
  <conditionalFormatting sqref="G327 G338 G349">
    <cfRule type="cellIs" dxfId="9383" priority="10927" stopIfTrue="1" operator="notEqual">
      <formula>H327</formula>
    </cfRule>
  </conditionalFormatting>
  <conditionalFormatting sqref="G328 G339 G350">
    <cfRule type="cellIs" dxfId="9382" priority="10926" stopIfTrue="1" operator="notEqual">
      <formula>H328</formula>
    </cfRule>
  </conditionalFormatting>
  <conditionalFormatting sqref="G329 G340 G351">
    <cfRule type="cellIs" dxfId="9381" priority="10925" stopIfTrue="1" operator="notEqual">
      <formula>H329</formula>
    </cfRule>
  </conditionalFormatting>
  <conditionalFormatting sqref="G330 G341 G352">
    <cfRule type="cellIs" dxfId="9380" priority="10924" stopIfTrue="1" operator="notEqual">
      <formula>H330</formula>
    </cfRule>
  </conditionalFormatting>
  <conditionalFormatting sqref="G331 G342 G353">
    <cfRule type="cellIs" dxfId="9379" priority="10923" stopIfTrue="1" operator="notEqual">
      <formula>H331</formula>
    </cfRule>
  </conditionalFormatting>
  <conditionalFormatting sqref="G332 G343 G354">
    <cfRule type="cellIs" dxfId="9378" priority="10922" stopIfTrue="1" operator="notEqual">
      <formula>H332</formula>
    </cfRule>
  </conditionalFormatting>
  <conditionalFormatting sqref="G333 G344">
    <cfRule type="cellIs" dxfId="9377" priority="10921" stopIfTrue="1" operator="notEqual">
      <formula>H333</formula>
    </cfRule>
  </conditionalFormatting>
  <conditionalFormatting sqref="G334 G345">
    <cfRule type="cellIs" dxfId="9376" priority="10920" stopIfTrue="1" operator="notEqual">
      <formula>H334</formula>
    </cfRule>
  </conditionalFormatting>
  <conditionalFormatting sqref="G335 G346">
    <cfRule type="cellIs" dxfId="9375" priority="10919" stopIfTrue="1" operator="notEqual">
      <formula>H335</formula>
    </cfRule>
  </conditionalFormatting>
  <conditionalFormatting sqref="O316 M316 G316 K316 S316 U316 W316 I316 Q316">
    <cfRule type="cellIs" dxfId="9374" priority="10918" stopIfTrue="1" operator="notEqual">
      <formula>H316</formula>
    </cfRule>
  </conditionalFormatting>
  <conditionalFormatting sqref="O317 M317 G317 K317 S317 U317 W317 I317 Q317">
    <cfRule type="cellIs" dxfId="9373" priority="10917" stopIfTrue="1" operator="notEqual">
      <formula>H317</formula>
    </cfRule>
  </conditionalFormatting>
  <conditionalFormatting sqref="O318 M318 G318 K318 S318 U318 W318 I318 Q318">
    <cfRule type="cellIs" dxfId="9372" priority="10916" stopIfTrue="1" operator="notEqual">
      <formula>H318</formula>
    </cfRule>
  </conditionalFormatting>
  <conditionalFormatting sqref="O319 M319 G319 K319 S319 U319 W319 I319 Q319">
    <cfRule type="cellIs" dxfId="9371" priority="10915" stopIfTrue="1" operator="notEqual">
      <formula>H319</formula>
    </cfRule>
  </conditionalFormatting>
  <conditionalFormatting sqref="O320 M320 G320 K320 S320 U320 W320 I320 Q320">
    <cfRule type="cellIs" dxfId="9370" priority="10914" stopIfTrue="1" operator="notEqual">
      <formula>H320</formula>
    </cfRule>
  </conditionalFormatting>
  <conditionalFormatting sqref="O321 M321 G321 K321 S321 U321 W321 I321 Q321">
    <cfRule type="cellIs" dxfId="9369" priority="10913" stopIfTrue="1" operator="notEqual">
      <formula>H321</formula>
    </cfRule>
  </conditionalFormatting>
  <conditionalFormatting sqref="O322 M322 G322 K322 S322 U322 W322 I322 Q322">
    <cfRule type="cellIs" dxfId="9368" priority="10912" stopIfTrue="1" operator="notEqual">
      <formula>H322</formula>
    </cfRule>
  </conditionalFormatting>
  <conditionalFormatting sqref="O323 M323 G323 K323 S323 U323 W323 I323 Q323">
    <cfRule type="cellIs" dxfId="9367" priority="10911" stopIfTrue="1" operator="notEqual">
      <formula>H323</formula>
    </cfRule>
  </conditionalFormatting>
  <conditionalFormatting sqref="O324 M324 G324 K324 S324 U324 W324 I324 Q324">
    <cfRule type="cellIs" dxfId="9366" priority="10910" stopIfTrue="1" operator="notEqual">
      <formula>H324</formula>
    </cfRule>
  </conditionalFormatting>
  <conditionalFormatting sqref="O325 M325 G325 K325 S325 U325 W325 I325 Q325">
    <cfRule type="cellIs" dxfId="9365" priority="10909" stopIfTrue="1" operator="notEqual">
      <formula>H325</formula>
    </cfRule>
  </conditionalFormatting>
  <conditionalFormatting sqref="O326:O354 M326:M354 G326:G354 K326:K354 S326:S354 U326:U354 W326:W354 I326:I354 Q326:Q354">
    <cfRule type="cellIs" dxfId="9364" priority="10908" stopIfTrue="1" operator="notEqual">
      <formula>H326</formula>
    </cfRule>
  </conditionalFormatting>
  <conditionalFormatting sqref="G326:G354">
    <cfRule type="cellIs" dxfId="9363" priority="10907" stopIfTrue="1" operator="notEqual">
      <formula>H326</formula>
    </cfRule>
  </conditionalFormatting>
  <conditionalFormatting sqref="G316">
    <cfRule type="cellIs" dxfId="9362" priority="10906" stopIfTrue="1" operator="notEqual">
      <formula>H316</formula>
    </cfRule>
  </conditionalFormatting>
  <conditionalFormatting sqref="G317">
    <cfRule type="cellIs" dxfId="9361" priority="10905" stopIfTrue="1" operator="notEqual">
      <formula>H317</formula>
    </cfRule>
  </conditionalFormatting>
  <conditionalFormatting sqref="G318">
    <cfRule type="cellIs" dxfId="9360" priority="10904" stopIfTrue="1" operator="notEqual">
      <formula>H318</formula>
    </cfRule>
  </conditionalFormatting>
  <conditionalFormatting sqref="G319">
    <cfRule type="cellIs" dxfId="9359" priority="10903" stopIfTrue="1" operator="notEqual">
      <formula>H319</formula>
    </cfRule>
  </conditionalFormatting>
  <conditionalFormatting sqref="G320">
    <cfRule type="cellIs" dxfId="9358" priority="10902" stopIfTrue="1" operator="notEqual">
      <formula>H320</formula>
    </cfRule>
  </conditionalFormatting>
  <conditionalFormatting sqref="G321">
    <cfRule type="cellIs" dxfId="9357" priority="10901" stopIfTrue="1" operator="notEqual">
      <formula>H321</formula>
    </cfRule>
  </conditionalFormatting>
  <conditionalFormatting sqref="G322">
    <cfRule type="cellIs" dxfId="9356" priority="10900" stopIfTrue="1" operator="notEqual">
      <formula>H322</formula>
    </cfRule>
  </conditionalFormatting>
  <conditionalFormatting sqref="G323">
    <cfRule type="cellIs" dxfId="9355" priority="10899" stopIfTrue="1" operator="notEqual">
      <formula>H323</formula>
    </cfRule>
  </conditionalFormatting>
  <conditionalFormatting sqref="G324">
    <cfRule type="cellIs" dxfId="9354" priority="10898" stopIfTrue="1" operator="notEqual">
      <formula>H324</formula>
    </cfRule>
  </conditionalFormatting>
  <conditionalFormatting sqref="G325">
    <cfRule type="cellIs" dxfId="9353" priority="10897" stopIfTrue="1" operator="notEqual">
      <formula>H325</formula>
    </cfRule>
  </conditionalFormatting>
  <conditionalFormatting sqref="G327 G338 G349">
    <cfRule type="cellIs" dxfId="9352" priority="10896" stopIfTrue="1" operator="notEqual">
      <formula>H327</formula>
    </cfRule>
  </conditionalFormatting>
  <conditionalFormatting sqref="O322:O354 M322:M354 G322:G354 K322:K354 S322:S354 U322:U354 W322:W354 I322:I354 Q322:Q354">
    <cfRule type="cellIs" dxfId="9351" priority="10895" stopIfTrue="1" operator="notEqual">
      <formula>H322</formula>
    </cfRule>
  </conditionalFormatting>
  <conditionalFormatting sqref="O316 M316 G316 K316 S316 U316 W316 I316 Q316">
    <cfRule type="cellIs" dxfId="9350" priority="10894" stopIfTrue="1" operator="notEqual">
      <formula>H316</formula>
    </cfRule>
  </conditionalFormatting>
  <conditionalFormatting sqref="O317 M317 G317 K317 S317 U317 W317 I317 Q317">
    <cfRule type="cellIs" dxfId="9349" priority="10893" stopIfTrue="1" operator="notEqual">
      <formula>H317</formula>
    </cfRule>
  </conditionalFormatting>
  <conditionalFormatting sqref="O318 M318 G318 K318 S318 U318 W318 I318 Q318">
    <cfRule type="cellIs" dxfId="9348" priority="10892" stopIfTrue="1" operator="notEqual">
      <formula>H318</formula>
    </cfRule>
  </conditionalFormatting>
  <conditionalFormatting sqref="O319 M319 G319 K319 S319 U319 W319 I319 Q319">
    <cfRule type="cellIs" dxfId="9347" priority="10891" stopIfTrue="1" operator="notEqual">
      <formula>H319</formula>
    </cfRule>
  </conditionalFormatting>
  <conditionalFormatting sqref="O320 M320 G320 K320 S320 U320 W320 I320 Q320">
    <cfRule type="cellIs" dxfId="9346" priority="10890" stopIfTrue="1" operator="notEqual">
      <formula>H320</formula>
    </cfRule>
  </conditionalFormatting>
  <conditionalFormatting sqref="O321 M321 G321 K321 S321 U321 W321 I321 Q321">
    <cfRule type="cellIs" dxfId="9345" priority="10889" stopIfTrue="1" operator="notEqual">
      <formula>H321</formula>
    </cfRule>
  </conditionalFormatting>
  <conditionalFormatting sqref="O324 M324 G324 K324 S324 U324 W324 I324 Q324">
    <cfRule type="cellIs" dxfId="9344" priority="10888" stopIfTrue="1" operator="notEqual">
      <formula>H324</formula>
    </cfRule>
  </conditionalFormatting>
  <conditionalFormatting sqref="O325 M325 G325 K325 S325 U325 W325 I325 Q325">
    <cfRule type="cellIs" dxfId="9343" priority="10887" stopIfTrue="1" operator="notEqual">
      <formula>H325</formula>
    </cfRule>
  </conditionalFormatting>
  <conditionalFormatting sqref="O325 M325 G325 K325 S325 U325 W325 I325 Q325">
    <cfRule type="cellIs" dxfId="9342" priority="10886" stopIfTrue="1" operator="notEqual">
      <formula>H325</formula>
    </cfRule>
  </conditionalFormatting>
  <conditionalFormatting sqref="O323 M323 G323 K323 S323 U323 W323 I323 Q323">
    <cfRule type="cellIs" dxfId="9341" priority="10885" stopIfTrue="1" operator="notEqual">
      <formula>H323</formula>
    </cfRule>
  </conditionalFormatting>
  <conditionalFormatting sqref="O327 M327 G327 K327 S327 U327 W327 I327 Q327 O338 O349 M338 M349 G338 G349 K338 K349 S338 S349 U338 U349 W338 W349 I338 I349 Q338 Q349">
    <cfRule type="cellIs" dxfId="9340" priority="10884" stopIfTrue="1" operator="notEqual">
      <formula>H327</formula>
    </cfRule>
  </conditionalFormatting>
  <conditionalFormatting sqref="O316 M316 G316 K316 S316 U316 W316 I316 Q316">
    <cfRule type="cellIs" dxfId="9339" priority="10883" stopIfTrue="1" operator="notEqual">
      <formula>H316</formula>
    </cfRule>
  </conditionalFormatting>
  <conditionalFormatting sqref="O317 M317 G317 K317 S317 U317 W317 I317 Q317">
    <cfRule type="cellIs" dxfId="9338" priority="10882" stopIfTrue="1" operator="notEqual">
      <formula>H317</formula>
    </cfRule>
  </conditionalFormatting>
  <conditionalFormatting sqref="O318 M318 G318 K318 S318 U318 W318 I318 Q318">
    <cfRule type="cellIs" dxfId="9337" priority="10881" stopIfTrue="1" operator="notEqual">
      <formula>H318</formula>
    </cfRule>
  </conditionalFormatting>
  <conditionalFormatting sqref="O319 M319 G319 K319 S319 U319 W319 I319 Q319">
    <cfRule type="cellIs" dxfId="9336" priority="10880" stopIfTrue="1" operator="notEqual">
      <formula>H319</formula>
    </cfRule>
  </conditionalFormatting>
  <conditionalFormatting sqref="O320 M320 G320 K320 S320 U320 W320 I320 Q320">
    <cfRule type="cellIs" dxfId="9335" priority="10879" stopIfTrue="1" operator="notEqual">
      <formula>H320</formula>
    </cfRule>
  </conditionalFormatting>
  <conditionalFormatting sqref="O321 M321 G321 K321 S321 U321 W321 I321 Q321">
    <cfRule type="cellIs" dxfId="9334" priority="10878" stopIfTrue="1" operator="notEqual">
      <formula>H321</formula>
    </cfRule>
  </conditionalFormatting>
  <conditionalFormatting sqref="O322 M322 G322 K322 S322 U322 W322 I322 Q322">
    <cfRule type="cellIs" dxfId="9333" priority="10877" stopIfTrue="1" operator="notEqual">
      <formula>H322</formula>
    </cfRule>
  </conditionalFormatting>
  <conditionalFormatting sqref="O323 M323 G323 K323 S323 U323 W323 I323 Q323">
    <cfRule type="cellIs" dxfId="9332" priority="10876" stopIfTrue="1" operator="notEqual">
      <formula>H323</formula>
    </cfRule>
  </conditionalFormatting>
  <conditionalFormatting sqref="O324 M324 G324 K324 S324 U324 W324 I324 Q324">
    <cfRule type="cellIs" dxfId="9331" priority="10875" stopIfTrue="1" operator="notEqual">
      <formula>H324</formula>
    </cfRule>
  </conditionalFormatting>
  <conditionalFormatting sqref="O325 M325 G325 K325 S325 U325 W325 I325 Q325">
    <cfRule type="cellIs" dxfId="9330" priority="10874" stopIfTrue="1" operator="notEqual">
      <formula>H325</formula>
    </cfRule>
  </conditionalFormatting>
  <conditionalFormatting sqref="O326:O354 M326:M354 G326:G354 K326:K354 S326:S354 U326:U354 W326:W354 I326:I354 Q326:Q354">
    <cfRule type="cellIs" dxfId="9329" priority="10873" stopIfTrue="1" operator="notEqual">
      <formula>H326</formula>
    </cfRule>
  </conditionalFormatting>
  <conditionalFormatting sqref="O327 M327 G327 K327 S327 U327 W327 I327 Q327 O338 O349 M338 M349 G338 G349 K338 K349 S338 S349 U338 U349 W338 W349 I338 I349 Q338 Q349">
    <cfRule type="cellIs" dxfId="9328" priority="10872" stopIfTrue="1" operator="notEqual">
      <formula>H327</formula>
    </cfRule>
  </conditionalFormatting>
  <conditionalFormatting sqref="G327:G330 G338:G341 G349:G352">
    <cfRule type="cellIs" dxfId="9327" priority="10871" stopIfTrue="1" operator="notEqual">
      <formula>H327</formula>
    </cfRule>
  </conditionalFormatting>
  <conditionalFormatting sqref="G327 G338 G349">
    <cfRule type="cellIs" dxfId="9326" priority="10870" stopIfTrue="1" operator="notEqual">
      <formula>H327</formula>
    </cfRule>
  </conditionalFormatting>
  <conditionalFormatting sqref="G328 G339 G350">
    <cfRule type="cellIs" dxfId="9325" priority="10869" stopIfTrue="1" operator="notEqual">
      <formula>H328</formula>
    </cfRule>
  </conditionalFormatting>
  <conditionalFormatting sqref="G328 G339 G350">
    <cfRule type="cellIs" dxfId="9324" priority="10868" stopIfTrue="1" operator="notEqual">
      <formula>H328</formula>
    </cfRule>
  </conditionalFormatting>
  <conditionalFormatting sqref="G331 G342 G353">
    <cfRule type="cellIs" dxfId="9323" priority="10867" stopIfTrue="1" operator="notEqual">
      <formula>H331</formula>
    </cfRule>
  </conditionalFormatting>
  <conditionalFormatting sqref="G332 G343 G354">
    <cfRule type="cellIs" dxfId="9322" priority="10866" stopIfTrue="1" operator="notEqual">
      <formula>H332</formula>
    </cfRule>
  </conditionalFormatting>
  <conditionalFormatting sqref="G330 G341 G352">
    <cfRule type="cellIs" dxfId="9321" priority="10865" stopIfTrue="1" operator="notEqual">
      <formula>H330</formula>
    </cfRule>
  </conditionalFormatting>
  <conditionalFormatting sqref="G333 G344">
    <cfRule type="cellIs" dxfId="9320" priority="10864" stopIfTrue="1" operator="notEqual">
      <formula>H333</formula>
    </cfRule>
  </conditionalFormatting>
  <conditionalFormatting sqref="G334 G345">
    <cfRule type="cellIs" dxfId="9319" priority="10863" stopIfTrue="1" operator="notEqual">
      <formula>H334</formula>
    </cfRule>
  </conditionalFormatting>
  <conditionalFormatting sqref="G335 G346">
    <cfRule type="cellIs" dxfId="9318" priority="10862" stopIfTrue="1" operator="notEqual">
      <formula>H335</formula>
    </cfRule>
  </conditionalFormatting>
  <conditionalFormatting sqref="O327 M327 G327 K327 S327 U327 W327 I327 Q327 O338 O349 M338 M349 G338 G349 K338 K349 S338 S349 U338 U349 W338 W349 I338 I349 Q338 Q349">
    <cfRule type="cellIs" dxfId="9317" priority="10861" stopIfTrue="1" operator="notEqual">
      <formula>H327</formula>
    </cfRule>
  </conditionalFormatting>
  <conditionalFormatting sqref="O328 M328 G328 K328 S328 U328 W328 I328 Q328 O339 O350 M339 M350 G339 G350 K339 K350 S339 S350 U339 U350 W339 W350 I339 I350 Q339 Q350">
    <cfRule type="cellIs" dxfId="9316" priority="10860" stopIfTrue="1" operator="notEqual">
      <formula>H328</formula>
    </cfRule>
  </conditionalFormatting>
  <conditionalFormatting sqref="O329 M329 G329 K329 S329 U329 W329 I329 Q329 O340 O351 M340 M351 G340 G351 K340 K351 S340 S351 U340 U351 W340 W351 I340 I351 Q340 Q351">
    <cfRule type="cellIs" dxfId="9315" priority="10859" stopIfTrue="1" operator="notEqual">
      <formula>H329</formula>
    </cfRule>
  </conditionalFormatting>
  <conditionalFormatting sqref="O330 M330 G330 K330 S330 U330 W330 I330 Q330 O341 O352 M341 M352 G341 G352 K341 K352 S341 S352 U341 U352 W341 W352 I341 I352 Q341 Q352">
    <cfRule type="cellIs" dxfId="9314" priority="10858" stopIfTrue="1" operator="notEqual">
      <formula>H330</formula>
    </cfRule>
  </conditionalFormatting>
  <conditionalFormatting sqref="O331 M331 G331 K331 S331 U331 W331 I331 Q331 O342 O353 M342 M353 G342 G353 K342 K353 S342 S353 U342 U353 W342 W353 I342 I353 Q342 Q353">
    <cfRule type="cellIs" dxfId="9313" priority="10857" stopIfTrue="1" operator="notEqual">
      <formula>H331</formula>
    </cfRule>
  </conditionalFormatting>
  <conditionalFormatting sqref="O332 M332 G332 K332 S332 U332 W332 I332 Q332 O343 O354 M343 M354 G343 G354 K343 K354 S343 S354 U343 U354 W343 W354 I343 I354 Q343 Q354">
    <cfRule type="cellIs" dxfId="9312" priority="10856" stopIfTrue="1" operator="notEqual">
      <formula>H332</formula>
    </cfRule>
  </conditionalFormatting>
  <conditionalFormatting sqref="O333 M333 G333 K333 S333 U333 W333 I333 Q333 O344 M344 G344 K344 S344 U344 W344 I344 Q344">
    <cfRule type="cellIs" dxfId="9311" priority="10855" stopIfTrue="1" operator="notEqual">
      <formula>H333</formula>
    </cfRule>
  </conditionalFormatting>
  <conditionalFormatting sqref="O334 M334 G334 K334 S334 U334 W334 I334 Q334 O345 M345 G345 K345 S345 U345 W345 I345 Q345">
    <cfRule type="cellIs" dxfId="9310" priority="10854" stopIfTrue="1" operator="notEqual">
      <formula>H334</formula>
    </cfRule>
  </conditionalFormatting>
  <conditionalFormatting sqref="O335 M335 G335 K335 S335 U335 W335 I335 Q335 O346 M346 G346 K346 S346 U346 W346 I346 Q346">
    <cfRule type="cellIs" dxfId="9309" priority="10853" stopIfTrue="1" operator="notEqual">
      <formula>H335</formula>
    </cfRule>
  </conditionalFormatting>
  <conditionalFormatting sqref="G327 G338 G349">
    <cfRule type="cellIs" dxfId="9308" priority="10852" stopIfTrue="1" operator="notEqual">
      <formula>H327</formula>
    </cfRule>
  </conditionalFormatting>
  <conditionalFormatting sqref="G328 G339 G350">
    <cfRule type="cellIs" dxfId="9307" priority="10851" stopIfTrue="1" operator="notEqual">
      <formula>H328</formula>
    </cfRule>
  </conditionalFormatting>
  <conditionalFormatting sqref="G329 G340 G351">
    <cfRule type="cellIs" dxfId="9306" priority="10850" stopIfTrue="1" operator="notEqual">
      <formula>H329</formula>
    </cfRule>
  </conditionalFormatting>
  <conditionalFormatting sqref="G330 G341 G352">
    <cfRule type="cellIs" dxfId="9305" priority="10849" stopIfTrue="1" operator="notEqual">
      <formula>H330</formula>
    </cfRule>
  </conditionalFormatting>
  <conditionalFormatting sqref="G331 G342 G353">
    <cfRule type="cellIs" dxfId="9304" priority="10848" stopIfTrue="1" operator="notEqual">
      <formula>H331</formula>
    </cfRule>
  </conditionalFormatting>
  <conditionalFormatting sqref="G332 G343 G354">
    <cfRule type="cellIs" dxfId="9303" priority="10847" stopIfTrue="1" operator="notEqual">
      <formula>H332</formula>
    </cfRule>
  </conditionalFormatting>
  <conditionalFormatting sqref="G333 G344">
    <cfRule type="cellIs" dxfId="9302" priority="10846" stopIfTrue="1" operator="notEqual">
      <formula>H333</formula>
    </cfRule>
  </conditionalFormatting>
  <conditionalFormatting sqref="G334 G345">
    <cfRule type="cellIs" dxfId="9301" priority="10845" stopIfTrue="1" operator="notEqual">
      <formula>H334</formula>
    </cfRule>
  </conditionalFormatting>
  <conditionalFormatting sqref="G335 G346">
    <cfRule type="cellIs" dxfId="9300" priority="10844" stopIfTrue="1" operator="notEqual">
      <formula>H335</formula>
    </cfRule>
  </conditionalFormatting>
  <conditionalFormatting sqref="G327 G338 G349">
    <cfRule type="cellIs" dxfId="9299" priority="10843" stopIfTrue="1" operator="notEqual">
      <formula>H327</formula>
    </cfRule>
  </conditionalFormatting>
  <conditionalFormatting sqref="G327 G338 G349">
    <cfRule type="cellIs" dxfId="9298" priority="10842" stopIfTrue="1" operator="notEqual">
      <formula>H327</formula>
    </cfRule>
  </conditionalFormatting>
  <conditionalFormatting sqref="G327 G338 G349">
    <cfRule type="cellIs" dxfId="9297" priority="10841" stopIfTrue="1" operator="notEqual">
      <formula>H327</formula>
    </cfRule>
  </conditionalFormatting>
  <conditionalFormatting sqref="G327 G338 G349">
    <cfRule type="cellIs" dxfId="9296" priority="10840" stopIfTrue="1" operator="notEqual">
      <formula>H327</formula>
    </cfRule>
  </conditionalFormatting>
  <conditionalFormatting sqref="G327 G338 G349">
    <cfRule type="cellIs" dxfId="9295" priority="10839" stopIfTrue="1" operator="notEqual">
      <formula>H327</formula>
    </cfRule>
  </conditionalFormatting>
  <conditionalFormatting sqref="G327 G338 G349">
    <cfRule type="cellIs" dxfId="9294" priority="10838" stopIfTrue="1" operator="notEqual">
      <formula>H327</formula>
    </cfRule>
  </conditionalFormatting>
  <conditionalFormatting sqref="O327 M327 G327 K327 S327 U327 W327 I327 Q327 O338 O349 M338 M349 G338 G349 K338 K349 S338 S349 U338 U349 W338 W349 I338 I349 Q338 Q349">
    <cfRule type="cellIs" dxfId="9293" priority="10837" stopIfTrue="1" operator="notEqual">
      <formula>H327</formula>
    </cfRule>
  </conditionalFormatting>
  <conditionalFormatting sqref="O328 M328 G328 K328 S328 U328 W328 I328 Q328 O339 O350 M339 M350 G339 G350 K339 K350 S339 S350 U339 U350 W339 W350 I339 I350 Q339 Q350">
    <cfRule type="cellIs" dxfId="9292" priority="10836" stopIfTrue="1" operator="notEqual">
      <formula>H328</formula>
    </cfRule>
  </conditionalFormatting>
  <conditionalFormatting sqref="O329 M329 G329 K329 S329 U329 W329 I329 Q329 O340 O351 M340 M351 G340 G351 K340 K351 S340 S351 U340 U351 W340 W351 I340 I351 Q340 Q351">
    <cfRule type="cellIs" dxfId="9291" priority="10835" stopIfTrue="1" operator="notEqual">
      <formula>H329</formula>
    </cfRule>
  </conditionalFormatting>
  <conditionalFormatting sqref="O330 M330 G330 K330 S330 U330 W330 I330 Q330 O341 O352 M341 M352 G341 G352 K341 K352 S341 S352 U341 U352 W341 W352 I341 I352 Q341 Q352">
    <cfRule type="cellIs" dxfId="9290" priority="10834" stopIfTrue="1" operator="notEqual">
      <formula>H330</formula>
    </cfRule>
  </conditionalFormatting>
  <conditionalFormatting sqref="O331 M331 G331 K331 S331 U331 W331 I331 Q331 O342 O353 M342 M353 G342 G353 K342 K353 S342 S353 U342 U353 W342 W353 I342 I353 Q342 Q353">
    <cfRule type="cellIs" dxfId="9289" priority="10833" stopIfTrue="1" operator="notEqual">
      <formula>H331</formula>
    </cfRule>
  </conditionalFormatting>
  <conditionalFormatting sqref="O332 M332 G332 K332 S332 U332 W332 I332 Q332 O343 O354 M343 M354 G343 G354 K343 K354 S343 S354 U343 U354 W343 W354 I343 I354 Q343 Q354">
    <cfRule type="cellIs" dxfId="9288" priority="10832" stopIfTrue="1" operator="notEqual">
      <formula>H332</formula>
    </cfRule>
  </conditionalFormatting>
  <conditionalFormatting sqref="O333 M333 G333 K333 S333 U333 W333 I333 Q333 O344 M344 G344 K344 S344 U344 W344 I344 Q344">
    <cfRule type="cellIs" dxfId="9287" priority="10831" stopIfTrue="1" operator="notEqual">
      <formula>H333</formula>
    </cfRule>
  </conditionalFormatting>
  <conditionalFormatting sqref="O334 M334 G334 K334 S334 U334 W334 I334 Q334 O345 M345 G345 K345 S345 U345 W345 I345 Q345">
    <cfRule type="cellIs" dxfId="9286" priority="10830" stopIfTrue="1" operator="notEqual">
      <formula>H334</formula>
    </cfRule>
  </conditionalFormatting>
  <conditionalFormatting sqref="O335 M335 G335 K335 S335 U335 W335 I335 Q335 O346 M346 G346 K346 S346 U346 W346 I346 Q346">
    <cfRule type="cellIs" dxfId="9285" priority="10829" stopIfTrue="1" operator="notEqual">
      <formula>H335</formula>
    </cfRule>
  </conditionalFormatting>
  <conditionalFormatting sqref="O327 M327 G327 K327 S327 U327 W327 I327 Q327 O338 O349 M338 M349 G338 G349 K338 K349 S338 S349 U338 U349 W338 W349 I338 I349 Q338 Q349">
    <cfRule type="cellIs" dxfId="9284" priority="10828" stopIfTrue="1" operator="notEqual">
      <formula>H327</formula>
    </cfRule>
  </conditionalFormatting>
  <conditionalFormatting sqref="O328 M328 G328 K328 S328 U328 W328 I328 Q328 O339 O350 M339 M350 G339 G350 K339 K350 S339 S350 U339 U350 W339 W350 I339 I350 Q339 Q350">
    <cfRule type="cellIs" dxfId="9283" priority="10827" stopIfTrue="1" operator="notEqual">
      <formula>H328</formula>
    </cfRule>
  </conditionalFormatting>
  <conditionalFormatting sqref="O329 M329 G329 K329 S329 U329 W329 I329 Q329 O340 O351 M340 M351 G340 G351 K340 K351 S340 S351 U340 U351 W340 W351 I340 I351 Q340 Q351">
    <cfRule type="cellIs" dxfId="9282" priority="10826" stopIfTrue="1" operator="notEqual">
      <formula>H329</formula>
    </cfRule>
  </conditionalFormatting>
  <conditionalFormatting sqref="O327 M327 G327 K327 S327 U327 W327 I327 Q327 O338 O349 M338 M349 G338 G349 K338 K349 S338 S349 U338 U349 W338 W349 I338 I349 Q338 Q349">
    <cfRule type="cellIs" dxfId="9281" priority="10825" stopIfTrue="1" operator="notEqual">
      <formula>H327</formula>
    </cfRule>
  </conditionalFormatting>
  <conditionalFormatting sqref="O330 M330 G330 K330 S330 U330 W330 I330 Q330 O341 O352 M341 M352 G341 G352 K341 K352 S341 S352 U341 U352 W341 W352 I341 I352 Q341 Q352">
    <cfRule type="cellIs" dxfId="9280" priority="10824" stopIfTrue="1" operator="notEqual">
      <formula>H330</formula>
    </cfRule>
  </conditionalFormatting>
  <conditionalFormatting sqref="O331 M331 G331 K331 S331 U331 W331 I331 Q331 O342 O353 M342 M353 G342 G353 K342 K353 S342 S353 U342 U353 W342 W353 I342 I353 Q342 Q353">
    <cfRule type="cellIs" dxfId="9279" priority="10823" stopIfTrue="1" operator="notEqual">
      <formula>H331</formula>
    </cfRule>
  </conditionalFormatting>
  <conditionalFormatting sqref="O332 M332 G332 K332 S332 U332 W332 I332 Q332 O343 O354 M343 M354 G343 G354 K343 K354 S343 S354 U343 U354 W343 W354 I343 I354 Q343 Q354">
    <cfRule type="cellIs" dxfId="9278" priority="10822" stopIfTrue="1" operator="notEqual">
      <formula>H332</formula>
    </cfRule>
  </conditionalFormatting>
  <conditionalFormatting sqref="O333 M333 G333 K333 S333 U333 W333 I333 Q333 O344 M344 G344 K344 S344 U344 W344 I344 Q344">
    <cfRule type="cellIs" dxfId="9277" priority="10821" stopIfTrue="1" operator="notEqual">
      <formula>H333</formula>
    </cfRule>
  </conditionalFormatting>
  <conditionalFormatting sqref="O334 M334 G334 K334 S334 U334 W334 I334 Q334 O345 M345 G345 K345 S345 U345 W345 I345 Q345">
    <cfRule type="cellIs" dxfId="9276" priority="10820" stopIfTrue="1" operator="notEqual">
      <formula>H334</formula>
    </cfRule>
  </conditionalFormatting>
  <conditionalFormatting sqref="O335 M335 G335 K335 S335 U335 W335 I335 Q335 O346 M346 G346 K346 S346 U346 W346 I346 Q346">
    <cfRule type="cellIs" dxfId="9275" priority="10819" stopIfTrue="1" operator="notEqual">
      <formula>H335</formula>
    </cfRule>
  </conditionalFormatting>
  <conditionalFormatting sqref="G330:G335 G341:G346 G352:G354">
    <cfRule type="cellIs" dxfId="9274" priority="10818" stopIfTrue="1" operator="notEqual">
      <formula>H330</formula>
    </cfRule>
  </conditionalFormatting>
  <conditionalFormatting sqref="G316">
    <cfRule type="cellIs" dxfId="9273" priority="10817" stopIfTrue="1" operator="notEqual">
      <formula>H316</formula>
    </cfRule>
  </conditionalFormatting>
  <conditionalFormatting sqref="G317">
    <cfRule type="cellIs" dxfId="9272" priority="10816" stopIfTrue="1" operator="notEqual">
      <formula>H317</formula>
    </cfRule>
  </conditionalFormatting>
  <conditionalFormatting sqref="G318">
    <cfRule type="cellIs" dxfId="9271" priority="10815" stopIfTrue="1" operator="notEqual">
      <formula>H318</formula>
    </cfRule>
  </conditionalFormatting>
  <conditionalFormatting sqref="G319">
    <cfRule type="cellIs" dxfId="9270" priority="10814" stopIfTrue="1" operator="notEqual">
      <formula>H319</formula>
    </cfRule>
  </conditionalFormatting>
  <conditionalFormatting sqref="G320">
    <cfRule type="cellIs" dxfId="9269" priority="10813" stopIfTrue="1" operator="notEqual">
      <formula>H320</formula>
    </cfRule>
  </conditionalFormatting>
  <conditionalFormatting sqref="G321">
    <cfRule type="cellIs" dxfId="9268" priority="10812" stopIfTrue="1" operator="notEqual">
      <formula>H321</formula>
    </cfRule>
  </conditionalFormatting>
  <conditionalFormatting sqref="G322">
    <cfRule type="cellIs" dxfId="9267" priority="10811" stopIfTrue="1" operator="notEqual">
      <formula>H322</formula>
    </cfRule>
  </conditionalFormatting>
  <conditionalFormatting sqref="G323">
    <cfRule type="cellIs" dxfId="9266" priority="10810" stopIfTrue="1" operator="notEqual">
      <formula>H323</formula>
    </cfRule>
  </conditionalFormatting>
  <conditionalFormatting sqref="G324">
    <cfRule type="cellIs" dxfId="9265" priority="10809" stopIfTrue="1" operator="notEqual">
      <formula>H324</formula>
    </cfRule>
  </conditionalFormatting>
  <conditionalFormatting sqref="G325">
    <cfRule type="cellIs" dxfId="9264" priority="10808" stopIfTrue="1" operator="notEqual">
      <formula>H325</formula>
    </cfRule>
  </conditionalFormatting>
  <conditionalFormatting sqref="G326:G354">
    <cfRule type="cellIs" dxfId="9263" priority="10807" stopIfTrue="1" operator="notEqual">
      <formula>H326</formula>
    </cfRule>
  </conditionalFormatting>
  <conditionalFormatting sqref="G327 G338 G349">
    <cfRule type="cellIs" dxfId="9262" priority="10806" stopIfTrue="1" operator="notEqual">
      <formula>H327</formula>
    </cfRule>
  </conditionalFormatting>
  <conditionalFormatting sqref="G328 G339 G350">
    <cfRule type="cellIs" dxfId="9261" priority="10805" stopIfTrue="1" operator="notEqual">
      <formula>H328</formula>
    </cfRule>
  </conditionalFormatting>
  <conditionalFormatting sqref="G329 G340 G351">
    <cfRule type="cellIs" dxfId="9260" priority="10804" stopIfTrue="1" operator="notEqual">
      <formula>H329</formula>
    </cfRule>
  </conditionalFormatting>
  <conditionalFormatting sqref="G316">
    <cfRule type="cellIs" dxfId="9259" priority="10803" stopIfTrue="1" operator="notEqual">
      <formula>H316</formula>
    </cfRule>
  </conditionalFormatting>
  <conditionalFormatting sqref="G316">
    <cfRule type="cellIs" dxfId="9258" priority="10802" stopIfTrue="1" operator="notEqual">
      <formula>H316</formula>
    </cfRule>
  </conditionalFormatting>
  <conditionalFormatting sqref="G316">
    <cfRule type="cellIs" dxfId="9257" priority="10801" stopIfTrue="1" operator="notEqual">
      <formula>H316</formula>
    </cfRule>
  </conditionalFormatting>
  <conditionalFormatting sqref="G316">
    <cfRule type="cellIs" dxfId="9256" priority="10800" stopIfTrue="1" operator="notEqual">
      <formula>H316</formula>
    </cfRule>
  </conditionalFormatting>
  <conditionalFormatting sqref="G316">
    <cfRule type="cellIs" dxfId="9255" priority="10799" stopIfTrue="1" operator="notEqual">
      <formula>H316</formula>
    </cfRule>
  </conditionalFormatting>
  <conditionalFormatting sqref="G316">
    <cfRule type="cellIs" dxfId="9254" priority="10798" stopIfTrue="1" operator="notEqual">
      <formula>H316</formula>
    </cfRule>
  </conditionalFormatting>
  <conditionalFormatting sqref="G332 G343 G354">
    <cfRule type="cellIs" dxfId="9253" priority="10797" stopIfTrue="1" operator="notEqual">
      <formula>H332</formula>
    </cfRule>
  </conditionalFormatting>
  <conditionalFormatting sqref="G333 G344">
    <cfRule type="cellIs" dxfId="9252" priority="10796" stopIfTrue="1" operator="notEqual">
      <formula>H333</formula>
    </cfRule>
  </conditionalFormatting>
  <conditionalFormatting sqref="G333 G344">
    <cfRule type="cellIs" dxfId="9251" priority="10795" stopIfTrue="1" operator="notEqual">
      <formula>H333</formula>
    </cfRule>
  </conditionalFormatting>
  <conditionalFormatting sqref="G331 G342 G353">
    <cfRule type="cellIs" dxfId="9250" priority="10794" stopIfTrue="1" operator="notEqual">
      <formula>H331</formula>
    </cfRule>
  </conditionalFormatting>
  <conditionalFormatting sqref="G335 G346">
    <cfRule type="cellIs" dxfId="9249" priority="10793" stopIfTrue="1" operator="notEqual">
      <formula>H335</formula>
    </cfRule>
  </conditionalFormatting>
  <conditionalFormatting sqref="O326:O354 M326:M354 G326:G354 K326:K354 S326:S354 U326:U354 W326:W354 I326:I354 Q326:Q354">
    <cfRule type="cellIs" dxfId="9248" priority="10792" stopIfTrue="1" operator="notEqual">
      <formula>H326</formula>
    </cfRule>
  </conditionalFormatting>
  <conditionalFormatting sqref="O316 M316 G316 K316 S316 U316 W316 I316 Q316">
    <cfRule type="cellIs" dxfId="9247" priority="10791" stopIfTrue="1" operator="notEqual">
      <formula>H316</formula>
    </cfRule>
  </conditionalFormatting>
  <conditionalFormatting sqref="O317 M317 G317 K317 S317 U317 W317 I317 Q317">
    <cfRule type="cellIs" dxfId="9246" priority="10790" stopIfTrue="1" operator="notEqual">
      <formula>H317</formula>
    </cfRule>
  </conditionalFormatting>
  <conditionalFormatting sqref="O318 M318 G318 K318 S318 U318 W318 I318 Q318">
    <cfRule type="cellIs" dxfId="9245" priority="10789" stopIfTrue="1" operator="notEqual">
      <formula>H318</formula>
    </cfRule>
  </conditionalFormatting>
  <conditionalFormatting sqref="O319 M319 G319 K319 S319 U319 W319 I319 Q319">
    <cfRule type="cellIs" dxfId="9244" priority="10788" stopIfTrue="1" operator="notEqual">
      <formula>H319</formula>
    </cfRule>
  </conditionalFormatting>
  <conditionalFormatting sqref="O320 M320 G320 K320 S320 U320 W320 I320 Q320">
    <cfRule type="cellIs" dxfId="9243" priority="10787" stopIfTrue="1" operator="notEqual">
      <formula>H320</formula>
    </cfRule>
  </conditionalFormatting>
  <conditionalFormatting sqref="O321 M321 G321 K321 S321 U321 W321 I321 Q321">
    <cfRule type="cellIs" dxfId="9242" priority="10786" stopIfTrue="1" operator="notEqual">
      <formula>H321</formula>
    </cfRule>
  </conditionalFormatting>
  <conditionalFormatting sqref="O322 M322 G322 K322 S322 U322 W322 I322 Q322">
    <cfRule type="cellIs" dxfId="9241" priority="10785" stopIfTrue="1" operator="notEqual">
      <formula>H322</formula>
    </cfRule>
  </conditionalFormatting>
  <conditionalFormatting sqref="O323 M323 G323 K323 S323 U323 W323 I323 Q323">
    <cfRule type="cellIs" dxfId="9240" priority="10784" stopIfTrue="1" operator="notEqual">
      <formula>H323</formula>
    </cfRule>
  </conditionalFormatting>
  <conditionalFormatting sqref="O324 M324 G324 K324 S324 U324 W324 I324 Q324">
    <cfRule type="cellIs" dxfId="9239" priority="10783" stopIfTrue="1" operator="notEqual">
      <formula>H324</formula>
    </cfRule>
  </conditionalFormatting>
  <conditionalFormatting sqref="O325 M325 G325 K325 S325 U325 W325 I325 Q325">
    <cfRule type="cellIs" dxfId="9238" priority="10782" stopIfTrue="1" operator="notEqual">
      <formula>H325</formula>
    </cfRule>
  </conditionalFormatting>
  <conditionalFormatting sqref="O328 M328 G328 K328 S328 U328 W328 I328 Q328 O339 O350 M339 M350 G339 G350 K339 K350 S339 S350 U339 U350 W339 W350 I339 I350 Q339 Q350">
    <cfRule type="cellIs" dxfId="9237" priority="10781" stopIfTrue="1" operator="notEqual">
      <formula>H328</formula>
    </cfRule>
  </conditionalFormatting>
  <conditionalFormatting sqref="O329 M329 G329 K329 S329 U329 W329 I329 Q329 O340 O351 M340 M351 G340 G351 K340 K351 S340 S351 U340 U351 W340 W351 I340 I351 Q340 Q351">
    <cfRule type="cellIs" dxfId="9236" priority="10780" stopIfTrue="1" operator="notEqual">
      <formula>H329</formula>
    </cfRule>
  </conditionalFormatting>
  <conditionalFormatting sqref="O329 M329 G329 K329 S329 U329 W329 I329 Q329 O340 O351 M340 M351 G340 G351 K340 K351 S340 S351 U340 U351 W340 W351 I340 I351 Q340 Q351">
    <cfRule type="cellIs" dxfId="9235" priority="10779" stopIfTrue="1" operator="notEqual">
      <formula>H329</formula>
    </cfRule>
  </conditionalFormatting>
  <conditionalFormatting sqref="O327 M327 G327 K327 S327 U327 W327 I327 Q327 O338 O349 M338 M349 G338 G349 K338 K349 S338 S349 U338 U349 W338 W349 I338 I349 Q338 Q349">
    <cfRule type="cellIs" dxfId="9234" priority="10778" stopIfTrue="1" operator="notEqual">
      <formula>H327</formula>
    </cfRule>
  </conditionalFormatting>
  <conditionalFormatting sqref="O332 M332 G332 K332 S332 U332 W332 I332 Q332 O343 O354 M343 M354 G343 G354 K343 K354 S343 S354 U343 U354 W343 W354 I343 I354 Q343 Q354">
    <cfRule type="cellIs" dxfId="9233" priority="10777" stopIfTrue="1" operator="notEqual">
      <formula>H332</formula>
    </cfRule>
  </conditionalFormatting>
  <conditionalFormatting sqref="O333 M333 G333 K333 S333 U333 W333 I333 Q333 O344 M344 G344 K344 S344 U344 W344 I344 Q344">
    <cfRule type="cellIs" dxfId="9232" priority="10776" stopIfTrue="1" operator="notEqual">
      <formula>H333</formula>
    </cfRule>
  </conditionalFormatting>
  <conditionalFormatting sqref="O331 M331 G331 K331 S331 U331 W331 I331 Q331 O342 O353 M342 M353 G342 G353 K342 K353 S342 S353 U342 U353 W342 W353 I342 I353 Q342 Q353">
    <cfRule type="cellIs" dxfId="9231" priority="10775" stopIfTrue="1" operator="notEqual">
      <formula>H331</formula>
    </cfRule>
  </conditionalFormatting>
  <conditionalFormatting sqref="O334 M334 G334 K334 S334 U334 W334 I334 Q334 O345 M345 G345 K345 S345 U345 W345 I345 Q345">
    <cfRule type="cellIs" dxfId="9230" priority="10774" stopIfTrue="1" operator="notEqual">
      <formula>H334</formula>
    </cfRule>
  </conditionalFormatting>
  <conditionalFormatting sqref="O335 M335 G335 K335 S335 U335 W335 I335 Q335 O346 M346 G346 K346 S346 U346 W346 I346 Q346">
    <cfRule type="cellIs" dxfId="9229" priority="10773" stopIfTrue="1" operator="notEqual">
      <formula>H335</formula>
    </cfRule>
  </conditionalFormatting>
  <conditionalFormatting sqref="O316 M316 G316 K316 S316 U316 W316 I316 Q316">
    <cfRule type="cellIs" dxfId="9228" priority="10772" stopIfTrue="1" operator="notEqual">
      <formula>H316</formula>
    </cfRule>
  </conditionalFormatting>
  <conditionalFormatting sqref="O317 M317 G317 K317 S317 U317 W317 I317 Q317">
    <cfRule type="cellIs" dxfId="9227" priority="10771" stopIfTrue="1" operator="notEqual">
      <formula>H317</formula>
    </cfRule>
  </conditionalFormatting>
  <conditionalFormatting sqref="O318 M318 G318 K318 S318 U318 W318 I318 Q318">
    <cfRule type="cellIs" dxfId="9226" priority="10770" stopIfTrue="1" operator="notEqual">
      <formula>H318</formula>
    </cfRule>
  </conditionalFormatting>
  <conditionalFormatting sqref="O316 M316 G316 K316 S316 U316 W316 I316 Q316">
    <cfRule type="cellIs" dxfId="9225" priority="10769" stopIfTrue="1" operator="notEqual">
      <formula>H316</formula>
    </cfRule>
  </conditionalFormatting>
  <conditionalFormatting sqref="O319 M319 G319 K319 S319 U319 W319 I319 Q319">
    <cfRule type="cellIs" dxfId="9224" priority="10768" stopIfTrue="1" operator="notEqual">
      <formula>H319</formula>
    </cfRule>
  </conditionalFormatting>
  <conditionalFormatting sqref="O320 M320 G320 K320 S320 U320 W320 I320 Q320">
    <cfRule type="cellIs" dxfId="9223" priority="10767" stopIfTrue="1" operator="notEqual">
      <formula>H320</formula>
    </cfRule>
  </conditionalFormatting>
  <conditionalFormatting sqref="O321 M321 G321 K321 S321 U321 W321 I321 Q321">
    <cfRule type="cellIs" dxfId="9222" priority="10766" stopIfTrue="1" operator="notEqual">
      <formula>H321</formula>
    </cfRule>
  </conditionalFormatting>
  <conditionalFormatting sqref="O322 M322 G322 K322 S322 U322 W322 I322 Q322">
    <cfRule type="cellIs" dxfId="9221" priority="10765" stopIfTrue="1" operator="notEqual">
      <formula>H322</formula>
    </cfRule>
  </conditionalFormatting>
  <conditionalFormatting sqref="O323 M323 G323 K323 S323 U323 W323 I323 Q323">
    <cfRule type="cellIs" dxfId="9220" priority="10764" stopIfTrue="1" operator="notEqual">
      <formula>H323</formula>
    </cfRule>
  </conditionalFormatting>
  <conditionalFormatting sqref="O324 M324 G324 K324 S324 U324 W324 I324 Q324">
    <cfRule type="cellIs" dxfId="9219" priority="10763" stopIfTrue="1" operator="notEqual">
      <formula>H324</formula>
    </cfRule>
  </conditionalFormatting>
  <conditionalFormatting sqref="O325 M325 G325 K325 S325 U325 W325 I325 Q325">
    <cfRule type="cellIs" dxfId="9218" priority="10762" stopIfTrue="1" operator="notEqual">
      <formula>H325</formula>
    </cfRule>
  </conditionalFormatting>
  <conditionalFormatting sqref="O326:O354 M326:M354 G326:G354 K326:K354 S326:S354 U326:U354 W326:W354 I326:I354 Q326:Q354">
    <cfRule type="cellIs" dxfId="9217" priority="10761" stopIfTrue="1" operator="notEqual">
      <formula>H326</formula>
    </cfRule>
  </conditionalFormatting>
  <conditionalFormatting sqref="O327 M327 G327 K327 S327 U327 W327 I327 Q327 O338 O349 M338 M349 G338 G349 K338 K349 S338 S349 U338 U349 W338 W349 I338 I349 Q338 Q349">
    <cfRule type="cellIs" dxfId="9216" priority="10760" stopIfTrue="1" operator="notEqual">
      <formula>H327</formula>
    </cfRule>
  </conditionalFormatting>
  <conditionalFormatting sqref="O328 M328 G328 K328 S328 U328 W328 I328 Q328 O339 O350 M339 M350 G339 G350 K339 K350 S339 S350 U339 U350 W339 W350 I339 I350 Q339 Q350">
    <cfRule type="cellIs" dxfId="9215" priority="10759" stopIfTrue="1" operator="notEqual">
      <formula>H328</formula>
    </cfRule>
  </conditionalFormatting>
  <conditionalFormatting sqref="O329 M329 G329 K329 S329 U329 W329 I329 Q329 O340 O351 M340 M351 G340 G351 K340 K351 S340 S351 U340 U351 W340 W351 I340 I351 Q340 Q351">
    <cfRule type="cellIs" dxfId="9214" priority="10758" stopIfTrue="1" operator="notEqual">
      <formula>H329</formula>
    </cfRule>
  </conditionalFormatting>
  <conditionalFormatting sqref="O330 M330 G330 K330 S330 U330 W330 I330 Q330 O341 O352 M341 M352 G341 G352 K341 K352 S341 S352 U341 U352 W341 W352 I341 I352 Q341 Q352">
    <cfRule type="cellIs" dxfId="9213" priority="10757" stopIfTrue="1" operator="notEqual">
      <formula>H330</formula>
    </cfRule>
  </conditionalFormatting>
  <conditionalFormatting sqref="O331 M331 G331 K331 S331 U331 W331 I331 Q331 O342 O353 M342 M353 G342 G353 K342 K353 S342 S353 U342 U353 W342 W353 I342 I353 Q342 Q353">
    <cfRule type="cellIs" dxfId="9212" priority="10756" stopIfTrue="1" operator="notEqual">
      <formula>H331</formula>
    </cfRule>
  </conditionalFormatting>
  <conditionalFormatting sqref="G332 G343 G354">
    <cfRule type="cellIs" dxfId="9211" priority="10755" stopIfTrue="1" operator="notEqual">
      <formula>H332</formula>
    </cfRule>
  </conditionalFormatting>
  <conditionalFormatting sqref="G333 G344">
    <cfRule type="cellIs" dxfId="9210" priority="10754" stopIfTrue="1" operator="notEqual">
      <formula>H333</formula>
    </cfRule>
  </conditionalFormatting>
  <conditionalFormatting sqref="G334 G345">
    <cfRule type="cellIs" dxfId="9209" priority="10753" stopIfTrue="1" operator="notEqual">
      <formula>H334</formula>
    </cfRule>
  </conditionalFormatting>
  <conditionalFormatting sqref="G335 G346">
    <cfRule type="cellIs" dxfId="9208" priority="10752" stopIfTrue="1" operator="notEqual">
      <formula>H335</formula>
    </cfRule>
  </conditionalFormatting>
  <conditionalFormatting sqref="G332 G343 G354">
    <cfRule type="cellIs" dxfId="9207" priority="10751" stopIfTrue="1" operator="notEqual">
      <formula>H332</formula>
    </cfRule>
  </conditionalFormatting>
  <conditionalFormatting sqref="G332 G343 G354">
    <cfRule type="cellIs" dxfId="9206" priority="10750" stopIfTrue="1" operator="notEqual">
      <formula>H332</formula>
    </cfRule>
  </conditionalFormatting>
  <conditionalFormatting sqref="G332 G343 G354">
    <cfRule type="cellIs" dxfId="9205" priority="10749" stopIfTrue="1" operator="notEqual">
      <formula>H332</formula>
    </cfRule>
  </conditionalFormatting>
  <conditionalFormatting sqref="G332 G343 G354">
    <cfRule type="cellIs" dxfId="9204" priority="10748" stopIfTrue="1" operator="notEqual">
      <formula>H332</formula>
    </cfRule>
  </conditionalFormatting>
  <conditionalFormatting sqref="G332 G343 G354">
    <cfRule type="cellIs" dxfId="9203" priority="10747" stopIfTrue="1" operator="notEqual">
      <formula>H332</formula>
    </cfRule>
  </conditionalFormatting>
  <conditionalFormatting sqref="G332 G343 G354">
    <cfRule type="cellIs" dxfId="9202" priority="10746" stopIfTrue="1" operator="notEqual">
      <formula>H332</formula>
    </cfRule>
  </conditionalFormatting>
  <conditionalFormatting sqref="O332 M332 G332 K332 S332 U332 W332 I332 Q332 O343 O354 M343 M354 G343 G354 K343 K354 S343 S354 U343 U354 W343 W354 I343 I354 Q343 Q354">
    <cfRule type="cellIs" dxfId="9201" priority="10745" stopIfTrue="1" operator="notEqual">
      <formula>H332</formula>
    </cfRule>
  </conditionalFormatting>
  <conditionalFormatting sqref="O333 M333 G333 K333 S333 U333 W333 I333 Q333 O344 M344 G344 K344 S344 U344 W344 I344 Q344">
    <cfRule type="cellIs" dxfId="9200" priority="10744" stopIfTrue="1" operator="notEqual">
      <formula>H333</formula>
    </cfRule>
  </conditionalFormatting>
  <conditionalFormatting sqref="O334 M334 G334 K334 S334 U334 W334 I334 Q334 O345 M345 G345 K345 S345 U345 W345 I345 Q345">
    <cfRule type="cellIs" dxfId="9199" priority="10743" stopIfTrue="1" operator="notEqual">
      <formula>H334</formula>
    </cfRule>
  </conditionalFormatting>
  <conditionalFormatting sqref="O335 M335 G335 K335 S335 U335 W335 I335 Q335 O346 M346 G346 K346 S346 U346 W346 I346 Q346">
    <cfRule type="cellIs" dxfId="9198" priority="10742" stopIfTrue="1" operator="notEqual">
      <formula>H335</formula>
    </cfRule>
  </conditionalFormatting>
  <conditionalFormatting sqref="O332 M332 G332 K332 S332 U332 W332 I332 Q332 O343 O354 M343 M354 G343 G354 K343 K354 S343 S354 U343 U354 W343 W354 I343 I354 Q343 Q354">
    <cfRule type="cellIs" dxfId="9197" priority="10741" stopIfTrue="1" operator="notEqual">
      <formula>H332</formula>
    </cfRule>
  </conditionalFormatting>
  <conditionalFormatting sqref="O333 M333 G333 K333 S333 U333 W333 I333 Q333 O344 M344 G344 K344 S344 U344 W344 I344 Q344">
    <cfRule type="cellIs" dxfId="9196" priority="10740" stopIfTrue="1" operator="notEqual">
      <formula>H333</formula>
    </cfRule>
  </conditionalFormatting>
  <conditionalFormatting sqref="O334 M334 G334 K334 S334 U334 W334 I334 Q334 O345 M345 G345 K345 S345 U345 W345 I345 Q345">
    <cfRule type="cellIs" dxfId="9195" priority="10739" stopIfTrue="1" operator="notEqual">
      <formula>H334</formula>
    </cfRule>
  </conditionalFormatting>
  <conditionalFormatting sqref="O332 M332 G332 K332 S332 U332 W332 I332 Q332 O343 O354 M343 M354 G343 G354 K343 K354 S343 S354 U343 U354 W343 W354 I343 I354 Q343 Q354">
    <cfRule type="cellIs" dxfId="9194" priority="10738" stopIfTrue="1" operator="notEqual">
      <formula>H332</formula>
    </cfRule>
  </conditionalFormatting>
  <conditionalFormatting sqref="O335 M335 G335 K335 S335 U335 W335 I335 Q335 O346 M346 G346 K346 S346 U346 W346 I346 Q346">
    <cfRule type="cellIs" dxfId="9193" priority="10737" stopIfTrue="1" operator="notEqual">
      <formula>H335</formula>
    </cfRule>
  </conditionalFormatting>
  <conditionalFormatting sqref="O316:O320 M316:M320 G316:G320 K316:K320 S316:S320 U316:U320 W316:W320 I316:I320 Q316:Q320">
    <cfRule type="cellIs" dxfId="9192" priority="10736" stopIfTrue="1" operator="notEqual">
      <formula>H316</formula>
    </cfRule>
  </conditionalFormatting>
  <conditionalFormatting sqref="O317 M317 G317 K317 S317 U317 W317 I317 Q317">
    <cfRule type="cellIs" dxfId="9191" priority="10735" stopIfTrue="1" operator="notEqual">
      <formula>H317</formula>
    </cfRule>
  </conditionalFormatting>
  <conditionalFormatting sqref="O318 M318 G318 K318 S318 U318 W318 I318 Q318">
    <cfRule type="cellIs" dxfId="9190" priority="10734" stopIfTrue="1" operator="notEqual">
      <formula>H318</formula>
    </cfRule>
  </conditionalFormatting>
  <conditionalFormatting sqref="O318 M318 G318 K318 S318 U318 W318 I318 Q318">
    <cfRule type="cellIs" dxfId="9189" priority="10733" stopIfTrue="1" operator="notEqual">
      <formula>H318</formula>
    </cfRule>
  </conditionalFormatting>
  <conditionalFormatting sqref="O316 M316 G316 K316 S316 U316 W316 I316 Q316">
    <cfRule type="cellIs" dxfId="9188" priority="10732" stopIfTrue="1" operator="notEqual">
      <formula>H316</formula>
    </cfRule>
  </conditionalFormatting>
  <conditionalFormatting sqref="O321 M321 G321 K321 S321 U321 W321 I321 Q321">
    <cfRule type="cellIs" dxfId="9187" priority="10731" stopIfTrue="1" operator="notEqual">
      <formula>H321</formula>
    </cfRule>
  </conditionalFormatting>
  <conditionalFormatting sqref="O322 M322 G322 K322 S322 U322 W322 I322 Q322">
    <cfRule type="cellIs" dxfId="9186" priority="10730" stopIfTrue="1" operator="notEqual">
      <formula>H322</formula>
    </cfRule>
  </conditionalFormatting>
  <conditionalFormatting sqref="O320 M320 G320 K320 S320 U320 W320 I320 Q320">
    <cfRule type="cellIs" dxfId="9185" priority="10729" stopIfTrue="1" operator="notEqual">
      <formula>H320</formula>
    </cfRule>
  </conditionalFormatting>
  <conditionalFormatting sqref="O323 M323 G323 K323 S323 U323 W323 I323 Q323">
    <cfRule type="cellIs" dxfId="9184" priority="10728" stopIfTrue="1" operator="notEqual">
      <formula>H323</formula>
    </cfRule>
  </conditionalFormatting>
  <conditionalFormatting sqref="O324 M324 G324 K324 S324 U324 W324 I324 Q324">
    <cfRule type="cellIs" dxfId="9183" priority="10727" stopIfTrue="1" operator="notEqual">
      <formula>H324</formula>
    </cfRule>
  </conditionalFormatting>
  <conditionalFormatting sqref="O325 M325 G325 K325 S325 U325 W325 I325 Q325">
    <cfRule type="cellIs" dxfId="9182" priority="10726" stopIfTrue="1" operator="notEqual">
      <formula>H325</formula>
    </cfRule>
  </conditionalFormatting>
  <conditionalFormatting sqref="O326:O354 M326:M354 G326:G354 K326:K354 S326:S354 U326:U354 W326:W354 I326:I354 Q326:Q354">
    <cfRule type="cellIs" dxfId="9181" priority="10725" stopIfTrue="1" operator="notEqual">
      <formula>H326</formula>
    </cfRule>
  </conditionalFormatting>
  <conditionalFormatting sqref="O327 M327 G327 K327 S327 U327 W327 I327 Q327 O338 O349 M338 M349 G338 G349 K338 K349 S338 S349 U338 U349 W338 W349 I338 I349 Q338 Q349">
    <cfRule type="cellIs" dxfId="9180" priority="10724" stopIfTrue="1" operator="notEqual">
      <formula>H327</formula>
    </cfRule>
  </conditionalFormatting>
  <conditionalFormatting sqref="O328 M328 G328 K328 S328 U328 W328 I328 Q328 O339 O350 M339 M350 G339 G350 K339 K350 S339 S350 U339 U350 W339 W350 I339 I350 Q339 Q350">
    <cfRule type="cellIs" dxfId="9179" priority="10723" stopIfTrue="1" operator="notEqual">
      <formula>H328</formula>
    </cfRule>
  </conditionalFormatting>
  <conditionalFormatting sqref="O329 M329 G329 K329 S329 U329 W329 I329 Q329 O340 O351 M340 M351 G340 G351 K340 K351 S340 S351 U340 U351 W340 W351 I340 I351 Q340 Q351">
    <cfRule type="cellIs" dxfId="9178" priority="10722" stopIfTrue="1" operator="notEqual">
      <formula>H329</formula>
    </cfRule>
  </conditionalFormatting>
  <conditionalFormatting sqref="O330 M330 G330 K330 S330 U330 W330 I330 Q330 O341 O352 M341 M352 G341 G352 K341 K352 S341 S352 U341 U352 W341 W352 I341 I352 Q341 Q352">
    <cfRule type="cellIs" dxfId="9177" priority="10721" stopIfTrue="1" operator="notEqual">
      <formula>H330</formula>
    </cfRule>
  </conditionalFormatting>
  <conditionalFormatting sqref="O331 M331 G331 K331 S331 U331 W331 I331 Q331 O342 O353 M342 M353 G342 G353 K342 K353 S342 S353 U342 U353 W342 W353 I342 I353 Q342 Q353">
    <cfRule type="cellIs" dxfId="9176" priority="10720" stopIfTrue="1" operator="notEqual">
      <formula>H331</formula>
    </cfRule>
  </conditionalFormatting>
  <conditionalFormatting sqref="O332 M332 G332 K332 S332 U332 W332 I332 Q332 O343 O354 M343 M354 G343 G354 K343 K354 S343 S354 U343 U354 W343 W354 I343 I354 Q343 Q354">
    <cfRule type="cellIs" dxfId="9175" priority="10719" stopIfTrue="1" operator="notEqual">
      <formula>H332</formula>
    </cfRule>
  </conditionalFormatting>
  <conditionalFormatting sqref="O333 M333 G333 K333 S333 U333 W333 I333 Q333 O344 M344 G344 K344 S344 U344 W344 I344 Q344">
    <cfRule type="cellIs" dxfId="9174" priority="10718" stopIfTrue="1" operator="notEqual">
      <formula>H333</formula>
    </cfRule>
  </conditionalFormatting>
  <conditionalFormatting sqref="O334 M334 G334 K334 S334 U334 W334 I334 Q334 O345 M345 G345 K345 S345 U345 W345 I345 Q345">
    <cfRule type="cellIs" dxfId="9173" priority="10717" stopIfTrue="1" operator="notEqual">
      <formula>H334</formula>
    </cfRule>
  </conditionalFormatting>
  <conditionalFormatting sqref="O335 M335 G335 K335 S335 U335 W335 I335 Q335 O346 M346 G346 K346 S346 U346 W346 I346 Q346">
    <cfRule type="cellIs" dxfId="9172" priority="10716" stopIfTrue="1" operator="notEqual">
      <formula>H335</formula>
    </cfRule>
  </conditionalFormatting>
  <conditionalFormatting sqref="G343">
    <cfRule type="cellIs" dxfId="9171" priority="10715" stopIfTrue="1" operator="notEqual">
      <formula>H343</formula>
    </cfRule>
  </conditionalFormatting>
  <conditionalFormatting sqref="G336 G347">
    <cfRule type="cellIs" dxfId="9170" priority="10714" stopIfTrue="1" operator="notEqual">
      <formula>H336</formula>
    </cfRule>
  </conditionalFormatting>
  <conditionalFormatting sqref="G337">
    <cfRule type="cellIs" dxfId="9169" priority="10713" stopIfTrue="1" operator="notEqual">
      <formula>H337</formula>
    </cfRule>
  </conditionalFormatting>
  <conditionalFormatting sqref="G338">
    <cfRule type="cellIs" dxfId="9168" priority="10712" stopIfTrue="1" operator="notEqual">
      <formula>H338</formula>
    </cfRule>
  </conditionalFormatting>
  <conditionalFormatting sqref="G339">
    <cfRule type="cellIs" dxfId="9167" priority="10711" stopIfTrue="1" operator="notEqual">
      <formula>H339</formula>
    </cfRule>
  </conditionalFormatting>
  <conditionalFormatting sqref="G340">
    <cfRule type="cellIs" dxfId="9166" priority="10710" stopIfTrue="1" operator="notEqual">
      <formula>H340</formula>
    </cfRule>
  </conditionalFormatting>
  <conditionalFormatting sqref="G341">
    <cfRule type="cellIs" dxfId="9165" priority="10709" stopIfTrue="1" operator="notEqual">
      <formula>H341</formula>
    </cfRule>
  </conditionalFormatting>
  <conditionalFormatting sqref="G342">
    <cfRule type="cellIs" dxfId="9164" priority="10708" stopIfTrue="1" operator="notEqual">
      <formula>H342</formula>
    </cfRule>
  </conditionalFormatting>
  <conditionalFormatting sqref="G336 G347">
    <cfRule type="cellIs" dxfId="9163" priority="10707" stopIfTrue="1" operator="notEqual">
      <formula>H336</formula>
    </cfRule>
  </conditionalFormatting>
  <conditionalFormatting sqref="G337">
    <cfRule type="cellIs" dxfId="9162" priority="10706" stopIfTrue="1" operator="notEqual">
      <formula>H337</formula>
    </cfRule>
  </conditionalFormatting>
  <conditionalFormatting sqref="G338">
    <cfRule type="cellIs" dxfId="9161" priority="10705" stopIfTrue="1" operator="notEqual">
      <formula>H338</formula>
    </cfRule>
  </conditionalFormatting>
  <conditionalFormatting sqref="G339">
    <cfRule type="cellIs" dxfId="9160" priority="10704" stopIfTrue="1" operator="notEqual">
      <formula>H339</formula>
    </cfRule>
  </conditionalFormatting>
  <conditionalFormatting sqref="G340">
    <cfRule type="cellIs" dxfId="9159" priority="10703" stopIfTrue="1" operator="notEqual">
      <formula>H340</formula>
    </cfRule>
  </conditionalFormatting>
  <conditionalFormatting sqref="G341">
    <cfRule type="cellIs" dxfId="9158" priority="10702" stopIfTrue="1" operator="notEqual">
      <formula>H341</formula>
    </cfRule>
  </conditionalFormatting>
  <conditionalFormatting sqref="G342">
    <cfRule type="cellIs" dxfId="9157" priority="10701" stopIfTrue="1" operator="notEqual">
      <formula>H342</formula>
    </cfRule>
  </conditionalFormatting>
  <conditionalFormatting sqref="O336 M336 G336 K336 S336 U336 W336 I336 Q336 O347 M347 G347 K347 S347 U347 W347 I347 Q347">
    <cfRule type="cellIs" dxfId="9156" priority="10700" stopIfTrue="1" operator="notEqual">
      <formula>H336</formula>
    </cfRule>
  </conditionalFormatting>
  <conditionalFormatting sqref="O337 M337 G337 K337 S337 U337 W337 I337 Q337">
    <cfRule type="cellIs" dxfId="9155" priority="10699" stopIfTrue="1" operator="notEqual">
      <formula>H337</formula>
    </cfRule>
  </conditionalFormatting>
  <conditionalFormatting sqref="O338 M338 G338 K338 S338 U338 W338 I338 Q338">
    <cfRule type="cellIs" dxfId="9154" priority="10698" stopIfTrue="1" operator="notEqual">
      <formula>H338</formula>
    </cfRule>
  </conditionalFormatting>
  <conditionalFormatting sqref="O339 M339 G339 K339 S339 U339 W339 I339 Q339">
    <cfRule type="cellIs" dxfId="9153" priority="10697" stopIfTrue="1" operator="notEqual">
      <formula>H339</formula>
    </cfRule>
  </conditionalFormatting>
  <conditionalFormatting sqref="O340 M340 G340 K340 S340 U340 W340 I340 Q340">
    <cfRule type="cellIs" dxfId="9152" priority="10696" stopIfTrue="1" operator="notEqual">
      <formula>H340</formula>
    </cfRule>
  </conditionalFormatting>
  <conditionalFormatting sqref="O341 M341 G341 K341 S341 U341 W341 I341 Q341">
    <cfRule type="cellIs" dxfId="9151" priority="10695" stopIfTrue="1" operator="notEqual">
      <formula>H341</formula>
    </cfRule>
  </conditionalFormatting>
  <conditionalFormatting sqref="G341:G342">
    <cfRule type="cellIs" dxfId="9150" priority="10694" stopIfTrue="1" operator="notEqual">
      <formula>H341</formula>
    </cfRule>
  </conditionalFormatting>
  <conditionalFormatting sqref="G336 G347">
    <cfRule type="cellIs" dxfId="9149" priority="10693" stopIfTrue="1" operator="notEqual">
      <formula>H336</formula>
    </cfRule>
  </conditionalFormatting>
  <conditionalFormatting sqref="G337">
    <cfRule type="cellIs" dxfId="9148" priority="10692" stopIfTrue="1" operator="notEqual">
      <formula>H337</formula>
    </cfRule>
  </conditionalFormatting>
  <conditionalFormatting sqref="G338">
    <cfRule type="cellIs" dxfId="9147" priority="10691" stopIfTrue="1" operator="notEqual">
      <formula>H338</formula>
    </cfRule>
  </conditionalFormatting>
  <conditionalFormatting sqref="G339">
    <cfRule type="cellIs" dxfId="9146" priority="10690" stopIfTrue="1" operator="notEqual">
      <formula>H339</formula>
    </cfRule>
  </conditionalFormatting>
  <conditionalFormatting sqref="G340">
    <cfRule type="cellIs" dxfId="9145" priority="10689" stopIfTrue="1" operator="notEqual">
      <formula>H340</formula>
    </cfRule>
  </conditionalFormatting>
  <conditionalFormatting sqref="G342">
    <cfRule type="cellIs" dxfId="9144" priority="10688" stopIfTrue="1" operator="notEqual">
      <formula>H342</formula>
    </cfRule>
  </conditionalFormatting>
  <conditionalFormatting sqref="O337:O342 M337:M342 G337:G342 K337:K342 S337:S342 U337:U342 W337:W342 I337:I342 Q337:Q342">
    <cfRule type="cellIs" dxfId="9143" priority="10687" stopIfTrue="1" operator="notEqual">
      <formula>H337</formula>
    </cfRule>
  </conditionalFormatting>
  <conditionalFormatting sqref="O336 M336 G336 K336 S336 U336 W336 I336 Q336 O347 M347 G347 K347 S347 U347 W347 I347 Q347">
    <cfRule type="cellIs" dxfId="9142" priority="10686" stopIfTrue="1" operator="notEqual">
      <formula>H336</formula>
    </cfRule>
  </conditionalFormatting>
  <conditionalFormatting sqref="O339 M339 G339 K339 S339 U339 W339 I339 Q339">
    <cfRule type="cellIs" dxfId="9141" priority="10685" stopIfTrue="1" operator="notEqual">
      <formula>H339</formula>
    </cfRule>
  </conditionalFormatting>
  <conditionalFormatting sqref="O340 M340 G340 K340 S340 U340 W340 I340 Q340">
    <cfRule type="cellIs" dxfId="9140" priority="10684" stopIfTrue="1" operator="notEqual">
      <formula>H340</formula>
    </cfRule>
  </conditionalFormatting>
  <conditionalFormatting sqref="O340 M340 G340 K340 S340 U340 W340 I340 Q340">
    <cfRule type="cellIs" dxfId="9139" priority="10683" stopIfTrue="1" operator="notEqual">
      <formula>H340</formula>
    </cfRule>
  </conditionalFormatting>
  <conditionalFormatting sqref="O338 M338 G338 K338 S338 U338 W338 I338 Q338">
    <cfRule type="cellIs" dxfId="9138" priority="10682" stopIfTrue="1" operator="notEqual">
      <formula>H338</formula>
    </cfRule>
  </conditionalFormatting>
  <conditionalFormatting sqref="O342 M342 G342 K342 S342 U342 W342 I342 Q342">
    <cfRule type="cellIs" dxfId="9137" priority="10681" stopIfTrue="1" operator="notEqual">
      <formula>H342</formula>
    </cfRule>
  </conditionalFormatting>
  <conditionalFormatting sqref="O336 M336 G336 K336 S336 U336 W336 I336 Q336 O347 M347 G347 K347 S347 U347 W347 I347 Q347">
    <cfRule type="cellIs" dxfId="9136" priority="10680" stopIfTrue="1" operator="notEqual">
      <formula>H336</formula>
    </cfRule>
  </conditionalFormatting>
  <conditionalFormatting sqref="O337 M337 G337 K337 S337 U337 W337 I337 Q337">
    <cfRule type="cellIs" dxfId="9135" priority="10679" stopIfTrue="1" operator="notEqual">
      <formula>H337</formula>
    </cfRule>
  </conditionalFormatting>
  <conditionalFormatting sqref="O338 M338 G338 K338 S338 U338 W338 I338 Q338">
    <cfRule type="cellIs" dxfId="9134" priority="10678" stopIfTrue="1" operator="notEqual">
      <formula>H338</formula>
    </cfRule>
  </conditionalFormatting>
  <conditionalFormatting sqref="O339 M339 G339 K339 S339 U339 W339 I339 Q339">
    <cfRule type="cellIs" dxfId="9133" priority="10677" stopIfTrue="1" operator="notEqual">
      <formula>H339</formula>
    </cfRule>
  </conditionalFormatting>
  <conditionalFormatting sqref="O340 M340 G340 K340 S340 U340 W340 I340 Q340">
    <cfRule type="cellIs" dxfId="9132" priority="10676" stopIfTrue="1" operator="notEqual">
      <formula>H340</formula>
    </cfRule>
  </conditionalFormatting>
  <conditionalFormatting sqref="O341 M341 G341 K341 S341 U341 W341 I341 Q341">
    <cfRule type="cellIs" dxfId="9131" priority="10675" stopIfTrue="1" operator="notEqual">
      <formula>H341</formula>
    </cfRule>
  </conditionalFormatting>
  <conditionalFormatting sqref="O342 M342 G342 K342 S342 U342 W342 I342 Q342">
    <cfRule type="cellIs" dxfId="9130" priority="10674" stopIfTrue="1" operator="notEqual">
      <formula>H342</formula>
    </cfRule>
  </conditionalFormatting>
  <conditionalFormatting sqref="G336 G347">
    <cfRule type="cellIs" dxfId="9129" priority="10673" stopIfTrue="1" operator="notEqual">
      <formula>H336</formula>
    </cfRule>
  </conditionalFormatting>
  <conditionalFormatting sqref="G337">
    <cfRule type="cellIs" dxfId="9128" priority="10672" stopIfTrue="1" operator="notEqual">
      <formula>H337</formula>
    </cfRule>
  </conditionalFormatting>
  <conditionalFormatting sqref="G338">
    <cfRule type="cellIs" dxfId="9127" priority="10671" stopIfTrue="1" operator="notEqual">
      <formula>H338</formula>
    </cfRule>
  </conditionalFormatting>
  <conditionalFormatting sqref="G339">
    <cfRule type="cellIs" dxfId="9126" priority="10670" stopIfTrue="1" operator="notEqual">
      <formula>H339</formula>
    </cfRule>
  </conditionalFormatting>
  <conditionalFormatting sqref="G340">
    <cfRule type="cellIs" dxfId="9125" priority="10669" stopIfTrue="1" operator="notEqual">
      <formula>H340</formula>
    </cfRule>
  </conditionalFormatting>
  <conditionalFormatting sqref="G341">
    <cfRule type="cellIs" dxfId="9124" priority="10668" stopIfTrue="1" operator="notEqual">
      <formula>H341</formula>
    </cfRule>
  </conditionalFormatting>
  <conditionalFormatting sqref="G342">
    <cfRule type="cellIs" dxfId="9123" priority="10667" stopIfTrue="1" operator="notEqual">
      <formula>H342</formula>
    </cfRule>
  </conditionalFormatting>
  <conditionalFormatting sqref="G343">
    <cfRule type="cellIs" dxfId="9122" priority="10666" stopIfTrue="1" operator="notEqual">
      <formula>H343</formula>
    </cfRule>
  </conditionalFormatting>
  <conditionalFormatting sqref="G344">
    <cfRule type="cellIs" dxfId="9121" priority="10665" stopIfTrue="1" operator="notEqual">
      <formula>H344</formula>
    </cfRule>
  </conditionalFormatting>
  <conditionalFormatting sqref="G345">
    <cfRule type="cellIs" dxfId="9120" priority="10664" stopIfTrue="1" operator="notEqual">
      <formula>H345</formula>
    </cfRule>
  </conditionalFormatting>
  <conditionalFormatting sqref="G346">
    <cfRule type="cellIs" dxfId="9119" priority="10663" stopIfTrue="1" operator="notEqual">
      <formula>H346</formula>
    </cfRule>
  </conditionalFormatting>
  <conditionalFormatting sqref="G347">
    <cfRule type="cellIs" dxfId="9118" priority="10662" stopIfTrue="1" operator="notEqual">
      <formula>H347</formula>
    </cfRule>
  </conditionalFormatting>
  <conditionalFormatting sqref="G348">
    <cfRule type="cellIs" dxfId="9117" priority="10661" stopIfTrue="1" operator="notEqual">
      <formula>H348</formula>
    </cfRule>
  </conditionalFormatting>
  <conditionalFormatting sqref="G349">
    <cfRule type="cellIs" dxfId="9116" priority="10660" stopIfTrue="1" operator="notEqual">
      <formula>H349</formula>
    </cfRule>
  </conditionalFormatting>
  <conditionalFormatting sqref="G350">
    <cfRule type="cellIs" dxfId="9115" priority="10659" stopIfTrue="1" operator="notEqual">
      <formula>H350</formula>
    </cfRule>
  </conditionalFormatting>
  <conditionalFormatting sqref="G351">
    <cfRule type="cellIs" dxfId="9114" priority="10658" stopIfTrue="1" operator="notEqual">
      <formula>H351</formula>
    </cfRule>
  </conditionalFormatting>
  <conditionalFormatting sqref="G352">
    <cfRule type="cellIs" dxfId="9113" priority="10657" stopIfTrue="1" operator="notEqual">
      <formula>H352</formula>
    </cfRule>
  </conditionalFormatting>
  <conditionalFormatting sqref="G353">
    <cfRule type="cellIs" dxfId="9112" priority="10656" stopIfTrue="1" operator="notEqual">
      <formula>H353</formula>
    </cfRule>
  </conditionalFormatting>
  <conditionalFormatting sqref="G354">
    <cfRule type="cellIs" dxfId="9111" priority="10655" stopIfTrue="1" operator="notEqual">
      <formula>H354</formula>
    </cfRule>
  </conditionalFormatting>
  <conditionalFormatting sqref="G355">
    <cfRule type="cellIs" dxfId="9110" priority="10654" stopIfTrue="1" operator="notEqual">
      <formula>H355</formula>
    </cfRule>
  </conditionalFormatting>
  <conditionalFormatting sqref="O336 M336 G336 K336 S336 U336 W336 I336 Q336 O347 M347 G347 K347 S347 U347 W347 I347 Q347">
    <cfRule type="cellIs" dxfId="9109" priority="10653" stopIfTrue="1" operator="notEqual">
      <formula>H336</formula>
    </cfRule>
  </conditionalFormatting>
  <conditionalFormatting sqref="O337 M337 G337 K337 S337 U337 W337 I337 Q337">
    <cfRule type="cellIs" dxfId="9108" priority="10652" stopIfTrue="1" operator="notEqual">
      <formula>H337</formula>
    </cfRule>
  </conditionalFormatting>
  <conditionalFormatting sqref="O338 M338 G338 K338 S338 U338 W338 I338 Q338">
    <cfRule type="cellIs" dxfId="9107" priority="10651" stopIfTrue="1" operator="notEqual">
      <formula>H338</formula>
    </cfRule>
  </conditionalFormatting>
  <conditionalFormatting sqref="O339 M339 G339 K339 S339 U339 W339 I339 Q339">
    <cfRule type="cellIs" dxfId="9106" priority="10650" stopIfTrue="1" operator="notEqual">
      <formula>H339</formula>
    </cfRule>
  </conditionalFormatting>
  <conditionalFormatting sqref="O340 M340 G340 K340 S340 U340 W340 I340 Q340">
    <cfRule type="cellIs" dxfId="9105" priority="10649" stopIfTrue="1" operator="notEqual">
      <formula>H340</formula>
    </cfRule>
  </conditionalFormatting>
  <conditionalFormatting sqref="O341 M341 G341 K341 S341 U341 W341 I341 Q341">
    <cfRule type="cellIs" dxfId="9104" priority="10648" stopIfTrue="1" operator="notEqual">
      <formula>H341</formula>
    </cfRule>
  </conditionalFormatting>
  <conditionalFormatting sqref="O342 M342 G342 K342 S342 U342 W342 I342 Q342">
    <cfRule type="cellIs" dxfId="9103" priority="10647" stopIfTrue="1" operator="notEqual">
      <formula>H342</formula>
    </cfRule>
  </conditionalFormatting>
  <conditionalFormatting sqref="O343 M343 G343 K343 S343 U343 W343 I343 Q343">
    <cfRule type="cellIs" dxfId="9102" priority="10646" stopIfTrue="1" operator="notEqual">
      <formula>H343</formula>
    </cfRule>
  </conditionalFormatting>
  <conditionalFormatting sqref="O344 M344 G344 K344 S344 U344 W344 I344 Q344">
    <cfRule type="cellIs" dxfId="9101" priority="10645" stopIfTrue="1" operator="notEqual">
      <formula>H344</formula>
    </cfRule>
  </conditionalFormatting>
  <conditionalFormatting sqref="O345 M345 G345 K345 S345 U345 W345 I345 Q345">
    <cfRule type="cellIs" dxfId="9100" priority="10644" stopIfTrue="1" operator="notEqual">
      <formula>H345</formula>
    </cfRule>
  </conditionalFormatting>
  <conditionalFormatting sqref="O346 M346 G346 K346 S346 U346 W346 I346 Q346">
    <cfRule type="cellIs" dxfId="9099" priority="10643" stopIfTrue="1" operator="notEqual">
      <formula>H346</formula>
    </cfRule>
  </conditionalFormatting>
  <conditionalFormatting sqref="G346:G347">
    <cfRule type="cellIs" dxfId="9098" priority="10642" stopIfTrue="1" operator="notEqual">
      <formula>H346</formula>
    </cfRule>
  </conditionalFormatting>
  <conditionalFormatting sqref="G336 G347">
    <cfRule type="cellIs" dxfId="9097" priority="10641" stopIfTrue="1" operator="notEqual">
      <formula>H336</formula>
    </cfRule>
  </conditionalFormatting>
  <conditionalFormatting sqref="G337">
    <cfRule type="cellIs" dxfId="9096" priority="10640" stopIfTrue="1" operator="notEqual">
      <formula>H337</formula>
    </cfRule>
  </conditionalFormatting>
  <conditionalFormatting sqref="G338">
    <cfRule type="cellIs" dxfId="9095" priority="10639" stopIfTrue="1" operator="notEqual">
      <formula>H338</formula>
    </cfRule>
  </conditionalFormatting>
  <conditionalFormatting sqref="G339">
    <cfRule type="cellIs" dxfId="9094" priority="10638" stopIfTrue="1" operator="notEqual">
      <formula>H339</formula>
    </cfRule>
  </conditionalFormatting>
  <conditionalFormatting sqref="G340">
    <cfRule type="cellIs" dxfId="9093" priority="10637" stopIfTrue="1" operator="notEqual">
      <formula>H340</formula>
    </cfRule>
  </conditionalFormatting>
  <conditionalFormatting sqref="G341">
    <cfRule type="cellIs" dxfId="9092" priority="10636" stopIfTrue="1" operator="notEqual">
      <formula>H341</formula>
    </cfRule>
  </conditionalFormatting>
  <conditionalFormatting sqref="G342">
    <cfRule type="cellIs" dxfId="9091" priority="10635" stopIfTrue="1" operator="notEqual">
      <formula>H342</formula>
    </cfRule>
  </conditionalFormatting>
  <conditionalFormatting sqref="G343">
    <cfRule type="cellIs" dxfId="9090" priority="10634" stopIfTrue="1" operator="notEqual">
      <formula>H343</formula>
    </cfRule>
  </conditionalFormatting>
  <conditionalFormatting sqref="G344">
    <cfRule type="cellIs" dxfId="9089" priority="10633" stopIfTrue="1" operator="notEqual">
      <formula>H344</formula>
    </cfRule>
  </conditionalFormatting>
  <conditionalFormatting sqref="G345">
    <cfRule type="cellIs" dxfId="9088" priority="10632" stopIfTrue="1" operator="notEqual">
      <formula>H345</formula>
    </cfRule>
  </conditionalFormatting>
  <conditionalFormatting sqref="G347">
    <cfRule type="cellIs" dxfId="9087" priority="10631" stopIfTrue="1" operator="notEqual">
      <formula>H347</formula>
    </cfRule>
  </conditionalFormatting>
  <conditionalFormatting sqref="O342:O347 M342:M347 G342:G347 K342:K347 S342:S347 U342:U347 W342:W347 I342:I347 Q342:Q347">
    <cfRule type="cellIs" dxfId="9086" priority="10630" stopIfTrue="1" operator="notEqual">
      <formula>H342</formula>
    </cfRule>
  </conditionalFormatting>
  <conditionalFormatting sqref="O336 M336 G336 K336 S336 U336 W336 I336 Q336 O347 M347 G347 K347 S347 U347 W347 I347 Q347">
    <cfRule type="cellIs" dxfId="9085" priority="10629" stopIfTrue="1" operator="notEqual">
      <formula>H336</formula>
    </cfRule>
  </conditionalFormatting>
  <conditionalFormatting sqref="O337 M337 G337 K337 S337 U337 W337 I337 Q337">
    <cfRule type="cellIs" dxfId="9084" priority="10628" stopIfTrue="1" operator="notEqual">
      <formula>H337</formula>
    </cfRule>
  </conditionalFormatting>
  <conditionalFormatting sqref="O338 M338 G338 K338 S338 U338 W338 I338 Q338">
    <cfRule type="cellIs" dxfId="9083" priority="10627" stopIfTrue="1" operator="notEqual">
      <formula>H338</formula>
    </cfRule>
  </conditionalFormatting>
  <conditionalFormatting sqref="O339 M339 G339 K339 S339 U339 W339 I339 Q339">
    <cfRule type="cellIs" dxfId="9082" priority="10626" stopIfTrue="1" operator="notEqual">
      <formula>H339</formula>
    </cfRule>
  </conditionalFormatting>
  <conditionalFormatting sqref="O340 M340 G340 K340 S340 U340 W340 I340 Q340">
    <cfRule type="cellIs" dxfId="9081" priority="10625" stopIfTrue="1" operator="notEqual">
      <formula>H340</formula>
    </cfRule>
  </conditionalFormatting>
  <conditionalFormatting sqref="O341 M341 G341 K341 S341 U341 W341 I341 Q341">
    <cfRule type="cellIs" dxfId="9080" priority="10624" stopIfTrue="1" operator="notEqual">
      <formula>H341</formula>
    </cfRule>
  </conditionalFormatting>
  <conditionalFormatting sqref="O344 M344 G344 K344 S344 U344 W344 I344 Q344">
    <cfRule type="cellIs" dxfId="9079" priority="10623" stopIfTrue="1" operator="notEqual">
      <formula>H344</formula>
    </cfRule>
  </conditionalFormatting>
  <conditionalFormatting sqref="O345 M345 G345 K345 S345 U345 W345 I345 Q345">
    <cfRule type="cellIs" dxfId="9078" priority="10622" stopIfTrue="1" operator="notEqual">
      <formula>H345</formula>
    </cfRule>
  </conditionalFormatting>
  <conditionalFormatting sqref="O345 M345 G345 K345 S345 U345 W345 I345 Q345">
    <cfRule type="cellIs" dxfId="9077" priority="10621" stopIfTrue="1" operator="notEqual">
      <formula>H345</formula>
    </cfRule>
  </conditionalFormatting>
  <conditionalFormatting sqref="O343 M343 G343 K343 S343 U343 W343 I343 Q343">
    <cfRule type="cellIs" dxfId="9076" priority="10620" stopIfTrue="1" operator="notEqual">
      <formula>H343</formula>
    </cfRule>
  </conditionalFormatting>
  <conditionalFormatting sqref="O347 M347 G347 K347 S347 U347 W347 I347 Q347">
    <cfRule type="cellIs" dxfId="9075" priority="10619" stopIfTrue="1" operator="notEqual">
      <formula>H347</formula>
    </cfRule>
  </conditionalFormatting>
  <conditionalFormatting sqref="O336 M336 G336 K336 S336 U336 W336 I336 Q336 O347 M347 G347 K347 S347 U347 W347 I347 Q347">
    <cfRule type="cellIs" dxfId="9074" priority="10618" stopIfTrue="1" operator="notEqual">
      <formula>H336</formula>
    </cfRule>
  </conditionalFormatting>
  <conditionalFormatting sqref="O337 M337 G337 K337 S337 U337 W337 I337 Q337">
    <cfRule type="cellIs" dxfId="9073" priority="10617" stopIfTrue="1" operator="notEqual">
      <formula>H337</formula>
    </cfRule>
  </conditionalFormatting>
  <conditionalFormatting sqref="O338 M338 G338 K338 S338 U338 W338 I338 Q338">
    <cfRule type="cellIs" dxfId="9072" priority="10616" stopIfTrue="1" operator="notEqual">
      <formula>H338</formula>
    </cfRule>
  </conditionalFormatting>
  <conditionalFormatting sqref="O339 M339 G339 K339 S339 U339 W339 I339 Q339">
    <cfRule type="cellIs" dxfId="9071" priority="10615" stopIfTrue="1" operator="notEqual">
      <formula>H339</formula>
    </cfRule>
  </conditionalFormatting>
  <conditionalFormatting sqref="O340 M340 G340 K340 S340 U340 W340 I340 Q340">
    <cfRule type="cellIs" dxfId="9070" priority="10614" stopIfTrue="1" operator="notEqual">
      <formula>H340</formula>
    </cfRule>
  </conditionalFormatting>
  <conditionalFormatting sqref="O341 M341 G341 K341 S341 U341 W341 I341 Q341">
    <cfRule type="cellIs" dxfId="9069" priority="10613" stopIfTrue="1" operator="notEqual">
      <formula>H341</formula>
    </cfRule>
  </conditionalFormatting>
  <conditionalFormatting sqref="O342 M342 G342 K342 S342 U342 W342 I342 Q342">
    <cfRule type="cellIs" dxfId="9068" priority="10612" stopIfTrue="1" operator="notEqual">
      <formula>H342</formula>
    </cfRule>
  </conditionalFormatting>
  <conditionalFormatting sqref="O343 M343 G343 K343 S343 U343 W343 I343 Q343">
    <cfRule type="cellIs" dxfId="9067" priority="10611" stopIfTrue="1" operator="notEqual">
      <formula>H343</formula>
    </cfRule>
  </conditionalFormatting>
  <conditionalFormatting sqref="O344 M344 G344 K344 S344 U344 W344 I344 Q344">
    <cfRule type="cellIs" dxfId="9066" priority="10610" stopIfTrue="1" operator="notEqual">
      <formula>H344</formula>
    </cfRule>
  </conditionalFormatting>
  <conditionalFormatting sqref="O345 M345 G345 K345 S345 U345 W345 I345 Q345">
    <cfRule type="cellIs" dxfId="9065" priority="10609" stopIfTrue="1" operator="notEqual">
      <formula>H345</formula>
    </cfRule>
  </conditionalFormatting>
  <conditionalFormatting sqref="O346 M346 G346 K346 S346 U346 W346 I346 Q346">
    <cfRule type="cellIs" dxfId="9064" priority="10608" stopIfTrue="1" operator="notEqual">
      <formula>H346</formula>
    </cfRule>
  </conditionalFormatting>
  <conditionalFormatting sqref="O347 M347 G347 K347 S347 U347 W347 I347 Q347">
    <cfRule type="cellIs" dxfId="9063" priority="10607" stopIfTrue="1" operator="notEqual">
      <formula>H347</formula>
    </cfRule>
  </conditionalFormatting>
  <conditionalFormatting sqref="G347:G350">
    <cfRule type="cellIs" dxfId="9062" priority="10606" stopIfTrue="1" operator="notEqual">
      <formula>H347</formula>
    </cfRule>
  </conditionalFormatting>
  <conditionalFormatting sqref="G347">
    <cfRule type="cellIs" dxfId="9061" priority="10605" stopIfTrue="1" operator="notEqual">
      <formula>H347</formula>
    </cfRule>
  </conditionalFormatting>
  <conditionalFormatting sqref="G348">
    <cfRule type="cellIs" dxfId="9060" priority="10604" stopIfTrue="1" operator="notEqual">
      <formula>H348</formula>
    </cfRule>
  </conditionalFormatting>
  <conditionalFormatting sqref="G348">
    <cfRule type="cellIs" dxfId="9059" priority="10603" stopIfTrue="1" operator="notEqual">
      <formula>H348</formula>
    </cfRule>
  </conditionalFormatting>
  <conditionalFormatting sqref="G351">
    <cfRule type="cellIs" dxfId="9058" priority="10602" stopIfTrue="1" operator="notEqual">
      <formula>H351</formula>
    </cfRule>
  </conditionalFormatting>
  <conditionalFormatting sqref="G352">
    <cfRule type="cellIs" dxfId="9057" priority="10601" stopIfTrue="1" operator="notEqual">
      <formula>H352</formula>
    </cfRule>
  </conditionalFormatting>
  <conditionalFormatting sqref="G350">
    <cfRule type="cellIs" dxfId="9056" priority="10600" stopIfTrue="1" operator="notEqual">
      <formula>H350</formula>
    </cfRule>
  </conditionalFormatting>
  <conditionalFormatting sqref="G353">
    <cfRule type="cellIs" dxfId="9055" priority="10599" stopIfTrue="1" operator="notEqual">
      <formula>H353</formula>
    </cfRule>
  </conditionalFormatting>
  <conditionalFormatting sqref="G354">
    <cfRule type="cellIs" dxfId="9054" priority="10598" stopIfTrue="1" operator="notEqual">
      <formula>H354</formula>
    </cfRule>
  </conditionalFormatting>
  <conditionalFormatting sqref="G355">
    <cfRule type="cellIs" dxfId="9053" priority="10597" stopIfTrue="1" operator="notEqual">
      <formula>H355</formula>
    </cfRule>
  </conditionalFormatting>
  <conditionalFormatting sqref="O347 M347 G347 K347 S347 U347 W347 I347 Q347">
    <cfRule type="cellIs" dxfId="9052" priority="10596" stopIfTrue="1" operator="notEqual">
      <formula>H347</formula>
    </cfRule>
  </conditionalFormatting>
  <conditionalFormatting sqref="O348 M348 G348 K348 S348 U348 W348 I348 Q348">
    <cfRule type="cellIs" dxfId="9051" priority="10595" stopIfTrue="1" operator="notEqual">
      <formula>H348</formula>
    </cfRule>
  </conditionalFormatting>
  <conditionalFormatting sqref="O349 M349 G349 K349 S349 U349 W349 I349 Q349">
    <cfRule type="cellIs" dxfId="9050" priority="10594" stopIfTrue="1" operator="notEqual">
      <formula>H349</formula>
    </cfRule>
  </conditionalFormatting>
  <conditionalFormatting sqref="O350 M350 G350 K350 S350 U350 W350 I350 Q350">
    <cfRule type="cellIs" dxfId="9049" priority="10593" stopIfTrue="1" operator="notEqual">
      <formula>H350</formula>
    </cfRule>
  </conditionalFormatting>
  <conditionalFormatting sqref="O351 M351 G351 K351 S351 U351 W351 I351 Q351">
    <cfRule type="cellIs" dxfId="9048" priority="10592" stopIfTrue="1" operator="notEqual">
      <formula>H351</formula>
    </cfRule>
  </conditionalFormatting>
  <conditionalFormatting sqref="O352 M352 G352 K352 S352 U352 W352 I352 Q352">
    <cfRule type="cellIs" dxfId="9047" priority="10591" stopIfTrue="1" operator="notEqual">
      <formula>H352</formula>
    </cfRule>
  </conditionalFormatting>
  <conditionalFormatting sqref="O353 M353 G353 K353 S353 U353 W353 I353 Q353">
    <cfRule type="cellIs" dxfId="9046" priority="10590" stopIfTrue="1" operator="notEqual">
      <formula>H353</formula>
    </cfRule>
  </conditionalFormatting>
  <conditionalFormatting sqref="O354 M354 G354 K354 S354 U354 W354 I354 Q354">
    <cfRule type="cellIs" dxfId="9045" priority="10589" stopIfTrue="1" operator="notEqual">
      <formula>H354</formula>
    </cfRule>
  </conditionalFormatting>
  <conditionalFormatting sqref="O355 M355 G355 K355 S355 U355 W355 I355 Q355">
    <cfRule type="cellIs" dxfId="9044" priority="10588" stopIfTrue="1" operator="notEqual">
      <formula>H355</formula>
    </cfRule>
  </conditionalFormatting>
  <conditionalFormatting sqref="G347">
    <cfRule type="cellIs" dxfId="9043" priority="10587" stopIfTrue="1" operator="notEqual">
      <formula>H347</formula>
    </cfRule>
  </conditionalFormatting>
  <conditionalFormatting sqref="G348">
    <cfRule type="cellIs" dxfId="9042" priority="10586" stopIfTrue="1" operator="notEqual">
      <formula>H348</formula>
    </cfRule>
  </conditionalFormatting>
  <conditionalFormatting sqref="G349">
    <cfRule type="cellIs" dxfId="9041" priority="10585" stopIfTrue="1" operator="notEqual">
      <formula>H349</formula>
    </cfRule>
  </conditionalFormatting>
  <conditionalFormatting sqref="G350">
    <cfRule type="cellIs" dxfId="9040" priority="10584" stopIfTrue="1" operator="notEqual">
      <formula>H350</formula>
    </cfRule>
  </conditionalFormatting>
  <conditionalFormatting sqref="G351">
    <cfRule type="cellIs" dxfId="9039" priority="10583" stopIfTrue="1" operator="notEqual">
      <formula>H351</formula>
    </cfRule>
  </conditionalFormatting>
  <conditionalFormatting sqref="G352">
    <cfRule type="cellIs" dxfId="9038" priority="10582" stopIfTrue="1" operator="notEqual">
      <formula>H352</formula>
    </cfRule>
  </conditionalFormatting>
  <conditionalFormatting sqref="G353">
    <cfRule type="cellIs" dxfId="9037" priority="10581" stopIfTrue="1" operator="notEqual">
      <formula>H353</formula>
    </cfRule>
  </conditionalFormatting>
  <conditionalFormatting sqref="G354">
    <cfRule type="cellIs" dxfId="9036" priority="10580" stopIfTrue="1" operator="notEqual">
      <formula>H354</formula>
    </cfRule>
  </conditionalFormatting>
  <conditionalFormatting sqref="G355">
    <cfRule type="cellIs" dxfId="9035" priority="10579" stopIfTrue="1" operator="notEqual">
      <formula>H355</formula>
    </cfRule>
  </conditionalFormatting>
  <conditionalFormatting sqref="G347">
    <cfRule type="cellIs" dxfId="9034" priority="10578" stopIfTrue="1" operator="notEqual">
      <formula>H347</formula>
    </cfRule>
  </conditionalFormatting>
  <conditionalFormatting sqref="G347">
    <cfRule type="cellIs" dxfId="9033" priority="10577" stopIfTrue="1" operator="notEqual">
      <formula>H347</formula>
    </cfRule>
  </conditionalFormatting>
  <conditionalFormatting sqref="G347">
    <cfRule type="cellIs" dxfId="9032" priority="10576" stopIfTrue="1" operator="notEqual">
      <formula>H347</formula>
    </cfRule>
  </conditionalFormatting>
  <conditionalFormatting sqref="G347">
    <cfRule type="cellIs" dxfId="9031" priority="10575" stopIfTrue="1" operator="notEqual">
      <formula>H347</formula>
    </cfRule>
  </conditionalFormatting>
  <conditionalFormatting sqref="G347">
    <cfRule type="cellIs" dxfId="9030" priority="10574" stopIfTrue="1" operator="notEqual">
      <formula>H347</formula>
    </cfRule>
  </conditionalFormatting>
  <conditionalFormatting sqref="G347">
    <cfRule type="cellIs" dxfId="9029" priority="10573" stopIfTrue="1" operator="notEqual">
      <formula>H347</formula>
    </cfRule>
  </conditionalFormatting>
  <conditionalFormatting sqref="O347 M347 G347 K347 S347 U347 W347 I347 Q347">
    <cfRule type="cellIs" dxfId="9028" priority="10572" stopIfTrue="1" operator="notEqual">
      <formula>H347</formula>
    </cfRule>
  </conditionalFormatting>
  <conditionalFormatting sqref="O348 M348 G348 K348 S348 U348 W348 I348 Q348">
    <cfRule type="cellIs" dxfId="9027" priority="10571" stopIfTrue="1" operator="notEqual">
      <formula>H348</formula>
    </cfRule>
  </conditionalFormatting>
  <conditionalFormatting sqref="O349 M349 G349 K349 S349 U349 W349 I349 Q349">
    <cfRule type="cellIs" dxfId="9026" priority="10570" stopIfTrue="1" operator="notEqual">
      <formula>H349</formula>
    </cfRule>
  </conditionalFormatting>
  <conditionalFormatting sqref="O350 M350 G350 K350 S350 U350 W350 I350 Q350">
    <cfRule type="cellIs" dxfId="9025" priority="10569" stopIfTrue="1" operator="notEqual">
      <formula>H350</formula>
    </cfRule>
  </conditionalFormatting>
  <conditionalFormatting sqref="O351 M351 G351 K351 S351 U351 W351 I351 Q351">
    <cfRule type="cellIs" dxfId="9024" priority="10568" stopIfTrue="1" operator="notEqual">
      <formula>H351</formula>
    </cfRule>
  </conditionalFormatting>
  <conditionalFormatting sqref="O352 M352 G352 K352 S352 U352 W352 I352 Q352">
    <cfRule type="cellIs" dxfId="9023" priority="10567" stopIfTrue="1" operator="notEqual">
      <formula>H352</formula>
    </cfRule>
  </conditionalFormatting>
  <conditionalFormatting sqref="O353 M353 G353 K353 S353 U353 W353 I353 Q353">
    <cfRule type="cellIs" dxfId="9022" priority="10566" stopIfTrue="1" operator="notEqual">
      <formula>H353</formula>
    </cfRule>
  </conditionalFormatting>
  <conditionalFormatting sqref="O354 M354 G354 K354 S354 U354 W354 I354 Q354">
    <cfRule type="cellIs" dxfId="9021" priority="10565" stopIfTrue="1" operator="notEqual">
      <formula>H354</formula>
    </cfRule>
  </conditionalFormatting>
  <conditionalFormatting sqref="O355 M355 G355 K355 S355 U355 W355 I355 Q355">
    <cfRule type="cellIs" dxfId="9020" priority="10564" stopIfTrue="1" operator="notEqual">
      <formula>H355</formula>
    </cfRule>
  </conditionalFormatting>
  <conditionalFormatting sqref="O347 M347 G347 K347 S347 U347 W347 I347 Q347">
    <cfRule type="cellIs" dxfId="9019" priority="10563" stopIfTrue="1" operator="notEqual">
      <formula>H347</formula>
    </cfRule>
  </conditionalFormatting>
  <conditionalFormatting sqref="O348 M348 G348 K348 S348 U348 W348 I348 Q348">
    <cfRule type="cellIs" dxfId="9018" priority="10562" stopIfTrue="1" operator="notEqual">
      <formula>H348</formula>
    </cfRule>
  </conditionalFormatting>
  <conditionalFormatting sqref="O349 M349 G349 K349 S349 U349 W349 I349 Q349">
    <cfRule type="cellIs" dxfId="9017" priority="10561" stopIfTrue="1" operator="notEqual">
      <formula>H349</formula>
    </cfRule>
  </conditionalFormatting>
  <conditionalFormatting sqref="O347 M347 G347 K347 S347 U347 W347 I347 Q347">
    <cfRule type="cellIs" dxfId="9016" priority="10560" stopIfTrue="1" operator="notEqual">
      <formula>H347</formula>
    </cfRule>
  </conditionalFormatting>
  <conditionalFormatting sqref="O350 M350 G350 K350 S350 U350 W350 I350 Q350">
    <cfRule type="cellIs" dxfId="9015" priority="10559" stopIfTrue="1" operator="notEqual">
      <formula>H350</formula>
    </cfRule>
  </conditionalFormatting>
  <conditionalFormatting sqref="O351 M351 G351 K351 S351 U351 W351 I351 Q351">
    <cfRule type="cellIs" dxfId="9014" priority="10558" stopIfTrue="1" operator="notEqual">
      <formula>H351</formula>
    </cfRule>
  </conditionalFormatting>
  <conditionalFormatting sqref="O352 M352 G352 K352 S352 U352 W352 I352 Q352">
    <cfRule type="cellIs" dxfId="9013" priority="10557" stopIfTrue="1" operator="notEqual">
      <formula>H352</formula>
    </cfRule>
  </conditionalFormatting>
  <conditionalFormatting sqref="O353 M353 G353 K353 S353 U353 W353 I353 Q353">
    <cfRule type="cellIs" dxfId="9012" priority="10556" stopIfTrue="1" operator="notEqual">
      <formula>H353</formula>
    </cfRule>
  </conditionalFormatting>
  <conditionalFormatting sqref="O354 M354 G354 K354 S354 U354 W354 I354 Q354">
    <cfRule type="cellIs" dxfId="9011" priority="10555" stopIfTrue="1" operator="notEqual">
      <formula>H354</formula>
    </cfRule>
  </conditionalFormatting>
  <conditionalFormatting sqref="O355 M355 G355 K355 S355 U355 W355 I355 Q355">
    <cfRule type="cellIs" dxfId="9010" priority="10554" stopIfTrue="1" operator="notEqual">
      <formula>H355</formula>
    </cfRule>
  </conditionalFormatting>
  <conditionalFormatting sqref="G350:G355">
    <cfRule type="cellIs" dxfId="9009" priority="10553" stopIfTrue="1" operator="notEqual">
      <formula>H350</formula>
    </cfRule>
  </conditionalFormatting>
  <conditionalFormatting sqref="G336 G347">
    <cfRule type="cellIs" dxfId="9008" priority="10552" stopIfTrue="1" operator="notEqual">
      <formula>H336</formula>
    </cfRule>
  </conditionalFormatting>
  <conditionalFormatting sqref="G337">
    <cfRule type="cellIs" dxfId="9007" priority="10551" stopIfTrue="1" operator="notEqual">
      <formula>H337</formula>
    </cfRule>
  </conditionalFormatting>
  <conditionalFormatting sqref="G338">
    <cfRule type="cellIs" dxfId="9006" priority="10550" stopIfTrue="1" operator="notEqual">
      <formula>H338</formula>
    </cfRule>
  </conditionalFormatting>
  <conditionalFormatting sqref="G339">
    <cfRule type="cellIs" dxfId="9005" priority="10549" stopIfTrue="1" operator="notEqual">
      <formula>H339</formula>
    </cfRule>
  </conditionalFormatting>
  <conditionalFormatting sqref="G340">
    <cfRule type="cellIs" dxfId="9004" priority="10548" stopIfTrue="1" operator="notEqual">
      <formula>H340</formula>
    </cfRule>
  </conditionalFormatting>
  <conditionalFormatting sqref="G341">
    <cfRule type="cellIs" dxfId="9003" priority="10547" stopIfTrue="1" operator="notEqual">
      <formula>H341</formula>
    </cfRule>
  </conditionalFormatting>
  <conditionalFormatting sqref="G342">
    <cfRule type="cellIs" dxfId="9002" priority="10546" stopIfTrue="1" operator="notEqual">
      <formula>H342</formula>
    </cfRule>
  </conditionalFormatting>
  <conditionalFormatting sqref="G343">
    <cfRule type="cellIs" dxfId="9001" priority="10545" stopIfTrue="1" operator="notEqual">
      <formula>H343</formula>
    </cfRule>
  </conditionalFormatting>
  <conditionalFormatting sqref="G344">
    <cfRule type="cellIs" dxfId="9000" priority="10544" stopIfTrue="1" operator="notEqual">
      <formula>H344</formula>
    </cfRule>
  </conditionalFormatting>
  <conditionalFormatting sqref="G345">
    <cfRule type="cellIs" dxfId="8999" priority="10543" stopIfTrue="1" operator="notEqual">
      <formula>H345</formula>
    </cfRule>
  </conditionalFormatting>
  <conditionalFormatting sqref="G346">
    <cfRule type="cellIs" dxfId="8998" priority="10542" stopIfTrue="1" operator="notEqual">
      <formula>H346</formula>
    </cfRule>
  </conditionalFormatting>
  <conditionalFormatting sqref="G347">
    <cfRule type="cellIs" dxfId="8997" priority="10541" stopIfTrue="1" operator="notEqual">
      <formula>H347</formula>
    </cfRule>
  </conditionalFormatting>
  <conditionalFormatting sqref="G348">
    <cfRule type="cellIs" dxfId="8996" priority="10540" stopIfTrue="1" operator="notEqual">
      <formula>H348</formula>
    </cfRule>
  </conditionalFormatting>
  <conditionalFormatting sqref="G349">
    <cfRule type="cellIs" dxfId="8995" priority="10539" stopIfTrue="1" operator="notEqual">
      <formula>H349</formula>
    </cfRule>
  </conditionalFormatting>
  <conditionalFormatting sqref="G336 G347">
    <cfRule type="cellIs" dxfId="8994" priority="10538" stopIfTrue="1" operator="notEqual">
      <formula>H336</formula>
    </cfRule>
  </conditionalFormatting>
  <conditionalFormatting sqref="G336 G347">
    <cfRule type="cellIs" dxfId="8993" priority="10537" stopIfTrue="1" operator="notEqual">
      <formula>H336</formula>
    </cfRule>
  </conditionalFormatting>
  <conditionalFormatting sqref="G336 G347">
    <cfRule type="cellIs" dxfId="8992" priority="10536" stopIfTrue="1" operator="notEqual">
      <formula>H336</formula>
    </cfRule>
  </conditionalFormatting>
  <conditionalFormatting sqref="G336 G347">
    <cfRule type="cellIs" dxfId="8991" priority="10535" stopIfTrue="1" operator="notEqual">
      <formula>H336</formula>
    </cfRule>
  </conditionalFormatting>
  <conditionalFormatting sqref="G336 G347">
    <cfRule type="cellIs" dxfId="8990" priority="10534" stopIfTrue="1" operator="notEqual">
      <formula>H336</formula>
    </cfRule>
  </conditionalFormatting>
  <conditionalFormatting sqref="G336 G347">
    <cfRule type="cellIs" dxfId="8989" priority="10533" stopIfTrue="1" operator="notEqual">
      <formula>H336</formula>
    </cfRule>
  </conditionalFormatting>
  <conditionalFormatting sqref="G352">
    <cfRule type="cellIs" dxfId="8988" priority="10532" stopIfTrue="1" operator="notEqual">
      <formula>H352</formula>
    </cfRule>
  </conditionalFormatting>
  <conditionalFormatting sqref="G353">
    <cfRule type="cellIs" dxfId="8987" priority="10531" stopIfTrue="1" operator="notEqual">
      <formula>H353</formula>
    </cfRule>
  </conditionalFormatting>
  <conditionalFormatting sqref="G353">
    <cfRule type="cellIs" dxfId="8986" priority="10530" stopIfTrue="1" operator="notEqual">
      <formula>H353</formula>
    </cfRule>
  </conditionalFormatting>
  <conditionalFormatting sqref="G351">
    <cfRule type="cellIs" dxfId="8985" priority="10529" stopIfTrue="1" operator="notEqual">
      <formula>H351</formula>
    </cfRule>
  </conditionalFormatting>
  <conditionalFormatting sqref="G355">
    <cfRule type="cellIs" dxfId="8984" priority="10528" stopIfTrue="1" operator="notEqual">
      <formula>H355</formula>
    </cfRule>
  </conditionalFormatting>
  <conditionalFormatting sqref="O346:O351 M346:M351 G346:G351 K346:K351 S346:S351 U346:U351 W346:W351 I346:I351 Q346:Q351">
    <cfRule type="cellIs" dxfId="8983" priority="10527" stopIfTrue="1" operator="notEqual">
      <formula>H346</formula>
    </cfRule>
  </conditionalFormatting>
  <conditionalFormatting sqref="O336 M336 G336 K336 S336 U336 W336 I336 Q336 O347 M347 G347 K347 S347 U347 W347 I347 Q347">
    <cfRule type="cellIs" dxfId="8982" priority="10526" stopIfTrue="1" operator="notEqual">
      <formula>H336</formula>
    </cfRule>
  </conditionalFormatting>
  <conditionalFormatting sqref="O337 M337 G337 K337 S337 U337 W337 I337 Q337">
    <cfRule type="cellIs" dxfId="8981" priority="10525" stopIfTrue="1" operator="notEqual">
      <formula>H337</formula>
    </cfRule>
  </conditionalFormatting>
  <conditionalFormatting sqref="O338 M338 G338 K338 S338 U338 W338 I338 Q338">
    <cfRule type="cellIs" dxfId="8980" priority="10524" stopIfTrue="1" operator="notEqual">
      <formula>H338</formula>
    </cfRule>
  </conditionalFormatting>
  <conditionalFormatting sqref="O339 M339 G339 K339 S339 U339 W339 I339 Q339">
    <cfRule type="cellIs" dxfId="8979" priority="10523" stopIfTrue="1" operator="notEqual">
      <formula>H339</formula>
    </cfRule>
  </conditionalFormatting>
  <conditionalFormatting sqref="O340 M340 G340 K340 S340 U340 W340 I340 Q340">
    <cfRule type="cellIs" dxfId="8978" priority="10522" stopIfTrue="1" operator="notEqual">
      <formula>H340</formula>
    </cfRule>
  </conditionalFormatting>
  <conditionalFormatting sqref="O341 M341 G341 K341 S341 U341 W341 I341 Q341">
    <cfRule type="cellIs" dxfId="8977" priority="10521" stopIfTrue="1" operator="notEqual">
      <formula>H341</formula>
    </cfRule>
  </conditionalFormatting>
  <conditionalFormatting sqref="O342 M342 G342 K342 S342 U342 W342 I342 Q342">
    <cfRule type="cellIs" dxfId="8976" priority="10520" stopIfTrue="1" operator="notEqual">
      <formula>H342</formula>
    </cfRule>
  </conditionalFormatting>
  <conditionalFormatting sqref="O343 M343 G343 K343 S343 U343 W343 I343 Q343">
    <cfRule type="cellIs" dxfId="8975" priority="10519" stopIfTrue="1" operator="notEqual">
      <formula>H343</formula>
    </cfRule>
  </conditionalFormatting>
  <conditionalFormatting sqref="O344 M344 G344 K344 S344 U344 W344 I344 Q344">
    <cfRule type="cellIs" dxfId="8974" priority="10518" stopIfTrue="1" operator="notEqual">
      <formula>H344</formula>
    </cfRule>
  </conditionalFormatting>
  <conditionalFormatting sqref="O345 M345 G345 K345 S345 U345 W345 I345 Q345">
    <cfRule type="cellIs" dxfId="8973" priority="10517" stopIfTrue="1" operator="notEqual">
      <formula>H345</formula>
    </cfRule>
  </conditionalFormatting>
  <conditionalFormatting sqref="O348 M348 G348 K348 S348 U348 W348 I348 Q348">
    <cfRule type="cellIs" dxfId="8972" priority="10516" stopIfTrue="1" operator="notEqual">
      <formula>H348</formula>
    </cfRule>
  </conditionalFormatting>
  <conditionalFormatting sqref="O349 M349 G349 K349 S349 U349 W349 I349 Q349">
    <cfRule type="cellIs" dxfId="8971" priority="10515" stopIfTrue="1" operator="notEqual">
      <formula>H349</formula>
    </cfRule>
  </conditionalFormatting>
  <conditionalFormatting sqref="O349 M349 G349 K349 S349 U349 W349 I349 Q349">
    <cfRule type="cellIs" dxfId="8970" priority="10514" stopIfTrue="1" operator="notEqual">
      <formula>H349</formula>
    </cfRule>
  </conditionalFormatting>
  <conditionalFormatting sqref="O347 M347 G347 K347 S347 U347 W347 I347 Q347">
    <cfRule type="cellIs" dxfId="8969" priority="10513" stopIfTrue="1" operator="notEqual">
      <formula>H347</formula>
    </cfRule>
  </conditionalFormatting>
  <conditionalFormatting sqref="O352 M352 G352 K352 S352 U352 W352 I352 Q352">
    <cfRule type="cellIs" dxfId="8968" priority="10512" stopIfTrue="1" operator="notEqual">
      <formula>H352</formula>
    </cfRule>
  </conditionalFormatting>
  <conditionalFormatting sqref="O353 M353 G353 K353 S353 U353 W353 I353 Q353">
    <cfRule type="cellIs" dxfId="8967" priority="10511" stopIfTrue="1" operator="notEqual">
      <formula>H353</formula>
    </cfRule>
  </conditionalFormatting>
  <conditionalFormatting sqref="O351 M351 G351 K351 S351 U351 W351 I351 Q351">
    <cfRule type="cellIs" dxfId="8966" priority="10510" stopIfTrue="1" operator="notEqual">
      <formula>H351</formula>
    </cfRule>
  </conditionalFormatting>
  <conditionalFormatting sqref="O354 M354 G354 K354 S354 U354 W354 I354 Q354">
    <cfRule type="cellIs" dxfId="8965" priority="10509" stopIfTrue="1" operator="notEqual">
      <formula>H354</formula>
    </cfRule>
  </conditionalFormatting>
  <conditionalFormatting sqref="O355 M355 G355 K355 S355 U355 W355 I355 Q355">
    <cfRule type="cellIs" dxfId="8964" priority="10508" stopIfTrue="1" operator="notEqual">
      <formula>H355</formula>
    </cfRule>
  </conditionalFormatting>
  <conditionalFormatting sqref="O336 M336 G336 K336 S336 U336 W336 I336 Q336 O347 M347 G347 K347 S347 U347 W347 I347 Q347">
    <cfRule type="cellIs" dxfId="8963" priority="10507" stopIfTrue="1" operator="notEqual">
      <formula>H336</formula>
    </cfRule>
  </conditionalFormatting>
  <conditionalFormatting sqref="O337 M337 G337 K337 S337 U337 W337 I337 Q337">
    <cfRule type="cellIs" dxfId="8962" priority="10506" stopIfTrue="1" operator="notEqual">
      <formula>H337</formula>
    </cfRule>
  </conditionalFormatting>
  <conditionalFormatting sqref="O338 M338 G338 K338 S338 U338 W338 I338 Q338">
    <cfRule type="cellIs" dxfId="8961" priority="10505" stopIfTrue="1" operator="notEqual">
      <formula>H338</formula>
    </cfRule>
  </conditionalFormatting>
  <conditionalFormatting sqref="O336 M336 G336 K336 S336 U336 W336 I336 Q336 O347 M347 G347 K347 S347 U347 W347 I347 Q347">
    <cfRule type="cellIs" dxfId="8960" priority="10504" stopIfTrue="1" operator="notEqual">
      <formula>H336</formula>
    </cfRule>
  </conditionalFormatting>
  <conditionalFormatting sqref="O339 M339 G339 K339 S339 U339 W339 I339 Q339">
    <cfRule type="cellIs" dxfId="8959" priority="10503" stopIfTrue="1" operator="notEqual">
      <formula>H339</formula>
    </cfRule>
  </conditionalFormatting>
  <conditionalFormatting sqref="O340 M340 G340 K340 S340 U340 W340 I340 Q340">
    <cfRule type="cellIs" dxfId="8958" priority="10502" stopIfTrue="1" operator="notEqual">
      <formula>H340</formula>
    </cfRule>
  </conditionalFormatting>
  <conditionalFormatting sqref="O341 M341 G341 K341 S341 U341 W341 I341 Q341">
    <cfRule type="cellIs" dxfId="8957" priority="10501" stopIfTrue="1" operator="notEqual">
      <formula>H341</formula>
    </cfRule>
  </conditionalFormatting>
  <conditionalFormatting sqref="O342 M342 G342 K342 S342 U342 W342 I342 Q342">
    <cfRule type="cellIs" dxfId="8956" priority="10500" stopIfTrue="1" operator="notEqual">
      <formula>H342</formula>
    </cfRule>
  </conditionalFormatting>
  <conditionalFormatting sqref="O343 M343 G343 K343 S343 U343 W343 I343 Q343">
    <cfRule type="cellIs" dxfId="8955" priority="10499" stopIfTrue="1" operator="notEqual">
      <formula>H343</formula>
    </cfRule>
  </conditionalFormatting>
  <conditionalFormatting sqref="O344 M344 G344 K344 S344 U344 W344 I344 Q344">
    <cfRule type="cellIs" dxfId="8954" priority="10498" stopIfTrue="1" operator="notEqual">
      <formula>H344</formula>
    </cfRule>
  </conditionalFormatting>
  <conditionalFormatting sqref="O345 M345 G345 K345 S345 U345 W345 I345 Q345">
    <cfRule type="cellIs" dxfId="8953" priority="10497" stopIfTrue="1" operator="notEqual">
      <formula>H345</formula>
    </cfRule>
  </conditionalFormatting>
  <conditionalFormatting sqref="O346 M346 G346 K346 S346 U346 W346 I346 Q346">
    <cfRule type="cellIs" dxfId="8952" priority="10496" stopIfTrue="1" operator="notEqual">
      <formula>H346</formula>
    </cfRule>
  </conditionalFormatting>
  <conditionalFormatting sqref="O347 M347 G347 K347 S347 U347 W347 I347 Q347">
    <cfRule type="cellIs" dxfId="8951" priority="10495" stopIfTrue="1" operator="notEqual">
      <formula>H347</formula>
    </cfRule>
  </conditionalFormatting>
  <conditionalFormatting sqref="O348 M348 G348 K348 S348 U348 W348 I348 Q348">
    <cfRule type="cellIs" dxfId="8950" priority="10494" stopIfTrue="1" operator="notEqual">
      <formula>H348</formula>
    </cfRule>
  </conditionalFormatting>
  <conditionalFormatting sqref="O349 M349 G349 K349 S349 U349 W349 I349 Q349">
    <cfRule type="cellIs" dxfId="8949" priority="10493" stopIfTrue="1" operator="notEqual">
      <formula>H349</formula>
    </cfRule>
  </conditionalFormatting>
  <conditionalFormatting sqref="O350 M350 G350 K350 S350 U350 W350 I350 Q350">
    <cfRule type="cellIs" dxfId="8948" priority="10492" stopIfTrue="1" operator="notEqual">
      <formula>H350</formula>
    </cfRule>
  </conditionalFormatting>
  <conditionalFormatting sqref="O351 M351 G351 K351 S351 U351 W351 I351 Q351">
    <cfRule type="cellIs" dxfId="8947" priority="10491" stopIfTrue="1" operator="notEqual">
      <formula>H351</formula>
    </cfRule>
  </conditionalFormatting>
  <conditionalFormatting sqref="G352">
    <cfRule type="cellIs" dxfId="8946" priority="10490" stopIfTrue="1" operator="notEqual">
      <formula>H352</formula>
    </cfRule>
  </conditionalFormatting>
  <conditionalFormatting sqref="G353">
    <cfRule type="cellIs" dxfId="8945" priority="10489" stopIfTrue="1" operator="notEqual">
      <formula>H353</formula>
    </cfRule>
  </conditionalFormatting>
  <conditionalFormatting sqref="G354">
    <cfRule type="cellIs" dxfId="8944" priority="10488" stopIfTrue="1" operator="notEqual">
      <formula>H354</formula>
    </cfRule>
  </conditionalFormatting>
  <conditionalFormatting sqref="G355">
    <cfRule type="cellIs" dxfId="8943" priority="10487" stopIfTrue="1" operator="notEqual">
      <formula>H355</formula>
    </cfRule>
  </conditionalFormatting>
  <conditionalFormatting sqref="G352">
    <cfRule type="cellIs" dxfId="8942" priority="10486" stopIfTrue="1" operator="notEqual">
      <formula>H352</formula>
    </cfRule>
  </conditionalFormatting>
  <conditionalFormatting sqref="G352">
    <cfRule type="cellIs" dxfId="8941" priority="10485" stopIfTrue="1" operator="notEqual">
      <formula>H352</formula>
    </cfRule>
  </conditionalFormatting>
  <conditionalFormatting sqref="G352">
    <cfRule type="cellIs" dxfId="8940" priority="10484" stopIfTrue="1" operator="notEqual">
      <formula>H352</formula>
    </cfRule>
  </conditionalFormatting>
  <conditionalFormatting sqref="G352">
    <cfRule type="cellIs" dxfId="8939" priority="10483" stopIfTrue="1" operator="notEqual">
      <formula>H352</formula>
    </cfRule>
  </conditionalFormatting>
  <conditionalFormatting sqref="G352">
    <cfRule type="cellIs" dxfId="8938" priority="10482" stopIfTrue="1" operator="notEqual">
      <formula>H352</formula>
    </cfRule>
  </conditionalFormatting>
  <conditionalFormatting sqref="G352">
    <cfRule type="cellIs" dxfId="8937" priority="10481" stopIfTrue="1" operator="notEqual">
      <formula>H352</formula>
    </cfRule>
  </conditionalFormatting>
  <conditionalFormatting sqref="O352 M352 G352 K352 S352 U352 W352 I352 Q352">
    <cfRule type="cellIs" dxfId="8936" priority="10480" stopIfTrue="1" operator="notEqual">
      <formula>H352</formula>
    </cfRule>
  </conditionalFormatting>
  <conditionalFormatting sqref="O353 M353 G353 K353 S353 U353 W353 I353 Q353">
    <cfRule type="cellIs" dxfId="8935" priority="10479" stopIfTrue="1" operator="notEqual">
      <formula>H353</formula>
    </cfRule>
  </conditionalFormatting>
  <conditionalFormatting sqref="O354 M354 G354 K354 S354 U354 W354 I354 Q354">
    <cfRule type="cellIs" dxfId="8934" priority="10478" stopIfTrue="1" operator="notEqual">
      <formula>H354</formula>
    </cfRule>
  </conditionalFormatting>
  <conditionalFormatting sqref="O355 M355 G355 K355 S355 U355 W355 I355 Q355">
    <cfRule type="cellIs" dxfId="8933" priority="10477" stopIfTrue="1" operator="notEqual">
      <formula>H355</formula>
    </cfRule>
  </conditionalFormatting>
  <conditionalFormatting sqref="O352 M352 G352 K352 S352 U352 W352 I352 Q352">
    <cfRule type="cellIs" dxfId="8932" priority="10476" stopIfTrue="1" operator="notEqual">
      <formula>H352</formula>
    </cfRule>
  </conditionalFormatting>
  <conditionalFormatting sqref="O353 M353 G353 K353 S353 U353 W353 I353 Q353">
    <cfRule type="cellIs" dxfId="8931" priority="10475" stopIfTrue="1" operator="notEqual">
      <formula>H353</formula>
    </cfRule>
  </conditionalFormatting>
  <conditionalFormatting sqref="O354 M354 G354 K354 S354 U354 W354 I354 Q354">
    <cfRule type="cellIs" dxfId="8930" priority="10474" stopIfTrue="1" operator="notEqual">
      <formula>H354</formula>
    </cfRule>
  </conditionalFormatting>
  <conditionalFormatting sqref="O352 M352 G352 K352 S352 U352 W352 I352 Q352">
    <cfRule type="cellIs" dxfId="8929" priority="10473" stopIfTrue="1" operator="notEqual">
      <formula>H352</formula>
    </cfRule>
  </conditionalFormatting>
  <conditionalFormatting sqref="O355 M355 G355 K355 S355 U355 W355 I355 Q355">
    <cfRule type="cellIs" dxfId="8928" priority="10472" stopIfTrue="1" operator="notEqual">
      <formula>H355</formula>
    </cfRule>
  </conditionalFormatting>
  <conditionalFormatting sqref="O336:O340 M336:M340 G336:G340 K336:K340 S336:S340 U336:U340 W336:W340 I336:I340 Q336:Q340 O347 M347 G347 K347 S347 U347 W347 I347 Q347">
    <cfRule type="cellIs" dxfId="8927" priority="10471" stopIfTrue="1" operator="notEqual">
      <formula>H336</formula>
    </cfRule>
  </conditionalFormatting>
  <conditionalFormatting sqref="O337 M337 G337 K337 S337 U337 W337 I337 Q337">
    <cfRule type="cellIs" dxfId="8926" priority="10470" stopIfTrue="1" operator="notEqual">
      <formula>H337</formula>
    </cfRule>
  </conditionalFormatting>
  <conditionalFormatting sqref="O338 M338 G338 K338 S338 U338 W338 I338 Q338">
    <cfRule type="cellIs" dxfId="8925" priority="10469" stopIfTrue="1" operator="notEqual">
      <formula>H338</formula>
    </cfRule>
  </conditionalFormatting>
  <conditionalFormatting sqref="O338 M338 G338 K338 S338 U338 W338 I338 Q338">
    <cfRule type="cellIs" dxfId="8924" priority="10468" stopIfTrue="1" operator="notEqual">
      <formula>H338</formula>
    </cfRule>
  </conditionalFormatting>
  <conditionalFormatting sqref="O336 M336 G336 K336 S336 U336 W336 I336 Q336 O347 M347 G347 K347 S347 U347 W347 I347 Q347">
    <cfRule type="cellIs" dxfId="8923" priority="10467" stopIfTrue="1" operator="notEqual">
      <formula>H336</formula>
    </cfRule>
  </conditionalFormatting>
  <conditionalFormatting sqref="O341 M341 G341 K341 S341 U341 W341 I341 Q341">
    <cfRule type="cellIs" dxfId="8922" priority="10466" stopIfTrue="1" operator="notEqual">
      <formula>H341</formula>
    </cfRule>
  </conditionalFormatting>
  <conditionalFormatting sqref="O342 M342 G342 K342 S342 U342 W342 I342 Q342">
    <cfRule type="cellIs" dxfId="8921" priority="10465" stopIfTrue="1" operator="notEqual">
      <formula>H342</formula>
    </cfRule>
  </conditionalFormatting>
  <conditionalFormatting sqref="O340 M340 G340 K340 S340 U340 W340 I340 Q340">
    <cfRule type="cellIs" dxfId="8920" priority="10464" stopIfTrue="1" operator="notEqual">
      <formula>H340</formula>
    </cfRule>
  </conditionalFormatting>
  <conditionalFormatting sqref="O343 M343 G343 K343 S343 U343 W343 I343 Q343">
    <cfRule type="cellIs" dxfId="8919" priority="10463" stopIfTrue="1" operator="notEqual">
      <formula>H343</formula>
    </cfRule>
  </conditionalFormatting>
  <conditionalFormatting sqref="O344 M344 G344 K344 S344 U344 W344 I344 Q344">
    <cfRule type="cellIs" dxfId="8918" priority="10462" stopIfTrue="1" operator="notEqual">
      <formula>H344</formula>
    </cfRule>
  </conditionalFormatting>
  <conditionalFormatting sqref="O345 M345 G345 K345 S345 U345 W345 I345 Q345">
    <cfRule type="cellIs" dxfId="8917" priority="10461" stopIfTrue="1" operator="notEqual">
      <formula>H345</formula>
    </cfRule>
  </conditionalFormatting>
  <conditionalFormatting sqref="O346 M346 G346 K346 S346 U346 W346 I346 Q346">
    <cfRule type="cellIs" dxfId="8916" priority="10460" stopIfTrue="1" operator="notEqual">
      <formula>H346</formula>
    </cfRule>
  </conditionalFormatting>
  <conditionalFormatting sqref="O347 M347 G347 K347 S347 U347 W347 I347 Q347">
    <cfRule type="cellIs" dxfId="8915" priority="10459" stopIfTrue="1" operator="notEqual">
      <formula>H347</formula>
    </cfRule>
  </conditionalFormatting>
  <conditionalFormatting sqref="O348 M348 G348 K348 S348 U348 W348 I348 Q348">
    <cfRule type="cellIs" dxfId="8914" priority="10458" stopIfTrue="1" operator="notEqual">
      <formula>H348</formula>
    </cfRule>
  </conditionalFormatting>
  <conditionalFormatting sqref="O349 M349 G349 K349 S349 U349 W349 I349 Q349">
    <cfRule type="cellIs" dxfId="8913" priority="10457" stopIfTrue="1" operator="notEqual">
      <formula>H349</formula>
    </cfRule>
  </conditionalFormatting>
  <conditionalFormatting sqref="O350 M350 G350 K350 S350 U350 W350 I350 Q350">
    <cfRule type="cellIs" dxfId="8912" priority="10456" stopIfTrue="1" operator="notEqual">
      <formula>H350</formula>
    </cfRule>
  </conditionalFormatting>
  <conditionalFormatting sqref="O351 M351 G351 K351 S351 U351 W351 I351 Q351">
    <cfRule type="cellIs" dxfId="8911" priority="10455" stopIfTrue="1" operator="notEqual">
      <formula>H351</formula>
    </cfRule>
  </conditionalFormatting>
  <conditionalFormatting sqref="O352 M352 G352 K352 S352 U352 W352 I352 Q352">
    <cfRule type="cellIs" dxfId="8910" priority="10454" stopIfTrue="1" operator="notEqual">
      <formula>H352</formula>
    </cfRule>
  </conditionalFormatting>
  <conditionalFormatting sqref="O353 M353 G353 K353 S353 U353 W353 I353 Q353">
    <cfRule type="cellIs" dxfId="8909" priority="10453" stopIfTrue="1" operator="notEqual">
      <formula>H353</formula>
    </cfRule>
  </conditionalFormatting>
  <conditionalFormatting sqref="O354 M354 G354 K354 S354 U354 W354 I354 Q354">
    <cfRule type="cellIs" dxfId="8908" priority="10452" stopIfTrue="1" operator="notEqual">
      <formula>H354</formula>
    </cfRule>
  </conditionalFormatting>
  <conditionalFormatting sqref="O355 M355 G355 K355 S355 U355 W355 I355 Q355">
    <cfRule type="cellIs" dxfId="8907" priority="10451" stopIfTrue="1" operator="notEqual">
      <formula>H355</formula>
    </cfRule>
  </conditionalFormatting>
  <conditionalFormatting sqref="G363">
    <cfRule type="cellIs" dxfId="8906" priority="10450" stopIfTrue="1" operator="notEqual">
      <formula>H363</formula>
    </cfRule>
  </conditionalFormatting>
  <conditionalFormatting sqref="G356">
    <cfRule type="cellIs" dxfId="8905" priority="10449" stopIfTrue="1" operator="notEqual">
      <formula>H356</formula>
    </cfRule>
  </conditionalFormatting>
  <conditionalFormatting sqref="G357:G360">
    <cfRule type="cellIs" dxfId="8904" priority="10448" stopIfTrue="1" operator="notEqual">
      <formula>H357</formula>
    </cfRule>
  </conditionalFormatting>
  <conditionalFormatting sqref="G358">
    <cfRule type="cellIs" dxfId="8903" priority="10447" stopIfTrue="1" operator="notEqual">
      <formula>H358</formula>
    </cfRule>
  </conditionalFormatting>
  <conditionalFormatting sqref="G359">
    <cfRule type="cellIs" dxfId="8902" priority="10446" stopIfTrue="1" operator="notEqual">
      <formula>H359</formula>
    </cfRule>
  </conditionalFormatting>
  <conditionalFormatting sqref="G360">
    <cfRule type="cellIs" dxfId="8901" priority="10445" stopIfTrue="1" operator="notEqual">
      <formula>H360</formula>
    </cfRule>
  </conditionalFormatting>
  <conditionalFormatting sqref="G361">
    <cfRule type="cellIs" dxfId="8900" priority="10444" stopIfTrue="1" operator="notEqual">
      <formula>H361</formula>
    </cfRule>
  </conditionalFormatting>
  <conditionalFormatting sqref="G362">
    <cfRule type="cellIs" dxfId="8899" priority="10443" stopIfTrue="1" operator="notEqual">
      <formula>H362</formula>
    </cfRule>
  </conditionalFormatting>
  <conditionalFormatting sqref="G356">
    <cfRule type="cellIs" dxfId="8898" priority="10442" stopIfTrue="1" operator="notEqual">
      <formula>H356</formula>
    </cfRule>
  </conditionalFormatting>
  <conditionalFormatting sqref="G357:G360">
    <cfRule type="cellIs" dxfId="8897" priority="10441" stopIfTrue="1" operator="notEqual">
      <formula>H357</formula>
    </cfRule>
  </conditionalFormatting>
  <conditionalFormatting sqref="G358">
    <cfRule type="cellIs" dxfId="8896" priority="10440" stopIfTrue="1" operator="notEqual">
      <formula>H358</formula>
    </cfRule>
  </conditionalFormatting>
  <conditionalFormatting sqref="G359">
    <cfRule type="cellIs" dxfId="8895" priority="10439" stopIfTrue="1" operator="notEqual">
      <formula>H359</formula>
    </cfRule>
  </conditionalFormatting>
  <conditionalFormatting sqref="G360">
    <cfRule type="cellIs" dxfId="8894" priority="10438" stopIfTrue="1" operator="notEqual">
      <formula>H360</formula>
    </cfRule>
  </conditionalFormatting>
  <conditionalFormatting sqref="G361">
    <cfRule type="cellIs" dxfId="8893" priority="10437" stopIfTrue="1" operator="notEqual">
      <formula>H361</formula>
    </cfRule>
  </conditionalFormatting>
  <conditionalFormatting sqref="G362">
    <cfRule type="cellIs" dxfId="8892" priority="10436" stopIfTrue="1" operator="notEqual">
      <formula>H362</formula>
    </cfRule>
  </conditionalFormatting>
  <conditionalFormatting sqref="O356 M356 G356 K356 S356 U356 W356 I356 Q356">
    <cfRule type="cellIs" dxfId="8891" priority="10435" stopIfTrue="1" operator="notEqual">
      <formula>H356</formula>
    </cfRule>
  </conditionalFormatting>
  <conditionalFormatting sqref="O357:O360 M357:M360 G357:G360 K357:K360 S357:S360 U357:U360 W357:W360 I357:I360 Q357:Q360">
    <cfRule type="cellIs" dxfId="8890" priority="10434" stopIfTrue="1" operator="notEqual">
      <formula>H357</formula>
    </cfRule>
  </conditionalFormatting>
  <conditionalFormatting sqref="O358 M358 G358 K358 S358 U358 W358 I358 Q358">
    <cfRule type="cellIs" dxfId="8889" priority="10433" stopIfTrue="1" operator="notEqual">
      <formula>H358</formula>
    </cfRule>
  </conditionalFormatting>
  <conditionalFormatting sqref="O359 M359 G359 K359 S359 U359 W359 I359 Q359">
    <cfRule type="cellIs" dxfId="8888" priority="10432" stopIfTrue="1" operator="notEqual">
      <formula>H359</formula>
    </cfRule>
  </conditionalFormatting>
  <conditionalFormatting sqref="O360 M360 G360 K360 S360 U360 W360 I360 Q360">
    <cfRule type="cellIs" dxfId="8887" priority="10431" stopIfTrue="1" operator="notEqual">
      <formula>H360</formula>
    </cfRule>
  </conditionalFormatting>
  <conditionalFormatting sqref="O361 M361 G361 K361 S361 U361 W361 I361 Q361">
    <cfRule type="cellIs" dxfId="8886" priority="10430" stopIfTrue="1" operator="notEqual">
      <formula>H361</formula>
    </cfRule>
  </conditionalFormatting>
  <conditionalFormatting sqref="G361:G362">
    <cfRule type="cellIs" dxfId="8885" priority="10429" stopIfTrue="1" operator="notEqual">
      <formula>H361</formula>
    </cfRule>
  </conditionalFormatting>
  <conditionalFormatting sqref="G356">
    <cfRule type="cellIs" dxfId="8884" priority="10428" stopIfTrue="1" operator="notEqual">
      <formula>H356</formula>
    </cfRule>
  </conditionalFormatting>
  <conditionalFormatting sqref="G357:G360">
    <cfRule type="cellIs" dxfId="8883" priority="10427" stopIfTrue="1" operator="notEqual">
      <formula>H357</formula>
    </cfRule>
  </conditionalFormatting>
  <conditionalFormatting sqref="G358">
    <cfRule type="cellIs" dxfId="8882" priority="10426" stopIfTrue="1" operator="notEqual">
      <formula>H358</formula>
    </cfRule>
  </conditionalFormatting>
  <conditionalFormatting sqref="G359">
    <cfRule type="cellIs" dxfId="8881" priority="10425" stopIfTrue="1" operator="notEqual">
      <formula>H359</formula>
    </cfRule>
  </conditionalFormatting>
  <conditionalFormatting sqref="G360">
    <cfRule type="cellIs" dxfId="8880" priority="10424" stopIfTrue="1" operator="notEqual">
      <formula>H360</formula>
    </cfRule>
  </conditionalFormatting>
  <conditionalFormatting sqref="G362">
    <cfRule type="cellIs" dxfId="8879" priority="10423" stopIfTrue="1" operator="notEqual">
      <formula>H362</formula>
    </cfRule>
  </conditionalFormatting>
  <conditionalFormatting sqref="O357:O362 M357:M362 G357:G362 K357:K362 S357:S362 U357:U362 W357:W362 I357:I362 Q357:Q362">
    <cfRule type="cellIs" dxfId="8878" priority="10422" stopIfTrue="1" operator="notEqual">
      <formula>H357</formula>
    </cfRule>
  </conditionalFormatting>
  <conditionalFormatting sqref="O356 M356 G356 K356 S356 U356 W356 I356 Q356">
    <cfRule type="cellIs" dxfId="8877" priority="10421" stopIfTrue="1" operator="notEqual">
      <formula>H356</formula>
    </cfRule>
  </conditionalFormatting>
  <conditionalFormatting sqref="O359 M359 G359 K359 S359 U359 W359 I359 Q359">
    <cfRule type="cellIs" dxfId="8876" priority="10420" stopIfTrue="1" operator="notEqual">
      <formula>H359</formula>
    </cfRule>
  </conditionalFormatting>
  <conditionalFormatting sqref="O360 M360 G360 K360 S360 U360 W360 I360 Q360">
    <cfRule type="cellIs" dxfId="8875" priority="10419" stopIfTrue="1" operator="notEqual">
      <formula>H360</formula>
    </cfRule>
  </conditionalFormatting>
  <conditionalFormatting sqref="O360 M360 G360 K360 S360 U360 W360 I360 Q360">
    <cfRule type="cellIs" dxfId="8874" priority="10418" stopIfTrue="1" operator="notEqual">
      <formula>H360</formula>
    </cfRule>
  </conditionalFormatting>
  <conditionalFormatting sqref="O358 M358 G358 K358 S358 U358 W358 I358 Q358">
    <cfRule type="cellIs" dxfId="8873" priority="10417" stopIfTrue="1" operator="notEqual">
      <formula>H358</formula>
    </cfRule>
  </conditionalFormatting>
  <conditionalFormatting sqref="O362 M362 G362 K362 S362 U362 W362 I362 Q362">
    <cfRule type="cellIs" dxfId="8872" priority="10416" stopIfTrue="1" operator="notEqual">
      <formula>H362</formula>
    </cfRule>
  </conditionalFormatting>
  <conditionalFormatting sqref="O356 M356 G356 K356 S356 U356 W356 I356 Q356">
    <cfRule type="cellIs" dxfId="8871" priority="10415" stopIfTrue="1" operator="notEqual">
      <formula>H356</formula>
    </cfRule>
  </conditionalFormatting>
  <conditionalFormatting sqref="O357:O360 M357:M360 G357:G360 K357:K360 S357:S360 U357:U360 W357:W360 I357:I360 Q357:Q360">
    <cfRule type="cellIs" dxfId="8870" priority="10414" stopIfTrue="1" operator="notEqual">
      <formula>H357</formula>
    </cfRule>
  </conditionalFormatting>
  <conditionalFormatting sqref="O358 M358 G358 K358 S358 U358 W358 I358 Q358">
    <cfRule type="cellIs" dxfId="8869" priority="10413" stopIfTrue="1" operator="notEqual">
      <formula>H358</formula>
    </cfRule>
  </conditionalFormatting>
  <conditionalFormatting sqref="O359 M359 G359 K359 S359 U359 W359 I359 Q359">
    <cfRule type="cellIs" dxfId="8868" priority="10412" stopIfTrue="1" operator="notEqual">
      <formula>H359</formula>
    </cfRule>
  </conditionalFormatting>
  <conditionalFormatting sqref="O360 M360 G360 K360 S360 U360 W360 I360 Q360">
    <cfRule type="cellIs" dxfId="8867" priority="10411" stopIfTrue="1" operator="notEqual">
      <formula>H360</formula>
    </cfRule>
  </conditionalFormatting>
  <conditionalFormatting sqref="O361 M361 G361 K361 S361 U361 W361 I361 Q361">
    <cfRule type="cellIs" dxfId="8866" priority="10410" stopIfTrue="1" operator="notEqual">
      <formula>H361</formula>
    </cfRule>
  </conditionalFormatting>
  <conditionalFormatting sqref="O362 M362 G362 K362 S362 U362 W362 I362 Q362">
    <cfRule type="cellIs" dxfId="8865" priority="10409" stopIfTrue="1" operator="notEqual">
      <formula>H362</formula>
    </cfRule>
  </conditionalFormatting>
  <conditionalFormatting sqref="G356">
    <cfRule type="cellIs" dxfId="8864" priority="10408" stopIfTrue="1" operator="notEqual">
      <formula>H356</formula>
    </cfRule>
  </conditionalFormatting>
  <conditionalFormatting sqref="G357:G360">
    <cfRule type="cellIs" dxfId="8863" priority="10407" stopIfTrue="1" operator="notEqual">
      <formula>H357</formula>
    </cfRule>
  </conditionalFormatting>
  <conditionalFormatting sqref="G358">
    <cfRule type="cellIs" dxfId="8862" priority="10406" stopIfTrue="1" operator="notEqual">
      <formula>H358</formula>
    </cfRule>
  </conditionalFormatting>
  <conditionalFormatting sqref="G359">
    <cfRule type="cellIs" dxfId="8861" priority="10405" stopIfTrue="1" operator="notEqual">
      <formula>H359</formula>
    </cfRule>
  </conditionalFormatting>
  <conditionalFormatting sqref="G360">
    <cfRule type="cellIs" dxfId="8860" priority="10404" stopIfTrue="1" operator="notEqual">
      <formula>H360</formula>
    </cfRule>
  </conditionalFormatting>
  <conditionalFormatting sqref="G361">
    <cfRule type="cellIs" dxfId="8859" priority="10403" stopIfTrue="1" operator="notEqual">
      <formula>H361</formula>
    </cfRule>
  </conditionalFormatting>
  <conditionalFormatting sqref="G362">
    <cfRule type="cellIs" dxfId="8858" priority="10402" stopIfTrue="1" operator="notEqual">
      <formula>H362</formula>
    </cfRule>
  </conditionalFormatting>
  <conditionalFormatting sqref="G363">
    <cfRule type="cellIs" dxfId="8857" priority="10401" stopIfTrue="1" operator="notEqual">
      <formula>H363</formula>
    </cfRule>
  </conditionalFormatting>
  <conditionalFormatting sqref="G364">
    <cfRule type="cellIs" dxfId="8856" priority="10400" stopIfTrue="1" operator="notEqual">
      <formula>H364</formula>
    </cfRule>
  </conditionalFormatting>
  <conditionalFormatting sqref="G365">
    <cfRule type="cellIs" dxfId="8855" priority="10399" stopIfTrue="1" operator="notEqual">
      <formula>H365</formula>
    </cfRule>
  </conditionalFormatting>
  <conditionalFormatting sqref="G366">
    <cfRule type="cellIs" dxfId="8854" priority="10398" stopIfTrue="1" operator="notEqual">
      <formula>H366</formula>
    </cfRule>
  </conditionalFormatting>
  <conditionalFormatting sqref="G367">
    <cfRule type="cellIs" dxfId="8853" priority="10397" stopIfTrue="1" operator="notEqual">
      <formula>H367</formula>
    </cfRule>
  </conditionalFormatting>
  <conditionalFormatting sqref="G368">
    <cfRule type="cellIs" dxfId="8852" priority="10396" stopIfTrue="1" operator="notEqual">
      <formula>H368</formula>
    </cfRule>
  </conditionalFormatting>
  <conditionalFormatting sqref="G369">
    <cfRule type="cellIs" dxfId="8851" priority="10395" stopIfTrue="1" operator="notEqual">
      <formula>H369</formula>
    </cfRule>
  </conditionalFormatting>
  <conditionalFormatting sqref="G370">
    <cfRule type="cellIs" dxfId="8850" priority="10394" stopIfTrue="1" operator="notEqual">
      <formula>H370</formula>
    </cfRule>
  </conditionalFormatting>
  <conditionalFormatting sqref="G371:G383">
    <cfRule type="cellIs" dxfId="8849" priority="10393" stopIfTrue="1" operator="notEqual">
      <formula>H371</formula>
    </cfRule>
  </conditionalFormatting>
  <conditionalFormatting sqref="G372">
    <cfRule type="cellIs" dxfId="8848" priority="10392" stopIfTrue="1" operator="notEqual">
      <formula>H372</formula>
    </cfRule>
  </conditionalFormatting>
  <conditionalFormatting sqref="G373">
    <cfRule type="cellIs" dxfId="8847" priority="10391" stopIfTrue="1" operator="notEqual">
      <formula>H373</formula>
    </cfRule>
  </conditionalFormatting>
  <conditionalFormatting sqref="G374">
    <cfRule type="cellIs" dxfId="8846" priority="10390" stopIfTrue="1" operator="notEqual">
      <formula>H374</formula>
    </cfRule>
  </conditionalFormatting>
  <conditionalFormatting sqref="G375">
    <cfRule type="cellIs" dxfId="8845" priority="10389" stopIfTrue="1" operator="notEqual">
      <formula>H375</formula>
    </cfRule>
  </conditionalFormatting>
  <conditionalFormatting sqref="O356 M356 G356 K356 S356 U356 W356 I356 Q356">
    <cfRule type="cellIs" dxfId="8844" priority="10388" stopIfTrue="1" operator="notEqual">
      <formula>H356</formula>
    </cfRule>
  </conditionalFormatting>
  <conditionalFormatting sqref="O357:O360 M357:M360 G357:G360 K357:K360 S357:S360 U357:U360 W357:W360 I357:I360 Q357:Q360">
    <cfRule type="cellIs" dxfId="8843" priority="10387" stopIfTrue="1" operator="notEqual">
      <formula>H357</formula>
    </cfRule>
  </conditionalFormatting>
  <conditionalFormatting sqref="O358 M358 G358 K358 S358 U358 W358 I358 Q358">
    <cfRule type="cellIs" dxfId="8842" priority="10386" stopIfTrue="1" operator="notEqual">
      <formula>H358</formula>
    </cfRule>
  </conditionalFormatting>
  <conditionalFormatting sqref="O359 M359 G359 K359 S359 U359 W359 I359 Q359">
    <cfRule type="cellIs" dxfId="8841" priority="10385" stopIfTrue="1" operator="notEqual">
      <formula>H359</formula>
    </cfRule>
  </conditionalFormatting>
  <conditionalFormatting sqref="O360 M360 G360 K360 S360 U360 W360 I360 Q360">
    <cfRule type="cellIs" dxfId="8840" priority="10384" stopIfTrue="1" operator="notEqual">
      <formula>H360</formula>
    </cfRule>
  </conditionalFormatting>
  <conditionalFormatting sqref="O361 M361 G361 K361 S361 U361 W361 I361 Q361">
    <cfRule type="cellIs" dxfId="8839" priority="10383" stopIfTrue="1" operator="notEqual">
      <formula>H361</formula>
    </cfRule>
  </conditionalFormatting>
  <conditionalFormatting sqref="O362 M362 G362 K362 S362 U362 W362 I362 Q362">
    <cfRule type="cellIs" dxfId="8838" priority="10382" stopIfTrue="1" operator="notEqual">
      <formula>H362</formula>
    </cfRule>
  </conditionalFormatting>
  <conditionalFormatting sqref="O363 M363 G363 K363 S363 U363 W363 I363 Q363">
    <cfRule type="cellIs" dxfId="8837" priority="10381" stopIfTrue="1" operator="notEqual">
      <formula>H363</formula>
    </cfRule>
  </conditionalFormatting>
  <conditionalFormatting sqref="O364 M364 G364 K364 S364 U364 W364 I364 Q364">
    <cfRule type="cellIs" dxfId="8836" priority="10380" stopIfTrue="1" operator="notEqual">
      <formula>H364</formula>
    </cfRule>
  </conditionalFormatting>
  <conditionalFormatting sqref="O365 M365 G365 K365 S365 U365 W365 I365 Q365">
    <cfRule type="cellIs" dxfId="8835" priority="10379" stopIfTrue="1" operator="notEqual">
      <formula>H365</formula>
    </cfRule>
  </conditionalFormatting>
  <conditionalFormatting sqref="O366 M366 G366 K366 S366 U366 W366 I366 Q366">
    <cfRule type="cellIs" dxfId="8834" priority="10378" stopIfTrue="1" operator="notEqual">
      <formula>H366</formula>
    </cfRule>
  </conditionalFormatting>
  <conditionalFormatting sqref="G366:G367">
    <cfRule type="cellIs" dxfId="8833" priority="10377" stopIfTrue="1" operator="notEqual">
      <formula>H366</formula>
    </cfRule>
  </conditionalFormatting>
  <conditionalFormatting sqref="G356">
    <cfRule type="cellIs" dxfId="8832" priority="10376" stopIfTrue="1" operator="notEqual">
      <formula>H356</formula>
    </cfRule>
  </conditionalFormatting>
  <conditionalFormatting sqref="G357:G360">
    <cfRule type="cellIs" dxfId="8831" priority="10375" stopIfTrue="1" operator="notEqual">
      <formula>H357</formula>
    </cfRule>
  </conditionalFormatting>
  <conditionalFormatting sqref="G358">
    <cfRule type="cellIs" dxfId="8830" priority="10374" stopIfTrue="1" operator="notEqual">
      <formula>H358</formula>
    </cfRule>
  </conditionalFormatting>
  <conditionalFormatting sqref="G359">
    <cfRule type="cellIs" dxfId="8829" priority="10373" stopIfTrue="1" operator="notEqual">
      <formula>H359</formula>
    </cfRule>
  </conditionalFormatting>
  <conditionalFormatting sqref="G360">
    <cfRule type="cellIs" dxfId="8828" priority="10372" stopIfTrue="1" operator="notEqual">
      <formula>H360</formula>
    </cfRule>
  </conditionalFormatting>
  <conditionalFormatting sqref="G361">
    <cfRule type="cellIs" dxfId="8827" priority="10371" stopIfTrue="1" operator="notEqual">
      <formula>H361</formula>
    </cfRule>
  </conditionalFormatting>
  <conditionalFormatting sqref="G362">
    <cfRule type="cellIs" dxfId="8826" priority="10370" stopIfTrue="1" operator="notEqual">
      <formula>H362</formula>
    </cfRule>
  </conditionalFormatting>
  <conditionalFormatting sqref="G363">
    <cfRule type="cellIs" dxfId="8825" priority="10369" stopIfTrue="1" operator="notEqual">
      <formula>H363</formula>
    </cfRule>
  </conditionalFormatting>
  <conditionalFormatting sqref="G364">
    <cfRule type="cellIs" dxfId="8824" priority="10368" stopIfTrue="1" operator="notEqual">
      <formula>H364</formula>
    </cfRule>
  </conditionalFormatting>
  <conditionalFormatting sqref="G365">
    <cfRule type="cellIs" dxfId="8823" priority="10367" stopIfTrue="1" operator="notEqual">
      <formula>H365</formula>
    </cfRule>
  </conditionalFormatting>
  <conditionalFormatting sqref="G367">
    <cfRule type="cellIs" dxfId="8822" priority="10366" stopIfTrue="1" operator="notEqual">
      <formula>H367</formula>
    </cfRule>
  </conditionalFormatting>
  <conditionalFormatting sqref="O362:O367 M362:M367 G362:G367 K362:K367 S362:S367 U362:U367 W362:W367 I362:I367 Q362:Q367">
    <cfRule type="cellIs" dxfId="8821" priority="10365" stopIfTrue="1" operator="notEqual">
      <formula>H362</formula>
    </cfRule>
  </conditionalFormatting>
  <conditionalFormatting sqref="O356 M356 G356 K356 S356 U356 W356 I356 Q356">
    <cfRule type="cellIs" dxfId="8820" priority="10364" stopIfTrue="1" operator="notEqual">
      <formula>H356</formula>
    </cfRule>
  </conditionalFormatting>
  <conditionalFormatting sqref="O357:O360 M357:M360 G357:G360 K357:K360 S357:S360 U357:U360 W357:W360 I357:I360 Q357:Q360">
    <cfRule type="cellIs" dxfId="8819" priority="10363" stopIfTrue="1" operator="notEqual">
      <formula>H357</formula>
    </cfRule>
  </conditionalFormatting>
  <conditionalFormatting sqref="O358 M358 G358 K358 S358 U358 W358 I358 Q358">
    <cfRule type="cellIs" dxfId="8818" priority="10362" stopIfTrue="1" operator="notEqual">
      <formula>H358</formula>
    </cfRule>
  </conditionalFormatting>
  <conditionalFormatting sqref="O359 M359 G359 K359 S359 U359 W359 I359 Q359">
    <cfRule type="cellIs" dxfId="8817" priority="10361" stopIfTrue="1" operator="notEqual">
      <formula>H359</formula>
    </cfRule>
  </conditionalFormatting>
  <conditionalFormatting sqref="O360 M360 G360 K360 S360 U360 W360 I360 Q360">
    <cfRule type="cellIs" dxfId="8816" priority="10360" stopIfTrue="1" operator="notEqual">
      <formula>H360</formula>
    </cfRule>
  </conditionalFormatting>
  <conditionalFormatting sqref="O361 M361 G361 K361 S361 U361 W361 I361 Q361">
    <cfRule type="cellIs" dxfId="8815" priority="10359" stopIfTrue="1" operator="notEqual">
      <formula>H361</formula>
    </cfRule>
  </conditionalFormatting>
  <conditionalFormatting sqref="O364 M364 G364 K364 S364 U364 W364 I364 Q364">
    <cfRule type="cellIs" dxfId="8814" priority="10358" stopIfTrue="1" operator="notEqual">
      <formula>H364</formula>
    </cfRule>
  </conditionalFormatting>
  <conditionalFormatting sqref="O365 M365 G365 K365 S365 U365 W365 I365 Q365">
    <cfRule type="cellIs" dxfId="8813" priority="10357" stopIfTrue="1" operator="notEqual">
      <formula>H365</formula>
    </cfRule>
  </conditionalFormatting>
  <conditionalFormatting sqref="O365 M365 G365 K365 S365 U365 W365 I365 Q365">
    <cfRule type="cellIs" dxfId="8812" priority="10356" stopIfTrue="1" operator="notEqual">
      <formula>H365</formula>
    </cfRule>
  </conditionalFormatting>
  <conditionalFormatting sqref="O363 M363 G363 K363 S363 U363 W363 I363 Q363">
    <cfRule type="cellIs" dxfId="8811" priority="10355" stopIfTrue="1" operator="notEqual">
      <formula>H363</formula>
    </cfRule>
  </conditionalFormatting>
  <conditionalFormatting sqref="O367 M367 G367 K367 S367 U367 W367 I367 Q367">
    <cfRule type="cellIs" dxfId="8810" priority="10354" stopIfTrue="1" operator="notEqual">
      <formula>H367</formula>
    </cfRule>
  </conditionalFormatting>
  <conditionalFormatting sqref="O356 M356 G356 K356 S356 U356 W356 I356 Q356">
    <cfRule type="cellIs" dxfId="8809" priority="10353" stopIfTrue="1" operator="notEqual">
      <formula>H356</formula>
    </cfRule>
  </conditionalFormatting>
  <conditionalFormatting sqref="O357:O360 M357:M360 G357:G360 K357:K360 S357:S360 U357:U360 W357:W360 I357:I360 Q357:Q360">
    <cfRule type="cellIs" dxfId="8808" priority="10352" stopIfTrue="1" operator="notEqual">
      <formula>H357</formula>
    </cfRule>
  </conditionalFormatting>
  <conditionalFormatting sqref="O358 M358 G358 K358 S358 U358 W358 I358 Q358">
    <cfRule type="cellIs" dxfId="8807" priority="10351" stopIfTrue="1" operator="notEqual">
      <formula>H358</formula>
    </cfRule>
  </conditionalFormatting>
  <conditionalFormatting sqref="O359 M359 G359 K359 S359 U359 W359 I359 Q359">
    <cfRule type="cellIs" dxfId="8806" priority="10350" stopIfTrue="1" operator="notEqual">
      <formula>H359</formula>
    </cfRule>
  </conditionalFormatting>
  <conditionalFormatting sqref="O360 M360 G360 K360 S360 U360 W360 I360 Q360">
    <cfRule type="cellIs" dxfId="8805" priority="10349" stopIfTrue="1" operator="notEqual">
      <formula>H360</formula>
    </cfRule>
  </conditionalFormatting>
  <conditionalFormatting sqref="O361 M361 G361 K361 S361 U361 W361 I361 Q361">
    <cfRule type="cellIs" dxfId="8804" priority="10348" stopIfTrue="1" operator="notEqual">
      <formula>H361</formula>
    </cfRule>
  </conditionalFormatting>
  <conditionalFormatting sqref="O362 M362 G362 K362 S362 U362 W362 I362 Q362">
    <cfRule type="cellIs" dxfId="8803" priority="10347" stopIfTrue="1" operator="notEqual">
      <formula>H362</formula>
    </cfRule>
  </conditionalFormatting>
  <conditionalFormatting sqref="O363 M363 G363 K363 S363 U363 W363 I363 Q363">
    <cfRule type="cellIs" dxfId="8802" priority="10346" stopIfTrue="1" operator="notEqual">
      <formula>H363</formula>
    </cfRule>
  </conditionalFormatting>
  <conditionalFormatting sqref="O364 M364 G364 K364 S364 U364 W364 I364 Q364">
    <cfRule type="cellIs" dxfId="8801" priority="10345" stopIfTrue="1" operator="notEqual">
      <formula>H364</formula>
    </cfRule>
  </conditionalFormatting>
  <conditionalFormatting sqref="O365 M365 G365 K365 S365 U365 W365 I365 Q365">
    <cfRule type="cellIs" dxfId="8800" priority="10344" stopIfTrue="1" operator="notEqual">
      <formula>H365</formula>
    </cfRule>
  </conditionalFormatting>
  <conditionalFormatting sqref="O366 M366 G366 K366 S366 U366 W366 I366 Q366">
    <cfRule type="cellIs" dxfId="8799" priority="10343" stopIfTrue="1" operator="notEqual">
      <formula>H366</formula>
    </cfRule>
  </conditionalFormatting>
  <conditionalFormatting sqref="O367 M367 G367 K367 S367 U367 W367 I367 Q367">
    <cfRule type="cellIs" dxfId="8798" priority="10342" stopIfTrue="1" operator="notEqual">
      <formula>H367</formula>
    </cfRule>
  </conditionalFormatting>
  <conditionalFormatting sqref="G367:G370">
    <cfRule type="cellIs" dxfId="8797" priority="10341" stopIfTrue="1" operator="notEqual">
      <formula>H367</formula>
    </cfRule>
  </conditionalFormatting>
  <conditionalFormatting sqref="G367">
    <cfRule type="cellIs" dxfId="8796" priority="10340" stopIfTrue="1" operator="notEqual">
      <formula>H367</formula>
    </cfRule>
  </conditionalFormatting>
  <conditionalFormatting sqref="G368">
    <cfRule type="cellIs" dxfId="8795" priority="10339" stopIfTrue="1" operator="notEqual">
      <formula>H368</formula>
    </cfRule>
  </conditionalFormatting>
  <conditionalFormatting sqref="G368">
    <cfRule type="cellIs" dxfId="8794" priority="10338" stopIfTrue="1" operator="notEqual">
      <formula>H368</formula>
    </cfRule>
  </conditionalFormatting>
  <conditionalFormatting sqref="G371:G383">
    <cfRule type="cellIs" dxfId="8793" priority="10337" stopIfTrue="1" operator="notEqual">
      <formula>H371</formula>
    </cfRule>
  </conditionalFormatting>
  <conditionalFormatting sqref="G372">
    <cfRule type="cellIs" dxfId="8792" priority="10336" stopIfTrue="1" operator="notEqual">
      <formula>H372</formula>
    </cfRule>
  </conditionalFormatting>
  <conditionalFormatting sqref="G370">
    <cfRule type="cellIs" dxfId="8791" priority="10335" stopIfTrue="1" operator="notEqual">
      <formula>H370</formula>
    </cfRule>
  </conditionalFormatting>
  <conditionalFormatting sqref="G373">
    <cfRule type="cellIs" dxfId="8790" priority="10334" stopIfTrue="1" operator="notEqual">
      <formula>H373</formula>
    </cfRule>
  </conditionalFormatting>
  <conditionalFormatting sqref="G374">
    <cfRule type="cellIs" dxfId="8789" priority="10333" stopIfTrue="1" operator="notEqual">
      <formula>H374</formula>
    </cfRule>
  </conditionalFormatting>
  <conditionalFormatting sqref="G375">
    <cfRule type="cellIs" dxfId="8788" priority="10332" stopIfTrue="1" operator="notEqual">
      <formula>H375</formula>
    </cfRule>
  </conditionalFormatting>
  <conditionalFormatting sqref="O367 M367 G367 K367 S367 U367 W367 I367 Q367">
    <cfRule type="cellIs" dxfId="8787" priority="10331" stopIfTrue="1" operator="notEqual">
      <formula>H367</formula>
    </cfRule>
  </conditionalFormatting>
  <conditionalFormatting sqref="O368 M368 G368 K368 S368 U368 W368 I368 Q368">
    <cfRule type="cellIs" dxfId="8786" priority="10330" stopIfTrue="1" operator="notEqual">
      <formula>H368</formula>
    </cfRule>
  </conditionalFormatting>
  <conditionalFormatting sqref="O369 M369 G369 K369 S369 U369 W369 I369 Q369">
    <cfRule type="cellIs" dxfId="8785" priority="10329" stopIfTrue="1" operator="notEqual">
      <formula>H369</formula>
    </cfRule>
  </conditionalFormatting>
  <conditionalFormatting sqref="O370 M370 G370 K370 S370 U370 W370 I370 Q370">
    <cfRule type="cellIs" dxfId="8784" priority="10328" stopIfTrue="1" operator="notEqual">
      <formula>H370</formula>
    </cfRule>
  </conditionalFormatting>
  <conditionalFormatting sqref="O371:O383 M371:M383 G371:G383 K371:K383 S371:S383 U371:U383 W371:W383 I371:I383 Q371:Q383">
    <cfRule type="cellIs" dxfId="8783" priority="10327" stopIfTrue="1" operator="notEqual">
      <formula>H371</formula>
    </cfRule>
  </conditionalFormatting>
  <conditionalFormatting sqref="O372 M372 G372 K372 S372 U372 W372 I372 Q372">
    <cfRule type="cellIs" dxfId="8782" priority="10326" stopIfTrue="1" operator="notEqual">
      <formula>H372</formula>
    </cfRule>
  </conditionalFormatting>
  <conditionalFormatting sqref="O373 M373 G373 K373 S373 U373 W373 I373 Q373">
    <cfRule type="cellIs" dxfId="8781" priority="10325" stopIfTrue="1" operator="notEqual">
      <formula>H373</formula>
    </cfRule>
  </conditionalFormatting>
  <conditionalFormatting sqref="O374 M374 G374 K374 S374 U374 W374 I374 Q374">
    <cfRule type="cellIs" dxfId="8780" priority="10324" stopIfTrue="1" operator="notEqual">
      <formula>H374</formula>
    </cfRule>
  </conditionalFormatting>
  <conditionalFormatting sqref="O375 M375 G375 K375 S375 U375 W375 I375 Q375">
    <cfRule type="cellIs" dxfId="8779" priority="10323" stopIfTrue="1" operator="notEqual">
      <formula>H375</formula>
    </cfRule>
  </conditionalFormatting>
  <conditionalFormatting sqref="G367">
    <cfRule type="cellIs" dxfId="8778" priority="10322" stopIfTrue="1" operator="notEqual">
      <formula>H367</formula>
    </cfRule>
  </conditionalFormatting>
  <conditionalFormatting sqref="G368">
    <cfRule type="cellIs" dxfId="8777" priority="10321" stopIfTrue="1" operator="notEqual">
      <formula>H368</formula>
    </cfRule>
  </conditionalFormatting>
  <conditionalFormatting sqref="G369">
    <cfRule type="cellIs" dxfId="8776" priority="10320" stopIfTrue="1" operator="notEqual">
      <formula>H369</formula>
    </cfRule>
  </conditionalFormatting>
  <conditionalFormatting sqref="G370">
    <cfRule type="cellIs" dxfId="8775" priority="10319" stopIfTrue="1" operator="notEqual">
      <formula>H370</formula>
    </cfRule>
  </conditionalFormatting>
  <conditionalFormatting sqref="G371:G383">
    <cfRule type="cellIs" dxfId="8774" priority="10318" stopIfTrue="1" operator="notEqual">
      <formula>H371</formula>
    </cfRule>
  </conditionalFormatting>
  <conditionalFormatting sqref="G372">
    <cfRule type="cellIs" dxfId="8773" priority="10317" stopIfTrue="1" operator="notEqual">
      <formula>H372</formula>
    </cfRule>
  </conditionalFormatting>
  <conditionalFormatting sqref="G373">
    <cfRule type="cellIs" dxfId="8772" priority="10316" stopIfTrue="1" operator="notEqual">
      <formula>H373</formula>
    </cfRule>
  </conditionalFormatting>
  <conditionalFormatting sqref="G374">
    <cfRule type="cellIs" dxfId="8771" priority="10315" stopIfTrue="1" operator="notEqual">
      <formula>H374</formula>
    </cfRule>
  </conditionalFormatting>
  <conditionalFormatting sqref="G375">
    <cfRule type="cellIs" dxfId="8770" priority="10314" stopIfTrue="1" operator="notEqual">
      <formula>H375</formula>
    </cfRule>
  </conditionalFormatting>
  <conditionalFormatting sqref="G367">
    <cfRule type="cellIs" dxfId="8769" priority="10313" stopIfTrue="1" operator="notEqual">
      <formula>H367</formula>
    </cfRule>
  </conditionalFormatting>
  <conditionalFormatting sqref="G367">
    <cfRule type="cellIs" dxfId="8768" priority="10312" stopIfTrue="1" operator="notEqual">
      <formula>H367</formula>
    </cfRule>
  </conditionalFormatting>
  <conditionalFormatting sqref="G367">
    <cfRule type="cellIs" dxfId="8767" priority="10311" stopIfTrue="1" operator="notEqual">
      <formula>H367</formula>
    </cfRule>
  </conditionalFormatting>
  <conditionalFormatting sqref="G367">
    <cfRule type="cellIs" dxfId="8766" priority="10310" stopIfTrue="1" operator="notEqual">
      <formula>H367</formula>
    </cfRule>
  </conditionalFormatting>
  <conditionalFormatting sqref="G367">
    <cfRule type="cellIs" dxfId="8765" priority="10309" stopIfTrue="1" operator="notEqual">
      <formula>H367</formula>
    </cfRule>
  </conditionalFormatting>
  <conditionalFormatting sqref="G367">
    <cfRule type="cellIs" dxfId="8764" priority="10308" stopIfTrue="1" operator="notEqual">
      <formula>H367</formula>
    </cfRule>
  </conditionalFormatting>
  <conditionalFormatting sqref="O367 M367 G367 K367 S367 U367 W367 I367 Q367">
    <cfRule type="cellIs" dxfId="8763" priority="10307" stopIfTrue="1" operator="notEqual">
      <formula>H367</formula>
    </cfRule>
  </conditionalFormatting>
  <conditionalFormatting sqref="O368 M368 G368 K368 S368 U368 W368 I368 Q368">
    <cfRule type="cellIs" dxfId="8762" priority="10306" stopIfTrue="1" operator="notEqual">
      <formula>H368</formula>
    </cfRule>
  </conditionalFormatting>
  <conditionalFormatting sqref="O369 M369 G369 K369 S369 U369 W369 I369 Q369">
    <cfRule type="cellIs" dxfId="8761" priority="10305" stopIfTrue="1" operator="notEqual">
      <formula>H369</formula>
    </cfRule>
  </conditionalFormatting>
  <conditionalFormatting sqref="O370 M370 G370 K370 S370 U370 W370 I370 Q370">
    <cfRule type="cellIs" dxfId="8760" priority="10304" stopIfTrue="1" operator="notEqual">
      <formula>H370</formula>
    </cfRule>
  </conditionalFormatting>
  <conditionalFormatting sqref="O371:O383 M371:M383 G371:G383 K371:K383 S371:S383 U371:U383 W371:W383 I371:I383 Q371:Q383">
    <cfRule type="cellIs" dxfId="8759" priority="10303" stopIfTrue="1" operator="notEqual">
      <formula>H371</formula>
    </cfRule>
  </conditionalFormatting>
  <conditionalFormatting sqref="O372 M372 G372 K372 S372 U372 W372 I372 Q372">
    <cfRule type="cellIs" dxfId="8758" priority="10302" stopIfTrue="1" operator="notEqual">
      <formula>H372</formula>
    </cfRule>
  </conditionalFormatting>
  <conditionalFormatting sqref="O373 M373 G373 K373 S373 U373 W373 I373 Q373">
    <cfRule type="cellIs" dxfId="8757" priority="10301" stopIfTrue="1" operator="notEqual">
      <formula>H373</formula>
    </cfRule>
  </conditionalFormatting>
  <conditionalFormatting sqref="O374 M374 G374 K374 S374 U374 W374 I374 Q374">
    <cfRule type="cellIs" dxfId="8756" priority="10300" stopIfTrue="1" operator="notEqual">
      <formula>H374</formula>
    </cfRule>
  </conditionalFormatting>
  <conditionalFormatting sqref="O375 M375 G375 K375 S375 U375 W375 I375 Q375">
    <cfRule type="cellIs" dxfId="8755" priority="10299" stopIfTrue="1" operator="notEqual">
      <formula>H375</formula>
    </cfRule>
  </conditionalFormatting>
  <conditionalFormatting sqref="O367 M367 G367 K367 S367 U367 W367 I367 Q367">
    <cfRule type="cellIs" dxfId="8754" priority="10298" stopIfTrue="1" operator="notEqual">
      <formula>H367</formula>
    </cfRule>
  </conditionalFormatting>
  <conditionalFormatting sqref="O368 M368 G368 K368 S368 U368 W368 I368 Q368">
    <cfRule type="cellIs" dxfId="8753" priority="10297" stopIfTrue="1" operator="notEqual">
      <formula>H368</formula>
    </cfRule>
  </conditionalFormatting>
  <conditionalFormatting sqref="O369 M369 G369 K369 S369 U369 W369 I369 Q369">
    <cfRule type="cellIs" dxfId="8752" priority="10296" stopIfTrue="1" operator="notEqual">
      <formula>H369</formula>
    </cfRule>
  </conditionalFormatting>
  <conditionalFormatting sqref="O367 M367 G367 K367 S367 U367 W367 I367 Q367">
    <cfRule type="cellIs" dxfId="8751" priority="10295" stopIfTrue="1" operator="notEqual">
      <formula>H367</formula>
    </cfRule>
  </conditionalFormatting>
  <conditionalFormatting sqref="O370 M370 G370 K370 S370 U370 W370 I370 Q370">
    <cfRule type="cellIs" dxfId="8750" priority="10294" stopIfTrue="1" operator="notEqual">
      <formula>H370</formula>
    </cfRule>
  </conditionalFormatting>
  <conditionalFormatting sqref="O371:O383 M371:M383 G371:G383 K371:K383 S371:S383 U371:U383 W371:W383 I371:I383 Q371:Q383">
    <cfRule type="cellIs" dxfId="8749" priority="10293" stopIfTrue="1" operator="notEqual">
      <formula>H371</formula>
    </cfRule>
  </conditionalFormatting>
  <conditionalFormatting sqref="O372 M372 G372 K372 S372 U372 W372 I372 Q372">
    <cfRule type="cellIs" dxfId="8748" priority="10292" stopIfTrue="1" operator="notEqual">
      <formula>H372</formula>
    </cfRule>
  </conditionalFormatting>
  <conditionalFormatting sqref="O373 M373 G373 K373 S373 U373 W373 I373 Q373">
    <cfRule type="cellIs" dxfId="8747" priority="10291" stopIfTrue="1" operator="notEqual">
      <formula>H373</formula>
    </cfRule>
  </conditionalFormatting>
  <conditionalFormatting sqref="O374 M374 G374 K374 S374 U374 W374 I374 Q374">
    <cfRule type="cellIs" dxfId="8746" priority="10290" stopIfTrue="1" operator="notEqual">
      <formula>H374</formula>
    </cfRule>
  </conditionalFormatting>
  <conditionalFormatting sqref="O375 M375 G375 K375 S375 U375 W375 I375 Q375">
    <cfRule type="cellIs" dxfId="8745" priority="10289" stopIfTrue="1" operator="notEqual">
      <formula>H375</formula>
    </cfRule>
  </conditionalFormatting>
  <conditionalFormatting sqref="G370:G383">
    <cfRule type="cellIs" dxfId="8744" priority="10288" stopIfTrue="1" operator="notEqual">
      <formula>H370</formula>
    </cfRule>
  </conditionalFormatting>
  <conditionalFormatting sqref="G356">
    <cfRule type="cellIs" dxfId="8743" priority="10287" stopIfTrue="1" operator="notEqual">
      <formula>H356</formula>
    </cfRule>
  </conditionalFormatting>
  <conditionalFormatting sqref="G357:G360">
    <cfRule type="cellIs" dxfId="8742" priority="10286" stopIfTrue="1" operator="notEqual">
      <formula>H357</formula>
    </cfRule>
  </conditionalFormatting>
  <conditionalFormatting sqref="G358">
    <cfRule type="cellIs" dxfId="8741" priority="10285" stopIfTrue="1" operator="notEqual">
      <formula>H358</formula>
    </cfRule>
  </conditionalFormatting>
  <conditionalFormatting sqref="G359">
    <cfRule type="cellIs" dxfId="8740" priority="10284" stopIfTrue="1" operator="notEqual">
      <formula>H359</formula>
    </cfRule>
  </conditionalFormatting>
  <conditionalFormatting sqref="G360">
    <cfRule type="cellIs" dxfId="8739" priority="10283" stopIfTrue="1" operator="notEqual">
      <formula>H360</formula>
    </cfRule>
  </conditionalFormatting>
  <conditionalFormatting sqref="G361">
    <cfRule type="cellIs" dxfId="8738" priority="10282" stopIfTrue="1" operator="notEqual">
      <formula>H361</formula>
    </cfRule>
  </conditionalFormatting>
  <conditionalFormatting sqref="G362">
    <cfRule type="cellIs" dxfId="8737" priority="10281" stopIfTrue="1" operator="notEqual">
      <formula>H362</formula>
    </cfRule>
  </conditionalFormatting>
  <conditionalFormatting sqref="G363">
    <cfRule type="cellIs" dxfId="8736" priority="10280" stopIfTrue="1" operator="notEqual">
      <formula>H363</formula>
    </cfRule>
  </conditionalFormatting>
  <conditionalFormatting sqref="G364">
    <cfRule type="cellIs" dxfId="8735" priority="10279" stopIfTrue="1" operator="notEqual">
      <formula>H364</formula>
    </cfRule>
  </conditionalFormatting>
  <conditionalFormatting sqref="G365">
    <cfRule type="cellIs" dxfId="8734" priority="10278" stopIfTrue="1" operator="notEqual">
      <formula>H365</formula>
    </cfRule>
  </conditionalFormatting>
  <conditionalFormatting sqref="G366">
    <cfRule type="cellIs" dxfId="8733" priority="10277" stopIfTrue="1" operator="notEqual">
      <formula>H366</formula>
    </cfRule>
  </conditionalFormatting>
  <conditionalFormatting sqref="G367">
    <cfRule type="cellIs" dxfId="8732" priority="10276" stopIfTrue="1" operator="notEqual">
      <formula>H367</formula>
    </cfRule>
  </conditionalFormatting>
  <conditionalFormatting sqref="G368">
    <cfRule type="cellIs" dxfId="8731" priority="10275" stopIfTrue="1" operator="notEqual">
      <formula>H368</formula>
    </cfRule>
  </conditionalFormatting>
  <conditionalFormatting sqref="G369">
    <cfRule type="cellIs" dxfId="8730" priority="10274" stopIfTrue="1" operator="notEqual">
      <formula>H369</formula>
    </cfRule>
  </conditionalFormatting>
  <conditionalFormatting sqref="G356">
    <cfRule type="cellIs" dxfId="8729" priority="10273" stopIfTrue="1" operator="notEqual">
      <formula>H356</formula>
    </cfRule>
  </conditionalFormatting>
  <conditionalFormatting sqref="G356">
    <cfRule type="cellIs" dxfId="8728" priority="10272" stopIfTrue="1" operator="notEqual">
      <formula>H356</formula>
    </cfRule>
  </conditionalFormatting>
  <conditionalFormatting sqref="G356">
    <cfRule type="cellIs" dxfId="8727" priority="10271" stopIfTrue="1" operator="notEqual">
      <formula>H356</formula>
    </cfRule>
  </conditionalFormatting>
  <conditionalFormatting sqref="G356">
    <cfRule type="cellIs" dxfId="8726" priority="10270" stopIfTrue="1" operator="notEqual">
      <formula>H356</formula>
    </cfRule>
  </conditionalFormatting>
  <conditionalFormatting sqref="G356">
    <cfRule type="cellIs" dxfId="8725" priority="10269" stopIfTrue="1" operator="notEqual">
      <formula>H356</formula>
    </cfRule>
  </conditionalFormatting>
  <conditionalFormatting sqref="G356">
    <cfRule type="cellIs" dxfId="8724" priority="10268" stopIfTrue="1" operator="notEqual">
      <formula>H356</formula>
    </cfRule>
  </conditionalFormatting>
  <conditionalFormatting sqref="G372">
    <cfRule type="cellIs" dxfId="8723" priority="10267" stopIfTrue="1" operator="notEqual">
      <formula>H372</formula>
    </cfRule>
  </conditionalFormatting>
  <conditionalFormatting sqref="G373">
    <cfRule type="cellIs" dxfId="8722" priority="10266" stopIfTrue="1" operator="notEqual">
      <formula>H373</formula>
    </cfRule>
  </conditionalFormatting>
  <conditionalFormatting sqref="G373">
    <cfRule type="cellIs" dxfId="8721" priority="10265" stopIfTrue="1" operator="notEqual">
      <formula>H373</formula>
    </cfRule>
  </conditionalFormatting>
  <conditionalFormatting sqref="G371:G383">
    <cfRule type="cellIs" dxfId="8720" priority="10264" stopIfTrue="1" operator="notEqual">
      <formula>H371</formula>
    </cfRule>
  </conditionalFormatting>
  <conditionalFormatting sqref="G375">
    <cfRule type="cellIs" dxfId="8719" priority="10263" stopIfTrue="1" operator="notEqual">
      <formula>H375</formula>
    </cfRule>
  </conditionalFormatting>
  <conditionalFormatting sqref="O366:O383 M366:M383 G366:G383 K366:K383 S366:S383 U366:U383 W366:W383 I366:I383 Q366:Q383">
    <cfRule type="cellIs" dxfId="8718" priority="10262" stopIfTrue="1" operator="notEqual">
      <formula>H366</formula>
    </cfRule>
  </conditionalFormatting>
  <conditionalFormatting sqref="O356 M356 G356 K356 S356 U356 W356 I356 Q356">
    <cfRule type="cellIs" dxfId="8717" priority="10261" stopIfTrue="1" operator="notEqual">
      <formula>H356</formula>
    </cfRule>
  </conditionalFormatting>
  <conditionalFormatting sqref="O357:O360 M357:M360 G357:G360 K357:K360 S357:S360 U357:U360 W357:W360 I357:I360 Q357:Q360">
    <cfRule type="cellIs" dxfId="8716" priority="10260" stopIfTrue="1" operator="notEqual">
      <formula>H357</formula>
    </cfRule>
  </conditionalFormatting>
  <conditionalFormatting sqref="O358 M358 G358 K358 S358 U358 W358 I358 Q358">
    <cfRule type="cellIs" dxfId="8715" priority="10259" stopIfTrue="1" operator="notEqual">
      <formula>H358</formula>
    </cfRule>
  </conditionalFormatting>
  <conditionalFormatting sqref="O359 M359 G359 K359 S359 U359 W359 I359 Q359">
    <cfRule type="cellIs" dxfId="8714" priority="10258" stopIfTrue="1" operator="notEqual">
      <formula>H359</formula>
    </cfRule>
  </conditionalFormatting>
  <conditionalFormatting sqref="O360 M360 G360 K360 S360 U360 W360 I360 Q360">
    <cfRule type="cellIs" dxfId="8713" priority="10257" stopIfTrue="1" operator="notEqual">
      <formula>H360</formula>
    </cfRule>
  </conditionalFormatting>
  <conditionalFormatting sqref="O361 M361 G361 K361 S361 U361 W361 I361 Q361">
    <cfRule type="cellIs" dxfId="8712" priority="10256" stopIfTrue="1" operator="notEqual">
      <formula>H361</formula>
    </cfRule>
  </conditionalFormatting>
  <conditionalFormatting sqref="O362 M362 G362 K362 S362 U362 W362 I362 Q362">
    <cfRule type="cellIs" dxfId="8711" priority="10255" stopIfTrue="1" operator="notEqual">
      <formula>H362</formula>
    </cfRule>
  </conditionalFormatting>
  <conditionalFormatting sqref="O363 M363 G363 K363 S363 U363 W363 I363 Q363">
    <cfRule type="cellIs" dxfId="8710" priority="10254" stopIfTrue="1" operator="notEqual">
      <formula>H363</formula>
    </cfRule>
  </conditionalFormatting>
  <conditionalFormatting sqref="O364 M364 G364 K364 S364 U364 W364 I364 Q364">
    <cfRule type="cellIs" dxfId="8709" priority="10253" stopIfTrue="1" operator="notEqual">
      <formula>H364</formula>
    </cfRule>
  </conditionalFormatting>
  <conditionalFormatting sqref="O365 M365 G365 K365 S365 U365 W365 I365 Q365">
    <cfRule type="cellIs" dxfId="8708" priority="10252" stopIfTrue="1" operator="notEqual">
      <formula>H365</formula>
    </cfRule>
  </conditionalFormatting>
  <conditionalFormatting sqref="O368 M368 G368 K368 S368 U368 W368 I368 Q368">
    <cfRule type="cellIs" dxfId="8707" priority="10251" stopIfTrue="1" operator="notEqual">
      <formula>H368</formula>
    </cfRule>
  </conditionalFormatting>
  <conditionalFormatting sqref="O369 M369 G369 K369 S369 U369 W369 I369 Q369">
    <cfRule type="cellIs" dxfId="8706" priority="10250" stopIfTrue="1" operator="notEqual">
      <formula>H369</formula>
    </cfRule>
  </conditionalFormatting>
  <conditionalFormatting sqref="O369 M369 G369 K369 S369 U369 W369 I369 Q369">
    <cfRule type="cellIs" dxfId="8705" priority="10249" stopIfTrue="1" operator="notEqual">
      <formula>H369</formula>
    </cfRule>
  </conditionalFormatting>
  <conditionalFormatting sqref="O367 M367 G367 K367 S367 U367 W367 I367 Q367">
    <cfRule type="cellIs" dxfId="8704" priority="10248" stopIfTrue="1" operator="notEqual">
      <formula>H367</formula>
    </cfRule>
  </conditionalFormatting>
  <conditionalFormatting sqref="O372 M372 G372 K372 S372 U372 W372 I372 Q372">
    <cfRule type="cellIs" dxfId="8703" priority="10247" stopIfTrue="1" operator="notEqual">
      <formula>H372</formula>
    </cfRule>
  </conditionalFormatting>
  <conditionalFormatting sqref="O373 M373 G373 K373 S373 U373 W373 I373 Q373">
    <cfRule type="cellIs" dxfId="8702" priority="10246" stopIfTrue="1" operator="notEqual">
      <formula>H373</formula>
    </cfRule>
  </conditionalFormatting>
  <conditionalFormatting sqref="O371:O383 M371:M383 G371:G383 K371:K383 S371:S383 U371:U383 W371:W383 I371:I383 Q371:Q383">
    <cfRule type="cellIs" dxfId="8701" priority="10245" stopIfTrue="1" operator="notEqual">
      <formula>H371</formula>
    </cfRule>
  </conditionalFormatting>
  <conditionalFormatting sqref="O374 M374 G374 K374 S374 U374 W374 I374 Q374">
    <cfRule type="cellIs" dxfId="8700" priority="10244" stopIfTrue="1" operator="notEqual">
      <formula>H374</formula>
    </cfRule>
  </conditionalFormatting>
  <conditionalFormatting sqref="O375 M375 G375 K375 S375 U375 W375 I375 Q375">
    <cfRule type="cellIs" dxfId="8699" priority="10243" stopIfTrue="1" operator="notEqual">
      <formula>H375</formula>
    </cfRule>
  </conditionalFormatting>
  <conditionalFormatting sqref="O356 M356 G356 K356 S356 U356 W356 I356 Q356">
    <cfRule type="cellIs" dxfId="8698" priority="10242" stopIfTrue="1" operator="notEqual">
      <formula>H356</formula>
    </cfRule>
  </conditionalFormatting>
  <conditionalFormatting sqref="O357:O360 M357:M360 G357:G360 K357:K360 S357:S360 U357:U360 W357:W360 I357:I360 Q357:Q360">
    <cfRule type="cellIs" dxfId="8697" priority="10241" stopIfTrue="1" operator="notEqual">
      <formula>H357</formula>
    </cfRule>
  </conditionalFormatting>
  <conditionalFormatting sqref="O358 M358 G358 K358 S358 U358 W358 I358 Q358">
    <cfRule type="cellIs" dxfId="8696" priority="10240" stopIfTrue="1" operator="notEqual">
      <formula>H358</formula>
    </cfRule>
  </conditionalFormatting>
  <conditionalFormatting sqref="O356 M356 G356 K356 S356 U356 W356 I356 Q356">
    <cfRule type="cellIs" dxfId="8695" priority="10239" stopIfTrue="1" operator="notEqual">
      <formula>H356</formula>
    </cfRule>
  </conditionalFormatting>
  <conditionalFormatting sqref="O359 M359 G359 K359 S359 U359 W359 I359 Q359">
    <cfRule type="cellIs" dxfId="8694" priority="10238" stopIfTrue="1" operator="notEqual">
      <formula>H359</formula>
    </cfRule>
  </conditionalFormatting>
  <conditionalFormatting sqref="O360 M360 G360 K360 S360 U360 W360 I360 Q360">
    <cfRule type="cellIs" dxfId="8693" priority="10237" stopIfTrue="1" operator="notEqual">
      <formula>H360</formula>
    </cfRule>
  </conditionalFormatting>
  <conditionalFormatting sqref="O361 M361 G361 K361 S361 U361 W361 I361 Q361">
    <cfRule type="cellIs" dxfId="8692" priority="10236" stopIfTrue="1" operator="notEqual">
      <formula>H361</formula>
    </cfRule>
  </conditionalFormatting>
  <conditionalFormatting sqref="O362 M362 G362 K362 S362 U362 W362 I362 Q362">
    <cfRule type="cellIs" dxfId="8691" priority="10235" stopIfTrue="1" operator="notEqual">
      <formula>H362</formula>
    </cfRule>
  </conditionalFormatting>
  <conditionalFormatting sqref="O363 M363 G363 K363 S363 U363 W363 I363 Q363">
    <cfRule type="cellIs" dxfId="8690" priority="10234" stopIfTrue="1" operator="notEqual">
      <formula>H363</formula>
    </cfRule>
  </conditionalFormatting>
  <conditionalFormatting sqref="O364 M364 G364 K364 S364 U364 W364 I364 Q364">
    <cfRule type="cellIs" dxfId="8689" priority="10233" stopIfTrue="1" operator="notEqual">
      <formula>H364</formula>
    </cfRule>
  </conditionalFormatting>
  <conditionalFormatting sqref="O365 M365 G365 K365 S365 U365 W365 I365 Q365">
    <cfRule type="cellIs" dxfId="8688" priority="10232" stopIfTrue="1" operator="notEqual">
      <formula>H365</formula>
    </cfRule>
  </conditionalFormatting>
  <conditionalFormatting sqref="O366 M366 G366 K366 S366 U366 W366 I366 Q366">
    <cfRule type="cellIs" dxfId="8687" priority="10231" stopIfTrue="1" operator="notEqual">
      <formula>H366</formula>
    </cfRule>
  </conditionalFormatting>
  <conditionalFormatting sqref="O367 M367 G367 K367 S367 U367 W367 I367 Q367">
    <cfRule type="cellIs" dxfId="8686" priority="10230" stopIfTrue="1" operator="notEqual">
      <formula>H367</formula>
    </cfRule>
  </conditionalFormatting>
  <conditionalFormatting sqref="O368 M368 G368 K368 S368 U368 W368 I368 Q368">
    <cfRule type="cellIs" dxfId="8685" priority="10229" stopIfTrue="1" operator="notEqual">
      <formula>H368</formula>
    </cfRule>
  </conditionalFormatting>
  <conditionalFormatting sqref="O369 M369 G369 K369 S369 U369 W369 I369 Q369">
    <cfRule type="cellIs" dxfId="8684" priority="10228" stopIfTrue="1" operator="notEqual">
      <formula>H369</formula>
    </cfRule>
  </conditionalFormatting>
  <conditionalFormatting sqref="O370 M370 G370 K370 S370 U370 W370 I370 Q370">
    <cfRule type="cellIs" dxfId="8683" priority="10227" stopIfTrue="1" operator="notEqual">
      <formula>H370</formula>
    </cfRule>
  </conditionalFormatting>
  <conditionalFormatting sqref="O371:O383 M371:M383 G371:G383 K371:K383 S371:S383 U371:U383 W371:W383 I371:I383 Q371:Q383">
    <cfRule type="cellIs" dxfId="8682" priority="10226" stopIfTrue="1" operator="notEqual">
      <formula>H371</formula>
    </cfRule>
  </conditionalFormatting>
  <conditionalFormatting sqref="G372">
    <cfRule type="cellIs" dxfId="8681" priority="10225" stopIfTrue="1" operator="notEqual">
      <formula>H372</formula>
    </cfRule>
  </conditionalFormatting>
  <conditionalFormatting sqref="G373">
    <cfRule type="cellIs" dxfId="8680" priority="10224" stopIfTrue="1" operator="notEqual">
      <formula>H373</formula>
    </cfRule>
  </conditionalFormatting>
  <conditionalFormatting sqref="G374">
    <cfRule type="cellIs" dxfId="8679" priority="10223" stopIfTrue="1" operator="notEqual">
      <formula>H374</formula>
    </cfRule>
  </conditionalFormatting>
  <conditionalFormatting sqref="G375">
    <cfRule type="cellIs" dxfId="8678" priority="10222" stopIfTrue="1" operator="notEqual">
      <formula>H375</formula>
    </cfRule>
  </conditionalFormatting>
  <conditionalFormatting sqref="G372">
    <cfRule type="cellIs" dxfId="8677" priority="10221" stopIfTrue="1" operator="notEqual">
      <formula>H372</formula>
    </cfRule>
  </conditionalFormatting>
  <conditionalFormatting sqref="G372">
    <cfRule type="cellIs" dxfId="8676" priority="10220" stopIfTrue="1" operator="notEqual">
      <formula>H372</formula>
    </cfRule>
  </conditionalFormatting>
  <conditionalFormatting sqref="G372">
    <cfRule type="cellIs" dxfId="8675" priority="10219" stopIfTrue="1" operator="notEqual">
      <formula>H372</formula>
    </cfRule>
  </conditionalFormatting>
  <conditionalFormatting sqref="G372">
    <cfRule type="cellIs" dxfId="8674" priority="10218" stopIfTrue="1" operator="notEqual">
      <formula>H372</formula>
    </cfRule>
  </conditionalFormatting>
  <conditionalFormatting sqref="G372">
    <cfRule type="cellIs" dxfId="8673" priority="10217" stopIfTrue="1" operator="notEqual">
      <formula>H372</formula>
    </cfRule>
  </conditionalFormatting>
  <conditionalFormatting sqref="G372">
    <cfRule type="cellIs" dxfId="8672" priority="10216" stopIfTrue="1" operator="notEqual">
      <formula>H372</formula>
    </cfRule>
  </conditionalFormatting>
  <conditionalFormatting sqref="O372 M372 G372 K372 S372 U372 W372 I372 Q372">
    <cfRule type="cellIs" dxfId="8671" priority="10215" stopIfTrue="1" operator="notEqual">
      <formula>H372</formula>
    </cfRule>
  </conditionalFormatting>
  <conditionalFormatting sqref="O373 M373 G373 K373 S373 U373 W373 I373 Q373">
    <cfRule type="cellIs" dxfId="8670" priority="10214" stopIfTrue="1" operator="notEqual">
      <formula>H373</formula>
    </cfRule>
  </conditionalFormatting>
  <conditionalFormatting sqref="O374 M374 G374 K374 S374 U374 W374 I374 Q374">
    <cfRule type="cellIs" dxfId="8669" priority="10213" stopIfTrue="1" operator="notEqual">
      <formula>H374</formula>
    </cfRule>
  </conditionalFormatting>
  <conditionalFormatting sqref="O375 M375 G375 K375 S375 U375 W375 I375 Q375">
    <cfRule type="cellIs" dxfId="8668" priority="10212" stopIfTrue="1" operator="notEqual">
      <formula>H375</formula>
    </cfRule>
  </conditionalFormatting>
  <conditionalFormatting sqref="O372 M372 G372 K372 S372 U372 W372 I372 Q372">
    <cfRule type="cellIs" dxfId="8667" priority="10211" stopIfTrue="1" operator="notEqual">
      <formula>H372</formula>
    </cfRule>
  </conditionalFormatting>
  <conditionalFormatting sqref="O373 M373 G373 K373 S373 U373 W373 I373 Q373">
    <cfRule type="cellIs" dxfId="8666" priority="10210" stopIfTrue="1" operator="notEqual">
      <formula>H373</formula>
    </cfRule>
  </conditionalFormatting>
  <conditionalFormatting sqref="O374 M374 G374 K374 S374 U374 W374 I374 Q374">
    <cfRule type="cellIs" dxfId="8665" priority="10209" stopIfTrue="1" operator="notEqual">
      <formula>H374</formula>
    </cfRule>
  </conditionalFormatting>
  <conditionalFormatting sqref="O372 M372 G372 K372 S372 U372 W372 I372 Q372">
    <cfRule type="cellIs" dxfId="8664" priority="10208" stopIfTrue="1" operator="notEqual">
      <formula>H372</formula>
    </cfRule>
  </conditionalFormatting>
  <conditionalFormatting sqref="O375 M375 G375 K375 S375 U375 W375 I375 Q375">
    <cfRule type="cellIs" dxfId="8663" priority="10207" stopIfTrue="1" operator="notEqual">
      <formula>H375</formula>
    </cfRule>
  </conditionalFormatting>
  <conditionalFormatting sqref="O356:O360 M356:M360 G356:G360 K356:K360 S356:S360 U356:U360 W356:W360 I356:I360 Q356:Q360">
    <cfRule type="cellIs" dxfId="8662" priority="10206" stopIfTrue="1" operator="notEqual">
      <formula>H356</formula>
    </cfRule>
  </conditionalFormatting>
  <conditionalFormatting sqref="O357:O360 M357:M360 G357:G360 K357:K360 S357:S360 U357:U360 W357:W360 I357:I360 Q357:Q360">
    <cfRule type="cellIs" dxfId="8661" priority="10205" stopIfTrue="1" operator="notEqual">
      <formula>H357</formula>
    </cfRule>
  </conditionalFormatting>
  <conditionalFormatting sqref="O358 M358 G358 K358 S358 U358 W358 I358 Q358">
    <cfRule type="cellIs" dxfId="8660" priority="10204" stopIfTrue="1" operator="notEqual">
      <formula>H358</formula>
    </cfRule>
  </conditionalFormatting>
  <conditionalFormatting sqref="O358 M358 G358 K358 S358 U358 W358 I358 Q358">
    <cfRule type="cellIs" dxfId="8659" priority="10203" stopIfTrue="1" operator="notEqual">
      <formula>H358</formula>
    </cfRule>
  </conditionalFormatting>
  <conditionalFormatting sqref="O356 M356 G356 K356 S356 U356 W356 I356 Q356">
    <cfRule type="cellIs" dxfId="8658" priority="10202" stopIfTrue="1" operator="notEqual">
      <formula>H356</formula>
    </cfRule>
  </conditionalFormatting>
  <conditionalFormatting sqref="O361 M361 G361 K361 S361 U361 W361 I361 Q361">
    <cfRule type="cellIs" dxfId="8657" priority="10201" stopIfTrue="1" operator="notEqual">
      <formula>H361</formula>
    </cfRule>
  </conditionalFormatting>
  <conditionalFormatting sqref="O362 M362 G362 K362 S362 U362 W362 I362 Q362">
    <cfRule type="cellIs" dxfId="8656" priority="10200" stopIfTrue="1" operator="notEqual">
      <formula>H362</formula>
    </cfRule>
  </conditionalFormatting>
  <conditionalFormatting sqref="O360 M360 G360 K360 S360 U360 W360 I360 Q360">
    <cfRule type="cellIs" dxfId="8655" priority="10199" stopIfTrue="1" operator="notEqual">
      <formula>H360</formula>
    </cfRule>
  </conditionalFormatting>
  <conditionalFormatting sqref="O363 M363 G363 K363 S363 U363 W363 I363 Q363">
    <cfRule type="cellIs" dxfId="8654" priority="10198" stopIfTrue="1" operator="notEqual">
      <formula>H363</formula>
    </cfRule>
  </conditionalFormatting>
  <conditionalFormatting sqref="O364 M364 G364 K364 S364 U364 W364 I364 Q364">
    <cfRule type="cellIs" dxfId="8653" priority="10197" stopIfTrue="1" operator="notEqual">
      <formula>H364</formula>
    </cfRule>
  </conditionalFormatting>
  <conditionalFormatting sqref="O365 M365 G365 K365 S365 U365 W365 I365 Q365">
    <cfRule type="cellIs" dxfId="8652" priority="10196" stopIfTrue="1" operator="notEqual">
      <formula>H365</formula>
    </cfRule>
  </conditionalFormatting>
  <conditionalFormatting sqref="O366 M366 G366 K366 S366 U366 W366 I366 Q366">
    <cfRule type="cellIs" dxfId="8651" priority="10195" stopIfTrue="1" operator="notEqual">
      <formula>H366</formula>
    </cfRule>
  </conditionalFormatting>
  <conditionalFormatting sqref="O367 M367 G367 K367 S367 U367 W367 I367 Q367">
    <cfRule type="cellIs" dxfId="8650" priority="10194" stopIfTrue="1" operator="notEqual">
      <formula>H367</formula>
    </cfRule>
  </conditionalFormatting>
  <conditionalFormatting sqref="O368 M368 G368 K368 S368 U368 W368 I368 Q368">
    <cfRule type="cellIs" dxfId="8649" priority="10193" stopIfTrue="1" operator="notEqual">
      <formula>H368</formula>
    </cfRule>
  </conditionalFormatting>
  <conditionalFormatting sqref="O369 M369 G369 K369 S369 U369 W369 I369 Q369">
    <cfRule type="cellIs" dxfId="8648" priority="10192" stopIfTrue="1" operator="notEqual">
      <formula>H369</formula>
    </cfRule>
  </conditionalFormatting>
  <conditionalFormatting sqref="O370 M370 G370 K370 S370 U370 W370 I370 Q370">
    <cfRule type="cellIs" dxfId="8647" priority="10191" stopIfTrue="1" operator="notEqual">
      <formula>H370</formula>
    </cfRule>
  </conditionalFormatting>
  <conditionalFormatting sqref="O371:O383 M371:M383 G371:G383 K371:K383 S371:S383 U371:U383 W371:W383 I371:I383 Q371:Q383">
    <cfRule type="cellIs" dxfId="8646" priority="10190" stopIfTrue="1" operator="notEqual">
      <formula>H371</formula>
    </cfRule>
  </conditionalFormatting>
  <conditionalFormatting sqref="O372 M372 G372 K372 S372 U372 W372 I372 Q372">
    <cfRule type="cellIs" dxfId="8645" priority="10189" stopIfTrue="1" operator="notEqual">
      <formula>H372</formula>
    </cfRule>
  </conditionalFormatting>
  <conditionalFormatting sqref="O373 M373 G373 K373 S373 U373 W373 I373 Q373">
    <cfRule type="cellIs" dxfId="8644" priority="10188" stopIfTrue="1" operator="notEqual">
      <formula>H373</formula>
    </cfRule>
  </conditionalFormatting>
  <conditionalFormatting sqref="O374 M374 G374 K374 S374 U374 W374 I374 Q374">
    <cfRule type="cellIs" dxfId="8643" priority="10187" stopIfTrue="1" operator="notEqual">
      <formula>H374</formula>
    </cfRule>
  </conditionalFormatting>
  <conditionalFormatting sqref="O375 M375 G375 K375 S375 U375 W375 I375 Q375">
    <cfRule type="cellIs" dxfId="8642" priority="10186" stopIfTrue="1" operator="notEqual">
      <formula>H375</formula>
    </cfRule>
  </conditionalFormatting>
  <conditionalFormatting sqref="G383">
    <cfRule type="cellIs" dxfId="8641" priority="10185" stopIfTrue="1" operator="notEqual">
      <formula>H383</formula>
    </cfRule>
  </conditionalFormatting>
  <conditionalFormatting sqref="G376">
    <cfRule type="cellIs" dxfId="8640" priority="10184" stopIfTrue="1" operator="notEqual">
      <formula>H376</formula>
    </cfRule>
  </conditionalFormatting>
  <conditionalFormatting sqref="G377">
    <cfRule type="cellIs" dxfId="8639" priority="10183" stopIfTrue="1" operator="notEqual">
      <formula>H377</formula>
    </cfRule>
  </conditionalFormatting>
  <conditionalFormatting sqref="G378">
    <cfRule type="cellIs" dxfId="8638" priority="10182" stopIfTrue="1" operator="notEqual">
      <formula>H378</formula>
    </cfRule>
  </conditionalFormatting>
  <conditionalFormatting sqref="G379">
    <cfRule type="cellIs" dxfId="8637" priority="10181" stopIfTrue="1" operator="notEqual">
      <formula>H379</formula>
    </cfRule>
  </conditionalFormatting>
  <conditionalFormatting sqref="G380">
    <cfRule type="cellIs" dxfId="8636" priority="10180" stopIfTrue="1" operator="notEqual">
      <formula>H380</formula>
    </cfRule>
  </conditionalFormatting>
  <conditionalFormatting sqref="G381">
    <cfRule type="cellIs" dxfId="8635" priority="10179" stopIfTrue="1" operator="notEqual">
      <formula>H381</formula>
    </cfRule>
  </conditionalFormatting>
  <conditionalFormatting sqref="G382">
    <cfRule type="cellIs" dxfId="8634" priority="10178" stopIfTrue="1" operator="notEqual">
      <formula>H382</formula>
    </cfRule>
  </conditionalFormatting>
  <conditionalFormatting sqref="G376">
    <cfRule type="cellIs" dxfId="8633" priority="10177" stopIfTrue="1" operator="notEqual">
      <formula>H376</formula>
    </cfRule>
  </conditionalFormatting>
  <conditionalFormatting sqref="G377">
    <cfRule type="cellIs" dxfId="8632" priority="10176" stopIfTrue="1" operator="notEqual">
      <formula>H377</formula>
    </cfRule>
  </conditionalFormatting>
  <conditionalFormatting sqref="G378">
    <cfRule type="cellIs" dxfId="8631" priority="10175" stopIfTrue="1" operator="notEqual">
      <formula>H378</formula>
    </cfRule>
  </conditionalFormatting>
  <conditionalFormatting sqref="G379">
    <cfRule type="cellIs" dxfId="8630" priority="10174" stopIfTrue="1" operator="notEqual">
      <formula>H379</formula>
    </cfRule>
  </conditionalFormatting>
  <conditionalFormatting sqref="G380">
    <cfRule type="cellIs" dxfId="8629" priority="10173" stopIfTrue="1" operator="notEqual">
      <formula>H380</formula>
    </cfRule>
  </conditionalFormatting>
  <conditionalFormatting sqref="G381">
    <cfRule type="cellIs" dxfId="8628" priority="10172" stopIfTrue="1" operator="notEqual">
      <formula>H381</formula>
    </cfRule>
  </conditionalFormatting>
  <conditionalFormatting sqref="G382">
    <cfRule type="cellIs" dxfId="8627" priority="10171" stopIfTrue="1" operator="notEqual">
      <formula>H382</formula>
    </cfRule>
  </conditionalFormatting>
  <conditionalFormatting sqref="O376 M376 G376 K376 S376 U376 W376 I376 Q376">
    <cfRule type="cellIs" dxfId="8626" priority="10170" stopIfTrue="1" operator="notEqual">
      <formula>H376</formula>
    </cfRule>
  </conditionalFormatting>
  <conditionalFormatting sqref="O377 M377 G377 K377 S377 U377 W377 I377 Q377">
    <cfRule type="cellIs" dxfId="8625" priority="10169" stopIfTrue="1" operator="notEqual">
      <formula>H377</formula>
    </cfRule>
  </conditionalFormatting>
  <conditionalFormatting sqref="O378 M378 G378 K378 S378 U378 W378 I378 Q378">
    <cfRule type="cellIs" dxfId="8624" priority="10168" stopIfTrue="1" operator="notEqual">
      <formula>H378</formula>
    </cfRule>
  </conditionalFormatting>
  <conditionalFormatting sqref="O379 M379 G379 K379 S379 U379 W379 I379 Q379">
    <cfRule type="cellIs" dxfId="8623" priority="10167" stopIfTrue="1" operator="notEqual">
      <formula>H379</formula>
    </cfRule>
  </conditionalFormatting>
  <conditionalFormatting sqref="O380 M380 G380 K380 S380 U380 W380 I380 Q380">
    <cfRule type="cellIs" dxfId="8622" priority="10166" stopIfTrue="1" operator="notEqual">
      <formula>H380</formula>
    </cfRule>
  </conditionalFormatting>
  <conditionalFormatting sqref="O381 M381 G381 K381 S381 U381 W381 I381 Q381">
    <cfRule type="cellIs" dxfId="8621" priority="10165" stopIfTrue="1" operator="notEqual">
      <formula>H381</formula>
    </cfRule>
  </conditionalFormatting>
  <conditionalFormatting sqref="G381:G382">
    <cfRule type="cellIs" dxfId="8620" priority="10164" stopIfTrue="1" operator="notEqual">
      <formula>H381</formula>
    </cfRule>
  </conditionalFormatting>
  <conditionalFormatting sqref="G376">
    <cfRule type="cellIs" dxfId="8619" priority="10163" stopIfTrue="1" operator="notEqual">
      <formula>H376</formula>
    </cfRule>
  </conditionalFormatting>
  <conditionalFormatting sqref="G377">
    <cfRule type="cellIs" dxfId="8618" priority="10162" stopIfTrue="1" operator="notEqual">
      <formula>H377</formula>
    </cfRule>
  </conditionalFormatting>
  <conditionalFormatting sqref="G378">
    <cfRule type="cellIs" dxfId="8617" priority="10161" stopIfTrue="1" operator="notEqual">
      <formula>H378</formula>
    </cfRule>
  </conditionalFormatting>
  <conditionalFormatting sqref="G379">
    <cfRule type="cellIs" dxfId="8616" priority="10160" stopIfTrue="1" operator="notEqual">
      <formula>H379</formula>
    </cfRule>
  </conditionalFormatting>
  <conditionalFormatting sqref="G380">
    <cfRule type="cellIs" dxfId="8615" priority="10159" stopIfTrue="1" operator="notEqual">
      <formula>H380</formula>
    </cfRule>
  </conditionalFormatting>
  <conditionalFormatting sqref="G382">
    <cfRule type="cellIs" dxfId="8614" priority="10158" stopIfTrue="1" operator="notEqual">
      <formula>H382</formula>
    </cfRule>
  </conditionalFormatting>
  <conditionalFormatting sqref="O377:O382 M377:M382 G377:G382 K377:K382 S377:S382 U377:U382 W377:W382 I377:I382 Q377:Q382">
    <cfRule type="cellIs" dxfId="8613" priority="10157" stopIfTrue="1" operator="notEqual">
      <formula>H377</formula>
    </cfRule>
  </conditionalFormatting>
  <conditionalFormatting sqref="O376 M376 G376 K376 S376 U376 W376 I376 Q376">
    <cfRule type="cellIs" dxfId="8612" priority="10156" stopIfTrue="1" operator="notEqual">
      <formula>H376</formula>
    </cfRule>
  </conditionalFormatting>
  <conditionalFormatting sqref="O379 M379 G379 K379 S379 U379 W379 I379 Q379">
    <cfRule type="cellIs" dxfId="8611" priority="10155" stopIfTrue="1" operator="notEqual">
      <formula>H379</formula>
    </cfRule>
  </conditionalFormatting>
  <conditionalFormatting sqref="O380 M380 G380 K380 S380 U380 W380 I380 Q380">
    <cfRule type="cellIs" dxfId="8610" priority="10154" stopIfTrue="1" operator="notEqual">
      <formula>H380</formula>
    </cfRule>
  </conditionalFormatting>
  <conditionalFormatting sqref="O380 M380 G380 K380 S380 U380 W380 I380 Q380">
    <cfRule type="cellIs" dxfId="8609" priority="10153" stopIfTrue="1" operator="notEqual">
      <formula>H380</formula>
    </cfRule>
  </conditionalFormatting>
  <conditionalFormatting sqref="O378 M378 G378 K378 S378 U378 W378 I378 Q378">
    <cfRule type="cellIs" dxfId="8608" priority="10152" stopIfTrue="1" operator="notEqual">
      <formula>H378</formula>
    </cfRule>
  </conditionalFormatting>
  <conditionalFormatting sqref="O382 M382 G382 K382 S382 U382 W382 I382 Q382">
    <cfRule type="cellIs" dxfId="8607" priority="10151" stopIfTrue="1" operator="notEqual">
      <formula>H382</formula>
    </cfRule>
  </conditionalFormatting>
  <conditionalFormatting sqref="O376 M376 G376 K376 S376 U376 W376 I376 Q376">
    <cfRule type="cellIs" dxfId="8606" priority="10150" stopIfTrue="1" operator="notEqual">
      <formula>H376</formula>
    </cfRule>
  </conditionalFormatting>
  <conditionalFormatting sqref="O377 M377 G377 K377 S377 U377 W377 I377 Q377">
    <cfRule type="cellIs" dxfId="8605" priority="10149" stopIfTrue="1" operator="notEqual">
      <formula>H377</formula>
    </cfRule>
  </conditionalFormatting>
  <conditionalFormatting sqref="O378 M378 G378 K378 S378 U378 W378 I378 Q378">
    <cfRule type="cellIs" dxfId="8604" priority="10148" stopIfTrue="1" operator="notEqual">
      <formula>H378</formula>
    </cfRule>
  </conditionalFormatting>
  <conditionalFormatting sqref="O379 M379 G379 K379 S379 U379 W379 I379 Q379">
    <cfRule type="cellIs" dxfId="8603" priority="10147" stopIfTrue="1" operator="notEqual">
      <formula>H379</formula>
    </cfRule>
  </conditionalFormatting>
  <conditionalFormatting sqref="O380 M380 G380 K380 S380 U380 W380 I380 Q380">
    <cfRule type="cellIs" dxfId="8602" priority="10146" stopIfTrue="1" operator="notEqual">
      <formula>H380</formula>
    </cfRule>
  </conditionalFormatting>
  <conditionalFormatting sqref="O381 M381 G381 K381 S381 U381 W381 I381 Q381">
    <cfRule type="cellIs" dxfId="8601" priority="10145" stopIfTrue="1" operator="notEqual">
      <formula>H381</formula>
    </cfRule>
  </conditionalFormatting>
  <conditionalFormatting sqref="O382 M382 G382 K382 S382 U382 W382 I382 Q382">
    <cfRule type="cellIs" dxfId="8600" priority="10144" stopIfTrue="1" operator="notEqual">
      <formula>H382</formula>
    </cfRule>
  </conditionalFormatting>
  <conditionalFormatting sqref="G376">
    <cfRule type="cellIs" dxfId="8599" priority="10143" stopIfTrue="1" operator="notEqual">
      <formula>H376</formula>
    </cfRule>
  </conditionalFormatting>
  <conditionalFormatting sqref="G377">
    <cfRule type="cellIs" dxfId="8598" priority="10142" stopIfTrue="1" operator="notEqual">
      <formula>H377</formula>
    </cfRule>
  </conditionalFormatting>
  <conditionalFormatting sqref="G378">
    <cfRule type="cellIs" dxfId="8597" priority="10141" stopIfTrue="1" operator="notEqual">
      <formula>H378</formula>
    </cfRule>
  </conditionalFormatting>
  <conditionalFormatting sqref="G379">
    <cfRule type="cellIs" dxfId="8596" priority="10140" stopIfTrue="1" operator="notEqual">
      <formula>H379</formula>
    </cfRule>
  </conditionalFormatting>
  <conditionalFormatting sqref="G380">
    <cfRule type="cellIs" dxfId="8595" priority="10139" stopIfTrue="1" operator="notEqual">
      <formula>H380</formula>
    </cfRule>
  </conditionalFormatting>
  <conditionalFormatting sqref="G381">
    <cfRule type="cellIs" dxfId="8594" priority="10138" stopIfTrue="1" operator="notEqual">
      <formula>H381</formula>
    </cfRule>
  </conditionalFormatting>
  <conditionalFormatting sqref="G382">
    <cfRule type="cellIs" dxfId="8593" priority="10137" stopIfTrue="1" operator="notEqual">
      <formula>H382</formula>
    </cfRule>
  </conditionalFormatting>
  <conditionalFormatting sqref="G383">
    <cfRule type="cellIs" dxfId="8592" priority="10136" stopIfTrue="1" operator="notEqual">
      <formula>H383</formula>
    </cfRule>
  </conditionalFormatting>
  <conditionalFormatting sqref="G384:G388">
    <cfRule type="cellIs" dxfId="8591" priority="10135" stopIfTrue="1" operator="notEqual">
      <formula>H384</formula>
    </cfRule>
  </conditionalFormatting>
  <conditionalFormatting sqref="G385">
    <cfRule type="cellIs" dxfId="8590" priority="10134" stopIfTrue="1" operator="notEqual">
      <formula>H385</formula>
    </cfRule>
  </conditionalFormatting>
  <conditionalFormatting sqref="G386">
    <cfRule type="cellIs" dxfId="8589" priority="10133" stopIfTrue="1" operator="notEqual">
      <formula>H386</formula>
    </cfRule>
  </conditionalFormatting>
  <conditionalFormatting sqref="G387">
    <cfRule type="cellIs" dxfId="8588" priority="10132" stopIfTrue="1" operator="notEqual">
      <formula>H387</formula>
    </cfRule>
  </conditionalFormatting>
  <conditionalFormatting sqref="G388">
    <cfRule type="cellIs" dxfId="8587" priority="10131" stopIfTrue="1" operator="notEqual">
      <formula>H388</formula>
    </cfRule>
  </conditionalFormatting>
  <conditionalFormatting sqref="G389">
    <cfRule type="cellIs" dxfId="8586" priority="10130" stopIfTrue="1" operator="notEqual">
      <formula>H389</formula>
    </cfRule>
  </conditionalFormatting>
  <conditionalFormatting sqref="G390">
    <cfRule type="cellIs" dxfId="8585" priority="10129" stopIfTrue="1" operator="notEqual">
      <formula>H390</formula>
    </cfRule>
  </conditionalFormatting>
  <conditionalFormatting sqref="G391">
    <cfRule type="cellIs" dxfId="8584" priority="10128" stopIfTrue="1" operator="notEqual">
      <formula>H391</formula>
    </cfRule>
  </conditionalFormatting>
  <conditionalFormatting sqref="G392">
    <cfRule type="cellIs" dxfId="8583" priority="10127" stopIfTrue="1" operator="notEqual">
      <formula>H392</formula>
    </cfRule>
  </conditionalFormatting>
  <conditionalFormatting sqref="G393">
    <cfRule type="cellIs" dxfId="8582" priority="10126" stopIfTrue="1" operator="notEqual">
      <formula>H393</formula>
    </cfRule>
  </conditionalFormatting>
  <conditionalFormatting sqref="G394:G395">
    <cfRule type="cellIs" dxfId="8581" priority="10125" stopIfTrue="1" operator="notEqual">
      <formula>H394</formula>
    </cfRule>
  </conditionalFormatting>
  <conditionalFormatting sqref="G396">
    <cfRule type="cellIs" dxfId="8580" priority="10124" stopIfTrue="1" operator="notEqual">
      <formula>H396</formula>
    </cfRule>
  </conditionalFormatting>
  <conditionalFormatting sqref="O376 M376 G376 K376 S376 U376 W376 I376 Q376">
    <cfRule type="cellIs" dxfId="8579" priority="10123" stopIfTrue="1" operator="notEqual">
      <formula>H376</formula>
    </cfRule>
  </conditionalFormatting>
  <conditionalFormatting sqref="O377 M377 G377 K377 S377 U377 W377 I377 Q377">
    <cfRule type="cellIs" dxfId="8578" priority="10122" stopIfTrue="1" operator="notEqual">
      <formula>H377</formula>
    </cfRule>
  </conditionalFormatting>
  <conditionalFormatting sqref="O378 M378 G378 K378 S378 U378 W378 I378 Q378">
    <cfRule type="cellIs" dxfId="8577" priority="10121" stopIfTrue="1" operator="notEqual">
      <formula>H378</formula>
    </cfRule>
  </conditionalFormatting>
  <conditionalFormatting sqref="O379 M379 G379 K379 S379 U379 W379 I379 Q379">
    <cfRule type="cellIs" dxfId="8576" priority="10120" stopIfTrue="1" operator="notEqual">
      <formula>H379</formula>
    </cfRule>
  </conditionalFormatting>
  <conditionalFormatting sqref="O380 M380 G380 K380 S380 U380 W380 I380 Q380">
    <cfRule type="cellIs" dxfId="8575" priority="10119" stopIfTrue="1" operator="notEqual">
      <formula>H380</formula>
    </cfRule>
  </conditionalFormatting>
  <conditionalFormatting sqref="O381 M381 G381 K381 S381 U381 W381 I381 Q381">
    <cfRule type="cellIs" dxfId="8574" priority="10118" stopIfTrue="1" operator="notEqual">
      <formula>H381</formula>
    </cfRule>
  </conditionalFormatting>
  <conditionalFormatting sqref="O382 M382 G382 K382 S382 U382 W382 I382 Q382">
    <cfRule type="cellIs" dxfId="8573" priority="10117" stopIfTrue="1" operator="notEqual">
      <formula>H382</formula>
    </cfRule>
  </conditionalFormatting>
  <conditionalFormatting sqref="O383 M383 G383 K383 S383 U383 W383 I383 Q383">
    <cfRule type="cellIs" dxfId="8572" priority="10116" stopIfTrue="1" operator="notEqual">
      <formula>H383</formula>
    </cfRule>
  </conditionalFormatting>
  <conditionalFormatting sqref="O384:O388 M384:M388 G384:G388 K384:K388 S384:S388 U384:U388 W384:W388 I384:I388 Q384:Q388">
    <cfRule type="cellIs" dxfId="8571" priority="10115" stopIfTrue="1" operator="notEqual">
      <formula>H384</formula>
    </cfRule>
  </conditionalFormatting>
  <conditionalFormatting sqref="O385 M385 G385 K385 S385 U385 W385 I385 Q385">
    <cfRule type="cellIs" dxfId="8570" priority="10114" stopIfTrue="1" operator="notEqual">
      <formula>H385</formula>
    </cfRule>
  </conditionalFormatting>
  <conditionalFormatting sqref="O386 M386 G386 K386 S386 U386 W386 I386 Q386">
    <cfRule type="cellIs" dxfId="8569" priority="10113" stopIfTrue="1" operator="notEqual">
      <formula>H386</formula>
    </cfRule>
  </conditionalFormatting>
  <conditionalFormatting sqref="G386:G387">
    <cfRule type="cellIs" dxfId="8568" priority="10112" stopIfTrue="1" operator="notEqual">
      <formula>H386</formula>
    </cfRule>
  </conditionalFormatting>
  <conditionalFormatting sqref="G376">
    <cfRule type="cellIs" dxfId="8567" priority="10111" stopIfTrue="1" operator="notEqual">
      <formula>H376</formula>
    </cfRule>
  </conditionalFormatting>
  <conditionalFormatting sqref="G377">
    <cfRule type="cellIs" dxfId="8566" priority="10110" stopIfTrue="1" operator="notEqual">
      <formula>H377</formula>
    </cfRule>
  </conditionalFormatting>
  <conditionalFormatting sqref="G378">
    <cfRule type="cellIs" dxfId="8565" priority="10109" stopIfTrue="1" operator="notEqual">
      <formula>H378</formula>
    </cfRule>
  </conditionalFormatting>
  <conditionalFormatting sqref="G379">
    <cfRule type="cellIs" dxfId="8564" priority="10108" stopIfTrue="1" operator="notEqual">
      <formula>H379</formula>
    </cfRule>
  </conditionalFormatting>
  <conditionalFormatting sqref="G380">
    <cfRule type="cellIs" dxfId="8563" priority="10107" stopIfTrue="1" operator="notEqual">
      <formula>H380</formula>
    </cfRule>
  </conditionalFormatting>
  <conditionalFormatting sqref="G381">
    <cfRule type="cellIs" dxfId="8562" priority="10106" stopIfTrue="1" operator="notEqual">
      <formula>H381</formula>
    </cfRule>
  </conditionalFormatting>
  <conditionalFormatting sqref="G382">
    <cfRule type="cellIs" dxfId="8561" priority="10105" stopIfTrue="1" operator="notEqual">
      <formula>H382</formula>
    </cfRule>
  </conditionalFormatting>
  <conditionalFormatting sqref="G383">
    <cfRule type="cellIs" dxfId="8560" priority="10104" stopIfTrue="1" operator="notEqual">
      <formula>H383</formula>
    </cfRule>
  </conditionalFormatting>
  <conditionalFormatting sqref="G384:G388">
    <cfRule type="cellIs" dxfId="8559" priority="10103" stopIfTrue="1" operator="notEqual">
      <formula>H384</formula>
    </cfRule>
  </conditionalFormatting>
  <conditionalFormatting sqref="G385">
    <cfRule type="cellIs" dxfId="8558" priority="10102" stopIfTrue="1" operator="notEqual">
      <formula>H385</formula>
    </cfRule>
  </conditionalFormatting>
  <conditionalFormatting sqref="G387">
    <cfRule type="cellIs" dxfId="8557" priority="10101" stopIfTrue="1" operator="notEqual">
      <formula>H387</formula>
    </cfRule>
  </conditionalFormatting>
  <conditionalFormatting sqref="O382:O388 M382:M388 G382:G388 K382:K388 S382:S388 U382:U388 W382:W388 I382:I388 Q382:Q388">
    <cfRule type="cellIs" dxfId="8556" priority="10100" stopIfTrue="1" operator="notEqual">
      <formula>H382</formula>
    </cfRule>
  </conditionalFormatting>
  <conditionalFormatting sqref="O376 M376 G376 K376 S376 U376 W376 I376 Q376">
    <cfRule type="cellIs" dxfId="8555" priority="10099" stopIfTrue="1" operator="notEqual">
      <formula>H376</formula>
    </cfRule>
  </conditionalFormatting>
  <conditionalFormatting sqref="O377 M377 G377 K377 S377 U377 W377 I377 Q377">
    <cfRule type="cellIs" dxfId="8554" priority="10098" stopIfTrue="1" operator="notEqual">
      <formula>H377</formula>
    </cfRule>
  </conditionalFormatting>
  <conditionalFormatting sqref="O378 M378 G378 K378 S378 U378 W378 I378 Q378">
    <cfRule type="cellIs" dxfId="8553" priority="10097" stopIfTrue="1" operator="notEqual">
      <formula>H378</formula>
    </cfRule>
  </conditionalFormatting>
  <conditionalFormatting sqref="O379 M379 G379 K379 S379 U379 W379 I379 Q379">
    <cfRule type="cellIs" dxfId="8552" priority="10096" stopIfTrue="1" operator="notEqual">
      <formula>H379</formula>
    </cfRule>
  </conditionalFormatting>
  <conditionalFormatting sqref="O380 M380 G380 K380 S380 U380 W380 I380 Q380">
    <cfRule type="cellIs" dxfId="8551" priority="10095" stopIfTrue="1" operator="notEqual">
      <formula>H380</formula>
    </cfRule>
  </conditionalFormatting>
  <conditionalFormatting sqref="O381 M381 G381 K381 S381 U381 W381 I381 Q381">
    <cfRule type="cellIs" dxfId="8550" priority="10094" stopIfTrue="1" operator="notEqual">
      <formula>H381</formula>
    </cfRule>
  </conditionalFormatting>
  <conditionalFormatting sqref="O384:O388 M384:M388 G384:G388 K384:K388 S384:S388 U384:U388 W384:W388 I384:I388 Q384:Q388">
    <cfRule type="cellIs" dxfId="8549" priority="10093" stopIfTrue="1" operator="notEqual">
      <formula>H384</formula>
    </cfRule>
  </conditionalFormatting>
  <conditionalFormatting sqref="O385 M385 G385 K385 S385 U385 W385 I385 Q385">
    <cfRule type="cellIs" dxfId="8548" priority="10092" stopIfTrue="1" operator="notEqual">
      <formula>H385</formula>
    </cfRule>
  </conditionalFormatting>
  <conditionalFormatting sqref="O385 M385 G385 K385 S385 U385 W385 I385 Q385">
    <cfRule type="cellIs" dxfId="8547" priority="10091" stopIfTrue="1" operator="notEqual">
      <formula>H385</formula>
    </cfRule>
  </conditionalFormatting>
  <conditionalFormatting sqref="O383 M383 G383 K383 S383 U383 W383 I383 Q383">
    <cfRule type="cellIs" dxfId="8546" priority="10090" stopIfTrue="1" operator="notEqual">
      <formula>H383</formula>
    </cfRule>
  </conditionalFormatting>
  <conditionalFormatting sqref="O387 M387 G387 K387 S387 U387 W387 I387 Q387">
    <cfRule type="cellIs" dxfId="8545" priority="10089" stopIfTrue="1" operator="notEqual">
      <formula>H387</formula>
    </cfRule>
  </conditionalFormatting>
  <conditionalFormatting sqref="O376 M376 G376 K376 S376 U376 W376 I376 Q376">
    <cfRule type="cellIs" dxfId="8544" priority="10088" stopIfTrue="1" operator="notEqual">
      <formula>H376</formula>
    </cfRule>
  </conditionalFormatting>
  <conditionalFormatting sqref="O377 M377 G377 K377 S377 U377 W377 I377 Q377">
    <cfRule type="cellIs" dxfId="8543" priority="10087" stopIfTrue="1" operator="notEqual">
      <formula>H377</formula>
    </cfRule>
  </conditionalFormatting>
  <conditionalFormatting sqref="O378 M378 G378 K378 S378 U378 W378 I378 Q378">
    <cfRule type="cellIs" dxfId="8542" priority="10086" stopIfTrue="1" operator="notEqual">
      <formula>H378</formula>
    </cfRule>
  </conditionalFormatting>
  <conditionalFormatting sqref="O379 M379 G379 K379 S379 U379 W379 I379 Q379">
    <cfRule type="cellIs" dxfId="8541" priority="10085" stopIfTrue="1" operator="notEqual">
      <formula>H379</formula>
    </cfRule>
  </conditionalFormatting>
  <conditionalFormatting sqref="O380 M380 G380 K380 S380 U380 W380 I380 Q380">
    <cfRule type="cellIs" dxfId="8540" priority="10084" stopIfTrue="1" operator="notEqual">
      <formula>H380</formula>
    </cfRule>
  </conditionalFormatting>
  <conditionalFormatting sqref="O381 M381 G381 K381 S381 U381 W381 I381 Q381">
    <cfRule type="cellIs" dxfId="8539" priority="10083" stopIfTrue="1" operator="notEqual">
      <formula>H381</formula>
    </cfRule>
  </conditionalFormatting>
  <conditionalFormatting sqref="O382 M382 G382 K382 S382 U382 W382 I382 Q382">
    <cfRule type="cellIs" dxfId="8538" priority="10082" stopIfTrue="1" operator="notEqual">
      <formula>H382</formula>
    </cfRule>
  </conditionalFormatting>
  <conditionalFormatting sqref="O383 M383 G383 K383 S383 U383 W383 I383 Q383">
    <cfRule type="cellIs" dxfId="8537" priority="10081" stopIfTrue="1" operator="notEqual">
      <formula>H383</formula>
    </cfRule>
  </conditionalFormatting>
  <conditionalFormatting sqref="O384:O388 M384:M388 G384:G388 K384:K388 S384:S388 U384:U388 W384:W388 I384:I388 Q384:Q388">
    <cfRule type="cellIs" dxfId="8536" priority="10080" stopIfTrue="1" operator="notEqual">
      <formula>H384</formula>
    </cfRule>
  </conditionalFormatting>
  <conditionalFormatting sqref="O385 M385 G385 K385 S385 U385 W385 I385 Q385">
    <cfRule type="cellIs" dxfId="8535" priority="10079" stopIfTrue="1" operator="notEqual">
      <formula>H385</formula>
    </cfRule>
  </conditionalFormatting>
  <conditionalFormatting sqref="O386 M386 G386 K386 S386 U386 W386 I386 Q386">
    <cfRule type="cellIs" dxfId="8534" priority="10078" stopIfTrue="1" operator="notEqual">
      <formula>H386</formula>
    </cfRule>
  </conditionalFormatting>
  <conditionalFormatting sqref="O387 M387 G387 K387 S387 U387 W387 I387 Q387">
    <cfRule type="cellIs" dxfId="8533" priority="10077" stopIfTrue="1" operator="notEqual">
      <formula>H387</formula>
    </cfRule>
  </conditionalFormatting>
  <conditionalFormatting sqref="G387:G390">
    <cfRule type="cellIs" dxfId="8532" priority="10076" stopIfTrue="1" operator="notEqual">
      <formula>H387</formula>
    </cfRule>
  </conditionalFormatting>
  <conditionalFormatting sqref="G387">
    <cfRule type="cellIs" dxfId="8531" priority="10075" stopIfTrue="1" operator="notEqual">
      <formula>H387</formula>
    </cfRule>
  </conditionalFormatting>
  <conditionalFormatting sqref="G388">
    <cfRule type="cellIs" dxfId="8530" priority="10074" stopIfTrue="1" operator="notEqual">
      <formula>H388</formula>
    </cfRule>
  </conditionalFormatting>
  <conditionalFormatting sqref="G388">
    <cfRule type="cellIs" dxfId="8529" priority="10073" stopIfTrue="1" operator="notEqual">
      <formula>H388</formula>
    </cfRule>
  </conditionalFormatting>
  <conditionalFormatting sqref="G391">
    <cfRule type="cellIs" dxfId="8528" priority="10072" stopIfTrue="1" operator="notEqual">
      <formula>H391</formula>
    </cfRule>
  </conditionalFormatting>
  <conditionalFormatting sqref="G392">
    <cfRule type="cellIs" dxfId="8527" priority="10071" stopIfTrue="1" operator="notEqual">
      <formula>H392</formula>
    </cfRule>
  </conditionalFormatting>
  <conditionalFormatting sqref="G390">
    <cfRule type="cellIs" dxfId="8526" priority="10070" stopIfTrue="1" operator="notEqual">
      <formula>H390</formula>
    </cfRule>
  </conditionalFormatting>
  <conditionalFormatting sqref="G393">
    <cfRule type="cellIs" dxfId="8525" priority="10069" stopIfTrue="1" operator="notEqual">
      <formula>H393</formula>
    </cfRule>
  </conditionalFormatting>
  <conditionalFormatting sqref="G394:G395">
    <cfRule type="cellIs" dxfId="8524" priority="10068" stopIfTrue="1" operator="notEqual">
      <formula>H394</formula>
    </cfRule>
  </conditionalFormatting>
  <conditionalFormatting sqref="G396">
    <cfRule type="cellIs" dxfId="8523" priority="10067" stopIfTrue="1" operator="notEqual">
      <formula>H396</formula>
    </cfRule>
  </conditionalFormatting>
  <conditionalFormatting sqref="O387 M387 G387 K387 S387 U387 W387 I387 Q387">
    <cfRule type="cellIs" dxfId="8522" priority="10066" stopIfTrue="1" operator="notEqual">
      <formula>H387</formula>
    </cfRule>
  </conditionalFormatting>
  <conditionalFormatting sqref="O388 M388 G388 K388 S388 U388 W388 I388 Q388">
    <cfRule type="cellIs" dxfId="8521" priority="10065" stopIfTrue="1" operator="notEqual">
      <formula>H388</formula>
    </cfRule>
  </conditionalFormatting>
  <conditionalFormatting sqref="O389 M389 G389 K389 S389 U389 W389 I389 Q389">
    <cfRule type="cellIs" dxfId="8520" priority="10064" stopIfTrue="1" operator="notEqual">
      <formula>H389</formula>
    </cfRule>
  </conditionalFormatting>
  <conditionalFormatting sqref="O390 M390 G390 K390 S390 U390 W390 I390 Q390">
    <cfRule type="cellIs" dxfId="8519" priority="10063" stopIfTrue="1" operator="notEqual">
      <formula>H390</formula>
    </cfRule>
  </conditionalFormatting>
  <conditionalFormatting sqref="O391 M391 G391 K391 S391 U391 W391 I391 Q391">
    <cfRule type="cellIs" dxfId="8518" priority="10062" stopIfTrue="1" operator="notEqual">
      <formula>H391</formula>
    </cfRule>
  </conditionalFormatting>
  <conditionalFormatting sqref="O392 M392 G392 K392 S392 U392 W392 I392 Q392">
    <cfRule type="cellIs" dxfId="8517" priority="10061" stopIfTrue="1" operator="notEqual">
      <formula>H392</formula>
    </cfRule>
  </conditionalFormatting>
  <conditionalFormatting sqref="O393 M393 G393 K393 S393 U393 W393 I393 Q393">
    <cfRule type="cellIs" dxfId="8516" priority="10060" stopIfTrue="1" operator="notEqual">
      <formula>H393</formula>
    </cfRule>
  </conditionalFormatting>
  <conditionalFormatting sqref="O394:O395 M394:M395 G394:G395 K394:K395 S394:S395 U394:U395 W394:W395 I394:I395 Q394:Q395">
    <cfRule type="cellIs" dxfId="8515" priority="10059" stopIfTrue="1" operator="notEqual">
      <formula>H394</formula>
    </cfRule>
  </conditionalFormatting>
  <conditionalFormatting sqref="O396 M396 G396 K396 S396 U396 W396 I396 Q396">
    <cfRule type="cellIs" dxfId="8514" priority="10058" stopIfTrue="1" operator="notEqual">
      <formula>H396</formula>
    </cfRule>
  </conditionalFormatting>
  <conditionalFormatting sqref="G387">
    <cfRule type="cellIs" dxfId="8513" priority="10057" stopIfTrue="1" operator="notEqual">
      <formula>H387</formula>
    </cfRule>
  </conditionalFormatting>
  <conditionalFormatting sqref="G388">
    <cfRule type="cellIs" dxfId="8512" priority="10056" stopIfTrue="1" operator="notEqual">
      <formula>H388</formula>
    </cfRule>
  </conditionalFormatting>
  <conditionalFormatting sqref="G389">
    <cfRule type="cellIs" dxfId="8511" priority="10055" stopIfTrue="1" operator="notEqual">
      <formula>H389</formula>
    </cfRule>
  </conditionalFormatting>
  <conditionalFormatting sqref="G390">
    <cfRule type="cellIs" dxfId="8510" priority="10054" stopIfTrue="1" operator="notEqual">
      <formula>H390</formula>
    </cfRule>
  </conditionalFormatting>
  <conditionalFormatting sqref="G391">
    <cfRule type="cellIs" dxfId="8509" priority="10053" stopIfTrue="1" operator="notEqual">
      <formula>H391</formula>
    </cfRule>
  </conditionalFormatting>
  <conditionalFormatting sqref="G392">
    <cfRule type="cellIs" dxfId="8508" priority="10052" stopIfTrue="1" operator="notEqual">
      <formula>H392</formula>
    </cfRule>
  </conditionalFormatting>
  <conditionalFormatting sqref="G393">
    <cfRule type="cellIs" dxfId="8507" priority="10051" stopIfTrue="1" operator="notEqual">
      <formula>H393</formula>
    </cfRule>
  </conditionalFormatting>
  <conditionalFormatting sqref="G394:G395">
    <cfRule type="cellIs" dxfId="8506" priority="10050" stopIfTrue="1" operator="notEqual">
      <formula>H394</formula>
    </cfRule>
  </conditionalFormatting>
  <conditionalFormatting sqref="G396">
    <cfRule type="cellIs" dxfId="8505" priority="10049" stopIfTrue="1" operator="notEqual">
      <formula>H396</formula>
    </cfRule>
  </conditionalFormatting>
  <conditionalFormatting sqref="G387">
    <cfRule type="cellIs" dxfId="8504" priority="10048" stopIfTrue="1" operator="notEqual">
      <formula>H387</formula>
    </cfRule>
  </conditionalFormatting>
  <conditionalFormatting sqref="G387">
    <cfRule type="cellIs" dxfId="8503" priority="10047" stopIfTrue="1" operator="notEqual">
      <formula>H387</formula>
    </cfRule>
  </conditionalFormatting>
  <conditionalFormatting sqref="G387">
    <cfRule type="cellIs" dxfId="8502" priority="10046" stopIfTrue="1" operator="notEqual">
      <formula>H387</formula>
    </cfRule>
  </conditionalFormatting>
  <conditionalFormatting sqref="G387">
    <cfRule type="cellIs" dxfId="8501" priority="10045" stopIfTrue="1" operator="notEqual">
      <formula>H387</formula>
    </cfRule>
  </conditionalFormatting>
  <conditionalFormatting sqref="G387">
    <cfRule type="cellIs" dxfId="8500" priority="10044" stopIfTrue="1" operator="notEqual">
      <formula>H387</formula>
    </cfRule>
  </conditionalFormatting>
  <conditionalFormatting sqref="G387">
    <cfRule type="cellIs" dxfId="8499" priority="10043" stopIfTrue="1" operator="notEqual">
      <formula>H387</formula>
    </cfRule>
  </conditionalFormatting>
  <conditionalFormatting sqref="O387 M387 G387 K387 S387 U387 W387 I387 Q387">
    <cfRule type="cellIs" dxfId="8498" priority="10042" stopIfTrue="1" operator="notEqual">
      <formula>H387</formula>
    </cfRule>
  </conditionalFormatting>
  <conditionalFormatting sqref="O388 M388 G388 K388 S388 U388 W388 I388 Q388">
    <cfRule type="cellIs" dxfId="8497" priority="10041" stopIfTrue="1" operator="notEqual">
      <formula>H388</formula>
    </cfRule>
  </conditionalFormatting>
  <conditionalFormatting sqref="O389 M389 G389 K389 S389 U389 W389 I389 Q389">
    <cfRule type="cellIs" dxfId="8496" priority="10040" stopIfTrue="1" operator="notEqual">
      <formula>H389</formula>
    </cfRule>
  </conditionalFormatting>
  <conditionalFormatting sqref="O390 M390 G390 K390 S390 U390 W390 I390 Q390">
    <cfRule type="cellIs" dxfId="8495" priority="10039" stopIfTrue="1" operator="notEqual">
      <formula>H390</formula>
    </cfRule>
  </conditionalFormatting>
  <conditionalFormatting sqref="O391 M391 G391 K391 S391 U391 W391 I391 Q391">
    <cfRule type="cellIs" dxfId="8494" priority="10038" stopIfTrue="1" operator="notEqual">
      <formula>H391</formula>
    </cfRule>
  </conditionalFormatting>
  <conditionalFormatting sqref="O392 M392 G392 K392 S392 U392 W392 I392 Q392">
    <cfRule type="cellIs" dxfId="8493" priority="10037" stopIfTrue="1" operator="notEqual">
      <formula>H392</formula>
    </cfRule>
  </conditionalFormatting>
  <conditionalFormatting sqref="O393 M393 G393 K393 S393 U393 W393 I393 Q393">
    <cfRule type="cellIs" dxfId="8492" priority="10036" stopIfTrue="1" operator="notEqual">
      <formula>H393</formula>
    </cfRule>
  </conditionalFormatting>
  <conditionalFormatting sqref="O394:O395 M394:M395 G394:G395 K394:K395 S394:S395 U394:U395 W394:W395 I394:I395 Q394:Q395">
    <cfRule type="cellIs" dxfId="8491" priority="10035" stopIfTrue="1" operator="notEqual">
      <formula>H394</formula>
    </cfRule>
  </conditionalFormatting>
  <conditionalFormatting sqref="O396 M396 G396 K396 S396 U396 W396 I396 Q396">
    <cfRule type="cellIs" dxfId="8490" priority="10034" stopIfTrue="1" operator="notEqual">
      <formula>H396</formula>
    </cfRule>
  </conditionalFormatting>
  <conditionalFormatting sqref="O387 M387 G387 K387 S387 U387 W387 I387 Q387">
    <cfRule type="cellIs" dxfId="8489" priority="10033" stopIfTrue="1" operator="notEqual">
      <formula>H387</formula>
    </cfRule>
  </conditionalFormatting>
  <conditionalFormatting sqref="O388 M388 G388 K388 S388 U388 W388 I388 Q388">
    <cfRule type="cellIs" dxfId="8488" priority="10032" stopIfTrue="1" operator="notEqual">
      <formula>H388</formula>
    </cfRule>
  </conditionalFormatting>
  <conditionalFormatting sqref="O389 M389 G389 K389 S389 U389 W389 I389 Q389">
    <cfRule type="cellIs" dxfId="8487" priority="10031" stopIfTrue="1" operator="notEqual">
      <formula>H389</formula>
    </cfRule>
  </conditionalFormatting>
  <conditionalFormatting sqref="O387 M387 G387 K387 S387 U387 W387 I387 Q387">
    <cfRule type="cellIs" dxfId="8486" priority="10030" stopIfTrue="1" operator="notEqual">
      <formula>H387</formula>
    </cfRule>
  </conditionalFormatting>
  <conditionalFormatting sqref="O390 M390 G390 K390 S390 U390 W390 I390 Q390">
    <cfRule type="cellIs" dxfId="8485" priority="10029" stopIfTrue="1" operator="notEqual">
      <formula>H390</formula>
    </cfRule>
  </conditionalFormatting>
  <conditionalFormatting sqref="O391 M391 G391 K391 S391 U391 W391 I391 Q391">
    <cfRule type="cellIs" dxfId="8484" priority="10028" stopIfTrue="1" operator="notEqual">
      <formula>H391</formula>
    </cfRule>
  </conditionalFormatting>
  <conditionalFormatting sqref="O392 M392 G392 K392 S392 U392 W392 I392 Q392">
    <cfRule type="cellIs" dxfId="8483" priority="10027" stopIfTrue="1" operator="notEqual">
      <formula>H392</formula>
    </cfRule>
  </conditionalFormatting>
  <conditionalFormatting sqref="O393 M393 G393 K393 S393 U393 W393 I393 Q393">
    <cfRule type="cellIs" dxfId="8482" priority="10026" stopIfTrue="1" operator="notEqual">
      <formula>H393</formula>
    </cfRule>
  </conditionalFormatting>
  <conditionalFormatting sqref="O394:O395 M394:M395 G394:G395 K394:K395 S394:S395 U394:U395 W394:W395 I394:I395 Q394:Q395">
    <cfRule type="cellIs" dxfId="8481" priority="10025" stopIfTrue="1" operator="notEqual">
      <formula>H394</formula>
    </cfRule>
  </conditionalFormatting>
  <conditionalFormatting sqref="O396 M396 G396 K396 S396 U396 W396 I396 Q396">
    <cfRule type="cellIs" dxfId="8480" priority="10024" stopIfTrue="1" operator="notEqual">
      <formula>H396</formula>
    </cfRule>
  </conditionalFormatting>
  <conditionalFormatting sqref="G390:G396">
    <cfRule type="cellIs" dxfId="8479" priority="10023" stopIfTrue="1" operator="notEqual">
      <formula>H390</formula>
    </cfRule>
  </conditionalFormatting>
  <conditionalFormatting sqref="G376">
    <cfRule type="cellIs" dxfId="8478" priority="10022" stopIfTrue="1" operator="notEqual">
      <formula>H376</formula>
    </cfRule>
  </conditionalFormatting>
  <conditionalFormatting sqref="G377">
    <cfRule type="cellIs" dxfId="8477" priority="10021" stopIfTrue="1" operator="notEqual">
      <formula>H377</formula>
    </cfRule>
  </conditionalFormatting>
  <conditionalFormatting sqref="G378">
    <cfRule type="cellIs" dxfId="8476" priority="10020" stopIfTrue="1" operator="notEqual">
      <formula>H378</formula>
    </cfRule>
  </conditionalFormatting>
  <conditionalFormatting sqref="G379">
    <cfRule type="cellIs" dxfId="8475" priority="10019" stopIfTrue="1" operator="notEqual">
      <formula>H379</formula>
    </cfRule>
  </conditionalFormatting>
  <conditionalFormatting sqref="G380">
    <cfRule type="cellIs" dxfId="8474" priority="10018" stopIfTrue="1" operator="notEqual">
      <formula>H380</formula>
    </cfRule>
  </conditionalFormatting>
  <conditionalFormatting sqref="G381">
    <cfRule type="cellIs" dxfId="8473" priority="10017" stopIfTrue="1" operator="notEqual">
      <formula>H381</formula>
    </cfRule>
  </conditionalFormatting>
  <conditionalFormatting sqref="G382">
    <cfRule type="cellIs" dxfId="8472" priority="10016" stopIfTrue="1" operator="notEqual">
      <formula>H382</formula>
    </cfRule>
  </conditionalFormatting>
  <conditionalFormatting sqref="G383">
    <cfRule type="cellIs" dxfId="8471" priority="10015" stopIfTrue="1" operator="notEqual">
      <formula>H383</formula>
    </cfRule>
  </conditionalFormatting>
  <conditionalFormatting sqref="G384:G388">
    <cfRule type="cellIs" dxfId="8470" priority="10014" stopIfTrue="1" operator="notEqual">
      <formula>H384</formula>
    </cfRule>
  </conditionalFormatting>
  <conditionalFormatting sqref="G385">
    <cfRule type="cellIs" dxfId="8469" priority="10013" stopIfTrue="1" operator="notEqual">
      <formula>H385</formula>
    </cfRule>
  </conditionalFormatting>
  <conditionalFormatting sqref="G386">
    <cfRule type="cellIs" dxfId="8468" priority="10012" stopIfTrue="1" operator="notEqual">
      <formula>H386</formula>
    </cfRule>
  </conditionalFormatting>
  <conditionalFormatting sqref="G387">
    <cfRule type="cellIs" dxfId="8467" priority="10011" stopIfTrue="1" operator="notEqual">
      <formula>H387</formula>
    </cfRule>
  </conditionalFormatting>
  <conditionalFormatting sqref="G388">
    <cfRule type="cellIs" dxfId="8466" priority="10010" stopIfTrue="1" operator="notEqual">
      <formula>H388</formula>
    </cfRule>
  </conditionalFormatting>
  <conditionalFormatting sqref="G389">
    <cfRule type="cellIs" dxfId="8465" priority="10009" stopIfTrue="1" operator="notEqual">
      <formula>H389</formula>
    </cfRule>
  </conditionalFormatting>
  <conditionalFormatting sqref="G376">
    <cfRule type="cellIs" dxfId="8464" priority="10008" stopIfTrue="1" operator="notEqual">
      <formula>H376</formula>
    </cfRule>
  </conditionalFormatting>
  <conditionalFormatting sqref="G376">
    <cfRule type="cellIs" dxfId="8463" priority="10007" stopIfTrue="1" operator="notEqual">
      <formula>H376</formula>
    </cfRule>
  </conditionalFormatting>
  <conditionalFormatting sqref="G376">
    <cfRule type="cellIs" dxfId="8462" priority="10006" stopIfTrue="1" operator="notEqual">
      <formula>H376</formula>
    </cfRule>
  </conditionalFormatting>
  <conditionalFormatting sqref="G376">
    <cfRule type="cellIs" dxfId="8461" priority="10005" stopIfTrue="1" operator="notEqual">
      <formula>H376</formula>
    </cfRule>
  </conditionalFormatting>
  <conditionalFormatting sqref="G376">
    <cfRule type="cellIs" dxfId="8460" priority="10004" stopIfTrue="1" operator="notEqual">
      <formula>H376</formula>
    </cfRule>
  </conditionalFormatting>
  <conditionalFormatting sqref="G376">
    <cfRule type="cellIs" dxfId="8459" priority="10003" stopIfTrue="1" operator="notEqual">
      <formula>H376</formula>
    </cfRule>
  </conditionalFormatting>
  <conditionalFormatting sqref="G392">
    <cfRule type="cellIs" dxfId="8458" priority="10002" stopIfTrue="1" operator="notEqual">
      <formula>H392</formula>
    </cfRule>
  </conditionalFormatting>
  <conditionalFormatting sqref="G393">
    <cfRule type="cellIs" dxfId="8457" priority="10001" stopIfTrue="1" operator="notEqual">
      <formula>H393</formula>
    </cfRule>
  </conditionalFormatting>
  <conditionalFormatting sqref="G393">
    <cfRule type="cellIs" dxfId="8456" priority="10000" stopIfTrue="1" operator="notEqual">
      <formula>H393</formula>
    </cfRule>
  </conditionalFormatting>
  <conditionalFormatting sqref="G391">
    <cfRule type="cellIs" dxfId="8455" priority="9999" stopIfTrue="1" operator="notEqual">
      <formula>H391</formula>
    </cfRule>
  </conditionalFormatting>
  <conditionalFormatting sqref="G396">
    <cfRule type="cellIs" dxfId="8454" priority="9998" stopIfTrue="1" operator="notEqual">
      <formula>H396</formula>
    </cfRule>
  </conditionalFormatting>
  <conditionalFormatting sqref="O386:O391 M386:M391 G386:G391 K386:K391 S386:S391 U386:U391 W386:W391 I386:I391 Q386:Q391">
    <cfRule type="cellIs" dxfId="8453" priority="9997" stopIfTrue="1" operator="notEqual">
      <formula>H386</formula>
    </cfRule>
  </conditionalFormatting>
  <conditionalFormatting sqref="O376 M376 G376 K376 S376 U376 W376 I376 Q376">
    <cfRule type="cellIs" dxfId="8452" priority="9996" stopIfTrue="1" operator="notEqual">
      <formula>H376</formula>
    </cfRule>
  </conditionalFormatting>
  <conditionalFormatting sqref="O377 M377 G377 K377 S377 U377 W377 I377 Q377">
    <cfRule type="cellIs" dxfId="8451" priority="9995" stopIfTrue="1" operator="notEqual">
      <formula>H377</formula>
    </cfRule>
  </conditionalFormatting>
  <conditionalFormatting sqref="O378 M378 G378 K378 S378 U378 W378 I378 Q378">
    <cfRule type="cellIs" dxfId="8450" priority="9994" stopIfTrue="1" operator="notEqual">
      <formula>H378</formula>
    </cfRule>
  </conditionalFormatting>
  <conditionalFormatting sqref="O379 M379 G379 K379 S379 U379 W379 I379 Q379">
    <cfRule type="cellIs" dxfId="8449" priority="9993" stopIfTrue="1" operator="notEqual">
      <formula>H379</formula>
    </cfRule>
  </conditionalFormatting>
  <conditionalFormatting sqref="O380 M380 G380 K380 S380 U380 W380 I380 Q380">
    <cfRule type="cellIs" dxfId="8448" priority="9992" stopIfTrue="1" operator="notEqual">
      <formula>H380</formula>
    </cfRule>
  </conditionalFormatting>
  <conditionalFormatting sqref="O381 M381 G381 K381 S381 U381 W381 I381 Q381">
    <cfRule type="cellIs" dxfId="8447" priority="9991" stopIfTrue="1" operator="notEqual">
      <formula>H381</formula>
    </cfRule>
  </conditionalFormatting>
  <conditionalFormatting sqref="O382 M382 G382 K382 S382 U382 W382 I382 Q382">
    <cfRule type="cellIs" dxfId="8446" priority="9990" stopIfTrue="1" operator="notEqual">
      <formula>H382</formula>
    </cfRule>
  </conditionalFormatting>
  <conditionalFormatting sqref="O383 M383 G383 K383 S383 U383 W383 I383 Q383">
    <cfRule type="cellIs" dxfId="8445" priority="9989" stopIfTrue="1" operator="notEqual">
      <formula>H383</formula>
    </cfRule>
  </conditionalFormatting>
  <conditionalFormatting sqref="O384:O388 M384:M388 G384:G388 K384:K388 S384:S388 U384:U388 W384:W388 I384:I388 Q384:Q388">
    <cfRule type="cellIs" dxfId="8444" priority="9988" stopIfTrue="1" operator="notEqual">
      <formula>H384</formula>
    </cfRule>
  </conditionalFormatting>
  <conditionalFormatting sqref="O385 M385 G385 K385 S385 U385 W385 I385 Q385">
    <cfRule type="cellIs" dxfId="8443" priority="9987" stopIfTrue="1" operator="notEqual">
      <formula>H385</formula>
    </cfRule>
  </conditionalFormatting>
  <conditionalFormatting sqref="O388 M388 G388 K388 S388 U388 W388 I388 Q388">
    <cfRule type="cellIs" dxfId="8442" priority="9986" stopIfTrue="1" operator="notEqual">
      <formula>H388</formula>
    </cfRule>
  </conditionalFormatting>
  <conditionalFormatting sqref="O389 M389 G389 K389 S389 U389 W389 I389 Q389">
    <cfRule type="cellIs" dxfId="8441" priority="9985" stopIfTrue="1" operator="notEqual">
      <formula>H389</formula>
    </cfRule>
  </conditionalFormatting>
  <conditionalFormatting sqref="O389 M389 G389 K389 S389 U389 W389 I389 Q389">
    <cfRule type="cellIs" dxfId="8440" priority="9984" stopIfTrue="1" operator="notEqual">
      <formula>H389</formula>
    </cfRule>
  </conditionalFormatting>
  <conditionalFormatting sqref="O387 M387 G387 K387 S387 U387 W387 I387 Q387">
    <cfRule type="cellIs" dxfId="8439" priority="9983" stopIfTrue="1" operator="notEqual">
      <formula>H387</formula>
    </cfRule>
  </conditionalFormatting>
  <conditionalFormatting sqref="O392 M392 G392 K392 S392 U392 W392 I392 Q392">
    <cfRule type="cellIs" dxfId="8438" priority="9982" stopIfTrue="1" operator="notEqual">
      <formula>H392</formula>
    </cfRule>
  </conditionalFormatting>
  <conditionalFormatting sqref="O393 M393 G393 K393 S393 U393 W393 I393 Q393">
    <cfRule type="cellIs" dxfId="8437" priority="9981" stopIfTrue="1" operator="notEqual">
      <formula>H393</formula>
    </cfRule>
  </conditionalFormatting>
  <conditionalFormatting sqref="O391 M391 G391 K391 S391 U391 W391 I391 Q391">
    <cfRule type="cellIs" dxfId="8436" priority="9980" stopIfTrue="1" operator="notEqual">
      <formula>H391</formula>
    </cfRule>
  </conditionalFormatting>
  <conditionalFormatting sqref="O394:O395 M394:M395 G394:G395 K394:K395 S394:S395 U394:U395 W394:W395 I394:I395 Q394:Q395">
    <cfRule type="cellIs" dxfId="8435" priority="9979" stopIfTrue="1" operator="notEqual">
      <formula>H394</formula>
    </cfRule>
  </conditionalFormatting>
  <conditionalFormatting sqref="O396 M396 G396 K396 S396 U396 W396 I396 Q396">
    <cfRule type="cellIs" dxfId="8434" priority="9978" stopIfTrue="1" operator="notEqual">
      <formula>H396</formula>
    </cfRule>
  </conditionalFormatting>
  <conditionalFormatting sqref="O376 M376 G376 K376 S376 U376 W376 I376 Q376">
    <cfRule type="cellIs" dxfId="8433" priority="9977" stopIfTrue="1" operator="notEqual">
      <formula>H376</formula>
    </cfRule>
  </conditionalFormatting>
  <conditionalFormatting sqref="O377 M377 G377 K377 S377 U377 W377 I377 Q377">
    <cfRule type="cellIs" dxfId="8432" priority="9976" stopIfTrue="1" operator="notEqual">
      <formula>H377</formula>
    </cfRule>
  </conditionalFormatting>
  <conditionalFormatting sqref="O378 M378 G378 K378 S378 U378 W378 I378 Q378">
    <cfRule type="cellIs" dxfId="8431" priority="9975" stopIfTrue="1" operator="notEqual">
      <formula>H378</formula>
    </cfRule>
  </conditionalFormatting>
  <conditionalFormatting sqref="O376 M376 G376 K376 S376 U376 W376 I376 Q376">
    <cfRule type="cellIs" dxfId="8430" priority="9974" stopIfTrue="1" operator="notEqual">
      <formula>H376</formula>
    </cfRule>
  </conditionalFormatting>
  <conditionalFormatting sqref="O379 M379 G379 K379 S379 U379 W379 I379 Q379">
    <cfRule type="cellIs" dxfId="8429" priority="9973" stopIfTrue="1" operator="notEqual">
      <formula>H379</formula>
    </cfRule>
  </conditionalFormatting>
  <conditionalFormatting sqref="O380 M380 G380 K380 S380 U380 W380 I380 Q380">
    <cfRule type="cellIs" dxfId="8428" priority="9972" stopIfTrue="1" operator="notEqual">
      <formula>H380</formula>
    </cfRule>
  </conditionalFormatting>
  <conditionalFormatting sqref="O381 M381 G381 K381 S381 U381 W381 I381 Q381">
    <cfRule type="cellIs" dxfId="8427" priority="9971" stopIfTrue="1" operator="notEqual">
      <formula>H381</formula>
    </cfRule>
  </conditionalFormatting>
  <conditionalFormatting sqref="O382 M382 G382 K382 S382 U382 W382 I382 Q382">
    <cfRule type="cellIs" dxfId="8426" priority="9970" stopIfTrue="1" operator="notEqual">
      <formula>H382</formula>
    </cfRule>
  </conditionalFormatting>
  <conditionalFormatting sqref="O383 M383 G383 K383 S383 U383 W383 I383 Q383">
    <cfRule type="cellIs" dxfId="8425" priority="9969" stopIfTrue="1" operator="notEqual">
      <formula>H383</formula>
    </cfRule>
  </conditionalFormatting>
  <conditionalFormatting sqref="O384:O388 M384:M388 G384:G388 K384:K388 S384:S388 U384:U388 W384:W388 I384:I388 Q384:Q388">
    <cfRule type="cellIs" dxfId="8424" priority="9968" stopIfTrue="1" operator="notEqual">
      <formula>H384</formula>
    </cfRule>
  </conditionalFormatting>
  <conditionalFormatting sqref="O385 M385 G385 K385 S385 U385 W385 I385 Q385">
    <cfRule type="cellIs" dxfId="8423" priority="9967" stopIfTrue="1" operator="notEqual">
      <formula>H385</formula>
    </cfRule>
  </conditionalFormatting>
  <conditionalFormatting sqref="O386 M386 G386 K386 S386 U386 W386 I386 Q386">
    <cfRule type="cellIs" dxfId="8422" priority="9966" stopIfTrue="1" operator="notEqual">
      <formula>H386</formula>
    </cfRule>
  </conditionalFormatting>
  <conditionalFormatting sqref="O387 M387 G387 K387 S387 U387 W387 I387 Q387">
    <cfRule type="cellIs" dxfId="8421" priority="9965" stopIfTrue="1" operator="notEqual">
      <formula>H387</formula>
    </cfRule>
  </conditionalFormatting>
  <conditionalFormatting sqref="O388 M388 G388 K388 S388 U388 W388 I388 Q388">
    <cfRule type="cellIs" dxfId="8420" priority="9964" stopIfTrue="1" operator="notEqual">
      <formula>H388</formula>
    </cfRule>
  </conditionalFormatting>
  <conditionalFormatting sqref="O389 M389 G389 K389 S389 U389 W389 I389 Q389">
    <cfRule type="cellIs" dxfId="8419" priority="9963" stopIfTrue="1" operator="notEqual">
      <formula>H389</formula>
    </cfRule>
  </conditionalFormatting>
  <conditionalFormatting sqref="O390 M390 G390 K390 S390 U390 W390 I390 Q390">
    <cfRule type="cellIs" dxfId="8418" priority="9962" stopIfTrue="1" operator="notEqual">
      <formula>H390</formula>
    </cfRule>
  </conditionalFormatting>
  <conditionalFormatting sqref="O391 M391 G391 K391 S391 U391 W391 I391 Q391">
    <cfRule type="cellIs" dxfId="8417" priority="9961" stopIfTrue="1" operator="notEqual">
      <formula>H391</formula>
    </cfRule>
  </conditionalFormatting>
  <conditionalFormatting sqref="G392">
    <cfRule type="cellIs" dxfId="8416" priority="9960" stopIfTrue="1" operator="notEqual">
      <formula>H392</formula>
    </cfRule>
  </conditionalFormatting>
  <conditionalFormatting sqref="G393">
    <cfRule type="cellIs" dxfId="8415" priority="9959" stopIfTrue="1" operator="notEqual">
      <formula>H393</formula>
    </cfRule>
  </conditionalFormatting>
  <conditionalFormatting sqref="G394:G395">
    <cfRule type="cellIs" dxfId="8414" priority="9958" stopIfTrue="1" operator="notEqual">
      <formula>H394</formula>
    </cfRule>
  </conditionalFormatting>
  <conditionalFormatting sqref="G396">
    <cfRule type="cellIs" dxfId="8413" priority="9957" stopIfTrue="1" operator="notEqual">
      <formula>H396</formula>
    </cfRule>
  </conditionalFormatting>
  <conditionalFormatting sqref="G392">
    <cfRule type="cellIs" dxfId="8412" priority="9956" stopIfTrue="1" operator="notEqual">
      <formula>H392</formula>
    </cfRule>
  </conditionalFormatting>
  <conditionalFormatting sqref="G392">
    <cfRule type="cellIs" dxfId="8411" priority="9955" stopIfTrue="1" operator="notEqual">
      <formula>H392</formula>
    </cfRule>
  </conditionalFormatting>
  <conditionalFormatting sqref="G392">
    <cfRule type="cellIs" dxfId="8410" priority="9954" stopIfTrue="1" operator="notEqual">
      <formula>H392</formula>
    </cfRule>
  </conditionalFormatting>
  <conditionalFormatting sqref="G392">
    <cfRule type="cellIs" dxfId="8409" priority="9953" stopIfTrue="1" operator="notEqual">
      <formula>H392</formula>
    </cfRule>
  </conditionalFormatting>
  <conditionalFormatting sqref="G392">
    <cfRule type="cellIs" dxfId="8408" priority="9952" stopIfTrue="1" operator="notEqual">
      <formula>H392</formula>
    </cfRule>
  </conditionalFormatting>
  <conditionalFormatting sqref="G392">
    <cfRule type="cellIs" dxfId="8407" priority="9951" stopIfTrue="1" operator="notEqual">
      <formula>H392</formula>
    </cfRule>
  </conditionalFormatting>
  <conditionalFormatting sqref="O392 M392 G392 K392 S392 U392 W392 I392 Q392">
    <cfRule type="cellIs" dxfId="8406" priority="9950" stopIfTrue="1" operator="notEqual">
      <formula>H392</formula>
    </cfRule>
  </conditionalFormatting>
  <conditionalFormatting sqref="O393 M393 G393 K393 S393 U393 W393 I393 Q393">
    <cfRule type="cellIs" dxfId="8405" priority="9949" stopIfTrue="1" operator="notEqual">
      <formula>H393</formula>
    </cfRule>
  </conditionalFormatting>
  <conditionalFormatting sqref="O394:O395 M394:M395 G394:G395 K394:K395 S394:S395 U394:U395 W394:W395 I394:I395 Q394:Q395">
    <cfRule type="cellIs" dxfId="8404" priority="9948" stopIfTrue="1" operator="notEqual">
      <formula>H394</formula>
    </cfRule>
  </conditionalFormatting>
  <conditionalFormatting sqref="O396 M396 G396 K396 S396 U396 W396 I396 Q396">
    <cfRule type="cellIs" dxfId="8403" priority="9947" stopIfTrue="1" operator="notEqual">
      <formula>H396</formula>
    </cfRule>
  </conditionalFormatting>
  <conditionalFormatting sqref="O392 M392 G392 K392 S392 U392 W392 I392 Q392">
    <cfRule type="cellIs" dxfId="8402" priority="9946" stopIfTrue="1" operator="notEqual">
      <formula>H392</formula>
    </cfRule>
  </conditionalFormatting>
  <conditionalFormatting sqref="O393 M393 G393 K393 S393 U393 W393 I393 Q393">
    <cfRule type="cellIs" dxfId="8401" priority="9945" stopIfTrue="1" operator="notEqual">
      <formula>H393</formula>
    </cfRule>
  </conditionalFormatting>
  <conditionalFormatting sqref="O394:O395 M394:M395 G394:G395 K394:K395 S394:S395 U394:U395 W394:W395 I394:I395 Q394:Q395">
    <cfRule type="cellIs" dxfId="8400" priority="9944" stopIfTrue="1" operator="notEqual">
      <formula>H394</formula>
    </cfRule>
  </conditionalFormatting>
  <conditionalFormatting sqref="O392 M392 G392 K392 S392 U392 W392 I392 Q392">
    <cfRule type="cellIs" dxfId="8399" priority="9943" stopIfTrue="1" operator="notEqual">
      <formula>H392</formula>
    </cfRule>
  </conditionalFormatting>
  <conditionalFormatting sqref="O396 M396 G396 K396 S396 U396 W396 I396 Q396">
    <cfRule type="cellIs" dxfId="8398" priority="9942" stopIfTrue="1" operator="notEqual">
      <formula>H396</formula>
    </cfRule>
  </conditionalFormatting>
  <conditionalFormatting sqref="O376:O380 M376:M380 G376:G380 K376:K380 S376:S380 U376:U380 W376:W380 I376:I380 Q376:Q380">
    <cfRule type="cellIs" dxfId="8397" priority="9941" stopIfTrue="1" operator="notEqual">
      <formula>H376</formula>
    </cfRule>
  </conditionalFormatting>
  <conditionalFormatting sqref="O377 M377 G377 K377 S377 U377 W377 I377 Q377">
    <cfRule type="cellIs" dxfId="8396" priority="9940" stopIfTrue="1" operator="notEqual">
      <formula>H377</formula>
    </cfRule>
  </conditionalFormatting>
  <conditionalFormatting sqref="O378 M378 G378 K378 S378 U378 W378 I378 Q378">
    <cfRule type="cellIs" dxfId="8395" priority="9939" stopIfTrue="1" operator="notEqual">
      <formula>H378</formula>
    </cfRule>
  </conditionalFormatting>
  <conditionalFormatting sqref="O378 M378 G378 K378 S378 U378 W378 I378 Q378">
    <cfRule type="cellIs" dxfId="8394" priority="9938" stopIfTrue="1" operator="notEqual">
      <formula>H378</formula>
    </cfRule>
  </conditionalFormatting>
  <conditionalFormatting sqref="O376 M376 G376 K376 S376 U376 W376 I376 Q376">
    <cfRule type="cellIs" dxfId="8393" priority="9937" stopIfTrue="1" operator="notEqual">
      <formula>H376</formula>
    </cfRule>
  </conditionalFormatting>
  <conditionalFormatting sqref="O381 M381 G381 K381 S381 U381 W381 I381 Q381">
    <cfRule type="cellIs" dxfId="8392" priority="9936" stopIfTrue="1" operator="notEqual">
      <formula>H381</formula>
    </cfRule>
  </conditionalFormatting>
  <conditionalFormatting sqref="O382 M382 G382 K382 S382 U382 W382 I382 Q382">
    <cfRule type="cellIs" dxfId="8391" priority="9935" stopIfTrue="1" operator="notEqual">
      <formula>H382</formula>
    </cfRule>
  </conditionalFormatting>
  <conditionalFormatting sqref="O380 M380 G380 K380 S380 U380 W380 I380 Q380">
    <cfRule type="cellIs" dxfId="8390" priority="9934" stopIfTrue="1" operator="notEqual">
      <formula>H380</formula>
    </cfRule>
  </conditionalFormatting>
  <conditionalFormatting sqref="O383 M383 G383 K383 S383 U383 W383 I383 Q383">
    <cfRule type="cellIs" dxfId="8389" priority="9933" stopIfTrue="1" operator="notEqual">
      <formula>H383</formula>
    </cfRule>
  </conditionalFormatting>
  <conditionalFormatting sqref="O384:O388 M384:M388 G384:G388 K384:K388 S384:S388 U384:U388 W384:W388 I384:I388 Q384:Q388">
    <cfRule type="cellIs" dxfId="8388" priority="9932" stopIfTrue="1" operator="notEqual">
      <formula>H384</formula>
    </cfRule>
  </conditionalFormatting>
  <conditionalFormatting sqref="O385 M385 G385 K385 S385 U385 W385 I385 Q385">
    <cfRule type="cellIs" dxfId="8387" priority="9931" stopIfTrue="1" operator="notEqual">
      <formula>H385</formula>
    </cfRule>
  </conditionalFormatting>
  <conditionalFormatting sqref="O386 M386 G386 K386 S386 U386 W386 I386 Q386">
    <cfRule type="cellIs" dxfId="8386" priority="9930" stopIfTrue="1" operator="notEqual">
      <formula>H386</formula>
    </cfRule>
  </conditionalFormatting>
  <conditionalFormatting sqref="O387 M387 G387 K387 S387 U387 W387 I387 Q387">
    <cfRule type="cellIs" dxfId="8385" priority="9929" stopIfTrue="1" operator="notEqual">
      <formula>H387</formula>
    </cfRule>
  </conditionalFormatting>
  <conditionalFormatting sqref="O388 M388 G388 K388 S388 U388 W388 I388 Q388">
    <cfRule type="cellIs" dxfId="8384" priority="9928" stopIfTrue="1" operator="notEqual">
      <formula>H388</formula>
    </cfRule>
  </conditionalFormatting>
  <conditionalFormatting sqref="O389 M389 G389 K389 S389 U389 W389 I389 Q389">
    <cfRule type="cellIs" dxfId="8383" priority="9927" stopIfTrue="1" operator="notEqual">
      <formula>H389</formula>
    </cfRule>
  </conditionalFormatting>
  <conditionalFormatting sqref="O390 M390 G390 K390 S390 U390 W390 I390 Q390">
    <cfRule type="cellIs" dxfId="8382" priority="9926" stopIfTrue="1" operator="notEqual">
      <formula>H390</formula>
    </cfRule>
  </conditionalFormatting>
  <conditionalFormatting sqref="O391 M391 G391 K391 S391 U391 W391 I391 Q391">
    <cfRule type="cellIs" dxfId="8381" priority="9925" stopIfTrue="1" operator="notEqual">
      <formula>H391</formula>
    </cfRule>
  </conditionalFormatting>
  <conditionalFormatting sqref="O392 M392 G392 K392 S392 U392 W392 I392 Q392">
    <cfRule type="cellIs" dxfId="8380" priority="9924" stopIfTrue="1" operator="notEqual">
      <formula>H392</formula>
    </cfRule>
  </conditionalFormatting>
  <conditionalFormatting sqref="O393 M393 G393 K393 S393 U393 W393 I393 Q393">
    <cfRule type="cellIs" dxfId="8379" priority="9923" stopIfTrue="1" operator="notEqual">
      <formula>H393</formula>
    </cfRule>
  </conditionalFormatting>
  <conditionalFormatting sqref="O394:O395 M394:M395 G394:G395 K394:K395 S394:S395 U394:U395 W394:W395 I394:I395 Q394:Q395">
    <cfRule type="cellIs" dxfId="8378" priority="9922" stopIfTrue="1" operator="notEqual">
      <formula>H394</formula>
    </cfRule>
  </conditionalFormatting>
  <conditionalFormatting sqref="O396 M396 G396 K396 S396 U396 W396 I396 Q396">
    <cfRule type="cellIs" dxfId="8377" priority="9921" stopIfTrue="1" operator="notEqual">
      <formula>H396</formula>
    </cfRule>
  </conditionalFormatting>
  <conditionalFormatting sqref="G404">
    <cfRule type="cellIs" dxfId="8376" priority="9920" stopIfTrue="1" operator="notEqual">
      <formula>H404</formula>
    </cfRule>
  </conditionalFormatting>
  <conditionalFormatting sqref="G397">
    <cfRule type="cellIs" dxfId="8375" priority="9919" stopIfTrue="1" operator="notEqual">
      <formula>H397</formula>
    </cfRule>
  </conditionalFormatting>
  <conditionalFormatting sqref="G398">
    <cfRule type="cellIs" dxfId="8374" priority="9918" stopIfTrue="1" operator="notEqual">
      <formula>H398</formula>
    </cfRule>
  </conditionalFormatting>
  <conditionalFormatting sqref="G399">
    <cfRule type="cellIs" dxfId="8373" priority="9917" stopIfTrue="1" operator="notEqual">
      <formula>H399</formula>
    </cfRule>
  </conditionalFormatting>
  <conditionalFormatting sqref="G400">
    <cfRule type="cellIs" dxfId="8372" priority="9916" stopIfTrue="1" operator="notEqual">
      <formula>H400</formula>
    </cfRule>
  </conditionalFormatting>
  <conditionalFormatting sqref="G401">
    <cfRule type="cellIs" dxfId="8371" priority="9915" stopIfTrue="1" operator="notEqual">
      <formula>H401</formula>
    </cfRule>
  </conditionalFormatting>
  <conditionalFormatting sqref="G402:G411">
    <cfRule type="cellIs" dxfId="8370" priority="9914" stopIfTrue="1" operator="notEqual">
      <formula>H402</formula>
    </cfRule>
  </conditionalFormatting>
  <conditionalFormatting sqref="G403">
    <cfRule type="cellIs" dxfId="8369" priority="9913" stopIfTrue="1" operator="notEqual">
      <formula>H403</formula>
    </cfRule>
  </conditionalFormatting>
  <conditionalFormatting sqref="G397">
    <cfRule type="cellIs" dxfId="8368" priority="9912" stopIfTrue="1" operator="notEqual">
      <formula>H397</formula>
    </cfRule>
  </conditionalFormatting>
  <conditionalFormatting sqref="G398">
    <cfRule type="cellIs" dxfId="8367" priority="9911" stopIfTrue="1" operator="notEqual">
      <formula>H398</formula>
    </cfRule>
  </conditionalFormatting>
  <conditionalFormatting sqref="G399">
    <cfRule type="cellIs" dxfId="8366" priority="9910" stopIfTrue="1" operator="notEqual">
      <formula>H399</formula>
    </cfRule>
  </conditionalFormatting>
  <conditionalFormatting sqref="G400">
    <cfRule type="cellIs" dxfId="8365" priority="9909" stopIfTrue="1" operator="notEqual">
      <formula>H400</formula>
    </cfRule>
  </conditionalFormatting>
  <conditionalFormatting sqref="G401">
    <cfRule type="cellIs" dxfId="8364" priority="9908" stopIfTrue="1" operator="notEqual">
      <formula>H401</formula>
    </cfRule>
  </conditionalFormatting>
  <conditionalFormatting sqref="G402:G411">
    <cfRule type="cellIs" dxfId="8363" priority="9907" stopIfTrue="1" operator="notEqual">
      <formula>H402</formula>
    </cfRule>
  </conditionalFormatting>
  <conditionalFormatting sqref="G403">
    <cfRule type="cellIs" dxfId="8362" priority="9906" stopIfTrue="1" operator="notEqual">
      <formula>H403</formula>
    </cfRule>
  </conditionalFormatting>
  <conditionalFormatting sqref="O397 M397 G397 K397 S397 U397 W397 I397 Q397">
    <cfRule type="cellIs" dxfId="8361" priority="9905" stopIfTrue="1" operator="notEqual">
      <formula>H397</formula>
    </cfRule>
  </conditionalFormatting>
  <conditionalFormatting sqref="O398 M398 G398 K398 S398 U398 W398 I398 Q398">
    <cfRule type="cellIs" dxfId="8360" priority="9904" stopIfTrue="1" operator="notEqual">
      <formula>H398</formula>
    </cfRule>
  </conditionalFormatting>
  <conditionalFormatting sqref="O399 M399 G399 K399 S399 U399 W399 I399 Q399">
    <cfRule type="cellIs" dxfId="8359" priority="9903" stopIfTrue="1" operator="notEqual">
      <formula>H399</formula>
    </cfRule>
  </conditionalFormatting>
  <conditionalFormatting sqref="O400 M400 G400 K400 S400 U400 W400 I400 Q400">
    <cfRule type="cellIs" dxfId="8358" priority="9902" stopIfTrue="1" operator="notEqual">
      <formula>H400</formula>
    </cfRule>
  </conditionalFormatting>
  <conditionalFormatting sqref="O401 M401 G401 K401 S401 U401 W401 I401 Q401">
    <cfRule type="cellIs" dxfId="8357" priority="9901" stopIfTrue="1" operator="notEqual">
      <formula>H401</formula>
    </cfRule>
  </conditionalFormatting>
  <conditionalFormatting sqref="O402:O411 M402:M411 G402:G411 K402:K411 S402:S411 U402:U411 W402:W411 I402:I411 Q402:Q411">
    <cfRule type="cellIs" dxfId="8356" priority="9900" stopIfTrue="1" operator="notEqual">
      <formula>H402</formula>
    </cfRule>
  </conditionalFormatting>
  <conditionalFormatting sqref="G402:G411">
    <cfRule type="cellIs" dxfId="8355" priority="9899" stopIfTrue="1" operator="notEqual">
      <formula>H402</formula>
    </cfRule>
  </conditionalFormatting>
  <conditionalFormatting sqref="G397">
    <cfRule type="cellIs" dxfId="8354" priority="9898" stopIfTrue="1" operator="notEqual">
      <formula>H397</formula>
    </cfRule>
  </conditionalFormatting>
  <conditionalFormatting sqref="G398">
    <cfRule type="cellIs" dxfId="8353" priority="9897" stopIfTrue="1" operator="notEqual">
      <formula>H398</formula>
    </cfRule>
  </conditionalFormatting>
  <conditionalFormatting sqref="G399">
    <cfRule type="cellIs" dxfId="8352" priority="9896" stopIfTrue="1" operator="notEqual">
      <formula>H399</formula>
    </cfRule>
  </conditionalFormatting>
  <conditionalFormatting sqref="G400">
    <cfRule type="cellIs" dxfId="8351" priority="9895" stopIfTrue="1" operator="notEqual">
      <formula>H400</formula>
    </cfRule>
  </conditionalFormatting>
  <conditionalFormatting sqref="G401">
    <cfRule type="cellIs" dxfId="8350" priority="9894" stopIfTrue="1" operator="notEqual">
      <formula>H401</formula>
    </cfRule>
  </conditionalFormatting>
  <conditionalFormatting sqref="G403">
    <cfRule type="cellIs" dxfId="8349" priority="9893" stopIfTrue="1" operator="notEqual">
      <formula>H403</formula>
    </cfRule>
  </conditionalFormatting>
  <conditionalFormatting sqref="O398:O411 M398:M411 G398:G411 K398:K411 S398:S411 U398:U411 W398:W411 I398:I411 Q398:Q411">
    <cfRule type="cellIs" dxfId="8348" priority="9892" stopIfTrue="1" operator="notEqual">
      <formula>H398</formula>
    </cfRule>
  </conditionalFormatting>
  <conditionalFormatting sqref="O397 M397 G397 K397 S397 U397 W397 I397 Q397">
    <cfRule type="cellIs" dxfId="8347" priority="9891" stopIfTrue="1" operator="notEqual">
      <formula>H397</formula>
    </cfRule>
  </conditionalFormatting>
  <conditionalFormatting sqref="O400 M400 G400 K400 S400 U400 W400 I400 Q400">
    <cfRule type="cellIs" dxfId="8346" priority="9890" stopIfTrue="1" operator="notEqual">
      <formula>H400</formula>
    </cfRule>
  </conditionalFormatting>
  <conditionalFormatting sqref="O401 M401 G401 K401 S401 U401 W401 I401 Q401">
    <cfRule type="cellIs" dxfId="8345" priority="9889" stopIfTrue="1" operator="notEqual">
      <formula>H401</formula>
    </cfRule>
  </conditionalFormatting>
  <conditionalFormatting sqref="O401 M401 G401 K401 S401 U401 W401 I401 Q401">
    <cfRule type="cellIs" dxfId="8344" priority="9888" stopIfTrue="1" operator="notEqual">
      <formula>H401</formula>
    </cfRule>
  </conditionalFormatting>
  <conditionalFormatting sqref="O399 M399 G399 K399 S399 U399 W399 I399 Q399">
    <cfRule type="cellIs" dxfId="8343" priority="9887" stopIfTrue="1" operator="notEqual">
      <formula>H399</formula>
    </cfRule>
  </conditionalFormatting>
  <conditionalFormatting sqref="O403 M403 G403 K403 S403 U403 W403 I403 Q403">
    <cfRule type="cellIs" dxfId="8342" priority="9886" stopIfTrue="1" operator="notEqual">
      <formula>H403</formula>
    </cfRule>
  </conditionalFormatting>
  <conditionalFormatting sqref="O397 M397 G397 K397 S397 U397 W397 I397 Q397">
    <cfRule type="cellIs" dxfId="8341" priority="9885" stopIfTrue="1" operator="notEqual">
      <formula>H397</formula>
    </cfRule>
  </conditionalFormatting>
  <conditionalFormatting sqref="O398 M398 G398 K398 S398 U398 W398 I398 Q398">
    <cfRule type="cellIs" dxfId="8340" priority="9884" stopIfTrue="1" operator="notEqual">
      <formula>H398</formula>
    </cfRule>
  </conditionalFormatting>
  <conditionalFormatting sqref="O399 M399 G399 K399 S399 U399 W399 I399 Q399">
    <cfRule type="cellIs" dxfId="8339" priority="9883" stopIfTrue="1" operator="notEqual">
      <formula>H399</formula>
    </cfRule>
  </conditionalFormatting>
  <conditionalFormatting sqref="O400 M400 G400 K400 S400 U400 W400 I400 Q400">
    <cfRule type="cellIs" dxfId="8338" priority="9882" stopIfTrue="1" operator="notEqual">
      <formula>H400</formula>
    </cfRule>
  </conditionalFormatting>
  <conditionalFormatting sqref="O401 M401 G401 K401 S401 U401 W401 I401 Q401">
    <cfRule type="cellIs" dxfId="8337" priority="9881" stopIfTrue="1" operator="notEqual">
      <formula>H401</formula>
    </cfRule>
  </conditionalFormatting>
  <conditionalFormatting sqref="O402:O411 M402:M411 G402:G411 K402:K411 S402:S411 U402:U411 W402:W411 I402:I411 Q402:Q411">
    <cfRule type="cellIs" dxfId="8336" priority="9880" stopIfTrue="1" operator="notEqual">
      <formula>H402</formula>
    </cfRule>
  </conditionalFormatting>
  <conditionalFormatting sqref="O403 M403 G403 K403 S403 U403 W403 I403 Q403">
    <cfRule type="cellIs" dxfId="8335" priority="9879" stopIfTrue="1" operator="notEqual">
      <formula>H403</formula>
    </cfRule>
  </conditionalFormatting>
  <conditionalFormatting sqref="G397">
    <cfRule type="cellIs" dxfId="8334" priority="9878" stopIfTrue="1" operator="notEqual">
      <formula>H397</formula>
    </cfRule>
  </conditionalFormatting>
  <conditionalFormatting sqref="G398">
    <cfRule type="cellIs" dxfId="8333" priority="9877" stopIfTrue="1" operator="notEqual">
      <formula>H398</formula>
    </cfRule>
  </conditionalFormatting>
  <conditionalFormatting sqref="G399">
    <cfRule type="cellIs" dxfId="8332" priority="9876" stopIfTrue="1" operator="notEqual">
      <formula>H399</formula>
    </cfRule>
  </conditionalFormatting>
  <conditionalFormatting sqref="G400">
    <cfRule type="cellIs" dxfId="8331" priority="9875" stopIfTrue="1" operator="notEqual">
      <formula>H400</formula>
    </cfRule>
  </conditionalFormatting>
  <conditionalFormatting sqref="G401">
    <cfRule type="cellIs" dxfId="8330" priority="9874" stopIfTrue="1" operator="notEqual">
      <formula>H401</formula>
    </cfRule>
  </conditionalFormatting>
  <conditionalFormatting sqref="G402:G411">
    <cfRule type="cellIs" dxfId="8329" priority="9873" stopIfTrue="1" operator="notEqual">
      <formula>H402</formula>
    </cfRule>
  </conditionalFormatting>
  <conditionalFormatting sqref="G403">
    <cfRule type="cellIs" dxfId="8328" priority="9872" stopIfTrue="1" operator="notEqual">
      <formula>H403</formula>
    </cfRule>
  </conditionalFormatting>
  <conditionalFormatting sqref="G404">
    <cfRule type="cellIs" dxfId="8327" priority="9871" stopIfTrue="1" operator="notEqual">
      <formula>H404</formula>
    </cfRule>
  </conditionalFormatting>
  <conditionalFormatting sqref="G405">
    <cfRule type="cellIs" dxfId="8326" priority="9870" stopIfTrue="1" operator="notEqual">
      <formula>H405</formula>
    </cfRule>
  </conditionalFormatting>
  <conditionalFormatting sqref="G406">
    <cfRule type="cellIs" dxfId="8325" priority="9869" stopIfTrue="1" operator="notEqual">
      <formula>H406</formula>
    </cfRule>
  </conditionalFormatting>
  <conditionalFormatting sqref="G407">
    <cfRule type="cellIs" dxfId="8324" priority="9868" stopIfTrue="1" operator="notEqual">
      <formula>H407</formula>
    </cfRule>
  </conditionalFormatting>
  <conditionalFormatting sqref="G408">
    <cfRule type="cellIs" dxfId="8323" priority="9867" stopIfTrue="1" operator="notEqual">
      <formula>H408</formula>
    </cfRule>
  </conditionalFormatting>
  <conditionalFormatting sqref="G409">
    <cfRule type="cellIs" dxfId="8322" priority="9866" stopIfTrue="1" operator="notEqual">
      <formula>H409</formula>
    </cfRule>
  </conditionalFormatting>
  <conditionalFormatting sqref="G410">
    <cfRule type="cellIs" dxfId="8321" priority="9865" stopIfTrue="1" operator="notEqual">
      <formula>H410</formula>
    </cfRule>
  </conditionalFormatting>
  <conditionalFormatting sqref="G411">
    <cfRule type="cellIs" dxfId="8320" priority="9864" stopIfTrue="1" operator="notEqual">
      <formula>H411</formula>
    </cfRule>
  </conditionalFormatting>
  <conditionalFormatting sqref="G412">
    <cfRule type="cellIs" dxfId="8319" priority="9863" stopIfTrue="1" operator="notEqual">
      <formula>H412</formula>
    </cfRule>
  </conditionalFormatting>
  <conditionalFormatting sqref="G413">
    <cfRule type="cellIs" dxfId="8318" priority="9862" stopIfTrue="1" operator="notEqual">
      <formula>H413</formula>
    </cfRule>
  </conditionalFormatting>
  <conditionalFormatting sqref="G414">
    <cfRule type="cellIs" dxfId="8317" priority="9861" stopIfTrue="1" operator="notEqual">
      <formula>H414</formula>
    </cfRule>
  </conditionalFormatting>
  <conditionalFormatting sqref="G415">
    <cfRule type="cellIs" dxfId="8316" priority="9860" stopIfTrue="1" operator="notEqual">
      <formula>H415</formula>
    </cfRule>
  </conditionalFormatting>
  <conditionalFormatting sqref="G416">
    <cfRule type="cellIs" dxfId="8315" priority="9859" stopIfTrue="1" operator="notEqual">
      <formula>H416</formula>
    </cfRule>
  </conditionalFormatting>
  <conditionalFormatting sqref="O397 M397 G397 K397 S397 U397 W397 I397 Q397">
    <cfRule type="cellIs" dxfId="8314" priority="9858" stopIfTrue="1" operator="notEqual">
      <formula>H397</formula>
    </cfRule>
  </conditionalFormatting>
  <conditionalFormatting sqref="O398 M398 G398 K398 S398 U398 W398 I398 Q398">
    <cfRule type="cellIs" dxfId="8313" priority="9857" stopIfTrue="1" operator="notEqual">
      <formula>H398</formula>
    </cfRule>
  </conditionalFormatting>
  <conditionalFormatting sqref="O399 M399 G399 K399 S399 U399 W399 I399 Q399">
    <cfRule type="cellIs" dxfId="8312" priority="9856" stopIfTrue="1" operator="notEqual">
      <formula>H399</formula>
    </cfRule>
  </conditionalFormatting>
  <conditionalFormatting sqref="O400 M400 G400 K400 S400 U400 W400 I400 Q400">
    <cfRule type="cellIs" dxfId="8311" priority="9855" stopIfTrue="1" operator="notEqual">
      <formula>H400</formula>
    </cfRule>
  </conditionalFormatting>
  <conditionalFormatting sqref="O401 M401 G401 K401 S401 U401 W401 I401 Q401">
    <cfRule type="cellIs" dxfId="8310" priority="9854" stopIfTrue="1" operator="notEqual">
      <formula>H401</formula>
    </cfRule>
  </conditionalFormatting>
  <conditionalFormatting sqref="O402:O411 M402:M411 G402:G411 K402:K411 S402:S411 U402:U411 W402:W411 I402:I411 Q402:Q411">
    <cfRule type="cellIs" dxfId="8309" priority="9853" stopIfTrue="1" operator="notEqual">
      <formula>H402</formula>
    </cfRule>
  </conditionalFormatting>
  <conditionalFormatting sqref="O403 M403 G403 K403 S403 U403 W403 I403 Q403">
    <cfRule type="cellIs" dxfId="8308" priority="9852" stopIfTrue="1" operator="notEqual">
      <formula>H403</formula>
    </cfRule>
  </conditionalFormatting>
  <conditionalFormatting sqref="O404 M404 G404 K404 S404 U404 W404 I404 Q404">
    <cfRule type="cellIs" dxfId="8307" priority="9851" stopIfTrue="1" operator="notEqual">
      <formula>H404</formula>
    </cfRule>
  </conditionalFormatting>
  <conditionalFormatting sqref="O405 M405 G405 K405 S405 U405 W405 I405 Q405">
    <cfRule type="cellIs" dxfId="8306" priority="9850" stopIfTrue="1" operator="notEqual">
      <formula>H405</formula>
    </cfRule>
  </conditionalFormatting>
  <conditionalFormatting sqref="O406 M406 G406 K406 S406 U406 W406 I406 Q406">
    <cfRule type="cellIs" dxfId="8305" priority="9849" stopIfTrue="1" operator="notEqual">
      <formula>H406</formula>
    </cfRule>
  </conditionalFormatting>
  <conditionalFormatting sqref="O407 M407 G407 K407 S407 U407 W407 I407 Q407">
    <cfRule type="cellIs" dxfId="8304" priority="9848" stopIfTrue="1" operator="notEqual">
      <formula>H407</formula>
    </cfRule>
  </conditionalFormatting>
  <conditionalFormatting sqref="G407:G408">
    <cfRule type="cellIs" dxfId="8303" priority="9847" stopIfTrue="1" operator="notEqual">
      <formula>H407</formula>
    </cfRule>
  </conditionalFormatting>
  <conditionalFormatting sqref="G397">
    <cfRule type="cellIs" dxfId="8302" priority="9846" stopIfTrue="1" operator="notEqual">
      <formula>H397</formula>
    </cfRule>
  </conditionalFormatting>
  <conditionalFormatting sqref="G398">
    <cfRule type="cellIs" dxfId="8301" priority="9845" stopIfTrue="1" operator="notEqual">
      <formula>H398</formula>
    </cfRule>
  </conditionalFormatting>
  <conditionalFormatting sqref="G399">
    <cfRule type="cellIs" dxfId="8300" priority="9844" stopIfTrue="1" operator="notEqual">
      <formula>H399</formula>
    </cfRule>
  </conditionalFormatting>
  <conditionalFormatting sqref="G400">
    <cfRule type="cellIs" dxfId="8299" priority="9843" stopIfTrue="1" operator="notEqual">
      <formula>H400</formula>
    </cfRule>
  </conditionalFormatting>
  <conditionalFormatting sqref="G401">
    <cfRule type="cellIs" dxfId="8298" priority="9842" stopIfTrue="1" operator="notEqual">
      <formula>H401</formula>
    </cfRule>
  </conditionalFormatting>
  <conditionalFormatting sqref="G402:G411">
    <cfRule type="cellIs" dxfId="8297" priority="9841" stopIfTrue="1" operator="notEqual">
      <formula>H402</formula>
    </cfRule>
  </conditionalFormatting>
  <conditionalFormatting sqref="G403">
    <cfRule type="cellIs" dxfId="8296" priority="9840" stopIfTrue="1" operator="notEqual">
      <formula>H403</formula>
    </cfRule>
  </conditionalFormatting>
  <conditionalFormatting sqref="G404">
    <cfRule type="cellIs" dxfId="8295" priority="9839" stopIfTrue="1" operator="notEqual">
      <formula>H404</formula>
    </cfRule>
  </conditionalFormatting>
  <conditionalFormatting sqref="G405">
    <cfRule type="cellIs" dxfId="8294" priority="9838" stopIfTrue="1" operator="notEqual">
      <formula>H405</formula>
    </cfRule>
  </conditionalFormatting>
  <conditionalFormatting sqref="G406">
    <cfRule type="cellIs" dxfId="8293" priority="9837" stopIfTrue="1" operator="notEqual">
      <formula>H406</formula>
    </cfRule>
  </conditionalFormatting>
  <conditionalFormatting sqref="G408">
    <cfRule type="cellIs" dxfId="8292" priority="9836" stopIfTrue="1" operator="notEqual">
      <formula>H408</formula>
    </cfRule>
  </conditionalFormatting>
  <conditionalFormatting sqref="O403:O408 M403:M408 G403:G408 K403:K408 S403:S408 U403:U408 W403:W408 I403:I408 Q403:Q408">
    <cfRule type="cellIs" dxfId="8291" priority="9835" stopIfTrue="1" operator="notEqual">
      <formula>H403</formula>
    </cfRule>
  </conditionalFormatting>
  <conditionalFormatting sqref="O397 M397 G397 K397 S397 U397 W397 I397 Q397">
    <cfRule type="cellIs" dxfId="8290" priority="9834" stopIfTrue="1" operator="notEqual">
      <formula>H397</formula>
    </cfRule>
  </conditionalFormatting>
  <conditionalFormatting sqref="O398 M398 G398 K398 S398 U398 W398 I398 Q398">
    <cfRule type="cellIs" dxfId="8289" priority="9833" stopIfTrue="1" operator="notEqual">
      <formula>H398</formula>
    </cfRule>
  </conditionalFormatting>
  <conditionalFormatting sqref="O399 M399 G399 K399 S399 U399 W399 I399 Q399">
    <cfRule type="cellIs" dxfId="8288" priority="9832" stopIfTrue="1" operator="notEqual">
      <formula>H399</formula>
    </cfRule>
  </conditionalFormatting>
  <conditionalFormatting sqref="O400 M400 G400 K400 S400 U400 W400 I400 Q400">
    <cfRule type="cellIs" dxfId="8287" priority="9831" stopIfTrue="1" operator="notEqual">
      <formula>H400</formula>
    </cfRule>
  </conditionalFormatting>
  <conditionalFormatting sqref="O401 M401 G401 K401 S401 U401 W401 I401 Q401">
    <cfRule type="cellIs" dxfId="8286" priority="9830" stopIfTrue="1" operator="notEqual">
      <formula>H401</formula>
    </cfRule>
  </conditionalFormatting>
  <conditionalFormatting sqref="O402:O411 M402:M411 G402:G411 K402:K411 S402:S411 U402:U411 W402:W411 I402:I411 Q402:Q411">
    <cfRule type="cellIs" dxfId="8285" priority="9829" stopIfTrue="1" operator="notEqual">
      <formula>H402</formula>
    </cfRule>
  </conditionalFormatting>
  <conditionalFormatting sqref="O405 M405 G405 K405 S405 U405 W405 I405 Q405">
    <cfRule type="cellIs" dxfId="8284" priority="9828" stopIfTrue="1" operator="notEqual">
      <formula>H405</formula>
    </cfRule>
  </conditionalFormatting>
  <conditionalFormatting sqref="O406 M406 G406 K406 S406 U406 W406 I406 Q406">
    <cfRule type="cellIs" dxfId="8283" priority="9827" stopIfTrue="1" operator="notEqual">
      <formula>H406</formula>
    </cfRule>
  </conditionalFormatting>
  <conditionalFormatting sqref="O406 M406 G406 K406 S406 U406 W406 I406 Q406">
    <cfRule type="cellIs" dxfId="8282" priority="9826" stopIfTrue="1" operator="notEqual">
      <formula>H406</formula>
    </cfRule>
  </conditionalFormatting>
  <conditionalFormatting sqref="O404 M404 G404 K404 S404 U404 W404 I404 Q404">
    <cfRule type="cellIs" dxfId="8281" priority="9825" stopIfTrue="1" operator="notEqual">
      <formula>H404</formula>
    </cfRule>
  </conditionalFormatting>
  <conditionalFormatting sqref="O408 M408 G408 K408 S408 U408 W408 I408 Q408">
    <cfRule type="cellIs" dxfId="8280" priority="9824" stopIfTrue="1" operator="notEqual">
      <formula>H408</formula>
    </cfRule>
  </conditionalFormatting>
  <conditionalFormatting sqref="O397 M397 G397 K397 S397 U397 W397 I397 Q397">
    <cfRule type="cellIs" dxfId="8279" priority="9823" stopIfTrue="1" operator="notEqual">
      <formula>H397</formula>
    </cfRule>
  </conditionalFormatting>
  <conditionalFormatting sqref="O398 M398 G398 K398 S398 U398 W398 I398 Q398">
    <cfRule type="cellIs" dxfId="8278" priority="9822" stopIfTrue="1" operator="notEqual">
      <formula>H398</formula>
    </cfRule>
  </conditionalFormatting>
  <conditionalFormatting sqref="O399 M399 G399 K399 S399 U399 W399 I399 Q399">
    <cfRule type="cellIs" dxfId="8277" priority="9821" stopIfTrue="1" operator="notEqual">
      <formula>H399</formula>
    </cfRule>
  </conditionalFormatting>
  <conditionalFormatting sqref="O400 M400 G400 K400 S400 U400 W400 I400 Q400">
    <cfRule type="cellIs" dxfId="8276" priority="9820" stopIfTrue="1" operator="notEqual">
      <formula>H400</formula>
    </cfRule>
  </conditionalFormatting>
  <conditionalFormatting sqref="O401 M401 G401 K401 S401 U401 W401 I401 Q401">
    <cfRule type="cellIs" dxfId="8275" priority="9819" stopIfTrue="1" operator="notEqual">
      <formula>H401</formula>
    </cfRule>
  </conditionalFormatting>
  <conditionalFormatting sqref="O402:O411 M402:M411 G402:G411 K402:K411 S402:S411 U402:U411 W402:W411 I402:I411 Q402:Q411">
    <cfRule type="cellIs" dxfId="8274" priority="9818" stopIfTrue="1" operator="notEqual">
      <formula>H402</formula>
    </cfRule>
  </conditionalFormatting>
  <conditionalFormatting sqref="O403 M403 G403 K403 S403 U403 W403 I403 Q403">
    <cfRule type="cellIs" dxfId="8273" priority="9817" stopIfTrue="1" operator="notEqual">
      <formula>H403</formula>
    </cfRule>
  </conditionalFormatting>
  <conditionalFormatting sqref="O404 M404 G404 K404 S404 U404 W404 I404 Q404">
    <cfRule type="cellIs" dxfId="8272" priority="9816" stopIfTrue="1" operator="notEqual">
      <formula>H404</formula>
    </cfRule>
  </conditionalFormatting>
  <conditionalFormatting sqref="O405 M405 G405 K405 S405 U405 W405 I405 Q405">
    <cfRule type="cellIs" dxfId="8271" priority="9815" stopIfTrue="1" operator="notEqual">
      <formula>H405</formula>
    </cfRule>
  </conditionalFormatting>
  <conditionalFormatting sqref="O406 M406 G406 K406 S406 U406 W406 I406 Q406">
    <cfRule type="cellIs" dxfId="8270" priority="9814" stopIfTrue="1" operator="notEqual">
      <formula>H406</formula>
    </cfRule>
  </conditionalFormatting>
  <conditionalFormatting sqref="O407 M407 G407 K407 S407 U407 W407 I407 Q407">
    <cfRule type="cellIs" dxfId="8269" priority="9813" stopIfTrue="1" operator="notEqual">
      <formula>H407</formula>
    </cfRule>
  </conditionalFormatting>
  <conditionalFormatting sqref="O408 M408 G408 K408 S408 U408 W408 I408 Q408">
    <cfRule type="cellIs" dxfId="8268" priority="9812" stopIfTrue="1" operator="notEqual">
      <formula>H408</formula>
    </cfRule>
  </conditionalFormatting>
  <conditionalFormatting sqref="G408:G411">
    <cfRule type="cellIs" dxfId="8267" priority="9811" stopIfTrue="1" operator="notEqual">
      <formula>H408</formula>
    </cfRule>
  </conditionalFormatting>
  <conditionalFormatting sqref="G408">
    <cfRule type="cellIs" dxfId="8266" priority="9810" stopIfTrue="1" operator="notEqual">
      <formula>H408</formula>
    </cfRule>
  </conditionalFormatting>
  <conditionalFormatting sqref="G409">
    <cfRule type="cellIs" dxfId="8265" priority="9809" stopIfTrue="1" operator="notEqual">
      <formula>H409</formula>
    </cfRule>
  </conditionalFormatting>
  <conditionalFormatting sqref="G409">
    <cfRule type="cellIs" dxfId="8264" priority="9808" stopIfTrue="1" operator="notEqual">
      <formula>H409</formula>
    </cfRule>
  </conditionalFormatting>
  <conditionalFormatting sqref="G412">
    <cfRule type="cellIs" dxfId="8263" priority="9807" stopIfTrue="1" operator="notEqual">
      <formula>H412</formula>
    </cfRule>
  </conditionalFormatting>
  <conditionalFormatting sqref="G413">
    <cfRule type="cellIs" dxfId="8262" priority="9806" stopIfTrue="1" operator="notEqual">
      <formula>H413</formula>
    </cfRule>
  </conditionalFormatting>
  <conditionalFormatting sqref="G411">
    <cfRule type="cellIs" dxfId="8261" priority="9805" stopIfTrue="1" operator="notEqual">
      <formula>H411</formula>
    </cfRule>
  </conditionalFormatting>
  <conditionalFormatting sqref="G414">
    <cfRule type="cellIs" dxfId="8260" priority="9804" stopIfTrue="1" operator="notEqual">
      <formula>H414</formula>
    </cfRule>
  </conditionalFormatting>
  <conditionalFormatting sqref="G415">
    <cfRule type="cellIs" dxfId="8259" priority="9803" stopIfTrue="1" operator="notEqual">
      <formula>H415</formula>
    </cfRule>
  </conditionalFormatting>
  <conditionalFormatting sqref="G416">
    <cfRule type="cellIs" dxfId="8258" priority="9802" stopIfTrue="1" operator="notEqual">
      <formula>H416</formula>
    </cfRule>
  </conditionalFormatting>
  <conditionalFormatting sqref="O408 M408 G408 K408 S408 U408 W408 I408 Q408">
    <cfRule type="cellIs" dxfId="8257" priority="9801" stopIfTrue="1" operator="notEqual">
      <formula>H408</formula>
    </cfRule>
  </conditionalFormatting>
  <conditionalFormatting sqref="O409 M409 G409 K409 S409 U409 W409 I409 Q409">
    <cfRule type="cellIs" dxfId="8256" priority="9800" stopIfTrue="1" operator="notEqual">
      <formula>H409</formula>
    </cfRule>
  </conditionalFormatting>
  <conditionalFormatting sqref="O410 M410 G410 K410 S410 U410 W410 I410 Q410">
    <cfRule type="cellIs" dxfId="8255" priority="9799" stopIfTrue="1" operator="notEqual">
      <formula>H410</formula>
    </cfRule>
  </conditionalFormatting>
  <conditionalFormatting sqref="O411 M411 G411 K411 S411 U411 W411 I411 Q411">
    <cfRule type="cellIs" dxfId="8254" priority="9798" stopIfTrue="1" operator="notEqual">
      <formula>H411</formula>
    </cfRule>
  </conditionalFormatting>
  <conditionalFormatting sqref="O412 M412 G412 K412 S412 U412 W412 I412 Q412">
    <cfRule type="cellIs" dxfId="8253" priority="9797" stopIfTrue="1" operator="notEqual">
      <formula>H412</formula>
    </cfRule>
  </conditionalFormatting>
  <conditionalFormatting sqref="O413 M413 G413 K413 S413 U413 W413 I413 Q413">
    <cfRule type="cellIs" dxfId="8252" priority="9796" stopIfTrue="1" operator="notEqual">
      <formula>H413</formula>
    </cfRule>
  </conditionalFormatting>
  <conditionalFormatting sqref="O414 M414 G414 K414 S414 U414 W414 I414 Q414">
    <cfRule type="cellIs" dxfId="8251" priority="9795" stopIfTrue="1" operator="notEqual">
      <formula>H414</formula>
    </cfRule>
  </conditionalFormatting>
  <conditionalFormatting sqref="O415 M415 G415 K415 S415 U415 W415 I415 Q415">
    <cfRule type="cellIs" dxfId="8250" priority="9794" stopIfTrue="1" operator="notEqual">
      <formula>H415</formula>
    </cfRule>
  </conditionalFormatting>
  <conditionalFormatting sqref="O416 M416 G416 K416 S416 U416 W416 I416 Q416">
    <cfRule type="cellIs" dxfId="8249" priority="9793" stopIfTrue="1" operator="notEqual">
      <formula>H416</formula>
    </cfRule>
  </conditionalFormatting>
  <conditionalFormatting sqref="G408">
    <cfRule type="cellIs" dxfId="8248" priority="9792" stopIfTrue="1" operator="notEqual">
      <formula>H408</formula>
    </cfRule>
  </conditionalFormatting>
  <conditionalFormatting sqref="G409">
    <cfRule type="cellIs" dxfId="8247" priority="9791" stopIfTrue="1" operator="notEqual">
      <formula>H409</formula>
    </cfRule>
  </conditionalFormatting>
  <conditionalFormatting sqref="G410">
    <cfRule type="cellIs" dxfId="8246" priority="9790" stopIfTrue="1" operator="notEqual">
      <formula>H410</formula>
    </cfRule>
  </conditionalFormatting>
  <conditionalFormatting sqref="G411">
    <cfRule type="cellIs" dxfId="8245" priority="9789" stopIfTrue="1" operator="notEqual">
      <formula>H411</formula>
    </cfRule>
  </conditionalFormatting>
  <conditionalFormatting sqref="G412">
    <cfRule type="cellIs" dxfId="8244" priority="9788" stopIfTrue="1" operator="notEqual">
      <formula>H412</formula>
    </cfRule>
  </conditionalFormatting>
  <conditionalFormatting sqref="G413">
    <cfRule type="cellIs" dxfId="8243" priority="9787" stopIfTrue="1" operator="notEqual">
      <formula>H413</formula>
    </cfRule>
  </conditionalFormatting>
  <conditionalFormatting sqref="G414">
    <cfRule type="cellIs" dxfId="8242" priority="9786" stopIfTrue="1" operator="notEqual">
      <formula>H414</formula>
    </cfRule>
  </conditionalFormatting>
  <conditionalFormatting sqref="G415">
    <cfRule type="cellIs" dxfId="8241" priority="9785" stopIfTrue="1" operator="notEqual">
      <formula>H415</formula>
    </cfRule>
  </conditionalFormatting>
  <conditionalFormatting sqref="G416">
    <cfRule type="cellIs" dxfId="8240" priority="9784" stopIfTrue="1" operator="notEqual">
      <formula>H416</formula>
    </cfRule>
  </conditionalFormatting>
  <conditionalFormatting sqref="G408">
    <cfRule type="cellIs" dxfId="8239" priority="9783" stopIfTrue="1" operator="notEqual">
      <formula>H408</formula>
    </cfRule>
  </conditionalFormatting>
  <conditionalFormatting sqref="G408">
    <cfRule type="cellIs" dxfId="8238" priority="9782" stopIfTrue="1" operator="notEqual">
      <formula>H408</formula>
    </cfRule>
  </conditionalFormatting>
  <conditionalFormatting sqref="G408">
    <cfRule type="cellIs" dxfId="8237" priority="9781" stopIfTrue="1" operator="notEqual">
      <formula>H408</formula>
    </cfRule>
  </conditionalFormatting>
  <conditionalFormatting sqref="G408">
    <cfRule type="cellIs" dxfId="8236" priority="9780" stopIfTrue="1" operator="notEqual">
      <formula>H408</formula>
    </cfRule>
  </conditionalFormatting>
  <conditionalFormatting sqref="G408">
    <cfRule type="cellIs" dxfId="8235" priority="9779" stopIfTrue="1" operator="notEqual">
      <formula>H408</formula>
    </cfRule>
  </conditionalFormatting>
  <conditionalFormatting sqref="G408">
    <cfRule type="cellIs" dxfId="8234" priority="9778" stopIfTrue="1" operator="notEqual">
      <formula>H408</formula>
    </cfRule>
  </conditionalFormatting>
  <conditionalFormatting sqref="O408 M408 G408 K408 S408 U408 W408 I408 Q408">
    <cfRule type="cellIs" dxfId="8233" priority="9777" stopIfTrue="1" operator="notEqual">
      <formula>H408</formula>
    </cfRule>
  </conditionalFormatting>
  <conditionalFormatting sqref="O409 M409 G409 K409 S409 U409 W409 I409 Q409">
    <cfRule type="cellIs" dxfId="8232" priority="9776" stopIfTrue="1" operator="notEqual">
      <formula>H409</formula>
    </cfRule>
  </conditionalFormatting>
  <conditionalFormatting sqref="O410 M410 G410 K410 S410 U410 W410 I410 Q410">
    <cfRule type="cellIs" dxfId="8231" priority="9775" stopIfTrue="1" operator="notEqual">
      <formula>H410</formula>
    </cfRule>
  </conditionalFormatting>
  <conditionalFormatting sqref="O411 M411 G411 K411 S411 U411 W411 I411 Q411">
    <cfRule type="cellIs" dxfId="8230" priority="9774" stopIfTrue="1" operator="notEqual">
      <formula>H411</formula>
    </cfRule>
  </conditionalFormatting>
  <conditionalFormatting sqref="O412 M412 G412 K412 S412 U412 W412 I412 Q412">
    <cfRule type="cellIs" dxfId="8229" priority="9773" stopIfTrue="1" operator="notEqual">
      <formula>H412</formula>
    </cfRule>
  </conditionalFormatting>
  <conditionalFormatting sqref="O413 M413 G413 K413 S413 U413 W413 I413 Q413">
    <cfRule type="cellIs" dxfId="8228" priority="9772" stopIfTrue="1" operator="notEqual">
      <formula>H413</formula>
    </cfRule>
  </conditionalFormatting>
  <conditionalFormatting sqref="O414 M414 G414 K414 S414 U414 W414 I414 Q414">
    <cfRule type="cellIs" dxfId="8227" priority="9771" stopIfTrue="1" operator="notEqual">
      <formula>H414</formula>
    </cfRule>
  </conditionalFormatting>
  <conditionalFormatting sqref="O415 M415 G415 K415 S415 U415 W415 I415 Q415">
    <cfRule type="cellIs" dxfId="8226" priority="9770" stopIfTrue="1" operator="notEqual">
      <formula>H415</formula>
    </cfRule>
  </conditionalFormatting>
  <conditionalFormatting sqref="O416 M416 G416 K416 S416 U416 W416 I416 Q416">
    <cfRule type="cellIs" dxfId="8225" priority="9769" stopIfTrue="1" operator="notEqual">
      <formula>H416</formula>
    </cfRule>
  </conditionalFormatting>
  <conditionalFormatting sqref="O408 M408 G408 K408 S408 U408 W408 I408 Q408">
    <cfRule type="cellIs" dxfId="8224" priority="9768" stopIfTrue="1" operator="notEqual">
      <formula>H408</formula>
    </cfRule>
  </conditionalFormatting>
  <conditionalFormatting sqref="O409 M409 G409 K409 S409 U409 W409 I409 Q409">
    <cfRule type="cellIs" dxfId="8223" priority="9767" stopIfTrue="1" operator="notEqual">
      <formula>H409</formula>
    </cfRule>
  </conditionalFormatting>
  <conditionalFormatting sqref="O410 M410 G410 K410 S410 U410 W410 I410 Q410">
    <cfRule type="cellIs" dxfId="8222" priority="9766" stopIfTrue="1" operator="notEqual">
      <formula>H410</formula>
    </cfRule>
  </conditionalFormatting>
  <conditionalFormatting sqref="O408 M408 G408 K408 S408 U408 W408 I408 Q408">
    <cfRule type="cellIs" dxfId="8221" priority="9765" stopIfTrue="1" operator="notEqual">
      <formula>H408</formula>
    </cfRule>
  </conditionalFormatting>
  <conditionalFormatting sqref="O411 M411 G411 K411 S411 U411 W411 I411 Q411">
    <cfRule type="cellIs" dxfId="8220" priority="9764" stopIfTrue="1" operator="notEqual">
      <formula>H411</formula>
    </cfRule>
  </conditionalFormatting>
  <conditionalFormatting sqref="O412 M412 G412 K412 S412 U412 W412 I412 Q412">
    <cfRule type="cellIs" dxfId="8219" priority="9763" stopIfTrue="1" operator="notEqual">
      <formula>H412</formula>
    </cfRule>
  </conditionalFormatting>
  <conditionalFormatting sqref="O413 M413 G413 K413 S413 U413 W413 I413 Q413">
    <cfRule type="cellIs" dxfId="8218" priority="9762" stopIfTrue="1" operator="notEqual">
      <formula>H413</formula>
    </cfRule>
  </conditionalFormatting>
  <conditionalFormatting sqref="O414 M414 G414 K414 S414 U414 W414 I414 Q414">
    <cfRule type="cellIs" dxfId="8217" priority="9761" stopIfTrue="1" operator="notEqual">
      <formula>H414</formula>
    </cfRule>
  </conditionalFormatting>
  <conditionalFormatting sqref="O415 M415 G415 K415 S415 U415 W415 I415 Q415">
    <cfRule type="cellIs" dxfId="8216" priority="9760" stopIfTrue="1" operator="notEqual">
      <formula>H415</formula>
    </cfRule>
  </conditionalFormatting>
  <conditionalFormatting sqref="O416 M416 G416 K416 S416 U416 W416 I416 Q416">
    <cfRule type="cellIs" dxfId="8215" priority="9759" stopIfTrue="1" operator="notEqual">
      <formula>H416</formula>
    </cfRule>
  </conditionalFormatting>
  <conditionalFormatting sqref="G411:G416">
    <cfRule type="cellIs" dxfId="8214" priority="9758" stopIfTrue="1" operator="notEqual">
      <formula>H411</formula>
    </cfRule>
  </conditionalFormatting>
  <conditionalFormatting sqref="G397">
    <cfRule type="cellIs" dxfId="8213" priority="9757" stopIfTrue="1" operator="notEqual">
      <formula>H397</formula>
    </cfRule>
  </conditionalFormatting>
  <conditionalFormatting sqref="G398">
    <cfRule type="cellIs" dxfId="8212" priority="9756" stopIfTrue="1" operator="notEqual">
      <formula>H398</formula>
    </cfRule>
  </conditionalFormatting>
  <conditionalFormatting sqref="G399">
    <cfRule type="cellIs" dxfId="8211" priority="9755" stopIfTrue="1" operator="notEqual">
      <formula>H399</formula>
    </cfRule>
  </conditionalFormatting>
  <conditionalFormatting sqref="G400">
    <cfRule type="cellIs" dxfId="8210" priority="9754" stopIfTrue="1" operator="notEqual">
      <formula>H400</formula>
    </cfRule>
  </conditionalFormatting>
  <conditionalFormatting sqref="G401">
    <cfRule type="cellIs" dxfId="8209" priority="9753" stopIfTrue="1" operator="notEqual">
      <formula>H401</formula>
    </cfRule>
  </conditionalFormatting>
  <conditionalFormatting sqref="G402:G411">
    <cfRule type="cellIs" dxfId="8208" priority="9752" stopIfTrue="1" operator="notEqual">
      <formula>H402</formula>
    </cfRule>
  </conditionalFormatting>
  <conditionalFormatting sqref="G403">
    <cfRule type="cellIs" dxfId="8207" priority="9751" stopIfTrue="1" operator="notEqual">
      <formula>H403</formula>
    </cfRule>
  </conditionalFormatting>
  <conditionalFormatting sqref="G404">
    <cfRule type="cellIs" dxfId="8206" priority="9750" stopIfTrue="1" operator="notEqual">
      <formula>H404</formula>
    </cfRule>
  </conditionalFormatting>
  <conditionalFormatting sqref="G405">
    <cfRule type="cellIs" dxfId="8205" priority="9749" stopIfTrue="1" operator="notEqual">
      <formula>H405</formula>
    </cfRule>
  </conditionalFormatting>
  <conditionalFormatting sqref="G406">
    <cfRule type="cellIs" dxfId="8204" priority="9748" stopIfTrue="1" operator="notEqual">
      <formula>H406</formula>
    </cfRule>
  </conditionalFormatting>
  <conditionalFormatting sqref="G407">
    <cfRule type="cellIs" dxfId="8203" priority="9747" stopIfTrue="1" operator="notEqual">
      <formula>H407</formula>
    </cfRule>
  </conditionalFormatting>
  <conditionalFormatting sqref="G408">
    <cfRule type="cellIs" dxfId="8202" priority="9746" stopIfTrue="1" operator="notEqual">
      <formula>H408</formula>
    </cfRule>
  </conditionalFormatting>
  <conditionalFormatting sqref="G409">
    <cfRule type="cellIs" dxfId="8201" priority="9745" stopIfTrue="1" operator="notEqual">
      <formula>H409</formula>
    </cfRule>
  </conditionalFormatting>
  <conditionalFormatting sqref="G410">
    <cfRule type="cellIs" dxfId="8200" priority="9744" stopIfTrue="1" operator="notEqual">
      <formula>H410</formula>
    </cfRule>
  </conditionalFormatting>
  <conditionalFormatting sqref="G397">
    <cfRule type="cellIs" dxfId="8199" priority="9743" stopIfTrue="1" operator="notEqual">
      <formula>H397</formula>
    </cfRule>
  </conditionalFormatting>
  <conditionalFormatting sqref="G397">
    <cfRule type="cellIs" dxfId="8198" priority="9742" stopIfTrue="1" operator="notEqual">
      <formula>H397</formula>
    </cfRule>
  </conditionalFormatting>
  <conditionalFormatting sqref="G397">
    <cfRule type="cellIs" dxfId="8197" priority="9741" stopIfTrue="1" operator="notEqual">
      <formula>H397</formula>
    </cfRule>
  </conditionalFormatting>
  <conditionalFormatting sqref="G397">
    <cfRule type="cellIs" dxfId="8196" priority="9740" stopIfTrue="1" operator="notEqual">
      <formula>H397</formula>
    </cfRule>
  </conditionalFormatting>
  <conditionalFormatting sqref="G397">
    <cfRule type="cellIs" dxfId="8195" priority="9739" stopIfTrue="1" operator="notEqual">
      <formula>H397</formula>
    </cfRule>
  </conditionalFormatting>
  <conditionalFormatting sqref="G397">
    <cfRule type="cellIs" dxfId="8194" priority="9738" stopIfTrue="1" operator="notEqual">
      <formula>H397</formula>
    </cfRule>
  </conditionalFormatting>
  <conditionalFormatting sqref="G413">
    <cfRule type="cellIs" dxfId="8193" priority="9737" stopIfTrue="1" operator="notEqual">
      <formula>H413</formula>
    </cfRule>
  </conditionalFormatting>
  <conditionalFormatting sqref="G414">
    <cfRule type="cellIs" dxfId="8192" priority="9736" stopIfTrue="1" operator="notEqual">
      <formula>H414</formula>
    </cfRule>
  </conditionalFormatting>
  <conditionalFormatting sqref="G414">
    <cfRule type="cellIs" dxfId="8191" priority="9735" stopIfTrue="1" operator="notEqual">
      <formula>H414</formula>
    </cfRule>
  </conditionalFormatting>
  <conditionalFormatting sqref="G412">
    <cfRule type="cellIs" dxfId="8190" priority="9734" stopIfTrue="1" operator="notEqual">
      <formula>H412</formula>
    </cfRule>
  </conditionalFormatting>
  <conditionalFormatting sqref="G416">
    <cfRule type="cellIs" dxfId="8189" priority="9733" stopIfTrue="1" operator="notEqual">
      <formula>H416</formula>
    </cfRule>
  </conditionalFormatting>
  <conditionalFormatting sqref="O407:O412 M407:M412 G407:G412 K407:K412 S407:S412 U407:U412 W407:W412 I407:I412 Q407:Q412">
    <cfRule type="cellIs" dxfId="8188" priority="9732" stopIfTrue="1" operator="notEqual">
      <formula>H407</formula>
    </cfRule>
  </conditionalFormatting>
  <conditionalFormatting sqref="O397 M397 G397 K397 S397 U397 W397 I397 Q397">
    <cfRule type="cellIs" dxfId="8187" priority="9731" stopIfTrue="1" operator="notEqual">
      <formula>H397</formula>
    </cfRule>
  </conditionalFormatting>
  <conditionalFormatting sqref="O398 M398 G398 K398 S398 U398 W398 I398 Q398">
    <cfRule type="cellIs" dxfId="8186" priority="9730" stopIfTrue="1" operator="notEqual">
      <formula>H398</formula>
    </cfRule>
  </conditionalFormatting>
  <conditionalFormatting sqref="O399 M399 G399 K399 S399 U399 W399 I399 Q399">
    <cfRule type="cellIs" dxfId="8185" priority="9729" stopIfTrue="1" operator="notEqual">
      <formula>H399</formula>
    </cfRule>
  </conditionalFormatting>
  <conditionalFormatting sqref="O400 M400 G400 K400 S400 U400 W400 I400 Q400">
    <cfRule type="cellIs" dxfId="8184" priority="9728" stopIfTrue="1" operator="notEqual">
      <formula>H400</formula>
    </cfRule>
  </conditionalFormatting>
  <conditionalFormatting sqref="O401 M401 G401 K401 S401 U401 W401 I401 Q401">
    <cfRule type="cellIs" dxfId="8183" priority="9727" stopIfTrue="1" operator="notEqual">
      <formula>H401</formula>
    </cfRule>
  </conditionalFormatting>
  <conditionalFormatting sqref="O402:O411 M402:M411 G402:G411 K402:K411 S402:S411 U402:U411 W402:W411 I402:I411 Q402:Q411">
    <cfRule type="cellIs" dxfId="8182" priority="9726" stopIfTrue="1" operator="notEqual">
      <formula>H402</formula>
    </cfRule>
  </conditionalFormatting>
  <conditionalFormatting sqref="O403 M403 G403 K403 S403 U403 W403 I403 Q403">
    <cfRule type="cellIs" dxfId="8181" priority="9725" stopIfTrue="1" operator="notEqual">
      <formula>H403</formula>
    </cfRule>
  </conditionalFormatting>
  <conditionalFormatting sqref="O404 M404 G404 K404 S404 U404 W404 I404 Q404">
    <cfRule type="cellIs" dxfId="8180" priority="9724" stopIfTrue="1" operator="notEqual">
      <formula>H404</formula>
    </cfRule>
  </conditionalFormatting>
  <conditionalFormatting sqref="O405 M405 G405 K405 S405 U405 W405 I405 Q405">
    <cfRule type="cellIs" dxfId="8179" priority="9723" stopIfTrue="1" operator="notEqual">
      <formula>H405</formula>
    </cfRule>
  </conditionalFormatting>
  <conditionalFormatting sqref="O406 M406 G406 K406 S406 U406 W406 I406 Q406">
    <cfRule type="cellIs" dxfId="8178" priority="9722" stopIfTrue="1" operator="notEqual">
      <formula>H406</formula>
    </cfRule>
  </conditionalFormatting>
  <conditionalFormatting sqref="O409 M409 G409 K409 S409 U409 W409 I409 Q409">
    <cfRule type="cellIs" dxfId="8177" priority="9721" stopIfTrue="1" operator="notEqual">
      <formula>H409</formula>
    </cfRule>
  </conditionalFormatting>
  <conditionalFormatting sqref="O410 M410 G410 K410 S410 U410 W410 I410 Q410">
    <cfRule type="cellIs" dxfId="8176" priority="9720" stopIfTrue="1" operator="notEqual">
      <formula>H410</formula>
    </cfRule>
  </conditionalFormatting>
  <conditionalFormatting sqref="O410 M410 G410 K410 S410 U410 W410 I410 Q410">
    <cfRule type="cellIs" dxfId="8175" priority="9719" stopIfTrue="1" operator="notEqual">
      <formula>H410</formula>
    </cfRule>
  </conditionalFormatting>
  <conditionalFormatting sqref="O408 M408 G408 K408 S408 U408 W408 I408 Q408">
    <cfRule type="cellIs" dxfId="8174" priority="9718" stopIfTrue="1" operator="notEqual">
      <formula>H408</formula>
    </cfRule>
  </conditionalFormatting>
  <conditionalFormatting sqref="O413 M413 G413 K413 S413 U413 W413 I413 Q413">
    <cfRule type="cellIs" dxfId="8173" priority="9717" stopIfTrue="1" operator="notEqual">
      <formula>H413</formula>
    </cfRule>
  </conditionalFormatting>
  <conditionalFormatting sqref="O414 M414 G414 K414 S414 U414 W414 I414 Q414">
    <cfRule type="cellIs" dxfId="8172" priority="9716" stopIfTrue="1" operator="notEqual">
      <formula>H414</formula>
    </cfRule>
  </conditionalFormatting>
  <conditionalFormatting sqref="O412 M412 G412 K412 S412 U412 W412 I412 Q412">
    <cfRule type="cellIs" dxfId="8171" priority="9715" stopIfTrue="1" operator="notEqual">
      <formula>H412</formula>
    </cfRule>
  </conditionalFormatting>
  <conditionalFormatting sqref="O415 M415 G415 K415 S415 U415 W415 I415 Q415">
    <cfRule type="cellIs" dxfId="8170" priority="9714" stopIfTrue="1" operator="notEqual">
      <formula>H415</formula>
    </cfRule>
  </conditionalFormatting>
  <conditionalFormatting sqref="O416 M416 G416 K416 S416 U416 W416 I416 Q416">
    <cfRule type="cellIs" dxfId="8169" priority="9713" stopIfTrue="1" operator="notEqual">
      <formula>H416</formula>
    </cfRule>
  </conditionalFormatting>
  <conditionalFormatting sqref="O397 M397 G397 K397 S397 U397 W397 I397 Q397">
    <cfRule type="cellIs" dxfId="8168" priority="9712" stopIfTrue="1" operator="notEqual">
      <formula>H397</formula>
    </cfRule>
  </conditionalFormatting>
  <conditionalFormatting sqref="O398 M398 G398 K398 S398 U398 W398 I398 Q398">
    <cfRule type="cellIs" dxfId="8167" priority="9711" stopIfTrue="1" operator="notEqual">
      <formula>H398</formula>
    </cfRule>
  </conditionalFormatting>
  <conditionalFormatting sqref="O399 M399 G399 K399 S399 U399 W399 I399 Q399">
    <cfRule type="cellIs" dxfId="8166" priority="9710" stopIfTrue="1" operator="notEqual">
      <formula>H399</formula>
    </cfRule>
  </conditionalFormatting>
  <conditionalFormatting sqref="O397 M397 G397 K397 S397 U397 W397 I397 Q397">
    <cfRule type="cellIs" dxfId="8165" priority="9709" stopIfTrue="1" operator="notEqual">
      <formula>H397</formula>
    </cfRule>
  </conditionalFormatting>
  <conditionalFormatting sqref="O400 M400 G400 K400 S400 U400 W400 I400 Q400">
    <cfRule type="cellIs" dxfId="8164" priority="9708" stopIfTrue="1" operator="notEqual">
      <formula>H400</formula>
    </cfRule>
  </conditionalFormatting>
  <conditionalFormatting sqref="O401 M401 G401 K401 S401 U401 W401 I401 Q401">
    <cfRule type="cellIs" dxfId="8163" priority="9707" stopIfTrue="1" operator="notEqual">
      <formula>H401</formula>
    </cfRule>
  </conditionalFormatting>
  <conditionalFormatting sqref="O402:O411 M402:M411 G402:G411 K402:K411 S402:S411 U402:U411 W402:W411 I402:I411 Q402:Q411">
    <cfRule type="cellIs" dxfId="8162" priority="9706" stopIfTrue="1" operator="notEqual">
      <formula>H402</formula>
    </cfRule>
  </conditionalFormatting>
  <conditionalFormatting sqref="O403 M403 G403 K403 S403 U403 W403 I403 Q403">
    <cfRule type="cellIs" dxfId="8161" priority="9705" stopIfTrue="1" operator="notEqual">
      <formula>H403</formula>
    </cfRule>
  </conditionalFormatting>
  <conditionalFormatting sqref="O404 M404 G404 K404 S404 U404 W404 I404 Q404">
    <cfRule type="cellIs" dxfId="8160" priority="9704" stopIfTrue="1" operator="notEqual">
      <formula>H404</formula>
    </cfRule>
  </conditionalFormatting>
  <conditionalFormatting sqref="O405 M405 G405 K405 S405 U405 W405 I405 Q405">
    <cfRule type="cellIs" dxfId="8159" priority="9703" stopIfTrue="1" operator="notEqual">
      <formula>H405</formula>
    </cfRule>
  </conditionalFormatting>
  <conditionalFormatting sqref="O406 M406 G406 K406 S406 U406 W406 I406 Q406">
    <cfRule type="cellIs" dxfId="8158" priority="9702" stopIfTrue="1" operator="notEqual">
      <formula>H406</formula>
    </cfRule>
  </conditionalFormatting>
  <conditionalFormatting sqref="O407 M407 G407 K407 S407 U407 W407 I407 Q407">
    <cfRule type="cellIs" dxfId="8157" priority="9701" stopIfTrue="1" operator="notEqual">
      <formula>H407</formula>
    </cfRule>
  </conditionalFormatting>
  <conditionalFormatting sqref="O408 M408 G408 K408 S408 U408 W408 I408 Q408">
    <cfRule type="cellIs" dxfId="8156" priority="9700" stopIfTrue="1" operator="notEqual">
      <formula>H408</formula>
    </cfRule>
  </conditionalFormatting>
  <conditionalFormatting sqref="O409 M409 G409 K409 S409 U409 W409 I409 Q409">
    <cfRule type="cellIs" dxfId="8155" priority="9699" stopIfTrue="1" operator="notEqual">
      <formula>H409</formula>
    </cfRule>
  </conditionalFormatting>
  <conditionalFormatting sqref="O410 M410 G410 K410 S410 U410 W410 I410 Q410">
    <cfRule type="cellIs" dxfId="8154" priority="9698" stopIfTrue="1" operator="notEqual">
      <formula>H410</formula>
    </cfRule>
  </conditionalFormatting>
  <conditionalFormatting sqref="O411 M411 G411 K411 S411 U411 W411 I411 Q411">
    <cfRule type="cellIs" dxfId="8153" priority="9697" stopIfTrue="1" operator="notEqual">
      <formula>H411</formula>
    </cfRule>
  </conditionalFormatting>
  <conditionalFormatting sqref="O412 M412 G412 K412 S412 U412 W412 I412 Q412">
    <cfRule type="cellIs" dxfId="8152" priority="9696" stopIfTrue="1" operator="notEqual">
      <formula>H412</formula>
    </cfRule>
  </conditionalFormatting>
  <conditionalFormatting sqref="G413">
    <cfRule type="cellIs" dxfId="8151" priority="9695" stopIfTrue="1" operator="notEqual">
      <formula>H413</formula>
    </cfRule>
  </conditionalFormatting>
  <conditionalFormatting sqref="G414">
    <cfRule type="cellIs" dxfId="8150" priority="9694" stopIfTrue="1" operator="notEqual">
      <formula>H414</formula>
    </cfRule>
  </conditionalFormatting>
  <conditionalFormatting sqref="G415">
    <cfRule type="cellIs" dxfId="8149" priority="9693" stopIfTrue="1" operator="notEqual">
      <formula>H415</formula>
    </cfRule>
  </conditionalFormatting>
  <conditionalFormatting sqref="G416">
    <cfRule type="cellIs" dxfId="8148" priority="9692" stopIfTrue="1" operator="notEqual">
      <formula>H416</formula>
    </cfRule>
  </conditionalFormatting>
  <conditionalFormatting sqref="G413">
    <cfRule type="cellIs" dxfId="8147" priority="9691" stopIfTrue="1" operator="notEqual">
      <formula>H413</formula>
    </cfRule>
  </conditionalFormatting>
  <conditionalFormatting sqref="G413">
    <cfRule type="cellIs" dxfId="8146" priority="9690" stopIfTrue="1" operator="notEqual">
      <formula>H413</formula>
    </cfRule>
  </conditionalFormatting>
  <conditionalFormatting sqref="G413">
    <cfRule type="cellIs" dxfId="8145" priority="9689" stopIfTrue="1" operator="notEqual">
      <formula>H413</formula>
    </cfRule>
  </conditionalFormatting>
  <conditionalFormatting sqref="G413">
    <cfRule type="cellIs" dxfId="8144" priority="9688" stopIfTrue="1" operator="notEqual">
      <formula>H413</formula>
    </cfRule>
  </conditionalFormatting>
  <conditionalFormatting sqref="G413">
    <cfRule type="cellIs" dxfId="8143" priority="9687" stopIfTrue="1" operator="notEqual">
      <formula>H413</formula>
    </cfRule>
  </conditionalFormatting>
  <conditionalFormatting sqref="G413">
    <cfRule type="cellIs" dxfId="8142" priority="9686" stopIfTrue="1" operator="notEqual">
      <formula>H413</formula>
    </cfRule>
  </conditionalFormatting>
  <conditionalFormatting sqref="O413 M413 G413 K413 S413 U413 W413 I413 Q413">
    <cfRule type="cellIs" dxfId="8141" priority="9685" stopIfTrue="1" operator="notEqual">
      <formula>H413</formula>
    </cfRule>
  </conditionalFormatting>
  <conditionalFormatting sqref="O414 M414 G414 K414 S414 U414 W414 I414 Q414">
    <cfRule type="cellIs" dxfId="8140" priority="9684" stopIfTrue="1" operator="notEqual">
      <formula>H414</formula>
    </cfRule>
  </conditionalFormatting>
  <conditionalFormatting sqref="O415 M415 G415 K415 S415 U415 W415 I415 Q415">
    <cfRule type="cellIs" dxfId="8139" priority="9683" stopIfTrue="1" operator="notEqual">
      <formula>H415</formula>
    </cfRule>
  </conditionalFormatting>
  <conditionalFormatting sqref="O416 M416 G416 K416 S416 U416 W416 I416 Q416">
    <cfRule type="cellIs" dxfId="8138" priority="9682" stopIfTrue="1" operator="notEqual">
      <formula>H416</formula>
    </cfRule>
  </conditionalFormatting>
  <conditionalFormatting sqref="O413 M413 G413 K413 S413 U413 W413 I413 Q413">
    <cfRule type="cellIs" dxfId="8137" priority="9681" stopIfTrue="1" operator="notEqual">
      <formula>H413</formula>
    </cfRule>
  </conditionalFormatting>
  <conditionalFormatting sqref="O414 M414 G414 K414 S414 U414 W414 I414 Q414">
    <cfRule type="cellIs" dxfId="8136" priority="9680" stopIfTrue="1" operator="notEqual">
      <formula>H414</formula>
    </cfRule>
  </conditionalFormatting>
  <conditionalFormatting sqref="O415 M415 G415 K415 S415 U415 W415 I415 Q415">
    <cfRule type="cellIs" dxfId="8135" priority="9679" stopIfTrue="1" operator="notEqual">
      <formula>H415</formula>
    </cfRule>
  </conditionalFormatting>
  <conditionalFormatting sqref="O413 M413 G413 K413 S413 U413 W413 I413 Q413">
    <cfRule type="cellIs" dxfId="8134" priority="9678" stopIfTrue="1" operator="notEqual">
      <formula>H413</formula>
    </cfRule>
  </conditionalFormatting>
  <conditionalFormatting sqref="O416 M416 G416 K416 S416 U416 W416 I416 Q416">
    <cfRule type="cellIs" dxfId="8133" priority="9677" stopIfTrue="1" operator="notEqual">
      <formula>H416</formula>
    </cfRule>
  </conditionalFormatting>
  <conditionalFormatting sqref="O397:O401 M397:M401 G397:G401 K397:K401 S397:S401 U397:U401 W397:W401 I397:I401 Q397:Q401">
    <cfRule type="cellIs" dxfId="8132" priority="9676" stopIfTrue="1" operator="notEqual">
      <formula>H397</formula>
    </cfRule>
  </conditionalFormatting>
  <conditionalFormatting sqref="O398 M398 G398 K398 S398 U398 W398 I398 Q398">
    <cfRule type="cellIs" dxfId="8131" priority="9675" stopIfTrue="1" operator="notEqual">
      <formula>H398</formula>
    </cfRule>
  </conditionalFormatting>
  <conditionalFormatting sqref="O399 M399 G399 K399 S399 U399 W399 I399 Q399">
    <cfRule type="cellIs" dxfId="8130" priority="9674" stopIfTrue="1" operator="notEqual">
      <formula>H399</formula>
    </cfRule>
  </conditionalFormatting>
  <conditionalFormatting sqref="O399 M399 G399 K399 S399 U399 W399 I399 Q399">
    <cfRule type="cellIs" dxfId="8129" priority="9673" stopIfTrue="1" operator="notEqual">
      <formula>H399</formula>
    </cfRule>
  </conditionalFormatting>
  <conditionalFormatting sqref="O397 M397 G397 K397 S397 U397 W397 I397 Q397">
    <cfRule type="cellIs" dxfId="8128" priority="9672" stopIfTrue="1" operator="notEqual">
      <formula>H397</formula>
    </cfRule>
  </conditionalFormatting>
  <conditionalFormatting sqref="O402:O411 M402:M411 G402:G411 K402:K411 S402:S411 U402:U411 W402:W411 I402:I411 Q402:Q411">
    <cfRule type="cellIs" dxfId="8127" priority="9671" stopIfTrue="1" operator="notEqual">
      <formula>H402</formula>
    </cfRule>
  </conditionalFormatting>
  <conditionalFormatting sqref="O403 M403 G403 K403 S403 U403 W403 I403 Q403">
    <cfRule type="cellIs" dxfId="8126" priority="9670" stopIfTrue="1" operator="notEqual">
      <formula>H403</formula>
    </cfRule>
  </conditionalFormatting>
  <conditionalFormatting sqref="O401 M401 G401 K401 S401 U401 W401 I401 Q401">
    <cfRule type="cellIs" dxfId="8125" priority="9669" stopIfTrue="1" operator="notEqual">
      <formula>H401</formula>
    </cfRule>
  </conditionalFormatting>
  <conditionalFormatting sqref="O404 M404 G404 K404 S404 U404 W404 I404 Q404">
    <cfRule type="cellIs" dxfId="8124" priority="9668" stopIfTrue="1" operator="notEqual">
      <formula>H404</formula>
    </cfRule>
  </conditionalFormatting>
  <conditionalFormatting sqref="O405 M405 G405 K405 S405 U405 W405 I405 Q405">
    <cfRule type="cellIs" dxfId="8123" priority="9667" stopIfTrue="1" operator="notEqual">
      <formula>H405</formula>
    </cfRule>
  </conditionalFormatting>
  <conditionalFormatting sqref="O406 M406 G406 K406 S406 U406 W406 I406 Q406">
    <cfRule type="cellIs" dxfId="8122" priority="9666" stopIfTrue="1" operator="notEqual">
      <formula>H406</formula>
    </cfRule>
  </conditionalFormatting>
  <conditionalFormatting sqref="O407 M407 G407 K407 S407 U407 W407 I407 Q407">
    <cfRule type="cellIs" dxfId="8121" priority="9665" stopIfTrue="1" operator="notEqual">
      <formula>H407</formula>
    </cfRule>
  </conditionalFormatting>
  <conditionalFormatting sqref="O408 M408 G408 K408 S408 U408 W408 I408 Q408">
    <cfRule type="cellIs" dxfId="8120" priority="9664" stopIfTrue="1" operator="notEqual">
      <formula>H408</formula>
    </cfRule>
  </conditionalFormatting>
  <conditionalFormatting sqref="O409 M409 G409 K409 S409 U409 W409 I409 Q409">
    <cfRule type="cellIs" dxfId="8119" priority="9663" stopIfTrue="1" operator="notEqual">
      <formula>H409</formula>
    </cfRule>
  </conditionalFormatting>
  <conditionalFormatting sqref="O410 M410 G410 K410 S410 U410 W410 I410 Q410">
    <cfRule type="cellIs" dxfId="8118" priority="9662" stopIfTrue="1" operator="notEqual">
      <formula>H410</formula>
    </cfRule>
  </conditionalFormatting>
  <conditionalFormatting sqref="O411 M411 G411 K411 S411 U411 W411 I411 Q411">
    <cfRule type="cellIs" dxfId="8117" priority="9661" stopIfTrue="1" operator="notEqual">
      <formula>H411</formula>
    </cfRule>
  </conditionalFormatting>
  <conditionalFormatting sqref="O412 M412 G412 K412 S412 U412 W412 I412 Q412">
    <cfRule type="cellIs" dxfId="8116" priority="9660" stopIfTrue="1" operator="notEqual">
      <formula>H412</formula>
    </cfRule>
  </conditionalFormatting>
  <conditionalFormatting sqref="O413 M413 G413 K413 S413 U413 W413 I413 Q413">
    <cfRule type="cellIs" dxfId="8115" priority="9659" stopIfTrue="1" operator="notEqual">
      <formula>H413</formula>
    </cfRule>
  </conditionalFormatting>
  <conditionalFormatting sqref="O414 M414 G414 K414 S414 U414 W414 I414 Q414">
    <cfRule type="cellIs" dxfId="8114" priority="9658" stopIfTrue="1" operator="notEqual">
      <formula>H414</formula>
    </cfRule>
  </conditionalFormatting>
  <conditionalFormatting sqref="O415 M415 G415 K415 S415 U415 W415 I415 Q415">
    <cfRule type="cellIs" dxfId="8113" priority="9657" stopIfTrue="1" operator="notEqual">
      <formula>H415</formula>
    </cfRule>
  </conditionalFormatting>
  <conditionalFormatting sqref="O416 M416 G416 K416 S416 U416 W416 I416 Q416">
    <cfRule type="cellIs" dxfId="8112" priority="9656" stopIfTrue="1" operator="notEqual">
      <formula>H416</formula>
    </cfRule>
  </conditionalFormatting>
  <conditionalFormatting sqref="G424">
    <cfRule type="cellIs" dxfId="8111" priority="9655" stopIfTrue="1" operator="notEqual">
      <formula>H424</formula>
    </cfRule>
  </conditionalFormatting>
  <conditionalFormatting sqref="G417">
    <cfRule type="cellIs" dxfId="8110" priority="9654" stopIfTrue="1" operator="notEqual">
      <formula>H417</formula>
    </cfRule>
  </conditionalFormatting>
  <conditionalFormatting sqref="G418:G419">
    <cfRule type="cellIs" dxfId="8109" priority="9653" stopIfTrue="1" operator="notEqual">
      <formula>H418</formula>
    </cfRule>
  </conditionalFormatting>
  <conditionalFormatting sqref="G419">
    <cfRule type="cellIs" dxfId="8108" priority="9652" stopIfTrue="1" operator="notEqual">
      <formula>H419</formula>
    </cfRule>
  </conditionalFormatting>
  <conditionalFormatting sqref="G420">
    <cfRule type="cellIs" dxfId="8107" priority="9651" stopIfTrue="1" operator="notEqual">
      <formula>H420</formula>
    </cfRule>
  </conditionalFormatting>
  <conditionalFormatting sqref="G421">
    <cfRule type="cellIs" dxfId="8106" priority="9650" stopIfTrue="1" operator="notEqual">
      <formula>H421</formula>
    </cfRule>
  </conditionalFormatting>
  <conditionalFormatting sqref="G422:G430">
    <cfRule type="cellIs" dxfId="8105" priority="9649" stopIfTrue="1" operator="notEqual">
      <formula>H422</formula>
    </cfRule>
  </conditionalFormatting>
  <conditionalFormatting sqref="G423">
    <cfRule type="cellIs" dxfId="8104" priority="9648" stopIfTrue="1" operator="notEqual">
      <formula>H423</formula>
    </cfRule>
  </conditionalFormatting>
  <conditionalFormatting sqref="G417">
    <cfRule type="cellIs" dxfId="8103" priority="9647" stopIfTrue="1" operator="notEqual">
      <formula>H417</formula>
    </cfRule>
  </conditionalFormatting>
  <conditionalFormatting sqref="G418:G419">
    <cfRule type="cellIs" dxfId="8102" priority="9646" stopIfTrue="1" operator="notEqual">
      <formula>H418</formula>
    </cfRule>
  </conditionalFormatting>
  <conditionalFormatting sqref="G419">
    <cfRule type="cellIs" dxfId="8101" priority="9645" stopIfTrue="1" operator="notEqual">
      <formula>H419</formula>
    </cfRule>
  </conditionalFormatting>
  <conditionalFormatting sqref="G420">
    <cfRule type="cellIs" dxfId="8100" priority="9644" stopIfTrue="1" operator="notEqual">
      <formula>H420</formula>
    </cfRule>
  </conditionalFormatting>
  <conditionalFormatting sqref="G421">
    <cfRule type="cellIs" dxfId="8099" priority="9643" stopIfTrue="1" operator="notEqual">
      <formula>H421</formula>
    </cfRule>
  </conditionalFormatting>
  <conditionalFormatting sqref="G422:G430">
    <cfRule type="cellIs" dxfId="8098" priority="9642" stopIfTrue="1" operator="notEqual">
      <formula>H422</formula>
    </cfRule>
  </conditionalFormatting>
  <conditionalFormatting sqref="G423">
    <cfRule type="cellIs" dxfId="8097" priority="9641" stopIfTrue="1" operator="notEqual">
      <formula>H423</formula>
    </cfRule>
  </conditionalFormatting>
  <conditionalFormatting sqref="O417 M417 G417 K417 S417 U417 W417 I417 Q417">
    <cfRule type="cellIs" dxfId="8096" priority="9640" stopIfTrue="1" operator="notEqual">
      <formula>H417</formula>
    </cfRule>
  </conditionalFormatting>
  <conditionalFormatting sqref="O418:O419 M418:M419 G418:G419 K418:K419 S418:S419 U418:U419 W418:W419 I418:I419 Q418:Q419">
    <cfRule type="cellIs" dxfId="8095" priority="9639" stopIfTrue="1" operator="notEqual">
      <formula>H418</formula>
    </cfRule>
  </conditionalFormatting>
  <conditionalFormatting sqref="O419 M419 G419 K419 S419 U419 W419 I419 Q419">
    <cfRule type="cellIs" dxfId="8094" priority="9638" stopIfTrue="1" operator="notEqual">
      <formula>H419</formula>
    </cfRule>
  </conditionalFormatting>
  <conditionalFormatting sqref="O420 M420 G420 K420 S420 U420 W420 I420 Q420">
    <cfRule type="cellIs" dxfId="8093" priority="9637" stopIfTrue="1" operator="notEqual">
      <formula>H420</formula>
    </cfRule>
  </conditionalFormatting>
  <conditionalFormatting sqref="O421 M421 G421 K421 S421 U421 W421 I421 Q421">
    <cfRule type="cellIs" dxfId="8092" priority="9636" stopIfTrue="1" operator="notEqual">
      <formula>H421</formula>
    </cfRule>
  </conditionalFormatting>
  <conditionalFormatting sqref="O422:O430 M422:M430 G422:G430 K422:K430 S422:S430 U422:U430 W422:W430 I422:I430 Q422:Q430">
    <cfRule type="cellIs" dxfId="8091" priority="9635" stopIfTrue="1" operator="notEqual">
      <formula>H422</formula>
    </cfRule>
  </conditionalFormatting>
  <conditionalFormatting sqref="G422:G430">
    <cfRule type="cellIs" dxfId="8090" priority="9634" stopIfTrue="1" operator="notEqual">
      <formula>H422</formula>
    </cfRule>
  </conditionalFormatting>
  <conditionalFormatting sqref="G417">
    <cfRule type="cellIs" dxfId="8089" priority="9633" stopIfTrue="1" operator="notEqual">
      <formula>H417</formula>
    </cfRule>
  </conditionalFormatting>
  <conditionalFormatting sqref="G418:G419">
    <cfRule type="cellIs" dxfId="8088" priority="9632" stopIfTrue="1" operator="notEqual">
      <formula>H418</formula>
    </cfRule>
  </conditionalFormatting>
  <conditionalFormatting sqref="G419">
    <cfRule type="cellIs" dxfId="8087" priority="9631" stopIfTrue="1" operator="notEqual">
      <formula>H419</formula>
    </cfRule>
  </conditionalFormatting>
  <conditionalFormatting sqref="G420">
    <cfRule type="cellIs" dxfId="8086" priority="9630" stopIfTrue="1" operator="notEqual">
      <formula>H420</formula>
    </cfRule>
  </conditionalFormatting>
  <conditionalFormatting sqref="G421">
    <cfRule type="cellIs" dxfId="8085" priority="9629" stopIfTrue="1" operator="notEqual">
      <formula>H421</formula>
    </cfRule>
  </conditionalFormatting>
  <conditionalFormatting sqref="G423">
    <cfRule type="cellIs" dxfId="8084" priority="9628" stopIfTrue="1" operator="notEqual">
      <formula>H423</formula>
    </cfRule>
  </conditionalFormatting>
  <conditionalFormatting sqref="O418:O430 M418:M430 G418:G430 K418:K430 S418:S430 U418:U430 W418:W430 I418:I430 Q418:Q430">
    <cfRule type="cellIs" dxfId="8083" priority="9627" stopIfTrue="1" operator="notEqual">
      <formula>H418</formula>
    </cfRule>
  </conditionalFormatting>
  <conditionalFormatting sqref="O417 M417 G417 K417 S417 U417 W417 I417 Q417">
    <cfRule type="cellIs" dxfId="8082" priority="9626" stopIfTrue="1" operator="notEqual">
      <formula>H417</formula>
    </cfRule>
  </conditionalFormatting>
  <conditionalFormatting sqref="O420 M420 G420 K420 S420 U420 W420 I420 Q420">
    <cfRule type="cellIs" dxfId="8081" priority="9625" stopIfTrue="1" operator="notEqual">
      <formula>H420</formula>
    </cfRule>
  </conditionalFormatting>
  <conditionalFormatting sqref="O421 M421 G421 K421 S421 U421 W421 I421 Q421">
    <cfRule type="cellIs" dxfId="8080" priority="9624" stopIfTrue="1" operator="notEqual">
      <formula>H421</formula>
    </cfRule>
  </conditionalFormatting>
  <conditionalFormatting sqref="O421 M421 G421 K421 S421 U421 W421 I421 Q421">
    <cfRule type="cellIs" dxfId="8079" priority="9623" stopIfTrue="1" operator="notEqual">
      <formula>H421</formula>
    </cfRule>
  </conditionalFormatting>
  <conditionalFormatting sqref="O419 M419 G419 K419 S419 U419 W419 I419 Q419">
    <cfRule type="cellIs" dxfId="8078" priority="9622" stopIfTrue="1" operator="notEqual">
      <formula>H419</formula>
    </cfRule>
  </conditionalFormatting>
  <conditionalFormatting sqref="O423 M423 G423 K423 S423 U423 W423 I423 Q423">
    <cfRule type="cellIs" dxfId="8077" priority="9621" stopIfTrue="1" operator="notEqual">
      <formula>H423</formula>
    </cfRule>
  </conditionalFormatting>
  <conditionalFormatting sqref="O417 M417 G417 K417 S417 U417 W417 I417 Q417">
    <cfRule type="cellIs" dxfId="8076" priority="9620" stopIfTrue="1" operator="notEqual">
      <formula>H417</formula>
    </cfRule>
  </conditionalFormatting>
  <conditionalFormatting sqref="O418:O419 M418:M419 G418:G419 K418:K419 S418:S419 U418:U419 W418:W419 I418:I419 Q418:Q419">
    <cfRule type="cellIs" dxfId="8075" priority="9619" stopIfTrue="1" operator="notEqual">
      <formula>H418</formula>
    </cfRule>
  </conditionalFormatting>
  <conditionalFormatting sqref="O419 M419 G419 K419 S419 U419 W419 I419 Q419">
    <cfRule type="cellIs" dxfId="8074" priority="9618" stopIfTrue="1" operator="notEqual">
      <formula>H419</formula>
    </cfRule>
  </conditionalFormatting>
  <conditionalFormatting sqref="O420 M420 G420 K420 S420 U420 W420 I420 Q420">
    <cfRule type="cellIs" dxfId="8073" priority="9617" stopIfTrue="1" operator="notEqual">
      <formula>H420</formula>
    </cfRule>
  </conditionalFormatting>
  <conditionalFormatting sqref="O421 M421 G421 K421 S421 U421 W421 I421 Q421">
    <cfRule type="cellIs" dxfId="8072" priority="9616" stopIfTrue="1" operator="notEqual">
      <formula>H421</formula>
    </cfRule>
  </conditionalFormatting>
  <conditionalFormatting sqref="O422:O430 M422:M430 G422:G430 K422:K430 S422:S430 U422:U430 W422:W430 I422:I430 Q422:Q430">
    <cfRule type="cellIs" dxfId="8071" priority="9615" stopIfTrue="1" operator="notEqual">
      <formula>H422</formula>
    </cfRule>
  </conditionalFormatting>
  <conditionalFormatting sqref="O423 M423 G423 K423 S423 U423 W423 I423 Q423">
    <cfRule type="cellIs" dxfId="8070" priority="9614" stopIfTrue="1" operator="notEqual">
      <formula>H423</formula>
    </cfRule>
  </conditionalFormatting>
  <conditionalFormatting sqref="G417">
    <cfRule type="cellIs" dxfId="8069" priority="9613" stopIfTrue="1" operator="notEqual">
      <formula>H417</formula>
    </cfRule>
  </conditionalFormatting>
  <conditionalFormatting sqref="G418:G419">
    <cfRule type="cellIs" dxfId="8068" priority="9612" stopIfTrue="1" operator="notEqual">
      <formula>H418</formula>
    </cfRule>
  </conditionalFormatting>
  <conditionalFormatting sqref="G419">
    <cfRule type="cellIs" dxfId="8067" priority="9611" stopIfTrue="1" operator="notEqual">
      <formula>H419</formula>
    </cfRule>
  </conditionalFormatting>
  <conditionalFormatting sqref="G420">
    <cfRule type="cellIs" dxfId="8066" priority="9610" stopIfTrue="1" operator="notEqual">
      <formula>H420</formula>
    </cfRule>
  </conditionalFormatting>
  <conditionalFormatting sqref="G421">
    <cfRule type="cellIs" dxfId="8065" priority="9609" stopIfTrue="1" operator="notEqual">
      <formula>H421</formula>
    </cfRule>
  </conditionalFormatting>
  <conditionalFormatting sqref="G422:G430">
    <cfRule type="cellIs" dxfId="8064" priority="9608" stopIfTrue="1" operator="notEqual">
      <formula>H422</formula>
    </cfRule>
  </conditionalFormatting>
  <conditionalFormatting sqref="G423">
    <cfRule type="cellIs" dxfId="8063" priority="9607" stopIfTrue="1" operator="notEqual">
      <formula>H423</formula>
    </cfRule>
  </conditionalFormatting>
  <conditionalFormatting sqref="G424">
    <cfRule type="cellIs" dxfId="8062" priority="9606" stopIfTrue="1" operator="notEqual">
      <formula>H424</formula>
    </cfRule>
  </conditionalFormatting>
  <conditionalFormatting sqref="G425">
    <cfRule type="cellIs" dxfId="8061" priority="9605" stopIfTrue="1" operator="notEqual">
      <formula>H425</formula>
    </cfRule>
  </conditionalFormatting>
  <conditionalFormatting sqref="G426">
    <cfRule type="cellIs" dxfId="8060" priority="9604" stopIfTrue="1" operator="notEqual">
      <formula>H426</formula>
    </cfRule>
  </conditionalFormatting>
  <conditionalFormatting sqref="G427">
    <cfRule type="cellIs" dxfId="8059" priority="9603" stopIfTrue="1" operator="notEqual">
      <formula>H427</formula>
    </cfRule>
  </conditionalFormatting>
  <conditionalFormatting sqref="G428">
    <cfRule type="cellIs" dxfId="8058" priority="9602" stopIfTrue="1" operator="notEqual">
      <formula>H428</formula>
    </cfRule>
  </conditionalFormatting>
  <conditionalFormatting sqref="G429">
    <cfRule type="cellIs" dxfId="8057" priority="9601" stopIfTrue="1" operator="notEqual">
      <formula>H429</formula>
    </cfRule>
  </conditionalFormatting>
  <conditionalFormatting sqref="G430">
    <cfRule type="cellIs" dxfId="8056" priority="9600" stopIfTrue="1" operator="notEqual">
      <formula>H430</formula>
    </cfRule>
  </conditionalFormatting>
  <conditionalFormatting sqref="G431">
    <cfRule type="cellIs" dxfId="8055" priority="9599" stopIfTrue="1" operator="notEqual">
      <formula>H431</formula>
    </cfRule>
  </conditionalFormatting>
  <conditionalFormatting sqref="O417 M417 G417 K417 S417 U417 W417 I417 Q417">
    <cfRule type="cellIs" dxfId="8054" priority="9593" stopIfTrue="1" operator="notEqual">
      <formula>H417</formula>
    </cfRule>
  </conditionalFormatting>
  <conditionalFormatting sqref="O418:O419 M418:M419 G418:G419 K418:K419 S418:S419 U418:U419 W418:W419 I418:I419 Q418:Q419">
    <cfRule type="cellIs" dxfId="8053" priority="9592" stopIfTrue="1" operator="notEqual">
      <formula>H418</formula>
    </cfRule>
  </conditionalFormatting>
  <conditionalFormatting sqref="O419 M419 G419 K419 S419 U419 W419 I419 Q419">
    <cfRule type="cellIs" dxfId="8052" priority="9591" stopIfTrue="1" operator="notEqual">
      <formula>H419</formula>
    </cfRule>
  </conditionalFormatting>
  <conditionalFormatting sqref="O420 M420 G420 K420 S420 U420 W420 I420 Q420">
    <cfRule type="cellIs" dxfId="8051" priority="9590" stopIfTrue="1" operator="notEqual">
      <formula>H420</formula>
    </cfRule>
  </conditionalFormatting>
  <conditionalFormatting sqref="O421 M421 G421 K421 S421 U421 W421 I421 Q421">
    <cfRule type="cellIs" dxfId="8050" priority="9589" stopIfTrue="1" operator="notEqual">
      <formula>H421</formula>
    </cfRule>
  </conditionalFormatting>
  <conditionalFormatting sqref="O422:O430 M422:M430 G422:G430 K422:K430 S422:S430 U422:U430 W422:W430 I422:I430 Q422:Q430">
    <cfRule type="cellIs" dxfId="8049" priority="9588" stopIfTrue="1" operator="notEqual">
      <formula>H422</formula>
    </cfRule>
  </conditionalFormatting>
  <conditionalFormatting sqref="O423 M423 G423 K423 S423 U423 W423 I423 Q423">
    <cfRule type="cellIs" dxfId="8048" priority="9587" stopIfTrue="1" operator="notEqual">
      <formula>H423</formula>
    </cfRule>
  </conditionalFormatting>
  <conditionalFormatting sqref="O424 M424 G424 K424 S424 U424 W424 I424 Q424">
    <cfRule type="cellIs" dxfId="8047" priority="9586" stopIfTrue="1" operator="notEqual">
      <formula>H424</formula>
    </cfRule>
  </conditionalFormatting>
  <conditionalFormatting sqref="O425 M425 G425 K425 S425 U425 W425 I425 Q425">
    <cfRule type="cellIs" dxfId="8046" priority="9585" stopIfTrue="1" operator="notEqual">
      <formula>H425</formula>
    </cfRule>
  </conditionalFormatting>
  <conditionalFormatting sqref="O426 M426 G426 K426 S426 U426 W426 I426 Q426">
    <cfRule type="cellIs" dxfId="8045" priority="9584" stopIfTrue="1" operator="notEqual">
      <formula>H426</formula>
    </cfRule>
  </conditionalFormatting>
  <conditionalFormatting sqref="O427 M427 G427 K427 S427 U427 W427 I427 Q427">
    <cfRule type="cellIs" dxfId="8044" priority="9583" stopIfTrue="1" operator="notEqual">
      <formula>H427</formula>
    </cfRule>
  </conditionalFormatting>
  <conditionalFormatting sqref="G427:G428">
    <cfRule type="cellIs" dxfId="8043" priority="9582" stopIfTrue="1" operator="notEqual">
      <formula>H427</formula>
    </cfRule>
  </conditionalFormatting>
  <conditionalFormatting sqref="G417">
    <cfRule type="cellIs" dxfId="8042" priority="9581" stopIfTrue="1" operator="notEqual">
      <formula>H417</formula>
    </cfRule>
  </conditionalFormatting>
  <conditionalFormatting sqref="G418:G419">
    <cfRule type="cellIs" dxfId="8041" priority="9580" stopIfTrue="1" operator="notEqual">
      <formula>H418</formula>
    </cfRule>
  </conditionalFormatting>
  <conditionalFormatting sqref="G419">
    <cfRule type="cellIs" dxfId="8040" priority="9579" stopIfTrue="1" operator="notEqual">
      <formula>H419</formula>
    </cfRule>
  </conditionalFormatting>
  <conditionalFormatting sqref="G420">
    <cfRule type="cellIs" dxfId="8039" priority="9578" stopIfTrue="1" operator="notEqual">
      <formula>H420</formula>
    </cfRule>
  </conditionalFormatting>
  <conditionalFormatting sqref="G421">
    <cfRule type="cellIs" dxfId="8038" priority="9577" stopIfTrue="1" operator="notEqual">
      <formula>H421</formula>
    </cfRule>
  </conditionalFormatting>
  <conditionalFormatting sqref="G422:G430">
    <cfRule type="cellIs" dxfId="8037" priority="9576" stopIfTrue="1" operator="notEqual">
      <formula>H422</formula>
    </cfRule>
  </conditionalFormatting>
  <conditionalFormatting sqref="G423">
    <cfRule type="cellIs" dxfId="8036" priority="9575" stopIfTrue="1" operator="notEqual">
      <formula>H423</formula>
    </cfRule>
  </conditionalFormatting>
  <conditionalFormatting sqref="G424">
    <cfRule type="cellIs" dxfId="8035" priority="9574" stopIfTrue="1" operator="notEqual">
      <formula>H424</formula>
    </cfRule>
  </conditionalFormatting>
  <conditionalFormatting sqref="G425">
    <cfRule type="cellIs" dxfId="8034" priority="9573" stopIfTrue="1" operator="notEqual">
      <formula>H425</formula>
    </cfRule>
  </conditionalFormatting>
  <conditionalFormatting sqref="G426">
    <cfRule type="cellIs" dxfId="8033" priority="9572" stopIfTrue="1" operator="notEqual">
      <formula>H426</formula>
    </cfRule>
  </conditionalFormatting>
  <conditionalFormatting sqref="G428">
    <cfRule type="cellIs" dxfId="8032" priority="9571" stopIfTrue="1" operator="notEqual">
      <formula>H428</formula>
    </cfRule>
  </conditionalFormatting>
  <conditionalFormatting sqref="O423:O428 M423:M428 G423:G428 K423:K428 S423:S428 U423:U428 W423:W428 I423:I428 Q423:Q428">
    <cfRule type="cellIs" dxfId="8031" priority="9570" stopIfTrue="1" operator="notEqual">
      <formula>H423</formula>
    </cfRule>
  </conditionalFormatting>
  <conditionalFormatting sqref="O417 M417 G417 K417 S417 U417 W417 I417 Q417">
    <cfRule type="cellIs" dxfId="8030" priority="9569" stopIfTrue="1" operator="notEqual">
      <formula>H417</formula>
    </cfRule>
  </conditionalFormatting>
  <conditionalFormatting sqref="O418:O419 M418:M419 G418:G419 K418:K419 S418:S419 U418:U419 W418:W419 I418:I419 Q418:Q419">
    <cfRule type="cellIs" dxfId="8029" priority="9568" stopIfTrue="1" operator="notEqual">
      <formula>H418</formula>
    </cfRule>
  </conditionalFormatting>
  <conditionalFormatting sqref="O419 M419 G419 K419 S419 U419 W419 I419 Q419">
    <cfRule type="cellIs" dxfId="8028" priority="9567" stopIfTrue="1" operator="notEqual">
      <formula>H419</formula>
    </cfRule>
  </conditionalFormatting>
  <conditionalFormatting sqref="O420 M420 G420 K420 S420 U420 W420 I420 Q420">
    <cfRule type="cellIs" dxfId="8027" priority="9566" stopIfTrue="1" operator="notEqual">
      <formula>H420</formula>
    </cfRule>
  </conditionalFormatting>
  <conditionalFormatting sqref="O421 M421 G421 K421 S421 U421 W421 I421 Q421">
    <cfRule type="cellIs" dxfId="8026" priority="9565" stopIfTrue="1" operator="notEqual">
      <formula>H421</formula>
    </cfRule>
  </conditionalFormatting>
  <conditionalFormatting sqref="O422:O430 M422:M430 G422:G430 K422:K430 S422:S430 U422:U430 W422:W430 I422:I430 Q422:Q430">
    <cfRule type="cellIs" dxfId="8025" priority="9564" stopIfTrue="1" operator="notEqual">
      <formula>H422</formula>
    </cfRule>
  </conditionalFormatting>
  <conditionalFormatting sqref="O425 M425 G425 K425 S425 U425 W425 I425 Q425">
    <cfRule type="cellIs" dxfId="8024" priority="9563" stopIfTrue="1" operator="notEqual">
      <formula>H425</formula>
    </cfRule>
  </conditionalFormatting>
  <conditionalFormatting sqref="O426 M426 G426 K426 S426 U426 W426 I426 Q426">
    <cfRule type="cellIs" dxfId="8023" priority="9562" stopIfTrue="1" operator="notEqual">
      <formula>H426</formula>
    </cfRule>
  </conditionalFormatting>
  <conditionalFormatting sqref="O426 M426 G426 K426 S426 U426 W426 I426 Q426">
    <cfRule type="cellIs" dxfId="8022" priority="9561" stopIfTrue="1" operator="notEqual">
      <formula>H426</formula>
    </cfRule>
  </conditionalFormatting>
  <conditionalFormatting sqref="O424 M424 G424 K424 S424 U424 W424 I424 Q424">
    <cfRule type="cellIs" dxfId="8021" priority="9560" stopIfTrue="1" operator="notEqual">
      <formula>H424</formula>
    </cfRule>
  </conditionalFormatting>
  <conditionalFormatting sqref="O428 M428 G428 K428 S428 U428 W428 I428 Q428">
    <cfRule type="cellIs" dxfId="8020" priority="9559" stopIfTrue="1" operator="notEqual">
      <formula>H428</formula>
    </cfRule>
  </conditionalFormatting>
  <conditionalFormatting sqref="O417 M417 G417 K417 S417 U417 W417 I417 Q417">
    <cfRule type="cellIs" dxfId="8019" priority="9558" stopIfTrue="1" operator="notEqual">
      <formula>H417</formula>
    </cfRule>
  </conditionalFormatting>
  <conditionalFormatting sqref="O418:O419 M418:M419 G418:G419 K418:K419 S418:S419 U418:U419 W418:W419 I418:I419 Q418:Q419">
    <cfRule type="cellIs" dxfId="8018" priority="9557" stopIfTrue="1" operator="notEqual">
      <formula>H418</formula>
    </cfRule>
  </conditionalFormatting>
  <conditionalFormatting sqref="O419 M419 G419 K419 S419 U419 W419 I419 Q419">
    <cfRule type="cellIs" dxfId="8017" priority="9556" stopIfTrue="1" operator="notEqual">
      <formula>H419</formula>
    </cfRule>
  </conditionalFormatting>
  <conditionalFormatting sqref="O420 M420 G420 K420 S420 U420 W420 I420 Q420">
    <cfRule type="cellIs" dxfId="8016" priority="9555" stopIfTrue="1" operator="notEqual">
      <formula>H420</formula>
    </cfRule>
  </conditionalFormatting>
  <conditionalFormatting sqref="O421 M421 G421 K421 S421 U421 W421 I421 Q421">
    <cfRule type="cellIs" dxfId="8015" priority="9554" stopIfTrue="1" operator="notEqual">
      <formula>H421</formula>
    </cfRule>
  </conditionalFormatting>
  <conditionalFormatting sqref="O422:O430 M422:M430 G422:G430 K422:K430 S422:S430 U422:U430 W422:W430 I422:I430 Q422:Q430">
    <cfRule type="cellIs" dxfId="8014" priority="9553" stopIfTrue="1" operator="notEqual">
      <formula>H422</formula>
    </cfRule>
  </conditionalFormatting>
  <conditionalFormatting sqref="O423 M423 G423 K423 S423 U423 W423 I423 Q423">
    <cfRule type="cellIs" dxfId="8013" priority="9552" stopIfTrue="1" operator="notEqual">
      <formula>H423</formula>
    </cfRule>
  </conditionalFormatting>
  <conditionalFormatting sqref="O424 M424 G424 K424 S424 U424 W424 I424 Q424">
    <cfRule type="cellIs" dxfId="8012" priority="9551" stopIfTrue="1" operator="notEqual">
      <formula>H424</formula>
    </cfRule>
  </conditionalFormatting>
  <conditionalFormatting sqref="O425 M425 G425 K425 S425 U425 W425 I425 Q425">
    <cfRule type="cellIs" dxfId="8011" priority="9550" stopIfTrue="1" operator="notEqual">
      <formula>H425</formula>
    </cfRule>
  </conditionalFormatting>
  <conditionalFormatting sqref="O426 M426 G426 K426 S426 U426 W426 I426 Q426">
    <cfRule type="cellIs" dxfId="8010" priority="9549" stopIfTrue="1" operator="notEqual">
      <formula>H426</formula>
    </cfRule>
  </conditionalFormatting>
  <conditionalFormatting sqref="O427 M427 G427 K427 S427 U427 W427 I427 Q427">
    <cfRule type="cellIs" dxfId="8009" priority="9548" stopIfTrue="1" operator="notEqual">
      <formula>H427</formula>
    </cfRule>
  </conditionalFormatting>
  <conditionalFormatting sqref="O428 M428 G428 K428 S428 U428 W428 I428 Q428">
    <cfRule type="cellIs" dxfId="8008" priority="9547" stopIfTrue="1" operator="notEqual">
      <formula>H428</formula>
    </cfRule>
  </conditionalFormatting>
  <conditionalFormatting sqref="G428:G431">
    <cfRule type="cellIs" dxfId="8007" priority="9546" stopIfTrue="1" operator="notEqual">
      <formula>H428</formula>
    </cfRule>
  </conditionalFormatting>
  <conditionalFormatting sqref="G428">
    <cfRule type="cellIs" dxfId="8006" priority="9545" stopIfTrue="1" operator="notEqual">
      <formula>H428</formula>
    </cfRule>
  </conditionalFormatting>
  <conditionalFormatting sqref="G429">
    <cfRule type="cellIs" dxfId="8005" priority="9544" stopIfTrue="1" operator="notEqual">
      <formula>H429</formula>
    </cfRule>
  </conditionalFormatting>
  <conditionalFormatting sqref="G429">
    <cfRule type="cellIs" dxfId="8004" priority="9543" stopIfTrue="1" operator="notEqual">
      <formula>H429</formula>
    </cfRule>
  </conditionalFormatting>
  <conditionalFormatting sqref="G431">
    <cfRule type="cellIs" dxfId="8003" priority="9540" stopIfTrue="1" operator="notEqual">
      <formula>H431</formula>
    </cfRule>
  </conditionalFormatting>
  <conditionalFormatting sqref="O428 M428 G428 K428 S428 U428 W428 I428 Q428">
    <cfRule type="cellIs" dxfId="8002" priority="9536" stopIfTrue="1" operator="notEqual">
      <formula>H428</formula>
    </cfRule>
  </conditionalFormatting>
  <conditionalFormatting sqref="O429 M429 G429 K429 S429 U429 W429 I429 Q429">
    <cfRule type="cellIs" dxfId="8001" priority="9535" stopIfTrue="1" operator="notEqual">
      <formula>H429</formula>
    </cfRule>
  </conditionalFormatting>
  <conditionalFormatting sqref="O430 M430 G430 K430 S430 U430 W430 I430 Q430">
    <cfRule type="cellIs" dxfId="8000" priority="9534" stopIfTrue="1" operator="notEqual">
      <formula>H430</formula>
    </cfRule>
  </conditionalFormatting>
  <conditionalFormatting sqref="O431 M431 G431 K431 S431 U431 W431 I431 Q431">
    <cfRule type="cellIs" dxfId="7999" priority="9533" stopIfTrue="1" operator="notEqual">
      <formula>H431</formula>
    </cfRule>
  </conditionalFormatting>
  <conditionalFormatting sqref="G428">
    <cfRule type="cellIs" dxfId="7998" priority="9527" stopIfTrue="1" operator="notEqual">
      <formula>H428</formula>
    </cfRule>
  </conditionalFormatting>
  <conditionalFormatting sqref="G429">
    <cfRule type="cellIs" dxfId="7997" priority="9526" stopIfTrue="1" operator="notEqual">
      <formula>H429</formula>
    </cfRule>
  </conditionalFormatting>
  <conditionalFormatting sqref="G430">
    <cfRule type="cellIs" dxfId="7996" priority="9525" stopIfTrue="1" operator="notEqual">
      <formula>H430</formula>
    </cfRule>
  </conditionalFormatting>
  <conditionalFormatting sqref="G431">
    <cfRule type="cellIs" dxfId="7995" priority="9524" stopIfTrue="1" operator="notEqual">
      <formula>H431</formula>
    </cfRule>
  </conditionalFormatting>
  <conditionalFormatting sqref="G428">
    <cfRule type="cellIs" dxfId="7994" priority="9518" stopIfTrue="1" operator="notEqual">
      <formula>H428</formula>
    </cfRule>
  </conditionalFormatting>
  <conditionalFormatting sqref="G428">
    <cfRule type="cellIs" dxfId="7993" priority="9517" stopIfTrue="1" operator="notEqual">
      <formula>H428</formula>
    </cfRule>
  </conditionalFormatting>
  <conditionalFormatting sqref="G428">
    <cfRule type="cellIs" dxfId="7992" priority="9516" stopIfTrue="1" operator="notEqual">
      <formula>H428</formula>
    </cfRule>
  </conditionalFormatting>
  <conditionalFormatting sqref="G428">
    <cfRule type="cellIs" dxfId="7991" priority="9515" stopIfTrue="1" operator="notEqual">
      <formula>H428</formula>
    </cfRule>
  </conditionalFormatting>
  <conditionalFormatting sqref="G428">
    <cfRule type="cellIs" dxfId="7990" priority="9514" stopIfTrue="1" operator="notEqual">
      <formula>H428</formula>
    </cfRule>
  </conditionalFormatting>
  <conditionalFormatting sqref="G428">
    <cfRule type="cellIs" dxfId="7989" priority="9513" stopIfTrue="1" operator="notEqual">
      <formula>H428</formula>
    </cfRule>
  </conditionalFormatting>
  <conditionalFormatting sqref="O428 M428 G428 K428 S428 U428 W428 I428 Q428">
    <cfRule type="cellIs" dxfId="7988" priority="9512" stopIfTrue="1" operator="notEqual">
      <formula>H428</formula>
    </cfRule>
  </conditionalFormatting>
  <conditionalFormatting sqref="O429 M429 G429 K429 S429 U429 W429 I429 Q429">
    <cfRule type="cellIs" dxfId="7987" priority="9511" stopIfTrue="1" operator="notEqual">
      <formula>H429</formula>
    </cfRule>
  </conditionalFormatting>
  <conditionalFormatting sqref="O430 M430 G430 K430 S430 U430 W430 I430 Q430">
    <cfRule type="cellIs" dxfId="7986" priority="9510" stopIfTrue="1" operator="notEqual">
      <formula>H430</formula>
    </cfRule>
  </conditionalFormatting>
  <conditionalFormatting sqref="O431 M431 G431 K431 S431 U431 W431 I431 Q431">
    <cfRule type="cellIs" dxfId="7985" priority="9509" stopIfTrue="1" operator="notEqual">
      <formula>H431</formula>
    </cfRule>
  </conditionalFormatting>
  <conditionalFormatting sqref="O428 M428 G428 K428 S428 U428 W428 I428 Q428">
    <cfRule type="cellIs" dxfId="7984" priority="9503" stopIfTrue="1" operator="notEqual">
      <formula>H428</formula>
    </cfRule>
  </conditionalFormatting>
  <conditionalFormatting sqref="O429 M429 G429 K429 S429 U429 W429 I429 Q429">
    <cfRule type="cellIs" dxfId="7983" priority="9502" stopIfTrue="1" operator="notEqual">
      <formula>H429</formula>
    </cfRule>
  </conditionalFormatting>
  <conditionalFormatting sqref="O430 M430 G430 K430 S430 U430 W430 I430 Q430">
    <cfRule type="cellIs" dxfId="7982" priority="9501" stopIfTrue="1" operator="notEqual">
      <formula>H430</formula>
    </cfRule>
  </conditionalFormatting>
  <conditionalFormatting sqref="O428 M428 G428 K428 S428 U428 W428 I428 Q428">
    <cfRule type="cellIs" dxfId="7981" priority="9500" stopIfTrue="1" operator="notEqual">
      <formula>H428</formula>
    </cfRule>
  </conditionalFormatting>
  <conditionalFormatting sqref="O431 M431 G431 K431 S431 U431 W431 I431 Q431">
    <cfRule type="cellIs" dxfId="7980" priority="9499" stopIfTrue="1" operator="notEqual">
      <formula>H431</formula>
    </cfRule>
  </conditionalFormatting>
  <conditionalFormatting sqref="G417">
    <cfRule type="cellIs" dxfId="7979" priority="9492" stopIfTrue="1" operator="notEqual">
      <formula>H417</formula>
    </cfRule>
  </conditionalFormatting>
  <conditionalFormatting sqref="G418:G419">
    <cfRule type="cellIs" dxfId="7978" priority="9491" stopIfTrue="1" operator="notEqual">
      <formula>H418</formula>
    </cfRule>
  </conditionalFormatting>
  <conditionalFormatting sqref="G419">
    <cfRule type="cellIs" dxfId="7977" priority="9490" stopIfTrue="1" operator="notEqual">
      <formula>H419</formula>
    </cfRule>
  </conditionalFormatting>
  <conditionalFormatting sqref="G420">
    <cfRule type="cellIs" dxfId="7976" priority="9489" stopIfTrue="1" operator="notEqual">
      <formula>H420</formula>
    </cfRule>
  </conditionalFormatting>
  <conditionalFormatting sqref="G421">
    <cfRule type="cellIs" dxfId="7975" priority="9488" stopIfTrue="1" operator="notEqual">
      <formula>H421</formula>
    </cfRule>
  </conditionalFormatting>
  <conditionalFormatting sqref="G422:G430">
    <cfRule type="cellIs" dxfId="7974" priority="9487" stopIfTrue="1" operator="notEqual">
      <formula>H422</formula>
    </cfRule>
  </conditionalFormatting>
  <conditionalFormatting sqref="G423">
    <cfRule type="cellIs" dxfId="7973" priority="9486" stopIfTrue="1" operator="notEqual">
      <formula>H423</formula>
    </cfRule>
  </conditionalFormatting>
  <conditionalFormatting sqref="G424">
    <cfRule type="cellIs" dxfId="7972" priority="9485" stopIfTrue="1" operator="notEqual">
      <formula>H424</formula>
    </cfRule>
  </conditionalFormatting>
  <conditionalFormatting sqref="G425">
    <cfRule type="cellIs" dxfId="7971" priority="9484" stopIfTrue="1" operator="notEqual">
      <formula>H425</formula>
    </cfRule>
  </conditionalFormatting>
  <conditionalFormatting sqref="G426">
    <cfRule type="cellIs" dxfId="7970" priority="9483" stopIfTrue="1" operator="notEqual">
      <formula>H426</formula>
    </cfRule>
  </conditionalFormatting>
  <conditionalFormatting sqref="G427">
    <cfRule type="cellIs" dxfId="7969" priority="9482" stopIfTrue="1" operator="notEqual">
      <formula>H427</formula>
    </cfRule>
  </conditionalFormatting>
  <conditionalFormatting sqref="G428">
    <cfRule type="cellIs" dxfId="7968" priority="9481" stopIfTrue="1" operator="notEqual">
      <formula>H428</formula>
    </cfRule>
  </conditionalFormatting>
  <conditionalFormatting sqref="G429">
    <cfRule type="cellIs" dxfId="7967" priority="9480" stopIfTrue="1" operator="notEqual">
      <formula>H429</formula>
    </cfRule>
  </conditionalFormatting>
  <conditionalFormatting sqref="G430">
    <cfRule type="cellIs" dxfId="7966" priority="9479" stopIfTrue="1" operator="notEqual">
      <formula>H430</formula>
    </cfRule>
  </conditionalFormatting>
  <conditionalFormatting sqref="G417">
    <cfRule type="cellIs" dxfId="7965" priority="9478" stopIfTrue="1" operator="notEqual">
      <formula>H417</formula>
    </cfRule>
  </conditionalFormatting>
  <conditionalFormatting sqref="G417">
    <cfRule type="cellIs" dxfId="7964" priority="9477" stopIfTrue="1" operator="notEqual">
      <formula>H417</formula>
    </cfRule>
  </conditionalFormatting>
  <conditionalFormatting sqref="G417">
    <cfRule type="cellIs" dxfId="7963" priority="9476" stopIfTrue="1" operator="notEqual">
      <formula>H417</formula>
    </cfRule>
  </conditionalFormatting>
  <conditionalFormatting sqref="G417">
    <cfRule type="cellIs" dxfId="7962" priority="9475" stopIfTrue="1" operator="notEqual">
      <formula>H417</formula>
    </cfRule>
  </conditionalFormatting>
  <conditionalFormatting sqref="G417">
    <cfRule type="cellIs" dxfId="7961" priority="9474" stopIfTrue="1" operator="notEqual">
      <formula>H417</formula>
    </cfRule>
  </conditionalFormatting>
  <conditionalFormatting sqref="G417">
    <cfRule type="cellIs" dxfId="7960" priority="9473" stopIfTrue="1" operator="notEqual">
      <formula>H417</formula>
    </cfRule>
  </conditionalFormatting>
  <conditionalFormatting sqref="O417 M417 G417 K417 S417 U417 W417 I417 Q417">
    <cfRule type="cellIs" dxfId="7959" priority="9466" stopIfTrue="1" operator="notEqual">
      <formula>H417</formula>
    </cfRule>
  </conditionalFormatting>
  <conditionalFormatting sqref="O418:O419 M418:M419 G418:G419 K418:K419 S418:S419 U418:U419 W418:W419 I418:I419 Q418:Q419">
    <cfRule type="cellIs" dxfId="7958" priority="9465" stopIfTrue="1" operator="notEqual">
      <formula>H418</formula>
    </cfRule>
  </conditionalFormatting>
  <conditionalFormatting sqref="O419 M419 G419 K419 S419 U419 W419 I419 Q419">
    <cfRule type="cellIs" dxfId="7957" priority="9464" stopIfTrue="1" operator="notEqual">
      <formula>H419</formula>
    </cfRule>
  </conditionalFormatting>
  <conditionalFormatting sqref="O420 M420 G420 K420 S420 U420 W420 I420 Q420">
    <cfRule type="cellIs" dxfId="7956" priority="9463" stopIfTrue="1" operator="notEqual">
      <formula>H420</formula>
    </cfRule>
  </conditionalFormatting>
  <conditionalFormatting sqref="O421 M421 G421 K421 S421 U421 W421 I421 Q421">
    <cfRule type="cellIs" dxfId="7955" priority="9462" stopIfTrue="1" operator="notEqual">
      <formula>H421</formula>
    </cfRule>
  </conditionalFormatting>
  <conditionalFormatting sqref="O422:O430 M422:M430 G422:G430 K422:K430 S422:S430 U422:U430 W422:W430 I422:I430 Q422:Q430">
    <cfRule type="cellIs" dxfId="7954" priority="9461" stopIfTrue="1" operator="notEqual">
      <formula>H422</formula>
    </cfRule>
  </conditionalFormatting>
  <conditionalFormatting sqref="O423 M423 G423 K423 S423 U423 W423 I423 Q423">
    <cfRule type="cellIs" dxfId="7953" priority="9460" stopIfTrue="1" operator="notEqual">
      <formula>H423</formula>
    </cfRule>
  </conditionalFormatting>
  <conditionalFormatting sqref="O424 M424 G424 K424 S424 U424 W424 I424 Q424">
    <cfRule type="cellIs" dxfId="7952" priority="9459" stopIfTrue="1" operator="notEqual">
      <formula>H424</formula>
    </cfRule>
  </conditionalFormatting>
  <conditionalFormatting sqref="O425 M425 G425 K425 S425 U425 W425 I425 Q425">
    <cfRule type="cellIs" dxfId="7951" priority="9458" stopIfTrue="1" operator="notEqual">
      <formula>H425</formula>
    </cfRule>
  </conditionalFormatting>
  <conditionalFormatting sqref="O426 M426 G426 K426 S426 U426 W426 I426 Q426">
    <cfRule type="cellIs" dxfId="7950" priority="9457" stopIfTrue="1" operator="notEqual">
      <formula>H426</formula>
    </cfRule>
  </conditionalFormatting>
  <conditionalFormatting sqref="O429 M429 G429 K429 S429 U429 W429 I429 Q429">
    <cfRule type="cellIs" dxfId="7949" priority="9456" stopIfTrue="1" operator="notEqual">
      <formula>H429</formula>
    </cfRule>
  </conditionalFormatting>
  <conditionalFormatting sqref="O430 M430 G430 K430 S430 U430 W430 I430 Q430">
    <cfRule type="cellIs" dxfId="7948" priority="9455" stopIfTrue="1" operator="notEqual">
      <formula>H430</formula>
    </cfRule>
  </conditionalFormatting>
  <conditionalFormatting sqref="O430 M430 G430 K430 S430 U430 W430 I430 Q430">
    <cfRule type="cellIs" dxfId="7947" priority="9454" stopIfTrue="1" operator="notEqual">
      <formula>H430</formula>
    </cfRule>
  </conditionalFormatting>
  <conditionalFormatting sqref="O428 M428 G428 K428 S428 U428 W428 I428 Q428">
    <cfRule type="cellIs" dxfId="7946" priority="9453" stopIfTrue="1" operator="notEqual">
      <formula>H428</formula>
    </cfRule>
  </conditionalFormatting>
  <conditionalFormatting sqref="O417 M417 G417 K417 S417 U417 W417 I417 Q417">
    <cfRule type="cellIs" dxfId="7945" priority="9447" stopIfTrue="1" operator="notEqual">
      <formula>H417</formula>
    </cfRule>
  </conditionalFormatting>
  <conditionalFormatting sqref="O418:O419 M418:M419 G418:G419 K418:K419 S418:S419 U418:U419 W418:W419 I418:I419 Q418:Q419">
    <cfRule type="cellIs" dxfId="7944" priority="9446" stopIfTrue="1" operator="notEqual">
      <formula>H418</formula>
    </cfRule>
  </conditionalFormatting>
  <conditionalFormatting sqref="O419 M419 G419 K419 S419 U419 W419 I419 Q419">
    <cfRule type="cellIs" dxfId="7943" priority="9445" stopIfTrue="1" operator="notEqual">
      <formula>H419</formula>
    </cfRule>
  </conditionalFormatting>
  <conditionalFormatting sqref="O417 M417 G417 K417 S417 U417 W417 I417 Q417">
    <cfRule type="cellIs" dxfId="7942" priority="9444" stopIfTrue="1" operator="notEqual">
      <formula>H417</formula>
    </cfRule>
  </conditionalFormatting>
  <conditionalFormatting sqref="O420 M420 G420 K420 S420 U420 W420 I420 Q420">
    <cfRule type="cellIs" dxfId="7941" priority="9443" stopIfTrue="1" operator="notEqual">
      <formula>H420</formula>
    </cfRule>
  </conditionalFormatting>
  <conditionalFormatting sqref="O421 M421 G421 K421 S421 U421 W421 I421 Q421">
    <cfRule type="cellIs" dxfId="7940" priority="9442" stopIfTrue="1" operator="notEqual">
      <formula>H421</formula>
    </cfRule>
  </conditionalFormatting>
  <conditionalFormatting sqref="O422:O430 M422:M430 G422:G430 K422:K430 S422:S430 U422:U430 W422:W430 I422:I430 Q422:Q430">
    <cfRule type="cellIs" dxfId="7939" priority="9441" stopIfTrue="1" operator="notEqual">
      <formula>H422</formula>
    </cfRule>
  </conditionalFormatting>
  <conditionalFormatting sqref="O423 M423 G423 K423 S423 U423 W423 I423 Q423">
    <cfRule type="cellIs" dxfId="7938" priority="9440" stopIfTrue="1" operator="notEqual">
      <formula>H423</formula>
    </cfRule>
  </conditionalFormatting>
  <conditionalFormatting sqref="O424 M424 G424 K424 S424 U424 W424 I424 Q424">
    <cfRule type="cellIs" dxfId="7937" priority="9439" stopIfTrue="1" operator="notEqual">
      <formula>H424</formula>
    </cfRule>
  </conditionalFormatting>
  <conditionalFormatting sqref="O425 M425 G425 K425 S425 U425 W425 I425 Q425">
    <cfRule type="cellIs" dxfId="7936" priority="9438" stopIfTrue="1" operator="notEqual">
      <formula>H425</formula>
    </cfRule>
  </conditionalFormatting>
  <conditionalFormatting sqref="O426 M426 G426 K426 S426 U426 W426 I426 Q426">
    <cfRule type="cellIs" dxfId="7935" priority="9437" stopIfTrue="1" operator="notEqual">
      <formula>H426</formula>
    </cfRule>
  </conditionalFormatting>
  <conditionalFormatting sqref="O427 M427 G427 K427 S427 U427 W427 I427 Q427">
    <cfRule type="cellIs" dxfId="7934" priority="9436" stopIfTrue="1" operator="notEqual">
      <formula>H427</formula>
    </cfRule>
  </conditionalFormatting>
  <conditionalFormatting sqref="O428 M428 G428 K428 S428 U428 W428 I428 Q428">
    <cfRule type="cellIs" dxfId="7933" priority="9435" stopIfTrue="1" operator="notEqual">
      <formula>H428</formula>
    </cfRule>
  </conditionalFormatting>
  <conditionalFormatting sqref="O429 M429 G429 K429 S429 U429 W429 I429 Q429">
    <cfRule type="cellIs" dxfId="7932" priority="9434" stopIfTrue="1" operator="notEqual">
      <formula>H429</formula>
    </cfRule>
  </conditionalFormatting>
  <conditionalFormatting sqref="O430 M430 G430 K430 S430 U430 W430 I430 Q430">
    <cfRule type="cellIs" dxfId="7931" priority="9433" stopIfTrue="1" operator="notEqual">
      <formula>H430</formula>
    </cfRule>
  </conditionalFormatting>
  <conditionalFormatting sqref="O431 M431 G431 K431 S431 U431 W431 I431 Q431">
    <cfRule type="cellIs" dxfId="7930" priority="9432" stopIfTrue="1" operator="notEqual">
      <formula>H431</formula>
    </cfRule>
  </conditionalFormatting>
  <conditionalFormatting sqref="O417:O421 M417:M421 G417:G421 K417:K421 S417:S421 U417:U421 W417:W421 I417:I421 Q417:Q421">
    <cfRule type="cellIs" dxfId="7929" priority="9411" stopIfTrue="1" operator="notEqual">
      <formula>H417</formula>
    </cfRule>
  </conditionalFormatting>
  <conditionalFormatting sqref="O418:O419 M418:M419 G418:G419 K418:K419 S418:S419 U418:U419 W418:W419 I418:I419 Q418:Q419">
    <cfRule type="cellIs" dxfId="7928" priority="9410" stopIfTrue="1" operator="notEqual">
      <formula>H418</formula>
    </cfRule>
  </conditionalFormatting>
  <conditionalFormatting sqref="O419 M419 G419 K419 S419 U419 W419 I419 Q419">
    <cfRule type="cellIs" dxfId="7927" priority="9409" stopIfTrue="1" operator="notEqual">
      <formula>H419</formula>
    </cfRule>
  </conditionalFormatting>
  <conditionalFormatting sqref="O419 M419 G419 K419 S419 U419 W419 I419 Q419">
    <cfRule type="cellIs" dxfId="7926" priority="9408" stopIfTrue="1" operator="notEqual">
      <formula>H419</formula>
    </cfRule>
  </conditionalFormatting>
  <conditionalFormatting sqref="O417 M417 G417 K417 S417 U417 W417 I417 Q417">
    <cfRule type="cellIs" dxfId="7925" priority="9407" stopIfTrue="1" operator="notEqual">
      <formula>H417</formula>
    </cfRule>
  </conditionalFormatting>
  <conditionalFormatting sqref="O422:O430 M422:M430 G422:G430 K422:K430 S422:S430 U422:U430 W422:W430 I422:I430 Q422:Q430">
    <cfRule type="cellIs" dxfId="7924" priority="9406" stopIfTrue="1" operator="notEqual">
      <formula>H422</formula>
    </cfRule>
  </conditionalFormatting>
  <conditionalFormatting sqref="O423 M423 G423 K423 S423 U423 W423 I423 Q423">
    <cfRule type="cellIs" dxfId="7923" priority="9405" stopIfTrue="1" operator="notEqual">
      <formula>H423</formula>
    </cfRule>
  </conditionalFormatting>
  <conditionalFormatting sqref="O421 M421 G421 K421 S421 U421 W421 I421 Q421">
    <cfRule type="cellIs" dxfId="7922" priority="9404" stopIfTrue="1" operator="notEqual">
      <formula>H421</formula>
    </cfRule>
  </conditionalFormatting>
  <conditionalFormatting sqref="O424 M424 G424 K424 S424 U424 W424 I424 Q424">
    <cfRule type="cellIs" dxfId="7921" priority="9403" stopIfTrue="1" operator="notEqual">
      <formula>H424</formula>
    </cfRule>
  </conditionalFormatting>
  <conditionalFormatting sqref="O425 M425 G425 K425 S425 U425 W425 I425 Q425">
    <cfRule type="cellIs" dxfId="7920" priority="9402" stopIfTrue="1" operator="notEqual">
      <formula>H425</formula>
    </cfRule>
  </conditionalFormatting>
  <conditionalFormatting sqref="O426 M426 G426 K426 S426 U426 W426 I426 Q426">
    <cfRule type="cellIs" dxfId="7919" priority="9401" stopIfTrue="1" operator="notEqual">
      <formula>H426</formula>
    </cfRule>
  </conditionalFormatting>
  <conditionalFormatting sqref="O427 M427 G427 K427 S427 U427 W427 I427 Q427">
    <cfRule type="cellIs" dxfId="7918" priority="9400" stopIfTrue="1" operator="notEqual">
      <formula>H427</formula>
    </cfRule>
  </conditionalFormatting>
  <conditionalFormatting sqref="O428 M428 G428 K428 S428 U428 W428 I428 Q428">
    <cfRule type="cellIs" dxfId="7917" priority="9399" stopIfTrue="1" operator="notEqual">
      <formula>H428</formula>
    </cfRule>
  </conditionalFormatting>
  <conditionalFormatting sqref="O429 M429 G429 K429 S429 U429 W429 I429 Q429">
    <cfRule type="cellIs" dxfId="7916" priority="9398" stopIfTrue="1" operator="notEqual">
      <formula>H429</formula>
    </cfRule>
  </conditionalFormatting>
  <conditionalFormatting sqref="O430 M430 G430 K430 S430 U430 W430 I430 Q430">
    <cfRule type="cellIs" dxfId="7915" priority="9397" stopIfTrue="1" operator="notEqual">
      <formula>H430</formula>
    </cfRule>
  </conditionalFormatting>
  <conditionalFormatting sqref="O431 M431 G431 K431 S431 U431 W431 I431 Q431">
    <cfRule type="cellIs" dxfId="7914" priority="9396" stopIfTrue="1" operator="notEqual">
      <formula>H431</formula>
    </cfRule>
  </conditionalFormatting>
  <conditionalFormatting sqref="G439">
    <cfRule type="cellIs" dxfId="7913" priority="9390" stopIfTrue="1" operator="notEqual">
      <formula>H439</formula>
    </cfRule>
  </conditionalFormatting>
  <conditionalFormatting sqref="G439">
    <cfRule type="cellIs" dxfId="7912" priority="9389" stopIfTrue="1" operator="notEqual">
      <formula>H439</formula>
    </cfRule>
  </conditionalFormatting>
  <conditionalFormatting sqref="G439">
    <cfRule type="cellIs" dxfId="7911" priority="9388" stopIfTrue="1" operator="notEqual">
      <formula>H439</formula>
    </cfRule>
  </conditionalFormatting>
  <conditionalFormatting sqref="G439">
    <cfRule type="cellIs" dxfId="7910" priority="9387" stopIfTrue="1" operator="notEqual">
      <formula>H439</formula>
    </cfRule>
  </conditionalFormatting>
  <conditionalFormatting sqref="G439">
    <cfRule type="cellIs" dxfId="7909" priority="9386" stopIfTrue="1" operator="notEqual">
      <formula>H439</formula>
    </cfRule>
  </conditionalFormatting>
  <conditionalFormatting sqref="G439">
    <cfRule type="cellIs" dxfId="7908" priority="9385" stopIfTrue="1" operator="notEqual">
      <formula>H439</formula>
    </cfRule>
  </conditionalFormatting>
  <conditionalFormatting sqref="G432">
    <cfRule type="cellIs" dxfId="7907" priority="9378" stopIfTrue="1" operator="notEqual">
      <formula>H432</formula>
    </cfRule>
  </conditionalFormatting>
  <conditionalFormatting sqref="G433">
    <cfRule type="cellIs" dxfId="7906" priority="9377" stopIfTrue="1" operator="notEqual">
      <formula>H433</formula>
    </cfRule>
  </conditionalFormatting>
  <conditionalFormatting sqref="G432">
    <cfRule type="cellIs" dxfId="7905" priority="9371" stopIfTrue="1" operator="notEqual">
      <formula>H432</formula>
    </cfRule>
  </conditionalFormatting>
  <conditionalFormatting sqref="G433">
    <cfRule type="cellIs" dxfId="7904" priority="9370" stopIfTrue="1" operator="notEqual">
      <formula>H433</formula>
    </cfRule>
  </conditionalFormatting>
  <conditionalFormatting sqref="O432 M432 G432 K432 S432 U432 W432 I432 Q432">
    <cfRule type="cellIs" dxfId="7903" priority="9364" stopIfTrue="1" operator="notEqual">
      <formula>H432</formula>
    </cfRule>
  </conditionalFormatting>
  <conditionalFormatting sqref="G432:G433">
    <cfRule type="cellIs" dxfId="7902" priority="9363" stopIfTrue="1" operator="notEqual">
      <formula>H432</formula>
    </cfRule>
  </conditionalFormatting>
  <conditionalFormatting sqref="G433">
    <cfRule type="cellIs" dxfId="7901" priority="9357" stopIfTrue="1" operator="notEqual">
      <formula>H433</formula>
    </cfRule>
  </conditionalFormatting>
  <conditionalFormatting sqref="O433 M433 G433 K433 S433 U433 W433 I433 Q433">
    <cfRule type="cellIs" dxfId="7900" priority="9350" stopIfTrue="1" operator="notEqual">
      <formula>H433</formula>
    </cfRule>
  </conditionalFormatting>
  <conditionalFormatting sqref="O432 M432 G432 K432 S432 U432 W432 I432 Q432">
    <cfRule type="cellIs" dxfId="7899" priority="9344" stopIfTrue="1" operator="notEqual">
      <formula>H432</formula>
    </cfRule>
  </conditionalFormatting>
  <conditionalFormatting sqref="O433 M433 G433 K433 S433 U433 W433 I433 Q433">
    <cfRule type="cellIs" dxfId="7898" priority="9343" stopIfTrue="1" operator="notEqual">
      <formula>H433</formula>
    </cfRule>
  </conditionalFormatting>
  <conditionalFormatting sqref="G432">
    <cfRule type="cellIs" dxfId="7897" priority="9337" stopIfTrue="1" operator="notEqual">
      <formula>H432</formula>
    </cfRule>
  </conditionalFormatting>
  <conditionalFormatting sqref="G433">
    <cfRule type="cellIs" dxfId="7896" priority="9336" stopIfTrue="1" operator="notEqual">
      <formula>H433</formula>
    </cfRule>
  </conditionalFormatting>
  <conditionalFormatting sqref="G434">
    <cfRule type="cellIs" dxfId="7895" priority="9334" stopIfTrue="1" operator="notEqual">
      <formula>H434</formula>
    </cfRule>
  </conditionalFormatting>
  <conditionalFormatting sqref="G435">
    <cfRule type="cellIs" dxfId="7894" priority="9333" stopIfTrue="1" operator="notEqual">
      <formula>H435</formula>
    </cfRule>
  </conditionalFormatting>
  <conditionalFormatting sqref="G436">
    <cfRule type="cellIs" dxfId="7893" priority="9332" stopIfTrue="1" operator="notEqual">
      <formula>H436</formula>
    </cfRule>
  </conditionalFormatting>
  <conditionalFormatting sqref="G437">
    <cfRule type="cellIs" dxfId="7892" priority="9331" stopIfTrue="1" operator="notEqual">
      <formula>H437</formula>
    </cfRule>
  </conditionalFormatting>
  <conditionalFormatting sqref="G438">
    <cfRule type="cellIs" dxfId="7891" priority="9330" stopIfTrue="1" operator="notEqual">
      <formula>H438</formula>
    </cfRule>
  </conditionalFormatting>
  <conditionalFormatting sqref="G439">
    <cfRule type="cellIs" dxfId="7890" priority="9329" stopIfTrue="1" operator="notEqual">
      <formula>H439</formula>
    </cfRule>
  </conditionalFormatting>
  <conditionalFormatting sqref="G440">
    <cfRule type="cellIs" dxfId="7889" priority="9328" stopIfTrue="1" operator="notEqual">
      <formula>H440</formula>
    </cfRule>
  </conditionalFormatting>
  <conditionalFormatting sqref="G442">
    <cfRule type="cellIs" dxfId="7888" priority="9326" stopIfTrue="1" operator="notEqual">
      <formula>H442</formula>
    </cfRule>
  </conditionalFormatting>
  <conditionalFormatting sqref="G443">
    <cfRule type="cellIs" dxfId="7887" priority="9325" stopIfTrue="1" operator="notEqual">
      <formula>H443</formula>
    </cfRule>
  </conditionalFormatting>
  <conditionalFormatting sqref="G444">
    <cfRule type="cellIs" dxfId="7886" priority="9324" stopIfTrue="1" operator="notEqual">
      <formula>H444</formula>
    </cfRule>
  </conditionalFormatting>
  <conditionalFormatting sqref="G445">
    <cfRule type="cellIs" dxfId="7885" priority="9323" stopIfTrue="1" operator="notEqual">
      <formula>H445</formula>
    </cfRule>
  </conditionalFormatting>
  <conditionalFormatting sqref="O432 M432 G432 K432 S432 U432 W432 I432 Q432">
    <cfRule type="cellIs" dxfId="7884" priority="9317" stopIfTrue="1" operator="notEqual">
      <formula>H432</formula>
    </cfRule>
  </conditionalFormatting>
  <conditionalFormatting sqref="O433 M433 G433 K433 S433 U433 W433 I433 Q433">
    <cfRule type="cellIs" dxfId="7883" priority="9316" stopIfTrue="1" operator="notEqual">
      <formula>H433</formula>
    </cfRule>
  </conditionalFormatting>
  <conditionalFormatting sqref="O434 M434 G434 K434 S434 U434 W434 I434 Q434">
    <cfRule type="cellIs" dxfId="7882" priority="9314" stopIfTrue="1" operator="notEqual">
      <formula>H434</formula>
    </cfRule>
  </conditionalFormatting>
  <conditionalFormatting sqref="O435 M435 G435 K435 S435 U435 W435 I435 Q435">
    <cfRule type="cellIs" dxfId="7881" priority="9313" stopIfTrue="1" operator="notEqual">
      <formula>H435</formula>
    </cfRule>
  </conditionalFormatting>
  <conditionalFormatting sqref="O436 M436 G436 K436 S436 U436 W436 I436 Q436">
    <cfRule type="cellIs" dxfId="7880" priority="9312" stopIfTrue="1" operator="notEqual">
      <formula>H436</formula>
    </cfRule>
  </conditionalFormatting>
  <conditionalFormatting sqref="G436:G437">
    <cfRule type="cellIs" dxfId="7879" priority="9311" stopIfTrue="1" operator="notEqual">
      <formula>H436</formula>
    </cfRule>
  </conditionalFormatting>
  <conditionalFormatting sqref="G432">
    <cfRule type="cellIs" dxfId="7878" priority="9305" stopIfTrue="1" operator="notEqual">
      <formula>H432</formula>
    </cfRule>
  </conditionalFormatting>
  <conditionalFormatting sqref="G433">
    <cfRule type="cellIs" dxfId="7877" priority="9304" stopIfTrue="1" operator="notEqual">
      <formula>H433</formula>
    </cfRule>
  </conditionalFormatting>
  <conditionalFormatting sqref="G434">
    <cfRule type="cellIs" dxfId="7876" priority="9302" stopIfTrue="1" operator="notEqual">
      <formula>H434</formula>
    </cfRule>
  </conditionalFormatting>
  <conditionalFormatting sqref="G435">
    <cfRule type="cellIs" dxfId="7875" priority="9301" stopIfTrue="1" operator="notEqual">
      <formula>H435</formula>
    </cfRule>
  </conditionalFormatting>
  <conditionalFormatting sqref="G437">
    <cfRule type="cellIs" dxfId="7874" priority="9300" stopIfTrue="1" operator="notEqual">
      <formula>H437</formula>
    </cfRule>
  </conditionalFormatting>
  <conditionalFormatting sqref="O432 M432 G432 K432 S432 U432 W432 I432 Q432">
    <cfRule type="cellIs" dxfId="7873" priority="9293" stopIfTrue="1" operator="notEqual">
      <formula>H432</formula>
    </cfRule>
  </conditionalFormatting>
  <conditionalFormatting sqref="O434 M434 G434 K434 S434 U434 W434 I434 Q434">
    <cfRule type="cellIs" dxfId="7872" priority="9292" stopIfTrue="1" operator="notEqual">
      <formula>H434</formula>
    </cfRule>
  </conditionalFormatting>
  <conditionalFormatting sqref="O435 M435 G435 K435 S435 U435 W435 I435 Q435">
    <cfRule type="cellIs" dxfId="7871" priority="9291" stopIfTrue="1" operator="notEqual">
      <formula>H435</formula>
    </cfRule>
  </conditionalFormatting>
  <conditionalFormatting sqref="O435 M435 G435 K435 S435 U435 W435 I435 Q435">
    <cfRule type="cellIs" dxfId="7870" priority="9290" stopIfTrue="1" operator="notEqual">
      <formula>H435</formula>
    </cfRule>
  </conditionalFormatting>
  <conditionalFormatting sqref="O437 M437 G437 K437 S437 U437 W437 I437 Q437">
    <cfRule type="cellIs" dxfId="7869" priority="9288" stopIfTrue="1" operator="notEqual">
      <formula>H437</formula>
    </cfRule>
  </conditionalFormatting>
  <conditionalFormatting sqref="O432 M432 G432 K432 S432 U432 W432 I432 Q432">
    <cfRule type="cellIs" dxfId="7868" priority="9282" stopIfTrue="1" operator="notEqual">
      <formula>H432</formula>
    </cfRule>
  </conditionalFormatting>
  <conditionalFormatting sqref="O433 M433 G433 K433 S433 U433 W433 I433 Q433">
    <cfRule type="cellIs" dxfId="7867" priority="9281" stopIfTrue="1" operator="notEqual">
      <formula>H433</formula>
    </cfRule>
  </conditionalFormatting>
  <conditionalFormatting sqref="O434 M434 G434 K434 S434 U434 W434 I434 Q434">
    <cfRule type="cellIs" dxfId="7866" priority="9279" stopIfTrue="1" operator="notEqual">
      <formula>H434</formula>
    </cfRule>
  </conditionalFormatting>
  <conditionalFormatting sqref="O435 M435 G435 K435 S435 U435 W435 I435 Q435">
    <cfRule type="cellIs" dxfId="7865" priority="9278" stopIfTrue="1" operator="notEqual">
      <formula>H435</formula>
    </cfRule>
  </conditionalFormatting>
  <conditionalFormatting sqref="O436 M436 G436 K436 S436 U436 W436 I436 Q436">
    <cfRule type="cellIs" dxfId="7864" priority="9277" stopIfTrue="1" operator="notEqual">
      <formula>H436</formula>
    </cfRule>
  </conditionalFormatting>
  <conditionalFormatting sqref="O437 M437 G437 K437 S437 U437 W437 I437 Q437">
    <cfRule type="cellIs" dxfId="7863" priority="9276" stopIfTrue="1" operator="notEqual">
      <formula>H437</formula>
    </cfRule>
  </conditionalFormatting>
  <conditionalFormatting sqref="G437:G440">
    <cfRule type="cellIs" dxfId="7862" priority="9275" stopIfTrue="1" operator="notEqual">
      <formula>H437</formula>
    </cfRule>
  </conditionalFormatting>
  <conditionalFormatting sqref="G437">
    <cfRule type="cellIs" dxfId="7861" priority="9274" stopIfTrue="1" operator="notEqual">
      <formula>H437</formula>
    </cfRule>
  </conditionalFormatting>
  <conditionalFormatting sqref="G438">
    <cfRule type="cellIs" dxfId="7860" priority="9273" stopIfTrue="1" operator="notEqual">
      <formula>H438</formula>
    </cfRule>
  </conditionalFormatting>
  <conditionalFormatting sqref="G438">
    <cfRule type="cellIs" dxfId="7859" priority="9272" stopIfTrue="1" operator="notEqual">
      <formula>H438</formula>
    </cfRule>
  </conditionalFormatting>
  <conditionalFormatting sqref="G442">
    <cfRule type="cellIs" dxfId="7858" priority="9270" stopIfTrue="1" operator="notEqual">
      <formula>H442</formula>
    </cfRule>
  </conditionalFormatting>
  <conditionalFormatting sqref="G440">
    <cfRule type="cellIs" dxfId="7857" priority="9269" stopIfTrue="1" operator="notEqual">
      <formula>H440</formula>
    </cfRule>
  </conditionalFormatting>
  <conditionalFormatting sqref="G443">
    <cfRule type="cellIs" dxfId="7856" priority="9268" stopIfTrue="1" operator="notEqual">
      <formula>H443</formula>
    </cfRule>
  </conditionalFormatting>
  <conditionalFormatting sqref="G444">
    <cfRule type="cellIs" dxfId="7855" priority="9267" stopIfTrue="1" operator="notEqual">
      <formula>H444</formula>
    </cfRule>
  </conditionalFormatting>
  <conditionalFormatting sqref="G445">
    <cfRule type="cellIs" dxfId="7854" priority="9266" stopIfTrue="1" operator="notEqual">
      <formula>H445</formula>
    </cfRule>
  </conditionalFormatting>
  <conditionalFormatting sqref="O437 M437 G437 K437 S437 U437 W437 I437 Q437">
    <cfRule type="cellIs" dxfId="7853" priority="9265" stopIfTrue="1" operator="notEqual">
      <formula>H437</formula>
    </cfRule>
  </conditionalFormatting>
  <conditionalFormatting sqref="O438 M438 G438 K438 S438 U438 W438 I438 Q438">
    <cfRule type="cellIs" dxfId="7852" priority="9264" stopIfTrue="1" operator="notEqual">
      <formula>H438</formula>
    </cfRule>
  </conditionalFormatting>
  <conditionalFormatting sqref="O439 M439 G439 K439 S439 U439 W439 I439 Q439">
    <cfRule type="cellIs" dxfId="7851" priority="9263" stopIfTrue="1" operator="notEqual">
      <formula>H439</formula>
    </cfRule>
  </conditionalFormatting>
  <conditionalFormatting sqref="O440 M440 G440 K440 S440 U440 W440 I440 Q440">
    <cfRule type="cellIs" dxfId="7850" priority="9262" stopIfTrue="1" operator="notEqual">
      <formula>H440</formula>
    </cfRule>
  </conditionalFormatting>
  <conditionalFormatting sqref="O442 M442 G442 K442 S442 U442 W442 I442 Q442">
    <cfRule type="cellIs" dxfId="7849" priority="9260" stopIfTrue="1" operator="notEqual">
      <formula>H442</formula>
    </cfRule>
  </conditionalFormatting>
  <conditionalFormatting sqref="O443 M443 G443 K443 S443 U443 W443 I443 Q443">
    <cfRule type="cellIs" dxfId="7848" priority="9259" stopIfTrue="1" operator="notEqual">
      <formula>H443</formula>
    </cfRule>
  </conditionalFormatting>
  <conditionalFormatting sqref="O444 M444 G444 K444 S444 U444 W444 I444 Q444">
    <cfRule type="cellIs" dxfId="7847" priority="9258" stopIfTrue="1" operator="notEqual">
      <formula>H444</formula>
    </cfRule>
  </conditionalFormatting>
  <conditionalFormatting sqref="O445 M445 G445 K445 S445 U445 W445 I445 Q445">
    <cfRule type="cellIs" dxfId="7846" priority="9257" stopIfTrue="1" operator="notEqual">
      <formula>H445</formula>
    </cfRule>
  </conditionalFormatting>
  <conditionalFormatting sqref="G437">
    <cfRule type="cellIs" dxfId="7845" priority="9256" stopIfTrue="1" operator="notEqual">
      <formula>H437</formula>
    </cfRule>
  </conditionalFormatting>
  <conditionalFormatting sqref="G438">
    <cfRule type="cellIs" dxfId="7844" priority="9255" stopIfTrue="1" operator="notEqual">
      <formula>H438</formula>
    </cfRule>
  </conditionalFormatting>
  <conditionalFormatting sqref="G439">
    <cfRule type="cellIs" dxfId="7843" priority="9254" stopIfTrue="1" operator="notEqual">
      <formula>H439</formula>
    </cfRule>
  </conditionalFormatting>
  <conditionalFormatting sqref="G440">
    <cfRule type="cellIs" dxfId="7842" priority="9253" stopIfTrue="1" operator="notEqual">
      <formula>H440</formula>
    </cfRule>
  </conditionalFormatting>
  <conditionalFormatting sqref="G442">
    <cfRule type="cellIs" dxfId="7841" priority="9251" stopIfTrue="1" operator="notEqual">
      <formula>H442</formula>
    </cfRule>
  </conditionalFormatting>
  <conditionalFormatting sqref="G443">
    <cfRule type="cellIs" dxfId="7840" priority="9250" stopIfTrue="1" operator="notEqual">
      <formula>H443</formula>
    </cfRule>
  </conditionalFormatting>
  <conditionalFormatting sqref="G444">
    <cfRule type="cellIs" dxfId="7839" priority="9249" stopIfTrue="1" operator="notEqual">
      <formula>H444</formula>
    </cfRule>
  </conditionalFormatting>
  <conditionalFormatting sqref="G445">
    <cfRule type="cellIs" dxfId="7838" priority="9248" stopIfTrue="1" operator="notEqual">
      <formula>H445</formula>
    </cfRule>
  </conditionalFormatting>
  <conditionalFormatting sqref="G437">
    <cfRule type="cellIs" dxfId="7837" priority="9247" stopIfTrue="1" operator="notEqual">
      <formula>H437</formula>
    </cfRule>
  </conditionalFormatting>
  <conditionalFormatting sqref="G437">
    <cfRule type="cellIs" dxfId="7836" priority="9246" stopIfTrue="1" operator="notEqual">
      <formula>H437</formula>
    </cfRule>
  </conditionalFormatting>
  <conditionalFormatting sqref="G437">
    <cfRule type="cellIs" dxfId="7835" priority="9245" stopIfTrue="1" operator="notEqual">
      <formula>H437</formula>
    </cfRule>
  </conditionalFormatting>
  <conditionalFormatting sqref="G437">
    <cfRule type="cellIs" dxfId="7834" priority="9244" stopIfTrue="1" operator="notEqual">
      <formula>H437</formula>
    </cfRule>
  </conditionalFormatting>
  <conditionalFormatting sqref="G437">
    <cfRule type="cellIs" dxfId="7833" priority="9243" stopIfTrue="1" operator="notEqual">
      <formula>H437</formula>
    </cfRule>
  </conditionalFormatting>
  <conditionalFormatting sqref="G437">
    <cfRule type="cellIs" dxfId="7832" priority="9242" stopIfTrue="1" operator="notEqual">
      <formula>H437</formula>
    </cfRule>
  </conditionalFormatting>
  <conditionalFormatting sqref="O437 M437 G437 K437 S437 U437 W437 I437 Q437">
    <cfRule type="cellIs" dxfId="7831" priority="9241" stopIfTrue="1" operator="notEqual">
      <formula>H437</formula>
    </cfRule>
  </conditionalFormatting>
  <conditionalFormatting sqref="O438 M438 G438 K438 S438 U438 W438 I438 Q438">
    <cfRule type="cellIs" dxfId="7830" priority="9240" stopIfTrue="1" operator="notEqual">
      <formula>H438</formula>
    </cfRule>
  </conditionalFormatting>
  <conditionalFormatting sqref="O439 M439 G439 K439 S439 U439 W439 I439 Q439">
    <cfRule type="cellIs" dxfId="7829" priority="9239" stopIfTrue="1" operator="notEqual">
      <formula>H439</formula>
    </cfRule>
  </conditionalFormatting>
  <conditionalFormatting sqref="O440 M440 G440 K440 S440 U440 W440 I440 Q440">
    <cfRule type="cellIs" dxfId="7828" priority="9238" stopIfTrue="1" operator="notEqual">
      <formula>H440</formula>
    </cfRule>
  </conditionalFormatting>
  <conditionalFormatting sqref="O442 M442 G442 K442 S442 U442 W442 I442 Q442">
    <cfRule type="cellIs" dxfId="7827" priority="9236" stopIfTrue="1" operator="notEqual">
      <formula>H442</formula>
    </cfRule>
  </conditionalFormatting>
  <conditionalFormatting sqref="O443 M443 G443 K443 S443 U443 W443 I443 Q443">
    <cfRule type="cellIs" dxfId="7826" priority="9235" stopIfTrue="1" operator="notEqual">
      <formula>H443</formula>
    </cfRule>
  </conditionalFormatting>
  <conditionalFormatting sqref="O444 M444 G444 K444 S444 U444 W444 I444 Q444">
    <cfRule type="cellIs" dxfId="7825" priority="9234" stopIfTrue="1" operator="notEqual">
      <formula>H444</formula>
    </cfRule>
  </conditionalFormatting>
  <conditionalFormatting sqref="O445 M445 G445 K445 S445 U445 W445 I445 Q445">
    <cfRule type="cellIs" dxfId="7824" priority="9233" stopIfTrue="1" operator="notEqual">
      <formula>H445</formula>
    </cfRule>
  </conditionalFormatting>
  <conditionalFormatting sqref="O437 M437 G437 K437 S437 U437 W437 I437 Q437">
    <cfRule type="cellIs" dxfId="7823" priority="9232" stopIfTrue="1" operator="notEqual">
      <formula>H437</formula>
    </cfRule>
  </conditionalFormatting>
  <conditionalFormatting sqref="O438 M438 G438 K438 S438 U438 W438 I438 Q438">
    <cfRule type="cellIs" dxfId="7822" priority="9231" stopIfTrue="1" operator="notEqual">
      <formula>H438</formula>
    </cfRule>
  </conditionalFormatting>
  <conditionalFormatting sqref="O439 M439 G439 K439 S439 U439 W439 I439 Q439">
    <cfRule type="cellIs" dxfId="7821" priority="9230" stopIfTrue="1" operator="notEqual">
      <formula>H439</formula>
    </cfRule>
  </conditionalFormatting>
  <conditionalFormatting sqref="O437 M437 G437 K437 S437 U437 W437 I437 Q437">
    <cfRule type="cellIs" dxfId="7820" priority="9229" stopIfTrue="1" operator="notEqual">
      <formula>H437</formula>
    </cfRule>
  </conditionalFormatting>
  <conditionalFormatting sqref="O440 M440 G440 K440 S440 U440 W440 I440 Q440">
    <cfRule type="cellIs" dxfId="7819" priority="9228" stopIfTrue="1" operator="notEqual">
      <formula>H440</formula>
    </cfRule>
  </conditionalFormatting>
  <conditionalFormatting sqref="O442 M442 G442 K442 S442 U442 W442 I442 Q442">
    <cfRule type="cellIs" dxfId="7818" priority="9226" stopIfTrue="1" operator="notEqual">
      <formula>H442</formula>
    </cfRule>
  </conditionalFormatting>
  <conditionalFormatting sqref="O443 M443 G443 K443 S443 U443 W443 I443 Q443">
    <cfRule type="cellIs" dxfId="7817" priority="9225" stopIfTrue="1" operator="notEqual">
      <formula>H443</formula>
    </cfRule>
  </conditionalFormatting>
  <conditionalFormatting sqref="O444 M444 G444 K444 S444 U444 W444 I444 Q444">
    <cfRule type="cellIs" dxfId="7816" priority="9224" stopIfTrue="1" operator="notEqual">
      <formula>H444</formula>
    </cfRule>
  </conditionalFormatting>
  <conditionalFormatting sqref="O445 M445 G445 K445 S445 U445 W445 I445 Q445">
    <cfRule type="cellIs" dxfId="7815" priority="9223" stopIfTrue="1" operator="notEqual">
      <formula>H445</formula>
    </cfRule>
  </conditionalFormatting>
  <conditionalFormatting sqref="G432">
    <cfRule type="cellIs" dxfId="7814" priority="9216" stopIfTrue="1" operator="notEqual">
      <formula>H432</formula>
    </cfRule>
  </conditionalFormatting>
  <conditionalFormatting sqref="G433">
    <cfRule type="cellIs" dxfId="7813" priority="9215" stopIfTrue="1" operator="notEqual">
      <formula>H433</formula>
    </cfRule>
  </conditionalFormatting>
  <conditionalFormatting sqref="G434">
    <cfRule type="cellIs" dxfId="7812" priority="9213" stopIfTrue="1" operator="notEqual">
      <formula>H434</formula>
    </cfRule>
  </conditionalFormatting>
  <conditionalFormatting sqref="G435">
    <cfRule type="cellIs" dxfId="7811" priority="9212" stopIfTrue="1" operator="notEqual">
      <formula>H435</formula>
    </cfRule>
  </conditionalFormatting>
  <conditionalFormatting sqref="G436">
    <cfRule type="cellIs" dxfId="7810" priority="9211" stopIfTrue="1" operator="notEqual">
      <formula>H436</formula>
    </cfRule>
  </conditionalFormatting>
  <conditionalFormatting sqref="G437">
    <cfRule type="cellIs" dxfId="7809" priority="9210" stopIfTrue="1" operator="notEqual">
      <formula>H437</formula>
    </cfRule>
  </conditionalFormatting>
  <conditionalFormatting sqref="G438">
    <cfRule type="cellIs" dxfId="7808" priority="9209" stopIfTrue="1" operator="notEqual">
      <formula>H438</formula>
    </cfRule>
  </conditionalFormatting>
  <conditionalFormatting sqref="G439">
    <cfRule type="cellIs" dxfId="7807" priority="9208" stopIfTrue="1" operator="notEqual">
      <formula>H439</formula>
    </cfRule>
  </conditionalFormatting>
  <conditionalFormatting sqref="G442">
    <cfRule type="cellIs" dxfId="7806" priority="9201" stopIfTrue="1" operator="notEqual">
      <formula>H442</formula>
    </cfRule>
  </conditionalFormatting>
  <conditionalFormatting sqref="G443">
    <cfRule type="cellIs" dxfId="7805" priority="9200" stopIfTrue="1" operator="notEqual">
      <formula>H443</formula>
    </cfRule>
  </conditionalFormatting>
  <conditionalFormatting sqref="G443">
    <cfRule type="cellIs" dxfId="7804" priority="9199" stopIfTrue="1" operator="notEqual">
      <formula>H443</formula>
    </cfRule>
  </conditionalFormatting>
  <conditionalFormatting sqref="G445">
    <cfRule type="cellIs" dxfId="7803" priority="9197" stopIfTrue="1" operator="notEqual">
      <formula>H445</formula>
    </cfRule>
  </conditionalFormatting>
  <conditionalFormatting sqref="O432 M432 G432 K432 S432 U432 W432 I432 Q432">
    <cfRule type="cellIs" dxfId="7802" priority="9190" stopIfTrue="1" operator="notEqual">
      <formula>H432</formula>
    </cfRule>
  </conditionalFormatting>
  <conditionalFormatting sqref="O433 M433 G433 K433 S433 U433 W433 I433 Q433">
    <cfRule type="cellIs" dxfId="7801" priority="9189" stopIfTrue="1" operator="notEqual">
      <formula>H433</formula>
    </cfRule>
  </conditionalFormatting>
  <conditionalFormatting sqref="O434 M434 G434 K434 S434 U434 W434 I434 Q434">
    <cfRule type="cellIs" dxfId="7800" priority="9187" stopIfTrue="1" operator="notEqual">
      <formula>H434</formula>
    </cfRule>
  </conditionalFormatting>
  <conditionalFormatting sqref="O435 M435 G435 K435 S435 U435 W435 I435 Q435">
    <cfRule type="cellIs" dxfId="7799" priority="9186" stopIfTrue="1" operator="notEqual">
      <formula>H435</formula>
    </cfRule>
  </conditionalFormatting>
  <conditionalFormatting sqref="O438 M438 G438 K438 S438 U438 W438 I438 Q438">
    <cfRule type="cellIs" dxfId="7798" priority="9185" stopIfTrue="1" operator="notEqual">
      <formula>H438</formula>
    </cfRule>
  </conditionalFormatting>
  <conditionalFormatting sqref="O439 M439 G439 K439 S439 U439 W439 I439 Q439">
    <cfRule type="cellIs" dxfId="7797" priority="9184" stopIfTrue="1" operator="notEqual">
      <formula>H439</formula>
    </cfRule>
  </conditionalFormatting>
  <conditionalFormatting sqref="O439 M439 G439 K439 S439 U439 W439 I439 Q439">
    <cfRule type="cellIs" dxfId="7796" priority="9183" stopIfTrue="1" operator="notEqual">
      <formula>H439</formula>
    </cfRule>
  </conditionalFormatting>
  <conditionalFormatting sqref="O437 M437 G437 K437 S437 U437 W437 I437 Q437">
    <cfRule type="cellIs" dxfId="7795" priority="9182" stopIfTrue="1" operator="notEqual">
      <formula>H437</formula>
    </cfRule>
  </conditionalFormatting>
  <conditionalFormatting sqref="O442 M442 G442 K442 S442 U442 W442 I442 Q442">
    <cfRule type="cellIs" dxfId="7794" priority="9181" stopIfTrue="1" operator="notEqual">
      <formula>H442</formula>
    </cfRule>
  </conditionalFormatting>
  <conditionalFormatting sqref="O443 M443 G443 K443 S443 U443 W443 I443 Q443">
    <cfRule type="cellIs" dxfId="7793" priority="9180" stopIfTrue="1" operator="notEqual">
      <formula>H443</formula>
    </cfRule>
  </conditionalFormatting>
  <conditionalFormatting sqref="O444 M444 G444 K444 S444 U444 W444 I444 Q444">
    <cfRule type="cellIs" dxfId="7792" priority="9178" stopIfTrue="1" operator="notEqual">
      <formula>H444</formula>
    </cfRule>
  </conditionalFormatting>
  <conditionalFormatting sqref="O445 M445 G445 K445 S445 U445 W445 I445 Q445">
    <cfRule type="cellIs" dxfId="7791" priority="9177" stopIfTrue="1" operator="notEqual">
      <formula>H445</formula>
    </cfRule>
  </conditionalFormatting>
  <conditionalFormatting sqref="O432 M432 G432 K432 S432 U432 W432 I432 Q432">
    <cfRule type="cellIs" dxfId="7790" priority="9170" stopIfTrue="1" operator="notEqual">
      <formula>H432</formula>
    </cfRule>
  </conditionalFormatting>
  <conditionalFormatting sqref="O433 M433 G433 K433 S433 U433 W433 I433 Q433">
    <cfRule type="cellIs" dxfId="7789" priority="9169" stopIfTrue="1" operator="notEqual">
      <formula>H433</formula>
    </cfRule>
  </conditionalFormatting>
  <conditionalFormatting sqref="O434 M434 G434 K434 S434 U434 W434 I434 Q434">
    <cfRule type="cellIs" dxfId="7788" priority="9167" stopIfTrue="1" operator="notEqual">
      <formula>H434</formula>
    </cfRule>
  </conditionalFormatting>
  <conditionalFormatting sqref="O435 M435 G435 K435 S435 U435 W435 I435 Q435">
    <cfRule type="cellIs" dxfId="7787" priority="9166" stopIfTrue="1" operator="notEqual">
      <formula>H435</formula>
    </cfRule>
  </conditionalFormatting>
  <conditionalFormatting sqref="O436 M436 G436 K436 S436 U436 W436 I436 Q436">
    <cfRule type="cellIs" dxfId="7786" priority="9165" stopIfTrue="1" operator="notEqual">
      <formula>H436</formula>
    </cfRule>
  </conditionalFormatting>
  <conditionalFormatting sqref="O437 M437 G437 K437 S437 U437 W437 I437 Q437">
    <cfRule type="cellIs" dxfId="7785" priority="9164" stopIfTrue="1" operator="notEqual">
      <formula>H437</formula>
    </cfRule>
  </conditionalFormatting>
  <conditionalFormatting sqref="O438 M438 G438 K438 S438 U438 W438 I438 Q438">
    <cfRule type="cellIs" dxfId="7784" priority="9163" stopIfTrue="1" operator="notEqual">
      <formula>H438</formula>
    </cfRule>
  </conditionalFormatting>
  <conditionalFormatting sqref="O439 M439 G439 K439 S439 U439 W439 I439 Q439">
    <cfRule type="cellIs" dxfId="7783" priority="9162" stopIfTrue="1" operator="notEqual">
      <formula>H439</formula>
    </cfRule>
  </conditionalFormatting>
  <conditionalFormatting sqref="O440 M440 G440 K440 S440 U440 W440 I440 Q440">
    <cfRule type="cellIs" dxfId="7782" priority="9161" stopIfTrue="1" operator="notEqual">
      <formula>H440</formula>
    </cfRule>
  </conditionalFormatting>
  <conditionalFormatting sqref="G442">
    <cfRule type="cellIs" dxfId="7781" priority="9159" stopIfTrue="1" operator="notEqual">
      <formula>H442</formula>
    </cfRule>
  </conditionalFormatting>
  <conditionalFormatting sqref="G443">
    <cfRule type="cellIs" dxfId="7780" priority="9158" stopIfTrue="1" operator="notEqual">
      <formula>H443</formula>
    </cfRule>
  </conditionalFormatting>
  <conditionalFormatting sqref="G444">
    <cfRule type="cellIs" dxfId="7779" priority="9157" stopIfTrue="1" operator="notEqual">
      <formula>H444</formula>
    </cfRule>
  </conditionalFormatting>
  <conditionalFormatting sqref="G445">
    <cfRule type="cellIs" dxfId="7778" priority="9156" stopIfTrue="1" operator="notEqual">
      <formula>H445</formula>
    </cfRule>
  </conditionalFormatting>
  <conditionalFormatting sqref="G442">
    <cfRule type="cellIs" dxfId="7777" priority="9155" stopIfTrue="1" operator="notEqual">
      <formula>H442</formula>
    </cfRule>
  </conditionalFormatting>
  <conditionalFormatting sqref="G442">
    <cfRule type="cellIs" dxfId="7776" priority="9154" stopIfTrue="1" operator="notEqual">
      <formula>H442</formula>
    </cfRule>
  </conditionalFormatting>
  <conditionalFormatting sqref="G442">
    <cfRule type="cellIs" dxfId="7775" priority="9153" stopIfTrue="1" operator="notEqual">
      <formula>H442</formula>
    </cfRule>
  </conditionalFormatting>
  <conditionalFormatting sqref="G442">
    <cfRule type="cellIs" dxfId="7774" priority="9152" stopIfTrue="1" operator="notEqual">
      <formula>H442</formula>
    </cfRule>
  </conditionalFormatting>
  <conditionalFormatting sqref="G442">
    <cfRule type="cellIs" dxfId="7773" priority="9151" stopIfTrue="1" operator="notEqual">
      <formula>H442</formula>
    </cfRule>
  </conditionalFormatting>
  <conditionalFormatting sqref="G442">
    <cfRule type="cellIs" dxfId="7772" priority="9150" stopIfTrue="1" operator="notEqual">
      <formula>H442</formula>
    </cfRule>
  </conditionalFormatting>
  <conditionalFormatting sqref="O442 M442 G442 K442 S442 U442 W442 I442 Q442">
    <cfRule type="cellIs" dxfId="7771" priority="9149" stopIfTrue="1" operator="notEqual">
      <formula>H442</formula>
    </cfRule>
  </conditionalFormatting>
  <conditionalFormatting sqref="O443 M443 G443 K443 S443 U443 W443 I443 Q443">
    <cfRule type="cellIs" dxfId="7770" priority="9148" stopIfTrue="1" operator="notEqual">
      <formula>H443</formula>
    </cfRule>
  </conditionalFormatting>
  <conditionalFormatting sqref="O444 M444 G444 K444 S444 U444 W444 I444 Q444">
    <cfRule type="cellIs" dxfId="7769" priority="9147" stopIfTrue="1" operator="notEqual">
      <formula>H444</formula>
    </cfRule>
  </conditionalFormatting>
  <conditionalFormatting sqref="O445 M445 G445 K445 S445 U445 W445 I445 Q445">
    <cfRule type="cellIs" dxfId="7768" priority="9146" stopIfTrue="1" operator="notEqual">
      <formula>H445</formula>
    </cfRule>
  </conditionalFormatting>
  <conditionalFormatting sqref="O442 M442 G442 K442 S442 U442 W442 I442 Q442">
    <cfRule type="cellIs" dxfId="7767" priority="9145" stopIfTrue="1" operator="notEqual">
      <formula>H442</formula>
    </cfRule>
  </conditionalFormatting>
  <conditionalFormatting sqref="O443 M443 G443 K443 S443 U443 W443 I443 Q443">
    <cfRule type="cellIs" dxfId="7766" priority="9144" stopIfTrue="1" operator="notEqual">
      <formula>H443</formula>
    </cfRule>
  </conditionalFormatting>
  <conditionalFormatting sqref="O444 M444 G444 K444 S444 U444 W444 I444 Q444">
    <cfRule type="cellIs" dxfId="7765" priority="9143" stopIfTrue="1" operator="notEqual">
      <formula>H444</formula>
    </cfRule>
  </conditionalFormatting>
  <conditionalFormatting sqref="O442 M442 G442 K442 S442 U442 W442 I442 Q442">
    <cfRule type="cellIs" dxfId="7764" priority="9142" stopIfTrue="1" operator="notEqual">
      <formula>H442</formula>
    </cfRule>
  </conditionalFormatting>
  <conditionalFormatting sqref="O445 M445 G445 K445 S445 U445 W445 I445 Q445">
    <cfRule type="cellIs" dxfId="7763" priority="9141" stopIfTrue="1" operator="notEqual">
      <formula>H445</formula>
    </cfRule>
  </conditionalFormatting>
  <conditionalFormatting sqref="O432 M432 G432 K432 S432 U432 W432 I432 Q432">
    <cfRule type="cellIs" dxfId="7762" priority="9135" stopIfTrue="1" operator="notEqual">
      <formula>H432</formula>
    </cfRule>
  </conditionalFormatting>
  <conditionalFormatting sqref="O433 M433 G433 K433 S433 U433 W433 I433 Q433">
    <cfRule type="cellIs" dxfId="7761" priority="9134" stopIfTrue="1" operator="notEqual">
      <formula>H433</formula>
    </cfRule>
  </conditionalFormatting>
  <conditionalFormatting sqref="O434 M434 G434 K434 S434 U434 W434 I434 Q434">
    <cfRule type="cellIs" dxfId="7760" priority="9131" stopIfTrue="1" operator="notEqual">
      <formula>H434</formula>
    </cfRule>
  </conditionalFormatting>
  <conditionalFormatting sqref="O435 M435 G435 K435 S435 U435 W435 I435 Q435">
    <cfRule type="cellIs" dxfId="7759" priority="9130" stopIfTrue="1" operator="notEqual">
      <formula>H435</formula>
    </cfRule>
  </conditionalFormatting>
  <conditionalFormatting sqref="O436 M436 G436 K436 S436 U436 W436 I436 Q436">
    <cfRule type="cellIs" dxfId="7758" priority="9129" stopIfTrue="1" operator="notEqual">
      <formula>H436</formula>
    </cfRule>
  </conditionalFormatting>
  <conditionalFormatting sqref="O437 M437 G437 K437 S437 U437 W437 I437 Q437">
    <cfRule type="cellIs" dxfId="7757" priority="9128" stopIfTrue="1" operator="notEqual">
      <formula>H437</formula>
    </cfRule>
  </conditionalFormatting>
  <conditionalFormatting sqref="O438 M438 G438 K438 S438 U438 W438 I438 Q438">
    <cfRule type="cellIs" dxfId="7756" priority="9127" stopIfTrue="1" operator="notEqual">
      <formula>H438</formula>
    </cfRule>
  </conditionalFormatting>
  <conditionalFormatting sqref="O439 M439 G439 K439 S439 U439 W439 I439 Q439">
    <cfRule type="cellIs" dxfId="7755" priority="9126" stopIfTrue="1" operator="notEqual">
      <formula>H439</formula>
    </cfRule>
  </conditionalFormatting>
  <conditionalFormatting sqref="O440 M440 G440 K440 S440 U440 W440 I440 Q440">
    <cfRule type="cellIs" dxfId="7754" priority="9125" stopIfTrue="1" operator="notEqual">
      <formula>H440</formula>
    </cfRule>
  </conditionalFormatting>
  <conditionalFormatting sqref="O442 M442 G442 K442 S442 U442 W442 I442 Q442">
    <cfRule type="cellIs" dxfId="7753" priority="9123" stopIfTrue="1" operator="notEqual">
      <formula>H442</formula>
    </cfRule>
  </conditionalFormatting>
  <conditionalFormatting sqref="O443 M443 G443 K443 S443 U443 W443 I443 Q443">
    <cfRule type="cellIs" dxfId="7752" priority="9122" stopIfTrue="1" operator="notEqual">
      <formula>H443</formula>
    </cfRule>
  </conditionalFormatting>
  <conditionalFormatting sqref="O444 M444 G444 K444 S444 U444 W444 I444 Q444">
    <cfRule type="cellIs" dxfId="7751" priority="9121" stopIfTrue="1" operator="notEqual">
      <formula>H444</formula>
    </cfRule>
  </conditionalFormatting>
  <conditionalFormatting sqref="O445 M445 G445 K445 S445 U445 W445 I445 Q445">
    <cfRule type="cellIs" dxfId="7750" priority="9120" stopIfTrue="1" operator="notEqual">
      <formula>H445</formula>
    </cfRule>
  </conditionalFormatting>
  <conditionalFormatting sqref="G459">
    <cfRule type="cellIs" dxfId="7749" priority="9119" stopIfTrue="1" operator="notEqual">
      <formula>H459</formula>
    </cfRule>
  </conditionalFormatting>
  <conditionalFormatting sqref="G459">
    <cfRule type="cellIs" dxfId="7748" priority="9118" stopIfTrue="1" operator="notEqual">
      <formula>H459</formula>
    </cfRule>
  </conditionalFormatting>
  <conditionalFormatting sqref="G459">
    <cfRule type="cellIs" dxfId="7747" priority="9117" stopIfTrue="1" operator="notEqual">
      <formula>H459</formula>
    </cfRule>
  </conditionalFormatting>
  <conditionalFormatting sqref="G459">
    <cfRule type="cellIs" dxfId="7746" priority="9116" stopIfTrue="1" operator="notEqual">
      <formula>H459</formula>
    </cfRule>
  </conditionalFormatting>
  <conditionalFormatting sqref="G459">
    <cfRule type="cellIs" dxfId="7745" priority="9115" stopIfTrue="1" operator="notEqual">
      <formula>H459</formula>
    </cfRule>
  </conditionalFormatting>
  <conditionalFormatting sqref="G459">
    <cfRule type="cellIs" dxfId="7744" priority="9114" stopIfTrue="1" operator="notEqual">
      <formula>H459</formula>
    </cfRule>
  </conditionalFormatting>
  <conditionalFormatting sqref="G453">
    <cfRule type="cellIs" dxfId="7743" priority="9113" stopIfTrue="1" operator="notEqual">
      <formula>H453</formula>
    </cfRule>
  </conditionalFormatting>
  <conditionalFormatting sqref="G446">
    <cfRule type="cellIs" dxfId="7742" priority="9112" stopIfTrue="1" operator="notEqual">
      <formula>H446</formula>
    </cfRule>
  </conditionalFormatting>
  <conditionalFormatting sqref="G447:G464">
    <cfRule type="cellIs" dxfId="7741" priority="9111" stopIfTrue="1" operator="notEqual">
      <formula>H447</formula>
    </cfRule>
  </conditionalFormatting>
  <conditionalFormatting sqref="G448">
    <cfRule type="cellIs" dxfId="7740" priority="9110" stopIfTrue="1" operator="notEqual">
      <formula>H448</formula>
    </cfRule>
  </conditionalFormatting>
  <conditionalFormatting sqref="G449">
    <cfRule type="cellIs" dxfId="7739" priority="9109" stopIfTrue="1" operator="notEqual">
      <formula>H449</formula>
    </cfRule>
  </conditionalFormatting>
  <conditionalFormatting sqref="G450">
    <cfRule type="cellIs" dxfId="7738" priority="9108" stopIfTrue="1" operator="notEqual">
      <formula>H450</formula>
    </cfRule>
  </conditionalFormatting>
  <conditionalFormatting sqref="G451">
    <cfRule type="cellIs" dxfId="7737" priority="9107" stopIfTrue="1" operator="notEqual">
      <formula>H451</formula>
    </cfRule>
  </conditionalFormatting>
  <conditionalFormatting sqref="G452">
    <cfRule type="cellIs" dxfId="7736" priority="9106" stopIfTrue="1" operator="notEqual">
      <formula>H452</formula>
    </cfRule>
  </conditionalFormatting>
  <conditionalFormatting sqref="G446">
    <cfRule type="cellIs" dxfId="7735" priority="9105" stopIfTrue="1" operator="notEqual">
      <formula>H446</formula>
    </cfRule>
  </conditionalFormatting>
  <conditionalFormatting sqref="G447:G464">
    <cfRule type="cellIs" dxfId="7734" priority="9104" stopIfTrue="1" operator="notEqual">
      <formula>H447</formula>
    </cfRule>
  </conditionalFormatting>
  <conditionalFormatting sqref="G448">
    <cfRule type="cellIs" dxfId="7733" priority="9103" stopIfTrue="1" operator="notEqual">
      <formula>H448</formula>
    </cfRule>
  </conditionalFormatting>
  <conditionalFormatting sqref="G449">
    <cfRule type="cellIs" dxfId="7732" priority="9102" stopIfTrue="1" operator="notEqual">
      <formula>H449</formula>
    </cfRule>
  </conditionalFormatting>
  <conditionalFormatting sqref="G450">
    <cfRule type="cellIs" dxfId="7731" priority="9101" stopIfTrue="1" operator="notEqual">
      <formula>H450</formula>
    </cfRule>
  </conditionalFormatting>
  <conditionalFormatting sqref="G451">
    <cfRule type="cellIs" dxfId="7730" priority="9100" stopIfTrue="1" operator="notEqual">
      <formula>H451</formula>
    </cfRule>
  </conditionalFormatting>
  <conditionalFormatting sqref="G452">
    <cfRule type="cellIs" dxfId="7729" priority="9099" stopIfTrue="1" operator="notEqual">
      <formula>H452</formula>
    </cfRule>
  </conditionalFormatting>
  <conditionalFormatting sqref="O446 M446 G446 K446 S446 U446 W446 I446 Q446">
    <cfRule type="cellIs" dxfId="7728" priority="9098" stopIfTrue="1" operator="notEqual">
      <formula>H446</formula>
    </cfRule>
  </conditionalFormatting>
  <conditionalFormatting sqref="O447:O464 M447:M464 G447:G464 K447:K464 S447:S464 U447:U464 W447:W464 I447:I464 Q447:Q464">
    <cfRule type="cellIs" dxfId="7727" priority="9097" stopIfTrue="1" operator="notEqual">
      <formula>H447</formula>
    </cfRule>
  </conditionalFormatting>
  <conditionalFormatting sqref="O448 M448 G448 K448 S448 U448 W448 I448 Q448">
    <cfRule type="cellIs" dxfId="7726" priority="9096" stopIfTrue="1" operator="notEqual">
      <formula>H448</formula>
    </cfRule>
  </conditionalFormatting>
  <conditionalFormatting sqref="O449 M449 G449 K449 S449 U449 W449 I449 Q449">
    <cfRule type="cellIs" dxfId="7725" priority="9095" stopIfTrue="1" operator="notEqual">
      <formula>H449</formula>
    </cfRule>
  </conditionalFormatting>
  <conditionalFormatting sqref="O450 M450 G450 K450 S450 U450 W450 I450 Q450">
    <cfRule type="cellIs" dxfId="7724" priority="9094" stopIfTrue="1" operator="notEqual">
      <formula>H450</formula>
    </cfRule>
  </conditionalFormatting>
  <conditionalFormatting sqref="O451 M451 G451 K451 S451 U451 W451 I451 Q451">
    <cfRule type="cellIs" dxfId="7723" priority="9093" stopIfTrue="1" operator="notEqual">
      <formula>H451</formula>
    </cfRule>
  </conditionalFormatting>
  <conditionalFormatting sqref="G451:G452">
    <cfRule type="cellIs" dxfId="7722" priority="9092" stopIfTrue="1" operator="notEqual">
      <formula>H451</formula>
    </cfRule>
  </conditionalFormatting>
  <conditionalFormatting sqref="G446">
    <cfRule type="cellIs" dxfId="7721" priority="9091" stopIfTrue="1" operator="notEqual">
      <formula>H446</formula>
    </cfRule>
  </conditionalFormatting>
  <conditionalFormatting sqref="G447:G464">
    <cfRule type="cellIs" dxfId="7720" priority="9090" stopIfTrue="1" operator="notEqual">
      <formula>H447</formula>
    </cfRule>
  </conditionalFormatting>
  <conditionalFormatting sqref="G448">
    <cfRule type="cellIs" dxfId="7719" priority="9089" stopIfTrue="1" operator="notEqual">
      <formula>H448</formula>
    </cfRule>
  </conditionalFormatting>
  <conditionalFormatting sqref="G449">
    <cfRule type="cellIs" dxfId="7718" priority="9088" stopIfTrue="1" operator="notEqual">
      <formula>H449</formula>
    </cfRule>
  </conditionalFormatting>
  <conditionalFormatting sqref="G450">
    <cfRule type="cellIs" dxfId="7717" priority="9087" stopIfTrue="1" operator="notEqual">
      <formula>H450</formula>
    </cfRule>
  </conditionalFormatting>
  <conditionalFormatting sqref="G452">
    <cfRule type="cellIs" dxfId="7716" priority="9086" stopIfTrue="1" operator="notEqual">
      <formula>H452</formula>
    </cfRule>
  </conditionalFormatting>
  <conditionalFormatting sqref="O447:O464 M447:M464 G447:G464 K447:K464 S447:S464 U447:U464 W447:W464 I447:I464 Q447:Q464">
    <cfRule type="cellIs" dxfId="7715" priority="9085" stopIfTrue="1" operator="notEqual">
      <formula>H447</formula>
    </cfRule>
  </conditionalFormatting>
  <conditionalFormatting sqref="O446 M446 G446 K446 S446 U446 W446 I446 Q446">
    <cfRule type="cellIs" dxfId="7714" priority="9084" stopIfTrue="1" operator="notEqual">
      <formula>H446</formula>
    </cfRule>
  </conditionalFormatting>
  <conditionalFormatting sqref="O449 M449 G449 K449 S449 U449 W449 I449 Q449">
    <cfRule type="cellIs" dxfId="7713" priority="9083" stopIfTrue="1" operator="notEqual">
      <formula>H449</formula>
    </cfRule>
  </conditionalFormatting>
  <conditionalFormatting sqref="O450 M450 G450 K450 S450 U450 W450 I450 Q450">
    <cfRule type="cellIs" dxfId="7712" priority="9082" stopIfTrue="1" operator="notEqual">
      <formula>H450</formula>
    </cfRule>
  </conditionalFormatting>
  <conditionalFormatting sqref="O450 M450 G450 K450 S450 U450 W450 I450 Q450">
    <cfRule type="cellIs" dxfId="7711" priority="9081" stopIfTrue="1" operator="notEqual">
      <formula>H450</formula>
    </cfRule>
  </conditionalFormatting>
  <conditionalFormatting sqref="O448 M448 G448 K448 S448 U448 W448 I448 Q448">
    <cfRule type="cellIs" dxfId="7710" priority="9080" stopIfTrue="1" operator="notEqual">
      <formula>H448</formula>
    </cfRule>
  </conditionalFormatting>
  <conditionalFormatting sqref="O452 M452 G452 K452 S452 U452 W452 I452 Q452">
    <cfRule type="cellIs" dxfId="7709" priority="9079" stopIfTrue="1" operator="notEqual">
      <formula>H452</formula>
    </cfRule>
  </conditionalFormatting>
  <conditionalFormatting sqref="O446 M446 G446 K446 S446 U446 W446 I446 Q446">
    <cfRule type="cellIs" dxfId="7708" priority="9078" stopIfTrue="1" operator="notEqual">
      <formula>H446</formula>
    </cfRule>
  </conditionalFormatting>
  <conditionalFormatting sqref="O447:O464 M447:M464 G447:G464 K447:K464 S447:S464 U447:U464 W447:W464 I447:I464 Q447:Q464">
    <cfRule type="cellIs" dxfId="7707" priority="9077" stopIfTrue="1" operator="notEqual">
      <formula>H447</formula>
    </cfRule>
  </conditionalFormatting>
  <conditionalFormatting sqref="O448 M448 G448 K448 S448 U448 W448 I448 Q448">
    <cfRule type="cellIs" dxfId="7706" priority="9076" stopIfTrue="1" operator="notEqual">
      <formula>H448</formula>
    </cfRule>
  </conditionalFormatting>
  <conditionalFormatting sqref="O449 M449 G449 K449 S449 U449 W449 I449 Q449">
    <cfRule type="cellIs" dxfId="7705" priority="9075" stopIfTrue="1" operator="notEqual">
      <formula>H449</formula>
    </cfRule>
  </conditionalFormatting>
  <conditionalFormatting sqref="O450 M450 G450 K450 S450 U450 W450 I450 Q450">
    <cfRule type="cellIs" dxfId="7704" priority="9074" stopIfTrue="1" operator="notEqual">
      <formula>H450</formula>
    </cfRule>
  </conditionalFormatting>
  <conditionalFormatting sqref="O451 M451 G451 K451 S451 U451 W451 I451 Q451">
    <cfRule type="cellIs" dxfId="7703" priority="9073" stopIfTrue="1" operator="notEqual">
      <formula>H451</formula>
    </cfRule>
  </conditionalFormatting>
  <conditionalFormatting sqref="O452 M452 G452 K452 S452 U452 W452 I452 Q452">
    <cfRule type="cellIs" dxfId="7702" priority="9072" stopIfTrue="1" operator="notEqual">
      <formula>H452</formula>
    </cfRule>
  </conditionalFormatting>
  <conditionalFormatting sqref="G446">
    <cfRule type="cellIs" dxfId="7701" priority="9071" stopIfTrue="1" operator="notEqual">
      <formula>H446</formula>
    </cfRule>
  </conditionalFormatting>
  <conditionalFormatting sqref="G447:G464">
    <cfRule type="cellIs" dxfId="7700" priority="9070" stopIfTrue="1" operator="notEqual">
      <formula>H447</formula>
    </cfRule>
  </conditionalFormatting>
  <conditionalFormatting sqref="G448">
    <cfRule type="cellIs" dxfId="7699" priority="9069" stopIfTrue="1" operator="notEqual">
      <formula>H448</formula>
    </cfRule>
  </conditionalFormatting>
  <conditionalFormatting sqref="G449">
    <cfRule type="cellIs" dxfId="7698" priority="9068" stopIfTrue="1" operator="notEqual">
      <formula>H449</formula>
    </cfRule>
  </conditionalFormatting>
  <conditionalFormatting sqref="G450">
    <cfRule type="cellIs" dxfId="7697" priority="9067" stopIfTrue="1" operator="notEqual">
      <formula>H450</formula>
    </cfRule>
  </conditionalFormatting>
  <conditionalFormatting sqref="G451">
    <cfRule type="cellIs" dxfId="7696" priority="9066" stopIfTrue="1" operator="notEqual">
      <formula>H451</formula>
    </cfRule>
  </conditionalFormatting>
  <conditionalFormatting sqref="G452">
    <cfRule type="cellIs" dxfId="7695" priority="9065" stopIfTrue="1" operator="notEqual">
      <formula>H452</formula>
    </cfRule>
  </conditionalFormatting>
  <conditionalFormatting sqref="G453">
    <cfRule type="cellIs" dxfId="7694" priority="9064" stopIfTrue="1" operator="notEqual">
      <formula>H453</formula>
    </cfRule>
  </conditionalFormatting>
  <conditionalFormatting sqref="G454">
    <cfRule type="cellIs" dxfId="7693" priority="9063" stopIfTrue="1" operator="notEqual">
      <formula>H454</formula>
    </cfRule>
  </conditionalFormatting>
  <conditionalFormatting sqref="G455">
    <cfRule type="cellIs" dxfId="7692" priority="9062" stopIfTrue="1" operator="notEqual">
      <formula>H455</formula>
    </cfRule>
  </conditionalFormatting>
  <conditionalFormatting sqref="G456">
    <cfRule type="cellIs" dxfId="7691" priority="9061" stopIfTrue="1" operator="notEqual">
      <formula>H456</formula>
    </cfRule>
  </conditionalFormatting>
  <conditionalFormatting sqref="G457">
    <cfRule type="cellIs" dxfId="7690" priority="9060" stopIfTrue="1" operator="notEqual">
      <formula>H457</formula>
    </cfRule>
  </conditionalFormatting>
  <conditionalFormatting sqref="G458">
    <cfRule type="cellIs" dxfId="7689" priority="9059" stopIfTrue="1" operator="notEqual">
      <formula>H458</formula>
    </cfRule>
  </conditionalFormatting>
  <conditionalFormatting sqref="G459">
    <cfRule type="cellIs" dxfId="7688" priority="9058" stopIfTrue="1" operator="notEqual">
      <formula>H459</formula>
    </cfRule>
  </conditionalFormatting>
  <conditionalFormatting sqref="G460">
    <cfRule type="cellIs" dxfId="7687" priority="9057" stopIfTrue="1" operator="notEqual">
      <formula>H460</formula>
    </cfRule>
  </conditionalFormatting>
  <conditionalFormatting sqref="G461">
    <cfRule type="cellIs" dxfId="7686" priority="9056" stopIfTrue="1" operator="notEqual">
      <formula>H461</formula>
    </cfRule>
  </conditionalFormatting>
  <conditionalFormatting sqref="G462">
    <cfRule type="cellIs" dxfId="7685" priority="9055" stopIfTrue="1" operator="notEqual">
      <formula>H462</formula>
    </cfRule>
  </conditionalFormatting>
  <conditionalFormatting sqref="G463">
    <cfRule type="cellIs" dxfId="7684" priority="9054" stopIfTrue="1" operator="notEqual">
      <formula>H463</formula>
    </cfRule>
  </conditionalFormatting>
  <conditionalFormatting sqref="G464">
    <cfRule type="cellIs" dxfId="7683" priority="9053" stopIfTrue="1" operator="notEqual">
      <formula>H464</formula>
    </cfRule>
  </conditionalFormatting>
  <conditionalFormatting sqref="G465">
    <cfRule type="cellIs" dxfId="7682" priority="9052" stopIfTrue="1" operator="notEqual">
      <formula>H465</formula>
    </cfRule>
  </conditionalFormatting>
  <conditionalFormatting sqref="O446 M446 G446 K446 S446 U446 W446 I446 Q446">
    <cfRule type="cellIs" dxfId="7681" priority="9051" stopIfTrue="1" operator="notEqual">
      <formula>H446</formula>
    </cfRule>
  </conditionalFormatting>
  <conditionalFormatting sqref="O447:O464 M447:M464 G447:G464 K447:K464 S447:S464 U447:U464 W447:W464 I447:I464 Q447:Q464">
    <cfRule type="cellIs" dxfId="7680" priority="9050" stopIfTrue="1" operator="notEqual">
      <formula>H447</formula>
    </cfRule>
  </conditionalFormatting>
  <conditionalFormatting sqref="O448 M448 G448 K448 S448 U448 W448 I448 Q448">
    <cfRule type="cellIs" dxfId="7679" priority="9049" stopIfTrue="1" operator="notEqual">
      <formula>H448</formula>
    </cfRule>
  </conditionalFormatting>
  <conditionalFormatting sqref="O449 M449 G449 K449 S449 U449 W449 I449 Q449">
    <cfRule type="cellIs" dxfId="7678" priority="9048" stopIfTrue="1" operator="notEqual">
      <formula>H449</formula>
    </cfRule>
  </conditionalFormatting>
  <conditionalFormatting sqref="O450 M450 G450 K450 S450 U450 W450 I450 Q450">
    <cfRule type="cellIs" dxfId="7677" priority="9047" stopIfTrue="1" operator="notEqual">
      <formula>H450</formula>
    </cfRule>
  </conditionalFormatting>
  <conditionalFormatting sqref="O451 M451 G451 K451 S451 U451 W451 I451 Q451">
    <cfRule type="cellIs" dxfId="7676" priority="9046" stopIfTrue="1" operator="notEqual">
      <formula>H451</formula>
    </cfRule>
  </conditionalFormatting>
  <conditionalFormatting sqref="O452 M452 G452 K452 S452 U452 W452 I452 Q452">
    <cfRule type="cellIs" dxfId="7675" priority="9045" stopIfTrue="1" operator="notEqual">
      <formula>H452</formula>
    </cfRule>
  </conditionalFormatting>
  <conditionalFormatting sqref="O453 M453 G453 K453 S453 U453 W453 I453 Q453">
    <cfRule type="cellIs" dxfId="7674" priority="9044" stopIfTrue="1" operator="notEqual">
      <formula>H453</formula>
    </cfRule>
  </conditionalFormatting>
  <conditionalFormatting sqref="O454 M454 G454 K454 S454 U454 W454 I454 Q454">
    <cfRule type="cellIs" dxfId="7673" priority="9043" stopIfTrue="1" operator="notEqual">
      <formula>H454</formula>
    </cfRule>
  </conditionalFormatting>
  <conditionalFormatting sqref="O455 M455 G455 K455 S455 U455 W455 I455 Q455">
    <cfRule type="cellIs" dxfId="7672" priority="9042" stopIfTrue="1" operator="notEqual">
      <formula>H455</formula>
    </cfRule>
  </conditionalFormatting>
  <conditionalFormatting sqref="O456 M456 G456 K456 S456 U456 W456 I456 Q456">
    <cfRule type="cellIs" dxfId="7671" priority="9041" stopIfTrue="1" operator="notEqual">
      <formula>H456</formula>
    </cfRule>
  </conditionalFormatting>
  <conditionalFormatting sqref="G456:G457">
    <cfRule type="cellIs" dxfId="7670" priority="9040" stopIfTrue="1" operator="notEqual">
      <formula>H456</formula>
    </cfRule>
  </conditionalFormatting>
  <conditionalFormatting sqref="G446">
    <cfRule type="cellIs" dxfId="7669" priority="9039" stopIfTrue="1" operator="notEqual">
      <formula>H446</formula>
    </cfRule>
  </conditionalFormatting>
  <conditionalFormatting sqref="G447:G464">
    <cfRule type="cellIs" dxfId="7668" priority="9038" stopIfTrue="1" operator="notEqual">
      <formula>H447</formula>
    </cfRule>
  </conditionalFormatting>
  <conditionalFormatting sqref="G448">
    <cfRule type="cellIs" dxfId="7667" priority="9037" stopIfTrue="1" operator="notEqual">
      <formula>H448</formula>
    </cfRule>
  </conditionalFormatting>
  <conditionalFormatting sqref="G449">
    <cfRule type="cellIs" dxfId="7666" priority="9036" stopIfTrue="1" operator="notEqual">
      <formula>H449</formula>
    </cfRule>
  </conditionalFormatting>
  <conditionalFormatting sqref="G450">
    <cfRule type="cellIs" dxfId="7665" priority="9035" stopIfTrue="1" operator="notEqual">
      <formula>H450</formula>
    </cfRule>
  </conditionalFormatting>
  <conditionalFormatting sqref="G451">
    <cfRule type="cellIs" dxfId="7664" priority="9034" stopIfTrue="1" operator="notEqual">
      <formula>H451</formula>
    </cfRule>
  </conditionalFormatting>
  <conditionalFormatting sqref="G452">
    <cfRule type="cellIs" dxfId="7663" priority="9033" stopIfTrue="1" operator="notEqual">
      <formula>H452</formula>
    </cfRule>
  </conditionalFormatting>
  <conditionalFormatting sqref="G453">
    <cfRule type="cellIs" dxfId="7662" priority="9032" stopIfTrue="1" operator="notEqual">
      <formula>H453</formula>
    </cfRule>
  </conditionalFormatting>
  <conditionalFormatting sqref="G454">
    <cfRule type="cellIs" dxfId="7661" priority="9031" stopIfTrue="1" operator="notEqual">
      <formula>H454</formula>
    </cfRule>
  </conditionalFormatting>
  <conditionalFormatting sqref="G455">
    <cfRule type="cellIs" dxfId="7660" priority="9030" stopIfTrue="1" operator="notEqual">
      <formula>H455</formula>
    </cfRule>
  </conditionalFormatting>
  <conditionalFormatting sqref="G457">
    <cfRule type="cellIs" dxfId="7659" priority="9029" stopIfTrue="1" operator="notEqual">
      <formula>H457</formula>
    </cfRule>
  </conditionalFormatting>
  <conditionalFormatting sqref="O452:O457 M452:M457 G452:G457 K452:K457 S452:S457 U452:U457 W452:W457 I452:I457 Q452:Q457">
    <cfRule type="cellIs" dxfId="7658" priority="9028" stopIfTrue="1" operator="notEqual">
      <formula>H452</formula>
    </cfRule>
  </conditionalFormatting>
  <conditionalFormatting sqref="O446 M446 G446 K446 S446 U446 W446 I446 Q446">
    <cfRule type="cellIs" dxfId="7657" priority="9027" stopIfTrue="1" operator="notEqual">
      <formula>H446</formula>
    </cfRule>
  </conditionalFormatting>
  <conditionalFormatting sqref="O447:O464 M447:M464 G447:G464 K447:K464 S447:S464 U447:U464 W447:W464 I447:I464 Q447:Q464">
    <cfRule type="cellIs" dxfId="7656" priority="9026" stopIfTrue="1" operator="notEqual">
      <formula>H447</formula>
    </cfRule>
  </conditionalFormatting>
  <conditionalFormatting sqref="O448 M448 G448 K448 S448 U448 W448 I448 Q448">
    <cfRule type="cellIs" dxfId="7655" priority="9025" stopIfTrue="1" operator="notEqual">
      <formula>H448</formula>
    </cfRule>
  </conditionalFormatting>
  <conditionalFormatting sqref="O449 M449 G449 K449 S449 U449 W449 I449 Q449">
    <cfRule type="cellIs" dxfId="7654" priority="9024" stopIfTrue="1" operator="notEqual">
      <formula>H449</formula>
    </cfRule>
  </conditionalFormatting>
  <conditionalFormatting sqref="O450 M450 G450 K450 S450 U450 W450 I450 Q450">
    <cfRule type="cellIs" dxfId="7653" priority="9023" stopIfTrue="1" operator="notEqual">
      <formula>H450</formula>
    </cfRule>
  </conditionalFormatting>
  <conditionalFormatting sqref="O451 M451 G451 K451 S451 U451 W451 I451 Q451">
    <cfRule type="cellIs" dxfId="7652" priority="9022" stopIfTrue="1" operator="notEqual">
      <formula>H451</formula>
    </cfRule>
  </conditionalFormatting>
  <conditionalFormatting sqref="O454 M454 G454 K454 S454 U454 W454 I454 Q454">
    <cfRule type="cellIs" dxfId="7651" priority="9021" stopIfTrue="1" operator="notEqual">
      <formula>H454</formula>
    </cfRule>
  </conditionalFormatting>
  <conditionalFormatting sqref="O455 M455 G455 K455 S455 U455 W455 I455 Q455">
    <cfRule type="cellIs" dxfId="7650" priority="9020" stopIfTrue="1" operator="notEqual">
      <formula>H455</formula>
    </cfRule>
  </conditionalFormatting>
  <conditionalFormatting sqref="O455 M455 G455 K455 S455 U455 W455 I455 Q455">
    <cfRule type="cellIs" dxfId="7649" priority="9019" stopIfTrue="1" operator="notEqual">
      <formula>H455</formula>
    </cfRule>
  </conditionalFormatting>
  <conditionalFormatting sqref="O453 M453 G453 K453 S453 U453 W453 I453 Q453">
    <cfRule type="cellIs" dxfId="7648" priority="9018" stopIfTrue="1" operator="notEqual">
      <formula>H453</formula>
    </cfRule>
  </conditionalFormatting>
  <conditionalFormatting sqref="O457 M457 G457 K457 S457 U457 W457 I457 Q457">
    <cfRule type="cellIs" dxfId="7647" priority="9017" stopIfTrue="1" operator="notEqual">
      <formula>H457</formula>
    </cfRule>
  </conditionalFormatting>
  <conditionalFormatting sqref="O446 M446 G446 K446 S446 U446 W446 I446 Q446">
    <cfRule type="cellIs" dxfId="7646" priority="9016" stopIfTrue="1" operator="notEqual">
      <formula>H446</formula>
    </cfRule>
  </conditionalFormatting>
  <conditionalFormatting sqref="O447:O464 M447:M464 G447:G464 K447:K464 S447:S464 U447:U464 W447:W464 I447:I464 Q447:Q464">
    <cfRule type="cellIs" dxfId="7645" priority="9015" stopIfTrue="1" operator="notEqual">
      <formula>H447</formula>
    </cfRule>
  </conditionalFormatting>
  <conditionalFormatting sqref="O448 M448 G448 K448 S448 U448 W448 I448 Q448">
    <cfRule type="cellIs" dxfId="7644" priority="9014" stopIfTrue="1" operator="notEqual">
      <formula>H448</formula>
    </cfRule>
  </conditionalFormatting>
  <conditionalFormatting sqref="O449 M449 G449 K449 S449 U449 W449 I449 Q449">
    <cfRule type="cellIs" dxfId="7643" priority="9013" stopIfTrue="1" operator="notEqual">
      <formula>H449</formula>
    </cfRule>
  </conditionalFormatting>
  <conditionalFormatting sqref="O450 M450 G450 K450 S450 U450 W450 I450 Q450">
    <cfRule type="cellIs" dxfId="7642" priority="9012" stopIfTrue="1" operator="notEqual">
      <formula>H450</formula>
    </cfRule>
  </conditionalFormatting>
  <conditionalFormatting sqref="O451 M451 G451 K451 S451 U451 W451 I451 Q451">
    <cfRule type="cellIs" dxfId="7641" priority="9011" stopIfTrue="1" operator="notEqual">
      <formula>H451</formula>
    </cfRule>
  </conditionalFormatting>
  <conditionalFormatting sqref="O452 M452 G452 K452 S452 U452 W452 I452 Q452">
    <cfRule type="cellIs" dxfId="7640" priority="9010" stopIfTrue="1" operator="notEqual">
      <formula>H452</formula>
    </cfRule>
  </conditionalFormatting>
  <conditionalFormatting sqref="O453 M453 G453 K453 S453 U453 W453 I453 Q453">
    <cfRule type="cellIs" dxfId="7639" priority="9009" stopIfTrue="1" operator="notEqual">
      <formula>H453</formula>
    </cfRule>
  </conditionalFormatting>
  <conditionalFormatting sqref="O454 M454 G454 K454 S454 U454 W454 I454 Q454">
    <cfRule type="cellIs" dxfId="7638" priority="9008" stopIfTrue="1" operator="notEqual">
      <formula>H454</formula>
    </cfRule>
  </conditionalFormatting>
  <conditionalFormatting sqref="O455 M455 G455 K455 S455 U455 W455 I455 Q455">
    <cfRule type="cellIs" dxfId="7637" priority="9007" stopIfTrue="1" operator="notEqual">
      <formula>H455</formula>
    </cfRule>
  </conditionalFormatting>
  <conditionalFormatting sqref="O456 M456 G456 K456 S456 U456 W456 I456 Q456">
    <cfRule type="cellIs" dxfId="7636" priority="9006" stopIfTrue="1" operator="notEqual">
      <formula>H456</formula>
    </cfRule>
  </conditionalFormatting>
  <conditionalFormatting sqref="O457 M457 G457 K457 S457 U457 W457 I457 Q457">
    <cfRule type="cellIs" dxfId="7635" priority="9005" stopIfTrue="1" operator="notEqual">
      <formula>H457</formula>
    </cfRule>
  </conditionalFormatting>
  <conditionalFormatting sqref="G457:G460">
    <cfRule type="cellIs" dxfId="7634" priority="9004" stopIfTrue="1" operator="notEqual">
      <formula>H457</formula>
    </cfRule>
  </conditionalFormatting>
  <conditionalFormatting sqref="G457">
    <cfRule type="cellIs" dxfId="7633" priority="9003" stopIfTrue="1" operator="notEqual">
      <formula>H457</formula>
    </cfRule>
  </conditionalFormatting>
  <conditionalFormatting sqref="G458">
    <cfRule type="cellIs" dxfId="7632" priority="9002" stopIfTrue="1" operator="notEqual">
      <formula>H458</formula>
    </cfRule>
  </conditionalFormatting>
  <conditionalFormatting sqref="G458">
    <cfRule type="cellIs" dxfId="7631" priority="9001" stopIfTrue="1" operator="notEqual">
      <formula>H458</formula>
    </cfRule>
  </conditionalFormatting>
  <conditionalFormatting sqref="G461">
    <cfRule type="cellIs" dxfId="7630" priority="9000" stopIfTrue="1" operator="notEqual">
      <formula>H461</formula>
    </cfRule>
  </conditionalFormatting>
  <conditionalFormatting sqref="G462">
    <cfRule type="cellIs" dxfId="7629" priority="8999" stopIfTrue="1" operator="notEqual">
      <formula>H462</formula>
    </cfRule>
  </conditionalFormatting>
  <conditionalFormatting sqref="G460">
    <cfRule type="cellIs" dxfId="7628" priority="8998" stopIfTrue="1" operator="notEqual">
      <formula>H460</formula>
    </cfRule>
  </conditionalFormatting>
  <conditionalFormatting sqref="G463">
    <cfRule type="cellIs" dxfId="7627" priority="8997" stopIfTrue="1" operator="notEqual">
      <formula>H463</formula>
    </cfRule>
  </conditionalFormatting>
  <conditionalFormatting sqref="G464">
    <cfRule type="cellIs" dxfId="7626" priority="8996" stopIfTrue="1" operator="notEqual">
      <formula>H464</formula>
    </cfRule>
  </conditionalFormatting>
  <conditionalFormatting sqref="G465">
    <cfRule type="cellIs" dxfId="7625" priority="8995" stopIfTrue="1" operator="notEqual">
      <formula>H465</formula>
    </cfRule>
  </conditionalFormatting>
  <conditionalFormatting sqref="O457 M457 G457 K457 S457 U457 W457 I457 Q457">
    <cfRule type="cellIs" dxfId="7624" priority="8994" stopIfTrue="1" operator="notEqual">
      <formula>H457</formula>
    </cfRule>
  </conditionalFormatting>
  <conditionalFormatting sqref="O458 M458 G458 K458 S458 U458 W458 I458 Q458">
    <cfRule type="cellIs" dxfId="7623" priority="8993" stopIfTrue="1" operator="notEqual">
      <formula>H458</formula>
    </cfRule>
  </conditionalFormatting>
  <conditionalFormatting sqref="O459 M459 G459 K459 S459 U459 W459 I459 Q459">
    <cfRule type="cellIs" dxfId="7622" priority="8992" stopIfTrue="1" operator="notEqual">
      <formula>H459</formula>
    </cfRule>
  </conditionalFormatting>
  <conditionalFormatting sqref="O460 M460 G460 K460 S460 U460 W460 I460 Q460">
    <cfRule type="cellIs" dxfId="7621" priority="8991" stopIfTrue="1" operator="notEqual">
      <formula>H460</formula>
    </cfRule>
  </conditionalFormatting>
  <conditionalFormatting sqref="O461 M461 G461 K461 S461 U461 W461 I461 Q461">
    <cfRule type="cellIs" dxfId="7620" priority="8990" stopIfTrue="1" operator="notEqual">
      <formula>H461</formula>
    </cfRule>
  </conditionalFormatting>
  <conditionalFormatting sqref="O462 M462 G462 K462 S462 U462 W462 I462 Q462">
    <cfRule type="cellIs" dxfId="7619" priority="8989" stopIfTrue="1" operator="notEqual">
      <formula>H462</formula>
    </cfRule>
  </conditionalFormatting>
  <conditionalFormatting sqref="O463 M463 G463 K463 S463 U463 W463 I463 Q463">
    <cfRule type="cellIs" dxfId="7618" priority="8988" stopIfTrue="1" operator="notEqual">
      <formula>H463</formula>
    </cfRule>
  </conditionalFormatting>
  <conditionalFormatting sqref="O464 M464 G464 K464 S464 U464 W464 I464 Q464">
    <cfRule type="cellIs" dxfId="7617" priority="8987" stopIfTrue="1" operator="notEqual">
      <formula>H464</formula>
    </cfRule>
  </conditionalFormatting>
  <conditionalFormatting sqref="O465 M465 G465 K465 S465 U465 W465 I465 Q465">
    <cfRule type="cellIs" dxfId="7616" priority="8986" stopIfTrue="1" operator="notEqual">
      <formula>H465</formula>
    </cfRule>
  </conditionalFormatting>
  <conditionalFormatting sqref="G457">
    <cfRule type="cellIs" dxfId="7615" priority="8985" stopIfTrue="1" operator="notEqual">
      <formula>H457</formula>
    </cfRule>
  </conditionalFormatting>
  <conditionalFormatting sqref="G458">
    <cfRule type="cellIs" dxfId="7614" priority="8984" stopIfTrue="1" operator="notEqual">
      <formula>H458</formula>
    </cfRule>
  </conditionalFormatting>
  <conditionalFormatting sqref="G459">
    <cfRule type="cellIs" dxfId="7613" priority="8983" stopIfTrue="1" operator="notEqual">
      <formula>H459</formula>
    </cfRule>
  </conditionalFormatting>
  <conditionalFormatting sqref="G460">
    <cfRule type="cellIs" dxfId="7612" priority="8982" stopIfTrue="1" operator="notEqual">
      <formula>H460</formula>
    </cfRule>
  </conditionalFormatting>
  <conditionalFormatting sqref="G461">
    <cfRule type="cellIs" dxfId="7611" priority="8981" stopIfTrue="1" operator="notEqual">
      <formula>H461</formula>
    </cfRule>
  </conditionalFormatting>
  <conditionalFormatting sqref="G462">
    <cfRule type="cellIs" dxfId="7610" priority="8980" stopIfTrue="1" operator="notEqual">
      <formula>H462</formula>
    </cfRule>
  </conditionalFormatting>
  <conditionalFormatting sqref="G463">
    <cfRule type="cellIs" dxfId="7609" priority="8979" stopIfTrue="1" operator="notEqual">
      <formula>H463</formula>
    </cfRule>
  </conditionalFormatting>
  <conditionalFormatting sqref="G464">
    <cfRule type="cellIs" dxfId="7608" priority="8978" stopIfTrue="1" operator="notEqual">
      <formula>H464</formula>
    </cfRule>
  </conditionalFormatting>
  <conditionalFormatting sqref="G465">
    <cfRule type="cellIs" dxfId="7607" priority="8977" stopIfTrue="1" operator="notEqual">
      <formula>H465</formula>
    </cfRule>
  </conditionalFormatting>
  <conditionalFormatting sqref="G457">
    <cfRule type="cellIs" dxfId="7606" priority="8976" stopIfTrue="1" operator="notEqual">
      <formula>H457</formula>
    </cfRule>
  </conditionalFormatting>
  <conditionalFormatting sqref="G457">
    <cfRule type="cellIs" dxfId="7605" priority="8975" stopIfTrue="1" operator="notEqual">
      <formula>H457</formula>
    </cfRule>
  </conditionalFormatting>
  <conditionalFormatting sqref="G457">
    <cfRule type="cellIs" dxfId="7604" priority="8974" stopIfTrue="1" operator="notEqual">
      <formula>H457</formula>
    </cfRule>
  </conditionalFormatting>
  <conditionalFormatting sqref="G457">
    <cfRule type="cellIs" dxfId="7603" priority="8973" stopIfTrue="1" operator="notEqual">
      <formula>H457</formula>
    </cfRule>
  </conditionalFormatting>
  <conditionalFormatting sqref="G457">
    <cfRule type="cellIs" dxfId="7602" priority="8972" stopIfTrue="1" operator="notEqual">
      <formula>H457</formula>
    </cfRule>
  </conditionalFormatting>
  <conditionalFormatting sqref="G457">
    <cfRule type="cellIs" dxfId="7601" priority="8971" stopIfTrue="1" operator="notEqual">
      <formula>H457</formula>
    </cfRule>
  </conditionalFormatting>
  <conditionalFormatting sqref="O457 M457 G457 K457 S457 U457 W457 I457 Q457">
    <cfRule type="cellIs" dxfId="7600" priority="8970" stopIfTrue="1" operator="notEqual">
      <formula>H457</formula>
    </cfRule>
  </conditionalFormatting>
  <conditionalFormatting sqref="O458 M458 G458 K458 S458 U458 W458 I458 Q458">
    <cfRule type="cellIs" dxfId="7599" priority="8969" stopIfTrue="1" operator="notEqual">
      <formula>H458</formula>
    </cfRule>
  </conditionalFormatting>
  <conditionalFormatting sqref="O459 M459 G459 K459 S459 U459 W459 I459 Q459">
    <cfRule type="cellIs" dxfId="7598" priority="8968" stopIfTrue="1" operator="notEqual">
      <formula>H459</formula>
    </cfRule>
  </conditionalFormatting>
  <conditionalFormatting sqref="O460 M460 G460 K460 S460 U460 W460 I460 Q460">
    <cfRule type="cellIs" dxfId="7597" priority="8967" stopIfTrue="1" operator="notEqual">
      <formula>H460</formula>
    </cfRule>
  </conditionalFormatting>
  <conditionalFormatting sqref="O461 M461 G461 K461 S461 U461 W461 I461 Q461">
    <cfRule type="cellIs" dxfId="7596" priority="8966" stopIfTrue="1" operator="notEqual">
      <formula>H461</formula>
    </cfRule>
  </conditionalFormatting>
  <conditionalFormatting sqref="O462 M462 G462 K462 S462 U462 W462 I462 Q462">
    <cfRule type="cellIs" dxfId="7595" priority="8965" stopIfTrue="1" operator="notEqual">
      <formula>H462</formula>
    </cfRule>
  </conditionalFormatting>
  <conditionalFormatting sqref="O463 M463 G463 K463 S463 U463 W463 I463 Q463">
    <cfRule type="cellIs" dxfId="7594" priority="8964" stopIfTrue="1" operator="notEqual">
      <formula>H463</formula>
    </cfRule>
  </conditionalFormatting>
  <conditionalFormatting sqref="O464 M464 G464 K464 S464 U464 W464 I464 Q464">
    <cfRule type="cellIs" dxfId="7593" priority="8963" stopIfTrue="1" operator="notEqual">
      <formula>H464</formula>
    </cfRule>
  </conditionalFormatting>
  <conditionalFormatting sqref="O465 M465 G465 K465 S465 U465 W465 I465 Q465">
    <cfRule type="cellIs" dxfId="7592" priority="8962" stopIfTrue="1" operator="notEqual">
      <formula>H465</formula>
    </cfRule>
  </conditionalFormatting>
  <conditionalFormatting sqref="O457 M457 G457 K457 S457 U457 W457 I457 Q457">
    <cfRule type="cellIs" dxfId="7591" priority="8961" stopIfTrue="1" operator="notEqual">
      <formula>H457</formula>
    </cfRule>
  </conditionalFormatting>
  <conditionalFormatting sqref="O458 M458 G458 K458 S458 U458 W458 I458 Q458">
    <cfRule type="cellIs" dxfId="7590" priority="8960" stopIfTrue="1" operator="notEqual">
      <formula>H458</formula>
    </cfRule>
  </conditionalFormatting>
  <conditionalFormatting sqref="O459 M459 G459 K459 S459 U459 W459 I459 Q459">
    <cfRule type="cellIs" dxfId="7589" priority="8959" stopIfTrue="1" operator="notEqual">
      <formula>H459</formula>
    </cfRule>
  </conditionalFormatting>
  <conditionalFormatting sqref="O457 M457 G457 K457 S457 U457 W457 I457 Q457">
    <cfRule type="cellIs" dxfId="7588" priority="8958" stopIfTrue="1" operator="notEqual">
      <formula>H457</formula>
    </cfRule>
  </conditionalFormatting>
  <conditionalFormatting sqref="O460 M460 G460 K460 S460 U460 W460 I460 Q460">
    <cfRule type="cellIs" dxfId="7587" priority="8957" stopIfTrue="1" operator="notEqual">
      <formula>H460</formula>
    </cfRule>
  </conditionalFormatting>
  <conditionalFormatting sqref="O461 M461 G461 K461 S461 U461 W461 I461 Q461">
    <cfRule type="cellIs" dxfId="7586" priority="8956" stopIfTrue="1" operator="notEqual">
      <formula>H461</formula>
    </cfRule>
  </conditionalFormatting>
  <conditionalFormatting sqref="O462 M462 G462 K462 S462 U462 W462 I462 Q462">
    <cfRule type="cellIs" dxfId="7585" priority="8955" stopIfTrue="1" operator="notEqual">
      <formula>H462</formula>
    </cfRule>
  </conditionalFormatting>
  <conditionalFormatting sqref="O463 M463 G463 K463 S463 U463 W463 I463 Q463">
    <cfRule type="cellIs" dxfId="7584" priority="8954" stopIfTrue="1" operator="notEqual">
      <formula>H463</formula>
    </cfRule>
  </conditionalFormatting>
  <conditionalFormatting sqref="O464 M464 G464 K464 S464 U464 W464 I464 Q464">
    <cfRule type="cellIs" dxfId="7583" priority="8953" stopIfTrue="1" operator="notEqual">
      <formula>H464</formula>
    </cfRule>
  </conditionalFormatting>
  <conditionalFormatting sqref="O465 M465 G465 K465 S465 U465 W465 I465 Q465">
    <cfRule type="cellIs" dxfId="7582" priority="8952" stopIfTrue="1" operator="notEqual">
      <formula>H465</formula>
    </cfRule>
  </conditionalFormatting>
  <conditionalFormatting sqref="G460:G465">
    <cfRule type="cellIs" dxfId="7581" priority="8951" stopIfTrue="1" operator="notEqual">
      <formula>H460</formula>
    </cfRule>
  </conditionalFormatting>
  <conditionalFormatting sqref="G446">
    <cfRule type="cellIs" dxfId="7580" priority="8950" stopIfTrue="1" operator="notEqual">
      <formula>H446</formula>
    </cfRule>
  </conditionalFormatting>
  <conditionalFormatting sqref="G447:G464">
    <cfRule type="cellIs" dxfId="7579" priority="8949" stopIfTrue="1" operator="notEqual">
      <formula>H447</formula>
    </cfRule>
  </conditionalFormatting>
  <conditionalFormatting sqref="G448">
    <cfRule type="cellIs" dxfId="7578" priority="8948" stopIfTrue="1" operator="notEqual">
      <formula>H448</formula>
    </cfRule>
  </conditionalFormatting>
  <conditionalFormatting sqref="G449">
    <cfRule type="cellIs" dxfId="7577" priority="8947" stopIfTrue="1" operator="notEqual">
      <formula>H449</formula>
    </cfRule>
  </conditionalFormatting>
  <conditionalFormatting sqref="G450">
    <cfRule type="cellIs" dxfId="7576" priority="8946" stopIfTrue="1" operator="notEqual">
      <formula>H450</formula>
    </cfRule>
  </conditionalFormatting>
  <conditionalFormatting sqref="G451">
    <cfRule type="cellIs" dxfId="7575" priority="8945" stopIfTrue="1" operator="notEqual">
      <formula>H451</formula>
    </cfRule>
  </conditionalFormatting>
  <conditionalFormatting sqref="G452">
    <cfRule type="cellIs" dxfId="7574" priority="8944" stopIfTrue="1" operator="notEqual">
      <formula>H452</formula>
    </cfRule>
  </conditionalFormatting>
  <conditionalFormatting sqref="G453">
    <cfRule type="cellIs" dxfId="7573" priority="8943" stopIfTrue="1" operator="notEqual">
      <formula>H453</formula>
    </cfRule>
  </conditionalFormatting>
  <conditionalFormatting sqref="G454">
    <cfRule type="cellIs" dxfId="7572" priority="8942" stopIfTrue="1" operator="notEqual">
      <formula>H454</formula>
    </cfRule>
  </conditionalFormatting>
  <conditionalFormatting sqref="G455">
    <cfRule type="cellIs" dxfId="7571" priority="8941" stopIfTrue="1" operator="notEqual">
      <formula>H455</formula>
    </cfRule>
  </conditionalFormatting>
  <conditionalFormatting sqref="G456">
    <cfRule type="cellIs" dxfId="7570" priority="8940" stopIfTrue="1" operator="notEqual">
      <formula>H456</formula>
    </cfRule>
  </conditionalFormatting>
  <conditionalFormatting sqref="G457">
    <cfRule type="cellIs" dxfId="7569" priority="8939" stopIfTrue="1" operator="notEqual">
      <formula>H457</formula>
    </cfRule>
  </conditionalFormatting>
  <conditionalFormatting sqref="G458">
    <cfRule type="cellIs" dxfId="7568" priority="8938" stopIfTrue="1" operator="notEqual">
      <formula>H458</formula>
    </cfRule>
  </conditionalFormatting>
  <conditionalFormatting sqref="G459">
    <cfRule type="cellIs" dxfId="7567" priority="8937" stopIfTrue="1" operator="notEqual">
      <formula>H459</formula>
    </cfRule>
  </conditionalFormatting>
  <conditionalFormatting sqref="G446">
    <cfRule type="cellIs" dxfId="7566" priority="8936" stopIfTrue="1" operator="notEqual">
      <formula>H446</formula>
    </cfRule>
  </conditionalFormatting>
  <conditionalFormatting sqref="G446">
    <cfRule type="cellIs" dxfId="7565" priority="8935" stopIfTrue="1" operator="notEqual">
      <formula>H446</formula>
    </cfRule>
  </conditionalFormatting>
  <conditionalFormatting sqref="G446">
    <cfRule type="cellIs" dxfId="7564" priority="8934" stopIfTrue="1" operator="notEqual">
      <formula>H446</formula>
    </cfRule>
  </conditionalFormatting>
  <conditionalFormatting sqref="G446">
    <cfRule type="cellIs" dxfId="7563" priority="8933" stopIfTrue="1" operator="notEqual">
      <formula>H446</formula>
    </cfRule>
  </conditionalFormatting>
  <conditionalFormatting sqref="G446">
    <cfRule type="cellIs" dxfId="7562" priority="8932" stopIfTrue="1" operator="notEqual">
      <formula>H446</formula>
    </cfRule>
  </conditionalFormatting>
  <conditionalFormatting sqref="G446">
    <cfRule type="cellIs" dxfId="7561" priority="8931" stopIfTrue="1" operator="notEqual">
      <formula>H446</formula>
    </cfRule>
  </conditionalFormatting>
  <conditionalFormatting sqref="G462">
    <cfRule type="cellIs" dxfId="7560" priority="8930" stopIfTrue="1" operator="notEqual">
      <formula>H462</formula>
    </cfRule>
  </conditionalFormatting>
  <conditionalFormatting sqref="G463">
    <cfRule type="cellIs" dxfId="7559" priority="8929" stopIfTrue="1" operator="notEqual">
      <formula>H463</formula>
    </cfRule>
  </conditionalFormatting>
  <conditionalFormatting sqref="G463">
    <cfRule type="cellIs" dxfId="7558" priority="8928" stopIfTrue="1" operator="notEqual">
      <formula>H463</formula>
    </cfRule>
  </conditionalFormatting>
  <conditionalFormatting sqref="G461">
    <cfRule type="cellIs" dxfId="7557" priority="8927" stopIfTrue="1" operator="notEqual">
      <formula>H461</formula>
    </cfRule>
  </conditionalFormatting>
  <conditionalFormatting sqref="G465">
    <cfRule type="cellIs" dxfId="7556" priority="8926" stopIfTrue="1" operator="notEqual">
      <formula>H465</formula>
    </cfRule>
  </conditionalFormatting>
  <conditionalFormatting sqref="O456:O461 M456:M461 G456:G461 K456:K461 S456:S461 U456:U461 W456:W461 I456:I461 Q456:Q461">
    <cfRule type="cellIs" dxfId="7555" priority="8925" stopIfTrue="1" operator="notEqual">
      <formula>H456</formula>
    </cfRule>
  </conditionalFormatting>
  <conditionalFormatting sqref="O446 M446 G446 K446 S446 U446 W446 I446 Q446">
    <cfRule type="cellIs" dxfId="7554" priority="8924" stopIfTrue="1" operator="notEqual">
      <formula>H446</formula>
    </cfRule>
  </conditionalFormatting>
  <conditionalFormatting sqref="O447:O464 M447:M464 G447:G464 K447:K464 S447:S464 U447:U464 W447:W464 I447:I464 Q447:Q464">
    <cfRule type="cellIs" dxfId="7553" priority="8923" stopIfTrue="1" operator="notEqual">
      <formula>H447</formula>
    </cfRule>
  </conditionalFormatting>
  <conditionalFormatting sqref="O448 M448 G448 K448 S448 U448 W448 I448 Q448">
    <cfRule type="cellIs" dxfId="7552" priority="8922" stopIfTrue="1" operator="notEqual">
      <formula>H448</formula>
    </cfRule>
  </conditionalFormatting>
  <conditionalFormatting sqref="O449 M449 G449 K449 S449 U449 W449 I449 Q449">
    <cfRule type="cellIs" dxfId="7551" priority="8921" stopIfTrue="1" operator="notEqual">
      <formula>H449</formula>
    </cfRule>
  </conditionalFormatting>
  <conditionalFormatting sqref="O450 M450 G450 K450 S450 U450 W450 I450 Q450">
    <cfRule type="cellIs" dxfId="7550" priority="8920" stopIfTrue="1" operator="notEqual">
      <formula>H450</formula>
    </cfRule>
  </conditionalFormatting>
  <conditionalFormatting sqref="O451 M451 G451 K451 S451 U451 W451 I451 Q451">
    <cfRule type="cellIs" dxfId="7549" priority="8919" stopIfTrue="1" operator="notEqual">
      <formula>H451</formula>
    </cfRule>
  </conditionalFormatting>
  <conditionalFormatting sqref="O452 M452 G452 K452 S452 U452 W452 I452 Q452">
    <cfRule type="cellIs" dxfId="7548" priority="8918" stopIfTrue="1" operator="notEqual">
      <formula>H452</formula>
    </cfRule>
  </conditionalFormatting>
  <conditionalFormatting sqref="O453 M453 G453 K453 S453 U453 W453 I453 Q453">
    <cfRule type="cellIs" dxfId="7547" priority="8917" stopIfTrue="1" operator="notEqual">
      <formula>H453</formula>
    </cfRule>
  </conditionalFormatting>
  <conditionalFormatting sqref="O454 M454 G454 K454 S454 U454 W454 I454 Q454">
    <cfRule type="cellIs" dxfId="7546" priority="8916" stopIfTrue="1" operator="notEqual">
      <formula>H454</formula>
    </cfRule>
  </conditionalFormatting>
  <conditionalFormatting sqref="O455 M455 G455 K455 S455 U455 W455 I455 Q455">
    <cfRule type="cellIs" dxfId="7545" priority="8915" stopIfTrue="1" operator="notEqual">
      <formula>H455</formula>
    </cfRule>
  </conditionalFormatting>
  <conditionalFormatting sqref="O458 M458 G458 K458 S458 U458 W458 I458 Q458">
    <cfRule type="cellIs" dxfId="7544" priority="8914" stopIfTrue="1" operator="notEqual">
      <formula>H458</formula>
    </cfRule>
  </conditionalFormatting>
  <conditionalFormatting sqref="O459 M459 G459 K459 S459 U459 W459 I459 Q459">
    <cfRule type="cellIs" dxfId="7543" priority="8913" stopIfTrue="1" operator="notEqual">
      <formula>H459</formula>
    </cfRule>
  </conditionalFormatting>
  <conditionalFormatting sqref="O459 M459 G459 K459 S459 U459 W459 I459 Q459">
    <cfRule type="cellIs" dxfId="7542" priority="8912" stopIfTrue="1" operator="notEqual">
      <formula>H459</formula>
    </cfRule>
  </conditionalFormatting>
  <conditionalFormatting sqref="O457 M457 G457 K457 S457 U457 W457 I457 Q457">
    <cfRule type="cellIs" dxfId="7541" priority="8911" stopIfTrue="1" operator="notEqual">
      <formula>H457</formula>
    </cfRule>
  </conditionalFormatting>
  <conditionalFormatting sqref="O462 M462 G462 K462 S462 U462 W462 I462 Q462">
    <cfRule type="cellIs" dxfId="7540" priority="8910" stopIfTrue="1" operator="notEqual">
      <formula>H462</formula>
    </cfRule>
  </conditionalFormatting>
  <conditionalFormatting sqref="O463 M463 G463 K463 S463 U463 W463 I463 Q463">
    <cfRule type="cellIs" dxfId="7539" priority="8909" stopIfTrue="1" operator="notEqual">
      <formula>H463</formula>
    </cfRule>
  </conditionalFormatting>
  <conditionalFormatting sqref="O461 M461 G461 K461 S461 U461 W461 I461 Q461">
    <cfRule type="cellIs" dxfId="7538" priority="8908" stopIfTrue="1" operator="notEqual">
      <formula>H461</formula>
    </cfRule>
  </conditionalFormatting>
  <conditionalFormatting sqref="O464 M464 G464 K464 S464 U464 W464 I464 Q464">
    <cfRule type="cellIs" dxfId="7537" priority="8907" stopIfTrue="1" operator="notEqual">
      <formula>H464</formula>
    </cfRule>
  </conditionalFormatting>
  <conditionalFormatting sqref="O465 M465 G465 K465 S465 U465 W465 I465 Q465">
    <cfRule type="cellIs" dxfId="7536" priority="8906" stopIfTrue="1" operator="notEqual">
      <formula>H465</formula>
    </cfRule>
  </conditionalFormatting>
  <conditionalFormatting sqref="O446 M446 G446 K446 S446 U446 W446 I446 Q446">
    <cfRule type="cellIs" dxfId="7535" priority="8905" stopIfTrue="1" operator="notEqual">
      <formula>H446</formula>
    </cfRule>
  </conditionalFormatting>
  <conditionalFormatting sqref="O447:O464 M447:M464 G447:G464 K447:K464 S447:S464 U447:U464 W447:W464 I447:I464 Q447:Q464">
    <cfRule type="cellIs" dxfId="7534" priority="8904" stopIfTrue="1" operator="notEqual">
      <formula>H447</formula>
    </cfRule>
  </conditionalFormatting>
  <conditionalFormatting sqref="O448 M448 G448 K448 S448 U448 W448 I448 Q448">
    <cfRule type="cellIs" dxfId="7533" priority="8903" stopIfTrue="1" operator="notEqual">
      <formula>H448</formula>
    </cfRule>
  </conditionalFormatting>
  <conditionalFormatting sqref="O446 M446 G446 K446 S446 U446 W446 I446 Q446">
    <cfRule type="cellIs" dxfId="7532" priority="8902" stopIfTrue="1" operator="notEqual">
      <formula>H446</formula>
    </cfRule>
  </conditionalFormatting>
  <conditionalFormatting sqref="O449 M449 G449 K449 S449 U449 W449 I449 Q449">
    <cfRule type="cellIs" dxfId="7531" priority="8901" stopIfTrue="1" operator="notEqual">
      <formula>H449</formula>
    </cfRule>
  </conditionalFormatting>
  <conditionalFormatting sqref="O450 M450 G450 K450 S450 U450 W450 I450 Q450">
    <cfRule type="cellIs" dxfId="7530" priority="8900" stopIfTrue="1" operator="notEqual">
      <formula>H450</formula>
    </cfRule>
  </conditionalFormatting>
  <conditionalFormatting sqref="O451 M451 G451 K451 S451 U451 W451 I451 Q451">
    <cfRule type="cellIs" dxfId="7529" priority="8899" stopIfTrue="1" operator="notEqual">
      <formula>H451</formula>
    </cfRule>
  </conditionalFormatting>
  <conditionalFormatting sqref="O452 M452 G452 K452 S452 U452 W452 I452 Q452">
    <cfRule type="cellIs" dxfId="7528" priority="8898" stopIfTrue="1" operator="notEqual">
      <formula>H452</formula>
    </cfRule>
  </conditionalFormatting>
  <conditionalFormatting sqref="O453 M453 G453 K453 S453 U453 W453 I453 Q453">
    <cfRule type="cellIs" dxfId="7527" priority="8897" stopIfTrue="1" operator="notEqual">
      <formula>H453</formula>
    </cfRule>
  </conditionalFormatting>
  <conditionalFormatting sqref="O454 M454 G454 K454 S454 U454 W454 I454 Q454">
    <cfRule type="cellIs" dxfId="7526" priority="8896" stopIfTrue="1" operator="notEqual">
      <formula>H454</formula>
    </cfRule>
  </conditionalFormatting>
  <conditionalFormatting sqref="O455 M455 G455 K455 S455 U455 W455 I455 Q455">
    <cfRule type="cellIs" dxfId="7525" priority="8895" stopIfTrue="1" operator="notEqual">
      <formula>H455</formula>
    </cfRule>
  </conditionalFormatting>
  <conditionalFormatting sqref="O456 M456 G456 K456 S456 U456 W456 I456 Q456">
    <cfRule type="cellIs" dxfId="7524" priority="8894" stopIfTrue="1" operator="notEqual">
      <formula>H456</formula>
    </cfRule>
  </conditionalFormatting>
  <conditionalFormatting sqref="O457 M457 G457 K457 S457 U457 W457 I457 Q457">
    <cfRule type="cellIs" dxfId="7523" priority="8893" stopIfTrue="1" operator="notEqual">
      <formula>H457</formula>
    </cfRule>
  </conditionalFormatting>
  <conditionalFormatting sqref="O458 M458 G458 K458 S458 U458 W458 I458 Q458">
    <cfRule type="cellIs" dxfId="7522" priority="8892" stopIfTrue="1" operator="notEqual">
      <formula>H458</formula>
    </cfRule>
  </conditionalFormatting>
  <conditionalFormatting sqref="O459 M459 G459 K459 S459 U459 W459 I459 Q459">
    <cfRule type="cellIs" dxfId="7521" priority="8891" stopIfTrue="1" operator="notEqual">
      <formula>H459</formula>
    </cfRule>
  </conditionalFormatting>
  <conditionalFormatting sqref="O460 M460 G460 K460 S460 U460 W460 I460 Q460">
    <cfRule type="cellIs" dxfId="7520" priority="8890" stopIfTrue="1" operator="notEqual">
      <formula>H460</formula>
    </cfRule>
  </conditionalFormatting>
  <conditionalFormatting sqref="O461 M461 G461 K461 S461 U461 W461 I461 Q461">
    <cfRule type="cellIs" dxfId="7519" priority="8889" stopIfTrue="1" operator="notEqual">
      <formula>H461</formula>
    </cfRule>
  </conditionalFormatting>
  <conditionalFormatting sqref="G462">
    <cfRule type="cellIs" dxfId="7518" priority="8888" stopIfTrue="1" operator="notEqual">
      <formula>H462</formula>
    </cfRule>
  </conditionalFormatting>
  <conditionalFormatting sqref="G463">
    <cfRule type="cellIs" dxfId="7517" priority="8887" stopIfTrue="1" operator="notEqual">
      <formula>H463</formula>
    </cfRule>
  </conditionalFormatting>
  <conditionalFormatting sqref="G464">
    <cfRule type="cellIs" dxfId="7516" priority="8886" stopIfTrue="1" operator="notEqual">
      <formula>H464</formula>
    </cfRule>
  </conditionalFormatting>
  <conditionalFormatting sqref="G465">
    <cfRule type="cellIs" dxfId="7515" priority="8885" stopIfTrue="1" operator="notEqual">
      <formula>H465</formula>
    </cfRule>
  </conditionalFormatting>
  <conditionalFormatting sqref="G462">
    <cfRule type="cellIs" dxfId="7514" priority="8884" stopIfTrue="1" operator="notEqual">
      <formula>H462</formula>
    </cfRule>
  </conditionalFormatting>
  <conditionalFormatting sqref="G462">
    <cfRule type="cellIs" dxfId="7513" priority="8883" stopIfTrue="1" operator="notEqual">
      <formula>H462</formula>
    </cfRule>
  </conditionalFormatting>
  <conditionalFormatting sqref="G462">
    <cfRule type="cellIs" dxfId="7512" priority="8882" stopIfTrue="1" operator="notEqual">
      <formula>H462</formula>
    </cfRule>
  </conditionalFormatting>
  <conditionalFormatting sqref="G462">
    <cfRule type="cellIs" dxfId="7511" priority="8881" stopIfTrue="1" operator="notEqual">
      <formula>H462</formula>
    </cfRule>
  </conditionalFormatting>
  <conditionalFormatting sqref="G462">
    <cfRule type="cellIs" dxfId="7510" priority="8880" stopIfTrue="1" operator="notEqual">
      <formula>H462</formula>
    </cfRule>
  </conditionalFormatting>
  <conditionalFormatting sqref="G462">
    <cfRule type="cellIs" dxfId="7509" priority="8879" stopIfTrue="1" operator="notEqual">
      <formula>H462</formula>
    </cfRule>
  </conditionalFormatting>
  <conditionalFormatting sqref="O462 M462 G462 K462 S462 U462 W462 I462 Q462">
    <cfRule type="cellIs" dxfId="7508" priority="8878" stopIfTrue="1" operator="notEqual">
      <formula>H462</formula>
    </cfRule>
  </conditionalFormatting>
  <conditionalFormatting sqref="O463 M463 G463 K463 S463 U463 W463 I463 Q463">
    <cfRule type="cellIs" dxfId="7507" priority="8877" stopIfTrue="1" operator="notEqual">
      <formula>H463</formula>
    </cfRule>
  </conditionalFormatting>
  <conditionalFormatting sqref="O464 M464 G464 K464 S464 U464 W464 I464 Q464">
    <cfRule type="cellIs" dxfId="7506" priority="8876" stopIfTrue="1" operator="notEqual">
      <formula>H464</formula>
    </cfRule>
  </conditionalFormatting>
  <conditionalFormatting sqref="O465 M465 G465 K465 S465 U465 W465 I465 Q465">
    <cfRule type="cellIs" dxfId="7505" priority="8875" stopIfTrue="1" operator="notEqual">
      <formula>H465</formula>
    </cfRule>
  </conditionalFormatting>
  <conditionalFormatting sqref="O462 M462 G462 K462 S462 U462 W462 I462 Q462">
    <cfRule type="cellIs" dxfId="7504" priority="8874" stopIfTrue="1" operator="notEqual">
      <formula>H462</formula>
    </cfRule>
  </conditionalFormatting>
  <conditionalFormatting sqref="O463 M463 G463 K463 S463 U463 W463 I463 Q463">
    <cfRule type="cellIs" dxfId="7503" priority="8873" stopIfTrue="1" operator="notEqual">
      <formula>H463</formula>
    </cfRule>
  </conditionalFormatting>
  <conditionalFormatting sqref="O464 M464 G464 K464 S464 U464 W464 I464 Q464">
    <cfRule type="cellIs" dxfId="7502" priority="8872" stopIfTrue="1" operator="notEqual">
      <formula>H464</formula>
    </cfRule>
  </conditionalFormatting>
  <conditionalFormatting sqref="O462 M462 G462 K462 S462 U462 W462 I462 Q462">
    <cfRule type="cellIs" dxfId="7501" priority="8871" stopIfTrue="1" operator="notEqual">
      <formula>H462</formula>
    </cfRule>
  </conditionalFormatting>
  <conditionalFormatting sqref="O465 M465 G465 K465 S465 U465 W465 I465 Q465">
    <cfRule type="cellIs" dxfId="7500" priority="8870" stopIfTrue="1" operator="notEqual">
      <formula>H465</formula>
    </cfRule>
  </conditionalFormatting>
  <conditionalFormatting sqref="O446:O464 M446:M464 G446:G464 K446:K464 S446:S464 U446:U464 W446:W464 I446:I464 Q446:Q464">
    <cfRule type="cellIs" dxfId="7499" priority="8869" stopIfTrue="1" operator="notEqual">
      <formula>H446</formula>
    </cfRule>
  </conditionalFormatting>
  <conditionalFormatting sqref="O447:O464 M447:M464 G447:G464 K447:K464 S447:S464 U447:U464 W447:W464 I447:I464 Q447:Q464">
    <cfRule type="cellIs" dxfId="7498" priority="8868" stopIfTrue="1" operator="notEqual">
      <formula>H447</formula>
    </cfRule>
  </conditionalFormatting>
  <conditionalFormatting sqref="O448 M448 G448 K448 S448 U448 W448 I448 Q448">
    <cfRule type="cellIs" dxfId="7497" priority="8867" stopIfTrue="1" operator="notEqual">
      <formula>H448</formula>
    </cfRule>
  </conditionalFormatting>
  <conditionalFormatting sqref="O448 M448 G448 K448 S448 U448 W448 I448 Q448">
    <cfRule type="cellIs" dxfId="7496" priority="8866" stopIfTrue="1" operator="notEqual">
      <formula>H448</formula>
    </cfRule>
  </conditionalFormatting>
  <conditionalFormatting sqref="O446 M446 G446 K446 S446 U446 W446 I446 Q446">
    <cfRule type="cellIs" dxfId="7495" priority="8865" stopIfTrue="1" operator="notEqual">
      <formula>H446</formula>
    </cfRule>
  </conditionalFormatting>
  <conditionalFormatting sqref="O451 M451 G451 K451 S451 U451 W451 I451 Q451">
    <cfRule type="cellIs" dxfId="7494" priority="8864" stopIfTrue="1" operator="notEqual">
      <formula>H451</formula>
    </cfRule>
  </conditionalFormatting>
  <conditionalFormatting sqref="O452 M452 G452 K452 S452 U452 W452 I452 Q452">
    <cfRule type="cellIs" dxfId="7493" priority="8863" stopIfTrue="1" operator="notEqual">
      <formula>H452</formula>
    </cfRule>
  </conditionalFormatting>
  <conditionalFormatting sqref="O450 M450 G450 K450 S450 U450 W450 I450 Q450">
    <cfRule type="cellIs" dxfId="7492" priority="8862" stopIfTrue="1" operator="notEqual">
      <formula>H450</formula>
    </cfRule>
  </conditionalFormatting>
  <conditionalFormatting sqref="O453 M453 G453 K453 S453 U453 W453 I453 Q453">
    <cfRule type="cellIs" dxfId="7491" priority="8861" stopIfTrue="1" operator="notEqual">
      <formula>H453</formula>
    </cfRule>
  </conditionalFormatting>
  <conditionalFormatting sqref="O454 M454 G454 K454 S454 U454 W454 I454 Q454">
    <cfRule type="cellIs" dxfId="7490" priority="8860" stopIfTrue="1" operator="notEqual">
      <formula>H454</formula>
    </cfRule>
  </conditionalFormatting>
  <conditionalFormatting sqref="O455 M455 G455 K455 S455 U455 W455 I455 Q455">
    <cfRule type="cellIs" dxfId="7489" priority="8859" stopIfTrue="1" operator="notEqual">
      <formula>H455</formula>
    </cfRule>
  </conditionalFormatting>
  <conditionalFormatting sqref="O456 M456 G456 K456 S456 U456 W456 I456 Q456">
    <cfRule type="cellIs" dxfId="7488" priority="8858" stopIfTrue="1" operator="notEqual">
      <formula>H456</formula>
    </cfRule>
  </conditionalFormatting>
  <conditionalFormatting sqref="O457 M457 G457 K457 S457 U457 W457 I457 Q457">
    <cfRule type="cellIs" dxfId="7487" priority="8857" stopIfTrue="1" operator="notEqual">
      <formula>H457</formula>
    </cfRule>
  </conditionalFormatting>
  <conditionalFormatting sqref="O458 M458 G458 K458 S458 U458 W458 I458 Q458">
    <cfRule type="cellIs" dxfId="7486" priority="8856" stopIfTrue="1" operator="notEqual">
      <formula>H458</formula>
    </cfRule>
  </conditionalFormatting>
  <conditionalFormatting sqref="O459 M459 G459 K459 S459 U459 W459 I459 Q459">
    <cfRule type="cellIs" dxfId="7485" priority="8855" stopIfTrue="1" operator="notEqual">
      <formula>H459</formula>
    </cfRule>
  </conditionalFormatting>
  <conditionalFormatting sqref="O460 M460 G460 K460 S460 U460 W460 I460 Q460">
    <cfRule type="cellIs" dxfId="7484" priority="8854" stopIfTrue="1" operator="notEqual">
      <formula>H460</formula>
    </cfRule>
  </conditionalFormatting>
  <conditionalFormatting sqref="O461 M461 G461 K461 S461 U461 W461 I461 Q461">
    <cfRule type="cellIs" dxfId="7483" priority="8853" stopIfTrue="1" operator="notEqual">
      <formula>H461</formula>
    </cfRule>
  </conditionalFormatting>
  <conditionalFormatting sqref="O462 M462 G462 K462 S462 U462 W462 I462 Q462">
    <cfRule type="cellIs" dxfId="7482" priority="8852" stopIfTrue="1" operator="notEqual">
      <formula>H462</formula>
    </cfRule>
  </conditionalFormatting>
  <conditionalFormatting sqref="O463 M463 G463 K463 S463 U463 W463 I463 Q463">
    <cfRule type="cellIs" dxfId="7481" priority="8851" stopIfTrue="1" operator="notEqual">
      <formula>H463</formula>
    </cfRule>
  </conditionalFormatting>
  <conditionalFormatting sqref="O464 M464 G464 K464 S464 U464 W464 I464 Q464">
    <cfRule type="cellIs" dxfId="7480" priority="8850" stopIfTrue="1" operator="notEqual">
      <formula>H464</formula>
    </cfRule>
  </conditionalFormatting>
  <conditionalFormatting sqref="O465 M465 G465 K465 S465 U465 W465 I465 Q465">
    <cfRule type="cellIs" dxfId="7479" priority="8849" stopIfTrue="1" operator="notEqual">
      <formula>H465</formula>
    </cfRule>
  </conditionalFormatting>
  <conditionalFormatting sqref="G479">
    <cfRule type="cellIs" dxfId="7478" priority="8848" stopIfTrue="1" operator="notEqual">
      <formula>H479</formula>
    </cfRule>
  </conditionalFormatting>
  <conditionalFormatting sqref="G479">
    <cfRule type="cellIs" dxfId="7477" priority="8847" stopIfTrue="1" operator="notEqual">
      <formula>H479</formula>
    </cfRule>
  </conditionalFormatting>
  <conditionalFormatting sqref="G479">
    <cfRule type="cellIs" dxfId="7476" priority="8846" stopIfTrue="1" operator="notEqual">
      <formula>H479</formula>
    </cfRule>
  </conditionalFormatting>
  <conditionalFormatting sqref="G479">
    <cfRule type="cellIs" dxfId="7475" priority="8845" stopIfTrue="1" operator="notEqual">
      <formula>H479</formula>
    </cfRule>
  </conditionalFormatting>
  <conditionalFormatting sqref="G479">
    <cfRule type="cellIs" dxfId="7474" priority="8844" stopIfTrue="1" operator="notEqual">
      <formula>H479</formula>
    </cfRule>
  </conditionalFormatting>
  <conditionalFormatting sqref="G479">
    <cfRule type="cellIs" dxfId="7473" priority="8843" stopIfTrue="1" operator="notEqual">
      <formula>H479</formula>
    </cfRule>
  </conditionalFormatting>
  <conditionalFormatting sqref="G473">
    <cfRule type="cellIs" dxfId="7472" priority="8842" stopIfTrue="1" operator="notEqual">
      <formula>H473</formula>
    </cfRule>
  </conditionalFormatting>
  <conditionalFormatting sqref="G466">
    <cfRule type="cellIs" dxfId="7471" priority="8841" stopIfTrue="1" operator="notEqual">
      <formula>H466</formula>
    </cfRule>
  </conditionalFormatting>
  <conditionalFormatting sqref="G467">
    <cfRule type="cellIs" dxfId="7470" priority="8840" stopIfTrue="1" operator="notEqual">
      <formula>H467</formula>
    </cfRule>
  </conditionalFormatting>
  <conditionalFormatting sqref="G468">
    <cfRule type="cellIs" dxfId="7469" priority="8839" stopIfTrue="1" operator="notEqual">
      <formula>H468</formula>
    </cfRule>
  </conditionalFormatting>
  <conditionalFormatting sqref="G469:G476">
    <cfRule type="cellIs" dxfId="7468" priority="8838" stopIfTrue="1" operator="notEqual">
      <formula>H469</formula>
    </cfRule>
  </conditionalFormatting>
  <conditionalFormatting sqref="G470">
    <cfRule type="cellIs" dxfId="7467" priority="8837" stopIfTrue="1" operator="notEqual">
      <formula>H470</formula>
    </cfRule>
  </conditionalFormatting>
  <conditionalFormatting sqref="G471">
    <cfRule type="cellIs" dxfId="7466" priority="8836" stopIfTrue="1" operator="notEqual">
      <formula>H471</formula>
    </cfRule>
  </conditionalFormatting>
  <conditionalFormatting sqref="G472">
    <cfRule type="cellIs" dxfId="7465" priority="8835" stopIfTrue="1" operator="notEqual">
      <formula>H472</formula>
    </cfRule>
  </conditionalFormatting>
  <conditionalFormatting sqref="G466">
    <cfRule type="cellIs" dxfId="7464" priority="8834" stopIfTrue="1" operator="notEqual">
      <formula>H466</formula>
    </cfRule>
  </conditionalFormatting>
  <conditionalFormatting sqref="G467">
    <cfRule type="cellIs" dxfId="7463" priority="8833" stopIfTrue="1" operator="notEqual">
      <formula>H467</formula>
    </cfRule>
  </conditionalFormatting>
  <conditionalFormatting sqref="G468">
    <cfRule type="cellIs" dxfId="7462" priority="8832" stopIfTrue="1" operator="notEqual">
      <formula>H468</formula>
    </cfRule>
  </conditionalFormatting>
  <conditionalFormatting sqref="G469:G476">
    <cfRule type="cellIs" dxfId="7461" priority="8831" stopIfTrue="1" operator="notEqual">
      <formula>H469</formula>
    </cfRule>
  </conditionalFormatting>
  <conditionalFormatting sqref="G470">
    <cfRule type="cellIs" dxfId="7460" priority="8830" stopIfTrue="1" operator="notEqual">
      <formula>H470</formula>
    </cfRule>
  </conditionalFormatting>
  <conditionalFormatting sqref="G471">
    <cfRule type="cellIs" dxfId="7459" priority="8829" stopIfTrue="1" operator="notEqual">
      <formula>H471</formula>
    </cfRule>
  </conditionalFormatting>
  <conditionalFormatting sqref="G472">
    <cfRule type="cellIs" dxfId="7458" priority="8828" stopIfTrue="1" operator="notEqual">
      <formula>H472</formula>
    </cfRule>
  </conditionalFormatting>
  <conditionalFormatting sqref="O466 M466 G466 K466 S466 U466 W466 I466 Q466">
    <cfRule type="cellIs" dxfId="7457" priority="8827" stopIfTrue="1" operator="notEqual">
      <formula>H466</formula>
    </cfRule>
  </conditionalFormatting>
  <conditionalFormatting sqref="O467 M467 G467 K467 S467 U467 W467 I467 Q467">
    <cfRule type="cellIs" dxfId="7456" priority="8826" stopIfTrue="1" operator="notEqual">
      <formula>H467</formula>
    </cfRule>
  </conditionalFormatting>
  <conditionalFormatting sqref="O468 M468 G468 K468 S468 U468 W468 I468 Q468">
    <cfRule type="cellIs" dxfId="7455" priority="8825" stopIfTrue="1" operator="notEqual">
      <formula>H468</formula>
    </cfRule>
  </conditionalFormatting>
  <conditionalFormatting sqref="O469:O476 M469:M476 G469:G476 K469:K476 S469:S476 U469:U476 W469:W476 I469:I476 Q469:Q476">
    <cfRule type="cellIs" dxfId="7454" priority="8824" stopIfTrue="1" operator="notEqual">
      <formula>H469</formula>
    </cfRule>
  </conditionalFormatting>
  <conditionalFormatting sqref="O470 M470 G470 K470 S470 U470 W470 I470 Q470">
    <cfRule type="cellIs" dxfId="7453" priority="8823" stopIfTrue="1" operator="notEqual">
      <formula>H470</formula>
    </cfRule>
  </conditionalFormatting>
  <conditionalFormatting sqref="O471 M471 G471 K471 S471 U471 W471 I471 Q471">
    <cfRule type="cellIs" dxfId="7452" priority="8822" stopIfTrue="1" operator="notEqual">
      <formula>H471</formula>
    </cfRule>
  </conditionalFormatting>
  <conditionalFormatting sqref="G471:G472">
    <cfRule type="cellIs" dxfId="7451" priority="8821" stopIfTrue="1" operator="notEqual">
      <formula>H471</formula>
    </cfRule>
  </conditionalFormatting>
  <conditionalFormatting sqref="G466">
    <cfRule type="cellIs" dxfId="7450" priority="8820" stopIfTrue="1" operator="notEqual">
      <formula>H466</formula>
    </cfRule>
  </conditionalFormatting>
  <conditionalFormatting sqref="G467">
    <cfRule type="cellIs" dxfId="7449" priority="8819" stopIfTrue="1" operator="notEqual">
      <formula>H467</formula>
    </cfRule>
  </conditionalFormatting>
  <conditionalFormatting sqref="G468">
    <cfRule type="cellIs" dxfId="7448" priority="8818" stopIfTrue="1" operator="notEqual">
      <formula>H468</formula>
    </cfRule>
  </conditionalFormatting>
  <conditionalFormatting sqref="G469:G476">
    <cfRule type="cellIs" dxfId="7447" priority="8817" stopIfTrue="1" operator="notEqual">
      <formula>H469</formula>
    </cfRule>
  </conditionalFormatting>
  <conditionalFormatting sqref="G470">
    <cfRule type="cellIs" dxfId="7446" priority="8816" stopIfTrue="1" operator="notEqual">
      <formula>H470</formula>
    </cfRule>
  </conditionalFormatting>
  <conditionalFormatting sqref="G472">
    <cfRule type="cellIs" dxfId="7445" priority="8815" stopIfTrue="1" operator="notEqual">
      <formula>H472</formula>
    </cfRule>
  </conditionalFormatting>
  <conditionalFormatting sqref="O467:O476 M467:M476 G467:G476 K467:K476 S467:S476 U467:U476 W467:W476 I467:I476 Q467:Q476">
    <cfRule type="cellIs" dxfId="7444" priority="8814" stopIfTrue="1" operator="notEqual">
      <formula>H467</formula>
    </cfRule>
  </conditionalFormatting>
  <conditionalFormatting sqref="O466 M466 G466 K466 S466 U466 W466 I466 Q466">
    <cfRule type="cellIs" dxfId="7443" priority="8813" stopIfTrue="1" operator="notEqual">
      <formula>H466</formula>
    </cfRule>
  </conditionalFormatting>
  <conditionalFormatting sqref="O469:O476 M469:M476 G469:G476 K469:K476 S469:S476 U469:U476 W469:W476 I469:I476 Q469:Q476">
    <cfRule type="cellIs" dxfId="7442" priority="8812" stopIfTrue="1" operator="notEqual">
      <formula>H469</formula>
    </cfRule>
  </conditionalFormatting>
  <conditionalFormatting sqref="O470 M470 G470 K470 S470 U470 W470 I470 Q470">
    <cfRule type="cellIs" dxfId="7441" priority="8811" stopIfTrue="1" operator="notEqual">
      <formula>H470</formula>
    </cfRule>
  </conditionalFormatting>
  <conditionalFormatting sqref="O470 M470 G470 K470 S470 U470 W470 I470 Q470">
    <cfRule type="cellIs" dxfId="7440" priority="8810" stopIfTrue="1" operator="notEqual">
      <formula>H470</formula>
    </cfRule>
  </conditionalFormatting>
  <conditionalFormatting sqref="O468 M468 G468 K468 S468 U468 W468 I468 Q468">
    <cfRule type="cellIs" dxfId="7439" priority="8809" stopIfTrue="1" operator="notEqual">
      <formula>H468</formula>
    </cfRule>
  </conditionalFormatting>
  <conditionalFormatting sqref="O472 M472 G472 K472 S472 U472 W472 I472 Q472">
    <cfRule type="cellIs" dxfId="7438" priority="8808" stopIfTrue="1" operator="notEqual">
      <formula>H472</formula>
    </cfRule>
  </conditionalFormatting>
  <conditionalFormatting sqref="O466 M466 G466 K466 S466 U466 W466 I466 Q466">
    <cfRule type="cellIs" dxfId="7437" priority="8807" stopIfTrue="1" operator="notEqual">
      <formula>H466</formula>
    </cfRule>
  </conditionalFormatting>
  <conditionalFormatting sqref="O467 M467 G467 K467 S467 U467 W467 I467 Q467">
    <cfRule type="cellIs" dxfId="7436" priority="8806" stopIfTrue="1" operator="notEqual">
      <formula>H467</formula>
    </cfRule>
  </conditionalFormatting>
  <conditionalFormatting sqref="O468 M468 G468 K468 S468 U468 W468 I468 Q468">
    <cfRule type="cellIs" dxfId="7435" priority="8805" stopIfTrue="1" operator="notEqual">
      <formula>H468</formula>
    </cfRule>
  </conditionalFormatting>
  <conditionalFormatting sqref="O469:O476 M469:M476 G469:G476 K469:K476 S469:S476 U469:U476 W469:W476 I469:I476 Q469:Q476">
    <cfRule type="cellIs" dxfId="7434" priority="8804" stopIfTrue="1" operator="notEqual">
      <formula>H469</formula>
    </cfRule>
  </conditionalFormatting>
  <conditionalFormatting sqref="O470 M470 G470 K470 S470 U470 W470 I470 Q470">
    <cfRule type="cellIs" dxfId="7433" priority="8803" stopIfTrue="1" operator="notEqual">
      <formula>H470</formula>
    </cfRule>
  </conditionalFormatting>
  <conditionalFormatting sqref="O471 M471 G471 K471 S471 U471 W471 I471 Q471">
    <cfRule type="cellIs" dxfId="7432" priority="8802" stopIfTrue="1" operator="notEqual">
      <formula>H471</formula>
    </cfRule>
  </conditionalFormatting>
  <conditionalFormatting sqref="O472 M472 G472 K472 S472 U472 W472 I472 Q472">
    <cfRule type="cellIs" dxfId="7431" priority="8801" stopIfTrue="1" operator="notEqual">
      <formula>H472</formula>
    </cfRule>
  </conditionalFormatting>
  <conditionalFormatting sqref="G466">
    <cfRule type="cellIs" dxfId="7430" priority="8800" stopIfTrue="1" operator="notEqual">
      <formula>H466</formula>
    </cfRule>
  </conditionalFormatting>
  <conditionalFormatting sqref="G467">
    <cfRule type="cellIs" dxfId="7429" priority="8799" stopIfTrue="1" operator="notEqual">
      <formula>H467</formula>
    </cfRule>
  </conditionalFormatting>
  <conditionalFormatting sqref="G468">
    <cfRule type="cellIs" dxfId="7428" priority="8798" stopIfTrue="1" operator="notEqual">
      <formula>H468</formula>
    </cfRule>
  </conditionalFormatting>
  <conditionalFormatting sqref="G469:G476">
    <cfRule type="cellIs" dxfId="7427" priority="8797" stopIfTrue="1" operator="notEqual">
      <formula>H469</formula>
    </cfRule>
  </conditionalFormatting>
  <conditionalFormatting sqref="G470">
    <cfRule type="cellIs" dxfId="7426" priority="8796" stopIfTrue="1" operator="notEqual">
      <formula>H470</formula>
    </cfRule>
  </conditionalFormatting>
  <conditionalFormatting sqref="G471">
    <cfRule type="cellIs" dxfId="7425" priority="8795" stopIfTrue="1" operator="notEqual">
      <formula>H471</formula>
    </cfRule>
  </conditionalFormatting>
  <conditionalFormatting sqref="G472">
    <cfRule type="cellIs" dxfId="7424" priority="8794" stopIfTrue="1" operator="notEqual">
      <formula>H472</formula>
    </cfRule>
  </conditionalFormatting>
  <conditionalFormatting sqref="G473">
    <cfRule type="cellIs" dxfId="7423" priority="8793" stopIfTrue="1" operator="notEqual">
      <formula>H473</formula>
    </cfRule>
  </conditionalFormatting>
  <conditionalFormatting sqref="G474">
    <cfRule type="cellIs" dxfId="7422" priority="8792" stopIfTrue="1" operator="notEqual">
      <formula>H474</formula>
    </cfRule>
  </conditionalFormatting>
  <conditionalFormatting sqref="G475">
    <cfRule type="cellIs" dxfId="7421" priority="8791" stopIfTrue="1" operator="notEqual">
      <formula>H475</formula>
    </cfRule>
  </conditionalFormatting>
  <conditionalFormatting sqref="G476">
    <cfRule type="cellIs" dxfId="7420" priority="8790" stopIfTrue="1" operator="notEqual">
      <formula>H476</formula>
    </cfRule>
  </conditionalFormatting>
  <conditionalFormatting sqref="G477">
    <cfRule type="cellIs" dxfId="7419" priority="8789" stopIfTrue="1" operator="notEqual">
      <formula>H477</formula>
    </cfRule>
  </conditionalFormatting>
  <conditionalFormatting sqref="G478">
    <cfRule type="cellIs" dxfId="7418" priority="8788" stopIfTrue="1" operator="notEqual">
      <formula>H478</formula>
    </cfRule>
  </conditionalFormatting>
  <conditionalFormatting sqref="G479">
    <cfRule type="cellIs" dxfId="7417" priority="8787" stopIfTrue="1" operator="notEqual">
      <formula>H479</formula>
    </cfRule>
  </conditionalFormatting>
  <conditionalFormatting sqref="G480">
    <cfRule type="cellIs" dxfId="7416" priority="8786" stopIfTrue="1" operator="notEqual">
      <formula>H480</formula>
    </cfRule>
  </conditionalFormatting>
  <conditionalFormatting sqref="G481">
    <cfRule type="cellIs" dxfId="7415" priority="8785" stopIfTrue="1" operator="notEqual">
      <formula>H481</formula>
    </cfRule>
  </conditionalFormatting>
  <conditionalFormatting sqref="G482">
    <cfRule type="cellIs" dxfId="7414" priority="8784" stopIfTrue="1" operator="notEqual">
      <formula>H482</formula>
    </cfRule>
  </conditionalFormatting>
  <conditionalFormatting sqref="G484">
    <cfRule type="cellIs" dxfId="7413" priority="8782" stopIfTrue="1" operator="notEqual">
      <formula>H484</formula>
    </cfRule>
  </conditionalFormatting>
  <conditionalFormatting sqref="G485">
    <cfRule type="cellIs" dxfId="7412" priority="8781" stopIfTrue="1" operator="notEqual">
      <formula>H485</formula>
    </cfRule>
  </conditionalFormatting>
  <conditionalFormatting sqref="O466 M466 G466 K466 S466 U466 W466 I466 Q466">
    <cfRule type="cellIs" dxfId="7411" priority="8780" stopIfTrue="1" operator="notEqual">
      <formula>H466</formula>
    </cfRule>
  </conditionalFormatting>
  <conditionalFormatting sqref="O467 M467 G467 K467 S467 U467 W467 I467 Q467">
    <cfRule type="cellIs" dxfId="7410" priority="8779" stopIfTrue="1" operator="notEqual">
      <formula>H467</formula>
    </cfRule>
  </conditionalFormatting>
  <conditionalFormatting sqref="O468 M468 G468 K468 S468 U468 W468 I468 Q468">
    <cfRule type="cellIs" dxfId="7409" priority="8778" stopIfTrue="1" operator="notEqual">
      <formula>H468</formula>
    </cfRule>
  </conditionalFormatting>
  <conditionalFormatting sqref="O469:O476 M469:M476 G469:G476 K469:K476 S469:S476 U469:U476 W469:W476 I469:I476 Q469:Q476">
    <cfRule type="cellIs" dxfId="7408" priority="8777" stopIfTrue="1" operator="notEqual">
      <formula>H469</formula>
    </cfRule>
  </conditionalFormatting>
  <conditionalFormatting sqref="O470 M470 G470 K470 S470 U470 W470 I470 Q470">
    <cfRule type="cellIs" dxfId="7407" priority="8776" stopIfTrue="1" operator="notEqual">
      <formula>H470</formula>
    </cfRule>
  </conditionalFormatting>
  <conditionalFormatting sqref="O471 M471 G471 K471 S471 U471 W471 I471 Q471">
    <cfRule type="cellIs" dxfId="7406" priority="8775" stopIfTrue="1" operator="notEqual">
      <formula>H471</formula>
    </cfRule>
  </conditionalFormatting>
  <conditionalFormatting sqref="O472 M472 G472 K472 S472 U472 W472 I472 Q472">
    <cfRule type="cellIs" dxfId="7405" priority="8774" stopIfTrue="1" operator="notEqual">
      <formula>H472</formula>
    </cfRule>
  </conditionalFormatting>
  <conditionalFormatting sqref="O473 M473 G473 K473 S473 U473 W473 I473 Q473">
    <cfRule type="cellIs" dxfId="7404" priority="8773" stopIfTrue="1" operator="notEqual">
      <formula>H473</formula>
    </cfRule>
  </conditionalFormatting>
  <conditionalFormatting sqref="O474 M474 G474 K474 S474 U474 W474 I474 Q474">
    <cfRule type="cellIs" dxfId="7403" priority="8772" stopIfTrue="1" operator="notEqual">
      <formula>H474</formula>
    </cfRule>
  </conditionalFormatting>
  <conditionalFormatting sqref="O475 M475 G475 K475 S475 U475 W475 I475 Q475">
    <cfRule type="cellIs" dxfId="7402" priority="8771" stopIfTrue="1" operator="notEqual">
      <formula>H475</formula>
    </cfRule>
  </conditionalFormatting>
  <conditionalFormatting sqref="O476 M476 G476 K476 S476 U476 W476 I476 Q476">
    <cfRule type="cellIs" dxfId="7401" priority="8770" stopIfTrue="1" operator="notEqual">
      <formula>H476</formula>
    </cfRule>
  </conditionalFormatting>
  <conditionalFormatting sqref="G476:G477">
    <cfRule type="cellIs" dxfId="7400" priority="8769" stopIfTrue="1" operator="notEqual">
      <formula>H476</formula>
    </cfRule>
  </conditionalFormatting>
  <conditionalFormatting sqref="G466">
    <cfRule type="cellIs" dxfId="7399" priority="8768" stopIfTrue="1" operator="notEqual">
      <formula>H466</formula>
    </cfRule>
  </conditionalFormatting>
  <conditionalFormatting sqref="G467">
    <cfRule type="cellIs" dxfId="7398" priority="8767" stopIfTrue="1" operator="notEqual">
      <formula>H467</formula>
    </cfRule>
  </conditionalFormatting>
  <conditionalFormatting sqref="G468">
    <cfRule type="cellIs" dxfId="7397" priority="8766" stopIfTrue="1" operator="notEqual">
      <formula>H468</formula>
    </cfRule>
  </conditionalFormatting>
  <conditionalFormatting sqref="G469:G476">
    <cfRule type="cellIs" dxfId="7396" priority="8765" stopIfTrue="1" operator="notEqual">
      <formula>H469</formula>
    </cfRule>
  </conditionalFormatting>
  <conditionalFormatting sqref="G470">
    <cfRule type="cellIs" dxfId="7395" priority="8764" stopIfTrue="1" operator="notEqual">
      <formula>H470</formula>
    </cfRule>
  </conditionalFormatting>
  <conditionalFormatting sqref="G471">
    <cfRule type="cellIs" dxfId="7394" priority="8763" stopIfTrue="1" operator="notEqual">
      <formula>H471</formula>
    </cfRule>
  </conditionalFormatting>
  <conditionalFormatting sqref="G472">
    <cfRule type="cellIs" dxfId="7393" priority="8762" stopIfTrue="1" operator="notEqual">
      <formula>H472</formula>
    </cfRule>
  </conditionalFormatting>
  <conditionalFormatting sqref="G473">
    <cfRule type="cellIs" dxfId="7392" priority="8761" stopIfTrue="1" operator="notEqual">
      <formula>H473</formula>
    </cfRule>
  </conditionalFormatting>
  <conditionalFormatting sqref="G474">
    <cfRule type="cellIs" dxfId="7391" priority="8760" stopIfTrue="1" operator="notEqual">
      <formula>H474</formula>
    </cfRule>
  </conditionalFormatting>
  <conditionalFormatting sqref="G475">
    <cfRule type="cellIs" dxfId="7390" priority="8759" stopIfTrue="1" operator="notEqual">
      <formula>H475</formula>
    </cfRule>
  </conditionalFormatting>
  <conditionalFormatting sqref="G477">
    <cfRule type="cellIs" dxfId="7389" priority="8758" stopIfTrue="1" operator="notEqual">
      <formula>H477</formula>
    </cfRule>
  </conditionalFormatting>
  <conditionalFormatting sqref="O472:O477 M472:M477 G472:G477 K472:K477 S472:S477 U472:U477 W472:W477 I472:I477 Q472:Q477">
    <cfRule type="cellIs" dxfId="7388" priority="8757" stopIfTrue="1" operator="notEqual">
      <formula>H472</formula>
    </cfRule>
  </conditionalFormatting>
  <conditionalFormatting sqref="O466 M466 G466 K466 S466 U466 W466 I466 Q466">
    <cfRule type="cellIs" dxfId="7387" priority="8756" stopIfTrue="1" operator="notEqual">
      <formula>H466</formula>
    </cfRule>
  </conditionalFormatting>
  <conditionalFormatting sqref="O467 M467 G467 K467 S467 U467 W467 I467 Q467">
    <cfRule type="cellIs" dxfId="7386" priority="8755" stopIfTrue="1" operator="notEqual">
      <formula>H467</formula>
    </cfRule>
  </conditionalFormatting>
  <conditionalFormatting sqref="O468 M468 G468 K468 S468 U468 W468 I468 Q468">
    <cfRule type="cellIs" dxfId="7385" priority="8754" stopIfTrue="1" operator="notEqual">
      <formula>H468</formula>
    </cfRule>
  </conditionalFormatting>
  <conditionalFormatting sqref="O469:O476 M469:M476 G469:G476 K469:K476 S469:S476 U469:U476 W469:W476 I469:I476 Q469:Q476">
    <cfRule type="cellIs" dxfId="7384" priority="8753" stopIfTrue="1" operator="notEqual">
      <formula>H469</formula>
    </cfRule>
  </conditionalFormatting>
  <conditionalFormatting sqref="O470 M470 G470 K470 S470 U470 W470 I470 Q470">
    <cfRule type="cellIs" dxfId="7383" priority="8752" stopIfTrue="1" operator="notEqual">
      <formula>H470</formula>
    </cfRule>
  </conditionalFormatting>
  <conditionalFormatting sqref="O471 M471 G471 K471 S471 U471 W471 I471 Q471">
    <cfRule type="cellIs" dxfId="7382" priority="8751" stopIfTrue="1" operator="notEqual">
      <formula>H471</formula>
    </cfRule>
  </conditionalFormatting>
  <conditionalFormatting sqref="O474 M474 G474 K474 S474 U474 W474 I474 Q474">
    <cfRule type="cellIs" dxfId="7381" priority="8750" stopIfTrue="1" operator="notEqual">
      <formula>H474</formula>
    </cfRule>
  </conditionalFormatting>
  <conditionalFormatting sqref="O475 M475 G475 K475 S475 U475 W475 I475 Q475">
    <cfRule type="cellIs" dxfId="7380" priority="8749" stopIfTrue="1" operator="notEqual">
      <formula>H475</formula>
    </cfRule>
  </conditionalFormatting>
  <conditionalFormatting sqref="O475 M475 G475 K475 S475 U475 W475 I475 Q475">
    <cfRule type="cellIs" dxfId="7379" priority="8748" stopIfTrue="1" operator="notEqual">
      <formula>H475</formula>
    </cfRule>
  </conditionalFormatting>
  <conditionalFormatting sqref="O473 M473 G473 K473 S473 U473 W473 I473 Q473">
    <cfRule type="cellIs" dxfId="7378" priority="8747" stopIfTrue="1" operator="notEqual">
      <formula>H473</formula>
    </cfRule>
  </conditionalFormatting>
  <conditionalFormatting sqref="O477 M477 G477 K477 S477 U477 W477 I477 Q477">
    <cfRule type="cellIs" dxfId="7377" priority="8746" stopIfTrue="1" operator="notEqual">
      <formula>H477</formula>
    </cfRule>
  </conditionalFormatting>
  <conditionalFormatting sqref="O466 M466 G466 K466 S466 U466 W466 I466 Q466">
    <cfRule type="cellIs" dxfId="7376" priority="8745" stopIfTrue="1" operator="notEqual">
      <formula>H466</formula>
    </cfRule>
  </conditionalFormatting>
  <conditionalFormatting sqref="O467 M467 G467 K467 S467 U467 W467 I467 Q467">
    <cfRule type="cellIs" dxfId="7375" priority="8744" stopIfTrue="1" operator="notEqual">
      <formula>H467</formula>
    </cfRule>
  </conditionalFormatting>
  <conditionalFormatting sqref="O468 M468 G468 K468 S468 U468 W468 I468 Q468">
    <cfRule type="cellIs" dxfId="7374" priority="8743" stopIfTrue="1" operator="notEqual">
      <formula>H468</formula>
    </cfRule>
  </conditionalFormatting>
  <conditionalFormatting sqref="O469:O476 M469:M476 G469:G476 K469:K476 S469:S476 U469:U476 W469:W476 I469:I476 Q469:Q476">
    <cfRule type="cellIs" dxfId="7373" priority="8742" stopIfTrue="1" operator="notEqual">
      <formula>H469</formula>
    </cfRule>
  </conditionalFormatting>
  <conditionalFormatting sqref="O470 M470 G470 K470 S470 U470 W470 I470 Q470">
    <cfRule type="cellIs" dxfId="7372" priority="8741" stopIfTrue="1" operator="notEqual">
      <formula>H470</formula>
    </cfRule>
  </conditionalFormatting>
  <conditionalFormatting sqref="O471 M471 G471 K471 S471 U471 W471 I471 Q471">
    <cfRule type="cellIs" dxfId="7371" priority="8740" stopIfTrue="1" operator="notEqual">
      <formula>H471</formula>
    </cfRule>
  </conditionalFormatting>
  <conditionalFormatting sqref="O472 M472 G472 K472 S472 U472 W472 I472 Q472">
    <cfRule type="cellIs" dxfId="7370" priority="8739" stopIfTrue="1" operator="notEqual">
      <formula>H472</formula>
    </cfRule>
  </conditionalFormatting>
  <conditionalFormatting sqref="O473 M473 G473 K473 S473 U473 W473 I473 Q473">
    <cfRule type="cellIs" dxfId="7369" priority="8738" stopIfTrue="1" operator="notEqual">
      <formula>H473</formula>
    </cfRule>
  </conditionalFormatting>
  <conditionalFormatting sqref="O474 M474 G474 K474 S474 U474 W474 I474 Q474">
    <cfRule type="cellIs" dxfId="7368" priority="8737" stopIfTrue="1" operator="notEqual">
      <formula>H474</formula>
    </cfRule>
  </conditionalFormatting>
  <conditionalFormatting sqref="O475 M475 G475 K475 S475 U475 W475 I475 Q475">
    <cfRule type="cellIs" dxfId="7367" priority="8736" stopIfTrue="1" operator="notEqual">
      <formula>H475</formula>
    </cfRule>
  </conditionalFormatting>
  <conditionalFormatting sqref="O476 M476 G476 K476 S476 U476 W476 I476 Q476">
    <cfRule type="cellIs" dxfId="7366" priority="8735" stopIfTrue="1" operator="notEqual">
      <formula>H476</formula>
    </cfRule>
  </conditionalFormatting>
  <conditionalFormatting sqref="O477 M477 G477 K477 S477 U477 W477 I477 Q477">
    <cfRule type="cellIs" dxfId="7365" priority="8734" stopIfTrue="1" operator="notEqual">
      <formula>H477</formula>
    </cfRule>
  </conditionalFormatting>
  <conditionalFormatting sqref="G477:G480">
    <cfRule type="cellIs" dxfId="7364" priority="8733" stopIfTrue="1" operator="notEqual">
      <formula>H477</formula>
    </cfRule>
  </conditionalFormatting>
  <conditionalFormatting sqref="G477">
    <cfRule type="cellIs" dxfId="7363" priority="8732" stopIfTrue="1" operator="notEqual">
      <formula>H477</formula>
    </cfRule>
  </conditionalFormatting>
  <conditionalFormatting sqref="G478">
    <cfRule type="cellIs" dxfId="7362" priority="8731" stopIfTrue="1" operator="notEqual">
      <formula>H478</formula>
    </cfRule>
  </conditionalFormatting>
  <conditionalFormatting sqref="G478">
    <cfRule type="cellIs" dxfId="7361" priority="8730" stopIfTrue="1" operator="notEqual">
      <formula>H478</formula>
    </cfRule>
  </conditionalFormatting>
  <conditionalFormatting sqref="G481">
    <cfRule type="cellIs" dxfId="7360" priority="8729" stopIfTrue="1" operator="notEqual">
      <formula>H481</formula>
    </cfRule>
  </conditionalFormatting>
  <conditionalFormatting sqref="G482">
    <cfRule type="cellIs" dxfId="7359" priority="8728" stopIfTrue="1" operator="notEqual">
      <formula>H482</formula>
    </cfRule>
  </conditionalFormatting>
  <conditionalFormatting sqref="G480">
    <cfRule type="cellIs" dxfId="7358" priority="8727" stopIfTrue="1" operator="notEqual">
      <formula>H480</formula>
    </cfRule>
  </conditionalFormatting>
  <conditionalFormatting sqref="G484">
    <cfRule type="cellIs" dxfId="7357" priority="8725" stopIfTrue="1" operator="notEqual">
      <formula>H484</formula>
    </cfRule>
  </conditionalFormatting>
  <conditionalFormatting sqref="G485">
    <cfRule type="cellIs" dxfId="7356" priority="8724" stopIfTrue="1" operator="notEqual">
      <formula>H485</formula>
    </cfRule>
  </conditionalFormatting>
  <conditionalFormatting sqref="O477 M477 G477 K477 S477 U477 W477 I477 Q477">
    <cfRule type="cellIs" dxfId="7355" priority="8723" stopIfTrue="1" operator="notEqual">
      <formula>H477</formula>
    </cfRule>
  </conditionalFormatting>
  <conditionalFormatting sqref="O478 M478 G478 K478 S478 U478 W478 I478 Q478">
    <cfRule type="cellIs" dxfId="7354" priority="8722" stopIfTrue="1" operator="notEqual">
      <formula>H478</formula>
    </cfRule>
  </conditionalFormatting>
  <conditionalFormatting sqref="O479 M479 G479 K479 S479 U479 W479 I479 Q479">
    <cfRule type="cellIs" dxfId="7353" priority="8721" stopIfTrue="1" operator="notEqual">
      <formula>H479</formula>
    </cfRule>
  </conditionalFormatting>
  <conditionalFormatting sqref="O480 M480 G480 K480 S480 U480 W480 I480 Q480">
    <cfRule type="cellIs" dxfId="7352" priority="8720" stopIfTrue="1" operator="notEqual">
      <formula>H480</formula>
    </cfRule>
  </conditionalFormatting>
  <conditionalFormatting sqref="O481 M481 G481 K481 S481 U481 W481 I481 Q481">
    <cfRule type="cellIs" dxfId="7351" priority="8719" stopIfTrue="1" operator="notEqual">
      <formula>H481</formula>
    </cfRule>
  </conditionalFormatting>
  <conditionalFormatting sqref="O482 M482 G482 K482 S482 U482 W482 I482 Q482">
    <cfRule type="cellIs" dxfId="7350" priority="8718" stopIfTrue="1" operator="notEqual">
      <formula>H482</formula>
    </cfRule>
  </conditionalFormatting>
  <conditionalFormatting sqref="O484 M484 G484 K484 S484 U484 W484 I484 Q484">
    <cfRule type="cellIs" dxfId="7349" priority="8716" stopIfTrue="1" operator="notEqual">
      <formula>H484</formula>
    </cfRule>
  </conditionalFormatting>
  <conditionalFormatting sqref="O485 M485 G485 K485 S485 U485 W485 I485 Q485">
    <cfRule type="cellIs" dxfId="7348" priority="8715" stopIfTrue="1" operator="notEqual">
      <formula>H485</formula>
    </cfRule>
  </conditionalFormatting>
  <conditionalFormatting sqref="G477">
    <cfRule type="cellIs" dxfId="7347" priority="8714" stopIfTrue="1" operator="notEqual">
      <formula>H477</formula>
    </cfRule>
  </conditionalFormatting>
  <conditionalFormatting sqref="G478">
    <cfRule type="cellIs" dxfId="7346" priority="8713" stopIfTrue="1" operator="notEqual">
      <formula>H478</formula>
    </cfRule>
  </conditionalFormatting>
  <conditionalFormatting sqref="G479">
    <cfRule type="cellIs" dxfId="7345" priority="8712" stopIfTrue="1" operator="notEqual">
      <formula>H479</formula>
    </cfRule>
  </conditionalFormatting>
  <conditionalFormatting sqref="G480">
    <cfRule type="cellIs" dxfId="7344" priority="8711" stopIfTrue="1" operator="notEqual">
      <formula>H480</formula>
    </cfRule>
  </conditionalFormatting>
  <conditionalFormatting sqref="G481">
    <cfRule type="cellIs" dxfId="7343" priority="8710" stopIfTrue="1" operator="notEqual">
      <formula>H481</formula>
    </cfRule>
  </conditionalFormatting>
  <conditionalFormatting sqref="G482">
    <cfRule type="cellIs" dxfId="7342" priority="8709" stopIfTrue="1" operator="notEqual">
      <formula>H482</formula>
    </cfRule>
  </conditionalFormatting>
  <conditionalFormatting sqref="G484">
    <cfRule type="cellIs" dxfId="7341" priority="8707" stopIfTrue="1" operator="notEqual">
      <formula>H484</formula>
    </cfRule>
  </conditionalFormatting>
  <conditionalFormatting sqref="G485">
    <cfRule type="cellIs" dxfId="7340" priority="8706" stopIfTrue="1" operator="notEqual">
      <formula>H485</formula>
    </cfRule>
  </conditionalFormatting>
  <conditionalFormatting sqref="G477">
    <cfRule type="cellIs" dxfId="7339" priority="8705" stopIfTrue="1" operator="notEqual">
      <formula>H477</formula>
    </cfRule>
  </conditionalFormatting>
  <conditionalFormatting sqref="G477">
    <cfRule type="cellIs" dxfId="7338" priority="8704" stopIfTrue="1" operator="notEqual">
      <formula>H477</formula>
    </cfRule>
  </conditionalFormatting>
  <conditionalFormatting sqref="G477">
    <cfRule type="cellIs" dxfId="7337" priority="8703" stopIfTrue="1" operator="notEqual">
      <formula>H477</formula>
    </cfRule>
  </conditionalFormatting>
  <conditionalFormatting sqref="G477">
    <cfRule type="cellIs" dxfId="7336" priority="8702" stopIfTrue="1" operator="notEqual">
      <formula>H477</formula>
    </cfRule>
  </conditionalFormatting>
  <conditionalFormatting sqref="G477">
    <cfRule type="cellIs" dxfId="7335" priority="8701" stopIfTrue="1" operator="notEqual">
      <formula>H477</formula>
    </cfRule>
  </conditionalFormatting>
  <conditionalFormatting sqref="G477">
    <cfRule type="cellIs" dxfId="7334" priority="8700" stopIfTrue="1" operator="notEqual">
      <formula>H477</formula>
    </cfRule>
  </conditionalFormatting>
  <conditionalFormatting sqref="O477 M477 G477 K477 S477 U477 W477 I477 Q477">
    <cfRule type="cellIs" dxfId="7333" priority="8699" stopIfTrue="1" operator="notEqual">
      <formula>H477</formula>
    </cfRule>
  </conditionalFormatting>
  <conditionalFormatting sqref="O478 M478 G478 K478 S478 U478 W478 I478 Q478">
    <cfRule type="cellIs" dxfId="7332" priority="8698" stopIfTrue="1" operator="notEqual">
      <formula>H478</formula>
    </cfRule>
  </conditionalFormatting>
  <conditionalFormatting sqref="O479 M479 G479 K479 S479 U479 W479 I479 Q479">
    <cfRule type="cellIs" dxfId="7331" priority="8697" stopIfTrue="1" operator="notEqual">
      <formula>H479</formula>
    </cfRule>
  </conditionalFormatting>
  <conditionalFormatting sqref="O480 M480 G480 K480 S480 U480 W480 I480 Q480">
    <cfRule type="cellIs" dxfId="7330" priority="8696" stopIfTrue="1" operator="notEqual">
      <formula>H480</formula>
    </cfRule>
  </conditionalFormatting>
  <conditionalFormatting sqref="O481 M481 G481 K481 S481 U481 W481 I481 Q481">
    <cfRule type="cellIs" dxfId="7329" priority="8695" stopIfTrue="1" operator="notEqual">
      <formula>H481</formula>
    </cfRule>
  </conditionalFormatting>
  <conditionalFormatting sqref="O482 M482 G482 K482 S482 U482 W482 I482 Q482">
    <cfRule type="cellIs" dxfId="7328" priority="8694" stopIfTrue="1" operator="notEqual">
      <formula>H482</formula>
    </cfRule>
  </conditionalFormatting>
  <conditionalFormatting sqref="O484 M484 G484 K484 S484 U484 W484 I484 Q484">
    <cfRule type="cellIs" dxfId="7327" priority="8692" stopIfTrue="1" operator="notEqual">
      <formula>H484</formula>
    </cfRule>
  </conditionalFormatting>
  <conditionalFormatting sqref="O485 M485 G485 K485 S485 U485 W485 I485 Q485">
    <cfRule type="cellIs" dxfId="7326" priority="8691" stopIfTrue="1" operator="notEqual">
      <formula>H485</formula>
    </cfRule>
  </conditionalFormatting>
  <conditionalFormatting sqref="O477 M477 G477 K477 S477 U477 W477 I477 Q477">
    <cfRule type="cellIs" dxfId="7325" priority="8690" stopIfTrue="1" operator="notEqual">
      <formula>H477</formula>
    </cfRule>
  </conditionalFormatting>
  <conditionalFormatting sqref="O478 M478 G478 K478 S478 U478 W478 I478 Q478">
    <cfRule type="cellIs" dxfId="7324" priority="8689" stopIfTrue="1" operator="notEqual">
      <formula>H478</formula>
    </cfRule>
  </conditionalFormatting>
  <conditionalFormatting sqref="O479 M479 G479 K479 S479 U479 W479 I479 Q479">
    <cfRule type="cellIs" dxfId="7323" priority="8688" stopIfTrue="1" operator="notEqual">
      <formula>H479</formula>
    </cfRule>
  </conditionalFormatting>
  <conditionalFormatting sqref="O477 M477 G477 K477 S477 U477 W477 I477 Q477">
    <cfRule type="cellIs" dxfId="7322" priority="8687" stopIfTrue="1" operator="notEqual">
      <formula>H477</formula>
    </cfRule>
  </conditionalFormatting>
  <conditionalFormatting sqref="O480 M480 G480 K480 S480 U480 W480 I480 Q480">
    <cfRule type="cellIs" dxfId="7321" priority="8686" stopIfTrue="1" operator="notEqual">
      <formula>H480</formula>
    </cfRule>
  </conditionalFormatting>
  <conditionalFormatting sqref="O481 M481 G481 K481 S481 U481 W481 I481 Q481">
    <cfRule type="cellIs" dxfId="7320" priority="8685" stopIfTrue="1" operator="notEqual">
      <formula>H481</formula>
    </cfRule>
  </conditionalFormatting>
  <conditionalFormatting sqref="O482 M482 G482 K482 S482 U482 W482 I482 Q482">
    <cfRule type="cellIs" dxfId="7319" priority="8684" stopIfTrue="1" operator="notEqual">
      <formula>H482</formula>
    </cfRule>
  </conditionalFormatting>
  <conditionalFormatting sqref="O484 M484 G484 K484 S484 U484 W484 I484 Q484">
    <cfRule type="cellIs" dxfId="7318" priority="8682" stopIfTrue="1" operator="notEqual">
      <formula>H484</formula>
    </cfRule>
  </conditionalFormatting>
  <conditionalFormatting sqref="O485 M485 G485 K485 S485 U485 W485 I485 Q485">
    <cfRule type="cellIs" dxfId="7317" priority="8681" stopIfTrue="1" operator="notEqual">
      <formula>H485</formula>
    </cfRule>
  </conditionalFormatting>
  <conditionalFormatting sqref="G466">
    <cfRule type="cellIs" dxfId="7316" priority="8679" stopIfTrue="1" operator="notEqual">
      <formula>H466</formula>
    </cfRule>
  </conditionalFormatting>
  <conditionalFormatting sqref="G467">
    <cfRule type="cellIs" dxfId="7315" priority="8678" stopIfTrue="1" operator="notEqual">
      <formula>H467</formula>
    </cfRule>
  </conditionalFormatting>
  <conditionalFormatting sqref="G468">
    <cfRule type="cellIs" dxfId="7314" priority="8677" stopIfTrue="1" operator="notEqual">
      <formula>H468</formula>
    </cfRule>
  </conditionalFormatting>
  <conditionalFormatting sqref="G469:G476">
    <cfRule type="cellIs" dxfId="7313" priority="8676" stopIfTrue="1" operator="notEqual">
      <formula>H469</formula>
    </cfRule>
  </conditionalFormatting>
  <conditionalFormatting sqref="G470">
    <cfRule type="cellIs" dxfId="7312" priority="8675" stopIfTrue="1" operator="notEqual">
      <formula>H470</formula>
    </cfRule>
  </conditionalFormatting>
  <conditionalFormatting sqref="G471">
    <cfRule type="cellIs" dxfId="7311" priority="8674" stopIfTrue="1" operator="notEqual">
      <formula>H471</formula>
    </cfRule>
  </conditionalFormatting>
  <conditionalFormatting sqref="G472">
    <cfRule type="cellIs" dxfId="7310" priority="8673" stopIfTrue="1" operator="notEqual">
      <formula>H472</formula>
    </cfRule>
  </conditionalFormatting>
  <conditionalFormatting sqref="G473">
    <cfRule type="cellIs" dxfId="7309" priority="8672" stopIfTrue="1" operator="notEqual">
      <formula>H473</formula>
    </cfRule>
  </conditionalFormatting>
  <conditionalFormatting sqref="G474">
    <cfRule type="cellIs" dxfId="7308" priority="8671" stopIfTrue="1" operator="notEqual">
      <formula>H474</formula>
    </cfRule>
  </conditionalFormatting>
  <conditionalFormatting sqref="G475">
    <cfRule type="cellIs" dxfId="7307" priority="8670" stopIfTrue="1" operator="notEqual">
      <formula>H475</formula>
    </cfRule>
  </conditionalFormatting>
  <conditionalFormatting sqref="G476">
    <cfRule type="cellIs" dxfId="7306" priority="8669" stopIfTrue="1" operator="notEqual">
      <formula>H476</formula>
    </cfRule>
  </conditionalFormatting>
  <conditionalFormatting sqref="G477">
    <cfRule type="cellIs" dxfId="7305" priority="8668" stopIfTrue="1" operator="notEqual">
      <formula>H477</formula>
    </cfRule>
  </conditionalFormatting>
  <conditionalFormatting sqref="G478">
    <cfRule type="cellIs" dxfId="7304" priority="8667" stopIfTrue="1" operator="notEqual">
      <formula>H478</formula>
    </cfRule>
  </conditionalFormatting>
  <conditionalFormatting sqref="G479">
    <cfRule type="cellIs" dxfId="7303" priority="8666" stopIfTrue="1" operator="notEqual">
      <formula>H479</formula>
    </cfRule>
  </conditionalFormatting>
  <conditionalFormatting sqref="G466">
    <cfRule type="cellIs" dxfId="7302" priority="8665" stopIfTrue="1" operator="notEqual">
      <formula>H466</formula>
    </cfRule>
  </conditionalFormatting>
  <conditionalFormatting sqref="G466">
    <cfRule type="cellIs" dxfId="7301" priority="8664" stopIfTrue="1" operator="notEqual">
      <formula>H466</formula>
    </cfRule>
  </conditionalFormatting>
  <conditionalFormatting sqref="G466">
    <cfRule type="cellIs" dxfId="7300" priority="8663" stopIfTrue="1" operator="notEqual">
      <formula>H466</formula>
    </cfRule>
  </conditionalFormatting>
  <conditionalFormatting sqref="G466">
    <cfRule type="cellIs" dxfId="7299" priority="8662" stopIfTrue="1" operator="notEqual">
      <formula>H466</formula>
    </cfRule>
  </conditionalFormatting>
  <conditionalFormatting sqref="G466">
    <cfRule type="cellIs" dxfId="7298" priority="8661" stopIfTrue="1" operator="notEqual">
      <formula>H466</formula>
    </cfRule>
  </conditionalFormatting>
  <conditionalFormatting sqref="G466">
    <cfRule type="cellIs" dxfId="7297" priority="8660" stopIfTrue="1" operator="notEqual">
      <formula>H466</formula>
    </cfRule>
  </conditionalFormatting>
  <conditionalFormatting sqref="G482">
    <cfRule type="cellIs" dxfId="7296" priority="8659" stopIfTrue="1" operator="notEqual">
      <formula>H482</formula>
    </cfRule>
  </conditionalFormatting>
  <conditionalFormatting sqref="G481">
    <cfRule type="cellIs" dxfId="7295" priority="8656" stopIfTrue="1" operator="notEqual">
      <formula>H481</formula>
    </cfRule>
  </conditionalFormatting>
  <conditionalFormatting sqref="G485">
    <cfRule type="cellIs" dxfId="7294" priority="8655" stopIfTrue="1" operator="notEqual">
      <formula>H485</formula>
    </cfRule>
  </conditionalFormatting>
  <conditionalFormatting sqref="O476:O481 M476:M481 G476:G481 K476:K481 S476:S481 U476:U481 W476:W481 I476:I481 Q476:Q481">
    <cfRule type="cellIs" dxfId="7293" priority="8654" stopIfTrue="1" operator="notEqual">
      <formula>H476</formula>
    </cfRule>
  </conditionalFormatting>
  <conditionalFormatting sqref="O466 M466 G466 K466 S466 U466 W466 I466 Q466">
    <cfRule type="cellIs" dxfId="7292" priority="8653" stopIfTrue="1" operator="notEqual">
      <formula>H466</formula>
    </cfRule>
  </conditionalFormatting>
  <conditionalFormatting sqref="O467 M467 G467 K467 S467 U467 W467 I467 Q467">
    <cfRule type="cellIs" dxfId="7291" priority="8652" stopIfTrue="1" operator="notEqual">
      <formula>H467</formula>
    </cfRule>
  </conditionalFormatting>
  <conditionalFormatting sqref="O468 M468 G468 K468 S468 U468 W468 I468 Q468">
    <cfRule type="cellIs" dxfId="7290" priority="8651" stopIfTrue="1" operator="notEqual">
      <formula>H468</formula>
    </cfRule>
  </conditionalFormatting>
  <conditionalFormatting sqref="O469:O476 M469:M476 G469:G476 K469:K476 S469:S476 U469:U476 W469:W476 I469:I476 Q469:Q476">
    <cfRule type="cellIs" dxfId="7289" priority="8650" stopIfTrue="1" operator="notEqual">
      <formula>H469</formula>
    </cfRule>
  </conditionalFormatting>
  <conditionalFormatting sqref="O470 M470 G470 K470 S470 U470 W470 I470 Q470">
    <cfRule type="cellIs" dxfId="7288" priority="8649" stopIfTrue="1" operator="notEqual">
      <formula>H470</formula>
    </cfRule>
  </conditionalFormatting>
  <conditionalFormatting sqref="O471 M471 G471 K471 S471 U471 W471 I471 Q471">
    <cfRule type="cellIs" dxfId="7287" priority="8648" stopIfTrue="1" operator="notEqual">
      <formula>H471</formula>
    </cfRule>
  </conditionalFormatting>
  <conditionalFormatting sqref="O472 M472 G472 K472 S472 U472 W472 I472 Q472">
    <cfRule type="cellIs" dxfId="7286" priority="8647" stopIfTrue="1" operator="notEqual">
      <formula>H472</formula>
    </cfRule>
  </conditionalFormatting>
  <conditionalFormatting sqref="O473 M473 G473 K473 S473 U473 W473 I473 Q473">
    <cfRule type="cellIs" dxfId="7285" priority="8646" stopIfTrue="1" operator="notEqual">
      <formula>H473</formula>
    </cfRule>
  </conditionalFormatting>
  <conditionalFormatting sqref="O474 M474 G474 K474 S474 U474 W474 I474 Q474">
    <cfRule type="cellIs" dxfId="7284" priority="8645" stopIfTrue="1" operator="notEqual">
      <formula>H474</formula>
    </cfRule>
  </conditionalFormatting>
  <conditionalFormatting sqref="O475 M475 G475 K475 S475 U475 W475 I475 Q475">
    <cfRule type="cellIs" dxfId="7283" priority="8644" stopIfTrue="1" operator="notEqual">
      <formula>H475</formula>
    </cfRule>
  </conditionalFormatting>
  <conditionalFormatting sqref="O478 M478 G478 K478 S478 U478 W478 I478 Q478">
    <cfRule type="cellIs" dxfId="7282" priority="8643" stopIfTrue="1" operator="notEqual">
      <formula>H478</formula>
    </cfRule>
  </conditionalFormatting>
  <conditionalFormatting sqref="O479 M479 G479 K479 S479 U479 W479 I479 Q479">
    <cfRule type="cellIs" dxfId="7281" priority="8642" stopIfTrue="1" operator="notEqual">
      <formula>H479</formula>
    </cfRule>
  </conditionalFormatting>
  <conditionalFormatting sqref="O479 M479 G479 K479 S479 U479 W479 I479 Q479">
    <cfRule type="cellIs" dxfId="7280" priority="8641" stopIfTrue="1" operator="notEqual">
      <formula>H479</formula>
    </cfRule>
  </conditionalFormatting>
  <conditionalFormatting sqref="O477 M477 G477 K477 S477 U477 W477 I477 Q477">
    <cfRule type="cellIs" dxfId="7279" priority="8640" stopIfTrue="1" operator="notEqual">
      <formula>H477</formula>
    </cfRule>
  </conditionalFormatting>
  <conditionalFormatting sqref="O482 M482 G482 K482 S482 U482 W482 I482 Q482">
    <cfRule type="cellIs" dxfId="7278" priority="8639" stopIfTrue="1" operator="notEqual">
      <formula>H482</formula>
    </cfRule>
  </conditionalFormatting>
  <conditionalFormatting sqref="O481 M481 G481 K481 S481 U481 W481 I481 Q481">
    <cfRule type="cellIs" dxfId="7277" priority="8637" stopIfTrue="1" operator="notEqual">
      <formula>H481</formula>
    </cfRule>
  </conditionalFormatting>
  <conditionalFormatting sqref="O484 M484 G484 K484 S484 U484 W484 I484 Q484">
    <cfRule type="cellIs" dxfId="7276" priority="8636" stopIfTrue="1" operator="notEqual">
      <formula>H484</formula>
    </cfRule>
  </conditionalFormatting>
  <conditionalFormatting sqref="O485 M485 G485 K485 S485 U485 W485 I485 Q485">
    <cfRule type="cellIs" dxfId="7275" priority="8635" stopIfTrue="1" operator="notEqual">
      <formula>H485</formula>
    </cfRule>
  </conditionalFormatting>
  <conditionalFormatting sqref="O466 M466 G466 K466 S466 U466 W466 I466 Q466">
    <cfRule type="cellIs" dxfId="7274" priority="8634" stopIfTrue="1" operator="notEqual">
      <formula>H466</formula>
    </cfRule>
  </conditionalFormatting>
  <conditionalFormatting sqref="O467 M467 G467 K467 S467 U467 W467 I467 Q467">
    <cfRule type="cellIs" dxfId="7273" priority="8633" stopIfTrue="1" operator="notEqual">
      <formula>H467</formula>
    </cfRule>
  </conditionalFormatting>
  <conditionalFormatting sqref="O468 M468 G468 K468 S468 U468 W468 I468 Q468">
    <cfRule type="cellIs" dxfId="7272" priority="8632" stopIfTrue="1" operator="notEqual">
      <formula>H468</formula>
    </cfRule>
  </conditionalFormatting>
  <conditionalFormatting sqref="O466 M466 G466 K466 S466 U466 W466 I466 Q466">
    <cfRule type="cellIs" dxfId="7271" priority="8631" stopIfTrue="1" operator="notEqual">
      <formula>H466</formula>
    </cfRule>
  </conditionalFormatting>
  <conditionalFormatting sqref="O469:O476 M469:M476 G469:G476 K469:K476 S469:S476 U469:U476 W469:W476 I469:I476 Q469:Q476">
    <cfRule type="cellIs" dxfId="7270" priority="8630" stopIfTrue="1" operator="notEqual">
      <formula>H469</formula>
    </cfRule>
  </conditionalFormatting>
  <conditionalFormatting sqref="O470 M470 G470 K470 S470 U470 W470 I470 Q470">
    <cfRule type="cellIs" dxfId="7269" priority="8629" stopIfTrue="1" operator="notEqual">
      <formula>H470</formula>
    </cfRule>
  </conditionalFormatting>
  <conditionalFormatting sqref="O471 M471 G471 K471 S471 U471 W471 I471 Q471">
    <cfRule type="cellIs" dxfId="7268" priority="8628" stopIfTrue="1" operator="notEqual">
      <formula>H471</formula>
    </cfRule>
  </conditionalFormatting>
  <conditionalFormatting sqref="O472 M472 G472 K472 S472 U472 W472 I472 Q472">
    <cfRule type="cellIs" dxfId="7267" priority="8627" stopIfTrue="1" operator="notEqual">
      <formula>H472</formula>
    </cfRule>
  </conditionalFormatting>
  <conditionalFormatting sqref="O473 M473 G473 K473 S473 U473 W473 I473 Q473">
    <cfRule type="cellIs" dxfId="7266" priority="8626" stopIfTrue="1" operator="notEqual">
      <formula>H473</formula>
    </cfRule>
  </conditionalFormatting>
  <conditionalFormatting sqref="O474 M474 G474 K474 S474 U474 W474 I474 Q474">
    <cfRule type="cellIs" dxfId="7265" priority="8625" stopIfTrue="1" operator="notEqual">
      <formula>H474</formula>
    </cfRule>
  </conditionalFormatting>
  <conditionalFormatting sqref="O475 M475 G475 K475 S475 U475 W475 I475 Q475">
    <cfRule type="cellIs" dxfId="7264" priority="8624" stopIfTrue="1" operator="notEqual">
      <formula>H475</formula>
    </cfRule>
  </conditionalFormatting>
  <conditionalFormatting sqref="O476 M476 G476 K476 S476 U476 W476 I476 Q476">
    <cfRule type="cellIs" dxfId="7263" priority="8623" stopIfTrue="1" operator="notEqual">
      <formula>H476</formula>
    </cfRule>
  </conditionalFormatting>
  <conditionalFormatting sqref="O477 M477 G477 K477 S477 U477 W477 I477 Q477">
    <cfRule type="cellIs" dxfId="7262" priority="8622" stopIfTrue="1" operator="notEqual">
      <formula>H477</formula>
    </cfRule>
  </conditionalFormatting>
  <conditionalFormatting sqref="O478 M478 G478 K478 S478 U478 W478 I478 Q478">
    <cfRule type="cellIs" dxfId="7261" priority="8621" stopIfTrue="1" operator="notEqual">
      <formula>H478</formula>
    </cfRule>
  </conditionalFormatting>
  <conditionalFormatting sqref="O479 M479 G479 K479 S479 U479 W479 I479 Q479">
    <cfRule type="cellIs" dxfId="7260" priority="8620" stopIfTrue="1" operator="notEqual">
      <formula>H479</formula>
    </cfRule>
  </conditionalFormatting>
  <conditionalFormatting sqref="O480 M480 G480 K480 S480 U480 W480 I480 Q480">
    <cfRule type="cellIs" dxfId="7259" priority="8619" stopIfTrue="1" operator="notEqual">
      <formula>H480</formula>
    </cfRule>
  </conditionalFormatting>
  <conditionalFormatting sqref="O481 M481 G481 K481 S481 U481 W481 I481 Q481">
    <cfRule type="cellIs" dxfId="7258" priority="8618" stopIfTrue="1" operator="notEqual">
      <formula>H481</formula>
    </cfRule>
  </conditionalFormatting>
  <conditionalFormatting sqref="G482">
    <cfRule type="cellIs" dxfId="7257" priority="8617" stopIfTrue="1" operator="notEqual">
      <formula>H482</formula>
    </cfRule>
  </conditionalFormatting>
  <conditionalFormatting sqref="G484">
    <cfRule type="cellIs" dxfId="7256" priority="8615" stopIfTrue="1" operator="notEqual">
      <formula>H484</formula>
    </cfRule>
  </conditionalFormatting>
  <conditionalFormatting sqref="G485">
    <cfRule type="cellIs" dxfId="7255" priority="8614" stopIfTrue="1" operator="notEqual">
      <formula>H485</formula>
    </cfRule>
  </conditionalFormatting>
  <conditionalFormatting sqref="G482">
    <cfRule type="cellIs" dxfId="7254" priority="8613" stopIfTrue="1" operator="notEqual">
      <formula>H482</formula>
    </cfRule>
  </conditionalFormatting>
  <conditionalFormatting sqref="G482">
    <cfRule type="cellIs" dxfId="7253" priority="8612" stopIfTrue="1" operator="notEqual">
      <formula>H482</formula>
    </cfRule>
  </conditionalFormatting>
  <conditionalFormatting sqref="G482">
    <cfRule type="cellIs" dxfId="7252" priority="8611" stopIfTrue="1" operator="notEqual">
      <formula>H482</formula>
    </cfRule>
  </conditionalFormatting>
  <conditionalFormatting sqref="G482">
    <cfRule type="cellIs" dxfId="7251" priority="8610" stopIfTrue="1" operator="notEqual">
      <formula>H482</formula>
    </cfRule>
  </conditionalFormatting>
  <conditionalFormatting sqref="G482">
    <cfRule type="cellIs" dxfId="7250" priority="8609" stopIfTrue="1" operator="notEqual">
      <formula>H482</formula>
    </cfRule>
  </conditionalFormatting>
  <conditionalFormatting sqref="G482">
    <cfRule type="cellIs" dxfId="7249" priority="8608" stopIfTrue="1" operator="notEqual">
      <formula>H482</formula>
    </cfRule>
  </conditionalFormatting>
  <conditionalFormatting sqref="O482 M482 G482 K482 S482 U482 W482 I482 Q482">
    <cfRule type="cellIs" dxfId="7248" priority="8607" stopIfTrue="1" operator="notEqual">
      <formula>H482</formula>
    </cfRule>
  </conditionalFormatting>
  <conditionalFormatting sqref="O484 M484 G484 K484 S484 U484 W484 I484 Q484">
    <cfRule type="cellIs" dxfId="7247" priority="8605" stopIfTrue="1" operator="notEqual">
      <formula>H484</formula>
    </cfRule>
  </conditionalFormatting>
  <conditionalFormatting sqref="O485 M485 G485 K485 S485 U485 W485 I485 Q485">
    <cfRule type="cellIs" dxfId="7246" priority="8604" stopIfTrue="1" operator="notEqual">
      <formula>H485</formula>
    </cfRule>
  </conditionalFormatting>
  <conditionalFormatting sqref="O482 M482 G482 K482 S482 U482 W482 I482 Q482">
    <cfRule type="cellIs" dxfId="7245" priority="8603" stopIfTrue="1" operator="notEqual">
      <formula>H482</formula>
    </cfRule>
  </conditionalFormatting>
  <conditionalFormatting sqref="O484 M484 G484 K484 S484 U484 W484 I484 Q484">
    <cfRule type="cellIs" dxfId="7244" priority="8601" stopIfTrue="1" operator="notEqual">
      <formula>H484</formula>
    </cfRule>
  </conditionalFormatting>
  <conditionalFormatting sqref="O482 M482 G482 K482 S482 U482 W482 I482 Q482">
    <cfRule type="cellIs" dxfId="7243" priority="8600" stopIfTrue="1" operator="notEqual">
      <formula>H482</formula>
    </cfRule>
  </conditionalFormatting>
  <conditionalFormatting sqref="O485 M485 G485 K485 S485 U485 W485 I485 Q485">
    <cfRule type="cellIs" dxfId="7242" priority="8599" stopIfTrue="1" operator="notEqual">
      <formula>H485</formula>
    </cfRule>
  </conditionalFormatting>
  <conditionalFormatting sqref="O466:O476 M466:M476 G466:G476 K466:K476 S466:S476 U466:U476 W466:W476 I466:I476 Q466:Q476">
    <cfRule type="cellIs" dxfId="7241" priority="8598" stopIfTrue="1" operator="notEqual">
      <formula>H466</formula>
    </cfRule>
  </conditionalFormatting>
  <conditionalFormatting sqref="O467 M467 G467 K467 S467 U467 W467 I467 Q467">
    <cfRule type="cellIs" dxfId="7240" priority="8597" stopIfTrue="1" operator="notEqual">
      <formula>H467</formula>
    </cfRule>
  </conditionalFormatting>
  <conditionalFormatting sqref="O468 M468 G468 K468 S468 U468 W468 I468 Q468">
    <cfRule type="cellIs" dxfId="7239" priority="8596" stopIfTrue="1" operator="notEqual">
      <formula>H468</formula>
    </cfRule>
  </conditionalFormatting>
  <conditionalFormatting sqref="O468 M468 G468 K468 S468 U468 W468 I468 Q468">
    <cfRule type="cellIs" dxfId="7238" priority="8595" stopIfTrue="1" operator="notEqual">
      <formula>H468</formula>
    </cfRule>
  </conditionalFormatting>
  <conditionalFormatting sqref="O466 M466 G466 K466 S466 U466 W466 I466 Q466">
    <cfRule type="cellIs" dxfId="7237" priority="8594" stopIfTrue="1" operator="notEqual">
      <formula>H466</formula>
    </cfRule>
  </conditionalFormatting>
  <conditionalFormatting sqref="O471 M471 G471 K471 S471 U471 W471 I471 Q471">
    <cfRule type="cellIs" dxfId="7236" priority="8593" stopIfTrue="1" operator="notEqual">
      <formula>H471</formula>
    </cfRule>
  </conditionalFormatting>
  <conditionalFormatting sqref="O472 M472 G472 K472 S472 U472 W472 I472 Q472">
    <cfRule type="cellIs" dxfId="7235" priority="8592" stopIfTrue="1" operator="notEqual">
      <formula>H472</formula>
    </cfRule>
  </conditionalFormatting>
  <conditionalFormatting sqref="O470 M470 G470 K470 S470 U470 W470 I470 Q470">
    <cfRule type="cellIs" dxfId="7234" priority="8591" stopIfTrue="1" operator="notEqual">
      <formula>H470</formula>
    </cfRule>
  </conditionalFormatting>
  <conditionalFormatting sqref="O473 M473 G473 K473 S473 U473 W473 I473 Q473">
    <cfRule type="cellIs" dxfId="7233" priority="8590" stopIfTrue="1" operator="notEqual">
      <formula>H473</formula>
    </cfRule>
  </conditionalFormatting>
  <conditionalFormatting sqref="O474 M474 G474 K474 S474 U474 W474 I474 Q474">
    <cfRule type="cellIs" dxfId="7232" priority="8589" stopIfTrue="1" operator="notEqual">
      <formula>H474</formula>
    </cfRule>
  </conditionalFormatting>
  <conditionalFormatting sqref="O475 M475 G475 K475 S475 U475 W475 I475 Q475">
    <cfRule type="cellIs" dxfId="7231" priority="8588" stopIfTrue="1" operator="notEqual">
      <formula>H475</formula>
    </cfRule>
  </conditionalFormatting>
  <conditionalFormatting sqref="O476 M476 G476 K476 S476 U476 W476 I476 Q476">
    <cfRule type="cellIs" dxfId="7230" priority="8587" stopIfTrue="1" operator="notEqual">
      <formula>H476</formula>
    </cfRule>
  </conditionalFormatting>
  <conditionalFormatting sqref="O477 M477 G477 K477 S477 U477 W477 I477 Q477">
    <cfRule type="cellIs" dxfId="7229" priority="8586" stopIfTrue="1" operator="notEqual">
      <formula>H477</formula>
    </cfRule>
  </conditionalFormatting>
  <conditionalFormatting sqref="O478 M478 G478 K478 S478 U478 W478 I478 Q478">
    <cfRule type="cellIs" dxfId="7228" priority="8585" stopIfTrue="1" operator="notEqual">
      <formula>H478</formula>
    </cfRule>
  </conditionalFormatting>
  <conditionalFormatting sqref="O479 M479 G479 K479 S479 U479 W479 I479 Q479">
    <cfRule type="cellIs" dxfId="7227" priority="8584" stopIfTrue="1" operator="notEqual">
      <formula>H479</formula>
    </cfRule>
  </conditionalFormatting>
  <conditionalFormatting sqref="O480 M480 G480 K480 S480 U480 W480 I480 Q480">
    <cfRule type="cellIs" dxfId="7226" priority="8583" stopIfTrue="1" operator="notEqual">
      <formula>H480</formula>
    </cfRule>
  </conditionalFormatting>
  <conditionalFormatting sqref="O481 M481 G481 K481 S481 U481 W481 I481 Q481">
    <cfRule type="cellIs" dxfId="7225" priority="8582" stopIfTrue="1" operator="notEqual">
      <formula>H481</formula>
    </cfRule>
  </conditionalFormatting>
  <conditionalFormatting sqref="O482 M482 G482 K482 S482 U482 W482 I482 Q482">
    <cfRule type="cellIs" dxfId="7224" priority="8581" stopIfTrue="1" operator="notEqual">
      <formula>H482</formula>
    </cfRule>
  </conditionalFormatting>
  <conditionalFormatting sqref="O484 M484 G484 K484 S484 U484 W484 I484 Q484">
    <cfRule type="cellIs" dxfId="7223" priority="8579" stopIfTrue="1" operator="notEqual">
      <formula>H484</formula>
    </cfRule>
  </conditionalFormatting>
  <conditionalFormatting sqref="O485 M485 G485 K485 S485 U485 W485 I485 Q485">
    <cfRule type="cellIs" dxfId="7222" priority="8578" stopIfTrue="1" operator="notEqual">
      <formula>H485</formula>
    </cfRule>
  </conditionalFormatting>
  <conditionalFormatting sqref="U496:U504 W496:W504 G496:G504 K496:K504 M496:M504 O496:O504 S496:S504 I496:I504 Q496:Q531">
    <cfRule type="cellIs" dxfId="7221" priority="8577" stopIfTrue="1" operator="notEqual">
      <formula>H496</formula>
    </cfRule>
  </conditionalFormatting>
  <conditionalFormatting sqref="S496:S504 W496:W504 G496:G504 M496:M504 O496:O504 U496:U504 K496:K504 Q496:Q531">
    <cfRule type="cellIs" dxfId="7220" priority="8576" stopIfTrue="1" operator="notEqual">
      <formula>H496</formula>
    </cfRule>
  </conditionalFormatting>
  <conditionalFormatting sqref="I496:I504">
    <cfRule type="cellIs" dxfId="7219" priority="8575" stopIfTrue="1" operator="notEqual">
      <formula>J496</formula>
    </cfRule>
  </conditionalFormatting>
  <conditionalFormatting sqref="G498">
    <cfRule type="cellIs" dxfId="7218" priority="8574" stopIfTrue="1" operator="notEqual">
      <formula>H498</formula>
    </cfRule>
  </conditionalFormatting>
  <conditionalFormatting sqref="G498">
    <cfRule type="cellIs" dxfId="7217" priority="8573" stopIfTrue="1" operator="notEqual">
      <formula>H498</formula>
    </cfRule>
  </conditionalFormatting>
  <conditionalFormatting sqref="G498">
    <cfRule type="cellIs" dxfId="7216" priority="8572" stopIfTrue="1" operator="notEqual">
      <formula>H498</formula>
    </cfRule>
  </conditionalFormatting>
  <conditionalFormatting sqref="G498">
    <cfRule type="cellIs" dxfId="7215" priority="8571" stopIfTrue="1" operator="notEqual">
      <formula>H498</formula>
    </cfRule>
  </conditionalFormatting>
  <conditionalFormatting sqref="G498">
    <cfRule type="cellIs" dxfId="7214" priority="8570" stopIfTrue="1" operator="notEqual">
      <formula>H498</formula>
    </cfRule>
  </conditionalFormatting>
  <conditionalFormatting sqref="G498">
    <cfRule type="cellIs" dxfId="7213" priority="8569" stopIfTrue="1" operator="notEqual">
      <formula>H498</formula>
    </cfRule>
  </conditionalFormatting>
  <conditionalFormatting sqref="G486">
    <cfRule type="cellIs" dxfId="7212" priority="8567" stopIfTrue="1" operator="notEqual">
      <formula>H486</formula>
    </cfRule>
  </conditionalFormatting>
  <conditionalFormatting sqref="G487">
    <cfRule type="cellIs" dxfId="7211" priority="8566" stopIfTrue="1" operator="notEqual">
      <formula>H487</formula>
    </cfRule>
  </conditionalFormatting>
  <conditionalFormatting sqref="G488">
    <cfRule type="cellIs" dxfId="7210" priority="8565" stopIfTrue="1" operator="notEqual">
      <formula>H488</formula>
    </cfRule>
  </conditionalFormatting>
  <conditionalFormatting sqref="G489">
    <cfRule type="cellIs" dxfId="7209" priority="8564" stopIfTrue="1" operator="notEqual">
      <formula>H489</formula>
    </cfRule>
  </conditionalFormatting>
  <conditionalFormatting sqref="G490">
    <cfRule type="cellIs" dxfId="7208" priority="8563" stopIfTrue="1" operator="notEqual">
      <formula>H490</formula>
    </cfRule>
  </conditionalFormatting>
  <conditionalFormatting sqref="G491">
    <cfRule type="cellIs" dxfId="7207" priority="8562" stopIfTrue="1" operator="notEqual">
      <formula>H491</formula>
    </cfRule>
  </conditionalFormatting>
  <conditionalFormatting sqref="G492">
    <cfRule type="cellIs" dxfId="7206" priority="8561" stopIfTrue="1" operator="notEqual">
      <formula>H492</formula>
    </cfRule>
  </conditionalFormatting>
  <conditionalFormatting sqref="G486">
    <cfRule type="cellIs" dxfId="7205" priority="8560" stopIfTrue="1" operator="notEqual">
      <formula>H486</formula>
    </cfRule>
  </conditionalFormatting>
  <conditionalFormatting sqref="G487">
    <cfRule type="cellIs" dxfId="7204" priority="8559" stopIfTrue="1" operator="notEqual">
      <formula>H487</formula>
    </cfRule>
  </conditionalFormatting>
  <conditionalFormatting sqref="G488">
    <cfRule type="cellIs" dxfId="7203" priority="8558" stopIfTrue="1" operator="notEqual">
      <formula>H488</formula>
    </cfRule>
  </conditionalFormatting>
  <conditionalFormatting sqref="G489">
    <cfRule type="cellIs" dxfId="7202" priority="8557" stopIfTrue="1" operator="notEqual">
      <formula>H489</formula>
    </cfRule>
  </conditionalFormatting>
  <conditionalFormatting sqref="G490">
    <cfRule type="cellIs" dxfId="7201" priority="8556" stopIfTrue="1" operator="notEqual">
      <formula>H490</formula>
    </cfRule>
  </conditionalFormatting>
  <conditionalFormatting sqref="G491">
    <cfRule type="cellIs" dxfId="7200" priority="8555" stopIfTrue="1" operator="notEqual">
      <formula>H491</formula>
    </cfRule>
  </conditionalFormatting>
  <conditionalFormatting sqref="G492">
    <cfRule type="cellIs" dxfId="7199" priority="8554" stopIfTrue="1" operator="notEqual">
      <formula>H492</formula>
    </cfRule>
  </conditionalFormatting>
  <conditionalFormatting sqref="O486 M486 G486 K486 S486 U486 W486 I486 Q486">
    <cfRule type="cellIs" dxfId="7198" priority="8553" stopIfTrue="1" operator="notEqual">
      <formula>H486</formula>
    </cfRule>
  </conditionalFormatting>
  <conditionalFormatting sqref="O487 M487 G487 K487 S487 U487 W487 I487 Q487">
    <cfRule type="cellIs" dxfId="7197" priority="8552" stopIfTrue="1" operator="notEqual">
      <formula>H487</formula>
    </cfRule>
  </conditionalFormatting>
  <conditionalFormatting sqref="O488 M488 G488 K488 S488 U488 W488 I488 Q488">
    <cfRule type="cellIs" dxfId="7196" priority="8551" stopIfTrue="1" operator="notEqual">
      <formula>H488</formula>
    </cfRule>
  </conditionalFormatting>
  <conditionalFormatting sqref="O489 M489 G489 K489 S489 U489 W489 I489 Q489">
    <cfRule type="cellIs" dxfId="7195" priority="8550" stopIfTrue="1" operator="notEqual">
      <formula>H489</formula>
    </cfRule>
  </conditionalFormatting>
  <conditionalFormatting sqref="O490 M490 G490 K490 S490 U490 W490 I490 Q490">
    <cfRule type="cellIs" dxfId="7194" priority="8549" stopIfTrue="1" operator="notEqual">
      <formula>H490</formula>
    </cfRule>
  </conditionalFormatting>
  <conditionalFormatting sqref="O491 M491 G491 K491 S491 U491 W491 I491 Q491">
    <cfRule type="cellIs" dxfId="7193" priority="8548" stopIfTrue="1" operator="notEqual">
      <formula>H491</formula>
    </cfRule>
  </conditionalFormatting>
  <conditionalFormatting sqref="G491:G492">
    <cfRule type="cellIs" dxfId="7192" priority="8547" stopIfTrue="1" operator="notEqual">
      <formula>H491</formula>
    </cfRule>
  </conditionalFormatting>
  <conditionalFormatting sqref="G486">
    <cfRule type="cellIs" dxfId="7191" priority="8546" stopIfTrue="1" operator="notEqual">
      <formula>H486</formula>
    </cfRule>
  </conditionalFormatting>
  <conditionalFormatting sqref="G487">
    <cfRule type="cellIs" dxfId="7190" priority="8545" stopIfTrue="1" operator="notEqual">
      <formula>H487</formula>
    </cfRule>
  </conditionalFormatting>
  <conditionalFormatting sqref="G488">
    <cfRule type="cellIs" dxfId="7189" priority="8544" stopIfTrue="1" operator="notEqual">
      <formula>H488</formula>
    </cfRule>
  </conditionalFormatting>
  <conditionalFormatting sqref="G489">
    <cfRule type="cellIs" dxfId="7188" priority="8543" stopIfTrue="1" operator="notEqual">
      <formula>H489</formula>
    </cfRule>
  </conditionalFormatting>
  <conditionalFormatting sqref="G490">
    <cfRule type="cellIs" dxfId="7187" priority="8542" stopIfTrue="1" operator="notEqual">
      <formula>H490</formula>
    </cfRule>
  </conditionalFormatting>
  <conditionalFormatting sqref="G492">
    <cfRule type="cellIs" dxfId="7186" priority="8541" stopIfTrue="1" operator="notEqual">
      <formula>H492</formula>
    </cfRule>
  </conditionalFormatting>
  <conditionalFormatting sqref="O487:O492 M487:M492 G487:G492 K487:K492 S487:S492 U487:U492 W487:W492 I487:I492 Q487:Q492">
    <cfRule type="cellIs" dxfId="7185" priority="8540" stopIfTrue="1" operator="notEqual">
      <formula>H487</formula>
    </cfRule>
  </conditionalFormatting>
  <conditionalFormatting sqref="O486 M486 G486 K486 S486 U486 W486 I486 Q486">
    <cfRule type="cellIs" dxfId="7184" priority="8539" stopIfTrue="1" operator="notEqual">
      <formula>H486</formula>
    </cfRule>
  </conditionalFormatting>
  <conditionalFormatting sqref="O489 M489 G489 K489 S489 U489 W489 I489 Q489">
    <cfRule type="cellIs" dxfId="7183" priority="8538" stopIfTrue="1" operator="notEqual">
      <formula>H489</formula>
    </cfRule>
  </conditionalFormatting>
  <conditionalFormatting sqref="O490 M490 G490 K490 S490 U490 W490 I490 Q490">
    <cfRule type="cellIs" dxfId="7182" priority="8537" stopIfTrue="1" operator="notEqual">
      <formula>H490</formula>
    </cfRule>
  </conditionalFormatting>
  <conditionalFormatting sqref="O490 M490 G490 K490 S490 U490 W490 I490 Q490">
    <cfRule type="cellIs" dxfId="7181" priority="8536" stopIfTrue="1" operator="notEqual">
      <formula>H490</formula>
    </cfRule>
  </conditionalFormatting>
  <conditionalFormatting sqref="O488 M488 G488 K488 S488 U488 W488 I488 Q488">
    <cfRule type="cellIs" dxfId="7180" priority="8535" stopIfTrue="1" operator="notEqual">
      <formula>H488</formula>
    </cfRule>
  </conditionalFormatting>
  <conditionalFormatting sqref="O492 M492 G492 K492 S492 U492 W492 I492 Q492">
    <cfRule type="cellIs" dxfId="7179" priority="8534" stopIfTrue="1" operator="notEqual">
      <formula>H492</formula>
    </cfRule>
  </conditionalFormatting>
  <conditionalFormatting sqref="O486 M486 G486 K486 S486 U486 W486 I486 Q486">
    <cfRule type="cellIs" dxfId="7178" priority="8533" stopIfTrue="1" operator="notEqual">
      <formula>H486</formula>
    </cfRule>
  </conditionalFormatting>
  <conditionalFormatting sqref="O487 M487 G487 K487 S487 U487 W487 I487 Q487">
    <cfRule type="cellIs" dxfId="7177" priority="8532" stopIfTrue="1" operator="notEqual">
      <formula>H487</formula>
    </cfRule>
  </conditionalFormatting>
  <conditionalFormatting sqref="O488 M488 G488 K488 S488 U488 W488 I488 Q488">
    <cfRule type="cellIs" dxfId="7176" priority="8531" stopIfTrue="1" operator="notEqual">
      <formula>H488</formula>
    </cfRule>
  </conditionalFormatting>
  <conditionalFormatting sqref="O489 M489 G489 K489 S489 U489 W489 I489 Q489">
    <cfRule type="cellIs" dxfId="7175" priority="8530" stopIfTrue="1" operator="notEqual">
      <formula>H489</formula>
    </cfRule>
  </conditionalFormatting>
  <conditionalFormatting sqref="O490 M490 G490 K490 S490 U490 W490 I490 Q490">
    <cfRule type="cellIs" dxfId="7174" priority="8529" stopIfTrue="1" operator="notEqual">
      <formula>H490</formula>
    </cfRule>
  </conditionalFormatting>
  <conditionalFormatting sqref="O491 M491 G491 K491 S491 U491 W491 I491 Q491">
    <cfRule type="cellIs" dxfId="7173" priority="8528" stopIfTrue="1" operator="notEqual">
      <formula>H491</formula>
    </cfRule>
  </conditionalFormatting>
  <conditionalFormatting sqref="O492 M492 G492 K492 S492 U492 W492 I492 Q492">
    <cfRule type="cellIs" dxfId="7172" priority="8527" stopIfTrue="1" operator="notEqual">
      <formula>H492</formula>
    </cfRule>
  </conditionalFormatting>
  <conditionalFormatting sqref="G486">
    <cfRule type="cellIs" dxfId="7171" priority="8526" stopIfTrue="1" operator="notEqual">
      <formula>H486</formula>
    </cfRule>
  </conditionalFormatting>
  <conditionalFormatting sqref="G487">
    <cfRule type="cellIs" dxfId="7170" priority="8525" stopIfTrue="1" operator="notEqual">
      <formula>H487</formula>
    </cfRule>
  </conditionalFormatting>
  <conditionalFormatting sqref="G488">
    <cfRule type="cellIs" dxfId="7169" priority="8524" stopIfTrue="1" operator="notEqual">
      <formula>H488</formula>
    </cfRule>
  </conditionalFormatting>
  <conditionalFormatting sqref="G489">
    <cfRule type="cellIs" dxfId="7168" priority="8523" stopIfTrue="1" operator="notEqual">
      <formula>H489</formula>
    </cfRule>
  </conditionalFormatting>
  <conditionalFormatting sqref="G490">
    <cfRule type="cellIs" dxfId="7167" priority="8522" stopIfTrue="1" operator="notEqual">
      <formula>H490</formula>
    </cfRule>
  </conditionalFormatting>
  <conditionalFormatting sqref="G491">
    <cfRule type="cellIs" dxfId="7166" priority="8521" stopIfTrue="1" operator="notEqual">
      <formula>H491</formula>
    </cfRule>
  </conditionalFormatting>
  <conditionalFormatting sqref="G492">
    <cfRule type="cellIs" dxfId="7165" priority="8520" stopIfTrue="1" operator="notEqual">
      <formula>H492</formula>
    </cfRule>
  </conditionalFormatting>
  <conditionalFormatting sqref="G493">
    <cfRule type="cellIs" dxfId="7164" priority="8518" stopIfTrue="1" operator="notEqual">
      <formula>H493</formula>
    </cfRule>
  </conditionalFormatting>
  <conditionalFormatting sqref="G494">
    <cfRule type="cellIs" dxfId="7163" priority="8517" stopIfTrue="1" operator="notEqual">
      <formula>H494</formula>
    </cfRule>
  </conditionalFormatting>
  <conditionalFormatting sqref="G495">
    <cfRule type="cellIs" dxfId="7162" priority="8516" stopIfTrue="1" operator="notEqual">
      <formula>H495</formula>
    </cfRule>
  </conditionalFormatting>
  <conditionalFormatting sqref="G496">
    <cfRule type="cellIs" dxfId="7161" priority="8515" stopIfTrue="1" operator="notEqual">
      <formula>H496</formula>
    </cfRule>
  </conditionalFormatting>
  <conditionalFormatting sqref="G497">
    <cfRule type="cellIs" dxfId="7160" priority="8514" stopIfTrue="1" operator="notEqual">
      <formula>H497</formula>
    </cfRule>
  </conditionalFormatting>
  <conditionalFormatting sqref="G498">
    <cfRule type="cellIs" dxfId="7159" priority="8513" stopIfTrue="1" operator="notEqual">
      <formula>H498</formula>
    </cfRule>
  </conditionalFormatting>
  <conditionalFormatting sqref="G499">
    <cfRule type="cellIs" dxfId="7158" priority="8512" stopIfTrue="1" operator="notEqual">
      <formula>H499</formula>
    </cfRule>
  </conditionalFormatting>
  <conditionalFormatting sqref="G500">
    <cfRule type="cellIs" dxfId="7157" priority="8511" stopIfTrue="1" operator="notEqual">
      <formula>H500</formula>
    </cfRule>
  </conditionalFormatting>
  <conditionalFormatting sqref="G501">
    <cfRule type="cellIs" dxfId="7156" priority="8510" stopIfTrue="1" operator="notEqual">
      <formula>H501</formula>
    </cfRule>
  </conditionalFormatting>
  <conditionalFormatting sqref="G502">
    <cfRule type="cellIs" dxfId="7155" priority="8509" stopIfTrue="1" operator="notEqual">
      <formula>H502</formula>
    </cfRule>
  </conditionalFormatting>
  <conditionalFormatting sqref="G503">
    <cfRule type="cellIs" dxfId="7154" priority="8508" stopIfTrue="1" operator="notEqual">
      <formula>H503</formula>
    </cfRule>
  </conditionalFormatting>
  <conditionalFormatting sqref="G504">
    <cfRule type="cellIs" dxfId="7153" priority="8507" stopIfTrue="1" operator="notEqual">
      <formula>H504</formula>
    </cfRule>
  </conditionalFormatting>
  <conditionalFormatting sqref="O486 M486 G486 K486 S486 U486 W486 I486 Q486">
    <cfRule type="cellIs" dxfId="7152" priority="8506" stopIfTrue="1" operator="notEqual">
      <formula>H486</formula>
    </cfRule>
  </conditionalFormatting>
  <conditionalFormatting sqref="O487 M487 G487 K487 S487 U487 W487 I487 Q487">
    <cfRule type="cellIs" dxfId="7151" priority="8505" stopIfTrue="1" operator="notEqual">
      <formula>H487</formula>
    </cfRule>
  </conditionalFormatting>
  <conditionalFormatting sqref="O488 M488 G488 K488 S488 U488 W488 I488 Q488">
    <cfRule type="cellIs" dxfId="7150" priority="8504" stopIfTrue="1" operator="notEqual">
      <formula>H488</formula>
    </cfRule>
  </conditionalFormatting>
  <conditionalFormatting sqref="O489 M489 G489 K489 S489 U489 W489 I489 Q489">
    <cfRule type="cellIs" dxfId="7149" priority="8503" stopIfTrue="1" operator="notEqual">
      <formula>H489</formula>
    </cfRule>
  </conditionalFormatting>
  <conditionalFormatting sqref="O490 M490 G490 K490 S490 U490 W490 I490 Q490">
    <cfRule type="cellIs" dxfId="7148" priority="8502" stopIfTrue="1" operator="notEqual">
      <formula>H490</formula>
    </cfRule>
  </conditionalFormatting>
  <conditionalFormatting sqref="O491 M491 G491 K491 S491 U491 W491 I491 Q491">
    <cfRule type="cellIs" dxfId="7147" priority="8501" stopIfTrue="1" operator="notEqual">
      <formula>H491</formula>
    </cfRule>
  </conditionalFormatting>
  <conditionalFormatting sqref="O492 M492 G492 K492 S492 U492 W492 I492 Q492">
    <cfRule type="cellIs" dxfId="7146" priority="8500" stopIfTrue="1" operator="notEqual">
      <formula>H492</formula>
    </cfRule>
  </conditionalFormatting>
  <conditionalFormatting sqref="O493 M493 G493 K493 S493 U493 W493 I493 Q493">
    <cfRule type="cellIs" dxfId="7145" priority="8498" stopIfTrue="1" operator="notEqual">
      <formula>H493</formula>
    </cfRule>
  </conditionalFormatting>
  <conditionalFormatting sqref="O494 M494 G494 K494 S494 U494 W494 I494 Q494">
    <cfRule type="cellIs" dxfId="7144" priority="8497" stopIfTrue="1" operator="notEqual">
      <formula>H494</formula>
    </cfRule>
  </conditionalFormatting>
  <conditionalFormatting sqref="O495 M495 G495 K495 S495 U495 W495 I495 Q495">
    <cfRule type="cellIs" dxfId="7143" priority="8496" stopIfTrue="1" operator="notEqual">
      <formula>H495</formula>
    </cfRule>
  </conditionalFormatting>
  <conditionalFormatting sqref="G495:G496">
    <cfRule type="cellIs" dxfId="7142" priority="8495" stopIfTrue="1" operator="notEqual">
      <formula>H495</formula>
    </cfRule>
  </conditionalFormatting>
  <conditionalFormatting sqref="G486">
    <cfRule type="cellIs" dxfId="7141" priority="8494" stopIfTrue="1" operator="notEqual">
      <formula>H486</formula>
    </cfRule>
  </conditionalFormatting>
  <conditionalFormatting sqref="G487">
    <cfRule type="cellIs" dxfId="7140" priority="8493" stopIfTrue="1" operator="notEqual">
      <formula>H487</formula>
    </cfRule>
  </conditionalFormatting>
  <conditionalFormatting sqref="G488">
    <cfRule type="cellIs" dxfId="7139" priority="8492" stopIfTrue="1" operator="notEqual">
      <formula>H488</formula>
    </cfRule>
  </conditionalFormatting>
  <conditionalFormatting sqref="G489">
    <cfRule type="cellIs" dxfId="7138" priority="8491" stopIfTrue="1" operator="notEqual">
      <formula>H489</formula>
    </cfRule>
  </conditionalFormatting>
  <conditionalFormatting sqref="G490">
    <cfRule type="cellIs" dxfId="7137" priority="8490" stopIfTrue="1" operator="notEqual">
      <formula>H490</formula>
    </cfRule>
  </conditionalFormatting>
  <conditionalFormatting sqref="G491">
    <cfRule type="cellIs" dxfId="7136" priority="8489" stopIfTrue="1" operator="notEqual">
      <formula>H491</formula>
    </cfRule>
  </conditionalFormatting>
  <conditionalFormatting sqref="G492">
    <cfRule type="cellIs" dxfId="7135" priority="8488" stopIfTrue="1" operator="notEqual">
      <formula>H492</formula>
    </cfRule>
  </conditionalFormatting>
  <conditionalFormatting sqref="G493">
    <cfRule type="cellIs" dxfId="7134" priority="8486" stopIfTrue="1" operator="notEqual">
      <formula>H493</formula>
    </cfRule>
  </conditionalFormatting>
  <conditionalFormatting sqref="G494">
    <cfRule type="cellIs" dxfId="7133" priority="8485" stopIfTrue="1" operator="notEqual">
      <formula>H494</formula>
    </cfRule>
  </conditionalFormatting>
  <conditionalFormatting sqref="G496">
    <cfRule type="cellIs" dxfId="7132" priority="8484" stopIfTrue="1" operator="notEqual">
      <formula>H496</formula>
    </cfRule>
  </conditionalFormatting>
  <conditionalFormatting sqref="O486 M486 G486 K486 S486 U486 W486 I486 Q486">
    <cfRule type="cellIs" dxfId="7131" priority="8482" stopIfTrue="1" operator="notEqual">
      <formula>H486</formula>
    </cfRule>
  </conditionalFormatting>
  <conditionalFormatting sqref="O487 M487 G487 K487 S487 U487 W487 I487 Q487">
    <cfRule type="cellIs" dxfId="7130" priority="8481" stopIfTrue="1" operator="notEqual">
      <formula>H487</formula>
    </cfRule>
  </conditionalFormatting>
  <conditionalFormatting sqref="O488 M488 G488 K488 S488 U488 W488 I488 Q488">
    <cfRule type="cellIs" dxfId="7129" priority="8480" stopIfTrue="1" operator="notEqual">
      <formula>H488</formula>
    </cfRule>
  </conditionalFormatting>
  <conditionalFormatting sqref="O489 M489 G489 K489 S489 U489 W489 I489 Q489">
    <cfRule type="cellIs" dxfId="7128" priority="8479" stopIfTrue="1" operator="notEqual">
      <formula>H489</formula>
    </cfRule>
  </conditionalFormatting>
  <conditionalFormatting sqref="O490 M490 G490 K490 S490 U490 W490 I490 Q490">
    <cfRule type="cellIs" dxfId="7127" priority="8478" stopIfTrue="1" operator="notEqual">
      <formula>H490</formula>
    </cfRule>
  </conditionalFormatting>
  <conditionalFormatting sqref="O491 M491 G491 K491 S491 U491 W491 I491 Q491">
    <cfRule type="cellIs" dxfId="7126" priority="8477" stopIfTrue="1" operator="notEqual">
      <formula>H491</formula>
    </cfRule>
  </conditionalFormatting>
  <conditionalFormatting sqref="O493 M493 G493 K493 S493 U493 W493 I493 Q493">
    <cfRule type="cellIs" dxfId="7125" priority="8476" stopIfTrue="1" operator="notEqual">
      <formula>H493</formula>
    </cfRule>
  </conditionalFormatting>
  <conditionalFormatting sqref="O494 M494 G494 K494 S494 U494 W494 I494 Q494">
    <cfRule type="cellIs" dxfId="7124" priority="8475" stopIfTrue="1" operator="notEqual">
      <formula>H494</formula>
    </cfRule>
  </conditionalFormatting>
  <conditionalFormatting sqref="O494 M494 G494 K494 S494 U494 W494 I494 Q494">
    <cfRule type="cellIs" dxfId="7123" priority="8474" stopIfTrue="1" operator="notEqual">
      <formula>H494</formula>
    </cfRule>
  </conditionalFormatting>
  <conditionalFormatting sqref="O496 M496 G496 K496 S496 U496 W496 I496 Q496:Q531">
    <cfRule type="cellIs" dxfId="7122" priority="8472" stopIfTrue="1" operator="notEqual">
      <formula>H496</formula>
    </cfRule>
  </conditionalFormatting>
  <conditionalFormatting sqref="O486 M486 G486 K486 S486 U486 W486 I486 Q486">
    <cfRule type="cellIs" dxfId="7121" priority="8471" stopIfTrue="1" operator="notEqual">
      <formula>H486</formula>
    </cfRule>
  </conditionalFormatting>
  <conditionalFormatting sqref="O487 M487 G487 K487 S487 U487 W487 I487 Q487">
    <cfRule type="cellIs" dxfId="7120" priority="8470" stopIfTrue="1" operator="notEqual">
      <formula>H487</formula>
    </cfRule>
  </conditionalFormatting>
  <conditionalFormatting sqref="O488 M488 G488 K488 S488 U488 W488 I488 Q488">
    <cfRule type="cellIs" dxfId="7119" priority="8469" stopIfTrue="1" operator="notEqual">
      <formula>H488</formula>
    </cfRule>
  </conditionalFormatting>
  <conditionalFormatting sqref="O489 M489 G489 K489 S489 U489 W489 I489 Q489">
    <cfRule type="cellIs" dxfId="7118" priority="8468" stopIfTrue="1" operator="notEqual">
      <formula>H489</formula>
    </cfRule>
  </conditionalFormatting>
  <conditionalFormatting sqref="O490 M490 G490 K490 S490 U490 W490 I490 Q490">
    <cfRule type="cellIs" dxfId="7117" priority="8467" stopIfTrue="1" operator="notEqual">
      <formula>H490</formula>
    </cfRule>
  </conditionalFormatting>
  <conditionalFormatting sqref="O491 M491 G491 K491 S491 U491 W491 I491 Q491">
    <cfRule type="cellIs" dxfId="7116" priority="8466" stopIfTrue="1" operator="notEqual">
      <formula>H491</formula>
    </cfRule>
  </conditionalFormatting>
  <conditionalFormatting sqref="O492 M492 G492 K492 S492 U492 W492 I492 Q492">
    <cfRule type="cellIs" dxfId="7115" priority="8465" stopIfTrue="1" operator="notEqual">
      <formula>H492</formula>
    </cfRule>
  </conditionalFormatting>
  <conditionalFormatting sqref="O493 M493 G493 K493 S493 U493 W493 I493 Q493">
    <cfRule type="cellIs" dxfId="7114" priority="8463" stopIfTrue="1" operator="notEqual">
      <formula>H493</formula>
    </cfRule>
  </conditionalFormatting>
  <conditionalFormatting sqref="O494 M494 G494 K494 S494 U494 W494 I494 Q494">
    <cfRule type="cellIs" dxfId="7113" priority="8462" stopIfTrue="1" operator="notEqual">
      <formula>H494</formula>
    </cfRule>
  </conditionalFormatting>
  <conditionalFormatting sqref="O495 M495 G495 K495 S495 U495 W495 I495 Q495">
    <cfRule type="cellIs" dxfId="7112" priority="8461" stopIfTrue="1" operator="notEqual">
      <formula>H495</formula>
    </cfRule>
  </conditionalFormatting>
  <conditionalFormatting sqref="O496 M496 G496 K496 S496 U496 W496 I496 Q496:Q531">
    <cfRule type="cellIs" dxfId="7111" priority="8460" stopIfTrue="1" operator="notEqual">
      <formula>H496</formula>
    </cfRule>
  </conditionalFormatting>
  <conditionalFormatting sqref="G496:G499">
    <cfRule type="cellIs" dxfId="7110" priority="8459" stopIfTrue="1" operator="notEqual">
      <formula>H496</formula>
    </cfRule>
  </conditionalFormatting>
  <conditionalFormatting sqref="G496">
    <cfRule type="cellIs" dxfId="7109" priority="8458" stopIfTrue="1" operator="notEqual">
      <formula>H496</formula>
    </cfRule>
  </conditionalFormatting>
  <conditionalFormatting sqref="G497">
    <cfRule type="cellIs" dxfId="7108" priority="8457" stopIfTrue="1" operator="notEqual">
      <formula>H497</formula>
    </cfRule>
  </conditionalFormatting>
  <conditionalFormatting sqref="G497">
    <cfRule type="cellIs" dxfId="7107" priority="8456" stopIfTrue="1" operator="notEqual">
      <formula>H497</formula>
    </cfRule>
  </conditionalFormatting>
  <conditionalFormatting sqref="G500">
    <cfRule type="cellIs" dxfId="7106" priority="8455" stopIfTrue="1" operator="notEqual">
      <formula>H500</formula>
    </cfRule>
  </conditionalFormatting>
  <conditionalFormatting sqref="G501">
    <cfRule type="cellIs" dxfId="7105" priority="8454" stopIfTrue="1" operator="notEqual">
      <formula>H501</formula>
    </cfRule>
  </conditionalFormatting>
  <conditionalFormatting sqref="G499">
    <cfRule type="cellIs" dxfId="7104" priority="8453" stopIfTrue="1" operator="notEqual">
      <formula>H499</formula>
    </cfRule>
  </conditionalFormatting>
  <conditionalFormatting sqref="G502">
    <cfRule type="cellIs" dxfId="7103" priority="8452" stopIfTrue="1" operator="notEqual">
      <formula>H502</formula>
    </cfRule>
  </conditionalFormatting>
  <conditionalFormatting sqref="G503">
    <cfRule type="cellIs" dxfId="7102" priority="8451" stopIfTrue="1" operator="notEqual">
      <formula>H503</formula>
    </cfRule>
  </conditionalFormatting>
  <conditionalFormatting sqref="G504">
    <cfRule type="cellIs" dxfId="7101" priority="8450" stopIfTrue="1" operator="notEqual">
      <formula>H504</formula>
    </cfRule>
  </conditionalFormatting>
  <conditionalFormatting sqref="O496 M496 G496 K496 S496 U496 W496 I496 Q496:Q531">
    <cfRule type="cellIs" dxfId="7100" priority="8449" stopIfTrue="1" operator="notEqual">
      <formula>H496</formula>
    </cfRule>
  </conditionalFormatting>
  <conditionalFormatting sqref="O497 M497 G497 K497 S497 U497 W497 I497 Q497">
    <cfRule type="cellIs" dxfId="7099" priority="8448" stopIfTrue="1" operator="notEqual">
      <formula>H497</formula>
    </cfRule>
  </conditionalFormatting>
  <conditionalFormatting sqref="O498 M498 G498 K498 S498 U498 W498 I498 Q498">
    <cfRule type="cellIs" dxfId="7098" priority="8447" stopIfTrue="1" operator="notEqual">
      <formula>H498</formula>
    </cfRule>
  </conditionalFormatting>
  <conditionalFormatting sqref="O499 M499 G499 K499 S499 U499 W499 I499 Q499">
    <cfRule type="cellIs" dxfId="7097" priority="8446" stopIfTrue="1" operator="notEqual">
      <formula>H499</formula>
    </cfRule>
  </conditionalFormatting>
  <conditionalFormatting sqref="O500 M500 G500 K500 S500 U500 W500 I500 Q500">
    <cfRule type="cellIs" dxfId="7096" priority="8445" stopIfTrue="1" operator="notEqual">
      <formula>H500</formula>
    </cfRule>
  </conditionalFormatting>
  <conditionalFormatting sqref="O501 M501 G501 K501 S501 U501 W501 I501 Q501">
    <cfRule type="cellIs" dxfId="7095" priority="8444" stopIfTrue="1" operator="notEqual">
      <formula>H501</formula>
    </cfRule>
  </conditionalFormatting>
  <conditionalFormatting sqref="O502 M502 G502 K502 S502 U502 W502 I502 Q502">
    <cfRule type="cellIs" dxfId="7094" priority="8443" stopIfTrue="1" operator="notEqual">
      <formula>H502</formula>
    </cfRule>
  </conditionalFormatting>
  <conditionalFormatting sqref="O503 M503 G503 K503 S503 U503 W503 I503 Q503">
    <cfRule type="cellIs" dxfId="7093" priority="8442" stopIfTrue="1" operator="notEqual">
      <formula>H503</formula>
    </cfRule>
  </conditionalFormatting>
  <conditionalFormatting sqref="O504 M504 G504 K504 S504 U504 W504 I504 Q504">
    <cfRule type="cellIs" dxfId="7092" priority="8441" stopIfTrue="1" operator="notEqual">
      <formula>H504</formula>
    </cfRule>
  </conditionalFormatting>
  <conditionalFormatting sqref="G496">
    <cfRule type="cellIs" dxfId="7091" priority="8440" stopIfTrue="1" operator="notEqual">
      <formula>H496</formula>
    </cfRule>
  </conditionalFormatting>
  <conditionalFormatting sqref="G497">
    <cfRule type="cellIs" dxfId="7090" priority="8439" stopIfTrue="1" operator="notEqual">
      <formula>H497</formula>
    </cfRule>
  </conditionalFormatting>
  <conditionalFormatting sqref="G498">
    <cfRule type="cellIs" dxfId="7089" priority="8438" stopIfTrue="1" operator="notEqual">
      <formula>H498</formula>
    </cfRule>
  </conditionalFormatting>
  <conditionalFormatting sqref="G499">
    <cfRule type="cellIs" dxfId="7088" priority="8437" stopIfTrue="1" operator="notEqual">
      <formula>H499</formula>
    </cfRule>
  </conditionalFormatting>
  <conditionalFormatting sqref="G500">
    <cfRule type="cellIs" dxfId="7087" priority="8436" stopIfTrue="1" operator="notEqual">
      <formula>H500</formula>
    </cfRule>
  </conditionalFormatting>
  <conditionalFormatting sqref="G501">
    <cfRule type="cellIs" dxfId="7086" priority="8435" stopIfTrue="1" operator="notEqual">
      <formula>H501</formula>
    </cfRule>
  </conditionalFormatting>
  <conditionalFormatting sqref="G502">
    <cfRule type="cellIs" dxfId="7085" priority="8434" stopIfTrue="1" operator="notEqual">
      <formula>H502</formula>
    </cfRule>
  </conditionalFormatting>
  <conditionalFormatting sqref="G503">
    <cfRule type="cellIs" dxfId="7084" priority="8433" stopIfTrue="1" operator="notEqual">
      <formula>H503</formula>
    </cfRule>
  </conditionalFormatting>
  <conditionalFormatting sqref="G504">
    <cfRule type="cellIs" dxfId="7083" priority="8432" stopIfTrue="1" operator="notEqual">
      <formula>H504</formula>
    </cfRule>
  </conditionalFormatting>
  <conditionalFormatting sqref="G496">
    <cfRule type="cellIs" dxfId="7082" priority="8431" stopIfTrue="1" operator="notEqual">
      <formula>H496</formula>
    </cfRule>
  </conditionalFormatting>
  <conditionalFormatting sqref="G496">
    <cfRule type="cellIs" dxfId="7081" priority="8430" stopIfTrue="1" operator="notEqual">
      <formula>H496</formula>
    </cfRule>
  </conditionalFormatting>
  <conditionalFormatting sqref="G496">
    <cfRule type="cellIs" dxfId="7080" priority="8429" stopIfTrue="1" operator="notEqual">
      <formula>H496</formula>
    </cfRule>
  </conditionalFormatting>
  <conditionalFormatting sqref="G496">
    <cfRule type="cellIs" dxfId="7079" priority="8428" stopIfTrue="1" operator="notEqual">
      <formula>H496</formula>
    </cfRule>
  </conditionalFormatting>
  <conditionalFormatting sqref="G496">
    <cfRule type="cellIs" dxfId="7078" priority="8427" stopIfTrue="1" operator="notEqual">
      <formula>H496</formula>
    </cfRule>
  </conditionalFormatting>
  <conditionalFormatting sqref="G496">
    <cfRule type="cellIs" dxfId="7077" priority="8426" stopIfTrue="1" operator="notEqual">
      <formula>H496</formula>
    </cfRule>
  </conditionalFormatting>
  <conditionalFormatting sqref="O496 M496 G496 K496 S496 U496 W496 I496 Q496:Q531">
    <cfRule type="cellIs" dxfId="7076" priority="8425" stopIfTrue="1" operator="notEqual">
      <formula>H496</formula>
    </cfRule>
  </conditionalFormatting>
  <conditionalFormatting sqref="O497 M497 G497 K497 S497 U497 W497 I497 Q497">
    <cfRule type="cellIs" dxfId="7075" priority="8424" stopIfTrue="1" operator="notEqual">
      <formula>H497</formula>
    </cfRule>
  </conditionalFormatting>
  <conditionalFormatting sqref="O498 M498 G498 K498 S498 U498 W498 I498 Q498">
    <cfRule type="cellIs" dxfId="7074" priority="8423" stopIfTrue="1" operator="notEqual">
      <formula>H498</formula>
    </cfRule>
  </conditionalFormatting>
  <conditionalFormatting sqref="O499 M499 G499 K499 S499 U499 W499 I499 Q499">
    <cfRule type="cellIs" dxfId="7073" priority="8422" stopIfTrue="1" operator="notEqual">
      <formula>H499</formula>
    </cfRule>
  </conditionalFormatting>
  <conditionalFormatting sqref="O500 M500 G500 K500 S500 U500 W500 I500 Q500">
    <cfRule type="cellIs" dxfId="7072" priority="8421" stopIfTrue="1" operator="notEqual">
      <formula>H500</formula>
    </cfRule>
  </conditionalFormatting>
  <conditionalFormatting sqref="O501 M501 G501 K501 S501 U501 W501 I501 Q501">
    <cfRule type="cellIs" dxfId="7071" priority="8420" stopIfTrue="1" operator="notEqual">
      <formula>H501</formula>
    </cfRule>
  </conditionalFormatting>
  <conditionalFormatting sqref="O502 M502 G502 K502 S502 U502 W502 I502 Q502">
    <cfRule type="cellIs" dxfId="7070" priority="8419" stopIfTrue="1" operator="notEqual">
      <formula>H502</formula>
    </cfRule>
  </conditionalFormatting>
  <conditionalFormatting sqref="O503 M503 G503 K503 S503 U503 W503 I503 Q503">
    <cfRule type="cellIs" dxfId="7069" priority="8418" stopIfTrue="1" operator="notEqual">
      <formula>H503</formula>
    </cfRule>
  </conditionalFormatting>
  <conditionalFormatting sqref="O504 M504 G504 K504 S504 U504 W504 I504 Q504">
    <cfRule type="cellIs" dxfId="7068" priority="8417" stopIfTrue="1" operator="notEqual">
      <formula>H504</formula>
    </cfRule>
  </conditionalFormatting>
  <conditionalFormatting sqref="O496 M496 G496 K496 S496 U496 W496 I496 Q496:Q531">
    <cfRule type="cellIs" dxfId="7067" priority="8416" stopIfTrue="1" operator="notEqual">
      <formula>H496</formula>
    </cfRule>
  </conditionalFormatting>
  <conditionalFormatting sqref="O497 M497 G497 K497 S497 U497 W497 I497 Q497">
    <cfRule type="cellIs" dxfId="7066" priority="8415" stopIfTrue="1" operator="notEqual">
      <formula>H497</formula>
    </cfRule>
  </conditionalFormatting>
  <conditionalFormatting sqref="O498 M498 G498 K498 S498 U498 W498 I498 Q498">
    <cfRule type="cellIs" dxfId="7065" priority="8414" stopIfTrue="1" operator="notEqual">
      <formula>H498</formula>
    </cfRule>
  </conditionalFormatting>
  <conditionalFormatting sqref="O496 M496 G496 K496 S496 U496 W496 I496 Q496:Q531">
    <cfRule type="cellIs" dxfId="7064" priority="8413" stopIfTrue="1" operator="notEqual">
      <formula>H496</formula>
    </cfRule>
  </conditionalFormatting>
  <conditionalFormatting sqref="O499 M499 G499 K499 S499 U499 W499 I499 Q499">
    <cfRule type="cellIs" dxfId="7063" priority="8412" stopIfTrue="1" operator="notEqual">
      <formula>H499</formula>
    </cfRule>
  </conditionalFormatting>
  <conditionalFormatting sqref="O500 M500 G500 K500 S500 U500 W500 I500 Q500">
    <cfRule type="cellIs" dxfId="7062" priority="8411" stopIfTrue="1" operator="notEqual">
      <formula>H500</formula>
    </cfRule>
  </conditionalFormatting>
  <conditionalFormatting sqref="O501 M501 G501 K501 S501 U501 W501 I501 Q501">
    <cfRule type="cellIs" dxfId="7061" priority="8410" stopIfTrue="1" operator="notEqual">
      <formula>H501</formula>
    </cfRule>
  </conditionalFormatting>
  <conditionalFormatting sqref="O502 M502 G502 K502 S502 U502 W502 I502 Q502">
    <cfRule type="cellIs" dxfId="7060" priority="8409" stopIfTrue="1" operator="notEqual">
      <formula>H502</formula>
    </cfRule>
  </conditionalFormatting>
  <conditionalFormatting sqref="O503 M503 G503 K503 S503 U503 W503 I503 Q503">
    <cfRule type="cellIs" dxfId="7059" priority="8408" stopIfTrue="1" operator="notEqual">
      <formula>H503</formula>
    </cfRule>
  </conditionalFormatting>
  <conditionalFormatting sqref="O504 M504 G504 K504 S504 U504 W504 I504 Q504">
    <cfRule type="cellIs" dxfId="7058" priority="8407" stopIfTrue="1" operator="notEqual">
      <formula>H504</formula>
    </cfRule>
  </conditionalFormatting>
  <conditionalFormatting sqref="G499:G504">
    <cfRule type="cellIs" dxfId="7057" priority="8406" stopIfTrue="1" operator="notEqual">
      <formula>H499</formula>
    </cfRule>
  </conditionalFormatting>
  <conditionalFormatting sqref="G486">
    <cfRule type="cellIs" dxfId="7056" priority="8405" stopIfTrue="1" operator="notEqual">
      <formula>H486</formula>
    </cfRule>
  </conditionalFormatting>
  <conditionalFormatting sqref="G487">
    <cfRule type="cellIs" dxfId="7055" priority="8404" stopIfTrue="1" operator="notEqual">
      <formula>H487</formula>
    </cfRule>
  </conditionalFormatting>
  <conditionalFormatting sqref="G488">
    <cfRule type="cellIs" dxfId="7054" priority="8403" stopIfTrue="1" operator="notEqual">
      <formula>H488</formula>
    </cfRule>
  </conditionalFormatting>
  <conditionalFormatting sqref="G489">
    <cfRule type="cellIs" dxfId="7053" priority="8402" stopIfTrue="1" operator="notEqual">
      <formula>H489</formula>
    </cfRule>
  </conditionalFormatting>
  <conditionalFormatting sqref="G490">
    <cfRule type="cellIs" dxfId="7052" priority="8401" stopIfTrue="1" operator="notEqual">
      <formula>H490</formula>
    </cfRule>
  </conditionalFormatting>
  <conditionalFormatting sqref="G491">
    <cfRule type="cellIs" dxfId="7051" priority="8400" stopIfTrue="1" operator="notEqual">
      <formula>H491</formula>
    </cfRule>
  </conditionalFormatting>
  <conditionalFormatting sqref="G492">
    <cfRule type="cellIs" dxfId="7050" priority="8399" stopIfTrue="1" operator="notEqual">
      <formula>H492</formula>
    </cfRule>
  </conditionalFormatting>
  <conditionalFormatting sqref="G493">
    <cfRule type="cellIs" dxfId="7049" priority="8397" stopIfTrue="1" operator="notEqual">
      <formula>H493</formula>
    </cfRule>
  </conditionalFormatting>
  <conditionalFormatting sqref="G494">
    <cfRule type="cellIs" dxfId="7048" priority="8396" stopIfTrue="1" operator="notEqual">
      <formula>H494</formula>
    </cfRule>
  </conditionalFormatting>
  <conditionalFormatting sqref="G495">
    <cfRule type="cellIs" dxfId="7047" priority="8395" stopIfTrue="1" operator="notEqual">
      <formula>H495</formula>
    </cfRule>
  </conditionalFormatting>
  <conditionalFormatting sqref="G496">
    <cfRule type="cellIs" dxfId="7046" priority="8394" stopIfTrue="1" operator="notEqual">
      <formula>H496</formula>
    </cfRule>
  </conditionalFormatting>
  <conditionalFormatting sqref="G497">
    <cfRule type="cellIs" dxfId="7045" priority="8393" stopIfTrue="1" operator="notEqual">
      <formula>H497</formula>
    </cfRule>
  </conditionalFormatting>
  <conditionalFormatting sqref="G498">
    <cfRule type="cellIs" dxfId="7044" priority="8392" stopIfTrue="1" operator="notEqual">
      <formula>H498</formula>
    </cfRule>
  </conditionalFormatting>
  <conditionalFormatting sqref="G486">
    <cfRule type="cellIs" dxfId="7043" priority="8391" stopIfTrue="1" operator="notEqual">
      <formula>H486</formula>
    </cfRule>
  </conditionalFormatting>
  <conditionalFormatting sqref="G486">
    <cfRule type="cellIs" dxfId="7042" priority="8390" stopIfTrue="1" operator="notEqual">
      <formula>H486</formula>
    </cfRule>
  </conditionalFormatting>
  <conditionalFormatting sqref="G486">
    <cfRule type="cellIs" dxfId="7041" priority="8389" stopIfTrue="1" operator="notEqual">
      <formula>H486</formula>
    </cfRule>
  </conditionalFormatting>
  <conditionalFormatting sqref="G486">
    <cfRule type="cellIs" dxfId="7040" priority="8388" stopIfTrue="1" operator="notEqual">
      <formula>H486</formula>
    </cfRule>
  </conditionalFormatting>
  <conditionalFormatting sqref="G486">
    <cfRule type="cellIs" dxfId="7039" priority="8387" stopIfTrue="1" operator="notEqual">
      <formula>H486</formula>
    </cfRule>
  </conditionalFormatting>
  <conditionalFormatting sqref="G486">
    <cfRule type="cellIs" dxfId="7038" priority="8386" stopIfTrue="1" operator="notEqual">
      <formula>H486</formula>
    </cfRule>
  </conditionalFormatting>
  <conditionalFormatting sqref="G501">
    <cfRule type="cellIs" dxfId="7037" priority="8385" stopIfTrue="1" operator="notEqual">
      <formula>H501</formula>
    </cfRule>
  </conditionalFormatting>
  <conditionalFormatting sqref="G502">
    <cfRule type="cellIs" dxfId="7036" priority="8384" stopIfTrue="1" operator="notEqual">
      <formula>H502</formula>
    </cfRule>
  </conditionalFormatting>
  <conditionalFormatting sqref="G502">
    <cfRule type="cellIs" dxfId="7035" priority="8383" stopIfTrue="1" operator="notEqual">
      <formula>H502</formula>
    </cfRule>
  </conditionalFormatting>
  <conditionalFormatting sqref="G500">
    <cfRule type="cellIs" dxfId="7034" priority="8382" stopIfTrue="1" operator="notEqual">
      <formula>H500</formula>
    </cfRule>
  </conditionalFormatting>
  <conditionalFormatting sqref="G504">
    <cfRule type="cellIs" dxfId="7033" priority="8381" stopIfTrue="1" operator="notEqual">
      <formula>H504</formula>
    </cfRule>
  </conditionalFormatting>
  <conditionalFormatting sqref="O495:O500 M495:M500 G495:G500 K495:K500 S495:S500 U495:U500 W495:W500 I495:I500 Q495:Q531">
    <cfRule type="cellIs" dxfId="7032" priority="8380" stopIfTrue="1" operator="notEqual">
      <formula>H495</formula>
    </cfRule>
  </conditionalFormatting>
  <conditionalFormatting sqref="O486 M486 G486 K486 S486 U486 W486 I486 Q486">
    <cfRule type="cellIs" dxfId="7031" priority="8379" stopIfTrue="1" operator="notEqual">
      <formula>H486</formula>
    </cfRule>
  </conditionalFormatting>
  <conditionalFormatting sqref="O487 M487 G487 K487 S487 U487 W487 I487 Q487">
    <cfRule type="cellIs" dxfId="7030" priority="8378" stopIfTrue="1" operator="notEqual">
      <formula>H487</formula>
    </cfRule>
  </conditionalFormatting>
  <conditionalFormatting sqref="O488 M488 G488 K488 S488 U488 W488 I488 Q488">
    <cfRule type="cellIs" dxfId="7029" priority="8377" stopIfTrue="1" operator="notEqual">
      <formula>H488</formula>
    </cfRule>
  </conditionalFormatting>
  <conditionalFormatting sqref="O489 M489 G489 K489 S489 U489 W489 I489 Q489">
    <cfRule type="cellIs" dxfId="7028" priority="8376" stopIfTrue="1" operator="notEqual">
      <formula>H489</formula>
    </cfRule>
  </conditionalFormatting>
  <conditionalFormatting sqref="O490 M490 G490 K490 S490 U490 W490 I490 Q490">
    <cfRule type="cellIs" dxfId="7027" priority="8375" stopIfTrue="1" operator="notEqual">
      <formula>H490</formula>
    </cfRule>
  </conditionalFormatting>
  <conditionalFormatting sqref="O491 M491 G491 K491 S491 U491 W491 I491 Q491">
    <cfRule type="cellIs" dxfId="7026" priority="8374" stopIfTrue="1" operator="notEqual">
      <formula>H491</formula>
    </cfRule>
  </conditionalFormatting>
  <conditionalFormatting sqref="O492 M492 G492 K492 S492 U492 W492 I492 Q492">
    <cfRule type="cellIs" dxfId="7025" priority="8373" stopIfTrue="1" operator="notEqual">
      <formula>H492</formula>
    </cfRule>
  </conditionalFormatting>
  <conditionalFormatting sqref="O493 M493 G493 K493 S493 U493 W493 I493 Q493">
    <cfRule type="cellIs" dxfId="7024" priority="8371" stopIfTrue="1" operator="notEqual">
      <formula>H493</formula>
    </cfRule>
  </conditionalFormatting>
  <conditionalFormatting sqref="O494 M494 G494 K494 S494 U494 W494 I494 Q494">
    <cfRule type="cellIs" dxfId="7023" priority="8370" stopIfTrue="1" operator="notEqual">
      <formula>H494</formula>
    </cfRule>
  </conditionalFormatting>
  <conditionalFormatting sqref="O497 M497 G497 K497 S497 U497 W497 I497 Q497">
    <cfRule type="cellIs" dxfId="7022" priority="8369" stopIfTrue="1" operator="notEqual">
      <formula>H497</formula>
    </cfRule>
  </conditionalFormatting>
  <conditionalFormatting sqref="O498 M498 G498 K498 S498 U498 W498 I498 Q498">
    <cfRule type="cellIs" dxfId="7021" priority="8368" stopIfTrue="1" operator="notEqual">
      <formula>H498</formula>
    </cfRule>
  </conditionalFormatting>
  <conditionalFormatting sqref="O498 M498 G498 K498 S498 U498 W498 I498 Q498">
    <cfRule type="cellIs" dxfId="7020" priority="8367" stopIfTrue="1" operator="notEqual">
      <formula>H498</formula>
    </cfRule>
  </conditionalFormatting>
  <conditionalFormatting sqref="O496 M496 G496 K496 S496 U496 W496 I496 Q496:Q531">
    <cfRule type="cellIs" dxfId="7019" priority="8366" stopIfTrue="1" operator="notEqual">
      <formula>H496</formula>
    </cfRule>
  </conditionalFormatting>
  <conditionalFormatting sqref="O501 M501 G501 K501 S501 U501 W501 I501 Q501">
    <cfRule type="cellIs" dxfId="7018" priority="8365" stopIfTrue="1" operator="notEqual">
      <formula>H501</formula>
    </cfRule>
  </conditionalFormatting>
  <conditionalFormatting sqref="O502 M502 G502 K502 S502 U502 W502 I502 Q502">
    <cfRule type="cellIs" dxfId="7017" priority="8364" stopIfTrue="1" operator="notEqual">
      <formula>H502</formula>
    </cfRule>
  </conditionalFormatting>
  <conditionalFormatting sqref="O500 M500 G500 K500 S500 U500 W500 I500 Q500">
    <cfRule type="cellIs" dxfId="7016" priority="8363" stopIfTrue="1" operator="notEqual">
      <formula>H500</formula>
    </cfRule>
  </conditionalFormatting>
  <conditionalFormatting sqref="O503 M503 G503 K503 S503 U503 W503 I503 Q503">
    <cfRule type="cellIs" dxfId="7015" priority="8362" stopIfTrue="1" operator="notEqual">
      <formula>H503</formula>
    </cfRule>
  </conditionalFormatting>
  <conditionalFormatting sqref="O504 M504 G504 K504 S504 U504 W504 I504 Q504">
    <cfRule type="cellIs" dxfId="7014" priority="8361" stopIfTrue="1" operator="notEqual">
      <formula>H504</formula>
    </cfRule>
  </conditionalFormatting>
  <conditionalFormatting sqref="O486 M486 G486 K486 S486 U486 W486 I486 Q486">
    <cfRule type="cellIs" dxfId="7013" priority="8360" stopIfTrue="1" operator="notEqual">
      <formula>H486</formula>
    </cfRule>
  </conditionalFormatting>
  <conditionalFormatting sqref="O487 M487 G487 K487 S487 U487 W487 I487 Q487">
    <cfRule type="cellIs" dxfId="7012" priority="8359" stopIfTrue="1" operator="notEqual">
      <formula>H487</formula>
    </cfRule>
  </conditionalFormatting>
  <conditionalFormatting sqref="O488 M488 G488 K488 S488 U488 W488 I488 Q488">
    <cfRule type="cellIs" dxfId="7011" priority="8358" stopIfTrue="1" operator="notEqual">
      <formula>H488</formula>
    </cfRule>
  </conditionalFormatting>
  <conditionalFormatting sqref="O486 M486 G486 K486 S486 U486 W486 I486 Q486">
    <cfRule type="cellIs" dxfId="7010" priority="8357" stopIfTrue="1" operator="notEqual">
      <formula>H486</formula>
    </cfRule>
  </conditionalFormatting>
  <conditionalFormatting sqref="O489 M489 G489 K489 S489 U489 W489 I489 Q489">
    <cfRule type="cellIs" dxfId="7009" priority="8356" stopIfTrue="1" operator="notEqual">
      <formula>H489</formula>
    </cfRule>
  </conditionalFormatting>
  <conditionalFormatting sqref="O490 M490 G490 K490 S490 U490 W490 I490 Q490">
    <cfRule type="cellIs" dxfId="7008" priority="8355" stopIfTrue="1" operator="notEqual">
      <formula>H490</formula>
    </cfRule>
  </conditionalFormatting>
  <conditionalFormatting sqref="O491 M491 G491 K491 S491 U491 W491 I491 Q491">
    <cfRule type="cellIs" dxfId="7007" priority="8354" stopIfTrue="1" operator="notEqual">
      <formula>H491</formula>
    </cfRule>
  </conditionalFormatting>
  <conditionalFormatting sqref="O492 M492 G492 K492 S492 U492 W492 I492 Q492">
    <cfRule type="cellIs" dxfId="7006" priority="8353" stopIfTrue="1" operator="notEqual">
      <formula>H492</formula>
    </cfRule>
  </conditionalFormatting>
  <conditionalFormatting sqref="O493 M493 G493 K493 S493 U493 W493 I493 Q493">
    <cfRule type="cellIs" dxfId="7005" priority="8351" stopIfTrue="1" operator="notEqual">
      <formula>H493</formula>
    </cfRule>
  </conditionalFormatting>
  <conditionalFormatting sqref="O494 M494 G494 K494 S494 U494 W494 I494 Q494">
    <cfRule type="cellIs" dxfId="7004" priority="8350" stopIfTrue="1" operator="notEqual">
      <formula>H494</formula>
    </cfRule>
  </conditionalFormatting>
  <conditionalFormatting sqref="O495 M495 G495 K495 S495 U495 W495 I495 Q495">
    <cfRule type="cellIs" dxfId="7003" priority="8349" stopIfTrue="1" operator="notEqual">
      <formula>H495</formula>
    </cfRule>
  </conditionalFormatting>
  <conditionalFormatting sqref="O496 M496 G496 K496 S496 U496 W496 I496 Q496:Q531">
    <cfRule type="cellIs" dxfId="7002" priority="8348" stopIfTrue="1" operator="notEqual">
      <formula>H496</formula>
    </cfRule>
  </conditionalFormatting>
  <conditionalFormatting sqref="O497 M497 G497 K497 S497 U497 W497 I497 Q497">
    <cfRule type="cellIs" dxfId="7001" priority="8347" stopIfTrue="1" operator="notEqual">
      <formula>H497</formula>
    </cfRule>
  </conditionalFormatting>
  <conditionalFormatting sqref="O498 M498 G498 K498 S498 U498 W498 I498 Q498">
    <cfRule type="cellIs" dxfId="7000" priority="8346" stopIfTrue="1" operator="notEqual">
      <formula>H498</formula>
    </cfRule>
  </conditionalFormatting>
  <conditionalFormatting sqref="O499 M499 G499 K499 S499 U499 W499 I499 Q499">
    <cfRule type="cellIs" dxfId="6999" priority="8345" stopIfTrue="1" operator="notEqual">
      <formula>H499</formula>
    </cfRule>
  </conditionalFormatting>
  <conditionalFormatting sqref="O500 M500 G500 K500 S500 U500 W500 I500 Q500">
    <cfRule type="cellIs" dxfId="6998" priority="8344" stopIfTrue="1" operator="notEqual">
      <formula>H500</formula>
    </cfRule>
  </conditionalFormatting>
  <conditionalFormatting sqref="G501">
    <cfRule type="cellIs" dxfId="6997" priority="8343" stopIfTrue="1" operator="notEqual">
      <formula>H501</formula>
    </cfRule>
  </conditionalFormatting>
  <conditionalFormatting sqref="G502">
    <cfRule type="cellIs" dxfId="6996" priority="8342" stopIfTrue="1" operator="notEqual">
      <formula>H502</formula>
    </cfRule>
  </conditionalFormatting>
  <conditionalFormatting sqref="G503">
    <cfRule type="cellIs" dxfId="6995" priority="8341" stopIfTrue="1" operator="notEqual">
      <formula>H503</formula>
    </cfRule>
  </conditionalFormatting>
  <conditionalFormatting sqref="G504">
    <cfRule type="cellIs" dxfId="6994" priority="8340" stopIfTrue="1" operator="notEqual">
      <formula>H504</formula>
    </cfRule>
  </conditionalFormatting>
  <conditionalFormatting sqref="G501">
    <cfRule type="cellIs" dxfId="6993" priority="8339" stopIfTrue="1" operator="notEqual">
      <formula>H501</formula>
    </cfRule>
  </conditionalFormatting>
  <conditionalFormatting sqref="G501">
    <cfRule type="cellIs" dxfId="6992" priority="8338" stopIfTrue="1" operator="notEqual">
      <formula>H501</formula>
    </cfRule>
  </conditionalFormatting>
  <conditionalFormatting sqref="G501">
    <cfRule type="cellIs" dxfId="6991" priority="8337" stopIfTrue="1" operator="notEqual">
      <formula>H501</formula>
    </cfRule>
  </conditionalFormatting>
  <conditionalFormatting sqref="G501">
    <cfRule type="cellIs" dxfId="6990" priority="8336" stopIfTrue="1" operator="notEqual">
      <formula>H501</formula>
    </cfRule>
  </conditionalFormatting>
  <conditionalFormatting sqref="G501">
    <cfRule type="cellIs" dxfId="6989" priority="8335" stopIfTrue="1" operator="notEqual">
      <formula>H501</formula>
    </cfRule>
  </conditionalFormatting>
  <conditionalFormatting sqref="G501">
    <cfRule type="cellIs" dxfId="6988" priority="8334" stopIfTrue="1" operator="notEqual">
      <formula>H501</formula>
    </cfRule>
  </conditionalFormatting>
  <conditionalFormatting sqref="O501 M501 G501 K501 S501 U501 W501 I501 Q501">
    <cfRule type="cellIs" dxfId="6987" priority="8333" stopIfTrue="1" operator="notEqual">
      <formula>H501</formula>
    </cfRule>
  </conditionalFormatting>
  <conditionalFormatting sqref="O502 M502 G502 K502 S502 U502 W502 I502 Q502">
    <cfRule type="cellIs" dxfId="6986" priority="8332" stopIfTrue="1" operator="notEqual">
      <formula>H502</formula>
    </cfRule>
  </conditionalFormatting>
  <conditionalFormatting sqref="O503 M503 G503 K503 S503 U503 W503 I503 Q503">
    <cfRule type="cellIs" dxfId="6985" priority="8331" stopIfTrue="1" operator="notEqual">
      <formula>H503</formula>
    </cfRule>
  </conditionalFormatting>
  <conditionalFormatting sqref="O504 M504 G504 K504 S504 U504 W504 I504 Q504">
    <cfRule type="cellIs" dxfId="6984" priority="8330" stopIfTrue="1" operator="notEqual">
      <formula>H504</formula>
    </cfRule>
  </conditionalFormatting>
  <conditionalFormatting sqref="O501 M501 G501 K501 S501 U501 W501 I501 Q501">
    <cfRule type="cellIs" dxfId="6983" priority="8329" stopIfTrue="1" operator="notEqual">
      <formula>H501</formula>
    </cfRule>
  </conditionalFormatting>
  <conditionalFormatting sqref="O502 M502 G502 K502 S502 U502 W502 I502 Q502">
    <cfRule type="cellIs" dxfId="6982" priority="8328" stopIfTrue="1" operator="notEqual">
      <formula>H502</formula>
    </cfRule>
  </conditionalFormatting>
  <conditionalFormatting sqref="O503 M503 G503 K503 S503 U503 W503 I503 Q503">
    <cfRule type="cellIs" dxfId="6981" priority="8327" stopIfTrue="1" operator="notEqual">
      <formula>H503</formula>
    </cfRule>
  </conditionalFormatting>
  <conditionalFormatting sqref="O501 M501 G501 K501 S501 U501 W501 I501 Q501">
    <cfRule type="cellIs" dxfId="6980" priority="8326" stopIfTrue="1" operator="notEqual">
      <formula>H501</formula>
    </cfRule>
  </conditionalFormatting>
  <conditionalFormatting sqref="O504 M504 G504 K504 S504 U504 W504 I504 Q504">
    <cfRule type="cellIs" dxfId="6979" priority="8325" stopIfTrue="1" operator="notEqual">
      <formula>H504</formula>
    </cfRule>
  </conditionalFormatting>
  <conditionalFormatting sqref="O486:O490 M486:M490 G486:G490 K486:K490 S486:S490 U486:U490 W486:W490 I486:I490 Q486:Q490">
    <cfRule type="cellIs" dxfId="6978" priority="8324" stopIfTrue="1" operator="notEqual">
      <formula>H486</formula>
    </cfRule>
  </conditionalFormatting>
  <conditionalFormatting sqref="O487 M487 G487 K487 S487 U487 W487 I487 Q487">
    <cfRule type="cellIs" dxfId="6977" priority="8323" stopIfTrue="1" operator="notEqual">
      <formula>H487</formula>
    </cfRule>
  </conditionalFormatting>
  <conditionalFormatting sqref="O488 M488 G488 K488 S488 U488 W488 I488 Q488">
    <cfRule type="cellIs" dxfId="6976" priority="8322" stopIfTrue="1" operator="notEqual">
      <formula>H488</formula>
    </cfRule>
  </conditionalFormatting>
  <conditionalFormatting sqref="O488 M488 G488 K488 S488 U488 W488 I488 Q488">
    <cfRule type="cellIs" dxfId="6975" priority="8321" stopIfTrue="1" operator="notEqual">
      <formula>H488</formula>
    </cfRule>
  </conditionalFormatting>
  <conditionalFormatting sqref="O486 M486 G486 K486 S486 U486 W486 I486 Q486">
    <cfRule type="cellIs" dxfId="6974" priority="8320" stopIfTrue="1" operator="notEqual">
      <formula>H486</formula>
    </cfRule>
  </conditionalFormatting>
  <conditionalFormatting sqref="O491 M491 G491 K491 S491 U491 W491 I491 Q491">
    <cfRule type="cellIs" dxfId="6973" priority="8319" stopIfTrue="1" operator="notEqual">
      <formula>H491</formula>
    </cfRule>
  </conditionalFormatting>
  <conditionalFormatting sqref="O492 M492 G492 K492 S492 U492 W492 I492 Q492">
    <cfRule type="cellIs" dxfId="6972" priority="8318" stopIfTrue="1" operator="notEqual">
      <formula>H492</formula>
    </cfRule>
  </conditionalFormatting>
  <conditionalFormatting sqref="O490 M490 G490 K490 S490 U490 W490 I490 Q490">
    <cfRule type="cellIs" dxfId="6971" priority="8317" stopIfTrue="1" operator="notEqual">
      <formula>H490</formula>
    </cfRule>
  </conditionalFormatting>
  <conditionalFormatting sqref="O493 M493 G493 K493 S493 U493 W493 I493 Q493">
    <cfRule type="cellIs" dxfId="6970" priority="8315" stopIfTrue="1" operator="notEqual">
      <formula>H493</formula>
    </cfRule>
  </conditionalFormatting>
  <conditionalFormatting sqref="O494 M494 G494 K494 S494 U494 W494 I494 Q494">
    <cfRule type="cellIs" dxfId="6969" priority="8314" stopIfTrue="1" operator="notEqual">
      <formula>H494</formula>
    </cfRule>
  </conditionalFormatting>
  <conditionalFormatting sqref="O495 M495 G495 K495 S495 U495 W495 I495 Q495">
    <cfRule type="cellIs" dxfId="6968" priority="8313" stopIfTrue="1" operator="notEqual">
      <formula>H495</formula>
    </cfRule>
  </conditionalFormatting>
  <conditionalFormatting sqref="O496 M496 G496 K496 S496 U496 W496 I496 Q496:Q531">
    <cfRule type="cellIs" dxfId="6967" priority="8312" stopIfTrue="1" operator="notEqual">
      <formula>H496</formula>
    </cfRule>
  </conditionalFormatting>
  <conditionalFormatting sqref="O497 M497 G497 K497 S497 U497 W497 I497 Q497">
    <cfRule type="cellIs" dxfId="6966" priority="8311" stopIfTrue="1" operator="notEqual">
      <formula>H497</formula>
    </cfRule>
  </conditionalFormatting>
  <conditionalFormatting sqref="O498 M498 G498 K498 S498 U498 W498 I498 Q498">
    <cfRule type="cellIs" dxfId="6965" priority="8310" stopIfTrue="1" operator="notEqual">
      <formula>H498</formula>
    </cfRule>
  </conditionalFormatting>
  <conditionalFormatting sqref="O499 M499 G499 K499 S499 U499 W499 I499 Q499">
    <cfRule type="cellIs" dxfId="6964" priority="8309" stopIfTrue="1" operator="notEqual">
      <formula>H499</formula>
    </cfRule>
  </conditionalFormatting>
  <conditionalFormatting sqref="O500 M500 G500 K500 S500 U500 W500 I500 Q500">
    <cfRule type="cellIs" dxfId="6963" priority="8308" stopIfTrue="1" operator="notEqual">
      <formula>H500</formula>
    </cfRule>
  </conditionalFormatting>
  <conditionalFormatting sqref="O501 M501 G501 K501 S501 U501 W501 I501 Q501">
    <cfRule type="cellIs" dxfId="6962" priority="8307" stopIfTrue="1" operator="notEqual">
      <formula>H501</formula>
    </cfRule>
  </conditionalFormatting>
  <conditionalFormatting sqref="O502 M502 G502 K502 S502 U502 W502 I502 Q502">
    <cfRule type="cellIs" dxfId="6961" priority="8306" stopIfTrue="1" operator="notEqual">
      <formula>H502</formula>
    </cfRule>
  </conditionalFormatting>
  <conditionalFormatting sqref="O503 M503 G503 K503 S503 U503 W503 I503 Q503">
    <cfRule type="cellIs" dxfId="6960" priority="8305" stopIfTrue="1" operator="notEqual">
      <formula>H503</formula>
    </cfRule>
  </conditionalFormatting>
  <conditionalFormatting sqref="O504 M504 G504 K504 S504 U504 W504 I504 Q504">
    <cfRule type="cellIs" dxfId="6959" priority="8304" stopIfTrue="1" operator="notEqual">
      <formula>H504</formula>
    </cfRule>
  </conditionalFormatting>
  <conditionalFormatting sqref="Q505:Q526 U505:U526 W505:W526 G505:G526 K505:K526 M505:M526 O505:O526 S505:S526 I505:I526">
    <cfRule type="cellIs" dxfId="6958" priority="8303" stopIfTrue="1" operator="notEqual">
      <formula>H505</formula>
    </cfRule>
  </conditionalFormatting>
  <conditionalFormatting sqref="S514">
    <cfRule type="cellIs" dxfId="6957" priority="8302" stopIfTrue="1" operator="notEqual">
      <formula>T514</formula>
    </cfRule>
  </conditionalFormatting>
  <conditionalFormatting sqref="S505:S526 W505:W526 G505:G526 M505:M526 O505:O526 Q505:Q526 U505:U526 K505:K526">
    <cfRule type="cellIs" dxfId="6956" priority="8301" stopIfTrue="1" operator="notEqual">
      <formula>H505</formula>
    </cfRule>
  </conditionalFormatting>
  <conditionalFormatting sqref="U514">
    <cfRule type="cellIs" dxfId="6955" priority="8300" stopIfTrue="1" operator="notEqual">
      <formula>V514</formula>
    </cfRule>
  </conditionalFormatting>
  <conditionalFormatting sqref="I505:I526">
    <cfRule type="cellIs" dxfId="6954" priority="8299" stopIfTrue="1" operator="notEqual">
      <formula>J505</formula>
    </cfRule>
  </conditionalFormatting>
  <conditionalFormatting sqref="Q516:Q524 U516:U524 W516:W524 G516:G524 K516:K524 M516:M524 O516:O524 S516:S524 I516:I524">
    <cfRule type="cellIs" dxfId="6953" priority="8298" stopIfTrue="1" operator="notEqual">
      <formula>H516</formula>
    </cfRule>
  </conditionalFormatting>
  <conditionalFormatting sqref="S516:S524 W516:W524 G516:G524 M516:M524 O516:O524 Q516:Q524 U516:U524 K516:K524">
    <cfRule type="cellIs" dxfId="6952" priority="8297" stopIfTrue="1" operator="notEqual">
      <formula>H516</formula>
    </cfRule>
  </conditionalFormatting>
  <conditionalFormatting sqref="I516:I524">
    <cfRule type="cellIs" dxfId="6951" priority="8296" stopIfTrue="1" operator="notEqual">
      <formula>J516</formula>
    </cfRule>
  </conditionalFormatting>
  <conditionalFormatting sqref="G518">
    <cfRule type="cellIs" dxfId="6950" priority="8295" stopIfTrue="1" operator="notEqual">
      <formula>H518</formula>
    </cfRule>
  </conditionalFormatting>
  <conditionalFormatting sqref="G518">
    <cfRule type="cellIs" dxfId="6949" priority="8294" stopIfTrue="1" operator="notEqual">
      <formula>H518</formula>
    </cfRule>
  </conditionalFormatting>
  <conditionalFormatting sqref="G518">
    <cfRule type="cellIs" dxfId="6948" priority="8293" stopIfTrue="1" operator="notEqual">
      <formula>H518</formula>
    </cfRule>
  </conditionalFormatting>
  <conditionalFormatting sqref="G518">
    <cfRule type="cellIs" dxfId="6947" priority="8292" stopIfTrue="1" operator="notEqual">
      <formula>H518</formula>
    </cfRule>
  </conditionalFormatting>
  <conditionalFormatting sqref="G518">
    <cfRule type="cellIs" dxfId="6946" priority="8291" stopIfTrue="1" operator="notEqual">
      <formula>H518</formula>
    </cfRule>
  </conditionalFormatting>
  <conditionalFormatting sqref="G518">
    <cfRule type="cellIs" dxfId="6945" priority="8290" stopIfTrue="1" operator="notEqual">
      <formula>H518</formula>
    </cfRule>
  </conditionalFormatting>
  <conditionalFormatting sqref="G512">
    <cfRule type="cellIs" dxfId="6944" priority="8289" stopIfTrue="1" operator="notEqual">
      <formula>H512</formula>
    </cfRule>
  </conditionalFormatting>
  <conditionalFormatting sqref="G505">
    <cfRule type="cellIs" dxfId="6943" priority="8288" stopIfTrue="1" operator="notEqual">
      <formula>H505</formula>
    </cfRule>
  </conditionalFormatting>
  <conditionalFormatting sqref="G506">
    <cfRule type="cellIs" dxfId="6942" priority="8287" stopIfTrue="1" operator="notEqual">
      <formula>H506</formula>
    </cfRule>
  </conditionalFormatting>
  <conditionalFormatting sqref="G507:G526">
    <cfRule type="cellIs" dxfId="6941" priority="8286" stopIfTrue="1" operator="notEqual">
      <formula>H507</formula>
    </cfRule>
  </conditionalFormatting>
  <conditionalFormatting sqref="G508">
    <cfRule type="cellIs" dxfId="6940" priority="8285" stopIfTrue="1" operator="notEqual">
      <formula>H508</formula>
    </cfRule>
  </conditionalFormatting>
  <conditionalFormatting sqref="G509">
    <cfRule type="cellIs" dxfId="6939" priority="8284" stopIfTrue="1" operator="notEqual">
      <formula>H509</formula>
    </cfRule>
  </conditionalFormatting>
  <conditionalFormatting sqref="G510">
    <cfRule type="cellIs" dxfId="6938" priority="8283" stopIfTrue="1" operator="notEqual">
      <formula>H510</formula>
    </cfRule>
  </conditionalFormatting>
  <conditionalFormatting sqref="G511">
    <cfRule type="cellIs" dxfId="6937" priority="8282" stopIfTrue="1" operator="notEqual">
      <formula>H511</formula>
    </cfRule>
  </conditionalFormatting>
  <conditionalFormatting sqref="G505">
    <cfRule type="cellIs" dxfId="6936" priority="8281" stopIfTrue="1" operator="notEqual">
      <formula>H505</formula>
    </cfRule>
  </conditionalFormatting>
  <conditionalFormatting sqref="G506">
    <cfRule type="cellIs" dxfId="6935" priority="8280" stopIfTrue="1" operator="notEqual">
      <formula>H506</formula>
    </cfRule>
  </conditionalFormatting>
  <conditionalFormatting sqref="G507:G526">
    <cfRule type="cellIs" dxfId="6934" priority="8279" stopIfTrue="1" operator="notEqual">
      <formula>H507</formula>
    </cfRule>
  </conditionalFormatting>
  <conditionalFormatting sqref="G508">
    <cfRule type="cellIs" dxfId="6933" priority="8278" stopIfTrue="1" operator="notEqual">
      <formula>H508</formula>
    </cfRule>
  </conditionalFormatting>
  <conditionalFormatting sqref="G509">
    <cfRule type="cellIs" dxfId="6932" priority="8277" stopIfTrue="1" operator="notEqual">
      <formula>H509</formula>
    </cfRule>
  </conditionalFormatting>
  <conditionalFormatting sqref="G510">
    <cfRule type="cellIs" dxfId="6931" priority="8276" stopIfTrue="1" operator="notEqual">
      <formula>H510</formula>
    </cfRule>
  </conditionalFormatting>
  <conditionalFormatting sqref="G511">
    <cfRule type="cellIs" dxfId="6930" priority="8275" stopIfTrue="1" operator="notEqual">
      <formula>H511</formula>
    </cfRule>
  </conditionalFormatting>
  <conditionalFormatting sqref="O505 M505 G505 K505 S505 U505 W505 I505 Q505">
    <cfRule type="cellIs" dxfId="6929" priority="8274" stopIfTrue="1" operator="notEqual">
      <formula>H505</formula>
    </cfRule>
  </conditionalFormatting>
  <conditionalFormatting sqref="O506 M506 G506 K506 S506 U506 W506 I506 Q506">
    <cfRule type="cellIs" dxfId="6928" priority="8273" stopIfTrue="1" operator="notEqual">
      <formula>H506</formula>
    </cfRule>
  </conditionalFormatting>
  <conditionalFormatting sqref="O507:O526 M507:M526 G507:G526 K507:K526 S507:S526 U507:U526 W507:W526 I507:I526 Q507:Q526">
    <cfRule type="cellIs" dxfId="6927" priority="8272" stopIfTrue="1" operator="notEqual">
      <formula>H507</formula>
    </cfRule>
  </conditionalFormatting>
  <conditionalFormatting sqref="O508 M508 G508 K508 S508 U508 W508 I508 Q508">
    <cfRule type="cellIs" dxfId="6926" priority="8271" stopIfTrue="1" operator="notEqual">
      <formula>H508</formula>
    </cfRule>
  </conditionalFormatting>
  <conditionalFormatting sqref="O509 M509 G509 K509 S509 U509 W509 I509 Q509">
    <cfRule type="cellIs" dxfId="6925" priority="8270" stopIfTrue="1" operator="notEqual">
      <formula>H509</formula>
    </cfRule>
  </conditionalFormatting>
  <conditionalFormatting sqref="O510 M510 G510 K510 S510 U510 W510 I510 Q510">
    <cfRule type="cellIs" dxfId="6924" priority="8269" stopIfTrue="1" operator="notEqual">
      <formula>H510</formula>
    </cfRule>
  </conditionalFormatting>
  <conditionalFormatting sqref="G510:G511">
    <cfRule type="cellIs" dxfId="6923" priority="8268" stopIfTrue="1" operator="notEqual">
      <formula>H510</formula>
    </cfRule>
  </conditionalFormatting>
  <conditionalFormatting sqref="G505">
    <cfRule type="cellIs" dxfId="6922" priority="8267" stopIfTrue="1" operator="notEqual">
      <formula>H505</formula>
    </cfRule>
  </conditionalFormatting>
  <conditionalFormatting sqref="G506">
    <cfRule type="cellIs" dxfId="6921" priority="8266" stopIfTrue="1" operator="notEqual">
      <formula>H506</formula>
    </cfRule>
  </conditionalFormatting>
  <conditionalFormatting sqref="G507:G526">
    <cfRule type="cellIs" dxfId="6920" priority="8265" stopIfTrue="1" operator="notEqual">
      <formula>H507</formula>
    </cfRule>
  </conditionalFormatting>
  <conditionalFormatting sqref="G508">
    <cfRule type="cellIs" dxfId="6919" priority="8264" stopIfTrue="1" operator="notEqual">
      <formula>H508</formula>
    </cfRule>
  </conditionalFormatting>
  <conditionalFormatting sqref="G509">
    <cfRule type="cellIs" dxfId="6918" priority="8263" stopIfTrue="1" operator="notEqual">
      <formula>H509</formula>
    </cfRule>
  </conditionalFormatting>
  <conditionalFormatting sqref="G511">
    <cfRule type="cellIs" dxfId="6917" priority="8262" stopIfTrue="1" operator="notEqual">
      <formula>H511</formula>
    </cfRule>
  </conditionalFormatting>
  <conditionalFormatting sqref="O506:O526 M506:M526 G506:G526 K506:K526 S506:S526 U506:U526 W506:W526 I506:I526 Q506:Q526">
    <cfRule type="cellIs" dxfId="6916" priority="8261" stopIfTrue="1" operator="notEqual">
      <formula>H506</formula>
    </cfRule>
  </conditionalFormatting>
  <conditionalFormatting sqref="O505 M505 G505 K505 S505 U505 W505 I505 Q505">
    <cfRule type="cellIs" dxfId="6915" priority="8260" stopIfTrue="1" operator="notEqual">
      <formula>H505</formula>
    </cfRule>
  </conditionalFormatting>
  <conditionalFormatting sqref="O508 M508 G508 K508 S508 U508 W508 I508 Q508">
    <cfRule type="cellIs" dxfId="6914" priority="8259" stopIfTrue="1" operator="notEqual">
      <formula>H508</formula>
    </cfRule>
  </conditionalFormatting>
  <conditionalFormatting sqref="O509 M509 G509 K509 S509 U509 W509 I509 Q509">
    <cfRule type="cellIs" dxfId="6913" priority="8258" stopIfTrue="1" operator="notEqual">
      <formula>H509</formula>
    </cfRule>
  </conditionalFormatting>
  <conditionalFormatting sqref="O509 M509 G509 K509 S509 U509 W509 I509 Q509">
    <cfRule type="cellIs" dxfId="6912" priority="8257" stopIfTrue="1" operator="notEqual">
      <formula>H509</formula>
    </cfRule>
  </conditionalFormatting>
  <conditionalFormatting sqref="O507:O526 M507:M526 G507:G526 K507:K526 S507:S526 U507:U526 W507:W526 I507:I526 Q507:Q526">
    <cfRule type="cellIs" dxfId="6911" priority="8256" stopIfTrue="1" operator="notEqual">
      <formula>H507</formula>
    </cfRule>
  </conditionalFormatting>
  <conditionalFormatting sqref="O511 M511 G511 K511 S511 U511 W511 I511 Q511">
    <cfRule type="cellIs" dxfId="6910" priority="8255" stopIfTrue="1" operator="notEqual">
      <formula>H511</formula>
    </cfRule>
  </conditionalFormatting>
  <conditionalFormatting sqref="O505 M505 G505 K505 S505 U505 W505 I505 Q505">
    <cfRule type="cellIs" dxfId="6909" priority="8254" stopIfTrue="1" operator="notEqual">
      <formula>H505</formula>
    </cfRule>
  </conditionalFormatting>
  <conditionalFormatting sqref="O506 M506 G506 K506 S506 U506 W506 I506 Q506">
    <cfRule type="cellIs" dxfId="6908" priority="8253" stopIfTrue="1" operator="notEqual">
      <formula>H506</formula>
    </cfRule>
  </conditionalFormatting>
  <conditionalFormatting sqref="O507:O526 M507:M526 G507:G526 K507:K526 S507:S526 U507:U526 W507:W526 I507:I526 Q507:Q526">
    <cfRule type="cellIs" dxfId="6907" priority="8252" stopIfTrue="1" operator="notEqual">
      <formula>H507</formula>
    </cfRule>
  </conditionalFormatting>
  <conditionalFormatting sqref="O508 M508 G508 K508 S508 U508 W508 I508 Q508">
    <cfRule type="cellIs" dxfId="6906" priority="8251" stopIfTrue="1" operator="notEqual">
      <formula>H508</formula>
    </cfRule>
  </conditionalFormatting>
  <conditionalFormatting sqref="O509 M509 G509 K509 S509 U509 W509 I509 Q509">
    <cfRule type="cellIs" dxfId="6905" priority="8250" stopIfTrue="1" operator="notEqual">
      <formula>H509</formula>
    </cfRule>
  </conditionalFormatting>
  <conditionalFormatting sqref="O510 M510 G510 K510 S510 U510 W510 I510 Q510">
    <cfRule type="cellIs" dxfId="6904" priority="8249" stopIfTrue="1" operator="notEqual">
      <formula>H510</formula>
    </cfRule>
  </conditionalFormatting>
  <conditionalFormatting sqref="O511 M511 G511 K511 S511 U511 W511 I511 Q511">
    <cfRule type="cellIs" dxfId="6903" priority="8248" stopIfTrue="1" operator="notEqual">
      <formula>H511</formula>
    </cfRule>
  </conditionalFormatting>
  <conditionalFormatting sqref="G505">
    <cfRule type="cellIs" dxfId="6902" priority="8247" stopIfTrue="1" operator="notEqual">
      <formula>H505</formula>
    </cfRule>
  </conditionalFormatting>
  <conditionalFormatting sqref="G506">
    <cfRule type="cellIs" dxfId="6901" priority="8246" stopIfTrue="1" operator="notEqual">
      <formula>H506</formula>
    </cfRule>
  </conditionalFormatting>
  <conditionalFormatting sqref="G507:G526">
    <cfRule type="cellIs" dxfId="6900" priority="8245" stopIfTrue="1" operator="notEqual">
      <formula>H507</formula>
    </cfRule>
  </conditionalFormatting>
  <conditionalFormatting sqref="G508">
    <cfRule type="cellIs" dxfId="6899" priority="8244" stopIfTrue="1" operator="notEqual">
      <formula>H508</formula>
    </cfRule>
  </conditionalFormatting>
  <conditionalFormatting sqref="G509">
    <cfRule type="cellIs" dxfId="6898" priority="8243" stopIfTrue="1" operator="notEqual">
      <formula>H509</formula>
    </cfRule>
  </conditionalFormatting>
  <conditionalFormatting sqref="G510">
    <cfRule type="cellIs" dxfId="6897" priority="8242" stopIfTrue="1" operator="notEqual">
      <formula>H510</formula>
    </cfRule>
  </conditionalFormatting>
  <conditionalFormatting sqref="G511">
    <cfRule type="cellIs" dxfId="6896" priority="8241" stopIfTrue="1" operator="notEqual">
      <formula>H511</formula>
    </cfRule>
  </conditionalFormatting>
  <conditionalFormatting sqref="G512">
    <cfRule type="cellIs" dxfId="6895" priority="8240" stopIfTrue="1" operator="notEqual">
      <formula>H512</formula>
    </cfRule>
  </conditionalFormatting>
  <conditionalFormatting sqref="G513">
    <cfRule type="cellIs" dxfId="6894" priority="8239" stopIfTrue="1" operator="notEqual">
      <formula>H513</formula>
    </cfRule>
  </conditionalFormatting>
  <conditionalFormatting sqref="G514">
    <cfRule type="cellIs" dxfId="6893" priority="8238" stopIfTrue="1" operator="notEqual">
      <formula>H514</formula>
    </cfRule>
  </conditionalFormatting>
  <conditionalFormatting sqref="G515">
    <cfRule type="cellIs" dxfId="6892" priority="8237" stopIfTrue="1" operator="notEqual">
      <formula>H515</formula>
    </cfRule>
  </conditionalFormatting>
  <conditionalFormatting sqref="G516">
    <cfRule type="cellIs" dxfId="6891" priority="8236" stopIfTrue="1" operator="notEqual">
      <formula>H516</formula>
    </cfRule>
  </conditionalFormatting>
  <conditionalFormatting sqref="G517">
    <cfRule type="cellIs" dxfId="6890" priority="8235" stopIfTrue="1" operator="notEqual">
      <formula>H517</formula>
    </cfRule>
  </conditionalFormatting>
  <conditionalFormatting sqref="G518">
    <cfRule type="cellIs" dxfId="6889" priority="8234" stopIfTrue="1" operator="notEqual">
      <formula>H518</formula>
    </cfRule>
  </conditionalFormatting>
  <conditionalFormatting sqref="G519">
    <cfRule type="cellIs" dxfId="6888" priority="8233" stopIfTrue="1" operator="notEqual">
      <formula>H519</formula>
    </cfRule>
  </conditionalFormatting>
  <conditionalFormatting sqref="G520">
    <cfRule type="cellIs" dxfId="6887" priority="8232" stopIfTrue="1" operator="notEqual">
      <formula>H520</formula>
    </cfRule>
  </conditionalFormatting>
  <conditionalFormatting sqref="G521">
    <cfRule type="cellIs" dxfId="6886" priority="8231" stopIfTrue="1" operator="notEqual">
      <formula>H521</formula>
    </cfRule>
  </conditionalFormatting>
  <conditionalFormatting sqref="G522">
    <cfRule type="cellIs" dxfId="6885" priority="8230" stopIfTrue="1" operator="notEqual">
      <formula>H522</formula>
    </cfRule>
  </conditionalFormatting>
  <conditionalFormatting sqref="G523">
    <cfRule type="cellIs" dxfId="6884" priority="8229" stopIfTrue="1" operator="notEqual">
      <formula>H523</formula>
    </cfRule>
  </conditionalFormatting>
  <conditionalFormatting sqref="G524">
    <cfRule type="cellIs" dxfId="6883" priority="8228" stopIfTrue="1" operator="notEqual">
      <formula>H524</formula>
    </cfRule>
  </conditionalFormatting>
  <conditionalFormatting sqref="O505 M505 G505 K505 S505 U505 W505 I505 Q505">
    <cfRule type="cellIs" dxfId="6882" priority="8227" stopIfTrue="1" operator="notEqual">
      <formula>H505</formula>
    </cfRule>
  </conditionalFormatting>
  <conditionalFormatting sqref="O506 M506 G506 K506 S506 U506 W506 I506 Q506">
    <cfRule type="cellIs" dxfId="6881" priority="8226" stopIfTrue="1" operator="notEqual">
      <formula>H506</formula>
    </cfRule>
  </conditionalFormatting>
  <conditionalFormatting sqref="O507:O526 M507:M526 G507:G526 K507:K526 S507:S526 U507:U526 W507:W526 I507:I526 Q507:Q526">
    <cfRule type="cellIs" dxfId="6880" priority="8225" stopIfTrue="1" operator="notEqual">
      <formula>H507</formula>
    </cfRule>
  </conditionalFormatting>
  <conditionalFormatting sqref="O508 M508 G508 K508 S508 U508 W508 I508 Q508">
    <cfRule type="cellIs" dxfId="6879" priority="8224" stopIfTrue="1" operator="notEqual">
      <formula>H508</formula>
    </cfRule>
  </conditionalFormatting>
  <conditionalFormatting sqref="O509 M509 G509 K509 S509 U509 W509 I509 Q509">
    <cfRule type="cellIs" dxfId="6878" priority="8223" stopIfTrue="1" operator="notEqual">
      <formula>H509</formula>
    </cfRule>
  </conditionalFormatting>
  <conditionalFormatting sqref="O510 M510 G510 K510 S510 U510 W510 I510 Q510">
    <cfRule type="cellIs" dxfId="6877" priority="8222" stopIfTrue="1" operator="notEqual">
      <formula>H510</formula>
    </cfRule>
  </conditionalFormatting>
  <conditionalFormatting sqref="O511 M511 G511 K511 S511 U511 W511 I511 Q511">
    <cfRule type="cellIs" dxfId="6876" priority="8221" stopIfTrue="1" operator="notEqual">
      <formula>H511</formula>
    </cfRule>
  </conditionalFormatting>
  <conditionalFormatting sqref="O512 M512 G512 K512 S512 U512 W512 I512 Q512">
    <cfRule type="cellIs" dxfId="6875" priority="8220" stopIfTrue="1" operator="notEqual">
      <formula>H512</formula>
    </cfRule>
  </conditionalFormatting>
  <conditionalFormatting sqref="O513 M513 G513 K513 S513 U513 W513 I513 Q513">
    <cfRule type="cellIs" dxfId="6874" priority="8219" stopIfTrue="1" operator="notEqual">
      <formula>H513</formula>
    </cfRule>
  </conditionalFormatting>
  <conditionalFormatting sqref="O514 M514 G514 K514 S514 U514 W514 I514 Q514">
    <cfRule type="cellIs" dxfId="6873" priority="8218" stopIfTrue="1" operator="notEqual">
      <formula>H514</formula>
    </cfRule>
  </conditionalFormatting>
  <conditionalFormatting sqref="O515 M515 G515 K515 S515 U515 W515 I515 Q515">
    <cfRule type="cellIs" dxfId="6872" priority="8217" stopIfTrue="1" operator="notEqual">
      <formula>H515</formula>
    </cfRule>
  </conditionalFormatting>
  <conditionalFormatting sqref="G515:G516">
    <cfRule type="cellIs" dxfId="6871" priority="8216" stopIfTrue="1" operator="notEqual">
      <formula>H515</formula>
    </cfRule>
  </conditionalFormatting>
  <conditionalFormatting sqref="G505">
    <cfRule type="cellIs" dxfId="6870" priority="8215" stopIfTrue="1" operator="notEqual">
      <formula>H505</formula>
    </cfRule>
  </conditionalFormatting>
  <conditionalFormatting sqref="G506">
    <cfRule type="cellIs" dxfId="6869" priority="8214" stopIfTrue="1" operator="notEqual">
      <formula>H506</formula>
    </cfRule>
  </conditionalFormatting>
  <conditionalFormatting sqref="G507:G526">
    <cfRule type="cellIs" dxfId="6868" priority="8213" stopIfTrue="1" operator="notEqual">
      <formula>H507</formula>
    </cfRule>
  </conditionalFormatting>
  <conditionalFormatting sqref="G508">
    <cfRule type="cellIs" dxfId="6867" priority="8212" stopIfTrue="1" operator="notEqual">
      <formula>H508</formula>
    </cfRule>
  </conditionalFormatting>
  <conditionalFormatting sqref="G509">
    <cfRule type="cellIs" dxfId="6866" priority="8211" stopIfTrue="1" operator="notEqual">
      <formula>H509</formula>
    </cfRule>
  </conditionalFormatting>
  <conditionalFormatting sqref="G510">
    <cfRule type="cellIs" dxfId="6865" priority="8210" stopIfTrue="1" operator="notEqual">
      <formula>H510</formula>
    </cfRule>
  </conditionalFormatting>
  <conditionalFormatting sqref="G511">
    <cfRule type="cellIs" dxfId="6864" priority="8209" stopIfTrue="1" operator="notEqual">
      <formula>H511</formula>
    </cfRule>
  </conditionalFormatting>
  <conditionalFormatting sqref="G512">
    <cfRule type="cellIs" dxfId="6863" priority="8208" stopIfTrue="1" operator="notEqual">
      <formula>H512</formula>
    </cfRule>
  </conditionalFormatting>
  <conditionalFormatting sqref="G513">
    <cfRule type="cellIs" dxfId="6862" priority="8207" stopIfTrue="1" operator="notEqual">
      <formula>H513</formula>
    </cfRule>
  </conditionalFormatting>
  <conditionalFormatting sqref="G514">
    <cfRule type="cellIs" dxfId="6861" priority="8206" stopIfTrue="1" operator="notEqual">
      <formula>H514</formula>
    </cfRule>
  </conditionalFormatting>
  <conditionalFormatting sqref="G516">
    <cfRule type="cellIs" dxfId="6860" priority="8205" stopIfTrue="1" operator="notEqual">
      <formula>H516</formula>
    </cfRule>
  </conditionalFormatting>
  <conditionalFormatting sqref="O511:O516 M511:M516 G511:G516 K511:K516 S511:S516 U511:U516 W511:W516 I511:I516 Q511:Q516">
    <cfRule type="cellIs" dxfId="6859" priority="8204" stopIfTrue="1" operator="notEqual">
      <formula>H511</formula>
    </cfRule>
  </conditionalFormatting>
  <conditionalFormatting sqref="O505 M505 G505 K505 S505 U505 W505 I505 Q505">
    <cfRule type="cellIs" dxfId="6858" priority="8203" stopIfTrue="1" operator="notEqual">
      <formula>H505</formula>
    </cfRule>
  </conditionalFormatting>
  <conditionalFormatting sqref="O506 M506 G506 K506 S506 U506 W506 I506 Q506">
    <cfRule type="cellIs" dxfId="6857" priority="8202" stopIfTrue="1" operator="notEqual">
      <formula>H506</formula>
    </cfRule>
  </conditionalFormatting>
  <conditionalFormatting sqref="O507:O526 M507:M526 G507:G526 K507:K526 S507:S526 U507:U526 W507:W526 I507:I526 Q507:Q526">
    <cfRule type="cellIs" dxfId="6856" priority="8201" stopIfTrue="1" operator="notEqual">
      <formula>H507</formula>
    </cfRule>
  </conditionalFormatting>
  <conditionalFormatting sqref="O508 M508 G508 K508 S508 U508 W508 I508 Q508">
    <cfRule type="cellIs" dxfId="6855" priority="8200" stopIfTrue="1" operator="notEqual">
      <formula>H508</formula>
    </cfRule>
  </conditionalFormatting>
  <conditionalFormatting sqref="O509 M509 G509 K509 S509 U509 W509 I509 Q509">
    <cfRule type="cellIs" dxfId="6854" priority="8199" stopIfTrue="1" operator="notEqual">
      <formula>H509</formula>
    </cfRule>
  </conditionalFormatting>
  <conditionalFormatting sqref="O510 M510 G510 K510 S510 U510 W510 I510 Q510">
    <cfRule type="cellIs" dxfId="6853" priority="8198" stopIfTrue="1" operator="notEqual">
      <formula>H510</formula>
    </cfRule>
  </conditionalFormatting>
  <conditionalFormatting sqref="O513 M513 G513 K513 S513 U513 W513 I513 Q513">
    <cfRule type="cellIs" dxfId="6852" priority="8197" stopIfTrue="1" operator="notEqual">
      <formula>H513</formula>
    </cfRule>
  </conditionalFormatting>
  <conditionalFormatting sqref="O514 M514 G514 K514 S514 U514 W514 I514 Q514">
    <cfRule type="cellIs" dxfId="6851" priority="8196" stopIfTrue="1" operator="notEqual">
      <formula>H514</formula>
    </cfRule>
  </conditionalFormatting>
  <conditionalFormatting sqref="O514 M514 G514 K514 S514 U514 W514 I514 Q514">
    <cfRule type="cellIs" dxfId="6850" priority="8195" stopIfTrue="1" operator="notEqual">
      <formula>H514</formula>
    </cfRule>
  </conditionalFormatting>
  <conditionalFormatting sqref="O512 M512 G512 K512 S512 U512 W512 I512 Q512">
    <cfRule type="cellIs" dxfId="6849" priority="8194" stopIfTrue="1" operator="notEqual">
      <formula>H512</formula>
    </cfRule>
  </conditionalFormatting>
  <conditionalFormatting sqref="O516 M516 G516 K516 S516 U516 W516 I516 Q516">
    <cfRule type="cellIs" dxfId="6848" priority="8193" stopIfTrue="1" operator="notEqual">
      <formula>H516</formula>
    </cfRule>
  </conditionalFormatting>
  <conditionalFormatting sqref="O505 M505 G505 K505 S505 U505 W505 I505 Q505">
    <cfRule type="cellIs" dxfId="6847" priority="8192" stopIfTrue="1" operator="notEqual">
      <formula>H505</formula>
    </cfRule>
  </conditionalFormatting>
  <conditionalFormatting sqref="O506 M506 G506 K506 S506 U506 W506 I506 Q506">
    <cfRule type="cellIs" dxfId="6846" priority="8191" stopIfTrue="1" operator="notEqual">
      <formula>H506</formula>
    </cfRule>
  </conditionalFormatting>
  <conditionalFormatting sqref="O507:O526 M507:M526 G507:G526 K507:K526 S507:S526 U507:U526 W507:W526 I507:I526 Q507:Q526">
    <cfRule type="cellIs" dxfId="6845" priority="8190" stopIfTrue="1" operator="notEqual">
      <formula>H507</formula>
    </cfRule>
  </conditionalFormatting>
  <conditionalFormatting sqref="O508 M508 G508 K508 S508 U508 W508 I508 Q508">
    <cfRule type="cellIs" dxfId="6844" priority="8189" stopIfTrue="1" operator="notEqual">
      <formula>H508</formula>
    </cfRule>
  </conditionalFormatting>
  <conditionalFormatting sqref="O509 M509 G509 K509 S509 U509 W509 I509 Q509">
    <cfRule type="cellIs" dxfId="6843" priority="8188" stopIfTrue="1" operator="notEqual">
      <formula>H509</formula>
    </cfRule>
  </conditionalFormatting>
  <conditionalFormatting sqref="O510 M510 G510 K510 S510 U510 W510 I510 Q510">
    <cfRule type="cellIs" dxfId="6842" priority="8187" stopIfTrue="1" operator="notEqual">
      <formula>H510</formula>
    </cfRule>
  </conditionalFormatting>
  <conditionalFormatting sqref="O511 M511 G511 K511 S511 U511 W511 I511 Q511">
    <cfRule type="cellIs" dxfId="6841" priority="8186" stopIfTrue="1" operator="notEqual">
      <formula>H511</formula>
    </cfRule>
  </conditionalFormatting>
  <conditionalFormatting sqref="O512 M512 G512 K512 S512 U512 W512 I512 Q512">
    <cfRule type="cellIs" dxfId="6840" priority="8185" stopIfTrue="1" operator="notEqual">
      <formula>H512</formula>
    </cfRule>
  </conditionalFormatting>
  <conditionalFormatting sqref="O513 M513 G513 K513 S513 U513 W513 I513 Q513">
    <cfRule type="cellIs" dxfId="6839" priority="8184" stopIfTrue="1" operator="notEqual">
      <formula>H513</formula>
    </cfRule>
  </conditionalFormatting>
  <conditionalFormatting sqref="O514 M514 G514 K514 S514 U514 W514 I514 Q514">
    <cfRule type="cellIs" dxfId="6838" priority="8183" stopIfTrue="1" operator="notEqual">
      <formula>H514</formula>
    </cfRule>
  </conditionalFormatting>
  <conditionalFormatting sqref="O515 M515 G515 K515 S515 U515 W515 I515 Q515">
    <cfRule type="cellIs" dxfId="6837" priority="8182" stopIfTrue="1" operator="notEqual">
      <formula>H515</formula>
    </cfRule>
  </conditionalFormatting>
  <conditionalFormatting sqref="O516 M516 G516 K516 S516 U516 W516 I516 Q516">
    <cfRule type="cellIs" dxfId="6836" priority="8181" stopIfTrue="1" operator="notEqual">
      <formula>H516</formula>
    </cfRule>
  </conditionalFormatting>
  <conditionalFormatting sqref="G516:G519">
    <cfRule type="cellIs" dxfId="6835" priority="8180" stopIfTrue="1" operator="notEqual">
      <formula>H516</formula>
    </cfRule>
  </conditionalFormatting>
  <conditionalFormatting sqref="G516">
    <cfRule type="cellIs" dxfId="6834" priority="8179" stopIfTrue="1" operator="notEqual">
      <formula>H516</formula>
    </cfRule>
  </conditionalFormatting>
  <conditionalFormatting sqref="G517">
    <cfRule type="cellIs" dxfId="6833" priority="8178" stopIfTrue="1" operator="notEqual">
      <formula>H517</formula>
    </cfRule>
  </conditionalFormatting>
  <conditionalFormatting sqref="G517">
    <cfRule type="cellIs" dxfId="6832" priority="8177" stopIfTrue="1" operator="notEqual">
      <formula>H517</formula>
    </cfRule>
  </conditionalFormatting>
  <conditionalFormatting sqref="G520">
    <cfRule type="cellIs" dxfId="6831" priority="8176" stopIfTrue="1" operator="notEqual">
      <formula>H520</formula>
    </cfRule>
  </conditionalFormatting>
  <conditionalFormatting sqref="G521">
    <cfRule type="cellIs" dxfId="6830" priority="8175" stopIfTrue="1" operator="notEqual">
      <formula>H521</formula>
    </cfRule>
  </conditionalFormatting>
  <conditionalFormatting sqref="G519">
    <cfRule type="cellIs" dxfId="6829" priority="8174" stopIfTrue="1" operator="notEqual">
      <formula>H519</formula>
    </cfRule>
  </conditionalFormatting>
  <conditionalFormatting sqref="G522">
    <cfRule type="cellIs" dxfId="6828" priority="8173" stopIfTrue="1" operator="notEqual">
      <formula>H522</formula>
    </cfRule>
  </conditionalFormatting>
  <conditionalFormatting sqref="G523">
    <cfRule type="cellIs" dxfId="6827" priority="8172" stopIfTrue="1" operator="notEqual">
      <formula>H523</formula>
    </cfRule>
  </conditionalFormatting>
  <conditionalFormatting sqref="G524">
    <cfRule type="cellIs" dxfId="6826" priority="8171" stopIfTrue="1" operator="notEqual">
      <formula>H524</formula>
    </cfRule>
  </conditionalFormatting>
  <conditionalFormatting sqref="O516 M516 G516 K516 S516 U516 W516 I516 Q516">
    <cfRule type="cellIs" dxfId="6825" priority="8170" stopIfTrue="1" operator="notEqual">
      <formula>H516</formula>
    </cfRule>
  </conditionalFormatting>
  <conditionalFormatting sqref="O517 M517 G517 K517 S517 U517 W517 I517 Q517">
    <cfRule type="cellIs" dxfId="6824" priority="8169" stopIfTrue="1" operator="notEqual">
      <formula>H517</formula>
    </cfRule>
  </conditionalFormatting>
  <conditionalFormatting sqref="O518 M518 G518 K518 S518 U518 W518 I518 Q518">
    <cfRule type="cellIs" dxfId="6823" priority="8168" stopIfTrue="1" operator="notEqual">
      <formula>H518</formula>
    </cfRule>
  </conditionalFormatting>
  <conditionalFormatting sqref="O519 M519 G519 K519 S519 U519 W519 I519 Q519">
    <cfRule type="cellIs" dxfId="6822" priority="8167" stopIfTrue="1" operator="notEqual">
      <formula>H519</formula>
    </cfRule>
  </conditionalFormatting>
  <conditionalFormatting sqref="O520 M520 G520 K520 S520 U520 W520 I520 Q520">
    <cfRule type="cellIs" dxfId="6821" priority="8166" stopIfTrue="1" operator="notEqual">
      <formula>H520</formula>
    </cfRule>
  </conditionalFormatting>
  <conditionalFormatting sqref="O521 M521 G521 K521 S521 U521 W521 I521 Q521">
    <cfRule type="cellIs" dxfId="6820" priority="8165" stopIfTrue="1" operator="notEqual">
      <formula>H521</formula>
    </cfRule>
  </conditionalFormatting>
  <conditionalFormatting sqref="O522 M522 G522 K522 S522 U522 W522 I522 Q522">
    <cfRule type="cellIs" dxfId="6819" priority="8164" stopIfTrue="1" operator="notEqual">
      <formula>H522</formula>
    </cfRule>
  </conditionalFormatting>
  <conditionalFormatting sqref="O523 M523 G523 K523 S523 U523 W523 I523 Q523">
    <cfRule type="cellIs" dxfId="6818" priority="8163" stopIfTrue="1" operator="notEqual">
      <formula>H523</formula>
    </cfRule>
  </conditionalFormatting>
  <conditionalFormatting sqref="O524 M524 G524 K524 S524 U524 W524 I524 Q524">
    <cfRule type="cellIs" dxfId="6817" priority="8162" stopIfTrue="1" operator="notEqual">
      <formula>H524</formula>
    </cfRule>
  </conditionalFormatting>
  <conditionalFormatting sqref="G516">
    <cfRule type="cellIs" dxfId="6816" priority="8161" stopIfTrue="1" operator="notEqual">
      <formula>H516</formula>
    </cfRule>
  </conditionalFormatting>
  <conditionalFormatting sqref="G517">
    <cfRule type="cellIs" dxfId="6815" priority="8160" stopIfTrue="1" operator="notEqual">
      <formula>H517</formula>
    </cfRule>
  </conditionalFormatting>
  <conditionalFormatting sqref="G518">
    <cfRule type="cellIs" dxfId="6814" priority="8159" stopIfTrue="1" operator="notEqual">
      <formula>H518</formula>
    </cfRule>
  </conditionalFormatting>
  <conditionalFormatting sqref="G519">
    <cfRule type="cellIs" dxfId="6813" priority="8158" stopIfTrue="1" operator="notEqual">
      <formula>H519</formula>
    </cfRule>
  </conditionalFormatting>
  <conditionalFormatting sqref="G520">
    <cfRule type="cellIs" dxfId="6812" priority="8157" stopIfTrue="1" operator="notEqual">
      <formula>H520</formula>
    </cfRule>
  </conditionalFormatting>
  <conditionalFormatting sqref="G521">
    <cfRule type="cellIs" dxfId="6811" priority="8156" stopIfTrue="1" operator="notEqual">
      <formula>H521</formula>
    </cfRule>
  </conditionalFormatting>
  <conditionalFormatting sqref="G522">
    <cfRule type="cellIs" dxfId="6810" priority="8155" stopIfTrue="1" operator="notEqual">
      <formula>H522</formula>
    </cfRule>
  </conditionalFormatting>
  <conditionalFormatting sqref="G523">
    <cfRule type="cellIs" dxfId="6809" priority="8154" stopIfTrue="1" operator="notEqual">
      <formula>H523</formula>
    </cfRule>
  </conditionalFormatting>
  <conditionalFormatting sqref="G524">
    <cfRule type="cellIs" dxfId="6808" priority="8153" stopIfTrue="1" operator="notEqual">
      <formula>H524</formula>
    </cfRule>
  </conditionalFormatting>
  <conditionalFormatting sqref="G516">
    <cfRule type="cellIs" dxfId="6807" priority="8152" stopIfTrue="1" operator="notEqual">
      <formula>H516</formula>
    </cfRule>
  </conditionalFormatting>
  <conditionalFormatting sqref="G516">
    <cfRule type="cellIs" dxfId="6806" priority="8151" stopIfTrue="1" operator="notEqual">
      <formula>H516</formula>
    </cfRule>
  </conditionalFormatting>
  <conditionalFormatting sqref="G516">
    <cfRule type="cellIs" dxfId="6805" priority="8150" stopIfTrue="1" operator="notEqual">
      <formula>H516</formula>
    </cfRule>
  </conditionalFormatting>
  <conditionalFormatting sqref="G516">
    <cfRule type="cellIs" dxfId="6804" priority="8149" stopIfTrue="1" operator="notEqual">
      <formula>H516</formula>
    </cfRule>
  </conditionalFormatting>
  <conditionalFormatting sqref="G516">
    <cfRule type="cellIs" dxfId="6803" priority="8148" stopIfTrue="1" operator="notEqual">
      <formula>H516</formula>
    </cfRule>
  </conditionalFormatting>
  <conditionalFormatting sqref="G516">
    <cfRule type="cellIs" dxfId="6802" priority="8147" stopIfTrue="1" operator="notEqual">
      <formula>H516</formula>
    </cfRule>
  </conditionalFormatting>
  <conditionalFormatting sqref="O516 M516 G516 K516 S516 U516 W516 I516 Q516">
    <cfRule type="cellIs" dxfId="6801" priority="8146" stopIfTrue="1" operator="notEqual">
      <formula>H516</formula>
    </cfRule>
  </conditionalFormatting>
  <conditionalFormatting sqref="O517 M517 G517 K517 S517 U517 W517 I517 Q517">
    <cfRule type="cellIs" dxfId="6800" priority="8145" stopIfTrue="1" operator="notEqual">
      <formula>H517</formula>
    </cfRule>
  </conditionalFormatting>
  <conditionalFormatting sqref="O518 M518 G518 K518 S518 U518 W518 I518 Q518">
    <cfRule type="cellIs" dxfId="6799" priority="8144" stopIfTrue="1" operator="notEqual">
      <formula>H518</formula>
    </cfRule>
  </conditionalFormatting>
  <conditionalFormatting sqref="O519 M519 G519 K519 S519 U519 W519 I519 Q519">
    <cfRule type="cellIs" dxfId="6798" priority="8143" stopIfTrue="1" operator="notEqual">
      <formula>H519</formula>
    </cfRule>
  </conditionalFormatting>
  <conditionalFormatting sqref="O520 M520 G520 K520 S520 U520 W520 I520 Q520">
    <cfRule type="cellIs" dxfId="6797" priority="8142" stopIfTrue="1" operator="notEqual">
      <formula>H520</formula>
    </cfRule>
  </conditionalFormatting>
  <conditionalFormatting sqref="O521 M521 G521 K521 S521 U521 W521 I521 Q521">
    <cfRule type="cellIs" dxfId="6796" priority="8141" stopIfTrue="1" operator="notEqual">
      <formula>H521</formula>
    </cfRule>
  </conditionalFormatting>
  <conditionalFormatting sqref="O522 M522 G522 K522 S522 U522 W522 I522 Q522">
    <cfRule type="cellIs" dxfId="6795" priority="8140" stopIfTrue="1" operator="notEqual">
      <formula>H522</formula>
    </cfRule>
  </conditionalFormatting>
  <conditionalFormatting sqref="O523 M523 G523 K523 S523 U523 W523 I523 Q523">
    <cfRule type="cellIs" dxfId="6794" priority="8139" stopIfTrue="1" operator="notEqual">
      <formula>H523</formula>
    </cfRule>
  </conditionalFormatting>
  <conditionalFormatting sqref="O524 M524 G524 K524 S524 U524 W524 I524 Q524">
    <cfRule type="cellIs" dxfId="6793" priority="8138" stopIfTrue="1" operator="notEqual">
      <formula>H524</formula>
    </cfRule>
  </conditionalFormatting>
  <conditionalFormatting sqref="O516 M516 G516 K516 S516 U516 W516 I516 Q516">
    <cfRule type="cellIs" dxfId="6792" priority="8137" stopIfTrue="1" operator="notEqual">
      <formula>H516</formula>
    </cfRule>
  </conditionalFormatting>
  <conditionalFormatting sqref="O517 M517 G517 K517 S517 U517 W517 I517 Q517">
    <cfRule type="cellIs" dxfId="6791" priority="8136" stopIfTrue="1" operator="notEqual">
      <formula>H517</formula>
    </cfRule>
  </conditionalFormatting>
  <conditionalFormatting sqref="O518 M518 G518 K518 S518 U518 W518 I518 Q518">
    <cfRule type="cellIs" dxfId="6790" priority="8135" stopIfTrue="1" operator="notEqual">
      <formula>H518</formula>
    </cfRule>
  </conditionalFormatting>
  <conditionalFormatting sqref="O516 M516 G516 K516 S516 U516 W516 I516 Q516">
    <cfRule type="cellIs" dxfId="6789" priority="8134" stopIfTrue="1" operator="notEqual">
      <formula>H516</formula>
    </cfRule>
  </conditionalFormatting>
  <conditionalFormatting sqref="O519 M519 G519 K519 S519 U519 W519 I519 Q519">
    <cfRule type="cellIs" dxfId="6788" priority="8133" stopIfTrue="1" operator="notEqual">
      <formula>H519</formula>
    </cfRule>
  </conditionalFormatting>
  <conditionalFormatting sqref="O520 M520 G520 K520 S520 U520 W520 I520 Q520">
    <cfRule type="cellIs" dxfId="6787" priority="8132" stopIfTrue="1" operator="notEqual">
      <formula>H520</formula>
    </cfRule>
  </conditionalFormatting>
  <conditionalFormatting sqref="O521 M521 G521 K521 S521 U521 W521 I521 Q521">
    <cfRule type="cellIs" dxfId="6786" priority="8131" stopIfTrue="1" operator="notEqual">
      <formula>H521</formula>
    </cfRule>
  </conditionalFormatting>
  <conditionalFormatting sqref="O522 M522 G522 K522 S522 U522 W522 I522 Q522">
    <cfRule type="cellIs" dxfId="6785" priority="8130" stopIfTrue="1" operator="notEqual">
      <formula>H522</formula>
    </cfRule>
  </conditionalFormatting>
  <conditionalFormatting sqref="O523 M523 G523 K523 S523 U523 W523 I523 Q523">
    <cfRule type="cellIs" dxfId="6784" priority="8129" stopIfTrue="1" operator="notEqual">
      <formula>H523</formula>
    </cfRule>
  </conditionalFormatting>
  <conditionalFormatting sqref="O524 M524 G524 K524 S524 U524 W524 I524 Q524">
    <cfRule type="cellIs" dxfId="6783" priority="8128" stopIfTrue="1" operator="notEqual">
      <formula>H524</formula>
    </cfRule>
  </conditionalFormatting>
  <conditionalFormatting sqref="G519:G524">
    <cfRule type="cellIs" dxfId="6782" priority="8127" stopIfTrue="1" operator="notEqual">
      <formula>H519</formula>
    </cfRule>
  </conditionalFormatting>
  <conditionalFormatting sqref="G505">
    <cfRule type="cellIs" dxfId="6781" priority="8126" stopIfTrue="1" operator="notEqual">
      <formula>H505</formula>
    </cfRule>
  </conditionalFormatting>
  <conditionalFormatting sqref="G506">
    <cfRule type="cellIs" dxfId="6780" priority="8125" stopIfTrue="1" operator="notEqual">
      <formula>H506</formula>
    </cfRule>
  </conditionalFormatting>
  <conditionalFormatting sqref="G507:G526">
    <cfRule type="cellIs" dxfId="6779" priority="8124" stopIfTrue="1" operator="notEqual">
      <formula>H507</formula>
    </cfRule>
  </conditionalFormatting>
  <conditionalFormatting sqref="G508">
    <cfRule type="cellIs" dxfId="6778" priority="8123" stopIfTrue="1" operator="notEqual">
      <formula>H508</formula>
    </cfRule>
  </conditionalFormatting>
  <conditionalFormatting sqref="G509">
    <cfRule type="cellIs" dxfId="6777" priority="8122" stopIfTrue="1" operator="notEqual">
      <formula>H509</formula>
    </cfRule>
  </conditionalFormatting>
  <conditionalFormatting sqref="G510">
    <cfRule type="cellIs" dxfId="6776" priority="8121" stopIfTrue="1" operator="notEqual">
      <formula>H510</formula>
    </cfRule>
  </conditionalFormatting>
  <conditionalFormatting sqref="G511">
    <cfRule type="cellIs" dxfId="6775" priority="8120" stopIfTrue="1" operator="notEqual">
      <formula>H511</formula>
    </cfRule>
  </conditionalFormatting>
  <conditionalFormatting sqref="G512">
    <cfRule type="cellIs" dxfId="6774" priority="8119" stopIfTrue="1" operator="notEqual">
      <formula>H512</formula>
    </cfRule>
  </conditionalFormatting>
  <conditionalFormatting sqref="G513">
    <cfRule type="cellIs" dxfId="6773" priority="8118" stopIfTrue="1" operator="notEqual">
      <formula>H513</formula>
    </cfRule>
  </conditionalFormatting>
  <conditionalFormatting sqref="G514">
    <cfRule type="cellIs" dxfId="6772" priority="8117" stopIfTrue="1" operator="notEqual">
      <formula>H514</formula>
    </cfRule>
  </conditionalFormatting>
  <conditionalFormatting sqref="G515">
    <cfRule type="cellIs" dxfId="6771" priority="8116" stopIfTrue="1" operator="notEqual">
      <formula>H515</formula>
    </cfRule>
  </conditionalFormatting>
  <conditionalFormatting sqref="G516">
    <cfRule type="cellIs" dxfId="6770" priority="8115" stopIfTrue="1" operator="notEqual">
      <formula>H516</formula>
    </cfRule>
  </conditionalFormatting>
  <conditionalFormatting sqref="G517">
    <cfRule type="cellIs" dxfId="6769" priority="8114" stopIfTrue="1" operator="notEqual">
      <formula>H517</formula>
    </cfRule>
  </conditionalFormatting>
  <conditionalFormatting sqref="G518">
    <cfRule type="cellIs" dxfId="6768" priority="8113" stopIfTrue="1" operator="notEqual">
      <formula>H518</formula>
    </cfRule>
  </conditionalFormatting>
  <conditionalFormatting sqref="G505">
    <cfRule type="cellIs" dxfId="6767" priority="8112" stopIfTrue="1" operator="notEqual">
      <formula>H505</formula>
    </cfRule>
  </conditionalFormatting>
  <conditionalFormatting sqref="G505">
    <cfRule type="cellIs" dxfId="6766" priority="8111" stopIfTrue="1" operator="notEqual">
      <formula>H505</formula>
    </cfRule>
  </conditionalFormatting>
  <conditionalFormatting sqref="G505">
    <cfRule type="cellIs" dxfId="6765" priority="8110" stopIfTrue="1" operator="notEqual">
      <formula>H505</formula>
    </cfRule>
  </conditionalFormatting>
  <conditionalFormatting sqref="G505">
    <cfRule type="cellIs" dxfId="6764" priority="8109" stopIfTrue="1" operator="notEqual">
      <formula>H505</formula>
    </cfRule>
  </conditionalFormatting>
  <conditionalFormatting sqref="G505">
    <cfRule type="cellIs" dxfId="6763" priority="8108" stopIfTrue="1" operator="notEqual">
      <formula>H505</formula>
    </cfRule>
  </conditionalFormatting>
  <conditionalFormatting sqref="G505">
    <cfRule type="cellIs" dxfId="6762" priority="8107" stopIfTrue="1" operator="notEqual">
      <formula>H505</formula>
    </cfRule>
  </conditionalFormatting>
  <conditionalFormatting sqref="G521">
    <cfRule type="cellIs" dxfId="6761" priority="8106" stopIfTrue="1" operator="notEqual">
      <formula>H521</formula>
    </cfRule>
  </conditionalFormatting>
  <conditionalFormatting sqref="G522">
    <cfRule type="cellIs" dxfId="6760" priority="8105" stopIfTrue="1" operator="notEqual">
      <formula>H522</formula>
    </cfRule>
  </conditionalFormatting>
  <conditionalFormatting sqref="G522">
    <cfRule type="cellIs" dxfId="6759" priority="8104" stopIfTrue="1" operator="notEqual">
      <formula>H522</formula>
    </cfRule>
  </conditionalFormatting>
  <conditionalFormatting sqref="G520">
    <cfRule type="cellIs" dxfId="6758" priority="8103" stopIfTrue="1" operator="notEqual">
      <formula>H520</formula>
    </cfRule>
  </conditionalFormatting>
  <conditionalFormatting sqref="G524">
    <cfRule type="cellIs" dxfId="6757" priority="8102" stopIfTrue="1" operator="notEqual">
      <formula>H524</formula>
    </cfRule>
  </conditionalFormatting>
  <conditionalFormatting sqref="O515:O520 M515:M520 G515:G520 K515:K520 S515:S520 U515:U520 W515:W520 I515:I520 Q515:Q520">
    <cfRule type="cellIs" dxfId="6756" priority="8101" stopIfTrue="1" operator="notEqual">
      <formula>H515</formula>
    </cfRule>
  </conditionalFormatting>
  <conditionalFormatting sqref="O505 M505 G505 K505 S505 U505 W505 I505 Q505">
    <cfRule type="cellIs" dxfId="6755" priority="8100" stopIfTrue="1" operator="notEqual">
      <formula>H505</formula>
    </cfRule>
  </conditionalFormatting>
  <conditionalFormatting sqref="O506 M506 G506 K506 S506 U506 W506 I506 Q506">
    <cfRule type="cellIs" dxfId="6754" priority="8099" stopIfTrue="1" operator="notEqual">
      <formula>H506</formula>
    </cfRule>
  </conditionalFormatting>
  <conditionalFormatting sqref="O507:O526 M507:M526 G507:G526 K507:K526 S507:S526 U507:U526 W507:W526 I507:I526 Q507:Q526">
    <cfRule type="cellIs" dxfId="6753" priority="8098" stopIfTrue="1" operator="notEqual">
      <formula>H507</formula>
    </cfRule>
  </conditionalFormatting>
  <conditionalFormatting sqref="O508 M508 G508 K508 S508 U508 W508 I508 Q508">
    <cfRule type="cellIs" dxfId="6752" priority="8097" stopIfTrue="1" operator="notEqual">
      <formula>H508</formula>
    </cfRule>
  </conditionalFormatting>
  <conditionalFormatting sqref="O509 M509 G509 K509 S509 U509 W509 I509 Q509">
    <cfRule type="cellIs" dxfId="6751" priority="8096" stopIfTrue="1" operator="notEqual">
      <formula>H509</formula>
    </cfRule>
  </conditionalFormatting>
  <conditionalFormatting sqref="O510 M510 G510 K510 S510 U510 W510 I510 Q510">
    <cfRule type="cellIs" dxfId="6750" priority="8095" stopIfTrue="1" operator="notEqual">
      <formula>H510</formula>
    </cfRule>
  </conditionalFormatting>
  <conditionalFormatting sqref="O511 M511 G511 K511 S511 U511 W511 I511 Q511">
    <cfRule type="cellIs" dxfId="6749" priority="8094" stopIfTrue="1" operator="notEqual">
      <formula>H511</formula>
    </cfRule>
  </conditionalFormatting>
  <conditionalFormatting sqref="O512 M512 G512 K512 S512 U512 W512 I512 Q512">
    <cfRule type="cellIs" dxfId="6748" priority="8093" stopIfTrue="1" operator="notEqual">
      <formula>H512</formula>
    </cfRule>
  </conditionalFormatting>
  <conditionalFormatting sqref="O513 M513 G513 K513 S513 U513 W513 I513 Q513">
    <cfRule type="cellIs" dxfId="6747" priority="8092" stopIfTrue="1" operator="notEqual">
      <formula>H513</formula>
    </cfRule>
  </conditionalFormatting>
  <conditionalFormatting sqref="O514 M514 G514 K514 S514 U514 W514 I514 Q514">
    <cfRule type="cellIs" dxfId="6746" priority="8091" stopIfTrue="1" operator="notEqual">
      <formula>H514</formula>
    </cfRule>
  </conditionalFormatting>
  <conditionalFormatting sqref="O517 M517 G517 K517 S517 U517 W517 I517 Q517">
    <cfRule type="cellIs" dxfId="6745" priority="8090" stopIfTrue="1" operator="notEqual">
      <formula>H517</formula>
    </cfRule>
  </conditionalFormatting>
  <conditionalFormatting sqref="O518 M518 G518 K518 S518 U518 W518 I518 Q518">
    <cfRule type="cellIs" dxfId="6744" priority="8089" stopIfTrue="1" operator="notEqual">
      <formula>H518</formula>
    </cfRule>
  </conditionalFormatting>
  <conditionalFormatting sqref="O518 M518 G518 K518 S518 U518 W518 I518 Q518">
    <cfRule type="cellIs" dxfId="6743" priority="8088" stopIfTrue="1" operator="notEqual">
      <formula>H518</formula>
    </cfRule>
  </conditionalFormatting>
  <conditionalFormatting sqref="O516 M516 G516 K516 S516 U516 W516 I516 Q516">
    <cfRule type="cellIs" dxfId="6742" priority="8087" stopIfTrue="1" operator="notEqual">
      <formula>H516</formula>
    </cfRule>
  </conditionalFormatting>
  <conditionalFormatting sqref="O521 M521 G521 K521 S521 U521 W521 I521 Q521">
    <cfRule type="cellIs" dxfId="6741" priority="8086" stopIfTrue="1" operator="notEqual">
      <formula>H521</formula>
    </cfRule>
  </conditionalFormatting>
  <conditionalFormatting sqref="O522 M522 G522 K522 S522 U522 W522 I522 Q522">
    <cfRule type="cellIs" dxfId="6740" priority="8085" stopIfTrue="1" operator="notEqual">
      <formula>H522</formula>
    </cfRule>
  </conditionalFormatting>
  <conditionalFormatting sqref="O520 M520 G520 K520 S520 U520 W520 I520 Q520">
    <cfRule type="cellIs" dxfId="6739" priority="8084" stopIfTrue="1" operator="notEqual">
      <formula>H520</formula>
    </cfRule>
  </conditionalFormatting>
  <conditionalFormatting sqref="O523 M523 G523 K523 S523 U523 W523 I523 Q523">
    <cfRule type="cellIs" dxfId="6738" priority="8083" stopIfTrue="1" operator="notEqual">
      <formula>H523</formula>
    </cfRule>
  </conditionalFormatting>
  <conditionalFormatting sqref="O524 M524 G524 K524 S524 U524 W524 I524 Q524">
    <cfRule type="cellIs" dxfId="6737" priority="8082" stopIfTrue="1" operator="notEqual">
      <formula>H524</formula>
    </cfRule>
  </conditionalFormatting>
  <conditionalFormatting sqref="O505 M505 G505 K505 S505 U505 W505 I505 Q505">
    <cfRule type="cellIs" dxfId="6736" priority="8081" stopIfTrue="1" operator="notEqual">
      <formula>H505</formula>
    </cfRule>
  </conditionalFormatting>
  <conditionalFormatting sqref="O506 M506 G506 K506 S506 U506 W506 I506 Q506">
    <cfRule type="cellIs" dxfId="6735" priority="8080" stopIfTrue="1" operator="notEqual">
      <formula>H506</formula>
    </cfRule>
  </conditionalFormatting>
  <conditionalFormatting sqref="O507:O526 M507:M526 G507:G526 K507:K526 S507:S526 U507:U526 W507:W526 I507:I526 Q507:Q526">
    <cfRule type="cellIs" dxfId="6734" priority="8079" stopIfTrue="1" operator="notEqual">
      <formula>H507</formula>
    </cfRule>
  </conditionalFormatting>
  <conditionalFormatting sqref="O505 M505 G505 K505 S505 U505 W505 I505 Q505">
    <cfRule type="cellIs" dxfId="6733" priority="8078" stopIfTrue="1" operator="notEqual">
      <formula>H505</formula>
    </cfRule>
  </conditionalFormatting>
  <conditionalFormatting sqref="O508 M508 G508 K508 S508 U508 W508 I508 Q508">
    <cfRule type="cellIs" dxfId="6732" priority="8077" stopIfTrue="1" operator="notEqual">
      <formula>H508</formula>
    </cfRule>
  </conditionalFormatting>
  <conditionalFormatting sqref="O509 M509 G509 K509 S509 U509 W509 I509 Q509">
    <cfRule type="cellIs" dxfId="6731" priority="8076" stopIfTrue="1" operator="notEqual">
      <formula>H509</formula>
    </cfRule>
  </conditionalFormatting>
  <conditionalFormatting sqref="O510 M510 G510 K510 S510 U510 W510 I510 Q510">
    <cfRule type="cellIs" dxfId="6730" priority="8075" stopIfTrue="1" operator="notEqual">
      <formula>H510</formula>
    </cfRule>
  </conditionalFormatting>
  <conditionalFormatting sqref="O511 M511 G511 K511 S511 U511 W511 I511 Q511">
    <cfRule type="cellIs" dxfId="6729" priority="8074" stopIfTrue="1" operator="notEqual">
      <formula>H511</formula>
    </cfRule>
  </conditionalFormatting>
  <conditionalFormatting sqref="O512 M512 G512 K512 S512 U512 W512 I512 Q512">
    <cfRule type="cellIs" dxfId="6728" priority="8073" stopIfTrue="1" operator="notEqual">
      <formula>H512</formula>
    </cfRule>
  </conditionalFormatting>
  <conditionalFormatting sqref="O513 M513 G513 K513 S513 U513 W513 I513 Q513">
    <cfRule type="cellIs" dxfId="6727" priority="8072" stopIfTrue="1" operator="notEqual">
      <formula>H513</formula>
    </cfRule>
  </conditionalFormatting>
  <conditionalFormatting sqref="O514 M514 G514 K514 S514 U514 W514 I514 Q514">
    <cfRule type="cellIs" dxfId="6726" priority="8071" stopIfTrue="1" operator="notEqual">
      <formula>H514</formula>
    </cfRule>
  </conditionalFormatting>
  <conditionalFormatting sqref="O515 M515 G515 K515 S515 U515 W515 I515 Q515">
    <cfRule type="cellIs" dxfId="6725" priority="8070" stopIfTrue="1" operator="notEqual">
      <formula>H515</formula>
    </cfRule>
  </conditionalFormatting>
  <conditionalFormatting sqref="O516 M516 G516 K516 S516 U516 W516 I516 Q516">
    <cfRule type="cellIs" dxfId="6724" priority="8069" stopIfTrue="1" operator="notEqual">
      <formula>H516</formula>
    </cfRule>
  </conditionalFormatting>
  <conditionalFormatting sqref="O517 M517 G517 K517 S517 U517 W517 I517 Q517">
    <cfRule type="cellIs" dxfId="6723" priority="8068" stopIfTrue="1" operator="notEqual">
      <formula>H517</formula>
    </cfRule>
  </conditionalFormatting>
  <conditionalFormatting sqref="O518 M518 G518 K518 S518 U518 W518 I518 Q518">
    <cfRule type="cellIs" dxfId="6722" priority="8067" stopIfTrue="1" operator="notEqual">
      <formula>H518</formula>
    </cfRule>
  </conditionalFormatting>
  <conditionalFormatting sqref="O519 M519 G519 K519 S519 U519 W519 I519 Q519">
    <cfRule type="cellIs" dxfId="6721" priority="8066" stopIfTrue="1" operator="notEqual">
      <formula>H519</formula>
    </cfRule>
  </conditionalFormatting>
  <conditionalFormatting sqref="O520 M520 G520 K520 S520 U520 W520 I520 Q520">
    <cfRule type="cellIs" dxfId="6720" priority="8065" stopIfTrue="1" operator="notEqual">
      <formula>H520</formula>
    </cfRule>
  </conditionalFormatting>
  <conditionalFormatting sqref="G521">
    <cfRule type="cellIs" dxfId="6719" priority="8064" stopIfTrue="1" operator="notEqual">
      <formula>H521</formula>
    </cfRule>
  </conditionalFormatting>
  <conditionalFormatting sqref="G522">
    <cfRule type="cellIs" dxfId="6718" priority="8063" stopIfTrue="1" operator="notEqual">
      <formula>H522</formula>
    </cfRule>
  </conditionalFormatting>
  <conditionalFormatting sqref="G523">
    <cfRule type="cellIs" dxfId="6717" priority="8062" stopIfTrue="1" operator="notEqual">
      <formula>H523</formula>
    </cfRule>
  </conditionalFormatting>
  <conditionalFormatting sqref="G524">
    <cfRule type="cellIs" dxfId="6716" priority="8061" stopIfTrue="1" operator="notEqual">
      <formula>H524</formula>
    </cfRule>
  </conditionalFormatting>
  <conditionalFormatting sqref="G521">
    <cfRule type="cellIs" dxfId="6715" priority="8060" stopIfTrue="1" operator="notEqual">
      <formula>H521</formula>
    </cfRule>
  </conditionalFormatting>
  <conditionalFormatting sqref="G521">
    <cfRule type="cellIs" dxfId="6714" priority="8059" stopIfTrue="1" operator="notEqual">
      <formula>H521</formula>
    </cfRule>
  </conditionalFormatting>
  <conditionalFormatting sqref="G521">
    <cfRule type="cellIs" dxfId="6713" priority="8058" stopIfTrue="1" operator="notEqual">
      <formula>H521</formula>
    </cfRule>
  </conditionalFormatting>
  <conditionalFormatting sqref="G521">
    <cfRule type="cellIs" dxfId="6712" priority="8057" stopIfTrue="1" operator="notEqual">
      <formula>H521</formula>
    </cfRule>
  </conditionalFormatting>
  <conditionalFormatting sqref="G521">
    <cfRule type="cellIs" dxfId="6711" priority="8056" stopIfTrue="1" operator="notEqual">
      <formula>H521</formula>
    </cfRule>
  </conditionalFormatting>
  <conditionalFormatting sqref="G521">
    <cfRule type="cellIs" dxfId="6710" priority="8055" stopIfTrue="1" operator="notEqual">
      <formula>H521</formula>
    </cfRule>
  </conditionalFormatting>
  <conditionalFormatting sqref="O521 M521 G521 K521 S521 U521 W521 I521 Q521">
    <cfRule type="cellIs" dxfId="6709" priority="8054" stopIfTrue="1" operator="notEqual">
      <formula>H521</formula>
    </cfRule>
  </conditionalFormatting>
  <conditionalFormatting sqref="O522 M522 G522 K522 S522 U522 W522 I522 Q522">
    <cfRule type="cellIs" dxfId="6708" priority="8053" stopIfTrue="1" operator="notEqual">
      <formula>H522</formula>
    </cfRule>
  </conditionalFormatting>
  <conditionalFormatting sqref="O523 M523 G523 K523 S523 U523 W523 I523 Q523">
    <cfRule type="cellIs" dxfId="6707" priority="8052" stopIfTrue="1" operator="notEqual">
      <formula>H523</formula>
    </cfRule>
  </conditionalFormatting>
  <conditionalFormatting sqref="O524 M524 G524 K524 S524 U524 W524 I524 Q524">
    <cfRule type="cellIs" dxfId="6706" priority="8051" stopIfTrue="1" operator="notEqual">
      <formula>H524</formula>
    </cfRule>
  </conditionalFormatting>
  <conditionalFormatting sqref="O521 M521 G521 K521 S521 U521 W521 I521 Q521">
    <cfRule type="cellIs" dxfId="6705" priority="8050" stopIfTrue="1" operator="notEqual">
      <formula>H521</formula>
    </cfRule>
  </conditionalFormatting>
  <conditionalFormatting sqref="O522 M522 G522 K522 S522 U522 W522 I522 Q522">
    <cfRule type="cellIs" dxfId="6704" priority="8049" stopIfTrue="1" operator="notEqual">
      <formula>H522</formula>
    </cfRule>
  </conditionalFormatting>
  <conditionalFormatting sqref="O523 M523 G523 K523 S523 U523 W523 I523 Q523">
    <cfRule type="cellIs" dxfId="6703" priority="8048" stopIfTrue="1" operator="notEqual">
      <formula>H523</formula>
    </cfRule>
  </conditionalFormatting>
  <conditionalFormatting sqref="O521 M521 G521 K521 S521 U521 W521 I521 Q521">
    <cfRule type="cellIs" dxfId="6702" priority="8047" stopIfTrue="1" operator="notEqual">
      <formula>H521</formula>
    </cfRule>
  </conditionalFormatting>
  <conditionalFormatting sqref="O524 M524 G524 K524 S524 U524 W524 I524 Q524">
    <cfRule type="cellIs" dxfId="6701" priority="8046" stopIfTrue="1" operator="notEqual">
      <formula>H524</formula>
    </cfRule>
  </conditionalFormatting>
  <conditionalFormatting sqref="O505:O526 M505:M526 G505:G526 K505:K526 S505:S526 U505:U526 W505:W526 I505:I526 Q505:Q526">
    <cfRule type="cellIs" dxfId="6700" priority="8045" stopIfTrue="1" operator="notEqual">
      <formula>H505</formula>
    </cfRule>
  </conditionalFormatting>
  <conditionalFormatting sqref="O506 M506 G506 K506 S506 U506 W506 I506 Q506">
    <cfRule type="cellIs" dxfId="6699" priority="8044" stopIfTrue="1" operator="notEqual">
      <formula>H506</formula>
    </cfRule>
  </conditionalFormatting>
  <conditionalFormatting sqref="O507:O526 M507:M526 G507:G526 K507:K526 S507:S526 U507:U526 W507:W526 I507:I526 Q507:Q526">
    <cfRule type="cellIs" dxfId="6698" priority="8043" stopIfTrue="1" operator="notEqual">
      <formula>H507</formula>
    </cfRule>
  </conditionalFormatting>
  <conditionalFormatting sqref="O507:O526 M507:M526 G507:G526 K507:K526 S507:S526 U507:U526 W507:W526 I507:I526 Q507:Q526">
    <cfRule type="cellIs" dxfId="6697" priority="8042" stopIfTrue="1" operator="notEqual">
      <formula>H507</formula>
    </cfRule>
  </conditionalFormatting>
  <conditionalFormatting sqref="O505 M505 G505 K505 S505 U505 W505 I505 Q505">
    <cfRule type="cellIs" dxfId="6696" priority="8041" stopIfTrue="1" operator="notEqual">
      <formula>H505</formula>
    </cfRule>
  </conditionalFormatting>
  <conditionalFormatting sqref="O510 M510 G510 K510 S510 U510 W510 I510 Q510">
    <cfRule type="cellIs" dxfId="6695" priority="8040" stopIfTrue="1" operator="notEqual">
      <formula>H510</formula>
    </cfRule>
  </conditionalFormatting>
  <conditionalFormatting sqref="O511 M511 G511 K511 S511 U511 W511 I511 Q511">
    <cfRule type="cellIs" dxfId="6694" priority="8039" stopIfTrue="1" operator="notEqual">
      <formula>H511</formula>
    </cfRule>
  </conditionalFormatting>
  <conditionalFormatting sqref="O509 M509 G509 K509 S509 U509 W509 I509 Q509">
    <cfRule type="cellIs" dxfId="6693" priority="8038" stopIfTrue="1" operator="notEqual">
      <formula>H509</formula>
    </cfRule>
  </conditionalFormatting>
  <conditionalFormatting sqref="O512 M512 G512 K512 S512 U512 W512 I512 Q512">
    <cfRule type="cellIs" dxfId="6692" priority="8037" stopIfTrue="1" operator="notEqual">
      <formula>H512</formula>
    </cfRule>
  </conditionalFormatting>
  <conditionalFormatting sqref="O513 M513 G513 K513 S513 U513 W513 I513 Q513">
    <cfRule type="cellIs" dxfId="6691" priority="8036" stopIfTrue="1" operator="notEqual">
      <formula>H513</formula>
    </cfRule>
  </conditionalFormatting>
  <conditionalFormatting sqref="O514 M514 G514 K514 S514 U514 W514 I514 Q514">
    <cfRule type="cellIs" dxfId="6690" priority="8035" stopIfTrue="1" operator="notEqual">
      <formula>H514</formula>
    </cfRule>
  </conditionalFormatting>
  <conditionalFormatting sqref="O515 M515 G515 K515 S515 U515 W515 I515 Q515">
    <cfRule type="cellIs" dxfId="6689" priority="8034" stopIfTrue="1" operator="notEqual">
      <formula>H515</formula>
    </cfRule>
  </conditionalFormatting>
  <conditionalFormatting sqref="O516 M516 G516 K516 S516 U516 W516 I516 Q516">
    <cfRule type="cellIs" dxfId="6688" priority="8033" stopIfTrue="1" operator="notEqual">
      <formula>H516</formula>
    </cfRule>
  </conditionalFormatting>
  <conditionalFormatting sqref="O517 M517 G517 K517 S517 U517 W517 I517 Q517">
    <cfRule type="cellIs" dxfId="6687" priority="8032" stopIfTrue="1" operator="notEqual">
      <formula>H517</formula>
    </cfRule>
  </conditionalFormatting>
  <conditionalFormatting sqref="O518 M518 G518 K518 S518 U518 W518 I518 Q518">
    <cfRule type="cellIs" dxfId="6686" priority="8031" stopIfTrue="1" operator="notEqual">
      <formula>H518</formula>
    </cfRule>
  </conditionalFormatting>
  <conditionalFormatting sqref="O519 M519 G519 K519 S519 U519 W519 I519 Q519">
    <cfRule type="cellIs" dxfId="6685" priority="8030" stopIfTrue="1" operator="notEqual">
      <formula>H519</formula>
    </cfRule>
  </conditionalFormatting>
  <conditionalFormatting sqref="O520 M520 G520 K520 S520 U520 W520 I520 Q520">
    <cfRule type="cellIs" dxfId="6684" priority="8029" stopIfTrue="1" operator="notEqual">
      <formula>H520</formula>
    </cfRule>
  </conditionalFormatting>
  <conditionalFormatting sqref="O521 M521 G521 K521 S521 U521 W521 I521 Q521">
    <cfRule type="cellIs" dxfId="6683" priority="8028" stopIfTrue="1" operator="notEqual">
      <formula>H521</formula>
    </cfRule>
  </conditionalFormatting>
  <conditionalFormatting sqref="O522 M522 G522 K522 S522 U522 W522 I522 Q522">
    <cfRule type="cellIs" dxfId="6682" priority="8027" stopIfTrue="1" operator="notEqual">
      <formula>H522</formula>
    </cfRule>
  </conditionalFormatting>
  <conditionalFormatting sqref="O523 M523 G523 K523 S523 U523 W523 I523 Q523">
    <cfRule type="cellIs" dxfId="6681" priority="8026" stopIfTrue="1" operator="notEqual">
      <formula>H523</formula>
    </cfRule>
  </conditionalFormatting>
  <conditionalFormatting sqref="O524 M524 G524 K524 S524 U524 W524 I524 Q524">
    <cfRule type="cellIs" dxfId="6680" priority="8025" stopIfTrue="1" operator="notEqual">
      <formula>H524</formula>
    </cfRule>
  </conditionalFormatting>
  <conditionalFormatting sqref="S527">
    <cfRule type="cellIs" dxfId="6679" priority="8024" stopIfTrue="1" operator="notEqual">
      <formula>T527</formula>
    </cfRule>
  </conditionalFormatting>
  <conditionalFormatting sqref="S544:S550">
    <cfRule type="cellIs" dxfId="6678" priority="8023" stopIfTrue="1" operator="notEqual">
      <formula>T544</formula>
    </cfRule>
  </conditionalFormatting>
  <conditionalFormatting sqref="U527">
    <cfRule type="cellIs" dxfId="6677" priority="8022" stopIfTrue="1" operator="notEqual">
      <formula>V527</formula>
    </cfRule>
  </conditionalFormatting>
  <conditionalFormatting sqref="U544:U550">
    <cfRule type="cellIs" dxfId="6676" priority="8021" stopIfTrue="1" operator="notEqual">
      <formula>V544</formula>
    </cfRule>
  </conditionalFormatting>
  <conditionalFormatting sqref="Q525:Q541 U525:U541 W525:W541 G525:G541 K525:K541 M525:M541 O525:O541 S525:S541 I525:I541">
    <cfRule type="cellIs" dxfId="6675" priority="8020" stopIfTrue="1" operator="notEqual">
      <formula>H525</formula>
    </cfRule>
  </conditionalFormatting>
  <conditionalFormatting sqref="S534">
    <cfRule type="cellIs" dxfId="6674" priority="8019" stopIfTrue="1" operator="notEqual">
      <formula>T534</formula>
    </cfRule>
  </conditionalFormatting>
  <conditionalFormatting sqref="S525:S541 W525:W541 G525:G541 M525:M541 O525:O541 Q525:Q541 U525:U541 K525:K541">
    <cfRule type="cellIs" dxfId="6673" priority="8018" stopIfTrue="1" operator="notEqual">
      <formula>H525</formula>
    </cfRule>
  </conditionalFormatting>
  <conditionalFormatting sqref="U534">
    <cfRule type="cellIs" dxfId="6672" priority="8017" stopIfTrue="1" operator="notEqual">
      <formula>V534</formula>
    </cfRule>
  </conditionalFormatting>
  <conditionalFormatting sqref="I525:I541">
    <cfRule type="cellIs" dxfId="6671" priority="8016" stopIfTrue="1" operator="notEqual">
      <formula>J525</formula>
    </cfRule>
  </conditionalFormatting>
  <conditionalFormatting sqref="Q536:Q550 U536:U550 W536:W550 G536:G550 K536:K550 M536:M550 O536:O550 S536:S550 I536:I550">
    <cfRule type="cellIs" dxfId="6670" priority="8015" stopIfTrue="1" operator="notEqual">
      <formula>H536</formula>
    </cfRule>
  </conditionalFormatting>
  <conditionalFormatting sqref="S536:S550 W536:W550 G536:G550 M536:M550 O536:O550 Q536:Q550 U536:U550 K536:K550">
    <cfRule type="cellIs" dxfId="6669" priority="8014" stopIfTrue="1" operator="notEqual">
      <formula>H536</formula>
    </cfRule>
  </conditionalFormatting>
  <conditionalFormatting sqref="I536:I550">
    <cfRule type="cellIs" dxfId="6668" priority="8013" stopIfTrue="1" operator="notEqual">
      <formula>J536</formula>
    </cfRule>
  </conditionalFormatting>
  <conditionalFormatting sqref="G538">
    <cfRule type="cellIs" dxfId="6667" priority="8012" stopIfTrue="1" operator="notEqual">
      <formula>H538</formula>
    </cfRule>
  </conditionalFormatting>
  <conditionalFormatting sqref="G538">
    <cfRule type="cellIs" dxfId="6666" priority="8011" stopIfTrue="1" operator="notEqual">
      <formula>H538</formula>
    </cfRule>
  </conditionalFormatting>
  <conditionalFormatting sqref="G538">
    <cfRule type="cellIs" dxfId="6665" priority="8010" stopIfTrue="1" operator="notEqual">
      <formula>H538</formula>
    </cfRule>
  </conditionalFormatting>
  <conditionalFormatting sqref="G538">
    <cfRule type="cellIs" dxfId="6664" priority="8009" stopIfTrue="1" operator="notEqual">
      <formula>H538</formula>
    </cfRule>
  </conditionalFormatting>
  <conditionalFormatting sqref="G538">
    <cfRule type="cellIs" dxfId="6663" priority="8008" stopIfTrue="1" operator="notEqual">
      <formula>H538</formula>
    </cfRule>
  </conditionalFormatting>
  <conditionalFormatting sqref="G538">
    <cfRule type="cellIs" dxfId="6662" priority="8007" stopIfTrue="1" operator="notEqual">
      <formula>H538</formula>
    </cfRule>
  </conditionalFormatting>
  <conditionalFormatting sqref="G532:G541">
    <cfRule type="cellIs" dxfId="6661" priority="8006" stopIfTrue="1" operator="notEqual">
      <formula>H532</formula>
    </cfRule>
  </conditionalFormatting>
  <conditionalFormatting sqref="G525">
    <cfRule type="cellIs" dxfId="6660" priority="8005" stopIfTrue="1" operator="notEqual">
      <formula>H525</formula>
    </cfRule>
  </conditionalFormatting>
  <conditionalFormatting sqref="G526">
    <cfRule type="cellIs" dxfId="6659" priority="8004" stopIfTrue="1" operator="notEqual">
      <formula>H526</formula>
    </cfRule>
  </conditionalFormatting>
  <conditionalFormatting sqref="G527">
    <cfRule type="cellIs" dxfId="6658" priority="8003" stopIfTrue="1" operator="notEqual">
      <formula>H527</formula>
    </cfRule>
  </conditionalFormatting>
  <conditionalFormatting sqref="G528">
    <cfRule type="cellIs" dxfId="6657" priority="8002" stopIfTrue="1" operator="notEqual">
      <formula>H528</formula>
    </cfRule>
  </conditionalFormatting>
  <conditionalFormatting sqref="G529">
    <cfRule type="cellIs" dxfId="6656" priority="8001" stopIfTrue="1" operator="notEqual">
      <formula>H529</formula>
    </cfRule>
  </conditionalFormatting>
  <conditionalFormatting sqref="G530">
    <cfRule type="cellIs" dxfId="6655" priority="8000" stopIfTrue="1" operator="notEqual">
      <formula>H530</formula>
    </cfRule>
  </conditionalFormatting>
  <conditionalFormatting sqref="G531">
    <cfRule type="cellIs" dxfId="6654" priority="7999" stopIfTrue="1" operator="notEqual">
      <formula>H531</formula>
    </cfRule>
  </conditionalFormatting>
  <conditionalFormatting sqref="G525">
    <cfRule type="cellIs" dxfId="6653" priority="7998" stopIfTrue="1" operator="notEqual">
      <formula>H525</formula>
    </cfRule>
  </conditionalFormatting>
  <conditionalFormatting sqref="G526">
    <cfRule type="cellIs" dxfId="6652" priority="7997" stopIfTrue="1" operator="notEqual">
      <formula>H526</formula>
    </cfRule>
  </conditionalFormatting>
  <conditionalFormatting sqref="G527">
    <cfRule type="cellIs" dxfId="6651" priority="7996" stopIfTrue="1" operator="notEqual">
      <formula>H527</formula>
    </cfRule>
  </conditionalFormatting>
  <conditionalFormatting sqref="G528">
    <cfRule type="cellIs" dxfId="6650" priority="7995" stopIfTrue="1" operator="notEqual">
      <formula>H528</formula>
    </cfRule>
  </conditionalFormatting>
  <conditionalFormatting sqref="G529">
    <cfRule type="cellIs" dxfId="6649" priority="7994" stopIfTrue="1" operator="notEqual">
      <formula>H529</formula>
    </cfRule>
  </conditionalFormatting>
  <conditionalFormatting sqref="G530">
    <cfRule type="cellIs" dxfId="6648" priority="7993" stopIfTrue="1" operator="notEqual">
      <formula>H530</formula>
    </cfRule>
  </conditionalFormatting>
  <conditionalFormatting sqref="G531">
    <cfRule type="cellIs" dxfId="6647" priority="7992" stopIfTrue="1" operator="notEqual">
      <formula>H531</formula>
    </cfRule>
  </conditionalFormatting>
  <conditionalFormatting sqref="O525 M525 G525 K525 S525 U525 W525 I525 Q525">
    <cfRule type="cellIs" dxfId="6646" priority="7991" stopIfTrue="1" operator="notEqual">
      <formula>H525</formula>
    </cfRule>
  </conditionalFormatting>
  <conditionalFormatting sqref="O526 M526 G526 K526 S526 U526 W526 I526 Q526">
    <cfRule type="cellIs" dxfId="6645" priority="7990" stopIfTrue="1" operator="notEqual">
      <formula>H526</formula>
    </cfRule>
  </conditionalFormatting>
  <conditionalFormatting sqref="O527 M527 G527 K527 S527 U527 W527 I527 Q527">
    <cfRule type="cellIs" dxfId="6644" priority="7989" stopIfTrue="1" operator="notEqual">
      <formula>H527</formula>
    </cfRule>
  </conditionalFormatting>
  <conditionalFormatting sqref="O528 M528 G528 K528 S528 U528 W528 I528 Q528">
    <cfRule type="cellIs" dxfId="6643" priority="7988" stopIfTrue="1" operator="notEqual">
      <formula>H528</formula>
    </cfRule>
  </conditionalFormatting>
  <conditionalFormatting sqref="O529 M529 G529 K529 S529 U529 W529 I529 Q529">
    <cfRule type="cellIs" dxfId="6642" priority="7987" stopIfTrue="1" operator="notEqual">
      <formula>H529</formula>
    </cfRule>
  </conditionalFormatting>
  <conditionalFormatting sqref="O530 M530 G530 K530 S530 U530 W530 I530 Q530">
    <cfRule type="cellIs" dxfId="6641" priority="7986" stopIfTrue="1" operator="notEqual">
      <formula>H530</formula>
    </cfRule>
  </conditionalFormatting>
  <conditionalFormatting sqref="G530:G531">
    <cfRule type="cellIs" dxfId="6640" priority="7985" stopIfTrue="1" operator="notEqual">
      <formula>H530</formula>
    </cfRule>
  </conditionalFormatting>
  <conditionalFormatting sqref="G525">
    <cfRule type="cellIs" dxfId="6639" priority="7984" stopIfTrue="1" operator="notEqual">
      <formula>H525</formula>
    </cfRule>
  </conditionalFormatting>
  <conditionalFormatting sqref="G526">
    <cfRule type="cellIs" dxfId="6638" priority="7983" stopIfTrue="1" operator="notEqual">
      <formula>H526</formula>
    </cfRule>
  </conditionalFormatting>
  <conditionalFormatting sqref="G527">
    <cfRule type="cellIs" dxfId="6637" priority="7982" stopIfTrue="1" operator="notEqual">
      <formula>H527</formula>
    </cfRule>
  </conditionalFormatting>
  <conditionalFormatting sqref="G528">
    <cfRule type="cellIs" dxfId="6636" priority="7981" stopIfTrue="1" operator="notEqual">
      <formula>H528</formula>
    </cfRule>
  </conditionalFormatting>
  <conditionalFormatting sqref="G529">
    <cfRule type="cellIs" dxfId="6635" priority="7980" stopIfTrue="1" operator="notEqual">
      <formula>H529</formula>
    </cfRule>
  </conditionalFormatting>
  <conditionalFormatting sqref="G531">
    <cfRule type="cellIs" dxfId="6634" priority="7979" stopIfTrue="1" operator="notEqual">
      <formula>H531</formula>
    </cfRule>
  </conditionalFormatting>
  <conditionalFormatting sqref="O526:O531 M526:M531 G526:G531 K526:K531 S526:S531 U526:U531 W526:W531 I526:I531 Q526:Q531">
    <cfRule type="cellIs" dxfId="6633" priority="7978" stopIfTrue="1" operator="notEqual">
      <formula>H526</formula>
    </cfRule>
  </conditionalFormatting>
  <conditionalFormatting sqref="O525 M525 G525 K525 S525 U525 W525 I525 Q525">
    <cfRule type="cellIs" dxfId="6632" priority="7977" stopIfTrue="1" operator="notEqual">
      <formula>H525</formula>
    </cfRule>
  </conditionalFormatting>
  <conditionalFormatting sqref="O528 M528 G528 K528 S528 U528 W528 I528 Q528">
    <cfRule type="cellIs" dxfId="6631" priority="7976" stopIfTrue="1" operator="notEqual">
      <formula>H528</formula>
    </cfRule>
  </conditionalFormatting>
  <conditionalFormatting sqref="O529 M529 G529 K529 S529 U529 W529 I529 Q529">
    <cfRule type="cellIs" dxfId="6630" priority="7975" stopIfTrue="1" operator="notEqual">
      <formula>H529</formula>
    </cfRule>
  </conditionalFormatting>
  <conditionalFormatting sqref="O529 M529 G529 K529 S529 U529 W529 I529 Q529">
    <cfRule type="cellIs" dxfId="6629" priority="7974" stopIfTrue="1" operator="notEqual">
      <formula>H529</formula>
    </cfRule>
  </conditionalFormatting>
  <conditionalFormatting sqref="O527 M527 G527 K527 S527 U527 W527 I527 Q527">
    <cfRule type="cellIs" dxfId="6628" priority="7973" stopIfTrue="1" operator="notEqual">
      <formula>H527</formula>
    </cfRule>
  </conditionalFormatting>
  <conditionalFormatting sqref="O531 M531 G531 K531 S531 U531 W531 I531 Q531">
    <cfRule type="cellIs" dxfId="6627" priority="7972" stopIfTrue="1" operator="notEqual">
      <formula>H531</formula>
    </cfRule>
  </conditionalFormatting>
  <conditionalFormatting sqref="O525 M525 G525 K525 S525 U525 W525 I525 Q525">
    <cfRule type="cellIs" dxfId="6626" priority="7971" stopIfTrue="1" operator="notEqual">
      <formula>H525</formula>
    </cfRule>
  </conditionalFormatting>
  <conditionalFormatting sqref="O526 M526 G526 K526 S526 U526 W526 I526 Q526">
    <cfRule type="cellIs" dxfId="6625" priority="7970" stopIfTrue="1" operator="notEqual">
      <formula>H526</formula>
    </cfRule>
  </conditionalFormatting>
  <conditionalFormatting sqref="O527 M527 G527 K527 S527 U527 W527 I527 Q527">
    <cfRule type="cellIs" dxfId="6624" priority="7969" stopIfTrue="1" operator="notEqual">
      <formula>H527</formula>
    </cfRule>
  </conditionalFormatting>
  <conditionalFormatting sqref="O528 M528 G528 K528 S528 U528 W528 I528 Q528">
    <cfRule type="cellIs" dxfId="6623" priority="7968" stopIfTrue="1" operator="notEqual">
      <formula>H528</formula>
    </cfRule>
  </conditionalFormatting>
  <conditionalFormatting sqref="O529 M529 G529 K529 S529 U529 W529 I529 Q529">
    <cfRule type="cellIs" dxfId="6622" priority="7967" stopIfTrue="1" operator="notEqual">
      <formula>H529</formula>
    </cfRule>
  </conditionalFormatting>
  <conditionalFormatting sqref="O530 M530 G530 K530 S530 U530 W530 I530 Q530">
    <cfRule type="cellIs" dxfId="6621" priority="7966" stopIfTrue="1" operator="notEqual">
      <formula>H530</formula>
    </cfRule>
  </conditionalFormatting>
  <conditionalFormatting sqref="O531 M531 G531 K531 S531 U531 W531 I531 Q531">
    <cfRule type="cellIs" dxfId="6620" priority="7965" stopIfTrue="1" operator="notEqual">
      <formula>H531</formula>
    </cfRule>
  </conditionalFormatting>
  <conditionalFormatting sqref="G525">
    <cfRule type="cellIs" dxfId="6619" priority="7964" stopIfTrue="1" operator="notEqual">
      <formula>H525</formula>
    </cfRule>
  </conditionalFormatting>
  <conditionalFormatting sqref="G526">
    <cfRule type="cellIs" dxfId="6618" priority="7963" stopIfTrue="1" operator="notEqual">
      <formula>H526</formula>
    </cfRule>
  </conditionalFormatting>
  <conditionalFormatting sqref="G527">
    <cfRule type="cellIs" dxfId="6617" priority="7962" stopIfTrue="1" operator="notEqual">
      <formula>H527</formula>
    </cfRule>
  </conditionalFormatting>
  <conditionalFormatting sqref="G528">
    <cfRule type="cellIs" dxfId="6616" priority="7961" stopIfTrue="1" operator="notEqual">
      <formula>H528</formula>
    </cfRule>
  </conditionalFormatting>
  <conditionalFormatting sqref="G529">
    <cfRule type="cellIs" dxfId="6615" priority="7960" stopIfTrue="1" operator="notEqual">
      <formula>H529</formula>
    </cfRule>
  </conditionalFormatting>
  <conditionalFormatting sqref="G530">
    <cfRule type="cellIs" dxfId="6614" priority="7959" stopIfTrue="1" operator="notEqual">
      <formula>H530</formula>
    </cfRule>
  </conditionalFormatting>
  <conditionalFormatting sqref="G531">
    <cfRule type="cellIs" dxfId="6613" priority="7958" stopIfTrue="1" operator="notEqual">
      <formula>H531</formula>
    </cfRule>
  </conditionalFormatting>
  <conditionalFormatting sqref="G532:G541">
    <cfRule type="cellIs" dxfId="6612" priority="7957" stopIfTrue="1" operator="notEqual">
      <formula>H532</formula>
    </cfRule>
  </conditionalFormatting>
  <conditionalFormatting sqref="G533">
    <cfRule type="cellIs" dxfId="6611" priority="7956" stopIfTrue="1" operator="notEqual">
      <formula>H533</formula>
    </cfRule>
  </conditionalFormatting>
  <conditionalFormatting sqref="G534">
    <cfRule type="cellIs" dxfId="6610" priority="7955" stopIfTrue="1" operator="notEqual">
      <formula>H534</formula>
    </cfRule>
  </conditionalFormatting>
  <conditionalFormatting sqref="G535">
    <cfRule type="cellIs" dxfId="6609" priority="7954" stopIfTrue="1" operator="notEqual">
      <formula>H535</formula>
    </cfRule>
  </conditionalFormatting>
  <conditionalFormatting sqref="G536">
    <cfRule type="cellIs" dxfId="6608" priority="7953" stopIfTrue="1" operator="notEqual">
      <formula>H536</formula>
    </cfRule>
  </conditionalFormatting>
  <conditionalFormatting sqref="G537">
    <cfRule type="cellIs" dxfId="6607" priority="7952" stopIfTrue="1" operator="notEqual">
      <formula>H537</formula>
    </cfRule>
  </conditionalFormatting>
  <conditionalFormatting sqref="G538">
    <cfRule type="cellIs" dxfId="6606" priority="7951" stopIfTrue="1" operator="notEqual">
      <formula>H538</formula>
    </cfRule>
  </conditionalFormatting>
  <conditionalFormatting sqref="G539">
    <cfRule type="cellIs" dxfId="6605" priority="7950" stopIfTrue="1" operator="notEqual">
      <formula>H539</formula>
    </cfRule>
  </conditionalFormatting>
  <conditionalFormatting sqref="G540">
    <cfRule type="cellIs" dxfId="6604" priority="7949" stopIfTrue="1" operator="notEqual">
      <formula>H540</formula>
    </cfRule>
  </conditionalFormatting>
  <conditionalFormatting sqref="G541">
    <cfRule type="cellIs" dxfId="6603" priority="7948" stopIfTrue="1" operator="notEqual">
      <formula>H541</formula>
    </cfRule>
  </conditionalFormatting>
  <conditionalFormatting sqref="G542">
    <cfRule type="cellIs" dxfId="6602" priority="7947" stopIfTrue="1" operator="notEqual">
      <formula>H542</formula>
    </cfRule>
  </conditionalFormatting>
  <conditionalFormatting sqref="G543">
    <cfRule type="cellIs" dxfId="6601" priority="7946" stopIfTrue="1" operator="notEqual">
      <formula>H543</formula>
    </cfRule>
  </conditionalFormatting>
  <conditionalFormatting sqref="G544:G550">
    <cfRule type="cellIs" dxfId="6600" priority="7945" stopIfTrue="1" operator="notEqual">
      <formula>H544</formula>
    </cfRule>
  </conditionalFormatting>
  <conditionalFormatting sqref="O525 M525 G525 K525 S525 U525 W525 I525 Q525">
    <cfRule type="cellIs" dxfId="6599" priority="7944" stopIfTrue="1" operator="notEqual">
      <formula>H525</formula>
    </cfRule>
  </conditionalFormatting>
  <conditionalFormatting sqref="O526 M526 G526 K526 S526 U526 W526 I526 Q526">
    <cfRule type="cellIs" dxfId="6598" priority="7943" stopIfTrue="1" operator="notEqual">
      <formula>H526</formula>
    </cfRule>
  </conditionalFormatting>
  <conditionalFormatting sqref="O527 M527 G527 K527 S527 U527 W527 I527 Q527">
    <cfRule type="cellIs" dxfId="6597" priority="7942" stopIfTrue="1" operator="notEqual">
      <formula>H527</formula>
    </cfRule>
  </conditionalFormatting>
  <conditionalFormatting sqref="O528 M528 G528 K528 S528 U528 W528 I528 Q528">
    <cfRule type="cellIs" dxfId="6596" priority="7941" stopIfTrue="1" operator="notEqual">
      <formula>H528</formula>
    </cfRule>
  </conditionalFormatting>
  <conditionalFormatting sqref="O529 M529 G529 K529 S529 U529 W529 I529 Q529">
    <cfRule type="cellIs" dxfId="6595" priority="7940" stopIfTrue="1" operator="notEqual">
      <formula>H529</formula>
    </cfRule>
  </conditionalFormatting>
  <conditionalFormatting sqref="O530 M530 G530 K530 S530 U530 W530 I530 Q530">
    <cfRule type="cellIs" dxfId="6594" priority="7939" stopIfTrue="1" operator="notEqual">
      <formula>H530</formula>
    </cfRule>
  </conditionalFormatting>
  <conditionalFormatting sqref="O531 M531 G531 K531 S531 U531 W531 I531 Q531">
    <cfRule type="cellIs" dxfId="6593" priority="7938" stopIfTrue="1" operator="notEqual">
      <formula>H531</formula>
    </cfRule>
  </conditionalFormatting>
  <conditionalFormatting sqref="O532:O541 M532:M541 G532:G541 K532:K541 S532:S541 U532:U541 W532:W541 I532:I541 Q532:Q541">
    <cfRule type="cellIs" dxfId="6592" priority="7937" stopIfTrue="1" operator="notEqual">
      <formula>H532</formula>
    </cfRule>
  </conditionalFormatting>
  <conditionalFormatting sqref="O533 M533 G533 K533 S533 U533 W533 I533 Q533">
    <cfRule type="cellIs" dxfId="6591" priority="7936" stopIfTrue="1" operator="notEqual">
      <formula>H533</formula>
    </cfRule>
  </conditionalFormatting>
  <conditionalFormatting sqref="O534 M534 G534 K534 S534 U534 W534 I534 Q534">
    <cfRule type="cellIs" dxfId="6590" priority="7935" stopIfTrue="1" operator="notEqual">
      <formula>H534</formula>
    </cfRule>
  </conditionalFormatting>
  <conditionalFormatting sqref="O535 M535 G535 K535 S535 U535 W535 I535 Q535">
    <cfRule type="cellIs" dxfId="6589" priority="7934" stopIfTrue="1" operator="notEqual">
      <formula>H535</formula>
    </cfRule>
  </conditionalFormatting>
  <conditionalFormatting sqref="G535:G536">
    <cfRule type="cellIs" dxfId="6588" priority="7933" stopIfTrue="1" operator="notEqual">
      <formula>H535</formula>
    </cfRule>
  </conditionalFormatting>
  <conditionalFormatting sqref="G525">
    <cfRule type="cellIs" dxfId="6587" priority="7932" stopIfTrue="1" operator="notEqual">
      <formula>H525</formula>
    </cfRule>
  </conditionalFormatting>
  <conditionalFormatting sqref="G526">
    <cfRule type="cellIs" dxfId="6586" priority="7931" stopIfTrue="1" operator="notEqual">
      <formula>H526</formula>
    </cfRule>
  </conditionalFormatting>
  <conditionalFormatting sqref="G527">
    <cfRule type="cellIs" dxfId="6585" priority="7930" stopIfTrue="1" operator="notEqual">
      <formula>H527</formula>
    </cfRule>
  </conditionalFormatting>
  <conditionalFormatting sqref="G528">
    <cfRule type="cellIs" dxfId="6584" priority="7929" stopIfTrue="1" operator="notEqual">
      <formula>H528</formula>
    </cfRule>
  </conditionalFormatting>
  <conditionalFormatting sqref="G529">
    <cfRule type="cellIs" dxfId="6583" priority="7928" stopIfTrue="1" operator="notEqual">
      <formula>H529</formula>
    </cfRule>
  </conditionalFormatting>
  <conditionalFormatting sqref="G530">
    <cfRule type="cellIs" dxfId="6582" priority="7927" stopIfTrue="1" operator="notEqual">
      <formula>H530</formula>
    </cfRule>
  </conditionalFormatting>
  <conditionalFormatting sqref="G531">
    <cfRule type="cellIs" dxfId="6581" priority="7926" stopIfTrue="1" operator="notEqual">
      <formula>H531</formula>
    </cfRule>
  </conditionalFormatting>
  <conditionalFormatting sqref="G532:G541">
    <cfRule type="cellIs" dxfId="6580" priority="7925" stopIfTrue="1" operator="notEqual">
      <formula>H532</formula>
    </cfRule>
  </conditionalFormatting>
  <conditionalFormatting sqref="G533">
    <cfRule type="cellIs" dxfId="6579" priority="7924" stopIfTrue="1" operator="notEqual">
      <formula>H533</formula>
    </cfRule>
  </conditionalFormatting>
  <conditionalFormatting sqref="G534">
    <cfRule type="cellIs" dxfId="6578" priority="7923" stopIfTrue="1" operator="notEqual">
      <formula>H534</formula>
    </cfRule>
  </conditionalFormatting>
  <conditionalFormatting sqref="G536">
    <cfRule type="cellIs" dxfId="6577" priority="7922" stopIfTrue="1" operator="notEqual">
      <formula>H536</formula>
    </cfRule>
  </conditionalFormatting>
  <conditionalFormatting sqref="O531:O541 M531:M541 G531:G541 K531:K541 S531:S541 U531:U541 W531:W541 I531:I541 Q531:Q541">
    <cfRule type="cellIs" dxfId="6576" priority="7921" stopIfTrue="1" operator="notEqual">
      <formula>H531</formula>
    </cfRule>
  </conditionalFormatting>
  <conditionalFormatting sqref="O525 M525 G525 K525 S525 U525 W525 I525 Q525">
    <cfRule type="cellIs" dxfId="6575" priority="7920" stopIfTrue="1" operator="notEqual">
      <formula>H525</formula>
    </cfRule>
  </conditionalFormatting>
  <conditionalFormatting sqref="O526 M526 G526 K526 S526 U526 W526 I526 Q526">
    <cfRule type="cellIs" dxfId="6574" priority="7919" stopIfTrue="1" operator="notEqual">
      <formula>H526</formula>
    </cfRule>
  </conditionalFormatting>
  <conditionalFormatting sqref="O527 M527 G527 K527 S527 U527 W527 I527 Q527">
    <cfRule type="cellIs" dxfId="6573" priority="7918" stopIfTrue="1" operator="notEqual">
      <formula>H527</formula>
    </cfRule>
  </conditionalFormatting>
  <conditionalFormatting sqref="O528 M528 G528 K528 S528 U528 W528 I528 Q528">
    <cfRule type="cellIs" dxfId="6572" priority="7917" stopIfTrue="1" operator="notEqual">
      <formula>H528</formula>
    </cfRule>
  </conditionalFormatting>
  <conditionalFormatting sqref="O529 M529 G529 K529 S529 U529 W529 I529 Q529">
    <cfRule type="cellIs" dxfId="6571" priority="7916" stopIfTrue="1" operator="notEqual">
      <formula>H529</formula>
    </cfRule>
  </conditionalFormatting>
  <conditionalFormatting sqref="O530 M530 G530 K530 S530 U530 W530 I530 Q530">
    <cfRule type="cellIs" dxfId="6570" priority="7915" stopIfTrue="1" operator="notEqual">
      <formula>H530</formula>
    </cfRule>
  </conditionalFormatting>
  <conditionalFormatting sqref="O533 M533 G533 K533 S533 U533 W533 I533 Q533">
    <cfRule type="cellIs" dxfId="6569" priority="7914" stopIfTrue="1" operator="notEqual">
      <formula>H533</formula>
    </cfRule>
  </conditionalFormatting>
  <conditionalFormatting sqref="O534 M534 G534 K534 S534 U534 W534 I534 Q534">
    <cfRule type="cellIs" dxfId="6568" priority="7913" stopIfTrue="1" operator="notEqual">
      <formula>H534</formula>
    </cfRule>
  </conditionalFormatting>
  <conditionalFormatting sqref="O534 M534 G534 K534 S534 U534 W534 I534 Q534">
    <cfRule type="cellIs" dxfId="6567" priority="7912" stopIfTrue="1" operator="notEqual">
      <formula>H534</formula>
    </cfRule>
  </conditionalFormatting>
  <conditionalFormatting sqref="O532:O541 M532:M541 G532:G541 K532:K541 S532:S541 U532:U541 W532:W541 I532:I541 Q532:Q541">
    <cfRule type="cellIs" dxfId="6566" priority="7911" stopIfTrue="1" operator="notEqual">
      <formula>H532</formula>
    </cfRule>
  </conditionalFormatting>
  <conditionalFormatting sqref="O536 M536 G536 K536 S536 U536 W536 I536 Q536">
    <cfRule type="cellIs" dxfId="6565" priority="7910" stopIfTrue="1" operator="notEqual">
      <formula>H536</formula>
    </cfRule>
  </conditionalFormatting>
  <conditionalFormatting sqref="O525 M525 G525 K525 S525 U525 W525 I525 Q525">
    <cfRule type="cellIs" dxfId="6564" priority="7909" stopIfTrue="1" operator="notEqual">
      <formula>H525</formula>
    </cfRule>
  </conditionalFormatting>
  <conditionalFormatting sqref="O526 M526 G526 K526 S526 U526 W526 I526 Q526">
    <cfRule type="cellIs" dxfId="6563" priority="7908" stopIfTrue="1" operator="notEqual">
      <formula>H526</formula>
    </cfRule>
  </conditionalFormatting>
  <conditionalFormatting sqref="O527 M527 G527 K527 S527 U527 W527 I527 Q527">
    <cfRule type="cellIs" dxfId="6562" priority="7907" stopIfTrue="1" operator="notEqual">
      <formula>H527</formula>
    </cfRule>
  </conditionalFormatting>
  <conditionalFormatting sqref="O528 M528 G528 K528 S528 U528 W528 I528 Q528">
    <cfRule type="cellIs" dxfId="6561" priority="7906" stopIfTrue="1" operator="notEqual">
      <formula>H528</formula>
    </cfRule>
  </conditionalFormatting>
  <conditionalFormatting sqref="O529 M529 G529 K529 S529 U529 W529 I529 Q529">
    <cfRule type="cellIs" dxfId="6560" priority="7905" stopIfTrue="1" operator="notEqual">
      <formula>H529</formula>
    </cfRule>
  </conditionalFormatting>
  <conditionalFormatting sqref="O530 M530 G530 K530 S530 U530 W530 I530 Q530">
    <cfRule type="cellIs" dxfId="6559" priority="7904" stopIfTrue="1" operator="notEqual">
      <formula>H530</formula>
    </cfRule>
  </conditionalFormatting>
  <conditionalFormatting sqref="O531 M531 G531 K531 S531 U531 W531 I531 Q531">
    <cfRule type="cellIs" dxfId="6558" priority="7903" stopIfTrue="1" operator="notEqual">
      <formula>H531</formula>
    </cfRule>
  </conditionalFormatting>
  <conditionalFormatting sqref="O532:O541 M532:M541 G532:G541 K532:K541 S532:S541 U532:U541 W532:W541 I532:I541 Q532:Q541">
    <cfRule type="cellIs" dxfId="6557" priority="7902" stopIfTrue="1" operator="notEqual">
      <formula>H532</formula>
    </cfRule>
  </conditionalFormatting>
  <conditionalFormatting sqref="O533 M533 G533 K533 S533 U533 W533 I533 Q533">
    <cfRule type="cellIs" dxfId="6556" priority="7901" stopIfTrue="1" operator="notEqual">
      <formula>H533</formula>
    </cfRule>
  </conditionalFormatting>
  <conditionalFormatting sqref="O534 M534 G534 K534 S534 U534 W534 I534 Q534">
    <cfRule type="cellIs" dxfId="6555" priority="7900" stopIfTrue="1" operator="notEqual">
      <formula>H534</formula>
    </cfRule>
  </conditionalFormatting>
  <conditionalFormatting sqref="O535 M535 G535 K535 S535 U535 W535 I535 Q535">
    <cfRule type="cellIs" dxfId="6554" priority="7899" stopIfTrue="1" operator="notEqual">
      <formula>H535</formula>
    </cfRule>
  </conditionalFormatting>
  <conditionalFormatting sqref="O536 M536 G536 K536 S536 U536 W536 I536 Q536">
    <cfRule type="cellIs" dxfId="6553" priority="7898" stopIfTrue="1" operator="notEqual">
      <formula>H536</formula>
    </cfRule>
  </conditionalFormatting>
  <conditionalFormatting sqref="G536:G539">
    <cfRule type="cellIs" dxfId="6552" priority="7897" stopIfTrue="1" operator="notEqual">
      <formula>H536</formula>
    </cfRule>
  </conditionalFormatting>
  <conditionalFormatting sqref="G536">
    <cfRule type="cellIs" dxfId="6551" priority="7896" stopIfTrue="1" operator="notEqual">
      <formula>H536</formula>
    </cfRule>
  </conditionalFormatting>
  <conditionalFormatting sqref="G537">
    <cfRule type="cellIs" dxfId="6550" priority="7895" stopIfTrue="1" operator="notEqual">
      <formula>H537</formula>
    </cfRule>
  </conditionalFormatting>
  <conditionalFormatting sqref="G537">
    <cfRule type="cellIs" dxfId="6549" priority="7894" stopIfTrue="1" operator="notEqual">
      <formula>H537</formula>
    </cfRule>
  </conditionalFormatting>
  <conditionalFormatting sqref="G540">
    <cfRule type="cellIs" dxfId="6548" priority="7893" stopIfTrue="1" operator="notEqual">
      <formula>H540</formula>
    </cfRule>
  </conditionalFormatting>
  <conditionalFormatting sqref="G541">
    <cfRule type="cellIs" dxfId="6547" priority="7892" stopIfTrue="1" operator="notEqual">
      <formula>H541</formula>
    </cfRule>
  </conditionalFormatting>
  <conditionalFormatting sqref="G539">
    <cfRule type="cellIs" dxfId="6546" priority="7891" stopIfTrue="1" operator="notEqual">
      <formula>H539</formula>
    </cfRule>
  </conditionalFormatting>
  <conditionalFormatting sqref="G542">
    <cfRule type="cellIs" dxfId="6545" priority="7890" stopIfTrue="1" operator="notEqual">
      <formula>H542</formula>
    </cfRule>
  </conditionalFormatting>
  <conditionalFormatting sqref="G543">
    <cfRule type="cellIs" dxfId="6544" priority="7889" stopIfTrue="1" operator="notEqual">
      <formula>H543</formula>
    </cfRule>
  </conditionalFormatting>
  <conditionalFormatting sqref="G544:G550">
    <cfRule type="cellIs" dxfId="6543" priority="7888" stopIfTrue="1" operator="notEqual">
      <formula>H544</formula>
    </cfRule>
  </conditionalFormatting>
  <conditionalFormatting sqref="O536 M536 G536 K536 S536 U536 W536 I536 Q536">
    <cfRule type="cellIs" dxfId="6542" priority="7887" stopIfTrue="1" operator="notEqual">
      <formula>H536</formula>
    </cfRule>
  </conditionalFormatting>
  <conditionalFormatting sqref="O537 M537 G537 K537 S537 U537 W537 I537 Q537">
    <cfRule type="cellIs" dxfId="6541" priority="7886" stopIfTrue="1" operator="notEqual">
      <formula>H537</formula>
    </cfRule>
  </conditionalFormatting>
  <conditionalFormatting sqref="O538 M538 G538 K538 S538 U538 W538 I538 Q538">
    <cfRule type="cellIs" dxfId="6540" priority="7885" stopIfTrue="1" operator="notEqual">
      <formula>H538</formula>
    </cfRule>
  </conditionalFormatting>
  <conditionalFormatting sqref="O539 M539 G539 K539 S539 U539 W539 I539 Q539">
    <cfRule type="cellIs" dxfId="6539" priority="7884" stopIfTrue="1" operator="notEqual">
      <formula>H539</formula>
    </cfRule>
  </conditionalFormatting>
  <conditionalFormatting sqref="O540 M540 G540 K540 S540 U540 W540 I540 Q540">
    <cfRule type="cellIs" dxfId="6538" priority="7883" stopIfTrue="1" operator="notEqual">
      <formula>H540</formula>
    </cfRule>
  </conditionalFormatting>
  <conditionalFormatting sqref="O541 M541 G541 K541 S541 U541 W541 I541 Q541">
    <cfRule type="cellIs" dxfId="6537" priority="7882" stopIfTrue="1" operator="notEqual">
      <formula>H541</formula>
    </cfRule>
  </conditionalFormatting>
  <conditionalFormatting sqref="O542 M542 G542 K542 S542 U542 W542 I542 Q542">
    <cfRule type="cellIs" dxfId="6536" priority="7881" stopIfTrue="1" operator="notEqual">
      <formula>H542</formula>
    </cfRule>
  </conditionalFormatting>
  <conditionalFormatting sqref="O543 M543 G543 K543 S543 U543 W543 I543 Q543">
    <cfRule type="cellIs" dxfId="6535" priority="7880" stopIfTrue="1" operator="notEqual">
      <formula>H543</formula>
    </cfRule>
  </conditionalFormatting>
  <conditionalFormatting sqref="O544:O550 M544:M550 G544:G550 K544:K550 S544:S550 U544:U550 W544:W550 I544:I550 Q544:Q550">
    <cfRule type="cellIs" dxfId="6534" priority="7879" stopIfTrue="1" operator="notEqual">
      <formula>H544</formula>
    </cfRule>
  </conditionalFormatting>
  <conditionalFormatting sqref="G536">
    <cfRule type="cellIs" dxfId="6533" priority="7878" stopIfTrue="1" operator="notEqual">
      <formula>H536</formula>
    </cfRule>
  </conditionalFormatting>
  <conditionalFormatting sqref="G537">
    <cfRule type="cellIs" dxfId="6532" priority="7877" stopIfTrue="1" operator="notEqual">
      <formula>H537</formula>
    </cfRule>
  </conditionalFormatting>
  <conditionalFormatting sqref="G538">
    <cfRule type="cellIs" dxfId="6531" priority="7876" stopIfTrue="1" operator="notEqual">
      <formula>H538</formula>
    </cfRule>
  </conditionalFormatting>
  <conditionalFormatting sqref="G539">
    <cfRule type="cellIs" dxfId="6530" priority="7875" stopIfTrue="1" operator="notEqual">
      <formula>H539</formula>
    </cfRule>
  </conditionalFormatting>
  <conditionalFormatting sqref="G540">
    <cfRule type="cellIs" dxfId="6529" priority="7874" stopIfTrue="1" operator="notEqual">
      <formula>H540</formula>
    </cfRule>
  </conditionalFormatting>
  <conditionalFormatting sqref="G541">
    <cfRule type="cellIs" dxfId="6528" priority="7873" stopIfTrue="1" operator="notEqual">
      <formula>H541</formula>
    </cfRule>
  </conditionalFormatting>
  <conditionalFormatting sqref="G542">
    <cfRule type="cellIs" dxfId="6527" priority="7872" stopIfTrue="1" operator="notEqual">
      <formula>H542</formula>
    </cfRule>
  </conditionalFormatting>
  <conditionalFormatting sqref="G543">
    <cfRule type="cellIs" dxfId="6526" priority="7871" stopIfTrue="1" operator="notEqual">
      <formula>H543</formula>
    </cfRule>
  </conditionalFormatting>
  <conditionalFormatting sqref="G544:G550">
    <cfRule type="cellIs" dxfId="6525" priority="7870" stopIfTrue="1" operator="notEqual">
      <formula>H544</formula>
    </cfRule>
  </conditionalFormatting>
  <conditionalFormatting sqref="G536">
    <cfRule type="cellIs" dxfId="6524" priority="7869" stopIfTrue="1" operator="notEqual">
      <formula>H536</formula>
    </cfRule>
  </conditionalFormatting>
  <conditionalFormatting sqref="G536">
    <cfRule type="cellIs" dxfId="6523" priority="7868" stopIfTrue="1" operator="notEqual">
      <formula>H536</formula>
    </cfRule>
  </conditionalFormatting>
  <conditionalFormatting sqref="G536">
    <cfRule type="cellIs" dxfId="6522" priority="7867" stopIfTrue="1" operator="notEqual">
      <formula>H536</formula>
    </cfRule>
  </conditionalFormatting>
  <conditionalFormatting sqref="G536">
    <cfRule type="cellIs" dxfId="6521" priority="7866" stopIfTrue="1" operator="notEqual">
      <formula>H536</formula>
    </cfRule>
  </conditionalFormatting>
  <conditionalFormatting sqref="G536">
    <cfRule type="cellIs" dxfId="6520" priority="7865" stopIfTrue="1" operator="notEqual">
      <formula>H536</formula>
    </cfRule>
  </conditionalFormatting>
  <conditionalFormatting sqref="G536">
    <cfRule type="cellIs" dxfId="6519" priority="7864" stopIfTrue="1" operator="notEqual">
      <formula>H536</formula>
    </cfRule>
  </conditionalFormatting>
  <conditionalFormatting sqref="O536 M536 G536 K536 S536 U536 W536 I536 Q536">
    <cfRule type="cellIs" dxfId="6518" priority="7863" stopIfTrue="1" operator="notEqual">
      <formula>H536</formula>
    </cfRule>
  </conditionalFormatting>
  <conditionalFormatting sqref="O537 M537 G537 K537 S537 U537 W537 I537 Q537">
    <cfRule type="cellIs" dxfId="6517" priority="7862" stopIfTrue="1" operator="notEqual">
      <formula>H537</formula>
    </cfRule>
  </conditionalFormatting>
  <conditionalFormatting sqref="O538 M538 G538 K538 S538 U538 W538 I538 Q538">
    <cfRule type="cellIs" dxfId="6516" priority="7861" stopIfTrue="1" operator="notEqual">
      <formula>H538</formula>
    </cfRule>
  </conditionalFormatting>
  <conditionalFormatting sqref="O539 M539 G539 K539 S539 U539 W539 I539 Q539">
    <cfRule type="cellIs" dxfId="6515" priority="7860" stopIfTrue="1" operator="notEqual">
      <formula>H539</formula>
    </cfRule>
  </conditionalFormatting>
  <conditionalFormatting sqref="O540 M540 G540 K540 S540 U540 W540 I540 Q540">
    <cfRule type="cellIs" dxfId="6514" priority="7859" stopIfTrue="1" operator="notEqual">
      <formula>H540</formula>
    </cfRule>
  </conditionalFormatting>
  <conditionalFormatting sqref="O541 M541 G541 K541 S541 U541 W541 I541 Q541">
    <cfRule type="cellIs" dxfId="6513" priority="7858" stopIfTrue="1" operator="notEqual">
      <formula>H541</formula>
    </cfRule>
  </conditionalFormatting>
  <conditionalFormatting sqref="O542 M542 G542 K542 S542 U542 W542 I542 Q542">
    <cfRule type="cellIs" dxfId="6512" priority="7857" stopIfTrue="1" operator="notEqual">
      <formula>H542</formula>
    </cfRule>
  </conditionalFormatting>
  <conditionalFormatting sqref="O543 M543 G543 K543 S543 U543 W543 I543 Q543">
    <cfRule type="cellIs" dxfId="6511" priority="7856" stopIfTrue="1" operator="notEqual">
      <formula>H543</formula>
    </cfRule>
  </conditionalFormatting>
  <conditionalFormatting sqref="O544:O550 M544:M550 G544:G550 K544:K550 S544:S550 U544:U550 W544:W550 I544:I550 Q544:Q550">
    <cfRule type="cellIs" dxfId="6510" priority="7855" stopIfTrue="1" operator="notEqual">
      <formula>H544</formula>
    </cfRule>
  </conditionalFormatting>
  <conditionalFormatting sqref="O536 M536 G536 K536 S536 U536 W536 I536 Q536">
    <cfRule type="cellIs" dxfId="6509" priority="7854" stopIfTrue="1" operator="notEqual">
      <formula>H536</formula>
    </cfRule>
  </conditionalFormatting>
  <conditionalFormatting sqref="O537 M537 G537 K537 S537 U537 W537 I537 Q537">
    <cfRule type="cellIs" dxfId="6508" priority="7853" stopIfTrue="1" operator="notEqual">
      <formula>H537</formula>
    </cfRule>
  </conditionalFormatting>
  <conditionalFormatting sqref="O538 M538 G538 K538 S538 U538 W538 I538 Q538">
    <cfRule type="cellIs" dxfId="6507" priority="7852" stopIfTrue="1" operator="notEqual">
      <formula>H538</formula>
    </cfRule>
  </conditionalFormatting>
  <conditionalFormatting sqref="O536 M536 G536 K536 S536 U536 W536 I536 Q536">
    <cfRule type="cellIs" dxfId="6506" priority="7851" stopIfTrue="1" operator="notEqual">
      <formula>H536</formula>
    </cfRule>
  </conditionalFormatting>
  <conditionalFormatting sqref="O539 M539 G539 K539 S539 U539 W539 I539 Q539">
    <cfRule type="cellIs" dxfId="6505" priority="7850" stopIfTrue="1" operator="notEqual">
      <formula>H539</formula>
    </cfRule>
  </conditionalFormatting>
  <conditionalFormatting sqref="O540 M540 G540 K540 S540 U540 W540 I540 Q540">
    <cfRule type="cellIs" dxfId="6504" priority="7849" stopIfTrue="1" operator="notEqual">
      <formula>H540</formula>
    </cfRule>
  </conditionalFormatting>
  <conditionalFormatting sqref="O541 M541 G541 K541 S541 U541 W541 I541 Q541">
    <cfRule type="cellIs" dxfId="6503" priority="7848" stopIfTrue="1" operator="notEqual">
      <formula>H541</formula>
    </cfRule>
  </conditionalFormatting>
  <conditionalFormatting sqref="O542 M542 G542 K542 S542 U542 W542 I542 Q542">
    <cfRule type="cellIs" dxfId="6502" priority="7847" stopIfTrue="1" operator="notEqual">
      <formula>H542</formula>
    </cfRule>
  </conditionalFormatting>
  <conditionalFormatting sqref="O543 M543 G543 K543 S543 U543 W543 I543 Q543">
    <cfRule type="cellIs" dxfId="6501" priority="7846" stopIfTrue="1" operator="notEqual">
      <formula>H543</formula>
    </cfRule>
  </conditionalFormatting>
  <conditionalFormatting sqref="O544:O550 M544:M550 G544:G550 K544:K550 S544:S550 U544:U550 W544:W550 I544:I550 Q544:Q550">
    <cfRule type="cellIs" dxfId="6500" priority="7845" stopIfTrue="1" operator="notEqual">
      <formula>H544</formula>
    </cfRule>
  </conditionalFormatting>
  <conditionalFormatting sqref="G539:G550">
    <cfRule type="cellIs" dxfId="6499" priority="7844" stopIfTrue="1" operator="notEqual">
      <formula>H539</formula>
    </cfRule>
  </conditionalFormatting>
  <conditionalFormatting sqref="G525">
    <cfRule type="cellIs" dxfId="6498" priority="7843" stopIfTrue="1" operator="notEqual">
      <formula>H525</formula>
    </cfRule>
  </conditionalFormatting>
  <conditionalFormatting sqref="G526">
    <cfRule type="cellIs" dxfId="6497" priority="7842" stopIfTrue="1" operator="notEqual">
      <formula>H526</formula>
    </cfRule>
  </conditionalFormatting>
  <conditionalFormatting sqref="G527">
    <cfRule type="cellIs" dxfId="6496" priority="7841" stopIfTrue="1" operator="notEqual">
      <formula>H527</formula>
    </cfRule>
  </conditionalFormatting>
  <conditionalFormatting sqref="G528">
    <cfRule type="cellIs" dxfId="6495" priority="7840" stopIfTrue="1" operator="notEqual">
      <formula>H528</formula>
    </cfRule>
  </conditionalFormatting>
  <conditionalFormatting sqref="G529">
    <cfRule type="cellIs" dxfId="6494" priority="7839" stopIfTrue="1" operator="notEqual">
      <formula>H529</formula>
    </cfRule>
  </conditionalFormatting>
  <conditionalFormatting sqref="G530">
    <cfRule type="cellIs" dxfId="6493" priority="7838" stopIfTrue="1" operator="notEqual">
      <formula>H530</formula>
    </cfRule>
  </conditionalFormatting>
  <conditionalFormatting sqref="G531">
    <cfRule type="cellIs" dxfId="6492" priority="7837" stopIfTrue="1" operator="notEqual">
      <formula>H531</formula>
    </cfRule>
  </conditionalFormatting>
  <conditionalFormatting sqref="G532:G541">
    <cfRule type="cellIs" dxfId="6491" priority="7836" stopIfTrue="1" operator="notEqual">
      <formula>H532</formula>
    </cfRule>
  </conditionalFormatting>
  <conditionalFormatting sqref="G533">
    <cfRule type="cellIs" dxfId="6490" priority="7835" stopIfTrue="1" operator="notEqual">
      <formula>H533</formula>
    </cfRule>
  </conditionalFormatting>
  <conditionalFormatting sqref="G534">
    <cfRule type="cellIs" dxfId="6489" priority="7834" stopIfTrue="1" operator="notEqual">
      <formula>H534</formula>
    </cfRule>
  </conditionalFormatting>
  <conditionalFormatting sqref="G535">
    <cfRule type="cellIs" dxfId="6488" priority="7833" stopIfTrue="1" operator="notEqual">
      <formula>H535</formula>
    </cfRule>
  </conditionalFormatting>
  <conditionalFormatting sqref="G536">
    <cfRule type="cellIs" dxfId="6487" priority="7832" stopIfTrue="1" operator="notEqual">
      <formula>H536</formula>
    </cfRule>
  </conditionalFormatting>
  <conditionalFormatting sqref="G537">
    <cfRule type="cellIs" dxfId="6486" priority="7831" stopIfTrue="1" operator="notEqual">
      <formula>H537</formula>
    </cfRule>
  </conditionalFormatting>
  <conditionalFormatting sqref="G538">
    <cfRule type="cellIs" dxfId="6485" priority="7830" stopIfTrue="1" operator="notEqual">
      <formula>H538</formula>
    </cfRule>
  </conditionalFormatting>
  <conditionalFormatting sqref="G525">
    <cfRule type="cellIs" dxfId="6484" priority="7829" stopIfTrue="1" operator="notEqual">
      <formula>H525</formula>
    </cfRule>
  </conditionalFormatting>
  <conditionalFormatting sqref="G525">
    <cfRule type="cellIs" dxfId="6483" priority="7828" stopIfTrue="1" operator="notEqual">
      <formula>H525</formula>
    </cfRule>
  </conditionalFormatting>
  <conditionalFormatting sqref="G525">
    <cfRule type="cellIs" dxfId="6482" priority="7827" stopIfTrue="1" operator="notEqual">
      <formula>H525</formula>
    </cfRule>
  </conditionalFormatting>
  <conditionalFormatting sqref="G525">
    <cfRule type="cellIs" dxfId="6481" priority="7826" stopIfTrue="1" operator="notEqual">
      <formula>H525</formula>
    </cfRule>
  </conditionalFormatting>
  <conditionalFormatting sqref="G525">
    <cfRule type="cellIs" dxfId="6480" priority="7825" stopIfTrue="1" operator="notEqual">
      <formula>H525</formula>
    </cfRule>
  </conditionalFormatting>
  <conditionalFormatting sqref="G525">
    <cfRule type="cellIs" dxfId="6479" priority="7824" stopIfTrue="1" operator="notEqual">
      <formula>H525</formula>
    </cfRule>
  </conditionalFormatting>
  <conditionalFormatting sqref="G541">
    <cfRule type="cellIs" dxfId="6478" priority="7823" stopIfTrue="1" operator="notEqual">
      <formula>H541</formula>
    </cfRule>
  </conditionalFormatting>
  <conditionalFormatting sqref="G542">
    <cfRule type="cellIs" dxfId="6477" priority="7822" stopIfTrue="1" operator="notEqual">
      <formula>H542</formula>
    </cfRule>
  </conditionalFormatting>
  <conditionalFormatting sqref="G542">
    <cfRule type="cellIs" dxfId="6476" priority="7821" stopIfTrue="1" operator="notEqual">
      <formula>H542</formula>
    </cfRule>
  </conditionalFormatting>
  <conditionalFormatting sqref="G540">
    <cfRule type="cellIs" dxfId="6475" priority="7820" stopIfTrue="1" operator="notEqual">
      <formula>H540</formula>
    </cfRule>
  </conditionalFormatting>
  <conditionalFormatting sqref="G544:G550">
    <cfRule type="cellIs" dxfId="6474" priority="7819" stopIfTrue="1" operator="notEqual">
      <formula>H544</formula>
    </cfRule>
  </conditionalFormatting>
  <conditionalFormatting sqref="O535:O540 M535:M540 G535:G540 K535:K540 S535:S540 U535:U540 W535:W540 I535:I540 Q535:Q540">
    <cfRule type="cellIs" dxfId="6473" priority="7818" stopIfTrue="1" operator="notEqual">
      <formula>H535</formula>
    </cfRule>
  </conditionalFormatting>
  <conditionalFormatting sqref="O525 M525 G525 K525 S525 U525 W525 I525 Q525">
    <cfRule type="cellIs" dxfId="6472" priority="7817" stopIfTrue="1" operator="notEqual">
      <formula>H525</formula>
    </cfRule>
  </conditionalFormatting>
  <conditionalFormatting sqref="O526 M526 G526 K526 S526 U526 W526 I526 Q526">
    <cfRule type="cellIs" dxfId="6471" priority="7816" stopIfTrue="1" operator="notEqual">
      <formula>H526</formula>
    </cfRule>
  </conditionalFormatting>
  <conditionalFormatting sqref="O527 M527 G527 K527 S527 U527 W527 I527 Q527">
    <cfRule type="cellIs" dxfId="6470" priority="7815" stopIfTrue="1" operator="notEqual">
      <formula>H527</formula>
    </cfRule>
  </conditionalFormatting>
  <conditionalFormatting sqref="O528 M528 G528 K528 S528 U528 W528 I528 Q528">
    <cfRule type="cellIs" dxfId="6469" priority="7814" stopIfTrue="1" operator="notEqual">
      <formula>H528</formula>
    </cfRule>
  </conditionalFormatting>
  <conditionalFormatting sqref="O529 M529 G529 K529 S529 U529 W529 I529 Q529">
    <cfRule type="cellIs" dxfId="6468" priority="7813" stopIfTrue="1" operator="notEqual">
      <formula>H529</formula>
    </cfRule>
  </conditionalFormatting>
  <conditionalFormatting sqref="O530 M530 G530 K530 S530 U530 W530 I530 Q530">
    <cfRule type="cellIs" dxfId="6467" priority="7812" stopIfTrue="1" operator="notEqual">
      <formula>H530</formula>
    </cfRule>
  </conditionalFormatting>
  <conditionalFormatting sqref="O531 M531 G531 K531 S531 U531 W531 I531 Q531">
    <cfRule type="cellIs" dxfId="6466" priority="7811" stopIfTrue="1" operator="notEqual">
      <formula>H531</formula>
    </cfRule>
  </conditionalFormatting>
  <conditionalFormatting sqref="O532:O541 M532:M541 G532:G541 K532:K541 S532:S541 U532:U541 W532:W541 I532:I541 Q532:Q541">
    <cfRule type="cellIs" dxfId="6465" priority="7810" stopIfTrue="1" operator="notEqual">
      <formula>H532</formula>
    </cfRule>
  </conditionalFormatting>
  <conditionalFormatting sqref="O533 M533 G533 K533 S533 U533 W533 I533 Q533">
    <cfRule type="cellIs" dxfId="6464" priority="7809" stopIfTrue="1" operator="notEqual">
      <formula>H533</formula>
    </cfRule>
  </conditionalFormatting>
  <conditionalFormatting sqref="O534 M534 G534 K534 S534 U534 W534 I534 Q534">
    <cfRule type="cellIs" dxfId="6463" priority="7808" stopIfTrue="1" operator="notEqual">
      <formula>H534</formula>
    </cfRule>
  </conditionalFormatting>
  <conditionalFormatting sqref="O537 M537 G537 K537 S537 U537 W537 I537 Q537">
    <cfRule type="cellIs" dxfId="6462" priority="7807" stopIfTrue="1" operator="notEqual">
      <formula>H537</formula>
    </cfRule>
  </conditionalFormatting>
  <conditionalFormatting sqref="O538 M538 G538 K538 S538 U538 W538 I538 Q538">
    <cfRule type="cellIs" dxfId="6461" priority="7806" stopIfTrue="1" operator="notEqual">
      <formula>H538</formula>
    </cfRule>
  </conditionalFormatting>
  <conditionalFormatting sqref="O538 M538 G538 K538 S538 U538 W538 I538 Q538">
    <cfRule type="cellIs" dxfId="6460" priority="7805" stopIfTrue="1" operator="notEqual">
      <formula>H538</formula>
    </cfRule>
  </conditionalFormatting>
  <conditionalFormatting sqref="O536 M536 G536 K536 S536 U536 W536 I536 Q536">
    <cfRule type="cellIs" dxfId="6459" priority="7804" stopIfTrue="1" operator="notEqual">
      <formula>H536</formula>
    </cfRule>
  </conditionalFormatting>
  <conditionalFormatting sqref="O541 M541 G541 K541 S541 U541 W541 I541 Q541">
    <cfRule type="cellIs" dxfId="6458" priority="7803" stopIfTrue="1" operator="notEqual">
      <formula>H541</formula>
    </cfRule>
  </conditionalFormatting>
  <conditionalFormatting sqref="O542 M542 G542 K542 S542 U542 W542 I542 Q542">
    <cfRule type="cellIs" dxfId="6457" priority="7802" stopIfTrue="1" operator="notEqual">
      <formula>H542</formula>
    </cfRule>
  </conditionalFormatting>
  <conditionalFormatting sqref="O540 M540 G540 K540 S540 U540 W540 I540 Q540">
    <cfRule type="cellIs" dxfId="6456" priority="7801" stopIfTrue="1" operator="notEqual">
      <formula>H540</formula>
    </cfRule>
  </conditionalFormatting>
  <conditionalFormatting sqref="O543 M543 G543 K543 S543 U543 W543 I543 Q543">
    <cfRule type="cellIs" dxfId="6455" priority="7800" stopIfTrue="1" operator="notEqual">
      <formula>H543</formula>
    </cfRule>
  </conditionalFormatting>
  <conditionalFormatting sqref="O544:O550 M544:M550 G544:G550 K544:K550 S544:S550 U544:U550 W544:W550 I544:I550 Q544:Q550">
    <cfRule type="cellIs" dxfId="6454" priority="7799" stopIfTrue="1" operator="notEqual">
      <formula>H544</formula>
    </cfRule>
  </conditionalFormatting>
  <conditionalFormatting sqref="O525 M525 G525 K525 S525 U525 W525 I525 Q525">
    <cfRule type="cellIs" dxfId="6453" priority="7798" stopIfTrue="1" operator="notEqual">
      <formula>H525</formula>
    </cfRule>
  </conditionalFormatting>
  <conditionalFormatting sqref="O526 M526 G526 K526 S526 U526 W526 I526 Q526">
    <cfRule type="cellIs" dxfId="6452" priority="7797" stopIfTrue="1" operator="notEqual">
      <formula>H526</formula>
    </cfRule>
  </conditionalFormatting>
  <conditionalFormatting sqref="O527 M527 G527 K527 S527 U527 W527 I527 Q527">
    <cfRule type="cellIs" dxfId="6451" priority="7796" stopIfTrue="1" operator="notEqual">
      <formula>H527</formula>
    </cfRule>
  </conditionalFormatting>
  <conditionalFormatting sqref="O525 M525 G525 K525 S525 U525 W525 I525 Q525">
    <cfRule type="cellIs" dxfId="6450" priority="7795" stopIfTrue="1" operator="notEqual">
      <formula>H525</formula>
    </cfRule>
  </conditionalFormatting>
  <conditionalFormatting sqref="O528 M528 G528 K528 S528 U528 W528 I528 Q528">
    <cfRule type="cellIs" dxfId="6449" priority="7794" stopIfTrue="1" operator="notEqual">
      <formula>H528</formula>
    </cfRule>
  </conditionalFormatting>
  <conditionalFormatting sqref="O529 M529 G529 K529 S529 U529 W529 I529 Q529">
    <cfRule type="cellIs" dxfId="6448" priority="7793" stopIfTrue="1" operator="notEqual">
      <formula>H529</formula>
    </cfRule>
  </conditionalFormatting>
  <conditionalFormatting sqref="O530 M530 G530 K530 S530 U530 W530 I530 Q530">
    <cfRule type="cellIs" dxfId="6447" priority="7792" stopIfTrue="1" operator="notEqual">
      <formula>H530</formula>
    </cfRule>
  </conditionalFormatting>
  <conditionalFormatting sqref="O531 M531 G531 K531 S531 U531 W531 I531 Q531">
    <cfRule type="cellIs" dxfId="6446" priority="7791" stopIfTrue="1" operator="notEqual">
      <formula>H531</formula>
    </cfRule>
  </conditionalFormatting>
  <conditionalFormatting sqref="O532:O541 M532:M541 G532:G541 K532:K541 S532:S541 U532:U541 W532:W541 I532:I541 Q532:Q541">
    <cfRule type="cellIs" dxfId="6445" priority="7790" stopIfTrue="1" operator="notEqual">
      <formula>H532</formula>
    </cfRule>
  </conditionalFormatting>
  <conditionalFormatting sqref="O533 M533 G533 K533 S533 U533 W533 I533 Q533">
    <cfRule type="cellIs" dxfId="6444" priority="7789" stopIfTrue="1" operator="notEqual">
      <formula>H533</formula>
    </cfRule>
  </conditionalFormatting>
  <conditionalFormatting sqref="O534 M534 G534 K534 S534 U534 W534 I534 Q534">
    <cfRule type="cellIs" dxfId="6443" priority="7788" stopIfTrue="1" operator="notEqual">
      <formula>H534</formula>
    </cfRule>
  </conditionalFormatting>
  <conditionalFormatting sqref="O535 M535 G535 K535 S535 U535 W535 I535 Q535">
    <cfRule type="cellIs" dxfId="6442" priority="7787" stopIfTrue="1" operator="notEqual">
      <formula>H535</formula>
    </cfRule>
  </conditionalFormatting>
  <conditionalFormatting sqref="O536 M536 G536 K536 S536 U536 W536 I536 Q536">
    <cfRule type="cellIs" dxfId="6441" priority="7786" stopIfTrue="1" operator="notEqual">
      <formula>H536</formula>
    </cfRule>
  </conditionalFormatting>
  <conditionalFormatting sqref="O537 M537 G537 K537 S537 U537 W537 I537 Q537">
    <cfRule type="cellIs" dxfId="6440" priority="7785" stopIfTrue="1" operator="notEqual">
      <formula>H537</formula>
    </cfRule>
  </conditionalFormatting>
  <conditionalFormatting sqref="O538 M538 G538 K538 S538 U538 W538 I538 Q538">
    <cfRule type="cellIs" dxfId="6439" priority="7784" stopIfTrue="1" operator="notEqual">
      <formula>H538</formula>
    </cfRule>
  </conditionalFormatting>
  <conditionalFormatting sqref="O539 M539 G539 K539 S539 U539 W539 I539 Q539">
    <cfRule type="cellIs" dxfId="6438" priority="7783" stopIfTrue="1" operator="notEqual">
      <formula>H539</formula>
    </cfRule>
  </conditionalFormatting>
  <conditionalFormatting sqref="O540 M540 G540 K540 S540 U540 W540 I540 Q540">
    <cfRule type="cellIs" dxfId="6437" priority="7782" stopIfTrue="1" operator="notEqual">
      <formula>H540</formula>
    </cfRule>
  </conditionalFormatting>
  <conditionalFormatting sqref="G541">
    <cfRule type="cellIs" dxfId="6436" priority="7781" stopIfTrue="1" operator="notEqual">
      <formula>H541</formula>
    </cfRule>
  </conditionalFormatting>
  <conditionalFormatting sqref="G542">
    <cfRule type="cellIs" dxfId="6435" priority="7780" stopIfTrue="1" operator="notEqual">
      <formula>H542</formula>
    </cfRule>
  </conditionalFormatting>
  <conditionalFormatting sqref="G543">
    <cfRule type="cellIs" dxfId="6434" priority="7779" stopIfTrue="1" operator="notEqual">
      <formula>H543</formula>
    </cfRule>
  </conditionalFormatting>
  <conditionalFormatting sqref="G544:G550">
    <cfRule type="cellIs" dxfId="6433" priority="7778" stopIfTrue="1" operator="notEqual">
      <formula>H544</formula>
    </cfRule>
  </conditionalFormatting>
  <conditionalFormatting sqref="G541">
    <cfRule type="cellIs" dxfId="6432" priority="7777" stopIfTrue="1" operator="notEqual">
      <formula>H541</formula>
    </cfRule>
  </conditionalFormatting>
  <conditionalFormatting sqref="G541">
    <cfRule type="cellIs" dxfId="6431" priority="7776" stopIfTrue="1" operator="notEqual">
      <formula>H541</formula>
    </cfRule>
  </conditionalFormatting>
  <conditionalFormatting sqref="G541">
    <cfRule type="cellIs" dxfId="6430" priority="7775" stopIfTrue="1" operator="notEqual">
      <formula>H541</formula>
    </cfRule>
  </conditionalFormatting>
  <conditionalFormatting sqref="G541">
    <cfRule type="cellIs" dxfId="6429" priority="7774" stopIfTrue="1" operator="notEqual">
      <formula>H541</formula>
    </cfRule>
  </conditionalFormatting>
  <conditionalFormatting sqref="G541">
    <cfRule type="cellIs" dxfId="6428" priority="7773" stopIfTrue="1" operator="notEqual">
      <formula>H541</formula>
    </cfRule>
  </conditionalFormatting>
  <conditionalFormatting sqref="G541">
    <cfRule type="cellIs" dxfId="6427" priority="7772" stopIfTrue="1" operator="notEqual">
      <formula>H541</formula>
    </cfRule>
  </conditionalFormatting>
  <conditionalFormatting sqref="O541 M541 G541 K541 S541 U541 W541 I541 Q541">
    <cfRule type="cellIs" dxfId="6426" priority="7771" stopIfTrue="1" operator="notEqual">
      <formula>H541</formula>
    </cfRule>
  </conditionalFormatting>
  <conditionalFormatting sqref="O542 M542 G542 K542 S542 U542 W542 I542 Q542">
    <cfRule type="cellIs" dxfId="6425" priority="7770" stopIfTrue="1" operator="notEqual">
      <formula>H542</formula>
    </cfRule>
  </conditionalFormatting>
  <conditionalFormatting sqref="O543 M543 G543 K543 S543 U543 W543 I543 Q543">
    <cfRule type="cellIs" dxfId="6424" priority="7769" stopIfTrue="1" operator="notEqual">
      <formula>H543</formula>
    </cfRule>
  </conditionalFormatting>
  <conditionalFormatting sqref="O544:O550 M544:M550 G544:G550 K544:K550 S544:S550 U544:U550 W544:W550 I544:I550 Q544:Q550">
    <cfRule type="cellIs" dxfId="6423" priority="7768" stopIfTrue="1" operator="notEqual">
      <formula>H544</formula>
    </cfRule>
  </conditionalFormatting>
  <conditionalFormatting sqref="O541 M541 G541 K541 S541 U541 W541 I541 Q541">
    <cfRule type="cellIs" dxfId="6422" priority="7767" stopIfTrue="1" operator="notEqual">
      <formula>H541</formula>
    </cfRule>
  </conditionalFormatting>
  <conditionalFormatting sqref="O542 M542 G542 K542 S542 U542 W542 I542 Q542">
    <cfRule type="cellIs" dxfId="6421" priority="7766" stopIfTrue="1" operator="notEqual">
      <formula>H542</formula>
    </cfRule>
  </conditionalFormatting>
  <conditionalFormatting sqref="O543 M543 G543 K543 S543 U543 W543 I543 Q543">
    <cfRule type="cellIs" dxfId="6420" priority="7765" stopIfTrue="1" operator="notEqual">
      <formula>H543</formula>
    </cfRule>
  </conditionalFormatting>
  <conditionalFormatting sqref="O541 M541 G541 K541 S541 U541 W541 I541 Q541">
    <cfRule type="cellIs" dxfId="6419" priority="7764" stopIfTrue="1" operator="notEqual">
      <formula>H541</formula>
    </cfRule>
  </conditionalFormatting>
  <conditionalFormatting sqref="O544:O550 M544:M550 G544:G550 K544:K550 S544:S550 U544:U550 W544:W550 I544:I550 Q544:Q550">
    <cfRule type="cellIs" dxfId="6418" priority="7763" stopIfTrue="1" operator="notEqual">
      <formula>H544</formula>
    </cfRule>
  </conditionalFormatting>
  <conditionalFormatting sqref="O525:O529 M525:M529 G525:G529 K525:K529 S525:S529 U525:U529 W525:W529 I525:I529 Q525:Q529">
    <cfRule type="cellIs" dxfId="6417" priority="7762" stopIfTrue="1" operator="notEqual">
      <formula>H525</formula>
    </cfRule>
  </conditionalFormatting>
  <conditionalFormatting sqref="O526 M526 G526 K526 S526 U526 W526 I526 Q526">
    <cfRule type="cellIs" dxfId="6416" priority="7761" stopIfTrue="1" operator="notEqual">
      <formula>H526</formula>
    </cfRule>
  </conditionalFormatting>
  <conditionalFormatting sqref="O527 M527 G527 K527 S527 U527 W527 I527 Q527">
    <cfRule type="cellIs" dxfId="6415" priority="7760" stopIfTrue="1" operator="notEqual">
      <formula>H527</formula>
    </cfRule>
  </conditionalFormatting>
  <conditionalFormatting sqref="O527 M527 G527 K527 S527 U527 W527 I527 Q527">
    <cfRule type="cellIs" dxfId="6414" priority="7759" stopIfTrue="1" operator="notEqual">
      <formula>H527</formula>
    </cfRule>
  </conditionalFormatting>
  <conditionalFormatting sqref="O525 M525 G525 K525 S525 U525 W525 I525 Q525">
    <cfRule type="cellIs" dxfId="6413" priority="7758" stopIfTrue="1" operator="notEqual">
      <formula>H525</formula>
    </cfRule>
  </conditionalFormatting>
  <conditionalFormatting sqref="O530 M530 G530 K530 S530 U530 W530 I530 Q530">
    <cfRule type="cellIs" dxfId="6412" priority="7757" stopIfTrue="1" operator="notEqual">
      <formula>H530</formula>
    </cfRule>
  </conditionalFormatting>
  <conditionalFormatting sqref="O531 M531 G531 K531 S531 U531 W531 I531 Q531">
    <cfRule type="cellIs" dxfId="6411" priority="7756" stopIfTrue="1" operator="notEqual">
      <formula>H531</formula>
    </cfRule>
  </conditionalFormatting>
  <conditionalFormatting sqref="O529 M529 G529 K529 S529 U529 W529 I529 Q529">
    <cfRule type="cellIs" dxfId="6410" priority="7755" stopIfTrue="1" operator="notEqual">
      <formula>H529</formula>
    </cfRule>
  </conditionalFormatting>
  <conditionalFormatting sqref="O532:O541 M532:M541 G532:G541 K532:K541 S532:S541 U532:U541 W532:W541 I532:I541 Q532:Q541">
    <cfRule type="cellIs" dxfId="6409" priority="7754" stopIfTrue="1" operator="notEqual">
      <formula>H532</formula>
    </cfRule>
  </conditionalFormatting>
  <conditionalFormatting sqref="O533 M533 G533 K533 S533 U533 W533 I533 Q533">
    <cfRule type="cellIs" dxfId="6408" priority="7753" stopIfTrue="1" operator="notEqual">
      <formula>H533</formula>
    </cfRule>
  </conditionalFormatting>
  <conditionalFormatting sqref="O534 M534 G534 K534 S534 U534 W534 I534 Q534">
    <cfRule type="cellIs" dxfId="6407" priority="7752" stopIfTrue="1" operator="notEqual">
      <formula>H534</formula>
    </cfRule>
  </conditionalFormatting>
  <conditionalFormatting sqref="O535 M535 G535 K535 S535 U535 W535 I535 Q535">
    <cfRule type="cellIs" dxfId="6406" priority="7751" stopIfTrue="1" operator="notEqual">
      <formula>H535</formula>
    </cfRule>
  </conditionalFormatting>
  <conditionalFormatting sqref="O536 M536 G536 K536 S536 U536 W536 I536 Q536">
    <cfRule type="cellIs" dxfId="6405" priority="7750" stopIfTrue="1" operator="notEqual">
      <formula>H536</formula>
    </cfRule>
  </conditionalFormatting>
  <conditionalFormatting sqref="O537 M537 G537 K537 S537 U537 W537 I537 Q537">
    <cfRule type="cellIs" dxfId="6404" priority="7749" stopIfTrue="1" operator="notEqual">
      <formula>H537</formula>
    </cfRule>
  </conditionalFormatting>
  <conditionalFormatting sqref="O538 M538 G538 K538 S538 U538 W538 I538 Q538">
    <cfRule type="cellIs" dxfId="6403" priority="7748" stopIfTrue="1" operator="notEqual">
      <formula>H538</formula>
    </cfRule>
  </conditionalFormatting>
  <conditionalFormatting sqref="O539 M539 G539 K539 S539 U539 W539 I539 Q539">
    <cfRule type="cellIs" dxfId="6402" priority="7747" stopIfTrue="1" operator="notEqual">
      <formula>H539</formula>
    </cfRule>
  </conditionalFormatting>
  <conditionalFormatting sqref="O540 M540 G540 K540 S540 U540 W540 I540 Q540">
    <cfRule type="cellIs" dxfId="6401" priority="7746" stopIfTrue="1" operator="notEqual">
      <formula>H540</formula>
    </cfRule>
  </conditionalFormatting>
  <conditionalFormatting sqref="O541 M541 G541 K541 S541 U541 W541 I541 Q541">
    <cfRule type="cellIs" dxfId="6400" priority="7745" stopIfTrue="1" operator="notEqual">
      <formula>H541</formula>
    </cfRule>
  </conditionalFormatting>
  <conditionalFormatting sqref="O542 M542 G542 K542 S542 U542 W542 I542 Q542">
    <cfRule type="cellIs" dxfId="6399" priority="7744" stopIfTrue="1" operator="notEqual">
      <formula>H542</formula>
    </cfRule>
  </conditionalFormatting>
  <conditionalFormatting sqref="O543 M543 G543 K543 S543 U543 W543 I543 Q543">
    <cfRule type="cellIs" dxfId="6398" priority="7743" stopIfTrue="1" operator="notEqual">
      <formula>H543</formula>
    </cfRule>
  </conditionalFormatting>
  <conditionalFormatting sqref="O544:O550 M544:M550 G544:G550 K544:K550 S544:S550 U544:U550 W544:W550 I544:I550 Q544:Q550">
    <cfRule type="cellIs" dxfId="6397" priority="7742" stopIfTrue="1" operator="notEqual">
      <formula>H544</formula>
    </cfRule>
  </conditionalFormatting>
  <conditionalFormatting sqref="G545:G564 W545:W564 U545:U564 Q545:Q564 O545:O564 M545:M564 K545:K564 I545:I564 S545:S564">
    <cfRule type="cellIs" dxfId="6396" priority="7741" stopIfTrue="1" operator="notEqual">
      <formula>H545</formula>
    </cfRule>
  </conditionalFormatting>
  <conditionalFormatting sqref="I545:I564 K545:K564 M545:M564 O545:O564 Q545:Q564 U545:U564 W545:W564 G545:G564 S545:S564">
    <cfRule type="cellIs" dxfId="6395" priority="7740" stopIfTrue="1" operator="notEqual">
      <formula>H545</formula>
    </cfRule>
  </conditionalFormatting>
  <conditionalFormatting sqref="G545:G564 W545:W564 S545:S564 Q545:Q564 O545:O564 M545:M564 K545:K564 U545:U564">
    <cfRule type="cellIs" dxfId="6394" priority="7739" stopIfTrue="1" operator="notEqual">
      <formula>H545</formula>
    </cfRule>
  </conditionalFormatting>
  <conditionalFormatting sqref="K545:K564 M545:M564 O545:O564 Q545:Q564 S545:S564 W545:W564 G545:G564 U545:U564">
    <cfRule type="cellIs" dxfId="6393" priority="7738" stopIfTrue="1" operator="notEqual">
      <formula>H545</formula>
    </cfRule>
  </conditionalFormatting>
  <conditionalFormatting sqref="I545:I564">
    <cfRule type="cellIs" dxfId="6392" priority="7737" stopIfTrue="1" operator="notEqual">
      <formula>J545</formula>
    </cfRule>
  </conditionalFormatting>
  <conditionalFormatting sqref="I545:I564">
    <cfRule type="cellIs" dxfId="6391" priority="7736" stopIfTrue="1" operator="notEqual">
      <formula>J545</formula>
    </cfRule>
  </conditionalFormatting>
  <conditionalFormatting sqref="S547">
    <cfRule type="cellIs" dxfId="6390" priority="7735" stopIfTrue="1" operator="notEqual">
      <formula>T547</formula>
    </cfRule>
  </conditionalFormatting>
  <conditionalFormatting sqref="S564">
    <cfRule type="cellIs" dxfId="6389" priority="7734" stopIfTrue="1" operator="notEqual">
      <formula>T564</formula>
    </cfRule>
  </conditionalFormatting>
  <conditionalFormatting sqref="U547">
    <cfRule type="cellIs" dxfId="6388" priority="7733" stopIfTrue="1" operator="notEqual">
      <formula>V547</formula>
    </cfRule>
  </conditionalFormatting>
  <conditionalFormatting sqref="U564">
    <cfRule type="cellIs" dxfId="6387" priority="7732" stopIfTrue="1" operator="notEqual">
      <formula>V564</formula>
    </cfRule>
  </conditionalFormatting>
  <conditionalFormatting sqref="Q545:Q552 U545:U552 W545:W552 G545:G552 K545:K552 M545:M552 O545:O552 S545:S552 I545:I552">
    <cfRule type="cellIs" dxfId="6386" priority="7731" stopIfTrue="1" operator="notEqual">
      <formula>H545</formula>
    </cfRule>
  </conditionalFormatting>
  <conditionalFormatting sqref="S554">
    <cfRule type="cellIs" dxfId="6385" priority="7730" stopIfTrue="1" operator="notEqual">
      <formula>T554</formula>
    </cfRule>
  </conditionalFormatting>
  <conditionalFormatting sqref="S545:S552 W545:W552 G545:G552 M545:M552 O545:O552 Q545:Q552 U545:U552 K545:K552">
    <cfRule type="cellIs" dxfId="6384" priority="7729" stopIfTrue="1" operator="notEqual">
      <formula>H545</formula>
    </cfRule>
  </conditionalFormatting>
  <conditionalFormatting sqref="U554">
    <cfRule type="cellIs" dxfId="6383" priority="7728" stopIfTrue="1" operator="notEqual">
      <formula>V554</formula>
    </cfRule>
  </conditionalFormatting>
  <conditionalFormatting sqref="I545:I552">
    <cfRule type="cellIs" dxfId="6382" priority="7727" stopIfTrue="1" operator="notEqual">
      <formula>J545</formula>
    </cfRule>
  </conditionalFormatting>
  <conditionalFormatting sqref="Q556:Q564 U556:U564 W556:W564 G556:G564 K556:K564 M556:M564 O556:O564 S556:S564 I556:I564">
    <cfRule type="cellIs" dxfId="6381" priority="7726" stopIfTrue="1" operator="notEqual">
      <formula>H556</formula>
    </cfRule>
  </conditionalFormatting>
  <conditionalFormatting sqref="S556:S564 W556:W564 G556:G564 M556:M564 O556:O564 Q556:Q564 U556:U564 K556:K564">
    <cfRule type="cellIs" dxfId="6380" priority="7725" stopIfTrue="1" operator="notEqual">
      <formula>H556</formula>
    </cfRule>
  </conditionalFormatting>
  <conditionalFormatting sqref="I556:I564">
    <cfRule type="cellIs" dxfId="6379" priority="7724" stopIfTrue="1" operator="notEqual">
      <formula>J556</formula>
    </cfRule>
  </conditionalFormatting>
  <conditionalFormatting sqref="G558">
    <cfRule type="cellIs" dxfId="6378" priority="7723" stopIfTrue="1" operator="notEqual">
      <formula>H558</formula>
    </cfRule>
  </conditionalFormatting>
  <conditionalFormatting sqref="G558">
    <cfRule type="cellIs" dxfId="6377" priority="7722" stopIfTrue="1" operator="notEqual">
      <formula>H558</formula>
    </cfRule>
  </conditionalFormatting>
  <conditionalFormatting sqref="G558">
    <cfRule type="cellIs" dxfId="6376" priority="7721" stopIfTrue="1" operator="notEqual">
      <formula>H558</formula>
    </cfRule>
  </conditionalFormatting>
  <conditionalFormatting sqref="G558">
    <cfRule type="cellIs" dxfId="6375" priority="7720" stopIfTrue="1" operator="notEqual">
      <formula>H558</formula>
    </cfRule>
  </conditionalFormatting>
  <conditionalFormatting sqref="G558">
    <cfRule type="cellIs" dxfId="6374" priority="7719" stopIfTrue="1" operator="notEqual">
      <formula>H558</formula>
    </cfRule>
  </conditionalFormatting>
  <conditionalFormatting sqref="G558">
    <cfRule type="cellIs" dxfId="6373" priority="7718" stopIfTrue="1" operator="notEqual">
      <formula>H558</formula>
    </cfRule>
  </conditionalFormatting>
  <conditionalFormatting sqref="G552">
    <cfRule type="cellIs" dxfId="6372" priority="7717" stopIfTrue="1" operator="notEqual">
      <formula>H552</formula>
    </cfRule>
  </conditionalFormatting>
  <conditionalFormatting sqref="G545">
    <cfRule type="cellIs" dxfId="6371" priority="7716" stopIfTrue="1" operator="notEqual">
      <formula>H545</formula>
    </cfRule>
  </conditionalFormatting>
  <conditionalFormatting sqref="G546">
    <cfRule type="cellIs" dxfId="6370" priority="7715" stopIfTrue="1" operator="notEqual">
      <formula>H546</formula>
    </cfRule>
  </conditionalFormatting>
  <conditionalFormatting sqref="G547">
    <cfRule type="cellIs" dxfId="6369" priority="7714" stopIfTrue="1" operator="notEqual">
      <formula>H547</formula>
    </cfRule>
  </conditionalFormatting>
  <conditionalFormatting sqref="G548">
    <cfRule type="cellIs" dxfId="6368" priority="7713" stopIfTrue="1" operator="notEqual">
      <formula>H548</formula>
    </cfRule>
  </conditionalFormatting>
  <conditionalFormatting sqref="G549">
    <cfRule type="cellIs" dxfId="6367" priority="7712" stopIfTrue="1" operator="notEqual">
      <formula>H549</formula>
    </cfRule>
  </conditionalFormatting>
  <conditionalFormatting sqref="G550">
    <cfRule type="cellIs" dxfId="6366" priority="7711" stopIfTrue="1" operator="notEqual">
      <formula>H550</formula>
    </cfRule>
  </conditionalFormatting>
  <conditionalFormatting sqref="G551">
    <cfRule type="cellIs" dxfId="6365" priority="7710" stopIfTrue="1" operator="notEqual">
      <formula>H551</formula>
    </cfRule>
  </conditionalFormatting>
  <conditionalFormatting sqref="G545">
    <cfRule type="cellIs" dxfId="6364" priority="7709" stopIfTrue="1" operator="notEqual">
      <formula>H545</formula>
    </cfRule>
  </conditionalFormatting>
  <conditionalFormatting sqref="G546">
    <cfRule type="cellIs" dxfId="6363" priority="7708" stopIfTrue="1" operator="notEqual">
      <formula>H546</formula>
    </cfRule>
  </conditionalFormatting>
  <conditionalFormatting sqref="G547">
    <cfRule type="cellIs" dxfId="6362" priority="7707" stopIfTrue="1" operator="notEqual">
      <formula>H547</formula>
    </cfRule>
  </conditionalFormatting>
  <conditionalFormatting sqref="G548">
    <cfRule type="cellIs" dxfId="6361" priority="7706" stopIfTrue="1" operator="notEqual">
      <formula>H548</formula>
    </cfRule>
  </conditionalFormatting>
  <conditionalFormatting sqref="G549">
    <cfRule type="cellIs" dxfId="6360" priority="7705" stopIfTrue="1" operator="notEqual">
      <formula>H549</formula>
    </cfRule>
  </conditionalFormatting>
  <conditionalFormatting sqref="G550">
    <cfRule type="cellIs" dxfId="6359" priority="7704" stopIfTrue="1" operator="notEqual">
      <formula>H550</formula>
    </cfRule>
  </conditionalFormatting>
  <conditionalFormatting sqref="G551">
    <cfRule type="cellIs" dxfId="6358" priority="7703" stopIfTrue="1" operator="notEqual">
      <formula>H551</formula>
    </cfRule>
  </conditionalFormatting>
  <conditionalFormatting sqref="O545 M545 G545 K545 S545 U545 W545 I545 Q545">
    <cfRule type="cellIs" dxfId="6357" priority="7702" stopIfTrue="1" operator="notEqual">
      <formula>H545</formula>
    </cfRule>
  </conditionalFormatting>
  <conditionalFormatting sqref="O546 M546 G546 K546 S546 U546 W546 I546 Q546">
    <cfRule type="cellIs" dxfId="6356" priority="7701" stopIfTrue="1" operator="notEqual">
      <formula>H546</formula>
    </cfRule>
  </conditionalFormatting>
  <conditionalFormatting sqref="O547 M547 G547 K547 S547 U547 W547 I547 Q547">
    <cfRule type="cellIs" dxfId="6355" priority="7700" stopIfTrue="1" operator="notEqual">
      <formula>H547</formula>
    </cfRule>
  </conditionalFormatting>
  <conditionalFormatting sqref="O548 M548 G548 K548 S548 U548 W548 I548 Q548">
    <cfRule type="cellIs" dxfId="6354" priority="7699" stopIfTrue="1" operator="notEqual">
      <formula>H548</formula>
    </cfRule>
  </conditionalFormatting>
  <conditionalFormatting sqref="O549 M549 G549 K549 S549 U549 W549 I549 Q549">
    <cfRule type="cellIs" dxfId="6353" priority="7698" stopIfTrue="1" operator="notEqual">
      <formula>H549</formula>
    </cfRule>
  </conditionalFormatting>
  <conditionalFormatting sqref="O550 M550 G550 K550 S550 U550 W550 I550 Q550">
    <cfRule type="cellIs" dxfId="6352" priority="7697" stopIfTrue="1" operator="notEqual">
      <formula>H550</formula>
    </cfRule>
  </conditionalFormatting>
  <conditionalFormatting sqref="G550:G551">
    <cfRule type="cellIs" dxfId="6351" priority="7696" stopIfTrue="1" operator="notEqual">
      <formula>H550</formula>
    </cfRule>
  </conditionalFormatting>
  <conditionalFormatting sqref="G545">
    <cfRule type="cellIs" dxfId="6350" priority="7695" stopIfTrue="1" operator="notEqual">
      <formula>H545</formula>
    </cfRule>
  </conditionalFormatting>
  <conditionalFormatting sqref="G546">
    <cfRule type="cellIs" dxfId="6349" priority="7694" stopIfTrue="1" operator="notEqual">
      <formula>H546</formula>
    </cfRule>
  </conditionalFormatting>
  <conditionalFormatting sqref="G547">
    <cfRule type="cellIs" dxfId="6348" priority="7693" stopIfTrue="1" operator="notEqual">
      <formula>H547</formula>
    </cfRule>
  </conditionalFormatting>
  <conditionalFormatting sqref="G548">
    <cfRule type="cellIs" dxfId="6347" priority="7692" stopIfTrue="1" operator="notEqual">
      <formula>H548</formula>
    </cfRule>
  </conditionalFormatting>
  <conditionalFormatting sqref="G549">
    <cfRule type="cellIs" dxfId="6346" priority="7691" stopIfTrue="1" operator="notEqual">
      <formula>H549</formula>
    </cfRule>
  </conditionalFormatting>
  <conditionalFormatting sqref="G551">
    <cfRule type="cellIs" dxfId="6345" priority="7690" stopIfTrue="1" operator="notEqual">
      <formula>H551</formula>
    </cfRule>
  </conditionalFormatting>
  <conditionalFormatting sqref="O546:O551 M546:M551 G546:G551 K546:K551 S546:S551 U546:U551 W546:W551 I546:I551 Q546:Q551">
    <cfRule type="cellIs" dxfId="6344" priority="7689" stopIfTrue="1" operator="notEqual">
      <formula>H546</formula>
    </cfRule>
  </conditionalFormatting>
  <conditionalFormatting sqref="O545 M545 G545 K545 S545 U545 W545 I545 Q545">
    <cfRule type="cellIs" dxfId="6343" priority="7688" stopIfTrue="1" operator="notEqual">
      <formula>H545</formula>
    </cfRule>
  </conditionalFormatting>
  <conditionalFormatting sqref="O548 M548 G548 K548 S548 U548 W548 I548 Q548">
    <cfRule type="cellIs" dxfId="6342" priority="7687" stopIfTrue="1" operator="notEqual">
      <formula>H548</formula>
    </cfRule>
  </conditionalFormatting>
  <conditionalFormatting sqref="O549 M549 G549 K549 S549 U549 W549 I549 Q549">
    <cfRule type="cellIs" dxfId="6341" priority="7686" stopIfTrue="1" operator="notEqual">
      <formula>H549</formula>
    </cfRule>
  </conditionalFormatting>
  <conditionalFormatting sqref="O549 M549 G549 K549 S549 U549 W549 I549 Q549">
    <cfRule type="cellIs" dxfId="6340" priority="7685" stopIfTrue="1" operator="notEqual">
      <formula>H549</formula>
    </cfRule>
  </conditionalFormatting>
  <conditionalFormatting sqref="O547 M547 G547 K547 S547 U547 W547 I547 Q547">
    <cfRule type="cellIs" dxfId="6339" priority="7684" stopIfTrue="1" operator="notEqual">
      <formula>H547</formula>
    </cfRule>
  </conditionalFormatting>
  <conditionalFormatting sqref="O551 M551 G551 K551 S551 U551 W551 I551 Q551">
    <cfRule type="cellIs" dxfId="6338" priority="7683" stopIfTrue="1" operator="notEqual">
      <formula>H551</formula>
    </cfRule>
  </conditionalFormatting>
  <conditionalFormatting sqref="O545 M545 G545 K545 S545 U545 W545 I545 Q545">
    <cfRule type="cellIs" dxfId="6337" priority="7682" stopIfTrue="1" operator="notEqual">
      <formula>H545</formula>
    </cfRule>
  </conditionalFormatting>
  <conditionalFormatting sqref="O546 M546 G546 K546 S546 U546 W546 I546 Q546">
    <cfRule type="cellIs" dxfId="6336" priority="7681" stopIfTrue="1" operator="notEqual">
      <formula>H546</formula>
    </cfRule>
  </conditionalFormatting>
  <conditionalFormatting sqref="O547 M547 G547 K547 S547 U547 W547 I547 Q547">
    <cfRule type="cellIs" dxfId="6335" priority="7680" stopIfTrue="1" operator="notEqual">
      <formula>H547</formula>
    </cfRule>
  </conditionalFormatting>
  <conditionalFormatting sqref="O548 M548 G548 K548 S548 U548 W548 I548 Q548">
    <cfRule type="cellIs" dxfId="6334" priority="7679" stopIfTrue="1" operator="notEqual">
      <formula>H548</formula>
    </cfRule>
  </conditionalFormatting>
  <conditionalFormatting sqref="O549 M549 G549 K549 S549 U549 W549 I549 Q549">
    <cfRule type="cellIs" dxfId="6333" priority="7678" stopIfTrue="1" operator="notEqual">
      <formula>H549</formula>
    </cfRule>
  </conditionalFormatting>
  <conditionalFormatting sqref="O550 M550 G550 K550 S550 U550 W550 I550 Q550">
    <cfRule type="cellIs" dxfId="6332" priority="7677" stopIfTrue="1" operator="notEqual">
      <formula>H550</formula>
    </cfRule>
  </conditionalFormatting>
  <conditionalFormatting sqref="O551 M551 G551 K551 S551 U551 W551 I551 Q551">
    <cfRule type="cellIs" dxfId="6331" priority="7676" stopIfTrue="1" operator="notEqual">
      <formula>H551</formula>
    </cfRule>
  </conditionalFormatting>
  <conditionalFormatting sqref="G545">
    <cfRule type="cellIs" dxfId="6330" priority="7675" stopIfTrue="1" operator="notEqual">
      <formula>H545</formula>
    </cfRule>
  </conditionalFormatting>
  <conditionalFormatting sqref="G546">
    <cfRule type="cellIs" dxfId="6329" priority="7674" stopIfTrue="1" operator="notEqual">
      <formula>H546</formula>
    </cfRule>
  </conditionalFormatting>
  <conditionalFormatting sqref="G547">
    <cfRule type="cellIs" dxfId="6328" priority="7673" stopIfTrue="1" operator="notEqual">
      <formula>H547</formula>
    </cfRule>
  </conditionalFormatting>
  <conditionalFormatting sqref="G548">
    <cfRule type="cellIs" dxfId="6327" priority="7672" stopIfTrue="1" operator="notEqual">
      <formula>H548</formula>
    </cfRule>
  </conditionalFormatting>
  <conditionalFormatting sqref="G549">
    <cfRule type="cellIs" dxfId="6326" priority="7671" stopIfTrue="1" operator="notEqual">
      <formula>H549</formula>
    </cfRule>
  </conditionalFormatting>
  <conditionalFormatting sqref="G550">
    <cfRule type="cellIs" dxfId="6325" priority="7670" stopIfTrue="1" operator="notEqual">
      <formula>H550</formula>
    </cfRule>
  </conditionalFormatting>
  <conditionalFormatting sqref="G551">
    <cfRule type="cellIs" dxfId="6324" priority="7669" stopIfTrue="1" operator="notEqual">
      <formula>H551</formula>
    </cfRule>
  </conditionalFormatting>
  <conditionalFormatting sqref="G552">
    <cfRule type="cellIs" dxfId="6323" priority="7668" stopIfTrue="1" operator="notEqual">
      <formula>H552</formula>
    </cfRule>
  </conditionalFormatting>
  <conditionalFormatting sqref="G553">
    <cfRule type="cellIs" dxfId="6322" priority="7667" stopIfTrue="1" operator="notEqual">
      <formula>H553</formula>
    </cfRule>
  </conditionalFormatting>
  <conditionalFormatting sqref="G554">
    <cfRule type="cellIs" dxfId="6321" priority="7666" stopIfTrue="1" operator="notEqual">
      <formula>H554</formula>
    </cfRule>
  </conditionalFormatting>
  <conditionalFormatting sqref="G555:G563">
    <cfRule type="cellIs" dxfId="6320" priority="7665" stopIfTrue="1" operator="notEqual">
      <formula>H555</formula>
    </cfRule>
  </conditionalFormatting>
  <conditionalFormatting sqref="G556">
    <cfRule type="cellIs" dxfId="6319" priority="7664" stopIfTrue="1" operator="notEqual">
      <formula>H556</formula>
    </cfRule>
  </conditionalFormatting>
  <conditionalFormatting sqref="G557">
    <cfRule type="cellIs" dxfId="6318" priority="7663" stopIfTrue="1" operator="notEqual">
      <formula>H557</formula>
    </cfRule>
  </conditionalFormatting>
  <conditionalFormatting sqref="G558">
    <cfRule type="cellIs" dxfId="6317" priority="7662" stopIfTrue="1" operator="notEqual">
      <formula>H558</formula>
    </cfRule>
  </conditionalFormatting>
  <conditionalFormatting sqref="G559">
    <cfRule type="cellIs" dxfId="6316" priority="7661" stopIfTrue="1" operator="notEqual">
      <formula>H559</formula>
    </cfRule>
  </conditionalFormatting>
  <conditionalFormatting sqref="G560">
    <cfRule type="cellIs" dxfId="6315" priority="7660" stopIfTrue="1" operator="notEqual">
      <formula>H560</formula>
    </cfRule>
  </conditionalFormatting>
  <conditionalFormatting sqref="G561">
    <cfRule type="cellIs" dxfId="6314" priority="7659" stopIfTrue="1" operator="notEqual">
      <formula>H561</formula>
    </cfRule>
  </conditionalFormatting>
  <conditionalFormatting sqref="G562">
    <cfRule type="cellIs" dxfId="6313" priority="7658" stopIfTrue="1" operator="notEqual">
      <formula>H562</formula>
    </cfRule>
  </conditionalFormatting>
  <conditionalFormatting sqref="G563">
    <cfRule type="cellIs" dxfId="6312" priority="7657" stopIfTrue="1" operator="notEqual">
      <formula>H563</formula>
    </cfRule>
  </conditionalFormatting>
  <conditionalFormatting sqref="G564">
    <cfRule type="cellIs" dxfId="6311" priority="7656" stopIfTrue="1" operator="notEqual">
      <formula>H564</formula>
    </cfRule>
  </conditionalFormatting>
  <conditionalFormatting sqref="O545 M545 G545 K545 S545 U545 W545 I545 Q545">
    <cfRule type="cellIs" dxfId="6310" priority="7655" stopIfTrue="1" operator="notEqual">
      <formula>H545</formula>
    </cfRule>
  </conditionalFormatting>
  <conditionalFormatting sqref="O546 M546 G546 K546 S546 U546 W546 I546 Q546">
    <cfRule type="cellIs" dxfId="6309" priority="7654" stopIfTrue="1" operator="notEqual">
      <formula>H546</formula>
    </cfRule>
  </conditionalFormatting>
  <conditionalFormatting sqref="O547 M547 G547 K547 S547 U547 W547 I547 Q547">
    <cfRule type="cellIs" dxfId="6308" priority="7653" stopIfTrue="1" operator="notEqual">
      <formula>H547</formula>
    </cfRule>
  </conditionalFormatting>
  <conditionalFormatting sqref="O548 M548 G548 K548 S548 U548 W548 I548 Q548">
    <cfRule type="cellIs" dxfId="6307" priority="7652" stopIfTrue="1" operator="notEqual">
      <formula>H548</formula>
    </cfRule>
  </conditionalFormatting>
  <conditionalFormatting sqref="O549 M549 G549 K549 S549 U549 W549 I549 Q549">
    <cfRule type="cellIs" dxfId="6306" priority="7651" stopIfTrue="1" operator="notEqual">
      <formula>H549</formula>
    </cfRule>
  </conditionalFormatting>
  <conditionalFormatting sqref="O550 M550 G550 K550 S550 U550 W550 I550 Q550">
    <cfRule type="cellIs" dxfId="6305" priority="7650" stopIfTrue="1" operator="notEqual">
      <formula>H550</formula>
    </cfRule>
  </conditionalFormatting>
  <conditionalFormatting sqref="O551 M551 G551 K551 S551 U551 W551 I551 Q551">
    <cfRule type="cellIs" dxfId="6304" priority="7649" stopIfTrue="1" operator="notEqual">
      <formula>H551</formula>
    </cfRule>
  </conditionalFormatting>
  <conditionalFormatting sqref="O552 M552 G552 K552 S552 U552 W552 I552 Q552">
    <cfRule type="cellIs" dxfId="6303" priority="7648" stopIfTrue="1" operator="notEqual">
      <formula>H552</formula>
    </cfRule>
  </conditionalFormatting>
  <conditionalFormatting sqref="O553 M553 G553 K553 S553 U553 W553 I553 Q553">
    <cfRule type="cellIs" dxfId="6302" priority="7647" stopIfTrue="1" operator="notEqual">
      <formula>H553</formula>
    </cfRule>
  </conditionalFormatting>
  <conditionalFormatting sqref="O554 M554 G554 K554 S554 U554 W554 I554 Q554">
    <cfRule type="cellIs" dxfId="6301" priority="7646" stopIfTrue="1" operator="notEqual">
      <formula>H554</formula>
    </cfRule>
  </conditionalFormatting>
  <conditionalFormatting sqref="O555:O563 M555:M563 G555:G563 K555:K563 S555:S563 U555:U563 W555:W563 I555:I563 Q555:Q563">
    <cfRule type="cellIs" dxfId="6300" priority="7645" stopIfTrue="1" operator="notEqual">
      <formula>H555</formula>
    </cfRule>
  </conditionalFormatting>
  <conditionalFormatting sqref="G555:G563">
    <cfRule type="cellIs" dxfId="6299" priority="7644" stopIfTrue="1" operator="notEqual">
      <formula>H555</formula>
    </cfRule>
  </conditionalFormatting>
  <conditionalFormatting sqref="G545">
    <cfRule type="cellIs" dxfId="6298" priority="7643" stopIfTrue="1" operator="notEqual">
      <formula>H545</formula>
    </cfRule>
  </conditionalFormatting>
  <conditionalFormatting sqref="G546">
    <cfRule type="cellIs" dxfId="6297" priority="7642" stopIfTrue="1" operator="notEqual">
      <formula>H546</formula>
    </cfRule>
  </conditionalFormatting>
  <conditionalFormatting sqref="G547">
    <cfRule type="cellIs" dxfId="6296" priority="7641" stopIfTrue="1" operator="notEqual">
      <formula>H547</formula>
    </cfRule>
  </conditionalFormatting>
  <conditionalFormatting sqref="G548">
    <cfRule type="cellIs" dxfId="6295" priority="7640" stopIfTrue="1" operator="notEqual">
      <formula>H548</formula>
    </cfRule>
  </conditionalFormatting>
  <conditionalFormatting sqref="G549">
    <cfRule type="cellIs" dxfId="6294" priority="7639" stopIfTrue="1" operator="notEqual">
      <formula>H549</formula>
    </cfRule>
  </conditionalFormatting>
  <conditionalFormatting sqref="G550">
    <cfRule type="cellIs" dxfId="6293" priority="7638" stopIfTrue="1" operator="notEqual">
      <formula>H550</formula>
    </cfRule>
  </conditionalFormatting>
  <conditionalFormatting sqref="G551">
    <cfRule type="cellIs" dxfId="6292" priority="7637" stopIfTrue="1" operator="notEqual">
      <formula>H551</formula>
    </cfRule>
  </conditionalFormatting>
  <conditionalFormatting sqref="G552">
    <cfRule type="cellIs" dxfId="6291" priority="7636" stopIfTrue="1" operator="notEqual">
      <formula>H552</formula>
    </cfRule>
  </conditionalFormatting>
  <conditionalFormatting sqref="G553">
    <cfRule type="cellIs" dxfId="6290" priority="7635" stopIfTrue="1" operator="notEqual">
      <formula>H553</formula>
    </cfRule>
  </conditionalFormatting>
  <conditionalFormatting sqref="G554">
    <cfRule type="cellIs" dxfId="6289" priority="7634" stopIfTrue="1" operator="notEqual">
      <formula>H554</formula>
    </cfRule>
  </conditionalFormatting>
  <conditionalFormatting sqref="G556">
    <cfRule type="cellIs" dxfId="6288" priority="7633" stopIfTrue="1" operator="notEqual">
      <formula>H556</formula>
    </cfRule>
  </conditionalFormatting>
  <conditionalFormatting sqref="O551:O563 M551:M563 G551:G563 K551:K563 S551:S563 U551:U563 W551:W563 I551:I563 Q551:Q563">
    <cfRule type="cellIs" dxfId="6287" priority="7632" stopIfTrue="1" operator="notEqual">
      <formula>H551</formula>
    </cfRule>
  </conditionalFormatting>
  <conditionalFormatting sqref="O545 M545 G545 K545 S545 U545 W545 I545 Q545">
    <cfRule type="cellIs" dxfId="6286" priority="7631" stopIfTrue="1" operator="notEqual">
      <formula>H545</formula>
    </cfRule>
  </conditionalFormatting>
  <conditionalFormatting sqref="O546 M546 G546 K546 S546 U546 W546 I546 Q546">
    <cfRule type="cellIs" dxfId="6285" priority="7630" stopIfTrue="1" operator="notEqual">
      <formula>H546</formula>
    </cfRule>
  </conditionalFormatting>
  <conditionalFormatting sqref="O547 M547 G547 K547 S547 U547 W547 I547 Q547">
    <cfRule type="cellIs" dxfId="6284" priority="7629" stopIfTrue="1" operator="notEqual">
      <formula>H547</formula>
    </cfRule>
  </conditionalFormatting>
  <conditionalFormatting sqref="O548 M548 G548 K548 S548 U548 W548 I548 Q548">
    <cfRule type="cellIs" dxfId="6283" priority="7628" stopIfTrue="1" operator="notEqual">
      <formula>H548</formula>
    </cfRule>
  </conditionalFormatting>
  <conditionalFormatting sqref="O549 M549 G549 K549 S549 U549 W549 I549 Q549">
    <cfRule type="cellIs" dxfId="6282" priority="7627" stopIfTrue="1" operator="notEqual">
      <formula>H549</formula>
    </cfRule>
  </conditionalFormatting>
  <conditionalFormatting sqref="O550 M550 G550 K550 S550 U550 W550 I550 Q550">
    <cfRule type="cellIs" dxfId="6281" priority="7626" stopIfTrue="1" operator="notEqual">
      <formula>H550</formula>
    </cfRule>
  </conditionalFormatting>
  <conditionalFormatting sqref="O553 M553 G553 K553 S553 U553 W553 I553 Q553">
    <cfRule type="cellIs" dxfId="6280" priority="7625" stopIfTrue="1" operator="notEqual">
      <formula>H553</formula>
    </cfRule>
  </conditionalFormatting>
  <conditionalFormatting sqref="O554 M554 G554 K554 S554 U554 W554 I554 Q554">
    <cfRule type="cellIs" dxfId="6279" priority="7624" stopIfTrue="1" operator="notEqual">
      <formula>H554</formula>
    </cfRule>
  </conditionalFormatting>
  <conditionalFormatting sqref="O554 M554 G554 K554 S554 U554 W554 I554 Q554">
    <cfRule type="cellIs" dxfId="6278" priority="7623" stopIfTrue="1" operator="notEqual">
      <formula>H554</formula>
    </cfRule>
  </conditionalFormatting>
  <conditionalFormatting sqref="O552 M552 G552 K552 S552 U552 W552 I552 Q552">
    <cfRule type="cellIs" dxfId="6277" priority="7622" stopIfTrue="1" operator="notEqual">
      <formula>H552</formula>
    </cfRule>
  </conditionalFormatting>
  <conditionalFormatting sqref="O556 M556 G556 K556 S556 U556 W556 I556 Q556">
    <cfRule type="cellIs" dxfId="6276" priority="7621" stopIfTrue="1" operator="notEqual">
      <formula>H556</formula>
    </cfRule>
  </conditionalFormatting>
  <conditionalFormatting sqref="O545 M545 G545 K545 S545 U545 W545 I545 Q545">
    <cfRule type="cellIs" dxfId="6275" priority="7620" stopIfTrue="1" operator="notEqual">
      <formula>H545</formula>
    </cfRule>
  </conditionalFormatting>
  <conditionalFormatting sqref="O546 M546 G546 K546 S546 U546 W546 I546 Q546">
    <cfRule type="cellIs" dxfId="6274" priority="7619" stopIfTrue="1" operator="notEqual">
      <formula>H546</formula>
    </cfRule>
  </conditionalFormatting>
  <conditionalFormatting sqref="O547 M547 G547 K547 S547 U547 W547 I547 Q547">
    <cfRule type="cellIs" dxfId="6273" priority="7618" stopIfTrue="1" operator="notEqual">
      <formula>H547</formula>
    </cfRule>
  </conditionalFormatting>
  <conditionalFormatting sqref="O548 M548 G548 K548 S548 U548 W548 I548 Q548">
    <cfRule type="cellIs" dxfId="6272" priority="7617" stopIfTrue="1" operator="notEqual">
      <formula>H548</formula>
    </cfRule>
  </conditionalFormatting>
  <conditionalFormatting sqref="O549 M549 G549 K549 S549 U549 W549 I549 Q549">
    <cfRule type="cellIs" dxfId="6271" priority="7616" stopIfTrue="1" operator="notEqual">
      <formula>H549</formula>
    </cfRule>
  </conditionalFormatting>
  <conditionalFormatting sqref="O550 M550 G550 K550 S550 U550 W550 I550 Q550">
    <cfRule type="cellIs" dxfId="6270" priority="7615" stopIfTrue="1" operator="notEqual">
      <formula>H550</formula>
    </cfRule>
  </conditionalFormatting>
  <conditionalFormatting sqref="O551 M551 G551 K551 S551 U551 W551 I551 Q551">
    <cfRule type="cellIs" dxfId="6269" priority="7614" stopIfTrue="1" operator="notEqual">
      <formula>H551</formula>
    </cfRule>
  </conditionalFormatting>
  <conditionalFormatting sqref="O552 M552 G552 K552 S552 U552 W552 I552 Q552">
    <cfRule type="cellIs" dxfId="6268" priority="7613" stopIfTrue="1" operator="notEqual">
      <formula>H552</formula>
    </cfRule>
  </conditionalFormatting>
  <conditionalFormatting sqref="O553 M553 G553 K553 S553 U553 W553 I553 Q553">
    <cfRule type="cellIs" dxfId="6267" priority="7612" stopIfTrue="1" operator="notEqual">
      <formula>H553</formula>
    </cfRule>
  </conditionalFormatting>
  <conditionalFormatting sqref="O554 M554 G554 K554 S554 U554 W554 I554 Q554">
    <cfRule type="cellIs" dxfId="6266" priority="7611" stopIfTrue="1" operator="notEqual">
      <formula>H554</formula>
    </cfRule>
  </conditionalFormatting>
  <conditionalFormatting sqref="O555:O563 M555:M563 G555:G563 K555:K563 S555:S563 U555:U563 W555:W563 I555:I563 Q555:Q563">
    <cfRule type="cellIs" dxfId="6265" priority="7610" stopIfTrue="1" operator="notEqual">
      <formula>H555</formula>
    </cfRule>
  </conditionalFormatting>
  <conditionalFormatting sqref="O556 M556 G556 K556 S556 U556 W556 I556 Q556">
    <cfRule type="cellIs" dxfId="6264" priority="7609" stopIfTrue="1" operator="notEqual">
      <formula>H556</formula>
    </cfRule>
  </conditionalFormatting>
  <conditionalFormatting sqref="G556:G559">
    <cfRule type="cellIs" dxfId="6263" priority="7608" stopIfTrue="1" operator="notEqual">
      <formula>H556</formula>
    </cfRule>
  </conditionalFormatting>
  <conditionalFormatting sqref="G556">
    <cfRule type="cellIs" dxfId="6262" priority="7607" stopIfTrue="1" operator="notEqual">
      <formula>H556</formula>
    </cfRule>
  </conditionalFormatting>
  <conditionalFormatting sqref="G557">
    <cfRule type="cellIs" dxfId="6261" priority="7606" stopIfTrue="1" operator="notEqual">
      <formula>H557</formula>
    </cfRule>
  </conditionalFormatting>
  <conditionalFormatting sqref="G557">
    <cfRule type="cellIs" dxfId="6260" priority="7605" stopIfTrue="1" operator="notEqual">
      <formula>H557</formula>
    </cfRule>
  </conditionalFormatting>
  <conditionalFormatting sqref="G560">
    <cfRule type="cellIs" dxfId="6259" priority="7604" stopIfTrue="1" operator="notEqual">
      <formula>H560</formula>
    </cfRule>
  </conditionalFormatting>
  <conditionalFormatting sqref="G561">
    <cfRule type="cellIs" dxfId="6258" priority="7603" stopIfTrue="1" operator="notEqual">
      <formula>H561</formula>
    </cfRule>
  </conditionalFormatting>
  <conditionalFormatting sqref="G559">
    <cfRule type="cellIs" dxfId="6257" priority="7602" stopIfTrue="1" operator="notEqual">
      <formula>H559</formula>
    </cfRule>
  </conditionalFormatting>
  <conditionalFormatting sqref="G562">
    <cfRule type="cellIs" dxfId="6256" priority="7601" stopIfTrue="1" operator="notEqual">
      <formula>H562</formula>
    </cfRule>
  </conditionalFormatting>
  <conditionalFormatting sqref="G563">
    <cfRule type="cellIs" dxfId="6255" priority="7600" stopIfTrue="1" operator="notEqual">
      <formula>H563</formula>
    </cfRule>
  </conditionalFormatting>
  <conditionalFormatting sqref="G564">
    <cfRule type="cellIs" dxfId="6254" priority="7599" stopIfTrue="1" operator="notEqual">
      <formula>H564</formula>
    </cfRule>
  </conditionalFormatting>
  <conditionalFormatting sqref="O556 M556 G556 K556 S556 U556 W556 I556 Q556">
    <cfRule type="cellIs" dxfId="6253" priority="7598" stopIfTrue="1" operator="notEqual">
      <formula>H556</formula>
    </cfRule>
  </conditionalFormatting>
  <conditionalFormatting sqref="O557 M557 G557 K557 S557 U557 W557 I557 Q557">
    <cfRule type="cellIs" dxfId="6252" priority="7597" stopIfTrue="1" operator="notEqual">
      <formula>H557</formula>
    </cfRule>
  </conditionalFormatting>
  <conditionalFormatting sqref="O558 M558 G558 K558 S558 U558 W558 I558 Q558">
    <cfRule type="cellIs" dxfId="6251" priority="7596" stopIfTrue="1" operator="notEqual">
      <formula>H558</formula>
    </cfRule>
  </conditionalFormatting>
  <conditionalFormatting sqref="O559 M559 G559 K559 S559 U559 W559 I559 Q559">
    <cfRule type="cellIs" dxfId="6250" priority="7595" stopIfTrue="1" operator="notEqual">
      <formula>H559</formula>
    </cfRule>
  </conditionalFormatting>
  <conditionalFormatting sqref="O560 M560 G560 K560 S560 U560 W560 I560 Q560">
    <cfRule type="cellIs" dxfId="6249" priority="7594" stopIfTrue="1" operator="notEqual">
      <formula>H560</formula>
    </cfRule>
  </conditionalFormatting>
  <conditionalFormatting sqref="O561 M561 G561 K561 S561 U561 W561 I561 Q561">
    <cfRule type="cellIs" dxfId="6248" priority="7593" stopIfTrue="1" operator="notEqual">
      <formula>H561</formula>
    </cfRule>
  </conditionalFormatting>
  <conditionalFormatting sqref="O562 M562 G562 K562 S562 U562 W562 I562 Q562">
    <cfRule type="cellIs" dxfId="6247" priority="7592" stopIfTrue="1" operator="notEqual">
      <formula>H562</formula>
    </cfRule>
  </conditionalFormatting>
  <conditionalFormatting sqref="O563 M563 G563 K563 S563 U563 W563 I563 Q563">
    <cfRule type="cellIs" dxfId="6246" priority="7591" stopIfTrue="1" operator="notEqual">
      <formula>H563</formula>
    </cfRule>
  </conditionalFormatting>
  <conditionalFormatting sqref="O564 M564 G564 K564 S564 U564 W564 I564 Q564">
    <cfRule type="cellIs" dxfId="6245" priority="7590" stopIfTrue="1" operator="notEqual">
      <formula>H564</formula>
    </cfRule>
  </conditionalFormatting>
  <conditionalFormatting sqref="G556">
    <cfRule type="cellIs" dxfId="6244" priority="7589" stopIfTrue="1" operator="notEqual">
      <formula>H556</formula>
    </cfRule>
  </conditionalFormatting>
  <conditionalFormatting sqref="G557">
    <cfRule type="cellIs" dxfId="6243" priority="7588" stopIfTrue="1" operator="notEqual">
      <formula>H557</formula>
    </cfRule>
  </conditionalFormatting>
  <conditionalFormatting sqref="G558">
    <cfRule type="cellIs" dxfId="6242" priority="7587" stopIfTrue="1" operator="notEqual">
      <formula>H558</formula>
    </cfRule>
  </conditionalFormatting>
  <conditionalFormatting sqref="G559">
    <cfRule type="cellIs" dxfId="6241" priority="7586" stopIfTrue="1" operator="notEqual">
      <formula>H559</formula>
    </cfRule>
  </conditionalFormatting>
  <conditionalFormatting sqref="G560">
    <cfRule type="cellIs" dxfId="6240" priority="7585" stopIfTrue="1" operator="notEqual">
      <formula>H560</formula>
    </cfRule>
  </conditionalFormatting>
  <conditionalFormatting sqref="G561">
    <cfRule type="cellIs" dxfId="6239" priority="7584" stopIfTrue="1" operator="notEqual">
      <formula>H561</formula>
    </cfRule>
  </conditionalFormatting>
  <conditionalFormatting sqref="G562">
    <cfRule type="cellIs" dxfId="6238" priority="7583" stopIfTrue="1" operator="notEqual">
      <formula>H562</formula>
    </cfRule>
  </conditionalFormatting>
  <conditionalFormatting sqref="G563">
    <cfRule type="cellIs" dxfId="6237" priority="7582" stopIfTrue="1" operator="notEqual">
      <formula>H563</formula>
    </cfRule>
  </conditionalFormatting>
  <conditionalFormatting sqref="G564">
    <cfRule type="cellIs" dxfId="6236" priority="7581" stopIfTrue="1" operator="notEqual">
      <formula>H564</formula>
    </cfRule>
  </conditionalFormatting>
  <conditionalFormatting sqref="G556">
    <cfRule type="cellIs" dxfId="6235" priority="7580" stopIfTrue="1" operator="notEqual">
      <formula>H556</formula>
    </cfRule>
  </conditionalFormatting>
  <conditionalFormatting sqref="G556">
    <cfRule type="cellIs" dxfId="6234" priority="7579" stopIfTrue="1" operator="notEqual">
      <formula>H556</formula>
    </cfRule>
  </conditionalFormatting>
  <conditionalFormatting sqref="G556">
    <cfRule type="cellIs" dxfId="6233" priority="7578" stopIfTrue="1" operator="notEqual">
      <formula>H556</formula>
    </cfRule>
  </conditionalFormatting>
  <conditionalFormatting sqref="G556">
    <cfRule type="cellIs" dxfId="6232" priority="7577" stopIfTrue="1" operator="notEqual">
      <formula>H556</formula>
    </cfRule>
  </conditionalFormatting>
  <conditionalFormatting sqref="G556">
    <cfRule type="cellIs" dxfId="6231" priority="7576" stopIfTrue="1" operator="notEqual">
      <formula>H556</formula>
    </cfRule>
  </conditionalFormatting>
  <conditionalFormatting sqref="G556">
    <cfRule type="cellIs" dxfId="6230" priority="7575" stopIfTrue="1" operator="notEqual">
      <formula>H556</formula>
    </cfRule>
  </conditionalFormatting>
  <conditionalFormatting sqref="O556 M556 G556 K556 S556 U556 W556 I556 Q556">
    <cfRule type="cellIs" dxfId="6229" priority="7574" stopIfTrue="1" operator="notEqual">
      <formula>H556</formula>
    </cfRule>
  </conditionalFormatting>
  <conditionalFormatting sqref="O557 M557 G557 K557 S557 U557 W557 I557 Q557">
    <cfRule type="cellIs" dxfId="6228" priority="7573" stopIfTrue="1" operator="notEqual">
      <formula>H557</formula>
    </cfRule>
  </conditionalFormatting>
  <conditionalFormatting sqref="O558 M558 G558 K558 S558 U558 W558 I558 Q558">
    <cfRule type="cellIs" dxfId="6227" priority="7572" stopIfTrue="1" operator="notEqual">
      <formula>H558</formula>
    </cfRule>
  </conditionalFormatting>
  <conditionalFormatting sqref="O559 M559 G559 K559 S559 U559 W559 I559 Q559">
    <cfRule type="cellIs" dxfId="6226" priority="7571" stopIfTrue="1" operator="notEqual">
      <formula>H559</formula>
    </cfRule>
  </conditionalFormatting>
  <conditionalFormatting sqref="O560 M560 G560 K560 S560 U560 W560 I560 Q560">
    <cfRule type="cellIs" dxfId="6225" priority="7570" stopIfTrue="1" operator="notEqual">
      <formula>H560</formula>
    </cfRule>
  </conditionalFormatting>
  <conditionalFormatting sqref="O561 M561 G561 K561 S561 U561 W561 I561 Q561">
    <cfRule type="cellIs" dxfId="6224" priority="7569" stopIfTrue="1" operator="notEqual">
      <formula>H561</formula>
    </cfRule>
  </conditionalFormatting>
  <conditionalFormatting sqref="O562 M562 G562 K562 S562 U562 W562 I562 Q562">
    <cfRule type="cellIs" dxfId="6223" priority="7568" stopIfTrue="1" operator="notEqual">
      <formula>H562</formula>
    </cfRule>
  </conditionalFormatting>
  <conditionalFormatting sqref="O563 M563 G563 K563 S563 U563 W563 I563 Q563">
    <cfRule type="cellIs" dxfId="6222" priority="7567" stopIfTrue="1" operator="notEqual">
      <formula>H563</formula>
    </cfRule>
  </conditionalFormatting>
  <conditionalFormatting sqref="O564 M564 G564 K564 S564 U564 W564 I564 Q564">
    <cfRule type="cellIs" dxfId="6221" priority="7566" stopIfTrue="1" operator="notEqual">
      <formula>H564</formula>
    </cfRule>
  </conditionalFormatting>
  <conditionalFormatting sqref="O556 M556 G556 K556 S556 U556 W556 I556 Q556">
    <cfRule type="cellIs" dxfId="6220" priority="7565" stopIfTrue="1" operator="notEqual">
      <formula>H556</formula>
    </cfRule>
  </conditionalFormatting>
  <conditionalFormatting sqref="O557 M557 G557 K557 S557 U557 W557 I557 Q557">
    <cfRule type="cellIs" dxfId="6219" priority="7564" stopIfTrue="1" operator="notEqual">
      <formula>H557</formula>
    </cfRule>
  </conditionalFormatting>
  <conditionalFormatting sqref="O558 M558 G558 K558 S558 U558 W558 I558 Q558">
    <cfRule type="cellIs" dxfId="6218" priority="7563" stopIfTrue="1" operator="notEqual">
      <formula>H558</formula>
    </cfRule>
  </conditionalFormatting>
  <conditionalFormatting sqref="O556 M556 G556 K556 S556 U556 W556 I556 Q556">
    <cfRule type="cellIs" dxfId="6217" priority="7562" stopIfTrue="1" operator="notEqual">
      <formula>H556</formula>
    </cfRule>
  </conditionalFormatting>
  <conditionalFormatting sqref="O559 M559 G559 K559 S559 U559 W559 I559 Q559">
    <cfRule type="cellIs" dxfId="6216" priority="7561" stopIfTrue="1" operator="notEqual">
      <formula>H559</formula>
    </cfRule>
  </conditionalFormatting>
  <conditionalFormatting sqref="O560 M560 G560 K560 S560 U560 W560 I560 Q560">
    <cfRule type="cellIs" dxfId="6215" priority="7560" stopIfTrue="1" operator="notEqual">
      <formula>H560</formula>
    </cfRule>
  </conditionalFormatting>
  <conditionalFormatting sqref="O561 M561 G561 K561 S561 U561 W561 I561 Q561">
    <cfRule type="cellIs" dxfId="6214" priority="7559" stopIfTrue="1" operator="notEqual">
      <formula>H561</formula>
    </cfRule>
  </conditionalFormatting>
  <conditionalFormatting sqref="O562 M562 G562 K562 S562 U562 W562 I562 Q562">
    <cfRule type="cellIs" dxfId="6213" priority="7558" stopIfTrue="1" operator="notEqual">
      <formula>H562</formula>
    </cfRule>
  </conditionalFormatting>
  <conditionalFormatting sqref="O563 M563 G563 K563 S563 U563 W563 I563 Q563">
    <cfRule type="cellIs" dxfId="6212" priority="7557" stopIfTrue="1" operator="notEqual">
      <formula>H563</formula>
    </cfRule>
  </conditionalFormatting>
  <conditionalFormatting sqref="O564 M564 G564 K564 S564 U564 W564 I564 Q564">
    <cfRule type="cellIs" dxfId="6211" priority="7556" stopIfTrue="1" operator="notEqual">
      <formula>H564</formula>
    </cfRule>
  </conditionalFormatting>
  <conditionalFormatting sqref="G559:G564">
    <cfRule type="cellIs" dxfId="6210" priority="7555" stopIfTrue="1" operator="notEqual">
      <formula>H559</formula>
    </cfRule>
  </conditionalFormatting>
  <conditionalFormatting sqref="G545">
    <cfRule type="cellIs" dxfId="6209" priority="7554" stopIfTrue="1" operator="notEqual">
      <formula>H545</formula>
    </cfRule>
  </conditionalFormatting>
  <conditionalFormatting sqref="G546">
    <cfRule type="cellIs" dxfId="6208" priority="7553" stopIfTrue="1" operator="notEqual">
      <formula>H546</formula>
    </cfRule>
  </conditionalFormatting>
  <conditionalFormatting sqref="G547">
    <cfRule type="cellIs" dxfId="6207" priority="7552" stopIfTrue="1" operator="notEqual">
      <formula>H547</formula>
    </cfRule>
  </conditionalFormatting>
  <conditionalFormatting sqref="G548">
    <cfRule type="cellIs" dxfId="6206" priority="7551" stopIfTrue="1" operator="notEqual">
      <formula>H548</formula>
    </cfRule>
  </conditionalFormatting>
  <conditionalFormatting sqref="G549">
    <cfRule type="cellIs" dxfId="6205" priority="7550" stopIfTrue="1" operator="notEqual">
      <formula>H549</formula>
    </cfRule>
  </conditionalFormatting>
  <conditionalFormatting sqref="G550">
    <cfRule type="cellIs" dxfId="6204" priority="7549" stopIfTrue="1" operator="notEqual">
      <formula>H550</formula>
    </cfRule>
  </conditionalFormatting>
  <conditionalFormatting sqref="G551">
    <cfRule type="cellIs" dxfId="6203" priority="7548" stopIfTrue="1" operator="notEqual">
      <formula>H551</formula>
    </cfRule>
  </conditionalFormatting>
  <conditionalFormatting sqref="G552">
    <cfRule type="cellIs" dxfId="6202" priority="7547" stopIfTrue="1" operator="notEqual">
      <formula>H552</formula>
    </cfRule>
  </conditionalFormatting>
  <conditionalFormatting sqref="G553">
    <cfRule type="cellIs" dxfId="6201" priority="7546" stopIfTrue="1" operator="notEqual">
      <formula>H553</formula>
    </cfRule>
  </conditionalFormatting>
  <conditionalFormatting sqref="G554">
    <cfRule type="cellIs" dxfId="6200" priority="7545" stopIfTrue="1" operator="notEqual">
      <formula>H554</formula>
    </cfRule>
  </conditionalFormatting>
  <conditionalFormatting sqref="G555:G563">
    <cfRule type="cellIs" dxfId="6199" priority="7544" stopIfTrue="1" operator="notEqual">
      <formula>H555</formula>
    </cfRule>
  </conditionalFormatting>
  <conditionalFormatting sqref="G556">
    <cfRule type="cellIs" dxfId="6198" priority="7543" stopIfTrue="1" operator="notEqual">
      <formula>H556</formula>
    </cfRule>
  </conditionalFormatting>
  <conditionalFormatting sqref="G557">
    <cfRule type="cellIs" dxfId="6197" priority="7542" stopIfTrue="1" operator="notEqual">
      <formula>H557</formula>
    </cfRule>
  </conditionalFormatting>
  <conditionalFormatting sqref="G558">
    <cfRule type="cellIs" dxfId="6196" priority="7541" stopIfTrue="1" operator="notEqual">
      <formula>H558</formula>
    </cfRule>
  </conditionalFormatting>
  <conditionalFormatting sqref="G545">
    <cfRule type="cellIs" dxfId="6195" priority="7540" stopIfTrue="1" operator="notEqual">
      <formula>H545</formula>
    </cfRule>
  </conditionalFormatting>
  <conditionalFormatting sqref="G545">
    <cfRule type="cellIs" dxfId="6194" priority="7539" stopIfTrue="1" operator="notEqual">
      <formula>H545</formula>
    </cfRule>
  </conditionalFormatting>
  <conditionalFormatting sqref="G545">
    <cfRule type="cellIs" dxfId="6193" priority="7538" stopIfTrue="1" operator="notEqual">
      <formula>H545</formula>
    </cfRule>
  </conditionalFormatting>
  <conditionalFormatting sqref="G545">
    <cfRule type="cellIs" dxfId="6192" priority="7537" stopIfTrue="1" operator="notEqual">
      <formula>H545</formula>
    </cfRule>
  </conditionalFormatting>
  <conditionalFormatting sqref="G545">
    <cfRule type="cellIs" dxfId="6191" priority="7536" stopIfTrue="1" operator="notEqual">
      <formula>H545</formula>
    </cfRule>
  </conditionalFormatting>
  <conditionalFormatting sqref="G545">
    <cfRule type="cellIs" dxfId="6190" priority="7535" stopIfTrue="1" operator="notEqual">
      <formula>H545</formula>
    </cfRule>
  </conditionalFormatting>
  <conditionalFormatting sqref="G561">
    <cfRule type="cellIs" dxfId="6189" priority="7534" stopIfTrue="1" operator="notEqual">
      <formula>H561</formula>
    </cfRule>
  </conditionalFormatting>
  <conditionalFormatting sqref="G562">
    <cfRule type="cellIs" dxfId="6188" priority="7533" stopIfTrue="1" operator="notEqual">
      <formula>H562</formula>
    </cfRule>
  </conditionalFormatting>
  <conditionalFormatting sqref="G562">
    <cfRule type="cellIs" dxfId="6187" priority="7532" stopIfTrue="1" operator="notEqual">
      <formula>H562</formula>
    </cfRule>
  </conditionalFormatting>
  <conditionalFormatting sqref="G560">
    <cfRule type="cellIs" dxfId="6186" priority="7531" stopIfTrue="1" operator="notEqual">
      <formula>H560</formula>
    </cfRule>
  </conditionalFormatting>
  <conditionalFormatting sqref="G564">
    <cfRule type="cellIs" dxfId="6185" priority="7530" stopIfTrue="1" operator="notEqual">
      <formula>H564</formula>
    </cfRule>
  </conditionalFormatting>
  <conditionalFormatting sqref="O555:O563 M555:M563 G555:G563 K555:K563 S555:S563 U555:U563 W555:W563 I555:I563 Q555:Q563">
    <cfRule type="cellIs" dxfId="6184" priority="7529" stopIfTrue="1" operator="notEqual">
      <formula>H555</formula>
    </cfRule>
  </conditionalFormatting>
  <conditionalFormatting sqref="O545 M545 G545 K545 S545 U545 W545 I545 Q545">
    <cfRule type="cellIs" dxfId="6183" priority="7528" stopIfTrue="1" operator="notEqual">
      <formula>H545</formula>
    </cfRule>
  </conditionalFormatting>
  <conditionalFormatting sqref="O546 M546 G546 K546 S546 U546 W546 I546 Q546">
    <cfRule type="cellIs" dxfId="6182" priority="7527" stopIfTrue="1" operator="notEqual">
      <formula>H546</formula>
    </cfRule>
  </conditionalFormatting>
  <conditionalFormatting sqref="O547 M547 G547 K547 S547 U547 W547 I547 Q547">
    <cfRule type="cellIs" dxfId="6181" priority="7526" stopIfTrue="1" operator="notEqual">
      <formula>H547</formula>
    </cfRule>
  </conditionalFormatting>
  <conditionalFormatting sqref="O548 M548 G548 K548 S548 U548 W548 I548 Q548">
    <cfRule type="cellIs" dxfId="6180" priority="7525" stopIfTrue="1" operator="notEqual">
      <formula>H548</formula>
    </cfRule>
  </conditionalFormatting>
  <conditionalFormatting sqref="O549 M549 G549 K549 S549 U549 W549 I549 Q549">
    <cfRule type="cellIs" dxfId="6179" priority="7524" stopIfTrue="1" operator="notEqual">
      <formula>H549</formula>
    </cfRule>
  </conditionalFormatting>
  <conditionalFormatting sqref="O550 M550 G550 K550 S550 U550 W550 I550 Q550">
    <cfRule type="cellIs" dxfId="6178" priority="7523" stopIfTrue="1" operator="notEqual">
      <formula>H550</formula>
    </cfRule>
  </conditionalFormatting>
  <conditionalFormatting sqref="O551 M551 G551 K551 S551 U551 W551 I551 Q551">
    <cfRule type="cellIs" dxfId="6177" priority="7522" stopIfTrue="1" operator="notEqual">
      <formula>H551</formula>
    </cfRule>
  </conditionalFormatting>
  <conditionalFormatting sqref="O552 M552 G552 K552 S552 U552 W552 I552 Q552">
    <cfRule type="cellIs" dxfId="6176" priority="7521" stopIfTrue="1" operator="notEqual">
      <formula>H552</formula>
    </cfRule>
  </conditionalFormatting>
  <conditionalFormatting sqref="O553 M553 G553 K553 S553 U553 W553 I553 Q553">
    <cfRule type="cellIs" dxfId="6175" priority="7520" stopIfTrue="1" operator="notEqual">
      <formula>H553</formula>
    </cfRule>
  </conditionalFormatting>
  <conditionalFormatting sqref="O554 M554 G554 K554 S554 U554 W554 I554 Q554">
    <cfRule type="cellIs" dxfId="6174" priority="7519" stopIfTrue="1" operator="notEqual">
      <formula>H554</formula>
    </cfRule>
  </conditionalFormatting>
  <conditionalFormatting sqref="O557 M557 G557 K557 S557 U557 W557 I557 Q557">
    <cfRule type="cellIs" dxfId="6173" priority="7518" stopIfTrue="1" operator="notEqual">
      <formula>H557</formula>
    </cfRule>
  </conditionalFormatting>
  <conditionalFormatting sqref="O558 M558 G558 K558 S558 U558 W558 I558 Q558">
    <cfRule type="cellIs" dxfId="6172" priority="7517" stopIfTrue="1" operator="notEqual">
      <formula>H558</formula>
    </cfRule>
  </conditionalFormatting>
  <conditionalFormatting sqref="O558 M558 G558 K558 S558 U558 W558 I558 Q558">
    <cfRule type="cellIs" dxfId="6171" priority="7516" stopIfTrue="1" operator="notEqual">
      <formula>H558</formula>
    </cfRule>
  </conditionalFormatting>
  <conditionalFormatting sqref="O556 M556 G556 K556 S556 U556 W556 I556 Q556">
    <cfRule type="cellIs" dxfId="6170" priority="7515" stopIfTrue="1" operator="notEqual">
      <formula>H556</formula>
    </cfRule>
  </conditionalFormatting>
  <conditionalFormatting sqref="O561 M561 G561 K561 S561 U561 W561 I561 Q561">
    <cfRule type="cellIs" dxfId="6169" priority="7514" stopIfTrue="1" operator="notEqual">
      <formula>H561</formula>
    </cfRule>
  </conditionalFormatting>
  <conditionalFormatting sqref="O562 M562 G562 K562 S562 U562 W562 I562 Q562">
    <cfRule type="cellIs" dxfId="6168" priority="7513" stopIfTrue="1" operator="notEqual">
      <formula>H562</formula>
    </cfRule>
  </conditionalFormatting>
  <conditionalFormatting sqref="O560 M560 G560 K560 S560 U560 W560 I560 Q560">
    <cfRule type="cellIs" dxfId="6167" priority="7512" stopIfTrue="1" operator="notEqual">
      <formula>H560</formula>
    </cfRule>
  </conditionalFormatting>
  <conditionalFormatting sqref="O563 M563 G563 K563 S563 U563 W563 I563 Q563">
    <cfRule type="cellIs" dxfId="6166" priority="7511" stopIfTrue="1" operator="notEqual">
      <formula>H563</formula>
    </cfRule>
  </conditionalFormatting>
  <conditionalFormatting sqref="O564 M564 G564 K564 S564 U564 W564 I564 Q564">
    <cfRule type="cellIs" dxfId="6165" priority="7510" stopIfTrue="1" operator="notEqual">
      <formula>H564</formula>
    </cfRule>
  </conditionalFormatting>
  <conditionalFormatting sqref="O545 M545 G545 K545 S545 U545 W545 I545 Q545">
    <cfRule type="cellIs" dxfId="6164" priority="7509" stopIfTrue="1" operator="notEqual">
      <formula>H545</formula>
    </cfRule>
  </conditionalFormatting>
  <conditionalFormatting sqref="O546 M546 G546 K546 S546 U546 W546 I546 Q546">
    <cfRule type="cellIs" dxfId="6163" priority="7508" stopIfTrue="1" operator="notEqual">
      <formula>H546</formula>
    </cfRule>
  </conditionalFormatting>
  <conditionalFormatting sqref="O547 M547 G547 K547 S547 U547 W547 I547 Q547">
    <cfRule type="cellIs" dxfId="6162" priority="7507" stopIfTrue="1" operator="notEqual">
      <formula>H547</formula>
    </cfRule>
  </conditionalFormatting>
  <conditionalFormatting sqref="O545 M545 G545 K545 S545 U545 W545 I545 Q545">
    <cfRule type="cellIs" dxfId="6161" priority="7506" stopIfTrue="1" operator="notEqual">
      <formula>H545</formula>
    </cfRule>
  </conditionalFormatting>
  <conditionalFormatting sqref="O548 M548 G548 K548 S548 U548 W548 I548 Q548">
    <cfRule type="cellIs" dxfId="6160" priority="7505" stopIfTrue="1" operator="notEqual">
      <formula>H548</formula>
    </cfRule>
  </conditionalFormatting>
  <conditionalFormatting sqref="O549 M549 G549 K549 S549 U549 W549 I549 Q549">
    <cfRule type="cellIs" dxfId="6159" priority="7504" stopIfTrue="1" operator="notEqual">
      <formula>H549</formula>
    </cfRule>
  </conditionalFormatting>
  <conditionalFormatting sqref="O550 M550 G550 K550 S550 U550 W550 I550 Q550">
    <cfRule type="cellIs" dxfId="6158" priority="7503" stopIfTrue="1" operator="notEqual">
      <formula>H550</formula>
    </cfRule>
  </conditionalFormatting>
  <conditionalFormatting sqref="O551 M551 G551 K551 S551 U551 W551 I551 Q551">
    <cfRule type="cellIs" dxfId="6157" priority="7502" stopIfTrue="1" operator="notEqual">
      <formula>H551</formula>
    </cfRule>
  </conditionalFormatting>
  <conditionalFormatting sqref="O552 M552 G552 K552 S552 U552 W552 I552 Q552">
    <cfRule type="cellIs" dxfId="6156" priority="7501" stopIfTrue="1" operator="notEqual">
      <formula>H552</formula>
    </cfRule>
  </conditionalFormatting>
  <conditionalFormatting sqref="O553 M553 G553 K553 S553 U553 W553 I553 Q553">
    <cfRule type="cellIs" dxfId="6155" priority="7500" stopIfTrue="1" operator="notEqual">
      <formula>H553</formula>
    </cfRule>
  </conditionalFormatting>
  <conditionalFormatting sqref="O554 M554 G554 K554 S554 U554 W554 I554 Q554">
    <cfRule type="cellIs" dxfId="6154" priority="7499" stopIfTrue="1" operator="notEqual">
      <formula>H554</formula>
    </cfRule>
  </conditionalFormatting>
  <conditionalFormatting sqref="O555:O563 M555:M563 G555:G563 K555:K563 S555:S563 U555:U563 W555:W563 I555:I563 Q555:Q563">
    <cfRule type="cellIs" dxfId="6153" priority="7498" stopIfTrue="1" operator="notEqual">
      <formula>H555</formula>
    </cfRule>
  </conditionalFormatting>
  <conditionalFormatting sqref="O556 M556 G556 K556 S556 U556 W556 I556 Q556">
    <cfRule type="cellIs" dxfId="6152" priority="7497" stopIfTrue="1" operator="notEqual">
      <formula>H556</formula>
    </cfRule>
  </conditionalFormatting>
  <conditionalFormatting sqref="O557 M557 G557 K557 S557 U557 W557 I557 Q557">
    <cfRule type="cellIs" dxfId="6151" priority="7496" stopIfTrue="1" operator="notEqual">
      <formula>H557</formula>
    </cfRule>
  </conditionalFormatting>
  <conditionalFormatting sqref="O558 M558 G558 K558 S558 U558 W558 I558 Q558">
    <cfRule type="cellIs" dxfId="6150" priority="7495" stopIfTrue="1" operator="notEqual">
      <formula>H558</formula>
    </cfRule>
  </conditionalFormatting>
  <conditionalFormatting sqref="O559 M559 G559 K559 S559 U559 W559 I559 Q559">
    <cfRule type="cellIs" dxfId="6149" priority="7494" stopIfTrue="1" operator="notEqual">
      <formula>H559</formula>
    </cfRule>
  </conditionalFormatting>
  <conditionalFormatting sqref="O560 M560 G560 K560 S560 U560 W560 I560 Q560">
    <cfRule type="cellIs" dxfId="6148" priority="7493" stopIfTrue="1" operator="notEqual">
      <formula>H560</formula>
    </cfRule>
  </conditionalFormatting>
  <conditionalFormatting sqref="G561">
    <cfRule type="cellIs" dxfId="6147" priority="7492" stopIfTrue="1" operator="notEqual">
      <formula>H561</formula>
    </cfRule>
  </conditionalFormatting>
  <conditionalFormatting sqref="G562">
    <cfRule type="cellIs" dxfId="6146" priority="7491" stopIfTrue="1" operator="notEqual">
      <formula>H562</formula>
    </cfRule>
  </conditionalFormatting>
  <conditionalFormatting sqref="G563">
    <cfRule type="cellIs" dxfId="6145" priority="7490" stopIfTrue="1" operator="notEqual">
      <formula>H563</formula>
    </cfRule>
  </conditionalFormatting>
  <conditionalFormatting sqref="G564">
    <cfRule type="cellIs" dxfId="6144" priority="7489" stopIfTrue="1" operator="notEqual">
      <formula>H564</formula>
    </cfRule>
  </conditionalFormatting>
  <conditionalFormatting sqref="G561">
    <cfRule type="cellIs" dxfId="6143" priority="7488" stopIfTrue="1" operator="notEqual">
      <formula>H561</formula>
    </cfRule>
  </conditionalFormatting>
  <conditionalFormatting sqref="G561">
    <cfRule type="cellIs" dxfId="6142" priority="7487" stopIfTrue="1" operator="notEqual">
      <formula>H561</formula>
    </cfRule>
  </conditionalFormatting>
  <conditionalFormatting sqref="G561">
    <cfRule type="cellIs" dxfId="6141" priority="7486" stopIfTrue="1" operator="notEqual">
      <formula>H561</formula>
    </cfRule>
  </conditionalFormatting>
  <conditionalFormatting sqref="G561">
    <cfRule type="cellIs" dxfId="6140" priority="7485" stopIfTrue="1" operator="notEqual">
      <formula>H561</formula>
    </cfRule>
  </conditionalFormatting>
  <conditionalFormatting sqref="G561">
    <cfRule type="cellIs" dxfId="6139" priority="7484" stopIfTrue="1" operator="notEqual">
      <formula>H561</formula>
    </cfRule>
  </conditionalFormatting>
  <conditionalFormatting sqref="G561">
    <cfRule type="cellIs" dxfId="6138" priority="7483" stopIfTrue="1" operator="notEqual">
      <formula>H561</formula>
    </cfRule>
  </conditionalFormatting>
  <conditionalFormatting sqref="O561 M561 G561 K561 S561 U561 W561 I561 Q561">
    <cfRule type="cellIs" dxfId="6137" priority="7482" stopIfTrue="1" operator="notEqual">
      <formula>H561</formula>
    </cfRule>
  </conditionalFormatting>
  <conditionalFormatting sqref="O562 M562 G562 K562 S562 U562 W562 I562 Q562">
    <cfRule type="cellIs" dxfId="6136" priority="7481" stopIfTrue="1" operator="notEqual">
      <formula>H562</formula>
    </cfRule>
  </conditionalFormatting>
  <conditionalFormatting sqref="O563 M563 G563 K563 S563 U563 W563 I563 Q563">
    <cfRule type="cellIs" dxfId="6135" priority="7480" stopIfTrue="1" operator="notEqual">
      <formula>H563</formula>
    </cfRule>
  </conditionalFormatting>
  <conditionalFormatting sqref="O564 M564 G564 K564 S564 U564 W564 I564 Q564">
    <cfRule type="cellIs" dxfId="6134" priority="7479" stopIfTrue="1" operator="notEqual">
      <formula>H564</formula>
    </cfRule>
  </conditionalFormatting>
  <conditionalFormatting sqref="O561 M561 G561 K561 S561 U561 W561 I561 Q561">
    <cfRule type="cellIs" dxfId="6133" priority="7478" stopIfTrue="1" operator="notEqual">
      <formula>H561</formula>
    </cfRule>
  </conditionalFormatting>
  <conditionalFormatting sqref="O562 M562 G562 K562 S562 U562 W562 I562 Q562">
    <cfRule type="cellIs" dxfId="6132" priority="7477" stopIfTrue="1" operator="notEqual">
      <formula>H562</formula>
    </cfRule>
  </conditionalFormatting>
  <conditionalFormatting sqref="O563 M563 G563 K563 S563 U563 W563 I563 Q563">
    <cfRule type="cellIs" dxfId="6131" priority="7476" stopIfTrue="1" operator="notEqual">
      <formula>H563</formula>
    </cfRule>
  </conditionalFormatting>
  <conditionalFormatting sqref="O561 M561 G561 K561 S561 U561 W561 I561 Q561">
    <cfRule type="cellIs" dxfId="6130" priority="7475" stopIfTrue="1" operator="notEqual">
      <formula>H561</formula>
    </cfRule>
  </conditionalFormatting>
  <conditionalFormatting sqref="O564 M564 G564 K564 S564 U564 W564 I564 Q564">
    <cfRule type="cellIs" dxfId="6129" priority="7474" stopIfTrue="1" operator="notEqual">
      <formula>H564</formula>
    </cfRule>
  </conditionalFormatting>
  <conditionalFormatting sqref="O545:O549 M545:M549 G545:G549 K545:K549 S545:S549 U545:U549 W545:W549 I545:I549 Q545:Q549">
    <cfRule type="cellIs" dxfId="6128" priority="7473" stopIfTrue="1" operator="notEqual">
      <formula>H545</formula>
    </cfRule>
  </conditionalFormatting>
  <conditionalFormatting sqref="O546 M546 G546 K546 S546 U546 W546 I546 Q546">
    <cfRule type="cellIs" dxfId="6127" priority="7472" stopIfTrue="1" operator="notEqual">
      <formula>H546</formula>
    </cfRule>
  </conditionalFormatting>
  <conditionalFormatting sqref="O547 M547 G547 K547 S547 U547 W547 I547 Q547">
    <cfRule type="cellIs" dxfId="6126" priority="7471" stopIfTrue="1" operator="notEqual">
      <formula>H547</formula>
    </cfRule>
  </conditionalFormatting>
  <conditionalFormatting sqref="O547 M547 G547 K547 S547 U547 W547 I547 Q547">
    <cfRule type="cellIs" dxfId="6125" priority="7470" stopIfTrue="1" operator="notEqual">
      <formula>H547</formula>
    </cfRule>
  </conditionalFormatting>
  <conditionalFormatting sqref="O545 M545 G545 K545 S545 U545 W545 I545 Q545">
    <cfRule type="cellIs" dxfId="6124" priority="7469" stopIfTrue="1" operator="notEqual">
      <formula>H545</formula>
    </cfRule>
  </conditionalFormatting>
  <conditionalFormatting sqref="O550 M550 G550 K550 S550 U550 W550 I550 Q550">
    <cfRule type="cellIs" dxfId="6123" priority="7468" stopIfTrue="1" operator="notEqual">
      <formula>H550</formula>
    </cfRule>
  </conditionalFormatting>
  <conditionalFormatting sqref="O551 M551 G551 K551 S551 U551 W551 I551 Q551">
    <cfRule type="cellIs" dxfId="6122" priority="7467" stopIfTrue="1" operator="notEqual">
      <formula>H551</formula>
    </cfRule>
  </conditionalFormatting>
  <conditionalFormatting sqref="O549 M549 G549 K549 S549 U549 W549 I549 Q549">
    <cfRule type="cellIs" dxfId="6121" priority="7466" stopIfTrue="1" operator="notEqual">
      <formula>H549</formula>
    </cfRule>
  </conditionalFormatting>
  <conditionalFormatting sqref="O552 M552 G552 K552 S552 U552 W552 I552 Q552">
    <cfRule type="cellIs" dxfId="6120" priority="7465" stopIfTrue="1" operator="notEqual">
      <formula>H552</formula>
    </cfRule>
  </conditionalFormatting>
  <conditionalFormatting sqref="O553 M553 G553 K553 S553 U553 W553 I553 Q553">
    <cfRule type="cellIs" dxfId="6119" priority="7464" stopIfTrue="1" operator="notEqual">
      <formula>H553</formula>
    </cfRule>
  </conditionalFormatting>
  <conditionalFormatting sqref="O554 M554 G554 K554 S554 U554 W554 I554 Q554">
    <cfRule type="cellIs" dxfId="6118" priority="7463" stopIfTrue="1" operator="notEqual">
      <formula>H554</formula>
    </cfRule>
  </conditionalFormatting>
  <conditionalFormatting sqref="O555:O563 M555:M563 G555:G563 K555:K563 S555:S563 U555:U563 W555:W563 I555:I563 Q555:Q563">
    <cfRule type="cellIs" dxfId="6117" priority="7462" stopIfTrue="1" operator="notEqual">
      <formula>H555</formula>
    </cfRule>
  </conditionalFormatting>
  <conditionalFormatting sqref="O556 M556 G556 K556 S556 U556 W556 I556 Q556">
    <cfRule type="cellIs" dxfId="6116" priority="7461" stopIfTrue="1" operator="notEqual">
      <formula>H556</formula>
    </cfRule>
  </conditionalFormatting>
  <conditionalFormatting sqref="O557 M557 G557 K557 S557 U557 W557 I557 Q557">
    <cfRule type="cellIs" dxfId="6115" priority="7460" stopIfTrue="1" operator="notEqual">
      <formula>H557</formula>
    </cfRule>
  </conditionalFormatting>
  <conditionalFormatting sqref="O558 M558 G558 K558 S558 U558 W558 I558 Q558">
    <cfRule type="cellIs" dxfId="6114" priority="7459" stopIfTrue="1" operator="notEqual">
      <formula>H558</formula>
    </cfRule>
  </conditionalFormatting>
  <conditionalFormatting sqref="O559 M559 G559 K559 S559 U559 W559 I559 Q559">
    <cfRule type="cellIs" dxfId="6113" priority="7458" stopIfTrue="1" operator="notEqual">
      <formula>H559</formula>
    </cfRule>
  </conditionalFormatting>
  <conditionalFormatting sqref="O560 M560 G560 K560 S560 U560 W560 I560 Q560">
    <cfRule type="cellIs" dxfId="6112" priority="7457" stopIfTrue="1" operator="notEqual">
      <formula>H560</formula>
    </cfRule>
  </conditionalFormatting>
  <conditionalFormatting sqref="O561 M561 G561 K561 S561 U561 W561 I561 Q561">
    <cfRule type="cellIs" dxfId="6111" priority="7456" stopIfTrue="1" operator="notEqual">
      <formula>H561</formula>
    </cfRule>
  </conditionalFormatting>
  <conditionalFormatting sqref="O562 M562 G562 K562 S562 U562 W562 I562 Q562">
    <cfRule type="cellIs" dxfId="6110" priority="7455" stopIfTrue="1" operator="notEqual">
      <formula>H562</formula>
    </cfRule>
  </conditionalFormatting>
  <conditionalFormatting sqref="O563 M563 G563 K563 S563 U563 W563 I563 Q563">
    <cfRule type="cellIs" dxfId="6109" priority="7454" stopIfTrue="1" operator="notEqual">
      <formula>H563</formula>
    </cfRule>
  </conditionalFormatting>
  <conditionalFormatting sqref="O564 M564 G564 K564 S564 U564 W564 I564 Q564">
    <cfRule type="cellIs" dxfId="6108" priority="7453" stopIfTrue="1" operator="notEqual">
      <formula>H564</formula>
    </cfRule>
  </conditionalFormatting>
  <conditionalFormatting sqref="S567">
    <cfRule type="cellIs" dxfId="6107" priority="7442" stopIfTrue="1" operator="notEqual">
      <formula>T567</formula>
    </cfRule>
  </conditionalFormatting>
  <conditionalFormatting sqref="U567">
    <cfRule type="cellIs" dxfId="6106" priority="7440" stopIfTrue="1" operator="notEqual">
      <formula>V567</formula>
    </cfRule>
  </conditionalFormatting>
  <conditionalFormatting sqref="S574">
    <cfRule type="cellIs" dxfId="6105" priority="7437" stopIfTrue="1" operator="notEqual">
      <formula>T574</formula>
    </cfRule>
  </conditionalFormatting>
  <conditionalFormatting sqref="U574">
    <cfRule type="cellIs" dxfId="6104" priority="7435" stopIfTrue="1" operator="notEqual">
      <formula>V574</formula>
    </cfRule>
  </conditionalFormatting>
  <conditionalFormatting sqref="G572">
    <cfRule type="cellIs" dxfId="6103" priority="7424" stopIfTrue="1" operator="notEqual">
      <formula>H572</formula>
    </cfRule>
  </conditionalFormatting>
  <conditionalFormatting sqref="G565">
    <cfRule type="cellIs" dxfId="6102" priority="7423" stopIfTrue="1" operator="notEqual">
      <formula>H565</formula>
    </cfRule>
  </conditionalFormatting>
  <conditionalFormatting sqref="G566:G567">
    <cfRule type="cellIs" dxfId="6101" priority="7422" stopIfTrue="1" operator="notEqual">
      <formula>H566</formula>
    </cfRule>
  </conditionalFormatting>
  <conditionalFormatting sqref="G567">
    <cfRule type="cellIs" dxfId="6100" priority="7421" stopIfTrue="1" operator="notEqual">
      <formula>H567</formula>
    </cfRule>
  </conditionalFormatting>
  <conditionalFormatting sqref="G568:G569">
    <cfRule type="cellIs" dxfId="6099" priority="7420" stopIfTrue="1" operator="notEqual">
      <formula>H568</formula>
    </cfRule>
  </conditionalFormatting>
  <conditionalFormatting sqref="G569">
    <cfRule type="cellIs" dxfId="6098" priority="7419" stopIfTrue="1" operator="notEqual">
      <formula>H569</formula>
    </cfRule>
  </conditionalFormatting>
  <conditionalFormatting sqref="G570">
    <cfRule type="cellIs" dxfId="6097" priority="7418" stopIfTrue="1" operator="notEqual">
      <formula>H570</formula>
    </cfRule>
  </conditionalFormatting>
  <conditionalFormatting sqref="G565">
    <cfRule type="cellIs" dxfId="6096" priority="7416" stopIfTrue="1" operator="notEqual">
      <formula>H565</formula>
    </cfRule>
  </conditionalFormatting>
  <conditionalFormatting sqref="G566:G567">
    <cfRule type="cellIs" dxfId="6095" priority="7415" stopIfTrue="1" operator="notEqual">
      <formula>H566</formula>
    </cfRule>
  </conditionalFormatting>
  <conditionalFormatting sqref="G567">
    <cfRule type="cellIs" dxfId="6094" priority="7414" stopIfTrue="1" operator="notEqual">
      <formula>H567</formula>
    </cfRule>
  </conditionalFormatting>
  <conditionalFormatting sqref="G568:G569">
    <cfRule type="cellIs" dxfId="6093" priority="7413" stopIfTrue="1" operator="notEqual">
      <formula>H568</formula>
    </cfRule>
  </conditionalFormatting>
  <conditionalFormatting sqref="G569">
    <cfRule type="cellIs" dxfId="6092" priority="7412" stopIfTrue="1" operator="notEqual">
      <formula>H569</formula>
    </cfRule>
  </conditionalFormatting>
  <conditionalFormatting sqref="G570">
    <cfRule type="cellIs" dxfId="6091" priority="7411" stopIfTrue="1" operator="notEqual">
      <formula>H570</formula>
    </cfRule>
  </conditionalFormatting>
  <conditionalFormatting sqref="O565 M565 G565 K565 S565 U565 W565 I565 Q565">
    <cfRule type="cellIs" dxfId="6090" priority="7409" stopIfTrue="1" operator="notEqual">
      <formula>H565</formula>
    </cfRule>
  </conditionalFormatting>
  <conditionalFormatting sqref="O566:O567 M566:M567 G566:G567 K566:K567 S566:S567 U566:U567 W566:W567 I566:I567 Q566:Q567">
    <cfRule type="cellIs" dxfId="6089" priority="7408" stopIfTrue="1" operator="notEqual">
      <formula>H566</formula>
    </cfRule>
  </conditionalFormatting>
  <conditionalFormatting sqref="O567 M567 G567 K567 S567 U567 W567 I567 Q567">
    <cfRule type="cellIs" dxfId="6088" priority="7407" stopIfTrue="1" operator="notEqual">
      <formula>H567</formula>
    </cfRule>
  </conditionalFormatting>
  <conditionalFormatting sqref="O568:O569 M568:M569 G568:G569 K568:K569 S568:S569 U568:U569 W568:W569 I568:I569 Q568:Q569">
    <cfRule type="cellIs" dxfId="6087" priority="7406" stopIfTrue="1" operator="notEqual">
      <formula>H568</formula>
    </cfRule>
  </conditionalFormatting>
  <conditionalFormatting sqref="O569 M569 G569 K569 S569 U569 W569 I569 Q569">
    <cfRule type="cellIs" dxfId="6086" priority="7405" stopIfTrue="1" operator="notEqual">
      <formula>H569</formula>
    </cfRule>
  </conditionalFormatting>
  <conditionalFormatting sqref="O570 M570 G570 K570 S570 U570 W570 I570 Q570">
    <cfRule type="cellIs" dxfId="6085" priority="7404" stopIfTrue="1" operator="notEqual">
      <formula>H570</formula>
    </cfRule>
  </conditionalFormatting>
  <conditionalFormatting sqref="G565">
    <cfRule type="cellIs" dxfId="6084" priority="7402" stopIfTrue="1" operator="notEqual">
      <formula>H565</formula>
    </cfRule>
  </conditionalFormatting>
  <conditionalFormatting sqref="G566:G567">
    <cfRule type="cellIs" dxfId="6083" priority="7401" stopIfTrue="1" operator="notEqual">
      <formula>H566</formula>
    </cfRule>
  </conditionalFormatting>
  <conditionalFormatting sqref="G567">
    <cfRule type="cellIs" dxfId="6082" priority="7400" stopIfTrue="1" operator="notEqual">
      <formula>H567</formula>
    </cfRule>
  </conditionalFormatting>
  <conditionalFormatting sqref="G568:G569">
    <cfRule type="cellIs" dxfId="6081" priority="7399" stopIfTrue="1" operator="notEqual">
      <formula>H568</formula>
    </cfRule>
  </conditionalFormatting>
  <conditionalFormatting sqref="G569">
    <cfRule type="cellIs" dxfId="6080" priority="7398" stopIfTrue="1" operator="notEqual">
      <formula>H569</formula>
    </cfRule>
  </conditionalFormatting>
  <conditionalFormatting sqref="O565 M565 G565 K565 S565 U565 W565 I565 Q565">
    <cfRule type="cellIs" dxfId="6079" priority="7395" stopIfTrue="1" operator="notEqual">
      <formula>H565</formula>
    </cfRule>
  </conditionalFormatting>
  <conditionalFormatting sqref="O568:O569 M568:M569 G568:G569 K568:K569 S568:S569 U568:U569 W568:W569 I568:I569 Q568:Q569">
    <cfRule type="cellIs" dxfId="6078" priority="7394" stopIfTrue="1" operator="notEqual">
      <formula>H568</formula>
    </cfRule>
  </conditionalFormatting>
  <conditionalFormatting sqref="O569 M569 G569 K569 S569 U569 W569 I569 Q569">
    <cfRule type="cellIs" dxfId="6077" priority="7393" stopIfTrue="1" operator="notEqual">
      <formula>H569</formula>
    </cfRule>
  </conditionalFormatting>
  <conditionalFormatting sqref="O569 M569 G569 K569 S569 U569 W569 I569 Q569">
    <cfRule type="cellIs" dxfId="6076" priority="7392" stopIfTrue="1" operator="notEqual">
      <formula>H569</formula>
    </cfRule>
  </conditionalFormatting>
  <conditionalFormatting sqref="O567 M567 G567 K567 S567 U567 W567 I567 Q567">
    <cfRule type="cellIs" dxfId="6075" priority="7391" stopIfTrue="1" operator="notEqual">
      <formula>H567</formula>
    </cfRule>
  </conditionalFormatting>
  <conditionalFormatting sqref="O565 M565 G565 K565 S565 U565 W565 I565 Q565">
    <cfRule type="cellIs" dxfId="6074" priority="7389" stopIfTrue="1" operator="notEqual">
      <formula>H565</formula>
    </cfRule>
  </conditionalFormatting>
  <conditionalFormatting sqref="O566:O567 M566:M567 G566:G567 K566:K567 S566:S567 U566:U567 W566:W567 I566:I567 Q566:Q567">
    <cfRule type="cellIs" dxfId="6073" priority="7388" stopIfTrue="1" operator="notEqual">
      <formula>H566</formula>
    </cfRule>
  </conditionalFormatting>
  <conditionalFormatting sqref="O567 M567 G567 K567 S567 U567 W567 I567 Q567">
    <cfRule type="cellIs" dxfId="6072" priority="7387" stopIfTrue="1" operator="notEqual">
      <formula>H567</formula>
    </cfRule>
  </conditionalFormatting>
  <conditionalFormatting sqref="O568:O569 M568:M569 G568:G569 K568:K569 S568:S569 U568:U569 W568:W569 I568:I569 Q568:Q569">
    <cfRule type="cellIs" dxfId="6071" priority="7386" stopIfTrue="1" operator="notEqual">
      <formula>H568</formula>
    </cfRule>
  </conditionalFormatting>
  <conditionalFormatting sqref="O569 M569 G569 K569 S569 U569 W569 I569 Q569">
    <cfRule type="cellIs" dxfId="6070" priority="7385" stopIfTrue="1" operator="notEqual">
      <formula>H569</formula>
    </cfRule>
  </conditionalFormatting>
  <conditionalFormatting sqref="O570 M570 G570 K570 S570 U570 W570 I570 Q570">
    <cfRule type="cellIs" dxfId="6069" priority="7384" stopIfTrue="1" operator="notEqual">
      <formula>H570</formula>
    </cfRule>
  </conditionalFormatting>
  <conditionalFormatting sqref="G565">
    <cfRule type="cellIs" dxfId="6068" priority="7382" stopIfTrue="1" operator="notEqual">
      <formula>H565</formula>
    </cfRule>
  </conditionalFormatting>
  <conditionalFormatting sqref="G566:G567">
    <cfRule type="cellIs" dxfId="6067" priority="7381" stopIfTrue="1" operator="notEqual">
      <formula>H566</formula>
    </cfRule>
  </conditionalFormatting>
  <conditionalFormatting sqref="G567">
    <cfRule type="cellIs" dxfId="6066" priority="7380" stopIfTrue="1" operator="notEqual">
      <formula>H567</formula>
    </cfRule>
  </conditionalFormatting>
  <conditionalFormatting sqref="G568:G569">
    <cfRule type="cellIs" dxfId="6065" priority="7379" stopIfTrue="1" operator="notEqual">
      <formula>H568</formula>
    </cfRule>
  </conditionalFormatting>
  <conditionalFormatting sqref="G569">
    <cfRule type="cellIs" dxfId="6064" priority="7378" stopIfTrue="1" operator="notEqual">
      <formula>H569</formula>
    </cfRule>
  </conditionalFormatting>
  <conditionalFormatting sqref="G570">
    <cfRule type="cellIs" dxfId="6063" priority="7377" stopIfTrue="1" operator="notEqual">
      <formula>H570</formula>
    </cfRule>
  </conditionalFormatting>
  <conditionalFormatting sqref="G572">
    <cfRule type="cellIs" dxfId="6062" priority="7375" stopIfTrue="1" operator="notEqual">
      <formula>H572</formula>
    </cfRule>
  </conditionalFormatting>
  <conditionalFormatting sqref="G574">
    <cfRule type="cellIs" dxfId="6061" priority="7373" stopIfTrue="1" operator="notEqual">
      <formula>H574</formula>
    </cfRule>
  </conditionalFormatting>
  <conditionalFormatting sqref="O565 M565 G565 K565 S565 U565 W565 I565 Q565">
    <cfRule type="cellIs" dxfId="6060" priority="7362" stopIfTrue="1" operator="notEqual">
      <formula>H565</formula>
    </cfRule>
  </conditionalFormatting>
  <conditionalFormatting sqref="O566:O567 M566:M567 G566:G567 K566:K567 S566:S567 U566:U567 W566:W567 I566:I567 Q566:Q567">
    <cfRule type="cellIs" dxfId="6059" priority="7361" stopIfTrue="1" operator="notEqual">
      <formula>H566</formula>
    </cfRule>
  </conditionalFormatting>
  <conditionalFormatting sqref="O567 M567 G567 K567 S567 U567 W567 I567 Q567">
    <cfRule type="cellIs" dxfId="6058" priority="7360" stopIfTrue="1" operator="notEqual">
      <formula>H567</formula>
    </cfRule>
  </conditionalFormatting>
  <conditionalFormatting sqref="O568:O569 M568:M569 G568:G569 K568:K569 S568:S569 U568:U569 W568:W569 I568:I569 Q568:Q569">
    <cfRule type="cellIs" dxfId="6057" priority="7359" stopIfTrue="1" operator="notEqual">
      <formula>H568</formula>
    </cfRule>
  </conditionalFormatting>
  <conditionalFormatting sqref="O569 M569 G569 K569 S569 U569 W569 I569 Q569">
    <cfRule type="cellIs" dxfId="6056" priority="7358" stopIfTrue="1" operator="notEqual">
      <formula>H569</formula>
    </cfRule>
  </conditionalFormatting>
  <conditionalFormatting sqref="O570 M570 G570 K570 S570 U570 W570 I570 Q570">
    <cfRule type="cellIs" dxfId="6055" priority="7357" stopIfTrue="1" operator="notEqual">
      <formula>H570</formula>
    </cfRule>
  </conditionalFormatting>
  <conditionalFormatting sqref="O572 M572 G572 K572 S572 U572 W572 I572 Q572">
    <cfRule type="cellIs" dxfId="6054" priority="7355" stopIfTrue="1" operator="notEqual">
      <formula>H572</formula>
    </cfRule>
  </conditionalFormatting>
  <conditionalFormatting sqref="O574 M574 G574 K574 S574 U574 W574 I574 Q574">
    <cfRule type="cellIs" dxfId="6053" priority="7353" stopIfTrue="1" operator="notEqual">
      <formula>H574</formula>
    </cfRule>
  </conditionalFormatting>
  <conditionalFormatting sqref="G565">
    <cfRule type="cellIs" dxfId="6052" priority="7350" stopIfTrue="1" operator="notEqual">
      <formula>H565</formula>
    </cfRule>
  </conditionalFormatting>
  <conditionalFormatting sqref="G566:G567">
    <cfRule type="cellIs" dxfId="6051" priority="7349" stopIfTrue="1" operator="notEqual">
      <formula>H566</formula>
    </cfRule>
  </conditionalFormatting>
  <conditionalFormatting sqref="G567">
    <cfRule type="cellIs" dxfId="6050" priority="7348" stopIfTrue="1" operator="notEqual">
      <formula>H567</formula>
    </cfRule>
  </conditionalFormatting>
  <conditionalFormatting sqref="G568:G569">
    <cfRule type="cellIs" dxfId="6049" priority="7347" stopIfTrue="1" operator="notEqual">
      <formula>H568</formula>
    </cfRule>
  </conditionalFormatting>
  <conditionalFormatting sqref="G569">
    <cfRule type="cellIs" dxfId="6048" priority="7346" stopIfTrue="1" operator="notEqual">
      <formula>H569</formula>
    </cfRule>
  </conditionalFormatting>
  <conditionalFormatting sqref="G570">
    <cfRule type="cellIs" dxfId="6047" priority="7345" stopIfTrue="1" operator="notEqual">
      <formula>H570</formula>
    </cfRule>
  </conditionalFormatting>
  <conditionalFormatting sqref="G572">
    <cfRule type="cellIs" dxfId="6046" priority="7343" stopIfTrue="1" operator="notEqual">
      <formula>H572</formula>
    </cfRule>
  </conditionalFormatting>
  <conditionalFormatting sqref="G574">
    <cfRule type="cellIs" dxfId="6045" priority="7341" stopIfTrue="1" operator="notEqual">
      <formula>H574</formula>
    </cfRule>
  </conditionalFormatting>
  <conditionalFormatting sqref="O565 M565 G565 K565 S565 U565 W565 I565 Q565">
    <cfRule type="cellIs" dxfId="6044" priority="7338" stopIfTrue="1" operator="notEqual">
      <formula>H565</formula>
    </cfRule>
  </conditionalFormatting>
  <conditionalFormatting sqref="O566:O567 M566:M567 G566:G567 K566:K567 S566:S567 U566:U567 W566:W567 I566:I567 Q566:Q567">
    <cfRule type="cellIs" dxfId="6043" priority="7337" stopIfTrue="1" operator="notEqual">
      <formula>H566</formula>
    </cfRule>
  </conditionalFormatting>
  <conditionalFormatting sqref="O567 M567 G567 K567 S567 U567 W567 I567 Q567">
    <cfRule type="cellIs" dxfId="6042" priority="7336" stopIfTrue="1" operator="notEqual">
      <formula>H567</formula>
    </cfRule>
  </conditionalFormatting>
  <conditionalFormatting sqref="O568:O569 M568:M569 G568:G569 K568:K569 S568:S569 U568:U569 W568:W569 I568:I569 Q568:Q569">
    <cfRule type="cellIs" dxfId="6041" priority="7335" stopIfTrue="1" operator="notEqual">
      <formula>H568</formula>
    </cfRule>
  </conditionalFormatting>
  <conditionalFormatting sqref="O569 M569 G569 K569 S569 U569 W569 I569 Q569">
    <cfRule type="cellIs" dxfId="6040" priority="7334" stopIfTrue="1" operator="notEqual">
      <formula>H569</formula>
    </cfRule>
  </conditionalFormatting>
  <conditionalFormatting sqref="O570 M570 G570 K570 S570 U570 W570 I570 Q570">
    <cfRule type="cellIs" dxfId="6039" priority="7333" stopIfTrue="1" operator="notEqual">
      <formula>H570</formula>
    </cfRule>
  </conditionalFormatting>
  <conditionalFormatting sqref="O574 M574 G574 K574 S574 U574 W574 I574 Q574">
    <cfRule type="cellIs" dxfId="6038" priority="7331" stopIfTrue="1" operator="notEqual">
      <formula>H574</formula>
    </cfRule>
  </conditionalFormatting>
  <conditionalFormatting sqref="O574 M574 G574 K574 S574 U574 W574 I574 Q574">
    <cfRule type="cellIs" dxfId="6037" priority="7330" stopIfTrue="1" operator="notEqual">
      <formula>H574</formula>
    </cfRule>
  </conditionalFormatting>
  <conditionalFormatting sqref="O572 M572 G572 K572 S572 U572 W572 I572 Q572">
    <cfRule type="cellIs" dxfId="6036" priority="7329" stopIfTrue="1" operator="notEqual">
      <formula>H572</formula>
    </cfRule>
  </conditionalFormatting>
  <conditionalFormatting sqref="O565 M565 G565 K565 S565 U565 W565 I565 Q565">
    <cfRule type="cellIs" dxfId="6035" priority="7327" stopIfTrue="1" operator="notEqual">
      <formula>H565</formula>
    </cfRule>
  </conditionalFormatting>
  <conditionalFormatting sqref="O566:O567 M566:M567 G566:G567 K566:K567 S566:S567 U566:U567 W566:W567 I566:I567 Q566:Q567">
    <cfRule type="cellIs" dxfId="6034" priority="7326" stopIfTrue="1" operator="notEqual">
      <formula>H566</formula>
    </cfRule>
  </conditionalFormatting>
  <conditionalFormatting sqref="O567 M567 G567 K567 S567 U567 W567 I567 Q567">
    <cfRule type="cellIs" dxfId="6033" priority="7325" stopIfTrue="1" operator="notEqual">
      <formula>H567</formula>
    </cfRule>
  </conditionalFormatting>
  <conditionalFormatting sqref="O568:O569 M568:M569 G568:G569 K568:K569 S568:S569 U568:U569 W568:W569 I568:I569 Q568:Q569">
    <cfRule type="cellIs" dxfId="6032" priority="7324" stopIfTrue="1" operator="notEqual">
      <formula>H568</formula>
    </cfRule>
  </conditionalFormatting>
  <conditionalFormatting sqref="O569 M569 G569 K569 S569 U569 W569 I569 Q569">
    <cfRule type="cellIs" dxfId="6031" priority="7323" stopIfTrue="1" operator="notEqual">
      <formula>H569</formula>
    </cfRule>
  </conditionalFormatting>
  <conditionalFormatting sqref="O570 M570 G570 K570 S570 U570 W570 I570 Q570">
    <cfRule type="cellIs" dxfId="6030" priority="7322" stopIfTrue="1" operator="notEqual">
      <formula>H570</formula>
    </cfRule>
  </conditionalFormatting>
  <conditionalFormatting sqref="O572 M572 G572 K572 S572 U572 W572 I572 Q572">
    <cfRule type="cellIs" dxfId="6029" priority="7320" stopIfTrue="1" operator="notEqual">
      <formula>H572</formula>
    </cfRule>
  </conditionalFormatting>
  <conditionalFormatting sqref="O574 M574 G574 K574 S574 U574 W574 I574 Q574">
    <cfRule type="cellIs" dxfId="6028" priority="7318" stopIfTrue="1" operator="notEqual">
      <formula>H574</formula>
    </cfRule>
  </conditionalFormatting>
  <conditionalFormatting sqref="G565">
    <cfRule type="cellIs" dxfId="6027" priority="7261" stopIfTrue="1" operator="notEqual">
      <formula>H565</formula>
    </cfRule>
  </conditionalFormatting>
  <conditionalFormatting sqref="G566:G567">
    <cfRule type="cellIs" dxfId="6026" priority="7260" stopIfTrue="1" operator="notEqual">
      <formula>H566</formula>
    </cfRule>
  </conditionalFormatting>
  <conditionalFormatting sqref="G567">
    <cfRule type="cellIs" dxfId="6025" priority="7259" stopIfTrue="1" operator="notEqual">
      <formula>H567</formula>
    </cfRule>
  </conditionalFormatting>
  <conditionalFormatting sqref="G568:G569">
    <cfRule type="cellIs" dxfId="6024" priority="7258" stopIfTrue="1" operator="notEqual">
      <formula>H568</formula>
    </cfRule>
  </conditionalFormatting>
  <conditionalFormatting sqref="G569">
    <cfRule type="cellIs" dxfId="6023" priority="7257" stopIfTrue="1" operator="notEqual">
      <formula>H569</formula>
    </cfRule>
  </conditionalFormatting>
  <conditionalFormatting sqref="G570">
    <cfRule type="cellIs" dxfId="6022" priority="7256" stopIfTrue="1" operator="notEqual">
      <formula>H570</formula>
    </cfRule>
  </conditionalFormatting>
  <conditionalFormatting sqref="G572">
    <cfRule type="cellIs" dxfId="6021" priority="7254" stopIfTrue="1" operator="notEqual">
      <formula>H572</formula>
    </cfRule>
  </conditionalFormatting>
  <conditionalFormatting sqref="G574">
    <cfRule type="cellIs" dxfId="6020" priority="7252" stopIfTrue="1" operator="notEqual">
      <formula>H574</formula>
    </cfRule>
  </conditionalFormatting>
  <conditionalFormatting sqref="G565">
    <cfRule type="cellIs" dxfId="6019" priority="7247" stopIfTrue="1" operator="notEqual">
      <formula>H565</formula>
    </cfRule>
  </conditionalFormatting>
  <conditionalFormatting sqref="G565">
    <cfRule type="cellIs" dxfId="6018" priority="7246" stopIfTrue="1" operator="notEqual">
      <formula>H565</formula>
    </cfRule>
  </conditionalFormatting>
  <conditionalFormatting sqref="G565">
    <cfRule type="cellIs" dxfId="6017" priority="7245" stopIfTrue="1" operator="notEqual">
      <formula>H565</formula>
    </cfRule>
  </conditionalFormatting>
  <conditionalFormatting sqref="G565">
    <cfRule type="cellIs" dxfId="6016" priority="7244" stopIfTrue="1" operator="notEqual">
      <formula>H565</formula>
    </cfRule>
  </conditionalFormatting>
  <conditionalFormatting sqref="G565">
    <cfRule type="cellIs" dxfId="6015" priority="7243" stopIfTrue="1" operator="notEqual">
      <formula>H565</formula>
    </cfRule>
  </conditionalFormatting>
  <conditionalFormatting sqref="G565">
    <cfRule type="cellIs" dxfId="6014" priority="7242" stopIfTrue="1" operator="notEqual">
      <formula>H565</formula>
    </cfRule>
  </conditionalFormatting>
  <conditionalFormatting sqref="O565 M565 G565 K565 S565 U565 W565 I565 Q565">
    <cfRule type="cellIs" dxfId="6013" priority="7235" stopIfTrue="1" operator="notEqual">
      <formula>H565</formula>
    </cfRule>
  </conditionalFormatting>
  <conditionalFormatting sqref="O566:O567 M566:M567 G566:G567 K566:K567 S566:S567 U566:U567 W566:W567 I566:I567 Q566:Q567">
    <cfRule type="cellIs" dxfId="6012" priority="7234" stopIfTrue="1" operator="notEqual">
      <formula>H566</formula>
    </cfRule>
  </conditionalFormatting>
  <conditionalFormatting sqref="O567 M567 G567 K567 S567 U567 W567 I567 Q567">
    <cfRule type="cellIs" dxfId="6011" priority="7233" stopIfTrue="1" operator="notEqual">
      <formula>H567</formula>
    </cfRule>
  </conditionalFormatting>
  <conditionalFormatting sqref="O568:O569 M568:M569 G568:G569 K568:K569 S568:S569 U568:U569 W568:W569 I568:I569 Q568:Q569">
    <cfRule type="cellIs" dxfId="6010" priority="7232" stopIfTrue="1" operator="notEqual">
      <formula>H568</formula>
    </cfRule>
  </conditionalFormatting>
  <conditionalFormatting sqref="O569 M569 G569 K569 S569 U569 W569 I569 Q569">
    <cfRule type="cellIs" dxfId="6009" priority="7231" stopIfTrue="1" operator="notEqual">
      <formula>H569</formula>
    </cfRule>
  </conditionalFormatting>
  <conditionalFormatting sqref="O570 M570 G570 K570 S570 U570 W570 I570 Q570">
    <cfRule type="cellIs" dxfId="6008" priority="7230" stopIfTrue="1" operator="notEqual">
      <formula>H570</formula>
    </cfRule>
  </conditionalFormatting>
  <conditionalFormatting sqref="O572 M572 G572 K572 S572 U572 W572 I572 Q572">
    <cfRule type="cellIs" dxfId="6007" priority="7228" stopIfTrue="1" operator="notEqual">
      <formula>H572</formula>
    </cfRule>
  </conditionalFormatting>
  <conditionalFormatting sqref="O574 M574 G574 K574 S574 U574 W574 I574 Q574">
    <cfRule type="cellIs" dxfId="6006" priority="7226" stopIfTrue="1" operator="notEqual">
      <formula>H574</formula>
    </cfRule>
  </conditionalFormatting>
  <conditionalFormatting sqref="O565 M565 G565 K565 S565 U565 W565 I565 Q565">
    <cfRule type="cellIs" dxfId="6005" priority="7216" stopIfTrue="1" operator="notEqual">
      <formula>H565</formula>
    </cfRule>
  </conditionalFormatting>
  <conditionalFormatting sqref="O566:O567 M566:M567 G566:G567 K566:K567 S566:S567 U566:U567 W566:W567 I566:I567 Q566:Q567">
    <cfRule type="cellIs" dxfId="6004" priority="7215" stopIfTrue="1" operator="notEqual">
      <formula>H566</formula>
    </cfRule>
  </conditionalFormatting>
  <conditionalFormatting sqref="O567 M567 G567 K567 S567 U567 W567 I567 Q567">
    <cfRule type="cellIs" dxfId="6003" priority="7214" stopIfTrue="1" operator="notEqual">
      <formula>H567</formula>
    </cfRule>
  </conditionalFormatting>
  <conditionalFormatting sqref="O565 M565 G565 K565 S565 U565 W565 I565 Q565">
    <cfRule type="cellIs" dxfId="6002" priority="7213" stopIfTrue="1" operator="notEqual">
      <formula>H565</formula>
    </cfRule>
  </conditionalFormatting>
  <conditionalFormatting sqref="O568:O569 M568:M569 G568:G569 K568:K569 S568:S569 U568:U569 W568:W569 I568:I569 Q568:Q569">
    <cfRule type="cellIs" dxfId="6001" priority="7212" stopIfTrue="1" operator="notEqual">
      <formula>H568</formula>
    </cfRule>
  </conditionalFormatting>
  <conditionalFormatting sqref="O569 M569 G569 K569 S569 U569 W569 I569 Q569">
    <cfRule type="cellIs" dxfId="6000" priority="7211" stopIfTrue="1" operator="notEqual">
      <formula>H569</formula>
    </cfRule>
  </conditionalFormatting>
  <conditionalFormatting sqref="O570 M570 G570 K570 S570 U570 W570 I570 Q570">
    <cfRule type="cellIs" dxfId="5999" priority="7210" stopIfTrue="1" operator="notEqual">
      <formula>H570</formula>
    </cfRule>
  </conditionalFormatting>
  <conditionalFormatting sqref="O572 M572 G572 K572 S572 U572 W572 I572 Q572">
    <cfRule type="cellIs" dxfId="5998" priority="7208" stopIfTrue="1" operator="notEqual">
      <formula>H572</formula>
    </cfRule>
  </conditionalFormatting>
  <conditionalFormatting sqref="O574 M574 G574 K574 S574 U574 W574 I574 Q574">
    <cfRule type="cellIs" dxfId="5997" priority="7206" stopIfTrue="1" operator="notEqual">
      <formula>H574</formula>
    </cfRule>
  </conditionalFormatting>
  <conditionalFormatting sqref="O566:O567 M566:M567 G566:G567 K566:K567 S566:S567 U566:U567 W566:W567 I566:I567 Q566:Q567">
    <cfRule type="cellIs" dxfId="5996" priority="7179" stopIfTrue="1" operator="notEqual">
      <formula>H566</formula>
    </cfRule>
  </conditionalFormatting>
  <conditionalFormatting sqref="O567 M567 G567 K567 S567 U567 W567 I567 Q567">
    <cfRule type="cellIs" dxfId="5995" priority="7178" stopIfTrue="1" operator="notEqual">
      <formula>H567</formula>
    </cfRule>
  </conditionalFormatting>
  <conditionalFormatting sqref="O567 M567 G567 K567 S567 U567 W567 I567 Q567">
    <cfRule type="cellIs" dxfId="5994" priority="7177" stopIfTrue="1" operator="notEqual">
      <formula>H567</formula>
    </cfRule>
  </conditionalFormatting>
  <conditionalFormatting sqref="O565 M565 G565 K565 S565 U565 W565 I565 Q565">
    <cfRule type="cellIs" dxfId="5993" priority="7176" stopIfTrue="1" operator="notEqual">
      <formula>H565</formula>
    </cfRule>
  </conditionalFormatting>
  <conditionalFormatting sqref="O570 M570 G570 K570 S570 U570 W570 I570 Q570">
    <cfRule type="cellIs" dxfId="5992" priority="7175" stopIfTrue="1" operator="notEqual">
      <formula>H570</formula>
    </cfRule>
  </conditionalFormatting>
  <conditionalFormatting sqref="O569 M569 G569 K569 S569 U569 W569 I569 Q569">
    <cfRule type="cellIs" dxfId="5991" priority="7173" stopIfTrue="1" operator="notEqual">
      <formula>H569</formula>
    </cfRule>
  </conditionalFormatting>
  <conditionalFormatting sqref="O572 M572 G572 K572 S572 U572 W572 I572 Q572">
    <cfRule type="cellIs" dxfId="5990" priority="7172" stopIfTrue="1" operator="notEqual">
      <formula>H572</formula>
    </cfRule>
  </conditionalFormatting>
  <conditionalFormatting sqref="O574 M574 G574 K574 S574 U574 W574 I574 Q574">
    <cfRule type="cellIs" dxfId="5989" priority="7170" stopIfTrue="1" operator="notEqual">
      <formula>H574</formula>
    </cfRule>
  </conditionalFormatting>
  <conditionalFormatting sqref="G569">
    <cfRule type="cellIs" dxfId="5988" priority="7142" stopIfTrue="1" operator="notEqual">
      <formula>H569</formula>
    </cfRule>
  </conditionalFormatting>
  <conditionalFormatting sqref="G570">
    <cfRule type="cellIs" dxfId="5987" priority="7141" stopIfTrue="1" operator="notEqual">
      <formula>H570</formula>
    </cfRule>
  </conditionalFormatting>
  <conditionalFormatting sqref="G572">
    <cfRule type="cellIs" dxfId="5986" priority="7139" stopIfTrue="1" operator="notEqual">
      <formula>H572</formula>
    </cfRule>
  </conditionalFormatting>
  <conditionalFormatting sqref="G574">
    <cfRule type="cellIs" dxfId="5985" priority="7137" stopIfTrue="1" operator="notEqual">
      <formula>H574</formula>
    </cfRule>
  </conditionalFormatting>
  <conditionalFormatting sqref="G569">
    <cfRule type="cellIs" dxfId="5984" priority="7135" stopIfTrue="1" operator="notEqual">
      <formula>H569</formula>
    </cfRule>
  </conditionalFormatting>
  <conditionalFormatting sqref="G570">
    <cfRule type="cellIs" dxfId="5983" priority="7134" stopIfTrue="1" operator="notEqual">
      <formula>H570</formula>
    </cfRule>
  </conditionalFormatting>
  <conditionalFormatting sqref="G572">
    <cfRule type="cellIs" dxfId="5982" priority="7132" stopIfTrue="1" operator="notEqual">
      <formula>H572</formula>
    </cfRule>
  </conditionalFormatting>
  <conditionalFormatting sqref="G574">
    <cfRule type="cellIs" dxfId="5981" priority="7130" stopIfTrue="1" operator="notEqual">
      <formula>H574</formula>
    </cfRule>
  </conditionalFormatting>
  <conditionalFormatting sqref="O569 M569 G569 K569 S569 U569 W569 I569 Q569">
    <cfRule type="cellIs" dxfId="5980" priority="7128" stopIfTrue="1" operator="notEqual">
      <formula>H569</formula>
    </cfRule>
  </conditionalFormatting>
  <conditionalFormatting sqref="O570 M570 G570 K570 S570 U570 W570 I570 Q570">
    <cfRule type="cellIs" dxfId="5979" priority="7127" stopIfTrue="1" operator="notEqual">
      <formula>H570</formula>
    </cfRule>
  </conditionalFormatting>
  <conditionalFormatting sqref="O572 M572 G572 K572 S572 U572 W572 I572 Q572">
    <cfRule type="cellIs" dxfId="5978" priority="7125" stopIfTrue="1" operator="notEqual">
      <formula>H572</formula>
    </cfRule>
  </conditionalFormatting>
  <conditionalFormatting sqref="O574 M574 G574 K574 S574 U574 W574 I574 Q574">
    <cfRule type="cellIs" dxfId="5977" priority="7123" stopIfTrue="1" operator="notEqual">
      <formula>H574</formula>
    </cfRule>
  </conditionalFormatting>
  <conditionalFormatting sqref="G569">
    <cfRule type="cellIs" dxfId="5976" priority="7121" stopIfTrue="1" operator="notEqual">
      <formula>H569</formula>
    </cfRule>
  </conditionalFormatting>
  <conditionalFormatting sqref="G570">
    <cfRule type="cellIs" dxfId="5975" priority="7120" stopIfTrue="1" operator="notEqual">
      <formula>H570</formula>
    </cfRule>
  </conditionalFormatting>
  <conditionalFormatting sqref="G572">
    <cfRule type="cellIs" dxfId="5974" priority="7118" stopIfTrue="1" operator="notEqual">
      <formula>H572</formula>
    </cfRule>
  </conditionalFormatting>
  <conditionalFormatting sqref="O569 M569 G569 K569 S569 U569 W569 I569 Q569">
    <cfRule type="cellIs" dxfId="5973" priority="7115" stopIfTrue="1" operator="notEqual">
      <formula>H569</formula>
    </cfRule>
  </conditionalFormatting>
  <conditionalFormatting sqref="O572 M572 G572 K572 S572 U572 W572 I572 Q572">
    <cfRule type="cellIs" dxfId="5972" priority="7114" stopIfTrue="1" operator="notEqual">
      <formula>H572</formula>
    </cfRule>
  </conditionalFormatting>
  <conditionalFormatting sqref="O569 M569 G569 K569 S569 U569 W569 I569 Q569">
    <cfRule type="cellIs" dxfId="5971" priority="7109" stopIfTrue="1" operator="notEqual">
      <formula>H569</formula>
    </cfRule>
  </conditionalFormatting>
  <conditionalFormatting sqref="O570 M570 G570 K570 S570 U570 W570 I570 Q570">
    <cfRule type="cellIs" dxfId="5970" priority="7108" stopIfTrue="1" operator="notEqual">
      <formula>H570</formula>
    </cfRule>
  </conditionalFormatting>
  <conditionalFormatting sqref="O572 M572 G572 K572 S572 U572 W572 I572 Q572">
    <cfRule type="cellIs" dxfId="5969" priority="7106" stopIfTrue="1" operator="notEqual">
      <formula>H572</formula>
    </cfRule>
  </conditionalFormatting>
  <conditionalFormatting sqref="O574 M574 G574 K574 S574 U574 W574 I574 Q574">
    <cfRule type="cellIs" dxfId="5968" priority="7104" stopIfTrue="1" operator="notEqual">
      <formula>H574</formula>
    </cfRule>
  </conditionalFormatting>
  <conditionalFormatting sqref="G569">
    <cfRule type="cellIs" dxfId="5967" priority="7102" stopIfTrue="1" operator="notEqual">
      <formula>H569</formula>
    </cfRule>
  </conditionalFormatting>
  <conditionalFormatting sqref="G570">
    <cfRule type="cellIs" dxfId="5966" priority="7101" stopIfTrue="1" operator="notEqual">
      <formula>H570</formula>
    </cfRule>
  </conditionalFormatting>
  <conditionalFormatting sqref="G572">
    <cfRule type="cellIs" dxfId="5965" priority="7099" stopIfTrue="1" operator="notEqual">
      <formula>H572</formula>
    </cfRule>
  </conditionalFormatting>
  <conditionalFormatting sqref="G574">
    <cfRule type="cellIs" dxfId="5964" priority="7097" stopIfTrue="1" operator="notEqual">
      <formula>H574</formula>
    </cfRule>
  </conditionalFormatting>
  <conditionalFormatting sqref="O569 M569 G569 K569 S569 U569 W569 I569 Q569">
    <cfRule type="cellIs" dxfId="5963" priority="7082" stopIfTrue="1" operator="notEqual">
      <formula>H569</formula>
    </cfRule>
  </conditionalFormatting>
  <conditionalFormatting sqref="O570 M570 G570 K570 S570 U570 W570 I570 Q570">
    <cfRule type="cellIs" dxfId="5962" priority="7081" stopIfTrue="1" operator="notEqual">
      <formula>H570</formula>
    </cfRule>
  </conditionalFormatting>
  <conditionalFormatting sqref="O572 M572 G572 K572 S572 U572 W572 I572 Q572">
    <cfRule type="cellIs" dxfId="5961" priority="7079" stopIfTrue="1" operator="notEqual">
      <formula>H572</formula>
    </cfRule>
  </conditionalFormatting>
  <conditionalFormatting sqref="O574 M574 G574 K574 S574 U574 W574 I574 Q574">
    <cfRule type="cellIs" dxfId="5960" priority="7077" stopIfTrue="1" operator="notEqual">
      <formula>H574</formula>
    </cfRule>
  </conditionalFormatting>
  <conditionalFormatting sqref="G569">
    <cfRule type="cellIs" dxfId="5959" priority="7070" stopIfTrue="1" operator="notEqual">
      <formula>H569</formula>
    </cfRule>
  </conditionalFormatting>
  <conditionalFormatting sqref="G570">
    <cfRule type="cellIs" dxfId="5958" priority="7069" stopIfTrue="1" operator="notEqual">
      <formula>H570</formula>
    </cfRule>
  </conditionalFormatting>
  <conditionalFormatting sqref="G572">
    <cfRule type="cellIs" dxfId="5957" priority="7067" stopIfTrue="1" operator="notEqual">
      <formula>H572</formula>
    </cfRule>
  </conditionalFormatting>
  <conditionalFormatting sqref="G574">
    <cfRule type="cellIs" dxfId="5956" priority="7065" stopIfTrue="1" operator="notEqual">
      <formula>H574</formula>
    </cfRule>
  </conditionalFormatting>
  <conditionalFormatting sqref="O569 M569 G569 K569 S569 U569 W569 I569 Q569">
    <cfRule type="cellIs" dxfId="5955" priority="7059" stopIfTrue="1" operator="notEqual">
      <formula>H569</formula>
    </cfRule>
  </conditionalFormatting>
  <conditionalFormatting sqref="O570 M570 G570 K570 S570 U570 W570 I570 Q570">
    <cfRule type="cellIs" dxfId="5954" priority="7058" stopIfTrue="1" operator="notEqual">
      <formula>H570</formula>
    </cfRule>
  </conditionalFormatting>
  <conditionalFormatting sqref="O572 M572 G572 K572 S572 U572 W572 I572 Q572">
    <cfRule type="cellIs" dxfId="5953" priority="7056" stopIfTrue="1" operator="notEqual">
      <formula>H572</formula>
    </cfRule>
  </conditionalFormatting>
  <conditionalFormatting sqref="O574 M574 G574 K574 S574 U574 W574 I574 Q574">
    <cfRule type="cellIs" dxfId="5952" priority="7054" stopIfTrue="1" operator="notEqual">
      <formula>H574</formula>
    </cfRule>
  </conditionalFormatting>
  <conditionalFormatting sqref="O569 M569 G569 K569 S569 U569 W569 I569 Q569">
    <cfRule type="cellIs" dxfId="5951" priority="7048" stopIfTrue="1" operator="notEqual">
      <formula>H569</formula>
    </cfRule>
  </conditionalFormatting>
  <conditionalFormatting sqref="O570 M570 G570 K570 S570 U570 W570 I570 Q570">
    <cfRule type="cellIs" dxfId="5950" priority="7047" stopIfTrue="1" operator="notEqual">
      <formula>H570</formula>
    </cfRule>
  </conditionalFormatting>
  <conditionalFormatting sqref="O572 M572 G572 K572 S572 U572 W572 I572 Q572">
    <cfRule type="cellIs" dxfId="5949" priority="7045" stopIfTrue="1" operator="notEqual">
      <formula>H572</formula>
    </cfRule>
  </conditionalFormatting>
  <conditionalFormatting sqref="O574 M574 G574 K574 S574 U574 W574 I574 Q574">
    <cfRule type="cellIs" dxfId="5948" priority="7043" stopIfTrue="1" operator="notEqual">
      <formula>H574</formula>
    </cfRule>
  </conditionalFormatting>
  <conditionalFormatting sqref="G569">
    <cfRule type="cellIs" dxfId="5947" priority="6983" stopIfTrue="1" operator="notEqual">
      <formula>H569</formula>
    </cfRule>
  </conditionalFormatting>
  <conditionalFormatting sqref="G570">
    <cfRule type="cellIs" dxfId="5946" priority="6982" stopIfTrue="1" operator="notEqual">
      <formula>H570</formula>
    </cfRule>
  </conditionalFormatting>
  <conditionalFormatting sqref="G572">
    <cfRule type="cellIs" dxfId="5945" priority="6980" stopIfTrue="1" operator="notEqual">
      <formula>H572</formula>
    </cfRule>
  </conditionalFormatting>
  <conditionalFormatting sqref="G574">
    <cfRule type="cellIs" dxfId="5944" priority="6978" stopIfTrue="1" operator="notEqual">
      <formula>H574</formula>
    </cfRule>
  </conditionalFormatting>
  <conditionalFormatting sqref="G569">
    <cfRule type="cellIs" dxfId="5943" priority="6969" stopIfTrue="1" operator="notEqual">
      <formula>H569</formula>
    </cfRule>
  </conditionalFormatting>
  <conditionalFormatting sqref="G569">
    <cfRule type="cellIs" dxfId="5942" priority="6968" stopIfTrue="1" operator="notEqual">
      <formula>H569</formula>
    </cfRule>
  </conditionalFormatting>
  <conditionalFormatting sqref="G569">
    <cfRule type="cellIs" dxfId="5941" priority="6967" stopIfTrue="1" operator="notEqual">
      <formula>H569</formula>
    </cfRule>
  </conditionalFormatting>
  <conditionalFormatting sqref="G569">
    <cfRule type="cellIs" dxfId="5940" priority="6966" stopIfTrue="1" operator="notEqual">
      <formula>H569</formula>
    </cfRule>
  </conditionalFormatting>
  <conditionalFormatting sqref="G569">
    <cfRule type="cellIs" dxfId="5939" priority="6965" stopIfTrue="1" operator="notEqual">
      <formula>H569</formula>
    </cfRule>
  </conditionalFormatting>
  <conditionalFormatting sqref="G569">
    <cfRule type="cellIs" dxfId="5938" priority="6964" stopIfTrue="1" operator="notEqual">
      <formula>H569</formula>
    </cfRule>
  </conditionalFormatting>
  <conditionalFormatting sqref="O569 M569 G569 K569 S569 U569 W569 I569 Q569">
    <cfRule type="cellIs" dxfId="5937" priority="6958" stopIfTrue="1" operator="notEqual">
      <formula>H569</formula>
    </cfRule>
  </conditionalFormatting>
  <conditionalFormatting sqref="O570 M570 G570 K570 S570 U570 W570 I570 Q570">
    <cfRule type="cellIs" dxfId="5936" priority="6957" stopIfTrue="1" operator="notEqual">
      <formula>H570</formula>
    </cfRule>
  </conditionalFormatting>
  <conditionalFormatting sqref="O572 M572 G572 K572 S572 U572 W572 I572 Q572">
    <cfRule type="cellIs" dxfId="5935" priority="6955" stopIfTrue="1" operator="notEqual">
      <formula>H572</formula>
    </cfRule>
  </conditionalFormatting>
  <conditionalFormatting sqref="O574 M574 G574 K574 S574 U574 W574 I574 Q574">
    <cfRule type="cellIs" dxfId="5934" priority="6953" stopIfTrue="1" operator="notEqual">
      <formula>H574</formula>
    </cfRule>
  </conditionalFormatting>
  <conditionalFormatting sqref="O569 M569 G569 K569 S569 U569 W569 I569 Q569">
    <cfRule type="cellIs" dxfId="5933" priority="6939" stopIfTrue="1" operator="notEqual">
      <formula>H569</formula>
    </cfRule>
  </conditionalFormatting>
  <conditionalFormatting sqref="O570 M570 G570 K570 S570 U570 W570 I570 Q570">
    <cfRule type="cellIs" dxfId="5932" priority="6938" stopIfTrue="1" operator="notEqual">
      <formula>H570</formula>
    </cfRule>
  </conditionalFormatting>
  <conditionalFormatting sqref="O569 M569 G569 K569 S569 U569 W569 I569 Q569">
    <cfRule type="cellIs" dxfId="5931" priority="6936" stopIfTrue="1" operator="notEqual">
      <formula>H569</formula>
    </cfRule>
  </conditionalFormatting>
  <conditionalFormatting sqref="O572 M572 G572 K572 S572 U572 W572 I572 Q572">
    <cfRule type="cellIs" dxfId="5930" priority="6935" stopIfTrue="1" operator="notEqual">
      <formula>H572</formula>
    </cfRule>
  </conditionalFormatting>
  <conditionalFormatting sqref="O574 M574 G574 K574 S574 U574 W574 I574 Q574">
    <cfRule type="cellIs" dxfId="5929" priority="6933" stopIfTrue="1" operator="notEqual">
      <formula>H574</formula>
    </cfRule>
  </conditionalFormatting>
  <conditionalFormatting sqref="O570 M570 G570 K570 S570 U570 W570 I570 Q570">
    <cfRule type="cellIs" dxfId="5928" priority="6903" stopIfTrue="1" operator="notEqual">
      <formula>H570</formula>
    </cfRule>
  </conditionalFormatting>
  <conditionalFormatting sqref="O569 M569 G569 K569 S569 U569 W569 I569 Q569">
    <cfRule type="cellIs" dxfId="5927" priority="6900" stopIfTrue="1" operator="notEqual">
      <formula>H569</formula>
    </cfRule>
  </conditionalFormatting>
  <conditionalFormatting sqref="O574 M574 G574 K574 S574 U574 W574 I574 Q574">
    <cfRule type="cellIs" dxfId="5926" priority="6899" stopIfTrue="1" operator="notEqual">
      <formula>H574</formula>
    </cfRule>
  </conditionalFormatting>
  <conditionalFormatting sqref="Y91 O112:O118 O129:O131 M112:M118 M129:M131 G112:G118 G129:G131 K112:K118 K129:K131 S112:S118 S129:S131 U112:U118 U129:U131 W112:W118 W129:W131 I112:I118 I129:I131 Q112:Q118 Q129:Q131">
    <cfRule type="cellIs" dxfId="5925" priority="6883" stopIfTrue="1" operator="notEqual">
      <formula>H91</formula>
    </cfRule>
  </conditionalFormatting>
  <conditionalFormatting sqref="Q91:Q95 O91:O95 M91:M95 G91:G95 K91:K95 S91:S95 U91:U95 W91:W95 I91:I95">
    <cfRule type="cellIs" dxfId="5924" priority="6881" stopIfTrue="1" operator="notEqual">
      <formula>H91</formula>
    </cfRule>
  </conditionalFormatting>
  <conditionalFormatting sqref="O102:O150 M102:M150 G102:G150 K102:K150 S102:S150 U102:U150 W102:W150 I102:I150 Q102:Q150">
    <cfRule type="cellIs" dxfId="5923" priority="6880" stopIfTrue="1" operator="notEqual">
      <formula>H102</formula>
    </cfRule>
  </conditionalFormatting>
  <conditionalFormatting sqref="Q140:Q178 O140:O178 M140:M178 G140:G178 K140:K178 S140:S178 U140:U178 I140:I178 W140:W178">
    <cfRule type="cellIs" dxfId="5922" priority="6879" stopIfTrue="1" operator="notEqual">
      <formula>H140</formula>
    </cfRule>
  </conditionalFormatting>
  <conditionalFormatting sqref="Q151:Q178 O151:O178 M151:M178 G151:G178 K151:K178 S151:S178 U151:U178 I151:I178 W151:W178">
    <cfRule type="cellIs" dxfId="5921" priority="6878" stopIfTrue="1" operator="notEqual">
      <formula>H151</formula>
    </cfRule>
  </conditionalFormatting>
  <conditionalFormatting sqref="Q179:Q181 O179:O181 M179:M181 G179:G181 K179:K181 S179:S181 U179:U181 W179:W181 I179:I181">
    <cfRule type="cellIs" dxfId="5920" priority="6877" stopIfTrue="1" operator="notEqual">
      <formula>H179</formula>
    </cfRule>
  </conditionalFormatting>
  <conditionalFormatting sqref="Q182 O182 M182 G182 K182 S182 U182 W182 I182">
    <cfRule type="cellIs" dxfId="5919" priority="6876" stopIfTrue="1" operator="notEqual">
      <formula>H182</formula>
    </cfRule>
  </conditionalFormatting>
  <conditionalFormatting sqref="Q186 O186 M186 G186 K186 S186 U186 I186 W186 Q188 Q194:Q195 Q197 O188 O194:O195 O197 M188 M194:M195 M197 G188 G194:G195 G197 K188 K194:K195 K197 S188 S194:S195 S197 U188 U194:U195 U197 I188 I194:I195 I197 W188 W194:W195 W197 Q190:Q192 O190:O192 M190:M192 G190:G192 K190:K192 S190:S192 U190:U192 I190:I192 W190:W192">
    <cfRule type="cellIs" dxfId="5918" priority="6875" stopIfTrue="1" operator="notEqual">
      <formula>H186</formula>
    </cfRule>
  </conditionalFormatting>
  <conditionalFormatting sqref="Q183 O183 M183 G183 K183 S183 U183 W183 I183">
    <cfRule type="cellIs" dxfId="5917" priority="6874" stopIfTrue="1" operator="notEqual">
      <formula>H183</formula>
    </cfRule>
  </conditionalFormatting>
  <conditionalFormatting sqref="Q196 O196 M196 G196 K196 S196 U196 I196 W196 Q184:Q194 O184:O194 M184:M194 G184:G194 K184:K194 S184:S194 U184:U194 I184:I194 W184:W194">
    <cfRule type="cellIs" dxfId="5916" priority="6873" stopIfTrue="1" operator="notEqual">
      <formula>H184</formula>
    </cfRule>
  </conditionalFormatting>
  <conditionalFormatting sqref="Q196 O196 M196 G196 K196 S196 U196 I196 W196 Q184:Q194 O184:O194 M184:M194 G184:G194 K184:K194 S184:S194 U184:U194 I184:I194 W184:W194">
    <cfRule type="cellIs" dxfId="5915" priority="6872" stopIfTrue="1" operator="notEqual">
      <formula>H184</formula>
    </cfRule>
  </conditionalFormatting>
  <conditionalFormatting sqref="Q186 O186 M186 G186 K186 S186 U186 I186 W186 Q188 Q194:Q195 Q197 O188 O194:O195 O197 M188 M194:M195 M197 G188 G194:G195 G197 K188 K194:K195 K197 S188 S194:S195 S197 U188 U194:U195 U197 I188 I194:I195 I197 W188 W194:W195 W197 Q190:Q192 O190:O192 M190:M192 G190:G192 K190:K192 S190:S192 U190:U192 I190:I192 W190:W192">
    <cfRule type="cellIs" dxfId="5914" priority="6871" stopIfTrue="1" operator="notEqual">
      <formula>H186</formula>
    </cfRule>
  </conditionalFormatting>
  <conditionalFormatting sqref="Q186 O186 M186 G186 K186 S186 U186 I186 W186 Q188 Q194:Q195 Q197 O188 O194:O195 O197 M188 M194:M195 M197 G188 G194:G195 G197 K188 K194:K195 K197 S188 S194:S195 S197 U188 U194:U195 U197 I188 I194:I195 I197 W188 W194:W195 W197 Q190:Q192 O190:O192 M190:M192 G190:G192 K190:K192 S190:S192 U190:U192 I190:I192 W190:W192">
    <cfRule type="cellIs" dxfId="5913" priority="6870" stopIfTrue="1" operator="notEqual">
      <formula>H186</formula>
    </cfRule>
  </conditionalFormatting>
  <conditionalFormatting sqref="Q186 O186 M186 G186 K186 S186 U186 I186 W186 Q188 Q194:Q195 Q197 O188 O194:O195 O197 M188 M194:M195 M197 G188 G194:G195 G197 K188 K194:K195 K197 S188 S194:S195 S197 U188 U194:U195 U197 I188 I194:I195 I197 W188 W194:W195 W197 Q190:Q192 O190:O192 M190:M192 G190:G192 K190:K192 S190:S192 U190:U192 I190:I192 W190:W192">
    <cfRule type="cellIs" dxfId="5912" priority="6869" stopIfTrue="1" operator="notEqual">
      <formula>H186</formula>
    </cfRule>
  </conditionalFormatting>
  <conditionalFormatting sqref="Q192 O192 M192 G192 K192 S192 U192 I192 W192">
    <cfRule type="cellIs" dxfId="5911" priority="6868" stopIfTrue="1" operator="notEqual">
      <formula>H192</formula>
    </cfRule>
  </conditionalFormatting>
  <conditionalFormatting sqref="Q192 O192 M192 G192 K192 S192 U192 I192 W192">
    <cfRule type="cellIs" dxfId="5910" priority="6867" stopIfTrue="1" operator="notEqual">
      <formula>H192</formula>
    </cfRule>
  </conditionalFormatting>
  <conditionalFormatting sqref="O160 M160 G160 K160 S160 U160 W160 I160 Q160">
    <cfRule type="cellIs" dxfId="5909" priority="6866" stopIfTrue="1" operator="notEqual">
      <formula>H160</formula>
    </cfRule>
  </conditionalFormatting>
  <conditionalFormatting sqref="O235:O247 M235:M247 G235:G247 K235:K247 S235:S247 U235:U247 W235:W247 I235:I247 Q235:Q247">
    <cfRule type="cellIs" dxfId="5908" priority="6865" stopIfTrue="1" operator="notEqual">
      <formula>H235</formula>
    </cfRule>
  </conditionalFormatting>
  <conditionalFormatting sqref="Q198 O198 M198 G198 K198 S198 U198 I198 W198">
    <cfRule type="cellIs" dxfId="5907" priority="6864" stopIfTrue="1" operator="notEqual">
      <formula>H198</formula>
    </cfRule>
  </conditionalFormatting>
  <conditionalFormatting sqref="Q198 O198 M198 G198 K198 S198 U198 I198 W198">
    <cfRule type="cellIs" dxfId="5906" priority="6863" stopIfTrue="1" operator="notEqual">
      <formula>H198</formula>
    </cfRule>
  </conditionalFormatting>
  <conditionalFormatting sqref="O199:O202 M199:M202 G199:G202 K199:K202 S199:S202 U199:U202 W199:W202 I199:I202 Q199:Q202">
    <cfRule type="cellIs" dxfId="5905" priority="6862" stopIfTrue="1" operator="notEqual">
      <formula>H199</formula>
    </cfRule>
  </conditionalFormatting>
  <conditionalFormatting sqref="O201 M201 G201 K201 S201 U201 W201 I201 Q201">
    <cfRule type="cellIs" dxfId="5904" priority="6861" stopIfTrue="1" operator="notEqual">
      <formula>H201</formula>
    </cfRule>
  </conditionalFormatting>
  <conditionalFormatting sqref="O202:O204 M202:M204 G202:G204 K202:K204 S202:S204 U202:U204 W202:W204 I202:I204 Q202:Q204">
    <cfRule type="cellIs" dxfId="5903" priority="6860" stopIfTrue="1" operator="notEqual">
      <formula>H202</formula>
    </cfRule>
  </conditionalFormatting>
  <conditionalFormatting sqref="O204 M204 G204 K204 S204 U204 W204 I204 Q204">
    <cfRule type="cellIs" dxfId="5902" priority="6859" stopIfTrue="1" operator="notEqual">
      <formula>H204</formula>
    </cfRule>
  </conditionalFormatting>
  <conditionalFormatting sqref="O205 M205 G205 K205 S205 U205 W205 I205 Q205">
    <cfRule type="cellIs" dxfId="5901" priority="6858" stopIfTrue="1" operator="notEqual">
      <formula>H205</formula>
    </cfRule>
  </conditionalFormatting>
  <conditionalFormatting sqref="O205 M205 G205 K205 S205 U205 W205 I205 Q205">
    <cfRule type="cellIs" dxfId="5900" priority="6857" stopIfTrue="1" operator="notEqual">
      <formula>H205</formula>
    </cfRule>
  </conditionalFormatting>
  <conditionalFormatting sqref="O206:O207 M206:M207 G206:G207 K206:K207 S206:S207 U206:U207 W206:W207 I206:I207 Q206:Q207">
    <cfRule type="cellIs" dxfId="5899" priority="6856" stopIfTrue="1" operator="notEqual">
      <formula>H206</formula>
    </cfRule>
  </conditionalFormatting>
  <conditionalFormatting sqref="O208:O223 M208:M223 G208:G223 K208:K223 S208:S223 U208:U223 W208:W223 I208:I223 Q208:Q223">
    <cfRule type="cellIs" dxfId="5898" priority="6855" stopIfTrue="1" operator="notEqual">
      <formula>H208</formula>
    </cfRule>
  </conditionalFormatting>
  <conditionalFormatting sqref="O210 M210 G210 K210 S210 U210 W210 I210 Q210">
    <cfRule type="cellIs" dxfId="5897" priority="6854" stopIfTrue="1" operator="notEqual">
      <formula>H210</formula>
    </cfRule>
  </conditionalFormatting>
  <conditionalFormatting sqref="O211 M211 G211 K211 S211 U211 W211 I211 Q211">
    <cfRule type="cellIs" dxfId="5896" priority="6853" stopIfTrue="1" operator="notEqual">
      <formula>H211</formula>
    </cfRule>
  </conditionalFormatting>
  <conditionalFormatting sqref="O212 M212 G212 K212 S212 U212 W212 I212 Q212">
    <cfRule type="cellIs" dxfId="5895" priority="6852" stopIfTrue="1" operator="notEqual">
      <formula>H212</formula>
    </cfRule>
  </conditionalFormatting>
  <conditionalFormatting sqref="O213 M213 G213 K213 S213 U213 W213 I213 Q213">
    <cfRule type="cellIs" dxfId="5894" priority="6851" stopIfTrue="1" operator="notEqual">
      <formula>H213</formula>
    </cfRule>
  </conditionalFormatting>
  <conditionalFormatting sqref="O214 M214 G214 K214 S214 U214 W214 I214 Q214">
    <cfRule type="cellIs" dxfId="5893" priority="6850" stopIfTrue="1" operator="notEqual">
      <formula>H214</formula>
    </cfRule>
  </conditionalFormatting>
  <conditionalFormatting sqref="O215 M215 G215 K215 S215 U215 W215 I215 Q215">
    <cfRule type="cellIs" dxfId="5892" priority="6849" stopIfTrue="1" operator="notEqual">
      <formula>H215</formula>
    </cfRule>
  </conditionalFormatting>
  <conditionalFormatting sqref="O216 M216 G216 K216 S216 U216 W216 I216 Q216">
    <cfRule type="cellIs" dxfId="5891" priority="6848" stopIfTrue="1" operator="notEqual">
      <formula>H216</formula>
    </cfRule>
  </conditionalFormatting>
  <conditionalFormatting sqref="O217 M217 G217 K217 S217 U217 W217 I217 Q217">
    <cfRule type="cellIs" dxfId="5890" priority="6847" stopIfTrue="1" operator="notEqual">
      <formula>H217</formula>
    </cfRule>
  </conditionalFormatting>
  <conditionalFormatting sqref="O218 M218 G218 K218 S218 U218 W218 I218 Q218">
    <cfRule type="cellIs" dxfId="5889" priority="6846" stopIfTrue="1" operator="notEqual">
      <formula>H218</formula>
    </cfRule>
  </conditionalFormatting>
  <conditionalFormatting sqref="O219 M219 G219 K219 S219 U219 W219 I219 Q219">
    <cfRule type="cellIs" dxfId="5888" priority="6845" stopIfTrue="1" operator="notEqual">
      <formula>H219</formula>
    </cfRule>
  </conditionalFormatting>
  <conditionalFormatting sqref="O220:O221 M220:M221 G220:G221 K220:K221 S220:S221 U220:U221 W220:W221 I220:I221 Q220:Q221">
    <cfRule type="cellIs" dxfId="5887" priority="6844" stopIfTrue="1" operator="notEqual">
      <formula>H220</formula>
    </cfRule>
  </conditionalFormatting>
  <conditionalFormatting sqref="O222 M222 G222 K222 S222 U222 W222 I222 Q222">
    <cfRule type="cellIs" dxfId="5886" priority="6843" stopIfTrue="1" operator="notEqual">
      <formula>H222</formula>
    </cfRule>
  </conditionalFormatting>
  <conditionalFormatting sqref="O223 M223 G223 K223 S223 U223 W223 I223 Q223">
    <cfRule type="cellIs" dxfId="5885" priority="6842" stopIfTrue="1" operator="notEqual">
      <formula>H223</formula>
    </cfRule>
  </conditionalFormatting>
  <conditionalFormatting sqref="O224 M224 G224 K224 S224 U224 W224 I224 Q224">
    <cfRule type="cellIs" dxfId="5884" priority="6841" stopIfTrue="1" operator="notEqual">
      <formula>H224</formula>
    </cfRule>
  </conditionalFormatting>
  <conditionalFormatting sqref="O225 M225 G225 K225 S225 U225 W225 I225 Q225">
    <cfRule type="cellIs" dxfId="5883" priority="6840" stopIfTrue="1" operator="notEqual">
      <formula>H225</formula>
    </cfRule>
  </conditionalFormatting>
  <conditionalFormatting sqref="O226 M226 G226 K226 S226 U226 W226 I226 Q226">
    <cfRule type="cellIs" dxfId="5882" priority="6839" stopIfTrue="1" operator="notEqual">
      <formula>H226</formula>
    </cfRule>
  </conditionalFormatting>
  <conditionalFormatting sqref="O227 M227 G227 K227 S227 U227 W227 I227 Q227">
    <cfRule type="cellIs" dxfId="5881" priority="6838" stopIfTrue="1" operator="notEqual">
      <formula>H227</formula>
    </cfRule>
  </conditionalFormatting>
  <conditionalFormatting sqref="O228 M228 G228 K228 S228 U228 W228 I228 Q228">
    <cfRule type="cellIs" dxfId="5880" priority="6837" stopIfTrue="1" operator="notEqual">
      <formula>H228</formula>
    </cfRule>
  </conditionalFormatting>
  <conditionalFormatting sqref="O229 M229 G229 K229 S229 U229 W229 I229 Q229">
    <cfRule type="cellIs" dxfId="5879" priority="6836" stopIfTrue="1" operator="notEqual">
      <formula>H229</formula>
    </cfRule>
  </conditionalFormatting>
  <conditionalFormatting sqref="O230 M230 G230 K230 S230 U230 W230 I230 Q230">
    <cfRule type="cellIs" dxfId="5878" priority="6835" stopIfTrue="1" operator="notEqual">
      <formula>H230</formula>
    </cfRule>
  </conditionalFormatting>
  <conditionalFormatting sqref="O231 M231 G231 K231 S231 U231 W231 I231 Q231">
    <cfRule type="cellIs" dxfId="5877" priority="6834" stopIfTrue="1" operator="notEqual">
      <formula>H231</formula>
    </cfRule>
  </conditionalFormatting>
  <conditionalFormatting sqref="O232 M232 G232 K232 S232 U232 W232 I232 Q232">
    <cfRule type="cellIs" dxfId="5876" priority="6833" stopIfTrue="1" operator="notEqual">
      <formula>H232</formula>
    </cfRule>
  </conditionalFormatting>
  <conditionalFormatting sqref="O233 M233 G233 K233 S233 U233 W233 I233 Q233">
    <cfRule type="cellIs" dxfId="5875" priority="6832" stopIfTrue="1" operator="notEqual">
      <formula>H233</formula>
    </cfRule>
  </conditionalFormatting>
  <conditionalFormatting sqref="O234 M234 G234 K234 S234 U234 W234 I234 Q234">
    <cfRule type="cellIs" dxfId="5874" priority="6831" stopIfTrue="1" operator="notEqual">
      <formula>H234</formula>
    </cfRule>
  </conditionalFormatting>
  <conditionalFormatting sqref="Q221 O221 M221 G221 K221 S221 U221 I221 W221">
    <cfRule type="cellIs" dxfId="5873" priority="6830" stopIfTrue="1" operator="notEqual">
      <formula>H221</formula>
    </cfRule>
  </conditionalFormatting>
  <conditionalFormatting sqref="Q221 O221 M221 G221 K221 S221 U221 I221 W221">
    <cfRule type="cellIs" dxfId="5872" priority="6829" stopIfTrue="1" operator="notEqual">
      <formula>H221</formula>
    </cfRule>
  </conditionalFormatting>
  <conditionalFormatting sqref="Q221 O221 M221 G221 K221 S221 U221 I221 W221">
    <cfRule type="cellIs" dxfId="5871" priority="6828" stopIfTrue="1" operator="notEqual">
      <formula>H221</formula>
    </cfRule>
  </conditionalFormatting>
  <conditionalFormatting sqref="Q221 O221 M221 G221 K221 S221 U221 I221 W221">
    <cfRule type="cellIs" dxfId="5870" priority="6827" stopIfTrue="1" operator="notEqual">
      <formula>H221</formula>
    </cfRule>
  </conditionalFormatting>
  <conditionalFormatting sqref="Q221 O221 M221 G221 K221 S221 U221 I221 W221">
    <cfRule type="cellIs" dxfId="5869" priority="6826" stopIfTrue="1" operator="notEqual">
      <formula>H221</formula>
    </cfRule>
  </conditionalFormatting>
  <conditionalFormatting sqref="Q221 O221 M221 G221 K221 S221 U221 I221 W221">
    <cfRule type="cellIs" dxfId="5868" priority="6825" stopIfTrue="1" operator="notEqual">
      <formula>H221</formula>
    </cfRule>
  </conditionalFormatting>
  <conditionalFormatting sqref="O237 M237 G237 K237 S237 U237 W237 I237 Q237">
    <cfRule type="cellIs" dxfId="5867" priority="6824" stopIfTrue="1" operator="notEqual">
      <formula>H237</formula>
    </cfRule>
  </conditionalFormatting>
  <conditionalFormatting sqref="O238 M238 G238 K238 S238 U238 W238 I238 Q238">
    <cfRule type="cellIs" dxfId="5866" priority="6823" stopIfTrue="1" operator="notEqual">
      <formula>H238</formula>
    </cfRule>
  </conditionalFormatting>
  <conditionalFormatting sqref="O238 M238 G238 K238 S238 U238 W238 I238 Q238">
    <cfRule type="cellIs" dxfId="5865" priority="6822" stopIfTrue="1" operator="notEqual">
      <formula>H238</formula>
    </cfRule>
  </conditionalFormatting>
  <conditionalFormatting sqref="O236:O239 M236:M239 G236:G239 K236:K239 S236:S239 U236:U239 W236:W239 I236:I239 Q236:Q239">
    <cfRule type="cellIs" dxfId="5864" priority="6821" stopIfTrue="1" operator="notEqual">
      <formula>H236</formula>
    </cfRule>
  </conditionalFormatting>
  <conditionalFormatting sqref="O241 M241 G241 K241 S241 U241 W241 I241 Q241">
    <cfRule type="cellIs" dxfId="5863" priority="6820" stopIfTrue="1" operator="notEqual">
      <formula>H241</formula>
    </cfRule>
  </conditionalFormatting>
  <conditionalFormatting sqref="O242 M242 G242 K242 S242 U242 W242 I242 Q242">
    <cfRule type="cellIs" dxfId="5862" priority="6819" stopIfTrue="1" operator="notEqual">
      <formula>H242</formula>
    </cfRule>
  </conditionalFormatting>
  <conditionalFormatting sqref="O240:O247 M240:M247 G240:G247 K240:K247 S240:S247 U240:U247 W240:W247 I240:I247 Q240:Q247">
    <cfRule type="cellIs" dxfId="5861" priority="6818" stopIfTrue="1" operator="notEqual">
      <formula>H240</formula>
    </cfRule>
  </conditionalFormatting>
  <conditionalFormatting sqref="O243 M243 G243 K243 S243 U243 W243 I243 Q243">
    <cfRule type="cellIs" dxfId="5860" priority="6817" stopIfTrue="1" operator="notEqual">
      <formula>H243</formula>
    </cfRule>
  </conditionalFormatting>
  <conditionalFormatting sqref="O244 M244 G244 K244 S244 U244 W244 I244 Q244">
    <cfRule type="cellIs" dxfId="5859" priority="6816" stopIfTrue="1" operator="notEqual">
      <formula>H244</formula>
    </cfRule>
  </conditionalFormatting>
  <conditionalFormatting sqref="O245 M245 G245 K245 S245 U245 W245 I245 Q245">
    <cfRule type="cellIs" dxfId="5858" priority="6815" stopIfTrue="1" operator="notEqual">
      <formula>H245</formula>
    </cfRule>
  </conditionalFormatting>
  <conditionalFormatting sqref="O246 M246 G246 K246 S246 U246 W246 I246 Q246">
    <cfRule type="cellIs" dxfId="5857" priority="6814" stopIfTrue="1" operator="notEqual">
      <formula>H246</formula>
    </cfRule>
  </conditionalFormatting>
  <conditionalFormatting sqref="O247 M247 G247 K247 S247 U247 W247 I247 Q247">
    <cfRule type="cellIs" dxfId="5856" priority="6813" stopIfTrue="1" operator="notEqual">
      <formula>H247</formula>
    </cfRule>
  </conditionalFormatting>
  <conditionalFormatting sqref="O248 M248 G248 K248 S248 U248 W248 I248 Q248">
    <cfRule type="cellIs" dxfId="5855" priority="6812" stopIfTrue="1" operator="notEqual">
      <formula>H248</formula>
    </cfRule>
  </conditionalFormatting>
  <conditionalFormatting sqref="O249 M249 G249 K249 S249 U249 W249 I249 Q249">
    <cfRule type="cellIs" dxfId="5854" priority="6811" stopIfTrue="1" operator="notEqual">
      <formula>H249</formula>
    </cfRule>
  </conditionalFormatting>
  <conditionalFormatting sqref="O250 M250 G250 K250 S250 U250 W250 I250 Q250">
    <cfRule type="cellIs" dxfId="5853" priority="6810" stopIfTrue="1" operator="notEqual">
      <formula>H250</formula>
    </cfRule>
  </conditionalFormatting>
  <conditionalFormatting sqref="O251 G251 K251 S251 U251 W251 I251 Q251">
    <cfRule type="cellIs" dxfId="5852" priority="6809" stopIfTrue="1" operator="notEqual">
      <formula>H251</formula>
    </cfRule>
  </conditionalFormatting>
  <conditionalFormatting sqref="O252 M252 G252 K252 S252 U252 W252 I252 Q252">
    <cfRule type="cellIs" dxfId="5851" priority="6808" stopIfTrue="1" operator="notEqual">
      <formula>H252</formula>
    </cfRule>
  </conditionalFormatting>
  <conditionalFormatting sqref="O253 M253 G253 K253 S253 U253 W253 I253 Q253">
    <cfRule type="cellIs" dxfId="5850" priority="6807" stopIfTrue="1" operator="notEqual">
      <formula>H253</formula>
    </cfRule>
  </conditionalFormatting>
  <conditionalFormatting sqref="O254 M254 G254 K254 S254 U254 W254 I254 Q254">
    <cfRule type="cellIs" dxfId="5849" priority="6806" stopIfTrue="1" operator="notEqual">
      <formula>H254</formula>
    </cfRule>
  </conditionalFormatting>
  <conditionalFormatting sqref="O255 M255 G255 K255 S255 U255 W255 I255 Q255">
    <cfRule type="cellIs" dxfId="5848" priority="6805" stopIfTrue="1" operator="notEqual">
      <formula>H255</formula>
    </cfRule>
  </conditionalFormatting>
  <conditionalFormatting sqref="G303">
    <cfRule type="cellIs" dxfId="5847" priority="6804" stopIfTrue="1" operator="notEqual">
      <formula>H303</formula>
    </cfRule>
  </conditionalFormatting>
  <conditionalFormatting sqref="G270:G275">
    <cfRule type="cellIs" dxfId="5846" priority="6803" stopIfTrue="1" operator="notEqual">
      <formula>H270</formula>
    </cfRule>
  </conditionalFormatting>
  <conditionalFormatting sqref="G256:G258">
    <cfRule type="cellIs" dxfId="5845" priority="6802" stopIfTrue="1" operator="notEqual">
      <formula>H256</formula>
    </cfRule>
  </conditionalFormatting>
  <conditionalFormatting sqref="G257">
    <cfRule type="cellIs" dxfId="5844" priority="6801" stopIfTrue="1" operator="notEqual">
      <formula>H257</formula>
    </cfRule>
  </conditionalFormatting>
  <conditionalFormatting sqref="G258">
    <cfRule type="cellIs" dxfId="5843" priority="6800" stopIfTrue="1" operator="notEqual">
      <formula>H258</formula>
    </cfRule>
  </conditionalFormatting>
  <conditionalFormatting sqref="G259">
    <cfRule type="cellIs" dxfId="5842" priority="6799" stopIfTrue="1" operator="notEqual">
      <formula>H259</formula>
    </cfRule>
  </conditionalFormatting>
  <conditionalFormatting sqref="G260">
    <cfRule type="cellIs" dxfId="5841" priority="6798" stopIfTrue="1" operator="notEqual">
      <formula>H260</formula>
    </cfRule>
  </conditionalFormatting>
  <conditionalFormatting sqref="G261">
    <cfRule type="cellIs" dxfId="5840" priority="6797" stopIfTrue="1" operator="notEqual">
      <formula>H261</formula>
    </cfRule>
  </conditionalFormatting>
  <conditionalFormatting sqref="G262">
    <cfRule type="cellIs" dxfId="5839" priority="6796" stopIfTrue="1" operator="notEqual">
      <formula>H262</formula>
    </cfRule>
  </conditionalFormatting>
  <conditionalFormatting sqref="G263">
    <cfRule type="cellIs" dxfId="5838" priority="6795" stopIfTrue="1" operator="notEqual">
      <formula>H263</formula>
    </cfRule>
  </conditionalFormatting>
  <conditionalFormatting sqref="G264">
    <cfRule type="cellIs" dxfId="5837" priority="6794" stopIfTrue="1" operator="notEqual">
      <formula>H264</formula>
    </cfRule>
  </conditionalFormatting>
  <conditionalFormatting sqref="G265">
    <cfRule type="cellIs" dxfId="5836" priority="6793" stopIfTrue="1" operator="notEqual">
      <formula>H265</formula>
    </cfRule>
  </conditionalFormatting>
  <conditionalFormatting sqref="G266">
    <cfRule type="cellIs" dxfId="5835" priority="6792" stopIfTrue="1" operator="notEqual">
      <formula>H266</formula>
    </cfRule>
  </conditionalFormatting>
  <conditionalFormatting sqref="G267">
    <cfRule type="cellIs" dxfId="5834" priority="6791" stopIfTrue="1" operator="notEqual">
      <formula>H267</formula>
    </cfRule>
  </conditionalFormatting>
  <conditionalFormatting sqref="G268:G279">
    <cfRule type="cellIs" dxfId="5833" priority="6790" stopIfTrue="1" operator="notEqual">
      <formula>H268</formula>
    </cfRule>
  </conditionalFormatting>
  <conditionalFormatting sqref="G269">
    <cfRule type="cellIs" dxfId="5832" priority="6789" stopIfTrue="1" operator="notEqual">
      <formula>H269</formula>
    </cfRule>
  </conditionalFormatting>
  <conditionalFormatting sqref="G256:G258">
    <cfRule type="cellIs" dxfId="5831" priority="6788" stopIfTrue="1" operator="notEqual">
      <formula>H256</formula>
    </cfRule>
  </conditionalFormatting>
  <conditionalFormatting sqref="G256:G258">
    <cfRule type="cellIs" dxfId="5830" priority="6787" stopIfTrue="1" operator="notEqual">
      <formula>H256</formula>
    </cfRule>
  </conditionalFormatting>
  <conditionalFormatting sqref="G256:G258">
    <cfRule type="cellIs" dxfId="5829" priority="6786" stopIfTrue="1" operator="notEqual">
      <formula>H256</formula>
    </cfRule>
  </conditionalFormatting>
  <conditionalFormatting sqref="G256:G258">
    <cfRule type="cellIs" dxfId="5828" priority="6785" stopIfTrue="1" operator="notEqual">
      <formula>H256</formula>
    </cfRule>
  </conditionalFormatting>
  <conditionalFormatting sqref="G256:G258">
    <cfRule type="cellIs" dxfId="5827" priority="6784" stopIfTrue="1" operator="notEqual">
      <formula>H256</formula>
    </cfRule>
  </conditionalFormatting>
  <conditionalFormatting sqref="G256:G258">
    <cfRule type="cellIs" dxfId="5826" priority="6783" stopIfTrue="1" operator="notEqual">
      <formula>H256</formula>
    </cfRule>
  </conditionalFormatting>
  <conditionalFormatting sqref="G272">
    <cfRule type="cellIs" dxfId="5825" priority="6782" stopIfTrue="1" operator="notEqual">
      <formula>H272</formula>
    </cfRule>
  </conditionalFormatting>
  <conditionalFormatting sqref="G273">
    <cfRule type="cellIs" dxfId="5824" priority="6781" stopIfTrue="1" operator="notEqual">
      <formula>H273</formula>
    </cfRule>
  </conditionalFormatting>
  <conditionalFormatting sqref="G273">
    <cfRule type="cellIs" dxfId="5823" priority="6780" stopIfTrue="1" operator="notEqual">
      <formula>H273</formula>
    </cfRule>
  </conditionalFormatting>
  <conditionalFormatting sqref="G271">
    <cfRule type="cellIs" dxfId="5822" priority="6779" stopIfTrue="1" operator="notEqual">
      <formula>H271</formula>
    </cfRule>
  </conditionalFormatting>
  <conditionalFormatting sqref="G276">
    <cfRule type="cellIs" dxfId="5821" priority="6778" stopIfTrue="1" operator="notEqual">
      <formula>H276</formula>
    </cfRule>
  </conditionalFormatting>
  <conditionalFormatting sqref="G277">
    <cfRule type="cellIs" dxfId="5820" priority="6777" stopIfTrue="1" operator="notEqual">
      <formula>H277</formula>
    </cfRule>
  </conditionalFormatting>
  <conditionalFormatting sqref="G275">
    <cfRule type="cellIs" dxfId="5819" priority="6776" stopIfTrue="1" operator="notEqual">
      <formula>H275</formula>
    </cfRule>
  </conditionalFormatting>
  <conditionalFormatting sqref="G278">
    <cfRule type="cellIs" dxfId="5818" priority="6775" stopIfTrue="1" operator="notEqual">
      <formula>H278</formula>
    </cfRule>
  </conditionalFormatting>
  <conditionalFormatting sqref="G279">
    <cfRule type="cellIs" dxfId="5817" priority="6774" stopIfTrue="1" operator="notEqual">
      <formula>H279</formula>
    </cfRule>
  </conditionalFormatting>
  <conditionalFormatting sqref="G280">
    <cfRule type="cellIs" dxfId="5816" priority="6773" stopIfTrue="1" operator="notEqual">
      <formula>H280</formula>
    </cfRule>
  </conditionalFormatting>
  <conditionalFormatting sqref="G281">
    <cfRule type="cellIs" dxfId="5815" priority="6772" stopIfTrue="1" operator="notEqual">
      <formula>H281</formula>
    </cfRule>
  </conditionalFormatting>
  <conditionalFormatting sqref="G282">
    <cfRule type="cellIs" dxfId="5814" priority="6771" stopIfTrue="1" operator="notEqual">
      <formula>H282</formula>
    </cfRule>
  </conditionalFormatting>
  <conditionalFormatting sqref="G283">
    <cfRule type="cellIs" dxfId="5813" priority="6770" stopIfTrue="1" operator="notEqual">
      <formula>H283</formula>
    </cfRule>
  </conditionalFormatting>
  <conditionalFormatting sqref="G284">
    <cfRule type="cellIs" dxfId="5812" priority="6769" stopIfTrue="1" operator="notEqual">
      <formula>H284</formula>
    </cfRule>
  </conditionalFormatting>
  <conditionalFormatting sqref="G285">
    <cfRule type="cellIs" dxfId="5811" priority="6768" stopIfTrue="1" operator="notEqual">
      <formula>H285</formula>
    </cfRule>
  </conditionalFormatting>
  <conditionalFormatting sqref="G286">
    <cfRule type="cellIs" dxfId="5810" priority="6767" stopIfTrue="1" operator="notEqual">
      <formula>H286</formula>
    </cfRule>
  </conditionalFormatting>
  <conditionalFormatting sqref="G287">
    <cfRule type="cellIs" dxfId="5809" priority="6766" stopIfTrue="1" operator="notEqual">
      <formula>H287</formula>
    </cfRule>
  </conditionalFormatting>
  <conditionalFormatting sqref="G288">
    <cfRule type="cellIs" dxfId="5808" priority="6765" stopIfTrue="1" operator="notEqual">
      <formula>H288</formula>
    </cfRule>
  </conditionalFormatting>
  <conditionalFormatting sqref="G289:G294">
    <cfRule type="cellIs" dxfId="5807" priority="6764" stopIfTrue="1" operator="notEqual">
      <formula>H289</formula>
    </cfRule>
  </conditionalFormatting>
  <conditionalFormatting sqref="G290">
    <cfRule type="cellIs" dxfId="5806" priority="6763" stopIfTrue="1" operator="notEqual">
      <formula>H290</formula>
    </cfRule>
  </conditionalFormatting>
  <conditionalFormatting sqref="G291">
    <cfRule type="cellIs" dxfId="5805" priority="6762" stopIfTrue="1" operator="notEqual">
      <formula>H291</formula>
    </cfRule>
  </conditionalFormatting>
  <conditionalFormatting sqref="G292">
    <cfRule type="cellIs" dxfId="5804" priority="6761" stopIfTrue="1" operator="notEqual">
      <formula>H292</formula>
    </cfRule>
  </conditionalFormatting>
  <conditionalFormatting sqref="G293">
    <cfRule type="cellIs" dxfId="5803" priority="6760" stopIfTrue="1" operator="notEqual">
      <formula>H293</formula>
    </cfRule>
  </conditionalFormatting>
  <conditionalFormatting sqref="G294">
    <cfRule type="cellIs" dxfId="5802" priority="6759" stopIfTrue="1" operator="notEqual">
      <formula>H294</formula>
    </cfRule>
  </conditionalFormatting>
  <conditionalFormatting sqref="G295">
    <cfRule type="cellIs" dxfId="5801" priority="6758" stopIfTrue="1" operator="notEqual">
      <formula>H295</formula>
    </cfRule>
  </conditionalFormatting>
  <conditionalFormatting sqref="G296">
    <cfRule type="cellIs" dxfId="5800" priority="6757" stopIfTrue="1" operator="notEqual">
      <formula>H296</formula>
    </cfRule>
  </conditionalFormatting>
  <conditionalFormatting sqref="G297">
    <cfRule type="cellIs" dxfId="5799" priority="6756" stopIfTrue="1" operator="notEqual">
      <formula>H297</formula>
    </cfRule>
  </conditionalFormatting>
  <conditionalFormatting sqref="G298">
    <cfRule type="cellIs" dxfId="5798" priority="6755" stopIfTrue="1" operator="notEqual">
      <formula>H298</formula>
    </cfRule>
  </conditionalFormatting>
  <conditionalFormatting sqref="G299:G300">
    <cfRule type="cellIs" dxfId="5797" priority="6754" stopIfTrue="1" operator="notEqual">
      <formula>H299</formula>
    </cfRule>
  </conditionalFormatting>
  <conditionalFormatting sqref="G300">
    <cfRule type="cellIs" dxfId="5796" priority="6753" stopIfTrue="1" operator="notEqual">
      <formula>H300</formula>
    </cfRule>
  </conditionalFormatting>
  <conditionalFormatting sqref="G301">
    <cfRule type="cellIs" dxfId="5795" priority="6752" stopIfTrue="1" operator="notEqual">
      <formula>H301</formula>
    </cfRule>
  </conditionalFormatting>
  <conditionalFormatting sqref="G302">
    <cfRule type="cellIs" dxfId="5794" priority="6751" stopIfTrue="1" operator="notEqual">
      <formula>H302</formula>
    </cfRule>
  </conditionalFormatting>
  <conditionalFormatting sqref="O266:O279 M266:M279 G266:G279 K266:K279 S266:S279 U266:U279 W266:W279 I266:I279 Q266:Q279">
    <cfRule type="cellIs" dxfId="5793" priority="6750" stopIfTrue="1" operator="notEqual">
      <formula>H266</formula>
    </cfRule>
  </conditionalFormatting>
  <conditionalFormatting sqref="O256:O258 M256:M258 G256:G258 K256:K258 S256:S258 U256:U258 W256:W258 I256:I258 Q256:Q258">
    <cfRule type="cellIs" dxfId="5792" priority="6749" stopIfTrue="1" operator="notEqual">
      <formula>H256</formula>
    </cfRule>
  </conditionalFormatting>
  <conditionalFormatting sqref="O257 M257 G257 K257 S257 U257 W257 I257 Q257">
    <cfRule type="cellIs" dxfId="5791" priority="6748" stopIfTrue="1" operator="notEqual">
      <formula>H257</formula>
    </cfRule>
  </conditionalFormatting>
  <conditionalFormatting sqref="O258 M258 G258 K258 S258 U258 W258 I258 Q258">
    <cfRule type="cellIs" dxfId="5790" priority="6747" stopIfTrue="1" operator="notEqual">
      <formula>H258</formula>
    </cfRule>
  </conditionalFormatting>
  <conditionalFormatting sqref="O259 M259 G259 K259 S259 U259 W259 I259 Q259">
    <cfRule type="cellIs" dxfId="5789" priority="6746" stopIfTrue="1" operator="notEqual">
      <formula>H259</formula>
    </cfRule>
  </conditionalFormatting>
  <conditionalFormatting sqref="O260 M260 G260 K260 S260 U260 W260 I260 Q260">
    <cfRule type="cellIs" dxfId="5788" priority="6745" stopIfTrue="1" operator="notEqual">
      <formula>H260</formula>
    </cfRule>
  </conditionalFormatting>
  <conditionalFormatting sqref="O261 M261 G261 K261 S261 U261 W261 I261 Q261">
    <cfRule type="cellIs" dxfId="5787" priority="6744" stopIfTrue="1" operator="notEqual">
      <formula>H261</formula>
    </cfRule>
  </conditionalFormatting>
  <conditionalFormatting sqref="O262 M262 G262 K262 S262 U262 W262 I262 Q262">
    <cfRule type="cellIs" dxfId="5786" priority="6743" stopIfTrue="1" operator="notEqual">
      <formula>H262</formula>
    </cfRule>
  </conditionalFormatting>
  <conditionalFormatting sqref="O263 G263 K263 S263 U263 W263 I263 Q263">
    <cfRule type="cellIs" dxfId="5785" priority="6742" stopIfTrue="1" operator="notEqual">
      <formula>H263</formula>
    </cfRule>
  </conditionalFormatting>
  <conditionalFormatting sqref="O264 M264 G264 K264 S264 U264 W264 I264 Q264">
    <cfRule type="cellIs" dxfId="5784" priority="6741" stopIfTrue="1" operator="notEqual">
      <formula>H264</formula>
    </cfRule>
  </conditionalFormatting>
  <conditionalFormatting sqref="O265 M265 G265 K265 S265 U265 W265 I265 Q265">
    <cfRule type="cellIs" dxfId="5783" priority="6740" stopIfTrue="1" operator="notEqual">
      <formula>H265</formula>
    </cfRule>
  </conditionalFormatting>
  <conditionalFormatting sqref="O268:O279 M268:M279 G268:G279 K268:K279 S268:S279 U268:U279 W268:W279 I268:I279 Q268:Q279">
    <cfRule type="cellIs" dxfId="5782" priority="6739" stopIfTrue="1" operator="notEqual">
      <formula>H268</formula>
    </cfRule>
  </conditionalFormatting>
  <conditionalFormatting sqref="O269 M269 G269 K269 S269 U269 W269 I269 Q269">
    <cfRule type="cellIs" dxfId="5781" priority="6738" stopIfTrue="1" operator="notEqual">
      <formula>H269</formula>
    </cfRule>
  </conditionalFormatting>
  <conditionalFormatting sqref="O269 M269 G269 K269 S269 U269 W269 I269 Q269">
    <cfRule type="cellIs" dxfId="5780" priority="6737" stopIfTrue="1" operator="notEqual">
      <formula>H269</formula>
    </cfRule>
  </conditionalFormatting>
  <conditionalFormatting sqref="O267 M267 G267 K267 S267 U267 W267 I267 Q267">
    <cfRule type="cellIs" dxfId="5779" priority="6736" stopIfTrue="1" operator="notEqual">
      <formula>H267</formula>
    </cfRule>
  </conditionalFormatting>
  <conditionalFormatting sqref="O272 M272 G272 K272 S272 U272 W272 I272 Q272">
    <cfRule type="cellIs" dxfId="5778" priority="6735" stopIfTrue="1" operator="notEqual">
      <formula>H272</formula>
    </cfRule>
  </conditionalFormatting>
  <conditionalFormatting sqref="O273 M273 G273 K273 S273 U273 W273 I273 Q273">
    <cfRule type="cellIs" dxfId="5777" priority="6734" stopIfTrue="1" operator="notEqual">
      <formula>H273</formula>
    </cfRule>
  </conditionalFormatting>
  <conditionalFormatting sqref="O271 M271 G271 K271 S271 U271 W271 I271 Q271">
    <cfRule type="cellIs" dxfId="5776" priority="6733" stopIfTrue="1" operator="notEqual">
      <formula>H271</formula>
    </cfRule>
  </conditionalFormatting>
  <conditionalFormatting sqref="O274 M274 G274 K274 S274 U274 W274 I274 Q274">
    <cfRule type="cellIs" dxfId="5775" priority="6732" stopIfTrue="1" operator="notEqual">
      <formula>H274</formula>
    </cfRule>
  </conditionalFormatting>
  <conditionalFormatting sqref="O275 M275 G275 K275 S275 U275 W275 I275 Q275">
    <cfRule type="cellIs" dxfId="5774" priority="6731" stopIfTrue="1" operator="notEqual">
      <formula>H275</formula>
    </cfRule>
  </conditionalFormatting>
  <conditionalFormatting sqref="O276 M276 G276 K276 S276 U276 W276 I276 Q276">
    <cfRule type="cellIs" dxfId="5773" priority="6730" stopIfTrue="1" operator="notEqual">
      <formula>H276</formula>
    </cfRule>
  </conditionalFormatting>
  <conditionalFormatting sqref="O277 M277 G277 K277 S277 U277 W277 I277 Q277">
    <cfRule type="cellIs" dxfId="5772" priority="6729" stopIfTrue="1" operator="notEqual">
      <formula>H277</formula>
    </cfRule>
  </conditionalFormatting>
  <conditionalFormatting sqref="O278 M278 G278 K278 S278 U278 W278 I278 Q278">
    <cfRule type="cellIs" dxfId="5771" priority="6728" stopIfTrue="1" operator="notEqual">
      <formula>H278</formula>
    </cfRule>
  </conditionalFormatting>
  <conditionalFormatting sqref="O279 M279 G279 K279 S279 U279 W279 I279 Q279">
    <cfRule type="cellIs" dxfId="5770" priority="6727" stopIfTrue="1" operator="notEqual">
      <formula>H279</formula>
    </cfRule>
  </conditionalFormatting>
  <conditionalFormatting sqref="O280 M280 G280 K280 S280 U280 W280 I280 Q280">
    <cfRule type="cellIs" dxfId="5769" priority="6726" stopIfTrue="1" operator="notEqual">
      <formula>H280</formula>
    </cfRule>
  </conditionalFormatting>
  <conditionalFormatting sqref="O281 M281 G281 K281 S281 U281 W281 I281 Q281">
    <cfRule type="cellIs" dxfId="5768" priority="6725" stopIfTrue="1" operator="notEqual">
      <formula>H281</formula>
    </cfRule>
  </conditionalFormatting>
  <conditionalFormatting sqref="O282 M282 G282 K282 S282 U282 W282 I282 Q282">
    <cfRule type="cellIs" dxfId="5767" priority="6724" stopIfTrue="1" operator="notEqual">
      <formula>H282</formula>
    </cfRule>
  </conditionalFormatting>
  <conditionalFormatting sqref="O283 M283 G283 K283 S283 U283 W283 I283 Q283">
    <cfRule type="cellIs" dxfId="5766" priority="6723" stopIfTrue="1" operator="notEqual">
      <formula>H283</formula>
    </cfRule>
  </conditionalFormatting>
  <conditionalFormatting sqref="O284 M284 G284 K284 S284 U284 W284 I284 Q284">
    <cfRule type="cellIs" dxfId="5765" priority="6722" stopIfTrue="1" operator="notEqual">
      <formula>H284</formula>
    </cfRule>
  </conditionalFormatting>
  <conditionalFormatting sqref="O285 M285 G285 K285 S285 U285 W285 I285 Q285">
    <cfRule type="cellIs" dxfId="5764" priority="6721" stopIfTrue="1" operator="notEqual">
      <formula>H285</formula>
    </cfRule>
  </conditionalFormatting>
  <conditionalFormatting sqref="O286 M286 G286 K286 S286 U286 W286 I286 Q286">
    <cfRule type="cellIs" dxfId="5763" priority="6720" stopIfTrue="1" operator="notEqual">
      <formula>H286</formula>
    </cfRule>
  </conditionalFormatting>
  <conditionalFormatting sqref="O256:O258 M256:M258 G256:G258 K256:K258 S256:S258 U256:U258 W256:W258 I256:I258 Q256:Q258">
    <cfRule type="cellIs" dxfId="5762" priority="6719" stopIfTrue="1" operator="notEqual">
      <formula>H256</formula>
    </cfRule>
  </conditionalFormatting>
  <conditionalFormatting sqref="O257 M257 G257 K257 S257 U257 W257 I257 Q257">
    <cfRule type="cellIs" dxfId="5761" priority="6718" stopIfTrue="1" operator="notEqual">
      <formula>H257</formula>
    </cfRule>
  </conditionalFormatting>
  <conditionalFormatting sqref="O258 M258 G258 K258 S258 U258 W258 I258 Q258">
    <cfRule type="cellIs" dxfId="5760" priority="6717" stopIfTrue="1" operator="notEqual">
      <formula>H258</formula>
    </cfRule>
  </conditionalFormatting>
  <conditionalFormatting sqref="O256:O258 M256:M258 G256:G258 K256:K258 S256:S258 U256:U258 W256:W258 I256:I258 Q256:Q258">
    <cfRule type="cellIs" dxfId="5759" priority="6716" stopIfTrue="1" operator="notEqual">
      <formula>H256</formula>
    </cfRule>
  </conditionalFormatting>
  <conditionalFormatting sqref="O259 M259 G259 K259 S259 U259 W259 I259 Q259">
    <cfRule type="cellIs" dxfId="5758" priority="6715" stopIfTrue="1" operator="notEqual">
      <formula>H259</formula>
    </cfRule>
  </conditionalFormatting>
  <conditionalFormatting sqref="O260 M260 G260 K260 S260 U260 W260 I260 Q260">
    <cfRule type="cellIs" dxfId="5757" priority="6714" stopIfTrue="1" operator="notEqual">
      <formula>H260</formula>
    </cfRule>
  </conditionalFormatting>
  <conditionalFormatting sqref="O261 M261 G261 K261 S261 U261 W261 I261 Q261">
    <cfRule type="cellIs" dxfId="5756" priority="6713" stopIfTrue="1" operator="notEqual">
      <formula>H261</formula>
    </cfRule>
  </conditionalFormatting>
  <conditionalFormatting sqref="O262 M262 G262 K262 S262 U262 W262 I262 Q262">
    <cfRule type="cellIs" dxfId="5755" priority="6712" stopIfTrue="1" operator="notEqual">
      <formula>H262</formula>
    </cfRule>
  </conditionalFormatting>
  <conditionalFormatting sqref="O263 G263 K263 S263 U263 W263 I263 Q263">
    <cfRule type="cellIs" dxfId="5754" priority="6711" stopIfTrue="1" operator="notEqual">
      <formula>H263</formula>
    </cfRule>
  </conditionalFormatting>
  <conditionalFormatting sqref="O264 M264 G264 K264 S264 U264 W264 I264 Q264">
    <cfRule type="cellIs" dxfId="5753" priority="6710" stopIfTrue="1" operator="notEqual">
      <formula>H264</formula>
    </cfRule>
  </conditionalFormatting>
  <conditionalFormatting sqref="O265 M265 G265 K265 S265 U265 W265 I265 Q265">
    <cfRule type="cellIs" dxfId="5752" priority="6709" stopIfTrue="1" operator="notEqual">
      <formula>H265</formula>
    </cfRule>
  </conditionalFormatting>
  <conditionalFormatting sqref="O266 M266 G266 K266 S266 U266 W266 I266 Q266">
    <cfRule type="cellIs" dxfId="5751" priority="6708" stopIfTrue="1" operator="notEqual">
      <formula>H266</formula>
    </cfRule>
  </conditionalFormatting>
  <conditionalFormatting sqref="O267 M267 G267 K267 S267 U267 W267 I267 Q267">
    <cfRule type="cellIs" dxfId="5750" priority="6707" stopIfTrue="1" operator="notEqual">
      <formula>H267</formula>
    </cfRule>
  </conditionalFormatting>
  <conditionalFormatting sqref="O268:O279 M268:M279 G268:G279 K268:K279 S268:S279 U268:U279 W268:W279 I268:I279 Q268:Q279">
    <cfRule type="cellIs" dxfId="5749" priority="6706" stopIfTrue="1" operator="notEqual">
      <formula>H268</formula>
    </cfRule>
  </conditionalFormatting>
  <conditionalFormatting sqref="O269 M269 G269 K269 S269 U269 W269 I269 Q269">
    <cfRule type="cellIs" dxfId="5748" priority="6705" stopIfTrue="1" operator="notEqual">
      <formula>H269</formula>
    </cfRule>
  </conditionalFormatting>
  <conditionalFormatting sqref="O270 M270 G270 K270 S270 U270 W270 I270 Q270">
    <cfRule type="cellIs" dxfId="5747" priority="6704" stopIfTrue="1" operator="notEqual">
      <formula>H270</formula>
    </cfRule>
  </conditionalFormatting>
  <conditionalFormatting sqref="O271 M271 G271 K271 S271 U271 W271 I271 Q271">
    <cfRule type="cellIs" dxfId="5746" priority="6703" stopIfTrue="1" operator="notEqual">
      <formula>H271</formula>
    </cfRule>
  </conditionalFormatting>
  <conditionalFormatting sqref="G286:G287">
    <cfRule type="cellIs" dxfId="5745" priority="6702" stopIfTrue="1" operator="notEqual">
      <formula>H286</formula>
    </cfRule>
  </conditionalFormatting>
  <conditionalFormatting sqref="G272">
    <cfRule type="cellIs" dxfId="5744" priority="6701" stopIfTrue="1" operator="notEqual">
      <formula>H272</formula>
    </cfRule>
  </conditionalFormatting>
  <conditionalFormatting sqref="G273">
    <cfRule type="cellIs" dxfId="5743" priority="6700" stopIfTrue="1" operator="notEqual">
      <formula>H273</formula>
    </cfRule>
  </conditionalFormatting>
  <conditionalFormatting sqref="G274">
    <cfRule type="cellIs" dxfId="5742" priority="6699" stopIfTrue="1" operator="notEqual">
      <formula>H274</formula>
    </cfRule>
  </conditionalFormatting>
  <conditionalFormatting sqref="G275">
    <cfRule type="cellIs" dxfId="5741" priority="6698" stopIfTrue="1" operator="notEqual">
      <formula>H275</formula>
    </cfRule>
  </conditionalFormatting>
  <conditionalFormatting sqref="G276">
    <cfRule type="cellIs" dxfId="5740" priority="6697" stopIfTrue="1" operator="notEqual">
      <formula>H276</formula>
    </cfRule>
  </conditionalFormatting>
  <conditionalFormatting sqref="G277">
    <cfRule type="cellIs" dxfId="5739" priority="6696" stopIfTrue="1" operator="notEqual">
      <formula>H277</formula>
    </cfRule>
  </conditionalFormatting>
  <conditionalFormatting sqref="G278">
    <cfRule type="cellIs" dxfId="5738" priority="6695" stopIfTrue="1" operator="notEqual">
      <formula>H278</formula>
    </cfRule>
  </conditionalFormatting>
  <conditionalFormatting sqref="G279">
    <cfRule type="cellIs" dxfId="5737" priority="6694" stopIfTrue="1" operator="notEqual">
      <formula>H279</formula>
    </cfRule>
  </conditionalFormatting>
  <conditionalFormatting sqref="G280">
    <cfRule type="cellIs" dxfId="5736" priority="6693" stopIfTrue="1" operator="notEqual">
      <formula>H280</formula>
    </cfRule>
  </conditionalFormatting>
  <conditionalFormatting sqref="G281">
    <cfRule type="cellIs" dxfId="5735" priority="6692" stopIfTrue="1" operator="notEqual">
      <formula>H281</formula>
    </cfRule>
  </conditionalFormatting>
  <conditionalFormatting sqref="G282">
    <cfRule type="cellIs" dxfId="5734" priority="6691" stopIfTrue="1" operator="notEqual">
      <formula>H282</formula>
    </cfRule>
  </conditionalFormatting>
  <conditionalFormatting sqref="G283">
    <cfRule type="cellIs" dxfId="5733" priority="6690" stopIfTrue="1" operator="notEqual">
      <formula>H283</formula>
    </cfRule>
  </conditionalFormatting>
  <conditionalFormatting sqref="G284">
    <cfRule type="cellIs" dxfId="5732" priority="6689" stopIfTrue="1" operator="notEqual">
      <formula>H284</formula>
    </cfRule>
  </conditionalFormatting>
  <conditionalFormatting sqref="G285">
    <cfRule type="cellIs" dxfId="5731" priority="6688" stopIfTrue="1" operator="notEqual">
      <formula>H285</formula>
    </cfRule>
  </conditionalFormatting>
  <conditionalFormatting sqref="G272">
    <cfRule type="cellIs" dxfId="5730" priority="6687" stopIfTrue="1" operator="notEqual">
      <formula>H272</formula>
    </cfRule>
  </conditionalFormatting>
  <conditionalFormatting sqref="G272">
    <cfRule type="cellIs" dxfId="5729" priority="6686" stopIfTrue="1" operator="notEqual">
      <formula>H272</formula>
    </cfRule>
  </conditionalFormatting>
  <conditionalFormatting sqref="G272">
    <cfRule type="cellIs" dxfId="5728" priority="6685" stopIfTrue="1" operator="notEqual">
      <formula>H272</formula>
    </cfRule>
  </conditionalFormatting>
  <conditionalFormatting sqref="G272">
    <cfRule type="cellIs" dxfId="5727" priority="6684" stopIfTrue="1" operator="notEqual">
      <formula>H272</formula>
    </cfRule>
  </conditionalFormatting>
  <conditionalFormatting sqref="G272">
    <cfRule type="cellIs" dxfId="5726" priority="6683" stopIfTrue="1" operator="notEqual">
      <formula>H272</formula>
    </cfRule>
  </conditionalFormatting>
  <conditionalFormatting sqref="G272">
    <cfRule type="cellIs" dxfId="5725" priority="6682" stopIfTrue="1" operator="notEqual">
      <formula>H272</formula>
    </cfRule>
  </conditionalFormatting>
  <conditionalFormatting sqref="G287">
    <cfRule type="cellIs" dxfId="5724" priority="6681" stopIfTrue="1" operator="notEqual">
      <formula>H287</formula>
    </cfRule>
  </conditionalFormatting>
  <conditionalFormatting sqref="O282:O287 M282:M287 G282:G287 K282:K287 S282:S287 U282:U287 W282:W287 I282:I287 Q282:Q287">
    <cfRule type="cellIs" dxfId="5723" priority="6680" stopIfTrue="1" operator="notEqual">
      <formula>H282</formula>
    </cfRule>
  </conditionalFormatting>
  <conditionalFormatting sqref="O272 M272 G272 K272 S272 U272 W272 I272 Q272">
    <cfRule type="cellIs" dxfId="5722" priority="6679" stopIfTrue="1" operator="notEqual">
      <formula>H272</formula>
    </cfRule>
  </conditionalFormatting>
  <conditionalFormatting sqref="O273 M273 G273 K273 S273 U273 W273 I273 Q273">
    <cfRule type="cellIs" dxfId="5721" priority="6678" stopIfTrue="1" operator="notEqual">
      <formula>H273</formula>
    </cfRule>
  </conditionalFormatting>
  <conditionalFormatting sqref="O274 M274 G274 K274 S274 U274 W274 I274 Q274">
    <cfRule type="cellIs" dxfId="5720" priority="6677" stopIfTrue="1" operator="notEqual">
      <formula>H274</formula>
    </cfRule>
  </conditionalFormatting>
  <conditionalFormatting sqref="O275 M275 G275 K275 S275 U275 W275 I275 Q275">
    <cfRule type="cellIs" dxfId="5719" priority="6676" stopIfTrue="1" operator="notEqual">
      <formula>H275</formula>
    </cfRule>
  </conditionalFormatting>
  <conditionalFormatting sqref="O276 M276 G276 K276 S276 U276 W276 I276 Q276">
    <cfRule type="cellIs" dxfId="5718" priority="6675" stopIfTrue="1" operator="notEqual">
      <formula>H276</formula>
    </cfRule>
  </conditionalFormatting>
  <conditionalFormatting sqref="O277 M277 G277 K277 S277 U277 W277 I277 Q277">
    <cfRule type="cellIs" dxfId="5717" priority="6674" stopIfTrue="1" operator="notEqual">
      <formula>H277</formula>
    </cfRule>
  </conditionalFormatting>
  <conditionalFormatting sqref="O278 M278 G278 K278 S278 U278 W278 I278 Q278">
    <cfRule type="cellIs" dxfId="5716" priority="6673" stopIfTrue="1" operator="notEqual">
      <formula>H278</formula>
    </cfRule>
  </conditionalFormatting>
  <conditionalFormatting sqref="O279 M279 G279 K279 S279 U279 W279 I279 Q279">
    <cfRule type="cellIs" dxfId="5715" priority="6672" stopIfTrue="1" operator="notEqual">
      <formula>H279</formula>
    </cfRule>
  </conditionalFormatting>
  <conditionalFormatting sqref="O280 M280 G280 K280 S280 U280 W280 I280 Q280">
    <cfRule type="cellIs" dxfId="5714" priority="6671" stopIfTrue="1" operator="notEqual">
      <formula>H280</formula>
    </cfRule>
  </conditionalFormatting>
  <conditionalFormatting sqref="O281 M281 G281 K281 S281 U281 W281 I281 Q281">
    <cfRule type="cellIs" dxfId="5713" priority="6670" stopIfTrue="1" operator="notEqual">
      <formula>H281</formula>
    </cfRule>
  </conditionalFormatting>
  <conditionalFormatting sqref="O284 M284 G284 K284 S284 U284 W284 I284 Q284">
    <cfRule type="cellIs" dxfId="5712" priority="6669" stopIfTrue="1" operator="notEqual">
      <formula>H284</formula>
    </cfRule>
  </conditionalFormatting>
  <conditionalFormatting sqref="O285 M285 G285 K285 S285 U285 W285 I285 Q285">
    <cfRule type="cellIs" dxfId="5711" priority="6668" stopIfTrue="1" operator="notEqual">
      <formula>H285</formula>
    </cfRule>
  </conditionalFormatting>
  <conditionalFormatting sqref="O285 M285 G285 K285 S285 U285 W285 I285 Q285">
    <cfRule type="cellIs" dxfId="5710" priority="6667" stopIfTrue="1" operator="notEqual">
      <formula>H285</formula>
    </cfRule>
  </conditionalFormatting>
  <conditionalFormatting sqref="O283 M283 G283 K283 S283 U283 W283 I283 Q283">
    <cfRule type="cellIs" dxfId="5709" priority="6666" stopIfTrue="1" operator="notEqual">
      <formula>H283</formula>
    </cfRule>
  </conditionalFormatting>
  <conditionalFormatting sqref="O287 M287 G287 K287 S287 U287 W287 I287 Q287">
    <cfRule type="cellIs" dxfId="5708" priority="6665" stopIfTrue="1" operator="notEqual">
      <formula>H287</formula>
    </cfRule>
  </conditionalFormatting>
  <conditionalFormatting sqref="O272 M272 G272 K272 S272 U272 W272 I272 Q272">
    <cfRule type="cellIs" dxfId="5707" priority="6664" stopIfTrue="1" operator="notEqual">
      <formula>H272</formula>
    </cfRule>
  </conditionalFormatting>
  <conditionalFormatting sqref="O273 M273 G273 K273 S273 U273 W273 I273 Q273">
    <cfRule type="cellIs" dxfId="5706" priority="6663" stopIfTrue="1" operator="notEqual">
      <formula>H273</formula>
    </cfRule>
  </conditionalFormatting>
  <conditionalFormatting sqref="O274 M274 G274 K274 S274 U274 W274 I274 Q274">
    <cfRule type="cellIs" dxfId="5705" priority="6662" stopIfTrue="1" operator="notEqual">
      <formula>H274</formula>
    </cfRule>
  </conditionalFormatting>
  <conditionalFormatting sqref="O272 M272 G272 K272 S272 U272 W272 I272 Q272">
    <cfRule type="cellIs" dxfId="5704" priority="6661" stopIfTrue="1" operator="notEqual">
      <formula>H272</formula>
    </cfRule>
  </conditionalFormatting>
  <conditionalFormatting sqref="O275 M275 G275 K275 S275 U275 W275 I275 Q275">
    <cfRule type="cellIs" dxfId="5703" priority="6660" stopIfTrue="1" operator="notEqual">
      <formula>H275</formula>
    </cfRule>
  </conditionalFormatting>
  <conditionalFormatting sqref="O276 M276 G276 K276 S276 U276 W276 I276 Q276">
    <cfRule type="cellIs" dxfId="5702" priority="6659" stopIfTrue="1" operator="notEqual">
      <formula>H276</formula>
    </cfRule>
  </conditionalFormatting>
  <conditionalFormatting sqref="O277 M277 G277 K277 S277 U277 W277 I277 Q277">
    <cfRule type="cellIs" dxfId="5701" priority="6658" stopIfTrue="1" operator="notEqual">
      <formula>H277</formula>
    </cfRule>
  </conditionalFormatting>
  <conditionalFormatting sqref="O278 M278 G278 K278 S278 U278 W278 I278 Q278">
    <cfRule type="cellIs" dxfId="5700" priority="6657" stopIfTrue="1" operator="notEqual">
      <formula>H278</formula>
    </cfRule>
  </conditionalFormatting>
  <conditionalFormatting sqref="O279 M279 G279 K279 S279 U279 W279 I279 Q279">
    <cfRule type="cellIs" dxfId="5699" priority="6656" stopIfTrue="1" operator="notEqual">
      <formula>H279</formula>
    </cfRule>
  </conditionalFormatting>
  <conditionalFormatting sqref="O280 M280 G280 K280 S280 U280 W280 I280 Q280">
    <cfRule type="cellIs" dxfId="5698" priority="6655" stopIfTrue="1" operator="notEqual">
      <formula>H280</formula>
    </cfRule>
  </conditionalFormatting>
  <conditionalFormatting sqref="O281 M281 G281 K281 S281 U281 W281 I281 Q281">
    <cfRule type="cellIs" dxfId="5697" priority="6654" stopIfTrue="1" operator="notEqual">
      <formula>H281</formula>
    </cfRule>
  </conditionalFormatting>
  <conditionalFormatting sqref="O282 M282 G282 K282 S282 U282 W282 I282 Q282">
    <cfRule type="cellIs" dxfId="5696" priority="6653" stopIfTrue="1" operator="notEqual">
      <formula>H282</formula>
    </cfRule>
  </conditionalFormatting>
  <conditionalFormatting sqref="O283 M283 G283 K283 S283 U283 W283 I283 Q283">
    <cfRule type="cellIs" dxfId="5695" priority="6652" stopIfTrue="1" operator="notEqual">
      <formula>H283</formula>
    </cfRule>
  </conditionalFormatting>
  <conditionalFormatting sqref="O284 M284 G284 K284 S284 U284 W284 I284 Q284">
    <cfRule type="cellIs" dxfId="5694" priority="6651" stopIfTrue="1" operator="notEqual">
      <formula>H284</formula>
    </cfRule>
  </conditionalFormatting>
  <conditionalFormatting sqref="O285 M285 G285 K285 S285 U285 W285 I285 Q285">
    <cfRule type="cellIs" dxfId="5693" priority="6650" stopIfTrue="1" operator="notEqual">
      <formula>H285</formula>
    </cfRule>
  </conditionalFormatting>
  <conditionalFormatting sqref="O286 M286 G286 K286 S286 U286 W286 I286 Q286">
    <cfRule type="cellIs" dxfId="5692" priority="6649" stopIfTrue="1" operator="notEqual">
      <formula>H286</formula>
    </cfRule>
  </conditionalFormatting>
  <conditionalFormatting sqref="O287 M287 G287 K287 S287 U287 W287 I287 Q287">
    <cfRule type="cellIs" dxfId="5691" priority="6648" stopIfTrue="1" operator="notEqual">
      <formula>H287</formula>
    </cfRule>
  </conditionalFormatting>
  <conditionalFormatting sqref="G287:G294">
    <cfRule type="cellIs" dxfId="5690" priority="6647" stopIfTrue="1" operator="notEqual">
      <formula>H287</formula>
    </cfRule>
  </conditionalFormatting>
  <conditionalFormatting sqref="G287">
    <cfRule type="cellIs" dxfId="5689" priority="6646" stopIfTrue="1" operator="notEqual">
      <formula>H287</formula>
    </cfRule>
  </conditionalFormatting>
  <conditionalFormatting sqref="G288">
    <cfRule type="cellIs" dxfId="5688" priority="6645" stopIfTrue="1" operator="notEqual">
      <formula>H288</formula>
    </cfRule>
  </conditionalFormatting>
  <conditionalFormatting sqref="G288">
    <cfRule type="cellIs" dxfId="5687" priority="6644" stopIfTrue="1" operator="notEqual">
      <formula>H288</formula>
    </cfRule>
  </conditionalFormatting>
  <conditionalFormatting sqref="G291">
    <cfRule type="cellIs" dxfId="5686" priority="6643" stopIfTrue="1" operator="notEqual">
      <formula>H291</formula>
    </cfRule>
  </conditionalFormatting>
  <conditionalFormatting sqref="G292">
    <cfRule type="cellIs" dxfId="5685" priority="6642" stopIfTrue="1" operator="notEqual">
      <formula>H292</formula>
    </cfRule>
  </conditionalFormatting>
  <conditionalFormatting sqref="G290">
    <cfRule type="cellIs" dxfId="5684" priority="6641" stopIfTrue="1" operator="notEqual">
      <formula>H290</formula>
    </cfRule>
  </conditionalFormatting>
  <conditionalFormatting sqref="G293">
    <cfRule type="cellIs" dxfId="5683" priority="6640" stopIfTrue="1" operator="notEqual">
      <formula>H293</formula>
    </cfRule>
  </conditionalFormatting>
  <conditionalFormatting sqref="G294">
    <cfRule type="cellIs" dxfId="5682" priority="6639" stopIfTrue="1" operator="notEqual">
      <formula>H294</formula>
    </cfRule>
  </conditionalFormatting>
  <conditionalFormatting sqref="G295">
    <cfRule type="cellIs" dxfId="5681" priority="6638" stopIfTrue="1" operator="notEqual">
      <formula>H295</formula>
    </cfRule>
  </conditionalFormatting>
  <conditionalFormatting sqref="G296">
    <cfRule type="cellIs" dxfId="5680" priority="6637" stopIfTrue="1" operator="notEqual">
      <formula>H296</formula>
    </cfRule>
  </conditionalFormatting>
  <conditionalFormatting sqref="G297">
    <cfRule type="cellIs" dxfId="5679" priority="6636" stopIfTrue="1" operator="notEqual">
      <formula>H297</formula>
    </cfRule>
  </conditionalFormatting>
  <conditionalFormatting sqref="G298">
    <cfRule type="cellIs" dxfId="5678" priority="6635" stopIfTrue="1" operator="notEqual">
      <formula>H298</formula>
    </cfRule>
  </conditionalFormatting>
  <conditionalFormatting sqref="G299:G300">
    <cfRule type="cellIs" dxfId="5677" priority="6634" stopIfTrue="1" operator="notEqual">
      <formula>H299</formula>
    </cfRule>
  </conditionalFormatting>
  <conditionalFormatting sqref="G300">
    <cfRule type="cellIs" dxfId="5676" priority="6633" stopIfTrue="1" operator="notEqual">
      <formula>H300</formula>
    </cfRule>
  </conditionalFormatting>
  <conditionalFormatting sqref="G301">
    <cfRule type="cellIs" dxfId="5675" priority="6632" stopIfTrue="1" operator="notEqual">
      <formula>H301</formula>
    </cfRule>
  </conditionalFormatting>
  <conditionalFormatting sqref="G302">
    <cfRule type="cellIs" dxfId="5674" priority="6631" stopIfTrue="1" operator="notEqual">
      <formula>H302</formula>
    </cfRule>
  </conditionalFormatting>
  <conditionalFormatting sqref="O287 M287 G287 K287 S287 U287 W287 I287 Q287">
    <cfRule type="cellIs" dxfId="5673" priority="6630" stopIfTrue="1" operator="notEqual">
      <formula>H287</formula>
    </cfRule>
  </conditionalFormatting>
  <conditionalFormatting sqref="O288 M288 G288 K288 S288 U288 W288 I288 Q288">
    <cfRule type="cellIs" dxfId="5672" priority="6629" stopIfTrue="1" operator="notEqual">
      <formula>H288</formula>
    </cfRule>
  </conditionalFormatting>
  <conditionalFormatting sqref="O289:O294 M289:M294 G289:G294 K289:K294 S289:S294 U289:U294 W289:W294 I289:I294 Q289:Q294">
    <cfRule type="cellIs" dxfId="5671" priority="6628" stopIfTrue="1" operator="notEqual">
      <formula>H289</formula>
    </cfRule>
  </conditionalFormatting>
  <conditionalFormatting sqref="O290 M290 G290 K290 S290 U290 W290 I290 Q290">
    <cfRule type="cellIs" dxfId="5670" priority="6627" stopIfTrue="1" operator="notEqual">
      <formula>H290</formula>
    </cfRule>
  </conditionalFormatting>
  <conditionalFormatting sqref="O291 M291 G291 K291 S291 U291 W291 I291 Q291">
    <cfRule type="cellIs" dxfId="5669" priority="6626" stopIfTrue="1" operator="notEqual">
      <formula>H291</formula>
    </cfRule>
  </conditionalFormatting>
  <conditionalFormatting sqref="O292 M292 G292 K292 S292 U292 W292 I292 Q292">
    <cfRule type="cellIs" dxfId="5668" priority="6625" stopIfTrue="1" operator="notEqual">
      <formula>H292</formula>
    </cfRule>
  </conditionalFormatting>
  <conditionalFormatting sqref="O293 M293 G293 K293 S293 U293 W293 I293 Q293">
    <cfRule type="cellIs" dxfId="5667" priority="6624" stopIfTrue="1" operator="notEqual">
      <formula>H293</formula>
    </cfRule>
  </conditionalFormatting>
  <conditionalFormatting sqref="O294 M294 G294 K294 S294 U294 W294 I294 Q294">
    <cfRule type="cellIs" dxfId="5666" priority="6623" stopIfTrue="1" operator="notEqual">
      <formula>H294</formula>
    </cfRule>
  </conditionalFormatting>
  <conditionalFormatting sqref="O295 M295 G295 K295 S295 U295 W295 I295 Q295">
    <cfRule type="cellIs" dxfId="5665" priority="6622" stopIfTrue="1" operator="notEqual">
      <formula>H295</formula>
    </cfRule>
  </conditionalFormatting>
  <conditionalFormatting sqref="O296 M296 G296 K296 S296 U296 W296 I296 Q296">
    <cfRule type="cellIs" dxfId="5664" priority="6621" stopIfTrue="1" operator="notEqual">
      <formula>H296</formula>
    </cfRule>
  </conditionalFormatting>
  <conditionalFormatting sqref="O297 M297 G297 K297 S297 U297 W297 I297 Q297">
    <cfRule type="cellIs" dxfId="5663" priority="6620" stopIfTrue="1" operator="notEqual">
      <formula>H297</formula>
    </cfRule>
  </conditionalFormatting>
  <conditionalFormatting sqref="O298 M298 G298 K298 S298 U298 W298 I298 Q298">
    <cfRule type="cellIs" dxfId="5662" priority="6619" stopIfTrue="1" operator="notEqual">
      <formula>H298</formula>
    </cfRule>
  </conditionalFormatting>
  <conditionalFormatting sqref="O299:O300 M299:M300 G299:G300 K299:K300 S299:S300 U299:U300 W299:W300 I299:I300 Q299:Q300">
    <cfRule type="cellIs" dxfId="5661" priority="6618" stopIfTrue="1" operator="notEqual">
      <formula>H299</formula>
    </cfRule>
  </conditionalFormatting>
  <conditionalFormatting sqref="O300 M300 G300 K300 S300 U300 W300 I300 Q300">
    <cfRule type="cellIs" dxfId="5660" priority="6617" stopIfTrue="1" operator="notEqual">
      <formula>H300</formula>
    </cfRule>
  </conditionalFormatting>
  <conditionalFormatting sqref="O301 M301 G301 K301 S301 U301 W301 I301 Q301">
    <cfRule type="cellIs" dxfId="5659" priority="6616" stopIfTrue="1" operator="notEqual">
      <formula>H301</formula>
    </cfRule>
  </conditionalFormatting>
  <conditionalFormatting sqref="G301:G302">
    <cfRule type="cellIs" dxfId="5658" priority="6615" stopIfTrue="1" operator="notEqual">
      <formula>H301</formula>
    </cfRule>
  </conditionalFormatting>
  <conditionalFormatting sqref="G287">
    <cfRule type="cellIs" dxfId="5657" priority="6614" stopIfTrue="1" operator="notEqual">
      <formula>H287</formula>
    </cfRule>
  </conditionalFormatting>
  <conditionalFormatting sqref="G288">
    <cfRule type="cellIs" dxfId="5656" priority="6613" stopIfTrue="1" operator="notEqual">
      <formula>H288</formula>
    </cfRule>
  </conditionalFormatting>
  <conditionalFormatting sqref="G289:G294">
    <cfRule type="cellIs" dxfId="5655" priority="6612" stopIfTrue="1" operator="notEqual">
      <formula>H289</formula>
    </cfRule>
  </conditionalFormatting>
  <conditionalFormatting sqref="G290">
    <cfRule type="cellIs" dxfId="5654" priority="6611" stopIfTrue="1" operator="notEqual">
      <formula>H290</formula>
    </cfRule>
  </conditionalFormatting>
  <conditionalFormatting sqref="G291">
    <cfRule type="cellIs" dxfId="5653" priority="6610" stopIfTrue="1" operator="notEqual">
      <formula>H291</formula>
    </cfRule>
  </conditionalFormatting>
  <conditionalFormatting sqref="G292">
    <cfRule type="cellIs" dxfId="5652" priority="6609" stopIfTrue="1" operator="notEqual">
      <formula>H292</formula>
    </cfRule>
  </conditionalFormatting>
  <conditionalFormatting sqref="G293">
    <cfRule type="cellIs" dxfId="5651" priority="6608" stopIfTrue="1" operator="notEqual">
      <formula>H293</formula>
    </cfRule>
  </conditionalFormatting>
  <conditionalFormatting sqref="G294">
    <cfRule type="cellIs" dxfId="5650" priority="6607" stopIfTrue="1" operator="notEqual">
      <formula>H294</formula>
    </cfRule>
  </conditionalFormatting>
  <conditionalFormatting sqref="G295">
    <cfRule type="cellIs" dxfId="5649" priority="6606" stopIfTrue="1" operator="notEqual">
      <formula>H295</formula>
    </cfRule>
  </conditionalFormatting>
  <conditionalFormatting sqref="G296">
    <cfRule type="cellIs" dxfId="5648" priority="6605" stopIfTrue="1" operator="notEqual">
      <formula>H296</formula>
    </cfRule>
  </conditionalFormatting>
  <conditionalFormatting sqref="G297">
    <cfRule type="cellIs" dxfId="5647" priority="6604" stopIfTrue="1" operator="notEqual">
      <formula>H297</formula>
    </cfRule>
  </conditionalFormatting>
  <conditionalFormatting sqref="G298">
    <cfRule type="cellIs" dxfId="5646" priority="6603" stopIfTrue="1" operator="notEqual">
      <formula>H298</formula>
    </cfRule>
  </conditionalFormatting>
  <conditionalFormatting sqref="G299:G300">
    <cfRule type="cellIs" dxfId="5645" priority="6602" stopIfTrue="1" operator="notEqual">
      <formula>H299</formula>
    </cfRule>
  </conditionalFormatting>
  <conditionalFormatting sqref="G300">
    <cfRule type="cellIs" dxfId="5644" priority="6601" stopIfTrue="1" operator="notEqual">
      <formula>H300</formula>
    </cfRule>
  </conditionalFormatting>
  <conditionalFormatting sqref="G287">
    <cfRule type="cellIs" dxfId="5643" priority="6600" stopIfTrue="1" operator="notEqual">
      <formula>H287</formula>
    </cfRule>
  </conditionalFormatting>
  <conditionalFormatting sqref="G287">
    <cfRule type="cellIs" dxfId="5642" priority="6599" stopIfTrue="1" operator="notEqual">
      <formula>H287</formula>
    </cfRule>
  </conditionalFormatting>
  <conditionalFormatting sqref="G287">
    <cfRule type="cellIs" dxfId="5641" priority="6598" stopIfTrue="1" operator="notEqual">
      <formula>H287</formula>
    </cfRule>
  </conditionalFormatting>
  <conditionalFormatting sqref="G287">
    <cfRule type="cellIs" dxfId="5640" priority="6597" stopIfTrue="1" operator="notEqual">
      <formula>H287</formula>
    </cfRule>
  </conditionalFormatting>
  <conditionalFormatting sqref="G287">
    <cfRule type="cellIs" dxfId="5639" priority="6596" stopIfTrue="1" operator="notEqual">
      <formula>H287</formula>
    </cfRule>
  </conditionalFormatting>
  <conditionalFormatting sqref="G287">
    <cfRule type="cellIs" dxfId="5638" priority="6595" stopIfTrue="1" operator="notEqual">
      <formula>H287</formula>
    </cfRule>
  </conditionalFormatting>
  <conditionalFormatting sqref="G302">
    <cfRule type="cellIs" dxfId="5637" priority="6594" stopIfTrue="1" operator="notEqual">
      <formula>H302</formula>
    </cfRule>
  </conditionalFormatting>
  <conditionalFormatting sqref="O297:O302 M297:M302 G297:G302 K297:K302 S297:S302 U297:U302 W297:W302 I297:I302 Q297:Q302">
    <cfRule type="cellIs" dxfId="5636" priority="6593" stopIfTrue="1" operator="notEqual">
      <formula>H297</formula>
    </cfRule>
  </conditionalFormatting>
  <conditionalFormatting sqref="O287 M287 G287 K287 S287 U287 W287 I287 Q287">
    <cfRule type="cellIs" dxfId="5635" priority="6592" stopIfTrue="1" operator="notEqual">
      <formula>H287</formula>
    </cfRule>
  </conditionalFormatting>
  <conditionalFormatting sqref="O288 M288 G288 K288 S288 U288 W288 I288 Q288">
    <cfRule type="cellIs" dxfId="5634" priority="6591" stopIfTrue="1" operator="notEqual">
      <formula>H288</formula>
    </cfRule>
  </conditionalFormatting>
  <conditionalFormatting sqref="O289:O294 M289:M294 G289:G294 K289:K294 S289:S294 U289:U294 W289:W294 I289:I294 Q289:Q294">
    <cfRule type="cellIs" dxfId="5633" priority="6590" stopIfTrue="1" operator="notEqual">
      <formula>H289</formula>
    </cfRule>
  </conditionalFormatting>
  <conditionalFormatting sqref="O290 M290 G290 K290 S290 U290 W290 I290 Q290">
    <cfRule type="cellIs" dxfId="5632" priority="6589" stopIfTrue="1" operator="notEqual">
      <formula>H290</formula>
    </cfRule>
  </conditionalFormatting>
  <conditionalFormatting sqref="O291 M291 G291 K291 S291 U291 W291 I291 Q291">
    <cfRule type="cellIs" dxfId="5631" priority="6588" stopIfTrue="1" operator="notEqual">
      <formula>H291</formula>
    </cfRule>
  </conditionalFormatting>
  <conditionalFormatting sqref="O292 M292 G292 K292 S292 U292 W292 I292 Q292">
    <cfRule type="cellIs" dxfId="5630" priority="6587" stopIfTrue="1" operator="notEqual">
      <formula>H292</formula>
    </cfRule>
  </conditionalFormatting>
  <conditionalFormatting sqref="O293 M293 G293 K293 S293 U293 W293 I293 Q293">
    <cfRule type="cellIs" dxfId="5629" priority="6586" stopIfTrue="1" operator="notEqual">
      <formula>H293</formula>
    </cfRule>
  </conditionalFormatting>
  <conditionalFormatting sqref="O294 M294 G294 K294 S294 U294 W294 I294 Q294">
    <cfRule type="cellIs" dxfId="5628" priority="6585" stopIfTrue="1" operator="notEqual">
      <formula>H294</formula>
    </cfRule>
  </conditionalFormatting>
  <conditionalFormatting sqref="O295 M295 G295 K295 S295 U295 W295 I295 Q295">
    <cfRule type="cellIs" dxfId="5627" priority="6584" stopIfTrue="1" operator="notEqual">
      <formula>H295</formula>
    </cfRule>
  </conditionalFormatting>
  <conditionalFormatting sqref="O296 M296 G296 K296 S296 U296 W296 I296 Q296">
    <cfRule type="cellIs" dxfId="5626" priority="6583" stopIfTrue="1" operator="notEqual">
      <formula>H296</formula>
    </cfRule>
  </conditionalFormatting>
  <conditionalFormatting sqref="O299:O300 M299:M300 G299:G300 K299:K300 S299:S300 U299:U300 W299:W300 I299:I300 Q299:Q300">
    <cfRule type="cellIs" dxfId="5625" priority="6582" stopIfTrue="1" operator="notEqual">
      <formula>H299</formula>
    </cfRule>
  </conditionalFormatting>
  <conditionalFormatting sqref="O300 M300 G300 K300 S300 U300 W300 I300 Q300">
    <cfRule type="cellIs" dxfId="5624" priority="6581" stopIfTrue="1" operator="notEqual">
      <formula>H300</formula>
    </cfRule>
  </conditionalFormatting>
  <conditionalFormatting sqref="O300 M300 G300 K300 S300 U300 W300 I300 Q300">
    <cfRule type="cellIs" dxfId="5623" priority="6580" stopIfTrue="1" operator="notEqual">
      <formula>H300</formula>
    </cfRule>
  </conditionalFormatting>
  <conditionalFormatting sqref="O298 M298 G298 K298 S298 U298 W298 I298 Q298">
    <cfRule type="cellIs" dxfId="5622" priority="6579" stopIfTrue="1" operator="notEqual">
      <formula>H298</formula>
    </cfRule>
  </conditionalFormatting>
  <conditionalFormatting sqref="O302 M302 G302 K302 S302 U302 W302 I302 Q302">
    <cfRule type="cellIs" dxfId="5621" priority="6578" stopIfTrue="1" operator="notEqual">
      <formula>H302</formula>
    </cfRule>
  </conditionalFormatting>
  <conditionalFormatting sqref="O287 M287 G287 K287 S287 U287 W287 I287 Q287">
    <cfRule type="cellIs" dxfId="5620" priority="6577" stopIfTrue="1" operator="notEqual">
      <formula>H287</formula>
    </cfRule>
  </conditionalFormatting>
  <conditionalFormatting sqref="O288 M288 G288 K288 S288 U288 W288 I288 Q288">
    <cfRule type="cellIs" dxfId="5619" priority="6576" stopIfTrue="1" operator="notEqual">
      <formula>H288</formula>
    </cfRule>
  </conditionalFormatting>
  <conditionalFormatting sqref="O289:O294 M289:M294 G289:G294 K289:K294 S289:S294 U289:U294 W289:W294 I289:I294 Q289:Q294">
    <cfRule type="cellIs" dxfId="5618" priority="6575" stopIfTrue="1" operator="notEqual">
      <formula>H289</formula>
    </cfRule>
  </conditionalFormatting>
  <conditionalFormatting sqref="O287 M287 G287 K287 S287 U287 W287 I287 Q287">
    <cfRule type="cellIs" dxfId="5617" priority="6574" stopIfTrue="1" operator="notEqual">
      <formula>H287</formula>
    </cfRule>
  </conditionalFormatting>
  <conditionalFormatting sqref="O290 M290 G290 K290 S290 U290 W290 I290 Q290">
    <cfRule type="cellIs" dxfId="5616" priority="6573" stopIfTrue="1" operator="notEqual">
      <formula>H290</formula>
    </cfRule>
  </conditionalFormatting>
  <conditionalFormatting sqref="O291 M291 G291 K291 S291 U291 W291 I291 Q291">
    <cfRule type="cellIs" dxfId="5615" priority="6572" stopIfTrue="1" operator="notEqual">
      <formula>H291</formula>
    </cfRule>
  </conditionalFormatting>
  <conditionalFormatting sqref="O292 M292 G292 K292 S292 U292 W292 I292 Q292">
    <cfRule type="cellIs" dxfId="5614" priority="6571" stopIfTrue="1" operator="notEqual">
      <formula>H292</formula>
    </cfRule>
  </conditionalFormatting>
  <conditionalFormatting sqref="O293 M293 G293 K293 S293 U293 W293 I293 Q293">
    <cfRule type="cellIs" dxfId="5613" priority="6570" stopIfTrue="1" operator="notEqual">
      <formula>H293</formula>
    </cfRule>
  </conditionalFormatting>
  <conditionalFormatting sqref="O294 M294 G294 K294 S294 U294 W294 I294 Q294">
    <cfRule type="cellIs" dxfId="5612" priority="6569" stopIfTrue="1" operator="notEqual">
      <formula>H294</formula>
    </cfRule>
  </conditionalFormatting>
  <conditionalFormatting sqref="O295 M295 G295 K295 S295 U295 W295 I295 Q295">
    <cfRule type="cellIs" dxfId="5611" priority="6568" stopIfTrue="1" operator="notEqual">
      <formula>H295</formula>
    </cfRule>
  </conditionalFormatting>
  <conditionalFormatting sqref="O296 M296 G296 K296 S296 U296 W296 I296 Q296">
    <cfRule type="cellIs" dxfId="5610" priority="6567" stopIfTrue="1" operator="notEqual">
      <formula>H296</formula>
    </cfRule>
  </conditionalFormatting>
  <conditionalFormatting sqref="O297 M297 G297 K297 S297 U297 W297 I297 Q297">
    <cfRule type="cellIs" dxfId="5609" priority="6566" stopIfTrue="1" operator="notEqual">
      <formula>H297</formula>
    </cfRule>
  </conditionalFormatting>
  <conditionalFormatting sqref="O298 M298 G298 K298 S298 U298 W298 I298 Q298">
    <cfRule type="cellIs" dxfId="5608" priority="6565" stopIfTrue="1" operator="notEqual">
      <formula>H298</formula>
    </cfRule>
  </conditionalFormatting>
  <conditionalFormatting sqref="O299:O300 M299:M300 G299:G300 K299:K300 S299:S300 U299:U300 W299:W300 I299:I300 Q299:Q300">
    <cfRule type="cellIs" dxfId="5607" priority="6564" stopIfTrue="1" operator="notEqual">
      <formula>H299</formula>
    </cfRule>
  </conditionalFormatting>
  <conditionalFormatting sqref="O300 M300 G300 K300 S300 U300 W300 I300 Q300">
    <cfRule type="cellIs" dxfId="5606" priority="6563" stopIfTrue="1" operator="notEqual">
      <formula>H300</formula>
    </cfRule>
  </conditionalFormatting>
  <conditionalFormatting sqref="O301 M301 G301 K301 S301 U301 W301 I301 Q301">
    <cfRule type="cellIs" dxfId="5605" priority="6562" stopIfTrue="1" operator="notEqual">
      <formula>H301</formula>
    </cfRule>
  </conditionalFormatting>
  <conditionalFormatting sqref="O302 M302 G302 K302 S302 U302 W302 I302 Q302">
    <cfRule type="cellIs" dxfId="5604" priority="6561" stopIfTrue="1" operator="notEqual">
      <formula>H302</formula>
    </cfRule>
  </conditionalFormatting>
  <conditionalFormatting sqref="O256:O260 M256:M260 G256:G260 K256:K260 S256:S260 U256:U260 W256:W260 I256:I260 Q256:Q260">
    <cfRule type="cellIs" dxfId="5603" priority="6560" stopIfTrue="1" operator="notEqual">
      <formula>H256</formula>
    </cfRule>
  </conditionalFormatting>
  <conditionalFormatting sqref="O257 M257 G257 K257 S257 U257 W257 I257 Q257">
    <cfRule type="cellIs" dxfId="5602" priority="6559" stopIfTrue="1" operator="notEqual">
      <formula>H257</formula>
    </cfRule>
  </conditionalFormatting>
  <conditionalFormatting sqref="O258 M258 G258 K258 S258 U258 W258 I258 Q258">
    <cfRule type="cellIs" dxfId="5601" priority="6558" stopIfTrue="1" operator="notEqual">
      <formula>H258</formula>
    </cfRule>
  </conditionalFormatting>
  <conditionalFormatting sqref="O258 M258 G258 K258 S258 U258 W258 I258 Q258">
    <cfRule type="cellIs" dxfId="5600" priority="6557" stopIfTrue="1" operator="notEqual">
      <formula>H258</formula>
    </cfRule>
  </conditionalFormatting>
  <conditionalFormatting sqref="O256:O258 M256:M258 G256:G258 K256:K258 S256:S258 U256:U258 W256:W258 I256:I258 Q256:Q258">
    <cfRule type="cellIs" dxfId="5599" priority="6556" stopIfTrue="1" operator="notEqual">
      <formula>H256</formula>
    </cfRule>
  </conditionalFormatting>
  <conditionalFormatting sqref="O261 M261 G261 K261 S261 U261 W261 I261 Q261">
    <cfRule type="cellIs" dxfId="5598" priority="6555" stopIfTrue="1" operator="notEqual">
      <formula>H261</formula>
    </cfRule>
  </conditionalFormatting>
  <conditionalFormatting sqref="O262 M262 G262 K262 S262 U262 W262 I262 Q262">
    <cfRule type="cellIs" dxfId="5597" priority="6554" stopIfTrue="1" operator="notEqual">
      <formula>H262</formula>
    </cfRule>
  </conditionalFormatting>
  <conditionalFormatting sqref="O260 M260 G260 K260 S260 U260 W260 I260 Q260">
    <cfRule type="cellIs" dxfId="5596" priority="6553" stopIfTrue="1" operator="notEqual">
      <formula>H260</formula>
    </cfRule>
  </conditionalFormatting>
  <conditionalFormatting sqref="O263 G263 K263 S263 U263 W263 I263 Q263">
    <cfRule type="cellIs" dxfId="5595" priority="6552" stopIfTrue="1" operator="notEqual">
      <formula>H263</formula>
    </cfRule>
  </conditionalFormatting>
  <conditionalFormatting sqref="O264 M264 G264 K264 S264 U264 W264 I264 Q264">
    <cfRule type="cellIs" dxfId="5594" priority="6551" stopIfTrue="1" operator="notEqual">
      <formula>H264</formula>
    </cfRule>
  </conditionalFormatting>
  <conditionalFormatting sqref="O265 M265 G265 K265 S265 U265 W265 I265 Q265">
    <cfRule type="cellIs" dxfId="5593" priority="6550" stopIfTrue="1" operator="notEqual">
      <formula>H265</formula>
    </cfRule>
  </conditionalFormatting>
  <conditionalFormatting sqref="O266 M266 G266 K266 S266 U266 W266 I266 Q266">
    <cfRule type="cellIs" dxfId="5592" priority="6549" stopIfTrue="1" operator="notEqual">
      <formula>H266</formula>
    </cfRule>
  </conditionalFormatting>
  <conditionalFormatting sqref="O267 M267 G267 K267 S267 U267 W267 I267 Q267">
    <cfRule type="cellIs" dxfId="5591" priority="6548" stopIfTrue="1" operator="notEqual">
      <formula>H267</formula>
    </cfRule>
  </conditionalFormatting>
  <conditionalFormatting sqref="O268:O279 M268:M279 G268:G279 K268:K279 S268:S279 U268:U279 W268:W279 I268:I279 Q268:Q279">
    <cfRule type="cellIs" dxfId="5590" priority="6547" stopIfTrue="1" operator="notEqual">
      <formula>H268</formula>
    </cfRule>
  </conditionalFormatting>
  <conditionalFormatting sqref="O269 M269 G269 K269 S269 U269 W269 I269 Q269">
    <cfRule type="cellIs" dxfId="5589" priority="6546" stopIfTrue="1" operator="notEqual">
      <formula>H269</formula>
    </cfRule>
  </conditionalFormatting>
  <conditionalFormatting sqref="O270 M270 G270 K270 S270 U270 W270 I270 Q270">
    <cfRule type="cellIs" dxfId="5588" priority="6545" stopIfTrue="1" operator="notEqual">
      <formula>H270</formula>
    </cfRule>
  </conditionalFormatting>
  <conditionalFormatting sqref="O271 M271 G271 K271 S271 U271 W271 I271 Q271">
    <cfRule type="cellIs" dxfId="5587" priority="6544" stopIfTrue="1" operator="notEqual">
      <formula>H271</formula>
    </cfRule>
  </conditionalFormatting>
  <conditionalFormatting sqref="O272 M272 G272 K272 S272 U272 W272 I272 Q272">
    <cfRule type="cellIs" dxfId="5586" priority="6543" stopIfTrue="1" operator="notEqual">
      <formula>H272</formula>
    </cfRule>
  </conditionalFormatting>
  <conditionalFormatting sqref="O273 M273 G273 K273 S273 U273 W273 I273 Q273">
    <cfRule type="cellIs" dxfId="5585" priority="6542" stopIfTrue="1" operator="notEqual">
      <formula>H273</formula>
    </cfRule>
  </conditionalFormatting>
  <conditionalFormatting sqref="O274 M274 G274 K274 S274 U274 W274 I274 Q274">
    <cfRule type="cellIs" dxfId="5584" priority="6541" stopIfTrue="1" operator="notEqual">
      <formula>H274</formula>
    </cfRule>
  </conditionalFormatting>
  <conditionalFormatting sqref="O275 M275 G275 K275 S275 U275 W275 I275 Q275">
    <cfRule type="cellIs" dxfId="5583" priority="6540" stopIfTrue="1" operator="notEqual">
      <formula>H275</formula>
    </cfRule>
  </conditionalFormatting>
  <conditionalFormatting sqref="G290:G295">
    <cfRule type="cellIs" dxfId="5582" priority="6539" stopIfTrue="1" operator="notEqual">
      <formula>H290</formula>
    </cfRule>
  </conditionalFormatting>
  <conditionalFormatting sqref="G276">
    <cfRule type="cellIs" dxfId="5581" priority="6538" stopIfTrue="1" operator="notEqual">
      <formula>H276</formula>
    </cfRule>
  </conditionalFormatting>
  <conditionalFormatting sqref="G277">
    <cfRule type="cellIs" dxfId="5580" priority="6537" stopIfTrue="1" operator="notEqual">
      <formula>H277</formula>
    </cfRule>
  </conditionalFormatting>
  <conditionalFormatting sqref="G278">
    <cfRule type="cellIs" dxfId="5579" priority="6536" stopIfTrue="1" operator="notEqual">
      <formula>H278</formula>
    </cfRule>
  </conditionalFormatting>
  <conditionalFormatting sqref="G279">
    <cfRule type="cellIs" dxfId="5578" priority="6535" stopIfTrue="1" operator="notEqual">
      <formula>H279</formula>
    </cfRule>
  </conditionalFormatting>
  <conditionalFormatting sqref="G280">
    <cfRule type="cellIs" dxfId="5577" priority="6534" stopIfTrue="1" operator="notEqual">
      <formula>H280</formula>
    </cfRule>
  </conditionalFormatting>
  <conditionalFormatting sqref="G281">
    <cfRule type="cellIs" dxfId="5576" priority="6533" stopIfTrue="1" operator="notEqual">
      <formula>H281</formula>
    </cfRule>
  </conditionalFormatting>
  <conditionalFormatting sqref="G282">
    <cfRule type="cellIs" dxfId="5575" priority="6532" stopIfTrue="1" operator="notEqual">
      <formula>H282</formula>
    </cfRule>
  </conditionalFormatting>
  <conditionalFormatting sqref="G283">
    <cfRule type="cellIs" dxfId="5574" priority="6531" stopIfTrue="1" operator="notEqual">
      <formula>H283</formula>
    </cfRule>
  </conditionalFormatting>
  <conditionalFormatting sqref="G284">
    <cfRule type="cellIs" dxfId="5573" priority="6530" stopIfTrue="1" operator="notEqual">
      <formula>H284</formula>
    </cfRule>
  </conditionalFormatting>
  <conditionalFormatting sqref="G285">
    <cfRule type="cellIs" dxfId="5572" priority="6529" stopIfTrue="1" operator="notEqual">
      <formula>H285</formula>
    </cfRule>
  </conditionalFormatting>
  <conditionalFormatting sqref="G286">
    <cfRule type="cellIs" dxfId="5571" priority="6528" stopIfTrue="1" operator="notEqual">
      <formula>H286</formula>
    </cfRule>
  </conditionalFormatting>
  <conditionalFormatting sqref="G287">
    <cfRule type="cellIs" dxfId="5570" priority="6527" stopIfTrue="1" operator="notEqual">
      <formula>H287</formula>
    </cfRule>
  </conditionalFormatting>
  <conditionalFormatting sqref="G288">
    <cfRule type="cellIs" dxfId="5569" priority="6526" stopIfTrue="1" operator="notEqual">
      <formula>H288</formula>
    </cfRule>
  </conditionalFormatting>
  <conditionalFormatting sqref="G289:G294">
    <cfRule type="cellIs" dxfId="5568" priority="6525" stopIfTrue="1" operator="notEqual">
      <formula>H289</formula>
    </cfRule>
  </conditionalFormatting>
  <conditionalFormatting sqref="G276">
    <cfRule type="cellIs" dxfId="5567" priority="6524" stopIfTrue="1" operator="notEqual">
      <formula>H276</formula>
    </cfRule>
  </conditionalFormatting>
  <conditionalFormatting sqref="G276">
    <cfRule type="cellIs" dxfId="5566" priority="6523" stopIfTrue="1" operator="notEqual">
      <formula>H276</formula>
    </cfRule>
  </conditionalFormatting>
  <conditionalFormatting sqref="G276">
    <cfRule type="cellIs" dxfId="5565" priority="6522" stopIfTrue="1" operator="notEqual">
      <formula>H276</formula>
    </cfRule>
  </conditionalFormatting>
  <conditionalFormatting sqref="G276">
    <cfRule type="cellIs" dxfId="5564" priority="6521" stopIfTrue="1" operator="notEqual">
      <formula>H276</formula>
    </cfRule>
  </conditionalFormatting>
  <conditionalFormatting sqref="G276">
    <cfRule type="cellIs" dxfId="5563" priority="6520" stopIfTrue="1" operator="notEqual">
      <formula>H276</formula>
    </cfRule>
  </conditionalFormatting>
  <conditionalFormatting sqref="G276">
    <cfRule type="cellIs" dxfId="5562" priority="6519" stopIfTrue="1" operator="notEqual">
      <formula>H276</formula>
    </cfRule>
  </conditionalFormatting>
  <conditionalFormatting sqref="G292">
    <cfRule type="cellIs" dxfId="5561" priority="6518" stopIfTrue="1" operator="notEqual">
      <formula>H292</formula>
    </cfRule>
  </conditionalFormatting>
  <conditionalFormatting sqref="G293">
    <cfRule type="cellIs" dxfId="5560" priority="6517" stopIfTrue="1" operator="notEqual">
      <formula>H293</formula>
    </cfRule>
  </conditionalFormatting>
  <conditionalFormatting sqref="G293">
    <cfRule type="cellIs" dxfId="5559" priority="6516" stopIfTrue="1" operator="notEqual">
      <formula>H293</formula>
    </cfRule>
  </conditionalFormatting>
  <conditionalFormatting sqref="G291">
    <cfRule type="cellIs" dxfId="5558" priority="6515" stopIfTrue="1" operator="notEqual">
      <formula>H291</formula>
    </cfRule>
  </conditionalFormatting>
  <conditionalFormatting sqref="G295">
    <cfRule type="cellIs" dxfId="5557" priority="6514" stopIfTrue="1" operator="notEqual">
      <formula>H295</formula>
    </cfRule>
  </conditionalFormatting>
  <conditionalFormatting sqref="O286:O294 M286:M294 G286:G294 K286:K294 S286:S294 U286:U294 W286:W294 I286:I294 Q286:Q294">
    <cfRule type="cellIs" dxfId="5556" priority="6513" stopIfTrue="1" operator="notEqual">
      <formula>H286</formula>
    </cfRule>
  </conditionalFormatting>
  <conditionalFormatting sqref="O276 M276 G276 K276 S276 U276 W276 I276 Q276">
    <cfRule type="cellIs" dxfId="5555" priority="6512" stopIfTrue="1" operator="notEqual">
      <formula>H276</formula>
    </cfRule>
  </conditionalFormatting>
  <conditionalFormatting sqref="O277 M277 G277 K277 S277 U277 W277 I277 Q277">
    <cfRule type="cellIs" dxfId="5554" priority="6511" stopIfTrue="1" operator="notEqual">
      <formula>H277</formula>
    </cfRule>
  </conditionalFormatting>
  <conditionalFormatting sqref="O278 M278 G278 K278 S278 U278 W278 I278 Q278">
    <cfRule type="cellIs" dxfId="5553" priority="6510" stopIfTrue="1" operator="notEqual">
      <formula>H278</formula>
    </cfRule>
  </conditionalFormatting>
  <conditionalFormatting sqref="O279 M279 G279 K279 S279 U279 W279 I279 Q279">
    <cfRule type="cellIs" dxfId="5552" priority="6509" stopIfTrue="1" operator="notEqual">
      <formula>H279</formula>
    </cfRule>
  </conditionalFormatting>
  <conditionalFormatting sqref="O280 M280 G280 K280 S280 U280 W280 I280 Q280">
    <cfRule type="cellIs" dxfId="5551" priority="6508" stopIfTrue="1" operator="notEqual">
      <formula>H280</formula>
    </cfRule>
  </conditionalFormatting>
  <conditionalFormatting sqref="O281 M281 G281 K281 S281 U281 W281 I281 Q281">
    <cfRule type="cellIs" dxfId="5550" priority="6507" stopIfTrue="1" operator="notEqual">
      <formula>H281</formula>
    </cfRule>
  </conditionalFormatting>
  <conditionalFormatting sqref="O282 M282 G282 K282 S282 U282 W282 I282 Q282">
    <cfRule type="cellIs" dxfId="5549" priority="6506" stopIfTrue="1" operator="notEqual">
      <formula>H282</formula>
    </cfRule>
  </conditionalFormatting>
  <conditionalFormatting sqref="O283 M283 G283 K283 S283 U283 W283 I283 Q283">
    <cfRule type="cellIs" dxfId="5548" priority="6505" stopIfTrue="1" operator="notEqual">
      <formula>H283</formula>
    </cfRule>
  </conditionalFormatting>
  <conditionalFormatting sqref="O284 M284 G284 K284 S284 U284 W284 I284 Q284">
    <cfRule type="cellIs" dxfId="5547" priority="6504" stopIfTrue="1" operator="notEqual">
      <formula>H284</formula>
    </cfRule>
  </conditionalFormatting>
  <conditionalFormatting sqref="O285 M285 G285 K285 S285 U285 W285 I285 Q285">
    <cfRule type="cellIs" dxfId="5546" priority="6503" stopIfTrue="1" operator="notEqual">
      <formula>H285</formula>
    </cfRule>
  </conditionalFormatting>
  <conditionalFormatting sqref="O288 M288 G288 K288 S288 U288 W288 I288 Q288">
    <cfRule type="cellIs" dxfId="5545" priority="6502" stopIfTrue="1" operator="notEqual">
      <formula>H288</formula>
    </cfRule>
  </conditionalFormatting>
  <conditionalFormatting sqref="O289:O294 M289:M294 G289:G294 K289:K294 S289:S294 U289:U294 W289:W294 I289:I294 Q289:Q294">
    <cfRule type="cellIs" dxfId="5544" priority="6501" stopIfTrue="1" operator="notEqual">
      <formula>H289</formula>
    </cfRule>
  </conditionalFormatting>
  <conditionalFormatting sqref="O289:O294 M289:M294 G289:G294 K289:K294 S289:S294 U289:U294 W289:W294 I289:I294 Q289:Q294">
    <cfRule type="cellIs" dxfId="5543" priority="6500" stopIfTrue="1" operator="notEqual">
      <formula>H289</formula>
    </cfRule>
  </conditionalFormatting>
  <conditionalFormatting sqref="O287 M287 G287 K287 S287 U287 W287 I287 Q287">
    <cfRule type="cellIs" dxfId="5542" priority="6499" stopIfTrue="1" operator="notEqual">
      <formula>H287</formula>
    </cfRule>
  </conditionalFormatting>
  <conditionalFormatting sqref="O292 M292 G292 K292 S292 U292 W292 I292 Q292">
    <cfRule type="cellIs" dxfId="5541" priority="6498" stopIfTrue="1" operator="notEqual">
      <formula>H292</formula>
    </cfRule>
  </conditionalFormatting>
  <conditionalFormatting sqref="O293 M293 G293 K293 S293 U293 W293 I293 Q293">
    <cfRule type="cellIs" dxfId="5540" priority="6497" stopIfTrue="1" operator="notEqual">
      <formula>H293</formula>
    </cfRule>
  </conditionalFormatting>
  <conditionalFormatting sqref="O291 M291 G291 K291 S291 U291 W291 I291 Q291">
    <cfRule type="cellIs" dxfId="5539" priority="6496" stopIfTrue="1" operator="notEqual">
      <formula>H291</formula>
    </cfRule>
  </conditionalFormatting>
  <conditionalFormatting sqref="O294 M294 G294 K294 S294 U294 W294 I294 Q294">
    <cfRule type="cellIs" dxfId="5538" priority="6495" stopIfTrue="1" operator="notEqual">
      <formula>H294</formula>
    </cfRule>
  </conditionalFormatting>
  <conditionalFormatting sqref="O295 M295 G295 K295 S295 U295 W295 I295 Q295">
    <cfRule type="cellIs" dxfId="5537" priority="6494" stopIfTrue="1" operator="notEqual">
      <formula>H295</formula>
    </cfRule>
  </conditionalFormatting>
  <conditionalFormatting sqref="O276 M276 G276 K276 S276 U276 W276 I276 Q276">
    <cfRule type="cellIs" dxfId="5536" priority="6493" stopIfTrue="1" operator="notEqual">
      <formula>H276</formula>
    </cfRule>
  </conditionalFormatting>
  <conditionalFormatting sqref="O277 M277 G277 K277 S277 U277 W277 I277 Q277">
    <cfRule type="cellIs" dxfId="5535" priority="6492" stopIfTrue="1" operator="notEqual">
      <formula>H277</formula>
    </cfRule>
  </conditionalFormatting>
  <conditionalFormatting sqref="O278 M278 G278 K278 S278 U278 W278 I278 Q278">
    <cfRule type="cellIs" dxfId="5534" priority="6491" stopIfTrue="1" operator="notEqual">
      <formula>H278</formula>
    </cfRule>
  </conditionalFormatting>
  <conditionalFormatting sqref="O276 M276 G276 K276 S276 U276 W276 I276 Q276">
    <cfRule type="cellIs" dxfId="5533" priority="6490" stopIfTrue="1" operator="notEqual">
      <formula>H276</formula>
    </cfRule>
  </conditionalFormatting>
  <conditionalFormatting sqref="O279 M279 G279 K279 S279 U279 W279 I279 Q279">
    <cfRule type="cellIs" dxfId="5532" priority="6489" stopIfTrue="1" operator="notEqual">
      <formula>H279</formula>
    </cfRule>
  </conditionalFormatting>
  <conditionalFormatting sqref="O280 M280 G280 K280 S280 U280 W280 I280 Q280">
    <cfRule type="cellIs" dxfId="5531" priority="6488" stopIfTrue="1" operator="notEqual">
      <formula>H280</formula>
    </cfRule>
  </conditionalFormatting>
  <conditionalFormatting sqref="O281 M281 G281 K281 S281 U281 W281 I281 Q281">
    <cfRule type="cellIs" dxfId="5530" priority="6487" stopIfTrue="1" operator="notEqual">
      <formula>H281</formula>
    </cfRule>
  </conditionalFormatting>
  <conditionalFormatting sqref="O282 M282 G282 K282 S282 U282 W282 I282 Q282">
    <cfRule type="cellIs" dxfId="5529" priority="6486" stopIfTrue="1" operator="notEqual">
      <formula>H282</formula>
    </cfRule>
  </conditionalFormatting>
  <conditionalFormatting sqref="O283 M283 G283 K283 S283 U283 W283 I283 Q283">
    <cfRule type="cellIs" dxfId="5528" priority="6485" stopIfTrue="1" operator="notEqual">
      <formula>H283</formula>
    </cfRule>
  </conditionalFormatting>
  <conditionalFormatting sqref="O284 M284 G284 K284 S284 U284 W284 I284 Q284">
    <cfRule type="cellIs" dxfId="5527" priority="6484" stopIfTrue="1" operator="notEqual">
      <formula>H284</formula>
    </cfRule>
  </conditionalFormatting>
  <conditionalFormatting sqref="O285 M285 G285 K285 S285 U285 W285 I285 Q285">
    <cfRule type="cellIs" dxfId="5526" priority="6483" stopIfTrue="1" operator="notEqual">
      <formula>H285</formula>
    </cfRule>
  </conditionalFormatting>
  <conditionalFormatting sqref="O286 M286 G286 K286 S286 U286 W286 I286 Q286">
    <cfRule type="cellIs" dxfId="5525" priority="6482" stopIfTrue="1" operator="notEqual">
      <formula>H286</formula>
    </cfRule>
  </conditionalFormatting>
  <conditionalFormatting sqref="O287 M287 G287 K287 S287 U287 W287 I287 Q287">
    <cfRule type="cellIs" dxfId="5524" priority="6481" stopIfTrue="1" operator="notEqual">
      <formula>H287</formula>
    </cfRule>
  </conditionalFormatting>
  <conditionalFormatting sqref="O288 M288 G288 K288 S288 U288 W288 I288 Q288">
    <cfRule type="cellIs" dxfId="5523" priority="6480" stopIfTrue="1" operator="notEqual">
      <formula>H288</formula>
    </cfRule>
  </conditionalFormatting>
  <conditionalFormatting sqref="O289:O294 M289:M294 G289:G294 K289:K294 S289:S294 U289:U294 W289:W294 I289:I294 Q289:Q294">
    <cfRule type="cellIs" dxfId="5522" priority="6479" stopIfTrue="1" operator="notEqual">
      <formula>H289</formula>
    </cfRule>
  </conditionalFormatting>
  <conditionalFormatting sqref="O290 M290 G290 K290 S290 U290 W290 I290 Q290">
    <cfRule type="cellIs" dxfId="5521" priority="6478" stopIfTrue="1" operator="notEqual">
      <formula>H290</formula>
    </cfRule>
  </conditionalFormatting>
  <conditionalFormatting sqref="O291 M291 G291 K291 S291 U291 W291 I291 Q291">
    <cfRule type="cellIs" dxfId="5520" priority="6477" stopIfTrue="1" operator="notEqual">
      <formula>H291</formula>
    </cfRule>
  </conditionalFormatting>
  <conditionalFormatting sqref="G292">
    <cfRule type="cellIs" dxfId="5519" priority="6476" stopIfTrue="1" operator="notEqual">
      <formula>H292</formula>
    </cfRule>
  </conditionalFormatting>
  <conditionalFormatting sqref="G293">
    <cfRule type="cellIs" dxfId="5518" priority="6475" stopIfTrue="1" operator="notEqual">
      <formula>H293</formula>
    </cfRule>
  </conditionalFormatting>
  <conditionalFormatting sqref="G294">
    <cfRule type="cellIs" dxfId="5517" priority="6474" stopIfTrue="1" operator="notEqual">
      <formula>H294</formula>
    </cfRule>
  </conditionalFormatting>
  <conditionalFormatting sqref="G295">
    <cfRule type="cellIs" dxfId="5516" priority="6473" stopIfTrue="1" operator="notEqual">
      <formula>H295</formula>
    </cfRule>
  </conditionalFormatting>
  <conditionalFormatting sqref="G292">
    <cfRule type="cellIs" dxfId="5515" priority="6472" stopIfTrue="1" operator="notEqual">
      <formula>H292</formula>
    </cfRule>
  </conditionalFormatting>
  <conditionalFormatting sqref="G292">
    <cfRule type="cellIs" dxfId="5514" priority="6471" stopIfTrue="1" operator="notEqual">
      <formula>H292</formula>
    </cfRule>
  </conditionalFormatting>
  <conditionalFormatting sqref="G292">
    <cfRule type="cellIs" dxfId="5513" priority="6470" stopIfTrue="1" operator="notEqual">
      <formula>H292</formula>
    </cfRule>
  </conditionalFormatting>
  <conditionalFormatting sqref="G292">
    <cfRule type="cellIs" dxfId="5512" priority="6469" stopIfTrue="1" operator="notEqual">
      <formula>H292</formula>
    </cfRule>
  </conditionalFormatting>
  <conditionalFormatting sqref="G292">
    <cfRule type="cellIs" dxfId="5511" priority="6468" stopIfTrue="1" operator="notEqual">
      <formula>H292</formula>
    </cfRule>
  </conditionalFormatting>
  <conditionalFormatting sqref="G292">
    <cfRule type="cellIs" dxfId="5510" priority="6467" stopIfTrue="1" operator="notEqual">
      <formula>H292</formula>
    </cfRule>
  </conditionalFormatting>
  <conditionalFormatting sqref="O292 M292 G292 K292 S292 U292 W292 I292 Q292">
    <cfRule type="cellIs" dxfId="5509" priority="6466" stopIfTrue="1" operator="notEqual">
      <formula>H292</formula>
    </cfRule>
  </conditionalFormatting>
  <conditionalFormatting sqref="O293 M293 G293 K293 S293 U293 W293 I293 Q293">
    <cfRule type="cellIs" dxfId="5508" priority="6465" stopIfTrue="1" operator="notEqual">
      <formula>H293</formula>
    </cfRule>
  </conditionalFormatting>
  <conditionalFormatting sqref="O294 M294 G294 K294 S294 U294 W294 I294 Q294">
    <cfRule type="cellIs" dxfId="5507" priority="6464" stopIfTrue="1" operator="notEqual">
      <formula>H294</formula>
    </cfRule>
  </conditionalFormatting>
  <conditionalFormatting sqref="O295 M295 G295 K295 S295 U295 W295 I295 Q295">
    <cfRule type="cellIs" dxfId="5506" priority="6463" stopIfTrue="1" operator="notEqual">
      <formula>H295</formula>
    </cfRule>
  </conditionalFormatting>
  <conditionalFormatting sqref="O292 M292 G292 K292 S292 U292 W292 I292 Q292">
    <cfRule type="cellIs" dxfId="5505" priority="6462" stopIfTrue="1" operator="notEqual">
      <formula>H292</formula>
    </cfRule>
  </conditionalFormatting>
  <conditionalFormatting sqref="O293 M293 G293 K293 S293 U293 W293 I293 Q293">
    <cfRule type="cellIs" dxfId="5504" priority="6461" stopIfTrue="1" operator="notEqual">
      <formula>H293</formula>
    </cfRule>
  </conditionalFormatting>
  <conditionalFormatting sqref="O294 M294 G294 K294 S294 U294 W294 I294 Q294">
    <cfRule type="cellIs" dxfId="5503" priority="6460" stopIfTrue="1" operator="notEqual">
      <formula>H294</formula>
    </cfRule>
  </conditionalFormatting>
  <conditionalFormatting sqref="O292 M292 G292 K292 S292 U292 W292 I292 Q292">
    <cfRule type="cellIs" dxfId="5502" priority="6459" stopIfTrue="1" operator="notEqual">
      <formula>H292</formula>
    </cfRule>
  </conditionalFormatting>
  <conditionalFormatting sqref="O295 M295 G295 K295 S295 U295 W295 I295 Q295">
    <cfRule type="cellIs" dxfId="5501" priority="6458" stopIfTrue="1" operator="notEqual">
      <formula>H295</formula>
    </cfRule>
  </conditionalFormatting>
  <conditionalFormatting sqref="O276:O280 M276:M280 G276:G280 K276:K280 S276:S280 U276:U280 W276:W280 I276:I280 Q276:Q280">
    <cfRule type="cellIs" dxfId="5500" priority="6457" stopIfTrue="1" operator="notEqual">
      <formula>H276</formula>
    </cfRule>
  </conditionalFormatting>
  <conditionalFormatting sqref="O277 M277 G277 K277 S277 U277 W277 I277 Q277">
    <cfRule type="cellIs" dxfId="5499" priority="6456" stopIfTrue="1" operator="notEqual">
      <formula>H277</formula>
    </cfRule>
  </conditionalFormatting>
  <conditionalFormatting sqref="O278 M278 G278 K278 S278 U278 W278 I278 Q278">
    <cfRule type="cellIs" dxfId="5498" priority="6455" stopIfTrue="1" operator="notEqual">
      <formula>H278</formula>
    </cfRule>
  </conditionalFormatting>
  <conditionalFormatting sqref="O278 M278 G278 K278 S278 U278 W278 I278 Q278">
    <cfRule type="cellIs" dxfId="5497" priority="6454" stopIfTrue="1" operator="notEqual">
      <formula>H278</formula>
    </cfRule>
  </conditionalFormatting>
  <conditionalFormatting sqref="O276 M276 G276 K276 S276 U276 W276 I276 Q276">
    <cfRule type="cellIs" dxfId="5496" priority="6453" stopIfTrue="1" operator="notEqual">
      <formula>H276</formula>
    </cfRule>
  </conditionalFormatting>
  <conditionalFormatting sqref="O281 M281 G281 K281 S281 U281 W281 I281 Q281">
    <cfRule type="cellIs" dxfId="5495" priority="6452" stopIfTrue="1" operator="notEqual">
      <formula>H281</formula>
    </cfRule>
  </conditionalFormatting>
  <conditionalFormatting sqref="O282 M282 G282 K282 S282 U282 W282 I282 Q282">
    <cfRule type="cellIs" dxfId="5494" priority="6451" stopIfTrue="1" operator="notEqual">
      <formula>H282</formula>
    </cfRule>
  </conditionalFormatting>
  <conditionalFormatting sqref="O280 M280 G280 K280 S280 U280 W280 I280 Q280">
    <cfRule type="cellIs" dxfId="5493" priority="6450" stopIfTrue="1" operator="notEqual">
      <formula>H280</formula>
    </cfRule>
  </conditionalFormatting>
  <conditionalFormatting sqref="O283 M283 G283 K283 S283 U283 W283 I283 Q283">
    <cfRule type="cellIs" dxfId="5492" priority="6449" stopIfTrue="1" operator="notEqual">
      <formula>H283</formula>
    </cfRule>
  </conditionalFormatting>
  <conditionalFormatting sqref="O284 M284 G284 K284 S284 U284 W284 I284 Q284">
    <cfRule type="cellIs" dxfId="5491" priority="6448" stopIfTrue="1" operator="notEqual">
      <formula>H284</formula>
    </cfRule>
  </conditionalFormatting>
  <conditionalFormatting sqref="O285 M285 G285 K285 S285 U285 W285 I285 Q285">
    <cfRule type="cellIs" dxfId="5490" priority="6447" stopIfTrue="1" operator="notEqual">
      <formula>H285</formula>
    </cfRule>
  </conditionalFormatting>
  <conditionalFormatting sqref="O286 M286 G286 K286 S286 U286 W286 I286 Q286">
    <cfRule type="cellIs" dxfId="5489" priority="6446" stopIfTrue="1" operator="notEqual">
      <formula>H286</formula>
    </cfRule>
  </conditionalFormatting>
  <conditionalFormatting sqref="O287 M287 G287 K287 S287 U287 W287 I287 Q287">
    <cfRule type="cellIs" dxfId="5488" priority="6445" stopIfTrue="1" operator="notEqual">
      <formula>H287</formula>
    </cfRule>
  </conditionalFormatting>
  <conditionalFormatting sqref="O288 M288 G288 K288 S288 U288 W288 I288 Q288">
    <cfRule type="cellIs" dxfId="5487" priority="6444" stopIfTrue="1" operator="notEqual">
      <formula>H288</formula>
    </cfRule>
  </conditionalFormatting>
  <conditionalFormatting sqref="O289:O294 M289:M294 G289:G294 K289:K294 S289:S294 U289:U294 W289:W294 I289:I294 Q289:Q294">
    <cfRule type="cellIs" dxfId="5486" priority="6443" stopIfTrue="1" operator="notEqual">
      <formula>H289</formula>
    </cfRule>
  </conditionalFormatting>
  <conditionalFormatting sqref="O290 M290 G290 K290 S290 U290 W290 I290 Q290">
    <cfRule type="cellIs" dxfId="5485" priority="6442" stopIfTrue="1" operator="notEqual">
      <formula>H290</formula>
    </cfRule>
  </conditionalFormatting>
  <conditionalFormatting sqref="O291 M291 G291 K291 S291 U291 W291 I291 Q291">
    <cfRule type="cellIs" dxfId="5484" priority="6441" stopIfTrue="1" operator="notEqual">
      <formula>H291</formula>
    </cfRule>
  </conditionalFormatting>
  <conditionalFormatting sqref="O292 M292 G292 K292 S292 U292 W292 I292 Q292">
    <cfRule type="cellIs" dxfId="5483" priority="6440" stopIfTrue="1" operator="notEqual">
      <formula>H292</formula>
    </cfRule>
  </conditionalFormatting>
  <conditionalFormatting sqref="O293 M293 G293 K293 S293 U293 W293 I293 Q293">
    <cfRule type="cellIs" dxfId="5482" priority="6439" stopIfTrue="1" operator="notEqual">
      <formula>H293</formula>
    </cfRule>
  </conditionalFormatting>
  <conditionalFormatting sqref="O294 M294 G294 K294 S294 U294 W294 I294 Q294">
    <cfRule type="cellIs" dxfId="5481" priority="6438" stopIfTrue="1" operator="notEqual">
      <formula>H294</formula>
    </cfRule>
  </conditionalFormatting>
  <conditionalFormatting sqref="O295 M295 G295 K295 S295 U295 W295 I295 Q295">
    <cfRule type="cellIs" dxfId="5480" priority="6437" stopIfTrue="1" operator="notEqual">
      <formula>H295</formula>
    </cfRule>
  </conditionalFormatting>
  <conditionalFormatting sqref="G296">
    <cfRule type="cellIs" dxfId="5479" priority="6436" stopIfTrue="1" operator="notEqual">
      <formula>H296</formula>
    </cfRule>
  </conditionalFormatting>
  <conditionalFormatting sqref="G297">
    <cfRule type="cellIs" dxfId="5478" priority="6435" stopIfTrue="1" operator="notEqual">
      <formula>H297</formula>
    </cfRule>
  </conditionalFormatting>
  <conditionalFormatting sqref="G298">
    <cfRule type="cellIs" dxfId="5477" priority="6434" stopIfTrue="1" operator="notEqual">
      <formula>H298</formula>
    </cfRule>
  </conditionalFormatting>
  <conditionalFormatting sqref="G299:G300">
    <cfRule type="cellIs" dxfId="5476" priority="6433" stopIfTrue="1" operator="notEqual">
      <formula>H299</formula>
    </cfRule>
  </conditionalFormatting>
  <conditionalFormatting sqref="G300">
    <cfRule type="cellIs" dxfId="5475" priority="6432" stopIfTrue="1" operator="notEqual">
      <formula>H300</formula>
    </cfRule>
  </conditionalFormatting>
  <conditionalFormatting sqref="G301">
    <cfRule type="cellIs" dxfId="5474" priority="6431" stopIfTrue="1" operator="notEqual">
      <formula>H301</formula>
    </cfRule>
  </conditionalFormatting>
  <conditionalFormatting sqref="G302">
    <cfRule type="cellIs" dxfId="5473" priority="6430" stopIfTrue="1" operator="notEqual">
      <formula>H302</formula>
    </cfRule>
  </conditionalFormatting>
  <conditionalFormatting sqref="G303">
    <cfRule type="cellIs" dxfId="5472" priority="6429" stopIfTrue="1" operator="notEqual">
      <formula>H303</formula>
    </cfRule>
  </conditionalFormatting>
  <conditionalFormatting sqref="O296 M296 G296 K296 S296 U296 W296 I296 Q296">
    <cfRule type="cellIs" dxfId="5471" priority="6428" stopIfTrue="1" operator="notEqual">
      <formula>H296</formula>
    </cfRule>
  </conditionalFormatting>
  <conditionalFormatting sqref="O297 M297 G297 K297 S297 U297 W297 I297 Q297">
    <cfRule type="cellIs" dxfId="5470" priority="6427" stopIfTrue="1" operator="notEqual">
      <formula>H297</formula>
    </cfRule>
  </conditionalFormatting>
  <conditionalFormatting sqref="O298 M298 G298 K298 S298 U298 W298 I298 Q298">
    <cfRule type="cellIs" dxfId="5469" priority="6426" stopIfTrue="1" operator="notEqual">
      <formula>H298</formula>
    </cfRule>
  </conditionalFormatting>
  <conditionalFormatting sqref="O299:O300 M299:M300 G299:G300 K299:K300 S299:S300 U299:U300 W299:W300 I299:I300 Q299:Q300">
    <cfRule type="cellIs" dxfId="5468" priority="6425" stopIfTrue="1" operator="notEqual">
      <formula>H299</formula>
    </cfRule>
  </conditionalFormatting>
  <conditionalFormatting sqref="O300 M300 G300 K300 S300 U300 W300 I300 Q300">
    <cfRule type="cellIs" dxfId="5467" priority="6424" stopIfTrue="1" operator="notEqual">
      <formula>H300</formula>
    </cfRule>
  </conditionalFormatting>
  <conditionalFormatting sqref="O301 M301 G301 K301 S301 U301 W301 I301 Q301">
    <cfRule type="cellIs" dxfId="5466" priority="6423" stopIfTrue="1" operator="notEqual">
      <formula>H301</formula>
    </cfRule>
  </conditionalFormatting>
  <conditionalFormatting sqref="O302 M302 G302 K302 S302 U302 W302 I302 Q302">
    <cfRule type="cellIs" dxfId="5465" priority="6422" stopIfTrue="1" operator="notEqual">
      <formula>H302</formula>
    </cfRule>
  </conditionalFormatting>
  <conditionalFormatting sqref="O303 M303 G303 K303 S303 U303 W303 I303 Q303">
    <cfRule type="cellIs" dxfId="5464" priority="6421" stopIfTrue="1" operator="notEqual">
      <formula>H303</formula>
    </cfRule>
  </conditionalFormatting>
  <conditionalFormatting sqref="G296">
    <cfRule type="cellIs" dxfId="5463" priority="6420" stopIfTrue="1" operator="notEqual">
      <formula>H296</formula>
    </cfRule>
  </conditionalFormatting>
  <conditionalFormatting sqref="G297">
    <cfRule type="cellIs" dxfId="5462" priority="6419" stopIfTrue="1" operator="notEqual">
      <formula>H297</formula>
    </cfRule>
  </conditionalFormatting>
  <conditionalFormatting sqref="G298">
    <cfRule type="cellIs" dxfId="5461" priority="6418" stopIfTrue="1" operator="notEqual">
      <formula>H298</formula>
    </cfRule>
  </conditionalFormatting>
  <conditionalFormatting sqref="G299:G300">
    <cfRule type="cellIs" dxfId="5460" priority="6417" stopIfTrue="1" operator="notEqual">
      <formula>H299</formula>
    </cfRule>
  </conditionalFormatting>
  <conditionalFormatting sqref="G300">
    <cfRule type="cellIs" dxfId="5459" priority="6416" stopIfTrue="1" operator="notEqual">
      <formula>H300</formula>
    </cfRule>
  </conditionalFormatting>
  <conditionalFormatting sqref="G301">
    <cfRule type="cellIs" dxfId="5458" priority="6415" stopIfTrue="1" operator="notEqual">
      <formula>H301</formula>
    </cfRule>
  </conditionalFormatting>
  <conditionalFormatting sqref="G302">
    <cfRule type="cellIs" dxfId="5457" priority="6414" stopIfTrue="1" operator="notEqual">
      <formula>H302</formula>
    </cfRule>
  </conditionalFormatting>
  <conditionalFormatting sqref="G303">
    <cfRule type="cellIs" dxfId="5456" priority="6413" stopIfTrue="1" operator="notEqual">
      <formula>H303</formula>
    </cfRule>
  </conditionalFormatting>
  <conditionalFormatting sqref="O302:O303 M302:M303 G302:G303 K302:K303 S302:S303 U302:U303 W302:W303 I302:I303 Q302:Q303">
    <cfRule type="cellIs" dxfId="5455" priority="6412" stopIfTrue="1" operator="notEqual">
      <formula>H302</formula>
    </cfRule>
  </conditionalFormatting>
  <conditionalFormatting sqref="O296 M296 G296 K296 S296 U296 W296 I296 Q296">
    <cfRule type="cellIs" dxfId="5454" priority="6411" stopIfTrue="1" operator="notEqual">
      <formula>H296</formula>
    </cfRule>
  </conditionalFormatting>
  <conditionalFormatting sqref="O297 M297 G297 K297 S297 U297 W297 I297 Q297">
    <cfRule type="cellIs" dxfId="5453" priority="6410" stopIfTrue="1" operator="notEqual">
      <formula>H297</formula>
    </cfRule>
  </conditionalFormatting>
  <conditionalFormatting sqref="O298 M298 G298 K298 S298 U298 W298 I298 Q298">
    <cfRule type="cellIs" dxfId="5452" priority="6409" stopIfTrue="1" operator="notEqual">
      <formula>H298</formula>
    </cfRule>
  </conditionalFormatting>
  <conditionalFormatting sqref="O299:O300 M299:M300 G299:G300 K299:K300 S299:S300 U299:U300 W299:W300 I299:I300 Q299:Q300">
    <cfRule type="cellIs" dxfId="5451" priority="6408" stopIfTrue="1" operator="notEqual">
      <formula>H299</formula>
    </cfRule>
  </conditionalFormatting>
  <conditionalFormatting sqref="O300 M300 G300 K300 S300 U300 W300 I300 Q300">
    <cfRule type="cellIs" dxfId="5450" priority="6407" stopIfTrue="1" operator="notEqual">
      <formula>H300</formula>
    </cfRule>
  </conditionalFormatting>
  <conditionalFormatting sqref="O301 M301 G301 K301 S301 U301 W301 I301 Q301">
    <cfRule type="cellIs" dxfId="5449" priority="6406" stopIfTrue="1" operator="notEqual">
      <formula>H301</formula>
    </cfRule>
  </conditionalFormatting>
  <conditionalFormatting sqref="O303 M303 G303 K303 S303 U303 W303 I303 Q303">
    <cfRule type="cellIs" dxfId="5448" priority="6405" stopIfTrue="1" operator="notEqual">
      <formula>H303</formula>
    </cfRule>
  </conditionalFormatting>
  <conditionalFormatting sqref="O296 M296 G296 K296 S296 U296 W296 I296 Q296">
    <cfRule type="cellIs" dxfId="5447" priority="6404" stopIfTrue="1" operator="notEqual">
      <formula>H296</formula>
    </cfRule>
  </conditionalFormatting>
  <conditionalFormatting sqref="O297 M297 G297 K297 S297 U297 W297 I297 Q297">
    <cfRule type="cellIs" dxfId="5446" priority="6403" stopIfTrue="1" operator="notEqual">
      <formula>H297</formula>
    </cfRule>
  </conditionalFormatting>
  <conditionalFormatting sqref="O298 M298 G298 K298 S298 U298 W298 I298 Q298">
    <cfRule type="cellIs" dxfId="5445" priority="6402" stopIfTrue="1" operator="notEqual">
      <formula>H298</formula>
    </cfRule>
  </conditionalFormatting>
  <conditionalFormatting sqref="O299:O300 M299:M300 G299:G300 K299:K300 S299:S300 U299:U300 W299:W300 I299:I300 Q299:Q300">
    <cfRule type="cellIs" dxfId="5444" priority="6401" stopIfTrue="1" operator="notEqual">
      <formula>H299</formula>
    </cfRule>
  </conditionalFormatting>
  <conditionalFormatting sqref="O300 M300 G300 K300 S300 U300 W300 I300 Q300">
    <cfRule type="cellIs" dxfId="5443" priority="6400" stopIfTrue="1" operator="notEqual">
      <formula>H300</formula>
    </cfRule>
  </conditionalFormatting>
  <conditionalFormatting sqref="O301 M301 G301 K301 S301 U301 W301 I301 Q301">
    <cfRule type="cellIs" dxfId="5442" priority="6399" stopIfTrue="1" operator="notEqual">
      <formula>H301</formula>
    </cfRule>
  </conditionalFormatting>
  <conditionalFormatting sqref="O302 M302 G302 K302 S302 U302 W302 I302 Q302">
    <cfRule type="cellIs" dxfId="5441" priority="6398" stopIfTrue="1" operator="notEqual">
      <formula>H302</formula>
    </cfRule>
  </conditionalFormatting>
  <conditionalFormatting sqref="O303 M303 G303 K303 S303 U303 W303 I303 Q303">
    <cfRule type="cellIs" dxfId="5440" priority="6397" stopIfTrue="1" operator="notEqual">
      <formula>H303</formula>
    </cfRule>
  </conditionalFormatting>
  <conditionalFormatting sqref="G296">
    <cfRule type="cellIs" dxfId="5439" priority="6396" stopIfTrue="1" operator="notEqual">
      <formula>H296</formula>
    </cfRule>
  </conditionalFormatting>
  <conditionalFormatting sqref="G297">
    <cfRule type="cellIs" dxfId="5438" priority="6395" stopIfTrue="1" operator="notEqual">
      <formula>H297</formula>
    </cfRule>
  </conditionalFormatting>
  <conditionalFormatting sqref="G298">
    <cfRule type="cellIs" dxfId="5437" priority="6394" stopIfTrue="1" operator="notEqual">
      <formula>H298</formula>
    </cfRule>
  </conditionalFormatting>
  <conditionalFormatting sqref="G299:G300">
    <cfRule type="cellIs" dxfId="5436" priority="6393" stopIfTrue="1" operator="notEqual">
      <formula>H299</formula>
    </cfRule>
  </conditionalFormatting>
  <conditionalFormatting sqref="G300">
    <cfRule type="cellIs" dxfId="5435" priority="6392" stopIfTrue="1" operator="notEqual">
      <formula>H300</formula>
    </cfRule>
  </conditionalFormatting>
  <conditionalFormatting sqref="G301">
    <cfRule type="cellIs" dxfId="5434" priority="6391" stopIfTrue="1" operator="notEqual">
      <formula>H301</formula>
    </cfRule>
  </conditionalFormatting>
  <conditionalFormatting sqref="G302">
    <cfRule type="cellIs" dxfId="5433" priority="6390" stopIfTrue="1" operator="notEqual">
      <formula>H302</formula>
    </cfRule>
  </conditionalFormatting>
  <conditionalFormatting sqref="G303">
    <cfRule type="cellIs" dxfId="5432" priority="6389" stopIfTrue="1" operator="notEqual">
      <formula>H303</formula>
    </cfRule>
  </conditionalFormatting>
  <conditionalFormatting sqref="G296">
    <cfRule type="cellIs" dxfId="5431" priority="6388" stopIfTrue="1" operator="notEqual">
      <formula>H296</formula>
    </cfRule>
  </conditionalFormatting>
  <conditionalFormatting sqref="G296">
    <cfRule type="cellIs" dxfId="5430" priority="6387" stopIfTrue="1" operator="notEqual">
      <formula>H296</formula>
    </cfRule>
  </conditionalFormatting>
  <conditionalFormatting sqref="G296">
    <cfRule type="cellIs" dxfId="5429" priority="6386" stopIfTrue="1" operator="notEqual">
      <formula>H296</formula>
    </cfRule>
  </conditionalFormatting>
  <conditionalFormatting sqref="G296">
    <cfRule type="cellIs" dxfId="5428" priority="6385" stopIfTrue="1" operator="notEqual">
      <formula>H296</formula>
    </cfRule>
  </conditionalFormatting>
  <conditionalFormatting sqref="G296">
    <cfRule type="cellIs" dxfId="5427" priority="6384" stopIfTrue="1" operator="notEqual">
      <formula>H296</formula>
    </cfRule>
  </conditionalFormatting>
  <conditionalFormatting sqref="G296">
    <cfRule type="cellIs" dxfId="5426" priority="6383" stopIfTrue="1" operator="notEqual">
      <formula>H296</formula>
    </cfRule>
  </conditionalFormatting>
  <conditionalFormatting sqref="O296 M296 G296 K296 S296 U296 W296 I296 Q296">
    <cfRule type="cellIs" dxfId="5425" priority="6382" stopIfTrue="1" operator="notEqual">
      <formula>H296</formula>
    </cfRule>
  </conditionalFormatting>
  <conditionalFormatting sqref="O297 M297 G297 K297 S297 U297 W297 I297 Q297">
    <cfRule type="cellIs" dxfId="5424" priority="6381" stopIfTrue="1" operator="notEqual">
      <formula>H297</formula>
    </cfRule>
  </conditionalFormatting>
  <conditionalFormatting sqref="O298 M298 G298 K298 S298 U298 W298 I298 Q298">
    <cfRule type="cellIs" dxfId="5423" priority="6380" stopIfTrue="1" operator="notEqual">
      <formula>H298</formula>
    </cfRule>
  </conditionalFormatting>
  <conditionalFormatting sqref="O299:O300 M299:M300 G299:G300 K299:K300 S299:S300 U299:U300 W299:W300 I299:I300 Q299:Q300">
    <cfRule type="cellIs" dxfId="5422" priority="6379" stopIfTrue="1" operator="notEqual">
      <formula>H299</formula>
    </cfRule>
  </conditionalFormatting>
  <conditionalFormatting sqref="O300 M300 G300 K300 S300 U300 W300 I300 Q300">
    <cfRule type="cellIs" dxfId="5421" priority="6378" stopIfTrue="1" operator="notEqual">
      <formula>H300</formula>
    </cfRule>
  </conditionalFormatting>
  <conditionalFormatting sqref="O301 M301 G301 K301 S301 U301 W301 I301 Q301">
    <cfRule type="cellIs" dxfId="5420" priority="6377" stopIfTrue="1" operator="notEqual">
      <formula>H301</formula>
    </cfRule>
  </conditionalFormatting>
  <conditionalFormatting sqref="O302 M302 G302 K302 S302 U302 W302 I302 Q302">
    <cfRule type="cellIs" dxfId="5419" priority="6376" stopIfTrue="1" operator="notEqual">
      <formula>H302</formula>
    </cfRule>
  </conditionalFormatting>
  <conditionalFormatting sqref="O303 M303 G303 K303 S303 U303 W303 I303 Q303">
    <cfRule type="cellIs" dxfId="5418" priority="6375" stopIfTrue="1" operator="notEqual">
      <formula>H303</formula>
    </cfRule>
  </conditionalFormatting>
  <conditionalFormatting sqref="O296 M296 G296 K296 S296 U296 W296 I296 Q296">
    <cfRule type="cellIs" dxfId="5417" priority="6374" stopIfTrue="1" operator="notEqual">
      <formula>H296</formula>
    </cfRule>
  </conditionalFormatting>
  <conditionalFormatting sqref="O297 M297 G297 K297 S297 U297 W297 I297 Q297">
    <cfRule type="cellIs" dxfId="5416" priority="6373" stopIfTrue="1" operator="notEqual">
      <formula>H297</formula>
    </cfRule>
  </conditionalFormatting>
  <conditionalFormatting sqref="O298 M298 G298 K298 S298 U298 W298 I298 Q298">
    <cfRule type="cellIs" dxfId="5415" priority="6372" stopIfTrue="1" operator="notEqual">
      <formula>H298</formula>
    </cfRule>
  </conditionalFormatting>
  <conditionalFormatting sqref="O296 M296 G296 K296 S296 U296 W296 I296 Q296">
    <cfRule type="cellIs" dxfId="5414" priority="6371" stopIfTrue="1" operator="notEqual">
      <formula>H296</formula>
    </cfRule>
  </conditionalFormatting>
  <conditionalFormatting sqref="O299:O300 M299:M300 G299:G300 K299:K300 S299:S300 U299:U300 W299:W300 I299:I300 Q299:Q300">
    <cfRule type="cellIs" dxfId="5413" priority="6370" stopIfTrue="1" operator="notEqual">
      <formula>H299</formula>
    </cfRule>
  </conditionalFormatting>
  <conditionalFormatting sqref="O300 M300 G300 K300 S300 U300 W300 I300 Q300">
    <cfRule type="cellIs" dxfId="5412" priority="6369" stopIfTrue="1" operator="notEqual">
      <formula>H300</formula>
    </cfRule>
  </conditionalFormatting>
  <conditionalFormatting sqref="O301 M301 G301 K301 S301 U301 W301 I301 Q301">
    <cfRule type="cellIs" dxfId="5411" priority="6368" stopIfTrue="1" operator="notEqual">
      <formula>H301</formula>
    </cfRule>
  </conditionalFormatting>
  <conditionalFormatting sqref="O302 M302 G302 K302 S302 U302 W302 I302 Q302">
    <cfRule type="cellIs" dxfId="5410" priority="6367" stopIfTrue="1" operator="notEqual">
      <formula>H302</formula>
    </cfRule>
  </conditionalFormatting>
  <conditionalFormatting sqref="O303 M303 G303 K303 S303 U303 W303 I303 Q303">
    <cfRule type="cellIs" dxfId="5409" priority="6366" stopIfTrue="1" operator="notEqual">
      <formula>H303</formula>
    </cfRule>
  </conditionalFormatting>
  <conditionalFormatting sqref="O296:O300 M296:M300 G296:G300 K296:K300 S296:S300 U296:U300 W296:W300 I296:I300 Q296:Q300">
    <cfRule type="cellIs" dxfId="5408" priority="6365" stopIfTrue="1" operator="notEqual">
      <formula>H296</formula>
    </cfRule>
  </conditionalFormatting>
  <conditionalFormatting sqref="O297 M297 G297 K297 S297 U297 W297 I297 Q297">
    <cfRule type="cellIs" dxfId="5407" priority="6364" stopIfTrue="1" operator="notEqual">
      <formula>H297</formula>
    </cfRule>
  </conditionalFormatting>
  <conditionalFormatting sqref="O298 M298 G298 K298 S298 U298 W298 I298 Q298">
    <cfRule type="cellIs" dxfId="5406" priority="6363" stopIfTrue="1" operator="notEqual">
      <formula>H298</formula>
    </cfRule>
  </conditionalFormatting>
  <conditionalFormatting sqref="O298 M298 G298 K298 S298 U298 W298 I298 Q298">
    <cfRule type="cellIs" dxfId="5405" priority="6362" stopIfTrue="1" operator="notEqual">
      <formula>H298</formula>
    </cfRule>
  </conditionalFormatting>
  <conditionalFormatting sqref="O296 M296 G296 K296 S296 U296 W296 I296 Q296">
    <cfRule type="cellIs" dxfId="5404" priority="6361" stopIfTrue="1" operator="notEqual">
      <formula>H296</formula>
    </cfRule>
  </conditionalFormatting>
  <conditionalFormatting sqref="O301 M301 G301 K301 S301 U301 W301 I301 Q301">
    <cfRule type="cellIs" dxfId="5403" priority="6360" stopIfTrue="1" operator="notEqual">
      <formula>H301</formula>
    </cfRule>
  </conditionalFormatting>
  <conditionalFormatting sqref="O302 M302 G302 K302 S302 U302 W302 I302 Q302">
    <cfRule type="cellIs" dxfId="5402" priority="6359" stopIfTrue="1" operator="notEqual">
      <formula>H302</formula>
    </cfRule>
  </conditionalFormatting>
  <conditionalFormatting sqref="O300 M300 G300 K300 S300 U300 W300 I300 Q300">
    <cfRule type="cellIs" dxfId="5401" priority="6358" stopIfTrue="1" operator="notEqual">
      <formula>H300</formula>
    </cfRule>
  </conditionalFormatting>
  <conditionalFormatting sqref="O303 M303 G303 K303 S303 U303 W303 I303 Q303">
    <cfRule type="cellIs" dxfId="5400" priority="6357" stopIfTrue="1" operator="notEqual">
      <formula>H303</formula>
    </cfRule>
  </conditionalFormatting>
  <conditionalFormatting sqref="G304">
    <cfRule type="cellIs" dxfId="5399" priority="6356" stopIfTrue="1" operator="notEqual">
      <formula>H304</formula>
    </cfRule>
  </conditionalFormatting>
  <conditionalFormatting sqref="G305">
    <cfRule type="cellIs" dxfId="5398" priority="6355" stopIfTrue="1" operator="notEqual">
      <formula>H305</formula>
    </cfRule>
  </conditionalFormatting>
  <conditionalFormatting sqref="G306">
    <cfRule type="cellIs" dxfId="5397" priority="6354" stopIfTrue="1" operator="notEqual">
      <formula>H306</formula>
    </cfRule>
  </conditionalFormatting>
  <conditionalFormatting sqref="G307">
    <cfRule type="cellIs" dxfId="5396" priority="6353" stopIfTrue="1" operator="notEqual">
      <formula>H307</formula>
    </cfRule>
  </conditionalFormatting>
  <conditionalFormatting sqref="G308:G312">
    <cfRule type="cellIs" dxfId="5395" priority="6352" stopIfTrue="1" operator="notEqual">
      <formula>H308</formula>
    </cfRule>
  </conditionalFormatting>
  <conditionalFormatting sqref="G309">
    <cfRule type="cellIs" dxfId="5394" priority="6351" stopIfTrue="1" operator="notEqual">
      <formula>H309</formula>
    </cfRule>
  </conditionalFormatting>
  <conditionalFormatting sqref="G310">
    <cfRule type="cellIs" dxfId="5393" priority="6350" stopIfTrue="1" operator="notEqual">
      <formula>H310</formula>
    </cfRule>
  </conditionalFormatting>
  <conditionalFormatting sqref="G311">
    <cfRule type="cellIs" dxfId="5392" priority="6349" stopIfTrue="1" operator="notEqual">
      <formula>H311</formula>
    </cfRule>
  </conditionalFormatting>
  <conditionalFormatting sqref="G312">
    <cfRule type="cellIs" dxfId="5391" priority="6348" stopIfTrue="1" operator="notEqual">
      <formula>H312</formula>
    </cfRule>
  </conditionalFormatting>
  <conditionalFormatting sqref="G313">
    <cfRule type="cellIs" dxfId="5390" priority="6347" stopIfTrue="1" operator="notEqual">
      <formula>H313</formula>
    </cfRule>
  </conditionalFormatting>
  <conditionalFormatting sqref="G314">
    <cfRule type="cellIs" dxfId="5389" priority="6346" stopIfTrue="1" operator="notEqual">
      <formula>H314</formula>
    </cfRule>
  </conditionalFormatting>
  <conditionalFormatting sqref="G315:G324">
    <cfRule type="cellIs" dxfId="5388" priority="6345" stopIfTrue="1" operator="notEqual">
      <formula>H315</formula>
    </cfRule>
  </conditionalFormatting>
  <conditionalFormatting sqref="O304 M304 G304 K304 S304 U304 W304 I304 Q304">
    <cfRule type="cellIs" dxfId="5387" priority="6344" stopIfTrue="1" operator="notEqual">
      <formula>H304</formula>
    </cfRule>
  </conditionalFormatting>
  <conditionalFormatting sqref="O305 M305 G305 K305 S305 U305 W305 I305 Q305">
    <cfRule type="cellIs" dxfId="5386" priority="6343" stopIfTrue="1" operator="notEqual">
      <formula>H305</formula>
    </cfRule>
  </conditionalFormatting>
  <conditionalFormatting sqref="O306 M306 G306 K306 S306 U306 W306 I306 Q306">
    <cfRule type="cellIs" dxfId="5385" priority="6342" stopIfTrue="1" operator="notEqual">
      <formula>H306</formula>
    </cfRule>
  </conditionalFormatting>
  <conditionalFormatting sqref="G306:G307">
    <cfRule type="cellIs" dxfId="5384" priority="6341" stopIfTrue="1" operator="notEqual">
      <formula>H306</formula>
    </cfRule>
  </conditionalFormatting>
  <conditionalFormatting sqref="G304">
    <cfRule type="cellIs" dxfId="5383" priority="6340" stopIfTrue="1" operator="notEqual">
      <formula>H304</formula>
    </cfRule>
  </conditionalFormatting>
  <conditionalFormatting sqref="G305">
    <cfRule type="cellIs" dxfId="5382" priority="6339" stopIfTrue="1" operator="notEqual">
      <formula>H305</formula>
    </cfRule>
  </conditionalFormatting>
  <conditionalFormatting sqref="G307">
    <cfRule type="cellIs" dxfId="5381" priority="6338" stopIfTrue="1" operator="notEqual">
      <formula>H307</formula>
    </cfRule>
  </conditionalFormatting>
  <conditionalFormatting sqref="O304:O307 M304:M307 G304:G307 K304:K307 S304:S307 U304:U307 W304:W307 I304:I307 Q304:Q307">
    <cfRule type="cellIs" dxfId="5380" priority="6337" stopIfTrue="1" operator="notEqual">
      <formula>H304</formula>
    </cfRule>
  </conditionalFormatting>
  <conditionalFormatting sqref="O304 M304 G304 K304 S304 U304 W304 I304 Q304">
    <cfRule type="cellIs" dxfId="5379" priority="6336" stopIfTrue="1" operator="notEqual">
      <formula>H304</formula>
    </cfRule>
  </conditionalFormatting>
  <conditionalFormatting sqref="O305 M305 G305 K305 S305 U305 W305 I305 Q305">
    <cfRule type="cellIs" dxfId="5378" priority="6335" stopIfTrue="1" operator="notEqual">
      <formula>H305</formula>
    </cfRule>
  </conditionalFormatting>
  <conditionalFormatting sqref="O305 M305 G305 K305 S305 U305 W305 I305 Q305">
    <cfRule type="cellIs" dxfId="5377" priority="6334" stopIfTrue="1" operator="notEqual">
      <formula>H305</formula>
    </cfRule>
  </conditionalFormatting>
  <conditionalFormatting sqref="O307 M307 G307 K307 S307 U307 W307 I307 Q307">
    <cfRule type="cellIs" dxfId="5376" priority="6333" stopIfTrue="1" operator="notEqual">
      <formula>H307</formula>
    </cfRule>
  </conditionalFormatting>
  <conditionalFormatting sqref="O304 M304 G304 K304 S304 U304 W304 I304 Q304">
    <cfRule type="cellIs" dxfId="5375" priority="6332" stopIfTrue="1" operator="notEqual">
      <formula>H304</formula>
    </cfRule>
  </conditionalFormatting>
  <conditionalFormatting sqref="O305 M305 G305 K305 S305 U305 W305 I305 Q305">
    <cfRule type="cellIs" dxfId="5374" priority="6331" stopIfTrue="1" operator="notEqual">
      <formula>H305</formula>
    </cfRule>
  </conditionalFormatting>
  <conditionalFormatting sqref="O306 M306 G306 K306 S306 U306 W306 I306 Q306">
    <cfRule type="cellIs" dxfId="5373" priority="6330" stopIfTrue="1" operator="notEqual">
      <formula>H306</formula>
    </cfRule>
  </conditionalFormatting>
  <conditionalFormatting sqref="O307 M307 G307 K307 S307 U307 W307 I307 Q307">
    <cfRule type="cellIs" dxfId="5372" priority="6329" stopIfTrue="1" operator="notEqual">
      <formula>H307</formula>
    </cfRule>
  </conditionalFormatting>
  <conditionalFormatting sqref="G307:G312">
    <cfRule type="cellIs" dxfId="5371" priority="6328" stopIfTrue="1" operator="notEqual">
      <formula>H307</formula>
    </cfRule>
  </conditionalFormatting>
  <conditionalFormatting sqref="G307">
    <cfRule type="cellIs" dxfId="5370" priority="6327" stopIfTrue="1" operator="notEqual">
      <formula>H307</formula>
    </cfRule>
  </conditionalFormatting>
  <conditionalFormatting sqref="G308:G312">
    <cfRule type="cellIs" dxfId="5369" priority="6326" stopIfTrue="1" operator="notEqual">
      <formula>H308</formula>
    </cfRule>
  </conditionalFormatting>
  <conditionalFormatting sqref="G308:G312">
    <cfRule type="cellIs" dxfId="5368" priority="6325" stopIfTrue="1" operator="notEqual">
      <formula>H308</formula>
    </cfRule>
  </conditionalFormatting>
  <conditionalFormatting sqref="G311">
    <cfRule type="cellIs" dxfId="5367" priority="6324" stopIfTrue="1" operator="notEqual">
      <formula>H311</formula>
    </cfRule>
  </conditionalFormatting>
  <conditionalFormatting sqref="G312">
    <cfRule type="cellIs" dxfId="5366" priority="6323" stopIfTrue="1" operator="notEqual">
      <formula>H312</formula>
    </cfRule>
  </conditionalFormatting>
  <conditionalFormatting sqref="G310">
    <cfRule type="cellIs" dxfId="5365" priority="6322" stopIfTrue="1" operator="notEqual">
      <formula>H310</formula>
    </cfRule>
  </conditionalFormatting>
  <conditionalFormatting sqref="G313">
    <cfRule type="cellIs" dxfId="5364" priority="6321" stopIfTrue="1" operator="notEqual">
      <formula>H313</formula>
    </cfRule>
  </conditionalFormatting>
  <conditionalFormatting sqref="G314">
    <cfRule type="cellIs" dxfId="5363" priority="6320" stopIfTrue="1" operator="notEqual">
      <formula>H314</formula>
    </cfRule>
  </conditionalFormatting>
  <conditionalFormatting sqref="G315:G324">
    <cfRule type="cellIs" dxfId="5362" priority="6319" stopIfTrue="1" operator="notEqual">
      <formula>H315</formula>
    </cfRule>
  </conditionalFormatting>
  <conditionalFormatting sqref="O307 M307 G307 K307 S307 U307 W307 I307 Q307">
    <cfRule type="cellIs" dxfId="5361" priority="6318" stopIfTrue="1" operator="notEqual">
      <formula>H307</formula>
    </cfRule>
  </conditionalFormatting>
  <conditionalFormatting sqref="O308:O312 M308:M312 G308:G312 K308:K312 S308:S312 U308:U312 W308:W312 I308:I312 Q308:Q312">
    <cfRule type="cellIs" dxfId="5360" priority="6317" stopIfTrue="1" operator="notEqual">
      <formula>H308</formula>
    </cfRule>
  </conditionalFormatting>
  <conditionalFormatting sqref="O309 M309 G309 K309 S309 U309 W309 I309 Q309">
    <cfRule type="cellIs" dxfId="5359" priority="6316" stopIfTrue="1" operator="notEqual">
      <formula>H309</formula>
    </cfRule>
  </conditionalFormatting>
  <conditionalFormatting sqref="O310 M310 G310 K310 S310 U310 W310 I310 Q310">
    <cfRule type="cellIs" dxfId="5358" priority="6315" stopIfTrue="1" operator="notEqual">
      <formula>H310</formula>
    </cfRule>
  </conditionalFormatting>
  <conditionalFormatting sqref="O311 M311 G311 K311 S311 U311 W311 I311 Q311">
    <cfRule type="cellIs" dxfId="5357" priority="6314" stopIfTrue="1" operator="notEqual">
      <formula>H311</formula>
    </cfRule>
  </conditionalFormatting>
  <conditionalFormatting sqref="O312 M312 G312 K312 S312 U312 W312 I312 Q312">
    <cfRule type="cellIs" dxfId="5356" priority="6313" stopIfTrue="1" operator="notEqual">
      <formula>H312</formula>
    </cfRule>
  </conditionalFormatting>
  <conditionalFormatting sqref="O313 M313 G313 K313 S313 U313 W313 I313 Q313">
    <cfRule type="cellIs" dxfId="5355" priority="6312" stopIfTrue="1" operator="notEqual">
      <formula>H313</formula>
    </cfRule>
  </conditionalFormatting>
  <conditionalFormatting sqref="O314 M314 G314 K314 S314 U314 W314 I314 Q314">
    <cfRule type="cellIs" dxfId="5354" priority="6311" stopIfTrue="1" operator="notEqual">
      <formula>H314</formula>
    </cfRule>
  </conditionalFormatting>
  <conditionalFormatting sqref="O315:O324 M315:M324 G315:G324 K315:K324 S315:S324 U315:U324 W315:W324 I315:I324 Q315:Q324">
    <cfRule type="cellIs" dxfId="5353" priority="6310" stopIfTrue="1" operator="notEqual">
      <formula>H315</formula>
    </cfRule>
  </conditionalFormatting>
  <conditionalFormatting sqref="G307">
    <cfRule type="cellIs" dxfId="5352" priority="6309" stopIfTrue="1" operator="notEqual">
      <formula>H307</formula>
    </cfRule>
  </conditionalFormatting>
  <conditionalFormatting sqref="G308:G312">
    <cfRule type="cellIs" dxfId="5351" priority="6308" stopIfTrue="1" operator="notEqual">
      <formula>H308</formula>
    </cfRule>
  </conditionalFormatting>
  <conditionalFormatting sqref="G309">
    <cfRule type="cellIs" dxfId="5350" priority="6307" stopIfTrue="1" operator="notEqual">
      <formula>H309</formula>
    </cfRule>
  </conditionalFormatting>
  <conditionalFormatting sqref="G310">
    <cfRule type="cellIs" dxfId="5349" priority="6306" stopIfTrue="1" operator="notEqual">
      <formula>H310</formula>
    </cfRule>
  </conditionalFormatting>
  <conditionalFormatting sqref="G311">
    <cfRule type="cellIs" dxfId="5348" priority="6305" stopIfTrue="1" operator="notEqual">
      <formula>H311</formula>
    </cfRule>
  </conditionalFormatting>
  <conditionalFormatting sqref="G312">
    <cfRule type="cellIs" dxfId="5347" priority="6304" stopIfTrue="1" operator="notEqual">
      <formula>H312</formula>
    </cfRule>
  </conditionalFormatting>
  <conditionalFormatting sqref="G313">
    <cfRule type="cellIs" dxfId="5346" priority="6303" stopIfTrue="1" operator="notEqual">
      <formula>H313</formula>
    </cfRule>
  </conditionalFormatting>
  <conditionalFormatting sqref="G314">
    <cfRule type="cellIs" dxfId="5345" priority="6302" stopIfTrue="1" operator="notEqual">
      <formula>H314</formula>
    </cfRule>
  </conditionalFormatting>
  <conditionalFormatting sqref="G315:G324">
    <cfRule type="cellIs" dxfId="5344" priority="6301" stopIfTrue="1" operator="notEqual">
      <formula>H315</formula>
    </cfRule>
  </conditionalFormatting>
  <conditionalFormatting sqref="G307">
    <cfRule type="cellIs" dxfId="5343" priority="6300" stopIfTrue="1" operator="notEqual">
      <formula>H307</formula>
    </cfRule>
  </conditionalFormatting>
  <conditionalFormatting sqref="G307">
    <cfRule type="cellIs" dxfId="5342" priority="6299" stopIfTrue="1" operator="notEqual">
      <formula>H307</formula>
    </cfRule>
  </conditionalFormatting>
  <conditionalFormatting sqref="G307">
    <cfRule type="cellIs" dxfId="5341" priority="6298" stopIfTrue="1" operator="notEqual">
      <formula>H307</formula>
    </cfRule>
  </conditionalFormatting>
  <conditionalFormatting sqref="G307">
    <cfRule type="cellIs" dxfId="5340" priority="6297" stopIfTrue="1" operator="notEqual">
      <formula>H307</formula>
    </cfRule>
  </conditionalFormatting>
  <conditionalFormatting sqref="G307">
    <cfRule type="cellIs" dxfId="5339" priority="6296" stopIfTrue="1" operator="notEqual">
      <formula>H307</formula>
    </cfRule>
  </conditionalFormatting>
  <conditionalFormatting sqref="G307">
    <cfRule type="cellIs" dxfId="5338" priority="6295" stopIfTrue="1" operator="notEqual">
      <formula>H307</formula>
    </cfRule>
  </conditionalFormatting>
  <conditionalFormatting sqref="O307 M307 G307 K307 S307 U307 W307 I307 Q307">
    <cfRule type="cellIs" dxfId="5337" priority="6294" stopIfTrue="1" operator="notEqual">
      <formula>H307</formula>
    </cfRule>
  </conditionalFormatting>
  <conditionalFormatting sqref="O308:O312 M308:M312 G308:G312 K308:K312 S308:S312 U308:U312 W308:W312 I308:I312 Q308:Q312">
    <cfRule type="cellIs" dxfId="5336" priority="6293" stopIfTrue="1" operator="notEqual">
      <formula>H308</formula>
    </cfRule>
  </conditionalFormatting>
  <conditionalFormatting sqref="O309 M309 G309 K309 S309 U309 W309 I309 Q309">
    <cfRule type="cellIs" dxfId="5335" priority="6292" stopIfTrue="1" operator="notEqual">
      <formula>H309</formula>
    </cfRule>
  </conditionalFormatting>
  <conditionalFormatting sqref="O310 M310 G310 K310 S310 U310 W310 I310 Q310">
    <cfRule type="cellIs" dxfId="5334" priority="6291" stopIfTrue="1" operator="notEqual">
      <formula>H310</formula>
    </cfRule>
  </conditionalFormatting>
  <conditionalFormatting sqref="O311 M311 G311 K311 S311 U311 W311 I311 Q311">
    <cfRule type="cellIs" dxfId="5333" priority="6290" stopIfTrue="1" operator="notEqual">
      <formula>H311</formula>
    </cfRule>
  </conditionalFormatting>
  <conditionalFormatting sqref="O312 M312 G312 K312 S312 U312 W312 I312 Q312">
    <cfRule type="cellIs" dxfId="5332" priority="6289" stopIfTrue="1" operator="notEqual">
      <formula>H312</formula>
    </cfRule>
  </conditionalFormatting>
  <conditionalFormatting sqref="O313 M313 G313 K313 S313 U313 W313 I313 Q313">
    <cfRule type="cellIs" dxfId="5331" priority="6288" stopIfTrue="1" operator="notEqual">
      <formula>H313</formula>
    </cfRule>
  </conditionalFormatting>
  <conditionalFormatting sqref="O314 M314 G314 K314 S314 U314 W314 I314 Q314">
    <cfRule type="cellIs" dxfId="5330" priority="6287" stopIfTrue="1" operator="notEqual">
      <formula>H314</formula>
    </cfRule>
  </conditionalFormatting>
  <conditionalFormatting sqref="O315:O324 M315:M324 G315:G324 K315:K324 S315:S324 U315:U324 W315:W324 I315:I324 Q315:Q324">
    <cfRule type="cellIs" dxfId="5329" priority="6286" stopIfTrue="1" operator="notEqual">
      <formula>H315</formula>
    </cfRule>
  </conditionalFormatting>
  <conditionalFormatting sqref="O307 M307 G307 K307 S307 U307 W307 I307 Q307">
    <cfRule type="cellIs" dxfId="5328" priority="6285" stopIfTrue="1" operator="notEqual">
      <formula>H307</formula>
    </cfRule>
  </conditionalFormatting>
  <conditionalFormatting sqref="O308:O312 M308:M312 G308:G312 K308:K312 S308:S312 U308:U312 W308:W312 I308:I312 Q308:Q312">
    <cfRule type="cellIs" dxfId="5327" priority="6284" stopIfTrue="1" operator="notEqual">
      <formula>H308</formula>
    </cfRule>
  </conditionalFormatting>
  <conditionalFormatting sqref="O309 M309 G309 K309 S309 U309 W309 I309 Q309">
    <cfRule type="cellIs" dxfId="5326" priority="6283" stopIfTrue="1" operator="notEqual">
      <formula>H309</formula>
    </cfRule>
  </conditionalFormatting>
  <conditionalFormatting sqref="O307 M307 G307 K307 S307 U307 W307 I307 Q307">
    <cfRule type="cellIs" dxfId="5325" priority="6282" stopIfTrue="1" operator="notEqual">
      <formula>H307</formula>
    </cfRule>
  </conditionalFormatting>
  <conditionalFormatting sqref="O310 M310 G310 K310 S310 U310 W310 I310 Q310">
    <cfRule type="cellIs" dxfId="5324" priority="6281" stopIfTrue="1" operator="notEqual">
      <formula>H310</formula>
    </cfRule>
  </conditionalFormatting>
  <conditionalFormatting sqref="O311 M311 G311 K311 S311 U311 W311 I311 Q311">
    <cfRule type="cellIs" dxfId="5323" priority="6280" stopIfTrue="1" operator="notEqual">
      <formula>H311</formula>
    </cfRule>
  </conditionalFormatting>
  <conditionalFormatting sqref="O312 M312 G312 K312 S312 U312 W312 I312 Q312">
    <cfRule type="cellIs" dxfId="5322" priority="6279" stopIfTrue="1" operator="notEqual">
      <formula>H312</formula>
    </cfRule>
  </conditionalFormatting>
  <conditionalFormatting sqref="O313 M313 G313 K313 S313 U313 W313 I313 Q313">
    <cfRule type="cellIs" dxfId="5321" priority="6278" stopIfTrue="1" operator="notEqual">
      <formula>H313</formula>
    </cfRule>
  </conditionalFormatting>
  <conditionalFormatting sqref="O314 M314 G314 K314 S314 U314 W314 I314 Q314">
    <cfRule type="cellIs" dxfId="5320" priority="6277" stopIfTrue="1" operator="notEqual">
      <formula>H314</formula>
    </cfRule>
  </conditionalFormatting>
  <conditionalFormatting sqref="O315:O324 M315:M324 G315:G324 K315:K324 S315:S324 U315:U324 W315:W324 I315:I324 Q315:Q324">
    <cfRule type="cellIs" dxfId="5319" priority="6276" stopIfTrue="1" operator="notEqual">
      <formula>H315</formula>
    </cfRule>
  </conditionalFormatting>
  <conditionalFormatting sqref="G310:G324">
    <cfRule type="cellIs" dxfId="5318" priority="6275" stopIfTrue="1" operator="notEqual">
      <formula>H310</formula>
    </cfRule>
  </conditionalFormatting>
  <conditionalFormatting sqref="G304">
    <cfRule type="cellIs" dxfId="5317" priority="6274" stopIfTrue="1" operator="notEqual">
      <formula>H304</formula>
    </cfRule>
  </conditionalFormatting>
  <conditionalFormatting sqref="G305">
    <cfRule type="cellIs" dxfId="5316" priority="6273" stopIfTrue="1" operator="notEqual">
      <formula>H305</formula>
    </cfRule>
  </conditionalFormatting>
  <conditionalFormatting sqref="G306">
    <cfRule type="cellIs" dxfId="5315" priority="6272" stopIfTrue="1" operator="notEqual">
      <formula>H306</formula>
    </cfRule>
  </conditionalFormatting>
  <conditionalFormatting sqref="G307">
    <cfRule type="cellIs" dxfId="5314" priority="6271" stopIfTrue="1" operator="notEqual">
      <formula>H307</formula>
    </cfRule>
  </conditionalFormatting>
  <conditionalFormatting sqref="G308:G312">
    <cfRule type="cellIs" dxfId="5313" priority="6270" stopIfTrue="1" operator="notEqual">
      <formula>H308</formula>
    </cfRule>
  </conditionalFormatting>
  <conditionalFormatting sqref="G309">
    <cfRule type="cellIs" dxfId="5312" priority="6269" stopIfTrue="1" operator="notEqual">
      <formula>H309</formula>
    </cfRule>
  </conditionalFormatting>
  <conditionalFormatting sqref="G312">
    <cfRule type="cellIs" dxfId="5311" priority="6268" stopIfTrue="1" operator="notEqual">
      <formula>H312</formula>
    </cfRule>
  </conditionalFormatting>
  <conditionalFormatting sqref="G313">
    <cfRule type="cellIs" dxfId="5310" priority="6267" stopIfTrue="1" operator="notEqual">
      <formula>H313</formula>
    </cfRule>
  </conditionalFormatting>
  <conditionalFormatting sqref="G313">
    <cfRule type="cellIs" dxfId="5309" priority="6266" stopIfTrue="1" operator="notEqual">
      <formula>H313</formula>
    </cfRule>
  </conditionalFormatting>
  <conditionalFormatting sqref="G311">
    <cfRule type="cellIs" dxfId="5308" priority="6265" stopIfTrue="1" operator="notEqual">
      <formula>H311</formula>
    </cfRule>
  </conditionalFormatting>
  <conditionalFormatting sqref="G315:G324">
    <cfRule type="cellIs" dxfId="5307" priority="6264" stopIfTrue="1" operator="notEqual">
      <formula>H315</formula>
    </cfRule>
  </conditionalFormatting>
  <conditionalFormatting sqref="O306:O312 M306:M312 G306:G312 K306:K312 S306:S312 U306:U312 W306:W312 I306:I312 Q306:Q312">
    <cfRule type="cellIs" dxfId="5306" priority="6263" stopIfTrue="1" operator="notEqual">
      <formula>H306</formula>
    </cfRule>
  </conditionalFormatting>
  <conditionalFormatting sqref="O304 M304 G304 K304 S304 U304 W304 I304 Q304">
    <cfRule type="cellIs" dxfId="5305" priority="6262" stopIfTrue="1" operator="notEqual">
      <formula>H304</formula>
    </cfRule>
  </conditionalFormatting>
  <conditionalFormatting sqref="O305 M305 G305 K305 S305 U305 W305 I305 Q305">
    <cfRule type="cellIs" dxfId="5304" priority="6261" stopIfTrue="1" operator="notEqual">
      <formula>H305</formula>
    </cfRule>
  </conditionalFormatting>
  <conditionalFormatting sqref="O308:O312 M308:M312 G308:G312 K308:K312 S308:S312 U308:U312 W308:W312 I308:I312 Q308:Q312">
    <cfRule type="cellIs" dxfId="5303" priority="6260" stopIfTrue="1" operator="notEqual">
      <formula>H308</formula>
    </cfRule>
  </conditionalFormatting>
  <conditionalFormatting sqref="O309 M309 G309 K309 S309 U309 W309 I309 Q309">
    <cfRule type="cellIs" dxfId="5302" priority="6259" stopIfTrue="1" operator="notEqual">
      <formula>H309</formula>
    </cfRule>
  </conditionalFormatting>
  <conditionalFormatting sqref="O309 M309 G309 K309 S309 U309 W309 I309 Q309">
    <cfRule type="cellIs" dxfId="5301" priority="6258" stopIfTrue="1" operator="notEqual">
      <formula>H309</formula>
    </cfRule>
  </conditionalFormatting>
  <conditionalFormatting sqref="O307 M307 G307 K307 S307 U307 W307 I307 Q307">
    <cfRule type="cellIs" dxfId="5300" priority="6257" stopIfTrue="1" operator="notEqual">
      <formula>H307</formula>
    </cfRule>
  </conditionalFormatting>
  <conditionalFormatting sqref="O312 M312 G312 K312 S312 U312 W312 I312 Q312">
    <cfRule type="cellIs" dxfId="5299" priority="6256" stopIfTrue="1" operator="notEqual">
      <formula>H312</formula>
    </cfRule>
  </conditionalFormatting>
  <conditionalFormatting sqref="O313 M313 G313 K313 S313 U313 W313 I313 Q313">
    <cfRule type="cellIs" dxfId="5298" priority="6255" stopIfTrue="1" operator="notEqual">
      <formula>H313</formula>
    </cfRule>
  </conditionalFormatting>
  <conditionalFormatting sqref="O311 M311 G311 K311 S311 U311 W311 I311 Q311">
    <cfRule type="cellIs" dxfId="5297" priority="6254" stopIfTrue="1" operator="notEqual">
      <formula>H311</formula>
    </cfRule>
  </conditionalFormatting>
  <conditionalFormatting sqref="O314 M314 G314 K314 S314 U314 W314 I314 Q314">
    <cfRule type="cellIs" dxfId="5296" priority="6253" stopIfTrue="1" operator="notEqual">
      <formula>H314</formula>
    </cfRule>
  </conditionalFormatting>
  <conditionalFormatting sqref="O315:O324 M315:M324 G315:G324 K315:K324 S315:S324 U315:U324 W315:W324 I315:I324 Q315:Q324">
    <cfRule type="cellIs" dxfId="5295" priority="6252" stopIfTrue="1" operator="notEqual">
      <formula>H315</formula>
    </cfRule>
  </conditionalFormatting>
  <conditionalFormatting sqref="O304 M304 G304 K304 S304 U304 W304 I304 Q304">
    <cfRule type="cellIs" dxfId="5294" priority="6251" stopIfTrue="1" operator="notEqual">
      <formula>H304</formula>
    </cfRule>
  </conditionalFormatting>
  <conditionalFormatting sqref="O305 M305 G305 K305 S305 U305 W305 I305 Q305">
    <cfRule type="cellIs" dxfId="5293" priority="6250" stopIfTrue="1" operator="notEqual">
      <formula>H305</formula>
    </cfRule>
  </conditionalFormatting>
  <conditionalFormatting sqref="O306 M306 G306 K306 S306 U306 W306 I306 Q306">
    <cfRule type="cellIs" dxfId="5292" priority="6249" stopIfTrue="1" operator="notEqual">
      <formula>H306</formula>
    </cfRule>
  </conditionalFormatting>
  <conditionalFormatting sqref="O307 M307 G307 K307 S307 U307 W307 I307 Q307">
    <cfRule type="cellIs" dxfId="5291" priority="6248" stopIfTrue="1" operator="notEqual">
      <formula>H307</formula>
    </cfRule>
  </conditionalFormatting>
  <conditionalFormatting sqref="O308:O312 M308:M312 G308:G312 K308:K312 S308:S312 U308:U312 W308:W312 I308:I312 Q308:Q312">
    <cfRule type="cellIs" dxfId="5290" priority="6247" stopIfTrue="1" operator="notEqual">
      <formula>H308</formula>
    </cfRule>
  </conditionalFormatting>
  <conditionalFormatting sqref="O309 M309 G309 K309 S309 U309 W309 I309 Q309">
    <cfRule type="cellIs" dxfId="5289" priority="6246" stopIfTrue="1" operator="notEqual">
      <formula>H309</formula>
    </cfRule>
  </conditionalFormatting>
  <conditionalFormatting sqref="O310 M310 G310 K310 S310 U310 W310 I310 Q310">
    <cfRule type="cellIs" dxfId="5288" priority="6245" stopIfTrue="1" operator="notEqual">
      <formula>H310</formula>
    </cfRule>
  </conditionalFormatting>
  <conditionalFormatting sqref="O311 M311 G311 K311 S311 U311 W311 I311 Q311">
    <cfRule type="cellIs" dxfId="5287" priority="6244" stopIfTrue="1" operator="notEqual">
      <formula>H311</formula>
    </cfRule>
  </conditionalFormatting>
  <conditionalFormatting sqref="G312">
    <cfRule type="cellIs" dxfId="5286" priority="6243" stopIfTrue="1" operator="notEqual">
      <formula>H312</formula>
    </cfRule>
  </conditionalFormatting>
  <conditionalFormatting sqref="G313">
    <cfRule type="cellIs" dxfId="5285" priority="6242" stopIfTrue="1" operator="notEqual">
      <formula>H313</formula>
    </cfRule>
  </conditionalFormatting>
  <conditionalFormatting sqref="G314">
    <cfRule type="cellIs" dxfId="5284" priority="6241" stopIfTrue="1" operator="notEqual">
      <formula>H314</formula>
    </cfRule>
  </conditionalFormatting>
  <conditionalFormatting sqref="G315:G324">
    <cfRule type="cellIs" dxfId="5283" priority="6240" stopIfTrue="1" operator="notEqual">
      <formula>H315</formula>
    </cfRule>
  </conditionalFormatting>
  <conditionalFormatting sqref="G312">
    <cfRule type="cellIs" dxfId="5282" priority="6239" stopIfTrue="1" operator="notEqual">
      <formula>H312</formula>
    </cfRule>
  </conditionalFormatting>
  <conditionalFormatting sqref="G312">
    <cfRule type="cellIs" dxfId="5281" priority="6238" stopIfTrue="1" operator="notEqual">
      <formula>H312</formula>
    </cfRule>
  </conditionalFormatting>
  <conditionalFormatting sqref="G312">
    <cfRule type="cellIs" dxfId="5280" priority="6237" stopIfTrue="1" operator="notEqual">
      <formula>H312</formula>
    </cfRule>
  </conditionalFormatting>
  <conditionalFormatting sqref="G312">
    <cfRule type="cellIs" dxfId="5279" priority="6236" stopIfTrue="1" operator="notEqual">
      <formula>H312</formula>
    </cfRule>
  </conditionalFormatting>
  <conditionalFormatting sqref="G312">
    <cfRule type="cellIs" dxfId="5278" priority="6235" stopIfTrue="1" operator="notEqual">
      <formula>H312</formula>
    </cfRule>
  </conditionalFormatting>
  <conditionalFormatting sqref="G312">
    <cfRule type="cellIs" dxfId="5277" priority="6234" stopIfTrue="1" operator="notEqual">
      <formula>H312</formula>
    </cfRule>
  </conditionalFormatting>
  <conditionalFormatting sqref="O312 M312 G312 K312 S312 U312 W312 I312 Q312">
    <cfRule type="cellIs" dxfId="5276" priority="6233" stopIfTrue="1" operator="notEqual">
      <formula>H312</formula>
    </cfRule>
  </conditionalFormatting>
  <conditionalFormatting sqref="O313 M313 G313 K313 S313 U313 W313 I313 Q313">
    <cfRule type="cellIs" dxfId="5275" priority="6232" stopIfTrue="1" operator="notEqual">
      <formula>H313</formula>
    </cfRule>
  </conditionalFormatting>
  <conditionalFormatting sqref="O314 M314 G314 K314 S314 U314 W314 I314 Q314">
    <cfRule type="cellIs" dxfId="5274" priority="6231" stopIfTrue="1" operator="notEqual">
      <formula>H314</formula>
    </cfRule>
  </conditionalFormatting>
  <conditionalFormatting sqref="O315:O324 M315:M324 G315:G324 K315:K324 S315:S324 U315:U324 W315:W324 I315:I324 Q315:Q324">
    <cfRule type="cellIs" dxfId="5273" priority="6230" stopIfTrue="1" operator="notEqual">
      <formula>H315</formula>
    </cfRule>
  </conditionalFormatting>
  <conditionalFormatting sqref="O312 M312 G312 K312 S312 U312 W312 I312 Q312">
    <cfRule type="cellIs" dxfId="5272" priority="6229" stopIfTrue="1" operator="notEqual">
      <formula>H312</formula>
    </cfRule>
  </conditionalFormatting>
  <conditionalFormatting sqref="O313 M313 G313 K313 S313 U313 W313 I313 Q313">
    <cfRule type="cellIs" dxfId="5271" priority="6228" stopIfTrue="1" operator="notEqual">
      <formula>H313</formula>
    </cfRule>
  </conditionalFormatting>
  <conditionalFormatting sqref="O314 M314 G314 K314 S314 U314 W314 I314 Q314">
    <cfRule type="cellIs" dxfId="5270" priority="6227" stopIfTrue="1" operator="notEqual">
      <formula>H314</formula>
    </cfRule>
  </conditionalFormatting>
  <conditionalFormatting sqref="O312 M312 G312 K312 S312 U312 W312 I312 Q312">
    <cfRule type="cellIs" dxfId="5269" priority="6226" stopIfTrue="1" operator="notEqual">
      <formula>H312</formula>
    </cfRule>
  </conditionalFormatting>
  <conditionalFormatting sqref="O315:O324 M315:M324 G315:G324 K315:K324 S315:S324 U315:U324 W315:W324 I315:I324 Q315:Q324">
    <cfRule type="cellIs" dxfId="5268" priority="6225" stopIfTrue="1" operator="notEqual">
      <formula>H315</formula>
    </cfRule>
  </conditionalFormatting>
  <conditionalFormatting sqref="O304 M304 G304 K304 S304 U304 W304 I304 Q304">
    <cfRule type="cellIs" dxfId="5267" priority="6224" stopIfTrue="1" operator="notEqual">
      <formula>H304</formula>
    </cfRule>
  </conditionalFormatting>
  <conditionalFormatting sqref="O305 M305 G305 K305 S305 U305 W305 I305 Q305">
    <cfRule type="cellIs" dxfId="5266" priority="6223" stopIfTrue="1" operator="notEqual">
      <formula>H305</formula>
    </cfRule>
  </conditionalFormatting>
  <conditionalFormatting sqref="O306 M306 G306 K306 S306 U306 W306 I306 Q306">
    <cfRule type="cellIs" dxfId="5265" priority="6222" stopIfTrue="1" operator="notEqual">
      <formula>H306</formula>
    </cfRule>
  </conditionalFormatting>
  <conditionalFormatting sqref="O307 M307 G307 K307 S307 U307 W307 I307 Q307">
    <cfRule type="cellIs" dxfId="5264" priority="6221" stopIfTrue="1" operator="notEqual">
      <formula>H307</formula>
    </cfRule>
  </conditionalFormatting>
  <conditionalFormatting sqref="O308:O312 M308:M312 G308:G312 K308:K312 S308:S312 U308:U312 W308:W312 I308:I312 Q308:Q312">
    <cfRule type="cellIs" dxfId="5263" priority="6220" stopIfTrue="1" operator="notEqual">
      <formula>H308</formula>
    </cfRule>
  </conditionalFormatting>
  <conditionalFormatting sqref="O309 M309 G309 K309 S309 U309 W309 I309 Q309">
    <cfRule type="cellIs" dxfId="5262" priority="6219" stopIfTrue="1" operator="notEqual">
      <formula>H309</formula>
    </cfRule>
  </conditionalFormatting>
  <conditionalFormatting sqref="O310 M310 G310 K310 S310 U310 W310 I310 Q310">
    <cfRule type="cellIs" dxfId="5261" priority="6218" stopIfTrue="1" operator="notEqual">
      <formula>H310</formula>
    </cfRule>
  </conditionalFormatting>
  <conditionalFormatting sqref="O311 M311 G311 K311 S311 U311 W311 I311 Q311">
    <cfRule type="cellIs" dxfId="5260" priority="6217" stopIfTrue="1" operator="notEqual">
      <formula>H311</formula>
    </cfRule>
  </conditionalFormatting>
  <conditionalFormatting sqref="O312 M312 G312 K312 S312 U312 W312 I312 Q312">
    <cfRule type="cellIs" dxfId="5259" priority="6216" stopIfTrue="1" operator="notEqual">
      <formula>H312</formula>
    </cfRule>
  </conditionalFormatting>
  <conditionalFormatting sqref="O313 M313 G313 K313 S313 U313 W313 I313 Q313">
    <cfRule type="cellIs" dxfId="5258" priority="6215" stopIfTrue="1" operator="notEqual">
      <formula>H313</formula>
    </cfRule>
  </conditionalFormatting>
  <conditionalFormatting sqref="O314 M314 G314 K314 S314 U314 W314 I314 Q314">
    <cfRule type="cellIs" dxfId="5257" priority="6214" stopIfTrue="1" operator="notEqual">
      <formula>H314</formula>
    </cfRule>
  </conditionalFormatting>
  <conditionalFormatting sqref="O315:O324 M315:M324 G315:G324 K315:K324 S315:S324 U315:U324 W315:W324 I315:I324 Q315:Q324">
    <cfRule type="cellIs" dxfId="5256" priority="6213" stopIfTrue="1" operator="notEqual">
      <formula>H315</formula>
    </cfRule>
  </conditionalFormatting>
  <conditionalFormatting sqref="G323">
    <cfRule type="cellIs" dxfId="5255" priority="6212" stopIfTrue="1" operator="notEqual">
      <formula>H323</formula>
    </cfRule>
  </conditionalFormatting>
  <conditionalFormatting sqref="G316">
    <cfRule type="cellIs" dxfId="5254" priority="6211" stopIfTrue="1" operator="notEqual">
      <formula>H316</formula>
    </cfRule>
  </conditionalFormatting>
  <conditionalFormatting sqref="G317">
    <cfRule type="cellIs" dxfId="5253" priority="6210" stopIfTrue="1" operator="notEqual">
      <formula>H317</formula>
    </cfRule>
  </conditionalFormatting>
  <conditionalFormatting sqref="G318">
    <cfRule type="cellIs" dxfId="5252" priority="6209" stopIfTrue="1" operator="notEqual">
      <formula>H318</formula>
    </cfRule>
  </conditionalFormatting>
  <conditionalFormatting sqref="G319">
    <cfRule type="cellIs" dxfId="5251" priority="6208" stopIfTrue="1" operator="notEqual">
      <formula>H319</formula>
    </cfRule>
  </conditionalFormatting>
  <conditionalFormatting sqref="G320">
    <cfRule type="cellIs" dxfId="5250" priority="6207" stopIfTrue="1" operator="notEqual">
      <formula>H320</formula>
    </cfRule>
  </conditionalFormatting>
  <conditionalFormatting sqref="G321">
    <cfRule type="cellIs" dxfId="5249" priority="6206" stopIfTrue="1" operator="notEqual">
      <formula>H321</formula>
    </cfRule>
  </conditionalFormatting>
  <conditionalFormatting sqref="G322">
    <cfRule type="cellIs" dxfId="5248" priority="6205" stopIfTrue="1" operator="notEqual">
      <formula>H322</formula>
    </cfRule>
  </conditionalFormatting>
  <conditionalFormatting sqref="G316">
    <cfRule type="cellIs" dxfId="5247" priority="6204" stopIfTrue="1" operator="notEqual">
      <formula>H316</formula>
    </cfRule>
  </conditionalFormatting>
  <conditionalFormatting sqref="G317">
    <cfRule type="cellIs" dxfId="5246" priority="6203" stopIfTrue="1" operator="notEqual">
      <formula>H317</formula>
    </cfRule>
  </conditionalFormatting>
  <conditionalFormatting sqref="G318">
    <cfRule type="cellIs" dxfId="5245" priority="6202" stopIfTrue="1" operator="notEqual">
      <formula>H318</formula>
    </cfRule>
  </conditionalFormatting>
  <conditionalFormatting sqref="G319">
    <cfRule type="cellIs" dxfId="5244" priority="6201" stopIfTrue="1" operator="notEqual">
      <formula>H319</formula>
    </cfRule>
  </conditionalFormatting>
  <conditionalFormatting sqref="G320">
    <cfRule type="cellIs" dxfId="5243" priority="6200" stopIfTrue="1" operator="notEqual">
      <formula>H320</formula>
    </cfRule>
  </conditionalFormatting>
  <conditionalFormatting sqref="G321">
    <cfRule type="cellIs" dxfId="5242" priority="6199" stopIfTrue="1" operator="notEqual">
      <formula>H321</formula>
    </cfRule>
  </conditionalFormatting>
  <conditionalFormatting sqref="G322">
    <cfRule type="cellIs" dxfId="5241" priority="6198" stopIfTrue="1" operator="notEqual">
      <formula>H322</formula>
    </cfRule>
  </conditionalFormatting>
  <conditionalFormatting sqref="O316 M316 G316 K316 S316 U316 W316 I316 Q316">
    <cfRule type="cellIs" dxfId="5240" priority="6197" stopIfTrue="1" operator="notEqual">
      <formula>H316</formula>
    </cfRule>
  </conditionalFormatting>
  <conditionalFormatting sqref="O317 M317 G317 K317 S317 U317 W317 I317 Q317">
    <cfRule type="cellIs" dxfId="5239" priority="6196" stopIfTrue="1" operator="notEqual">
      <formula>H317</formula>
    </cfRule>
  </conditionalFormatting>
  <conditionalFormatting sqref="O318 M318 G318 K318 S318 U318 W318 I318 Q318">
    <cfRule type="cellIs" dxfId="5238" priority="6195" stopIfTrue="1" operator="notEqual">
      <formula>H318</formula>
    </cfRule>
  </conditionalFormatting>
  <conditionalFormatting sqref="O319 M319 G319 K319 S319 U319 W319 I319 Q319">
    <cfRule type="cellIs" dxfId="5237" priority="6194" stopIfTrue="1" operator="notEqual">
      <formula>H319</formula>
    </cfRule>
  </conditionalFormatting>
  <conditionalFormatting sqref="O320 M320 G320 K320 S320 U320 W320 I320 Q320">
    <cfRule type="cellIs" dxfId="5236" priority="6193" stopIfTrue="1" operator="notEqual">
      <formula>H320</formula>
    </cfRule>
  </conditionalFormatting>
  <conditionalFormatting sqref="O321 M321 G321 K321 S321 U321 W321 I321 Q321">
    <cfRule type="cellIs" dxfId="5235" priority="6192" stopIfTrue="1" operator="notEqual">
      <formula>H321</formula>
    </cfRule>
  </conditionalFormatting>
  <conditionalFormatting sqref="G321:G322">
    <cfRule type="cellIs" dxfId="5234" priority="6191" stopIfTrue="1" operator="notEqual">
      <formula>H321</formula>
    </cfRule>
  </conditionalFormatting>
  <conditionalFormatting sqref="G316">
    <cfRule type="cellIs" dxfId="5233" priority="6190" stopIfTrue="1" operator="notEqual">
      <formula>H316</formula>
    </cfRule>
  </conditionalFormatting>
  <conditionalFormatting sqref="G317">
    <cfRule type="cellIs" dxfId="5232" priority="6189" stopIfTrue="1" operator="notEqual">
      <formula>H317</formula>
    </cfRule>
  </conditionalFormatting>
  <conditionalFormatting sqref="G318">
    <cfRule type="cellIs" dxfId="5231" priority="6188" stopIfTrue="1" operator="notEqual">
      <formula>H318</formula>
    </cfRule>
  </conditionalFormatting>
  <conditionalFormatting sqref="G319">
    <cfRule type="cellIs" dxfId="5230" priority="6187" stopIfTrue="1" operator="notEqual">
      <formula>H319</formula>
    </cfRule>
  </conditionalFormatting>
  <conditionalFormatting sqref="G320">
    <cfRule type="cellIs" dxfId="5229" priority="6186" stopIfTrue="1" operator="notEqual">
      <formula>H320</formula>
    </cfRule>
  </conditionalFormatting>
  <conditionalFormatting sqref="G322">
    <cfRule type="cellIs" dxfId="5228" priority="6185" stopIfTrue="1" operator="notEqual">
      <formula>H322</formula>
    </cfRule>
  </conditionalFormatting>
  <conditionalFormatting sqref="O317:O322 M317:M322 G317:G322 K317:K322 S317:S322 U317:U322 W317:W322 I317:I322 Q317:Q322">
    <cfRule type="cellIs" dxfId="5227" priority="6184" stopIfTrue="1" operator="notEqual">
      <formula>H317</formula>
    </cfRule>
  </conditionalFormatting>
  <conditionalFormatting sqref="O316 M316 G316 K316 S316 U316 W316 I316 Q316">
    <cfRule type="cellIs" dxfId="5226" priority="6183" stopIfTrue="1" operator="notEqual">
      <formula>H316</formula>
    </cfRule>
  </conditionalFormatting>
  <conditionalFormatting sqref="O319 M319 G319 K319 S319 U319 W319 I319 Q319">
    <cfRule type="cellIs" dxfId="5225" priority="6182" stopIfTrue="1" operator="notEqual">
      <formula>H319</formula>
    </cfRule>
  </conditionalFormatting>
  <conditionalFormatting sqref="O320 M320 G320 K320 S320 U320 W320 I320 Q320">
    <cfRule type="cellIs" dxfId="5224" priority="6181" stopIfTrue="1" operator="notEqual">
      <formula>H320</formula>
    </cfRule>
  </conditionalFormatting>
  <conditionalFormatting sqref="O320 M320 G320 K320 S320 U320 W320 I320 Q320">
    <cfRule type="cellIs" dxfId="5223" priority="6180" stopIfTrue="1" operator="notEqual">
      <formula>H320</formula>
    </cfRule>
  </conditionalFormatting>
  <conditionalFormatting sqref="O318 M318 G318 K318 S318 U318 W318 I318 Q318">
    <cfRule type="cellIs" dxfId="5222" priority="6179" stopIfTrue="1" operator="notEqual">
      <formula>H318</formula>
    </cfRule>
  </conditionalFormatting>
  <conditionalFormatting sqref="O322 M322 G322 K322 S322 U322 W322 I322 Q322">
    <cfRule type="cellIs" dxfId="5221" priority="6178" stopIfTrue="1" operator="notEqual">
      <formula>H322</formula>
    </cfRule>
  </conditionalFormatting>
  <conditionalFormatting sqref="O316 M316 G316 K316 S316 U316 W316 I316 Q316">
    <cfRule type="cellIs" dxfId="5220" priority="6177" stopIfTrue="1" operator="notEqual">
      <formula>H316</formula>
    </cfRule>
  </conditionalFormatting>
  <conditionalFormatting sqref="O317 M317 G317 K317 S317 U317 W317 I317 Q317">
    <cfRule type="cellIs" dxfId="5219" priority="6176" stopIfTrue="1" operator="notEqual">
      <formula>H317</formula>
    </cfRule>
  </conditionalFormatting>
  <conditionalFormatting sqref="O318 M318 G318 K318 S318 U318 W318 I318 Q318">
    <cfRule type="cellIs" dxfId="5218" priority="6175" stopIfTrue="1" operator="notEqual">
      <formula>H318</formula>
    </cfRule>
  </conditionalFormatting>
  <conditionalFormatting sqref="O319 M319 G319 K319 S319 U319 W319 I319 Q319">
    <cfRule type="cellIs" dxfId="5217" priority="6174" stopIfTrue="1" operator="notEqual">
      <formula>H319</formula>
    </cfRule>
  </conditionalFormatting>
  <conditionalFormatting sqref="O320 M320 G320 K320 S320 U320 W320 I320 Q320">
    <cfRule type="cellIs" dxfId="5216" priority="6173" stopIfTrue="1" operator="notEqual">
      <formula>H320</formula>
    </cfRule>
  </conditionalFormatting>
  <conditionalFormatting sqref="O321 M321 G321 K321 S321 U321 W321 I321 Q321">
    <cfRule type="cellIs" dxfId="5215" priority="6172" stopIfTrue="1" operator="notEqual">
      <formula>H321</formula>
    </cfRule>
  </conditionalFormatting>
  <conditionalFormatting sqref="O322 M322 G322 K322 S322 U322 W322 I322 Q322">
    <cfRule type="cellIs" dxfId="5214" priority="6171" stopIfTrue="1" operator="notEqual">
      <formula>H322</formula>
    </cfRule>
  </conditionalFormatting>
  <conditionalFormatting sqref="G316">
    <cfRule type="cellIs" dxfId="5213" priority="6170" stopIfTrue="1" operator="notEqual">
      <formula>H316</formula>
    </cfRule>
  </conditionalFormatting>
  <conditionalFormatting sqref="G317">
    <cfRule type="cellIs" dxfId="5212" priority="6169" stopIfTrue="1" operator="notEqual">
      <formula>H317</formula>
    </cfRule>
  </conditionalFormatting>
  <conditionalFormatting sqref="G318">
    <cfRule type="cellIs" dxfId="5211" priority="6168" stopIfTrue="1" operator="notEqual">
      <formula>H318</formula>
    </cfRule>
  </conditionalFormatting>
  <conditionalFormatting sqref="G319">
    <cfRule type="cellIs" dxfId="5210" priority="6167" stopIfTrue="1" operator="notEqual">
      <formula>H319</formula>
    </cfRule>
  </conditionalFormatting>
  <conditionalFormatting sqref="G320">
    <cfRule type="cellIs" dxfId="5209" priority="6166" stopIfTrue="1" operator="notEqual">
      <formula>H320</formula>
    </cfRule>
  </conditionalFormatting>
  <conditionalFormatting sqref="G321">
    <cfRule type="cellIs" dxfId="5208" priority="6165" stopIfTrue="1" operator="notEqual">
      <formula>H321</formula>
    </cfRule>
  </conditionalFormatting>
  <conditionalFormatting sqref="G322">
    <cfRule type="cellIs" dxfId="5207" priority="6164" stopIfTrue="1" operator="notEqual">
      <formula>H322</formula>
    </cfRule>
  </conditionalFormatting>
  <conditionalFormatting sqref="G323">
    <cfRule type="cellIs" dxfId="5206" priority="6163" stopIfTrue="1" operator="notEqual">
      <formula>H323</formula>
    </cfRule>
  </conditionalFormatting>
  <conditionalFormatting sqref="G324">
    <cfRule type="cellIs" dxfId="5205" priority="6162" stopIfTrue="1" operator="notEqual">
      <formula>H324</formula>
    </cfRule>
  </conditionalFormatting>
  <conditionalFormatting sqref="G325">
    <cfRule type="cellIs" dxfId="5204" priority="6161" stopIfTrue="1" operator="notEqual">
      <formula>H325</formula>
    </cfRule>
  </conditionalFormatting>
  <conditionalFormatting sqref="G326:G354">
    <cfRule type="cellIs" dxfId="5203" priority="6160" stopIfTrue="1" operator="notEqual">
      <formula>H326</formula>
    </cfRule>
  </conditionalFormatting>
  <conditionalFormatting sqref="G327 G338 G349">
    <cfRule type="cellIs" dxfId="5202" priority="6159" stopIfTrue="1" operator="notEqual">
      <formula>H327</formula>
    </cfRule>
  </conditionalFormatting>
  <conditionalFormatting sqref="G328 G339 G350">
    <cfRule type="cellIs" dxfId="5201" priority="6158" stopIfTrue="1" operator="notEqual">
      <formula>H328</formula>
    </cfRule>
  </conditionalFormatting>
  <conditionalFormatting sqref="G329 G340 G351">
    <cfRule type="cellIs" dxfId="5200" priority="6157" stopIfTrue="1" operator="notEqual">
      <formula>H329</formula>
    </cfRule>
  </conditionalFormatting>
  <conditionalFormatting sqref="G330 G341 G352">
    <cfRule type="cellIs" dxfId="5199" priority="6156" stopIfTrue="1" operator="notEqual">
      <formula>H330</formula>
    </cfRule>
  </conditionalFormatting>
  <conditionalFormatting sqref="G331 G342 G353">
    <cfRule type="cellIs" dxfId="5198" priority="6155" stopIfTrue="1" operator="notEqual">
      <formula>H331</formula>
    </cfRule>
  </conditionalFormatting>
  <conditionalFormatting sqref="G332 G343 G354">
    <cfRule type="cellIs" dxfId="5197" priority="6154" stopIfTrue="1" operator="notEqual">
      <formula>H332</formula>
    </cfRule>
  </conditionalFormatting>
  <conditionalFormatting sqref="G333 G344">
    <cfRule type="cellIs" dxfId="5196" priority="6153" stopIfTrue="1" operator="notEqual">
      <formula>H333</formula>
    </cfRule>
  </conditionalFormatting>
  <conditionalFormatting sqref="G334 G345">
    <cfRule type="cellIs" dxfId="5195" priority="6152" stopIfTrue="1" operator="notEqual">
      <formula>H334</formula>
    </cfRule>
  </conditionalFormatting>
  <conditionalFormatting sqref="G335 G346">
    <cfRule type="cellIs" dxfId="5194" priority="6151" stopIfTrue="1" operator="notEqual">
      <formula>H335</formula>
    </cfRule>
  </conditionalFormatting>
  <conditionalFormatting sqref="O316 M316 G316 K316 S316 U316 W316 I316 Q316">
    <cfRule type="cellIs" dxfId="5193" priority="6150" stopIfTrue="1" operator="notEqual">
      <formula>H316</formula>
    </cfRule>
  </conditionalFormatting>
  <conditionalFormatting sqref="O317 M317 G317 K317 S317 U317 W317 I317 Q317">
    <cfRule type="cellIs" dxfId="5192" priority="6149" stopIfTrue="1" operator="notEqual">
      <formula>H317</formula>
    </cfRule>
  </conditionalFormatting>
  <conditionalFormatting sqref="O318 M318 G318 K318 S318 U318 W318 I318 Q318">
    <cfRule type="cellIs" dxfId="5191" priority="6148" stopIfTrue="1" operator="notEqual">
      <formula>H318</formula>
    </cfRule>
  </conditionalFormatting>
  <conditionalFormatting sqref="O319 M319 G319 K319 S319 U319 W319 I319 Q319">
    <cfRule type="cellIs" dxfId="5190" priority="6147" stopIfTrue="1" operator="notEqual">
      <formula>H319</formula>
    </cfRule>
  </conditionalFormatting>
  <conditionalFormatting sqref="O320 M320 G320 K320 S320 U320 W320 I320 Q320">
    <cfRule type="cellIs" dxfId="5189" priority="6146" stopIfTrue="1" operator="notEqual">
      <formula>H320</formula>
    </cfRule>
  </conditionalFormatting>
  <conditionalFormatting sqref="O321 M321 G321 K321 S321 U321 W321 I321 Q321">
    <cfRule type="cellIs" dxfId="5188" priority="6145" stopIfTrue="1" operator="notEqual">
      <formula>H321</formula>
    </cfRule>
  </conditionalFormatting>
  <conditionalFormatting sqref="O322 M322 G322 K322 S322 U322 W322 I322 Q322">
    <cfRule type="cellIs" dxfId="5187" priority="6144" stopIfTrue="1" operator="notEqual">
      <formula>H322</formula>
    </cfRule>
  </conditionalFormatting>
  <conditionalFormatting sqref="O323 M323 G323 K323 S323 U323 W323 I323 Q323">
    <cfRule type="cellIs" dxfId="5186" priority="6143" stopIfTrue="1" operator="notEqual">
      <formula>H323</formula>
    </cfRule>
  </conditionalFormatting>
  <conditionalFormatting sqref="O324 M324 G324 K324 S324 U324 W324 I324 Q324">
    <cfRule type="cellIs" dxfId="5185" priority="6142" stopIfTrue="1" operator="notEqual">
      <formula>H324</formula>
    </cfRule>
  </conditionalFormatting>
  <conditionalFormatting sqref="O325 M325 G325 K325 S325 U325 W325 I325 Q325">
    <cfRule type="cellIs" dxfId="5184" priority="6141" stopIfTrue="1" operator="notEqual">
      <formula>H325</formula>
    </cfRule>
  </conditionalFormatting>
  <conditionalFormatting sqref="O326:O354 M326:M354 G326:G354 K326:K354 S326:S354 U326:U354 W326:W354 I326:I354 Q326:Q354">
    <cfRule type="cellIs" dxfId="5183" priority="6140" stopIfTrue="1" operator="notEqual">
      <formula>H326</formula>
    </cfRule>
  </conditionalFormatting>
  <conditionalFormatting sqref="G326:G354">
    <cfRule type="cellIs" dxfId="5182" priority="6139" stopIfTrue="1" operator="notEqual">
      <formula>H326</formula>
    </cfRule>
  </conditionalFormatting>
  <conditionalFormatting sqref="G316">
    <cfRule type="cellIs" dxfId="5181" priority="6138" stopIfTrue="1" operator="notEqual">
      <formula>H316</formula>
    </cfRule>
  </conditionalFormatting>
  <conditionalFormatting sqref="G317">
    <cfRule type="cellIs" dxfId="5180" priority="6137" stopIfTrue="1" operator="notEqual">
      <formula>H317</formula>
    </cfRule>
  </conditionalFormatting>
  <conditionalFormatting sqref="G318">
    <cfRule type="cellIs" dxfId="5179" priority="6136" stopIfTrue="1" operator="notEqual">
      <formula>H318</formula>
    </cfRule>
  </conditionalFormatting>
  <conditionalFormatting sqref="G319">
    <cfRule type="cellIs" dxfId="5178" priority="6135" stopIfTrue="1" operator="notEqual">
      <formula>H319</formula>
    </cfRule>
  </conditionalFormatting>
  <conditionalFormatting sqref="G320">
    <cfRule type="cellIs" dxfId="5177" priority="6134" stopIfTrue="1" operator="notEqual">
      <formula>H320</formula>
    </cfRule>
  </conditionalFormatting>
  <conditionalFormatting sqref="G321">
    <cfRule type="cellIs" dxfId="5176" priority="6133" stopIfTrue="1" operator="notEqual">
      <formula>H321</formula>
    </cfRule>
  </conditionalFormatting>
  <conditionalFormatting sqref="G322">
    <cfRule type="cellIs" dxfId="5175" priority="6132" stopIfTrue="1" operator="notEqual">
      <formula>H322</formula>
    </cfRule>
  </conditionalFormatting>
  <conditionalFormatting sqref="G323">
    <cfRule type="cellIs" dxfId="5174" priority="6131" stopIfTrue="1" operator="notEqual">
      <formula>H323</formula>
    </cfRule>
  </conditionalFormatting>
  <conditionalFormatting sqref="G324">
    <cfRule type="cellIs" dxfId="5173" priority="6130" stopIfTrue="1" operator="notEqual">
      <formula>H324</formula>
    </cfRule>
  </conditionalFormatting>
  <conditionalFormatting sqref="G325">
    <cfRule type="cellIs" dxfId="5172" priority="6129" stopIfTrue="1" operator="notEqual">
      <formula>H325</formula>
    </cfRule>
  </conditionalFormatting>
  <conditionalFormatting sqref="G327 G338 G349">
    <cfRule type="cellIs" dxfId="5171" priority="6128" stopIfTrue="1" operator="notEqual">
      <formula>H327</formula>
    </cfRule>
  </conditionalFormatting>
  <conditionalFormatting sqref="O322:O354 M322:M354 G322:G354 K322:K354 S322:S354 U322:U354 W322:W354 I322:I354 Q322:Q354">
    <cfRule type="cellIs" dxfId="5170" priority="6127" stopIfTrue="1" operator="notEqual">
      <formula>H322</formula>
    </cfRule>
  </conditionalFormatting>
  <conditionalFormatting sqref="O316 M316 G316 K316 S316 U316 W316 I316 Q316">
    <cfRule type="cellIs" dxfId="5169" priority="6126" stopIfTrue="1" operator="notEqual">
      <formula>H316</formula>
    </cfRule>
  </conditionalFormatting>
  <conditionalFormatting sqref="O317 M317 G317 K317 S317 U317 W317 I317 Q317">
    <cfRule type="cellIs" dxfId="5168" priority="6125" stopIfTrue="1" operator="notEqual">
      <formula>H317</formula>
    </cfRule>
  </conditionalFormatting>
  <conditionalFormatting sqref="O318 M318 G318 K318 S318 U318 W318 I318 Q318">
    <cfRule type="cellIs" dxfId="5167" priority="6124" stopIfTrue="1" operator="notEqual">
      <formula>H318</formula>
    </cfRule>
  </conditionalFormatting>
  <conditionalFormatting sqref="O319 M319 G319 K319 S319 U319 W319 I319 Q319">
    <cfRule type="cellIs" dxfId="5166" priority="6123" stopIfTrue="1" operator="notEqual">
      <formula>H319</formula>
    </cfRule>
  </conditionalFormatting>
  <conditionalFormatting sqref="O320 M320 G320 K320 S320 U320 W320 I320 Q320">
    <cfRule type="cellIs" dxfId="5165" priority="6122" stopIfTrue="1" operator="notEqual">
      <formula>H320</formula>
    </cfRule>
  </conditionalFormatting>
  <conditionalFormatting sqref="O321 M321 G321 K321 S321 U321 W321 I321 Q321">
    <cfRule type="cellIs" dxfId="5164" priority="6121" stopIfTrue="1" operator="notEqual">
      <formula>H321</formula>
    </cfRule>
  </conditionalFormatting>
  <conditionalFormatting sqref="O324 M324 G324 K324 S324 U324 W324 I324 Q324">
    <cfRule type="cellIs" dxfId="5163" priority="6120" stopIfTrue="1" operator="notEqual">
      <formula>H324</formula>
    </cfRule>
  </conditionalFormatting>
  <conditionalFormatting sqref="O325 M325 G325 K325 S325 U325 W325 I325 Q325">
    <cfRule type="cellIs" dxfId="5162" priority="6119" stopIfTrue="1" operator="notEqual">
      <formula>H325</formula>
    </cfRule>
  </conditionalFormatting>
  <conditionalFormatting sqref="O325 M325 G325 K325 S325 U325 W325 I325 Q325">
    <cfRule type="cellIs" dxfId="5161" priority="6118" stopIfTrue="1" operator="notEqual">
      <formula>H325</formula>
    </cfRule>
  </conditionalFormatting>
  <conditionalFormatting sqref="O323 M323 G323 K323 S323 U323 W323 I323 Q323">
    <cfRule type="cellIs" dxfId="5160" priority="6117" stopIfTrue="1" operator="notEqual">
      <formula>H323</formula>
    </cfRule>
  </conditionalFormatting>
  <conditionalFormatting sqref="O327 M327 G327 K327 S327 U327 W327 I327 Q327 O338 O349 M338 M349 G338 G349 K338 K349 S338 S349 U338 U349 W338 W349 I338 I349 Q338 Q349">
    <cfRule type="cellIs" dxfId="5159" priority="6116" stopIfTrue="1" operator="notEqual">
      <formula>H327</formula>
    </cfRule>
  </conditionalFormatting>
  <conditionalFormatting sqref="O316 M316 G316 K316 S316 U316 W316 I316 Q316">
    <cfRule type="cellIs" dxfId="5158" priority="6115" stopIfTrue="1" operator="notEqual">
      <formula>H316</formula>
    </cfRule>
  </conditionalFormatting>
  <conditionalFormatting sqref="O317 M317 G317 K317 S317 U317 W317 I317 Q317">
    <cfRule type="cellIs" dxfId="5157" priority="6114" stopIfTrue="1" operator="notEqual">
      <formula>H317</formula>
    </cfRule>
  </conditionalFormatting>
  <conditionalFormatting sqref="O318 M318 G318 K318 S318 U318 W318 I318 Q318">
    <cfRule type="cellIs" dxfId="5156" priority="6113" stopIfTrue="1" operator="notEqual">
      <formula>H318</formula>
    </cfRule>
  </conditionalFormatting>
  <conditionalFormatting sqref="O319 M319 G319 K319 S319 U319 W319 I319 Q319">
    <cfRule type="cellIs" dxfId="5155" priority="6112" stopIfTrue="1" operator="notEqual">
      <formula>H319</formula>
    </cfRule>
  </conditionalFormatting>
  <conditionalFormatting sqref="O320 M320 G320 K320 S320 U320 W320 I320 Q320">
    <cfRule type="cellIs" dxfId="5154" priority="6111" stopIfTrue="1" operator="notEqual">
      <formula>H320</formula>
    </cfRule>
  </conditionalFormatting>
  <conditionalFormatting sqref="O321 M321 G321 K321 S321 U321 W321 I321 Q321">
    <cfRule type="cellIs" dxfId="5153" priority="6110" stopIfTrue="1" operator="notEqual">
      <formula>H321</formula>
    </cfRule>
  </conditionalFormatting>
  <conditionalFormatting sqref="O322 M322 G322 K322 S322 U322 W322 I322 Q322">
    <cfRule type="cellIs" dxfId="5152" priority="6109" stopIfTrue="1" operator="notEqual">
      <formula>H322</formula>
    </cfRule>
  </conditionalFormatting>
  <conditionalFormatting sqref="O323 M323 G323 K323 S323 U323 W323 I323 Q323">
    <cfRule type="cellIs" dxfId="5151" priority="6108" stopIfTrue="1" operator="notEqual">
      <formula>H323</formula>
    </cfRule>
  </conditionalFormatting>
  <conditionalFormatting sqref="O324 M324 G324 K324 S324 U324 W324 I324 Q324">
    <cfRule type="cellIs" dxfId="5150" priority="6107" stopIfTrue="1" operator="notEqual">
      <formula>H324</formula>
    </cfRule>
  </conditionalFormatting>
  <conditionalFormatting sqref="O325 M325 G325 K325 S325 U325 W325 I325 Q325">
    <cfRule type="cellIs" dxfId="5149" priority="6106" stopIfTrue="1" operator="notEqual">
      <formula>H325</formula>
    </cfRule>
  </conditionalFormatting>
  <conditionalFormatting sqref="O326:O354 M326:M354 G326:G354 K326:K354 S326:S354 U326:U354 W326:W354 I326:I354 Q326:Q354">
    <cfRule type="cellIs" dxfId="5148" priority="6105" stopIfTrue="1" operator="notEqual">
      <formula>H326</formula>
    </cfRule>
  </conditionalFormatting>
  <conditionalFormatting sqref="O327 M327 G327 K327 S327 U327 W327 I327 Q327 O338 O349 M338 M349 G338 G349 K338 K349 S338 S349 U338 U349 W338 W349 I338 I349 Q338 Q349">
    <cfRule type="cellIs" dxfId="5147" priority="6104" stopIfTrue="1" operator="notEqual">
      <formula>H327</formula>
    </cfRule>
  </conditionalFormatting>
  <conditionalFormatting sqref="G327:G330 G338:G341 G349:G352">
    <cfRule type="cellIs" dxfId="5146" priority="6103" stopIfTrue="1" operator="notEqual">
      <formula>H327</formula>
    </cfRule>
  </conditionalFormatting>
  <conditionalFormatting sqref="G327 G338 G349">
    <cfRule type="cellIs" dxfId="5145" priority="6102" stopIfTrue="1" operator="notEqual">
      <formula>H327</formula>
    </cfRule>
  </conditionalFormatting>
  <conditionalFormatting sqref="G328 G339 G350">
    <cfRule type="cellIs" dxfId="5144" priority="6101" stopIfTrue="1" operator="notEqual">
      <formula>H328</formula>
    </cfRule>
  </conditionalFormatting>
  <conditionalFormatting sqref="G328 G339 G350">
    <cfRule type="cellIs" dxfId="5143" priority="6100" stopIfTrue="1" operator="notEqual">
      <formula>H328</formula>
    </cfRule>
  </conditionalFormatting>
  <conditionalFormatting sqref="G331 G342 G353">
    <cfRule type="cellIs" dxfId="5142" priority="6099" stopIfTrue="1" operator="notEqual">
      <formula>H331</formula>
    </cfRule>
  </conditionalFormatting>
  <conditionalFormatting sqref="G332 G343 G354">
    <cfRule type="cellIs" dxfId="5141" priority="6098" stopIfTrue="1" operator="notEqual">
      <formula>H332</formula>
    </cfRule>
  </conditionalFormatting>
  <conditionalFormatting sqref="G330 G341 G352">
    <cfRule type="cellIs" dxfId="5140" priority="6097" stopIfTrue="1" operator="notEqual">
      <formula>H330</formula>
    </cfRule>
  </conditionalFormatting>
  <conditionalFormatting sqref="G333 G344">
    <cfRule type="cellIs" dxfId="5139" priority="6096" stopIfTrue="1" operator="notEqual">
      <formula>H333</formula>
    </cfRule>
  </conditionalFormatting>
  <conditionalFormatting sqref="G334 G345">
    <cfRule type="cellIs" dxfId="5138" priority="6095" stopIfTrue="1" operator="notEqual">
      <formula>H334</formula>
    </cfRule>
  </conditionalFormatting>
  <conditionalFormatting sqref="G335 G346">
    <cfRule type="cellIs" dxfId="5137" priority="6094" stopIfTrue="1" operator="notEqual">
      <formula>H335</formula>
    </cfRule>
  </conditionalFormatting>
  <conditionalFormatting sqref="O327 M327 G327 K327 S327 U327 W327 I327 Q327 O338 O349 M338 M349 G338 G349 K338 K349 S338 S349 U338 U349 W338 W349 I338 I349 Q338 Q349">
    <cfRule type="cellIs" dxfId="5136" priority="6093" stopIfTrue="1" operator="notEqual">
      <formula>H327</formula>
    </cfRule>
  </conditionalFormatting>
  <conditionalFormatting sqref="O328 M328 G328 K328 S328 U328 W328 I328 Q328 O339 O350 M339 M350 G339 G350 K339 K350 S339 S350 U339 U350 W339 W350 I339 I350 Q339 Q350">
    <cfRule type="cellIs" dxfId="5135" priority="6092" stopIfTrue="1" operator="notEqual">
      <formula>H328</formula>
    </cfRule>
  </conditionalFormatting>
  <conditionalFormatting sqref="O329 M329 G329 K329 S329 U329 W329 I329 Q329 O340 O351 M340 M351 G340 G351 K340 K351 S340 S351 U340 U351 W340 W351 I340 I351 Q340 Q351">
    <cfRule type="cellIs" dxfId="5134" priority="6091" stopIfTrue="1" operator="notEqual">
      <formula>H329</formula>
    </cfRule>
  </conditionalFormatting>
  <conditionalFormatting sqref="O330 M330 G330 K330 S330 U330 W330 I330 Q330 O341 O352 M341 M352 G341 G352 K341 K352 S341 S352 U341 U352 W341 W352 I341 I352 Q341 Q352">
    <cfRule type="cellIs" dxfId="5133" priority="6090" stopIfTrue="1" operator="notEqual">
      <formula>H330</formula>
    </cfRule>
  </conditionalFormatting>
  <conditionalFormatting sqref="O331 M331 G331 K331 S331 U331 W331 I331 Q331 O342 O353 M342 M353 G342 G353 K342 K353 S342 S353 U342 U353 W342 W353 I342 I353 Q342 Q353">
    <cfRule type="cellIs" dxfId="5132" priority="6089" stopIfTrue="1" operator="notEqual">
      <formula>H331</formula>
    </cfRule>
  </conditionalFormatting>
  <conditionalFormatting sqref="O332 M332 G332 K332 S332 U332 W332 I332 Q332 O343 O354 M343 M354 G343 G354 K343 K354 S343 S354 U343 U354 W343 W354 I343 I354 Q343 Q354">
    <cfRule type="cellIs" dxfId="5131" priority="6088" stopIfTrue="1" operator="notEqual">
      <formula>H332</formula>
    </cfRule>
  </conditionalFormatting>
  <conditionalFormatting sqref="O333 M333 G333 K333 S333 U333 W333 I333 Q333 O344 M344 G344 K344 S344 U344 W344 I344 Q344">
    <cfRule type="cellIs" dxfId="5130" priority="6087" stopIfTrue="1" operator="notEqual">
      <formula>H333</formula>
    </cfRule>
  </conditionalFormatting>
  <conditionalFormatting sqref="O334 M334 G334 K334 S334 U334 W334 I334 Q334 O345 M345 G345 K345 S345 U345 W345 I345 Q345">
    <cfRule type="cellIs" dxfId="5129" priority="6086" stopIfTrue="1" operator="notEqual">
      <formula>H334</formula>
    </cfRule>
  </conditionalFormatting>
  <conditionalFormatting sqref="O335 M335 G335 K335 S335 U335 W335 I335 Q335 O346 M346 G346 K346 S346 U346 W346 I346 Q346">
    <cfRule type="cellIs" dxfId="5128" priority="6085" stopIfTrue="1" operator="notEqual">
      <formula>H335</formula>
    </cfRule>
  </conditionalFormatting>
  <conditionalFormatting sqref="G327 G338 G349">
    <cfRule type="cellIs" dxfId="5127" priority="6084" stopIfTrue="1" operator="notEqual">
      <formula>H327</formula>
    </cfRule>
  </conditionalFormatting>
  <conditionalFormatting sqref="G328 G339 G350">
    <cfRule type="cellIs" dxfId="5126" priority="6083" stopIfTrue="1" operator="notEqual">
      <formula>H328</formula>
    </cfRule>
  </conditionalFormatting>
  <conditionalFormatting sqref="G329 G340 G351">
    <cfRule type="cellIs" dxfId="5125" priority="6082" stopIfTrue="1" operator="notEqual">
      <formula>H329</formula>
    </cfRule>
  </conditionalFormatting>
  <conditionalFormatting sqref="G330 G341 G352">
    <cfRule type="cellIs" dxfId="5124" priority="6081" stopIfTrue="1" operator="notEqual">
      <formula>H330</formula>
    </cfRule>
  </conditionalFormatting>
  <conditionalFormatting sqref="G331 G342 G353">
    <cfRule type="cellIs" dxfId="5123" priority="6080" stopIfTrue="1" operator="notEqual">
      <formula>H331</formula>
    </cfRule>
  </conditionalFormatting>
  <conditionalFormatting sqref="G332 G343 G354">
    <cfRule type="cellIs" dxfId="5122" priority="6079" stopIfTrue="1" operator="notEqual">
      <formula>H332</formula>
    </cfRule>
  </conditionalFormatting>
  <conditionalFormatting sqref="G333 G344">
    <cfRule type="cellIs" dxfId="5121" priority="6078" stopIfTrue="1" operator="notEqual">
      <formula>H333</formula>
    </cfRule>
  </conditionalFormatting>
  <conditionalFormatting sqref="G334 G345">
    <cfRule type="cellIs" dxfId="5120" priority="6077" stopIfTrue="1" operator="notEqual">
      <formula>H334</formula>
    </cfRule>
  </conditionalFormatting>
  <conditionalFormatting sqref="G335 G346">
    <cfRule type="cellIs" dxfId="5119" priority="6076" stopIfTrue="1" operator="notEqual">
      <formula>H335</formula>
    </cfRule>
  </conditionalFormatting>
  <conditionalFormatting sqref="G327 G338 G349">
    <cfRule type="cellIs" dxfId="5118" priority="6075" stopIfTrue="1" operator="notEqual">
      <formula>H327</formula>
    </cfRule>
  </conditionalFormatting>
  <conditionalFormatting sqref="G327 G338 G349">
    <cfRule type="cellIs" dxfId="5117" priority="6074" stopIfTrue="1" operator="notEqual">
      <formula>H327</formula>
    </cfRule>
  </conditionalFormatting>
  <conditionalFormatting sqref="G327 G338 G349">
    <cfRule type="cellIs" dxfId="5116" priority="6073" stopIfTrue="1" operator="notEqual">
      <formula>H327</formula>
    </cfRule>
  </conditionalFormatting>
  <conditionalFormatting sqref="G327 G338 G349">
    <cfRule type="cellIs" dxfId="5115" priority="6072" stopIfTrue="1" operator="notEqual">
      <formula>H327</formula>
    </cfRule>
  </conditionalFormatting>
  <conditionalFormatting sqref="G327 G338 G349">
    <cfRule type="cellIs" dxfId="5114" priority="6071" stopIfTrue="1" operator="notEqual">
      <formula>H327</formula>
    </cfRule>
  </conditionalFormatting>
  <conditionalFormatting sqref="G327 G338 G349">
    <cfRule type="cellIs" dxfId="5113" priority="6070" stopIfTrue="1" operator="notEqual">
      <formula>H327</formula>
    </cfRule>
  </conditionalFormatting>
  <conditionalFormatting sqref="O327 M327 G327 K327 S327 U327 W327 I327 Q327 O338 O349 M338 M349 G338 G349 K338 K349 S338 S349 U338 U349 W338 W349 I338 I349 Q338 Q349">
    <cfRule type="cellIs" dxfId="5112" priority="6069" stopIfTrue="1" operator="notEqual">
      <formula>H327</formula>
    </cfRule>
  </conditionalFormatting>
  <conditionalFormatting sqref="O328 M328 G328 K328 S328 U328 W328 I328 Q328 O339 O350 M339 M350 G339 G350 K339 K350 S339 S350 U339 U350 W339 W350 I339 I350 Q339 Q350">
    <cfRule type="cellIs" dxfId="5111" priority="6068" stopIfTrue="1" operator="notEqual">
      <formula>H328</formula>
    </cfRule>
  </conditionalFormatting>
  <conditionalFormatting sqref="O329 M329 G329 K329 S329 U329 W329 I329 Q329 O340 O351 M340 M351 G340 G351 K340 K351 S340 S351 U340 U351 W340 W351 I340 I351 Q340 Q351">
    <cfRule type="cellIs" dxfId="5110" priority="6067" stopIfTrue="1" operator="notEqual">
      <formula>H329</formula>
    </cfRule>
  </conditionalFormatting>
  <conditionalFormatting sqref="O330 M330 G330 K330 S330 U330 W330 I330 Q330 O341 O352 M341 M352 G341 G352 K341 K352 S341 S352 U341 U352 W341 W352 I341 I352 Q341 Q352">
    <cfRule type="cellIs" dxfId="5109" priority="6066" stopIfTrue="1" operator="notEqual">
      <formula>H330</formula>
    </cfRule>
  </conditionalFormatting>
  <conditionalFormatting sqref="O331 M331 G331 K331 S331 U331 W331 I331 Q331 O342 O353 M342 M353 G342 G353 K342 K353 S342 S353 U342 U353 W342 W353 I342 I353 Q342 Q353">
    <cfRule type="cellIs" dxfId="5108" priority="6065" stopIfTrue="1" operator="notEqual">
      <formula>H331</formula>
    </cfRule>
  </conditionalFormatting>
  <conditionalFormatting sqref="O332 M332 G332 K332 S332 U332 W332 I332 Q332 O343 O354 M343 M354 G343 G354 K343 K354 S343 S354 U343 U354 W343 W354 I343 I354 Q343 Q354">
    <cfRule type="cellIs" dxfId="5107" priority="6064" stopIfTrue="1" operator="notEqual">
      <formula>H332</formula>
    </cfRule>
  </conditionalFormatting>
  <conditionalFormatting sqref="O333 M333 G333 K333 S333 U333 W333 I333 Q333 O344 M344 G344 K344 S344 U344 W344 I344 Q344">
    <cfRule type="cellIs" dxfId="5106" priority="6063" stopIfTrue="1" operator="notEqual">
      <formula>H333</formula>
    </cfRule>
  </conditionalFormatting>
  <conditionalFormatting sqref="O334 M334 G334 K334 S334 U334 W334 I334 Q334 O345 M345 G345 K345 S345 U345 W345 I345 Q345">
    <cfRule type="cellIs" dxfId="5105" priority="6062" stopIfTrue="1" operator="notEqual">
      <formula>H334</formula>
    </cfRule>
  </conditionalFormatting>
  <conditionalFormatting sqref="O335 M335 G335 K335 S335 U335 W335 I335 Q335 O346 M346 G346 K346 S346 U346 W346 I346 Q346">
    <cfRule type="cellIs" dxfId="5104" priority="6061" stopIfTrue="1" operator="notEqual">
      <formula>H335</formula>
    </cfRule>
  </conditionalFormatting>
  <conditionalFormatting sqref="O327 M327 G327 K327 S327 U327 W327 I327 Q327 O338 O349 M338 M349 G338 G349 K338 K349 S338 S349 U338 U349 W338 W349 I338 I349 Q338 Q349">
    <cfRule type="cellIs" dxfId="5103" priority="6060" stopIfTrue="1" operator="notEqual">
      <formula>H327</formula>
    </cfRule>
  </conditionalFormatting>
  <conditionalFormatting sqref="O328 M328 G328 K328 S328 U328 W328 I328 Q328 O339 O350 M339 M350 G339 G350 K339 K350 S339 S350 U339 U350 W339 W350 I339 I350 Q339 Q350">
    <cfRule type="cellIs" dxfId="5102" priority="6059" stopIfTrue="1" operator="notEqual">
      <formula>H328</formula>
    </cfRule>
  </conditionalFormatting>
  <conditionalFormatting sqref="O329 M329 G329 K329 S329 U329 W329 I329 Q329 O340 O351 M340 M351 G340 G351 K340 K351 S340 S351 U340 U351 W340 W351 I340 I351 Q340 Q351">
    <cfRule type="cellIs" dxfId="5101" priority="6058" stopIfTrue="1" operator="notEqual">
      <formula>H329</formula>
    </cfRule>
  </conditionalFormatting>
  <conditionalFormatting sqref="O327 M327 G327 K327 S327 U327 W327 I327 Q327 O338 O349 M338 M349 G338 G349 K338 K349 S338 S349 U338 U349 W338 W349 I338 I349 Q338 Q349">
    <cfRule type="cellIs" dxfId="5100" priority="6057" stopIfTrue="1" operator="notEqual">
      <formula>H327</formula>
    </cfRule>
  </conditionalFormatting>
  <conditionalFormatting sqref="O330 M330 G330 K330 S330 U330 W330 I330 Q330 O341 O352 M341 M352 G341 G352 K341 K352 S341 S352 U341 U352 W341 W352 I341 I352 Q341 Q352">
    <cfRule type="cellIs" dxfId="5099" priority="6056" stopIfTrue="1" operator="notEqual">
      <formula>H330</formula>
    </cfRule>
  </conditionalFormatting>
  <conditionalFormatting sqref="O331 M331 G331 K331 S331 U331 W331 I331 Q331 O342 O353 M342 M353 G342 G353 K342 K353 S342 S353 U342 U353 W342 W353 I342 I353 Q342 Q353">
    <cfRule type="cellIs" dxfId="5098" priority="6055" stopIfTrue="1" operator="notEqual">
      <formula>H331</formula>
    </cfRule>
  </conditionalFormatting>
  <conditionalFormatting sqref="O332 M332 G332 K332 S332 U332 W332 I332 Q332 O343 O354 M343 M354 G343 G354 K343 K354 S343 S354 U343 U354 W343 W354 I343 I354 Q343 Q354">
    <cfRule type="cellIs" dxfId="5097" priority="6054" stopIfTrue="1" operator="notEqual">
      <formula>H332</formula>
    </cfRule>
  </conditionalFormatting>
  <conditionalFormatting sqref="O333 M333 G333 K333 S333 U333 W333 I333 Q333 O344 M344 G344 K344 S344 U344 W344 I344 Q344">
    <cfRule type="cellIs" dxfId="5096" priority="6053" stopIfTrue="1" operator="notEqual">
      <formula>H333</formula>
    </cfRule>
  </conditionalFormatting>
  <conditionalFormatting sqref="O334 M334 G334 K334 S334 U334 W334 I334 Q334 O345 M345 G345 K345 S345 U345 W345 I345 Q345">
    <cfRule type="cellIs" dxfId="5095" priority="6052" stopIfTrue="1" operator="notEqual">
      <formula>H334</formula>
    </cfRule>
  </conditionalFormatting>
  <conditionalFormatting sqref="O335 M335 G335 K335 S335 U335 W335 I335 Q335 O346 M346 G346 K346 S346 U346 W346 I346 Q346">
    <cfRule type="cellIs" dxfId="5094" priority="6051" stopIfTrue="1" operator="notEqual">
      <formula>H335</formula>
    </cfRule>
  </conditionalFormatting>
  <conditionalFormatting sqref="G330:G335 G341:G346 G352:G354">
    <cfRule type="cellIs" dxfId="5093" priority="6050" stopIfTrue="1" operator="notEqual">
      <formula>H330</formula>
    </cfRule>
  </conditionalFormatting>
  <conditionalFormatting sqref="G316">
    <cfRule type="cellIs" dxfId="5092" priority="6049" stopIfTrue="1" operator="notEqual">
      <formula>H316</formula>
    </cfRule>
  </conditionalFormatting>
  <conditionalFormatting sqref="G317">
    <cfRule type="cellIs" dxfId="5091" priority="6048" stopIfTrue="1" operator="notEqual">
      <formula>H317</formula>
    </cfRule>
  </conditionalFormatting>
  <conditionalFormatting sqref="G318">
    <cfRule type="cellIs" dxfId="5090" priority="6047" stopIfTrue="1" operator="notEqual">
      <formula>H318</formula>
    </cfRule>
  </conditionalFormatting>
  <conditionalFormatting sqref="G319">
    <cfRule type="cellIs" dxfId="5089" priority="6046" stopIfTrue="1" operator="notEqual">
      <formula>H319</formula>
    </cfRule>
  </conditionalFormatting>
  <conditionalFormatting sqref="G320">
    <cfRule type="cellIs" dxfId="5088" priority="6045" stopIfTrue="1" operator="notEqual">
      <formula>H320</formula>
    </cfRule>
  </conditionalFormatting>
  <conditionalFormatting sqref="G321">
    <cfRule type="cellIs" dxfId="5087" priority="6044" stopIfTrue="1" operator="notEqual">
      <formula>H321</formula>
    </cfRule>
  </conditionalFormatting>
  <conditionalFormatting sqref="G322">
    <cfRule type="cellIs" dxfId="5086" priority="6043" stopIfTrue="1" operator="notEqual">
      <formula>H322</formula>
    </cfRule>
  </conditionalFormatting>
  <conditionalFormatting sqref="G323">
    <cfRule type="cellIs" dxfId="5085" priority="6042" stopIfTrue="1" operator="notEqual">
      <formula>H323</formula>
    </cfRule>
  </conditionalFormatting>
  <conditionalFormatting sqref="G324">
    <cfRule type="cellIs" dxfId="5084" priority="6041" stopIfTrue="1" operator="notEqual">
      <formula>H324</formula>
    </cfRule>
  </conditionalFormatting>
  <conditionalFormatting sqref="G325">
    <cfRule type="cellIs" dxfId="5083" priority="6040" stopIfTrue="1" operator="notEqual">
      <formula>H325</formula>
    </cfRule>
  </conditionalFormatting>
  <conditionalFormatting sqref="G326:G354">
    <cfRule type="cellIs" dxfId="5082" priority="6039" stopIfTrue="1" operator="notEqual">
      <formula>H326</formula>
    </cfRule>
  </conditionalFormatting>
  <conditionalFormatting sqref="G327 G338 G349">
    <cfRule type="cellIs" dxfId="5081" priority="6038" stopIfTrue="1" operator="notEqual">
      <formula>H327</formula>
    </cfRule>
  </conditionalFormatting>
  <conditionalFormatting sqref="G328 G339 G350">
    <cfRule type="cellIs" dxfId="5080" priority="6037" stopIfTrue="1" operator="notEqual">
      <formula>H328</formula>
    </cfRule>
  </conditionalFormatting>
  <conditionalFormatting sqref="G329 G340 G351">
    <cfRule type="cellIs" dxfId="5079" priority="6036" stopIfTrue="1" operator="notEqual">
      <formula>H329</formula>
    </cfRule>
  </conditionalFormatting>
  <conditionalFormatting sqref="G316">
    <cfRule type="cellIs" dxfId="5078" priority="6035" stopIfTrue="1" operator="notEqual">
      <formula>H316</formula>
    </cfRule>
  </conditionalFormatting>
  <conditionalFormatting sqref="G316">
    <cfRule type="cellIs" dxfId="5077" priority="6034" stopIfTrue="1" operator="notEqual">
      <formula>H316</formula>
    </cfRule>
  </conditionalFormatting>
  <conditionalFormatting sqref="G316">
    <cfRule type="cellIs" dxfId="5076" priority="6033" stopIfTrue="1" operator="notEqual">
      <formula>H316</formula>
    </cfRule>
  </conditionalFormatting>
  <conditionalFormatting sqref="G316">
    <cfRule type="cellIs" dxfId="5075" priority="6032" stopIfTrue="1" operator="notEqual">
      <formula>H316</formula>
    </cfRule>
  </conditionalFormatting>
  <conditionalFormatting sqref="G316">
    <cfRule type="cellIs" dxfId="5074" priority="6031" stopIfTrue="1" operator="notEqual">
      <formula>H316</formula>
    </cfRule>
  </conditionalFormatting>
  <conditionalFormatting sqref="G316">
    <cfRule type="cellIs" dxfId="5073" priority="6030" stopIfTrue="1" operator="notEqual">
      <formula>H316</formula>
    </cfRule>
  </conditionalFormatting>
  <conditionalFormatting sqref="G332 G343 G354">
    <cfRule type="cellIs" dxfId="5072" priority="6029" stopIfTrue="1" operator="notEqual">
      <formula>H332</formula>
    </cfRule>
  </conditionalFormatting>
  <conditionalFormatting sqref="G333 G344">
    <cfRule type="cellIs" dxfId="5071" priority="6028" stopIfTrue="1" operator="notEqual">
      <formula>H333</formula>
    </cfRule>
  </conditionalFormatting>
  <conditionalFormatting sqref="G333 G344">
    <cfRule type="cellIs" dxfId="5070" priority="6027" stopIfTrue="1" operator="notEqual">
      <formula>H333</formula>
    </cfRule>
  </conditionalFormatting>
  <conditionalFormatting sqref="G331 G342 G353">
    <cfRule type="cellIs" dxfId="5069" priority="6026" stopIfTrue="1" operator="notEqual">
      <formula>H331</formula>
    </cfRule>
  </conditionalFormatting>
  <conditionalFormatting sqref="G335 G346">
    <cfRule type="cellIs" dxfId="5068" priority="6025" stopIfTrue="1" operator="notEqual">
      <formula>H335</formula>
    </cfRule>
  </conditionalFormatting>
  <conditionalFormatting sqref="O326:O354 M326:M354 G326:G354 K326:K354 S326:S354 U326:U354 W326:W354 I326:I354 Q326:Q354">
    <cfRule type="cellIs" dxfId="5067" priority="6024" stopIfTrue="1" operator="notEqual">
      <formula>H326</formula>
    </cfRule>
  </conditionalFormatting>
  <conditionalFormatting sqref="O316 M316 G316 K316 S316 U316 W316 I316 Q316">
    <cfRule type="cellIs" dxfId="5066" priority="6023" stopIfTrue="1" operator="notEqual">
      <formula>H316</formula>
    </cfRule>
  </conditionalFormatting>
  <conditionalFormatting sqref="O317 M317 G317 K317 S317 U317 W317 I317 Q317">
    <cfRule type="cellIs" dxfId="5065" priority="6022" stopIfTrue="1" operator="notEqual">
      <formula>H317</formula>
    </cfRule>
  </conditionalFormatting>
  <conditionalFormatting sqref="O318 M318 G318 K318 S318 U318 W318 I318 Q318">
    <cfRule type="cellIs" dxfId="5064" priority="6021" stopIfTrue="1" operator="notEqual">
      <formula>H318</formula>
    </cfRule>
  </conditionalFormatting>
  <conditionalFormatting sqref="O319 M319 G319 K319 S319 U319 W319 I319 Q319">
    <cfRule type="cellIs" dxfId="5063" priority="6020" stopIfTrue="1" operator="notEqual">
      <formula>H319</formula>
    </cfRule>
  </conditionalFormatting>
  <conditionalFormatting sqref="O320 M320 G320 K320 S320 U320 W320 I320 Q320">
    <cfRule type="cellIs" dxfId="5062" priority="6019" stopIfTrue="1" operator="notEqual">
      <formula>H320</formula>
    </cfRule>
  </conditionalFormatting>
  <conditionalFormatting sqref="O321 M321 G321 K321 S321 U321 W321 I321 Q321">
    <cfRule type="cellIs" dxfId="5061" priority="6018" stopIfTrue="1" operator="notEqual">
      <formula>H321</formula>
    </cfRule>
  </conditionalFormatting>
  <conditionalFormatting sqref="O322 M322 G322 K322 S322 U322 W322 I322 Q322">
    <cfRule type="cellIs" dxfId="5060" priority="6017" stopIfTrue="1" operator="notEqual">
      <formula>H322</formula>
    </cfRule>
  </conditionalFormatting>
  <conditionalFormatting sqref="O323 M323 G323 K323 S323 U323 W323 I323 Q323">
    <cfRule type="cellIs" dxfId="5059" priority="6016" stopIfTrue="1" operator="notEqual">
      <formula>H323</formula>
    </cfRule>
  </conditionalFormatting>
  <conditionalFormatting sqref="O324 M324 G324 K324 S324 U324 W324 I324 Q324">
    <cfRule type="cellIs" dxfId="5058" priority="6015" stopIfTrue="1" operator="notEqual">
      <formula>H324</formula>
    </cfRule>
  </conditionalFormatting>
  <conditionalFormatting sqref="O325 M325 G325 K325 S325 U325 W325 I325 Q325">
    <cfRule type="cellIs" dxfId="5057" priority="6014" stopIfTrue="1" operator="notEqual">
      <formula>H325</formula>
    </cfRule>
  </conditionalFormatting>
  <conditionalFormatting sqref="O328 M328 G328 K328 S328 U328 W328 I328 Q328 O339 O350 M339 M350 G339 G350 K339 K350 S339 S350 U339 U350 W339 W350 I339 I350 Q339 Q350">
    <cfRule type="cellIs" dxfId="5056" priority="6013" stopIfTrue="1" operator="notEqual">
      <formula>H328</formula>
    </cfRule>
  </conditionalFormatting>
  <conditionalFormatting sqref="O329 M329 G329 K329 S329 U329 W329 I329 Q329 O340 O351 M340 M351 G340 G351 K340 K351 S340 S351 U340 U351 W340 W351 I340 I351 Q340 Q351">
    <cfRule type="cellIs" dxfId="5055" priority="6012" stopIfTrue="1" operator="notEqual">
      <formula>H329</formula>
    </cfRule>
  </conditionalFormatting>
  <conditionalFormatting sqref="O329 M329 G329 K329 S329 U329 W329 I329 Q329 O340 O351 M340 M351 G340 G351 K340 K351 S340 S351 U340 U351 W340 W351 I340 I351 Q340 Q351">
    <cfRule type="cellIs" dxfId="5054" priority="6011" stopIfTrue="1" operator="notEqual">
      <formula>H329</formula>
    </cfRule>
  </conditionalFormatting>
  <conditionalFormatting sqref="O327 M327 G327 K327 S327 U327 W327 I327 Q327 O338 O349 M338 M349 G338 G349 K338 K349 S338 S349 U338 U349 W338 W349 I338 I349 Q338 Q349">
    <cfRule type="cellIs" dxfId="5053" priority="6010" stopIfTrue="1" operator="notEqual">
      <formula>H327</formula>
    </cfRule>
  </conditionalFormatting>
  <conditionalFormatting sqref="O332 M332 G332 K332 S332 U332 W332 I332 Q332 O343 O354 M343 M354 G343 G354 K343 K354 S343 S354 U343 U354 W343 W354 I343 I354 Q343 Q354">
    <cfRule type="cellIs" dxfId="5052" priority="6009" stopIfTrue="1" operator="notEqual">
      <formula>H332</formula>
    </cfRule>
  </conditionalFormatting>
  <conditionalFormatting sqref="O333 M333 G333 K333 S333 U333 W333 I333 Q333 O344 M344 G344 K344 S344 U344 W344 I344 Q344">
    <cfRule type="cellIs" dxfId="5051" priority="6008" stopIfTrue="1" operator="notEqual">
      <formula>H333</formula>
    </cfRule>
  </conditionalFormatting>
  <conditionalFormatting sqref="O331 M331 G331 K331 S331 U331 W331 I331 Q331 O342 O353 M342 M353 G342 G353 K342 K353 S342 S353 U342 U353 W342 W353 I342 I353 Q342 Q353">
    <cfRule type="cellIs" dxfId="5050" priority="6007" stopIfTrue="1" operator="notEqual">
      <formula>H331</formula>
    </cfRule>
  </conditionalFormatting>
  <conditionalFormatting sqref="O334 M334 G334 K334 S334 U334 W334 I334 Q334 O345 M345 G345 K345 S345 U345 W345 I345 Q345">
    <cfRule type="cellIs" dxfId="5049" priority="6006" stopIfTrue="1" operator="notEqual">
      <formula>H334</formula>
    </cfRule>
  </conditionalFormatting>
  <conditionalFormatting sqref="O335 M335 G335 K335 S335 U335 W335 I335 Q335 O346 M346 G346 K346 S346 U346 W346 I346 Q346">
    <cfRule type="cellIs" dxfId="5048" priority="6005" stopIfTrue="1" operator="notEqual">
      <formula>H335</formula>
    </cfRule>
  </conditionalFormatting>
  <conditionalFormatting sqref="O316 M316 G316 K316 S316 U316 W316 I316 Q316">
    <cfRule type="cellIs" dxfId="5047" priority="6004" stopIfTrue="1" operator="notEqual">
      <formula>H316</formula>
    </cfRule>
  </conditionalFormatting>
  <conditionalFormatting sqref="O317 M317 G317 K317 S317 U317 W317 I317 Q317">
    <cfRule type="cellIs" dxfId="5046" priority="6003" stopIfTrue="1" operator="notEqual">
      <formula>H317</formula>
    </cfRule>
  </conditionalFormatting>
  <conditionalFormatting sqref="O318 M318 G318 K318 S318 U318 W318 I318 Q318">
    <cfRule type="cellIs" dxfId="5045" priority="6002" stopIfTrue="1" operator="notEqual">
      <formula>H318</formula>
    </cfRule>
  </conditionalFormatting>
  <conditionalFormatting sqref="O316 M316 G316 K316 S316 U316 W316 I316 Q316">
    <cfRule type="cellIs" dxfId="5044" priority="6001" stopIfTrue="1" operator="notEqual">
      <formula>H316</formula>
    </cfRule>
  </conditionalFormatting>
  <conditionalFormatting sqref="O319 M319 G319 K319 S319 U319 W319 I319 Q319">
    <cfRule type="cellIs" dxfId="5043" priority="6000" stopIfTrue="1" operator="notEqual">
      <formula>H319</formula>
    </cfRule>
  </conditionalFormatting>
  <conditionalFormatting sqref="O320 M320 G320 K320 S320 U320 W320 I320 Q320">
    <cfRule type="cellIs" dxfId="5042" priority="5999" stopIfTrue="1" operator="notEqual">
      <formula>H320</formula>
    </cfRule>
  </conditionalFormatting>
  <conditionalFormatting sqref="O321 M321 G321 K321 S321 U321 W321 I321 Q321">
    <cfRule type="cellIs" dxfId="5041" priority="5998" stopIfTrue="1" operator="notEqual">
      <formula>H321</formula>
    </cfRule>
  </conditionalFormatting>
  <conditionalFormatting sqref="O322 M322 G322 K322 S322 U322 W322 I322 Q322">
    <cfRule type="cellIs" dxfId="5040" priority="5997" stopIfTrue="1" operator="notEqual">
      <formula>H322</formula>
    </cfRule>
  </conditionalFormatting>
  <conditionalFormatting sqref="O323 M323 G323 K323 S323 U323 W323 I323 Q323">
    <cfRule type="cellIs" dxfId="5039" priority="5996" stopIfTrue="1" operator="notEqual">
      <formula>H323</formula>
    </cfRule>
  </conditionalFormatting>
  <conditionalFormatting sqref="O324 M324 G324 K324 S324 U324 W324 I324 Q324">
    <cfRule type="cellIs" dxfId="5038" priority="5995" stopIfTrue="1" operator="notEqual">
      <formula>H324</formula>
    </cfRule>
  </conditionalFormatting>
  <conditionalFormatting sqref="O325 M325 G325 K325 S325 U325 W325 I325 Q325">
    <cfRule type="cellIs" dxfId="5037" priority="5994" stopIfTrue="1" operator="notEqual">
      <formula>H325</formula>
    </cfRule>
  </conditionalFormatting>
  <conditionalFormatting sqref="O326:O354 M326:M354 G326:G354 K326:K354 S326:S354 U326:U354 W326:W354 I326:I354 Q326:Q354">
    <cfRule type="cellIs" dxfId="5036" priority="5993" stopIfTrue="1" operator="notEqual">
      <formula>H326</formula>
    </cfRule>
  </conditionalFormatting>
  <conditionalFormatting sqref="O327 M327 G327 K327 S327 U327 W327 I327 Q327 O338 O349 M338 M349 G338 G349 K338 K349 S338 S349 U338 U349 W338 W349 I338 I349 Q338 Q349">
    <cfRule type="cellIs" dxfId="5035" priority="5992" stopIfTrue="1" operator="notEqual">
      <formula>H327</formula>
    </cfRule>
  </conditionalFormatting>
  <conditionalFormatting sqref="O328 M328 G328 K328 S328 U328 W328 I328 Q328 O339 O350 M339 M350 G339 G350 K339 K350 S339 S350 U339 U350 W339 W350 I339 I350 Q339 Q350">
    <cfRule type="cellIs" dxfId="5034" priority="5991" stopIfTrue="1" operator="notEqual">
      <formula>H328</formula>
    </cfRule>
  </conditionalFormatting>
  <conditionalFormatting sqref="O329 M329 G329 K329 S329 U329 W329 I329 Q329 O340 O351 M340 M351 G340 G351 K340 K351 S340 S351 U340 U351 W340 W351 I340 I351 Q340 Q351">
    <cfRule type="cellIs" dxfId="5033" priority="5990" stopIfTrue="1" operator="notEqual">
      <formula>H329</formula>
    </cfRule>
  </conditionalFormatting>
  <conditionalFormatting sqref="O330 M330 G330 K330 S330 U330 W330 I330 Q330 O341 O352 M341 M352 G341 G352 K341 K352 S341 S352 U341 U352 W341 W352 I341 I352 Q341 Q352">
    <cfRule type="cellIs" dxfId="5032" priority="5989" stopIfTrue="1" operator="notEqual">
      <formula>H330</formula>
    </cfRule>
  </conditionalFormatting>
  <conditionalFormatting sqref="O331 M331 G331 K331 S331 U331 W331 I331 Q331 O342 O353 M342 M353 G342 G353 K342 K353 S342 S353 U342 U353 W342 W353 I342 I353 Q342 Q353">
    <cfRule type="cellIs" dxfId="5031" priority="5988" stopIfTrue="1" operator="notEqual">
      <formula>H331</formula>
    </cfRule>
  </conditionalFormatting>
  <conditionalFormatting sqref="G332 G343 G354">
    <cfRule type="cellIs" dxfId="5030" priority="5987" stopIfTrue="1" operator="notEqual">
      <formula>H332</formula>
    </cfRule>
  </conditionalFormatting>
  <conditionalFormatting sqref="G333 G344">
    <cfRule type="cellIs" dxfId="5029" priority="5986" stopIfTrue="1" operator="notEqual">
      <formula>H333</formula>
    </cfRule>
  </conditionalFormatting>
  <conditionalFormatting sqref="G334 G345">
    <cfRule type="cellIs" dxfId="5028" priority="5985" stopIfTrue="1" operator="notEqual">
      <formula>H334</formula>
    </cfRule>
  </conditionalFormatting>
  <conditionalFormatting sqref="G335 G346">
    <cfRule type="cellIs" dxfId="5027" priority="5984" stopIfTrue="1" operator="notEqual">
      <formula>H335</formula>
    </cfRule>
  </conditionalFormatting>
  <conditionalFormatting sqref="G332 G343 G354">
    <cfRule type="cellIs" dxfId="5026" priority="5983" stopIfTrue="1" operator="notEqual">
      <formula>H332</formula>
    </cfRule>
  </conditionalFormatting>
  <conditionalFormatting sqref="G332 G343 G354">
    <cfRule type="cellIs" dxfId="5025" priority="5982" stopIfTrue="1" operator="notEqual">
      <formula>H332</formula>
    </cfRule>
  </conditionalFormatting>
  <conditionalFormatting sqref="G332 G343 G354">
    <cfRule type="cellIs" dxfId="5024" priority="5981" stopIfTrue="1" operator="notEqual">
      <formula>H332</formula>
    </cfRule>
  </conditionalFormatting>
  <conditionalFormatting sqref="G332 G343 G354">
    <cfRule type="cellIs" dxfId="5023" priority="5980" stopIfTrue="1" operator="notEqual">
      <formula>H332</formula>
    </cfRule>
  </conditionalFormatting>
  <conditionalFormatting sqref="G332 G343 G354">
    <cfRule type="cellIs" dxfId="5022" priority="5979" stopIfTrue="1" operator="notEqual">
      <formula>H332</formula>
    </cfRule>
  </conditionalFormatting>
  <conditionalFormatting sqref="G332 G343 G354">
    <cfRule type="cellIs" dxfId="5021" priority="5978" stopIfTrue="1" operator="notEqual">
      <formula>H332</formula>
    </cfRule>
  </conditionalFormatting>
  <conditionalFormatting sqref="O332 M332 G332 K332 S332 U332 W332 I332 Q332 O343 O354 M343 M354 G343 G354 K343 K354 S343 S354 U343 U354 W343 W354 I343 I354 Q343 Q354">
    <cfRule type="cellIs" dxfId="5020" priority="5977" stopIfTrue="1" operator="notEqual">
      <formula>H332</formula>
    </cfRule>
  </conditionalFormatting>
  <conditionalFormatting sqref="O333 M333 G333 K333 S333 U333 W333 I333 Q333 O344 M344 G344 K344 S344 U344 W344 I344 Q344">
    <cfRule type="cellIs" dxfId="5019" priority="5976" stopIfTrue="1" operator="notEqual">
      <formula>H333</formula>
    </cfRule>
  </conditionalFormatting>
  <conditionalFormatting sqref="O334 M334 G334 K334 S334 U334 W334 I334 Q334 O345 M345 G345 K345 S345 U345 W345 I345 Q345">
    <cfRule type="cellIs" dxfId="5018" priority="5975" stopIfTrue="1" operator="notEqual">
      <formula>H334</formula>
    </cfRule>
  </conditionalFormatting>
  <conditionalFormatting sqref="O335 M335 G335 K335 S335 U335 W335 I335 Q335 O346 M346 G346 K346 S346 U346 W346 I346 Q346">
    <cfRule type="cellIs" dxfId="5017" priority="5974" stopIfTrue="1" operator="notEqual">
      <formula>H335</formula>
    </cfRule>
  </conditionalFormatting>
  <conditionalFormatting sqref="O332 M332 G332 K332 S332 U332 W332 I332 Q332 O343 O354 M343 M354 G343 G354 K343 K354 S343 S354 U343 U354 W343 W354 I343 I354 Q343 Q354">
    <cfRule type="cellIs" dxfId="5016" priority="5973" stopIfTrue="1" operator="notEqual">
      <formula>H332</formula>
    </cfRule>
  </conditionalFormatting>
  <conditionalFormatting sqref="O333 M333 G333 K333 S333 U333 W333 I333 Q333 O344 M344 G344 K344 S344 U344 W344 I344 Q344">
    <cfRule type="cellIs" dxfId="5015" priority="5972" stopIfTrue="1" operator="notEqual">
      <formula>H333</formula>
    </cfRule>
  </conditionalFormatting>
  <conditionalFormatting sqref="O334 M334 G334 K334 S334 U334 W334 I334 Q334 O345 M345 G345 K345 S345 U345 W345 I345 Q345">
    <cfRule type="cellIs" dxfId="5014" priority="5971" stopIfTrue="1" operator="notEqual">
      <formula>H334</formula>
    </cfRule>
  </conditionalFormatting>
  <conditionalFormatting sqref="O332 M332 G332 K332 S332 U332 W332 I332 Q332 O343 O354 M343 M354 G343 G354 K343 K354 S343 S354 U343 U354 W343 W354 I343 I354 Q343 Q354">
    <cfRule type="cellIs" dxfId="5013" priority="5970" stopIfTrue="1" operator="notEqual">
      <formula>H332</formula>
    </cfRule>
  </conditionalFormatting>
  <conditionalFormatting sqref="O335 M335 G335 K335 S335 U335 W335 I335 Q335 O346 M346 G346 K346 S346 U346 W346 I346 Q346">
    <cfRule type="cellIs" dxfId="5012" priority="5969" stopIfTrue="1" operator="notEqual">
      <formula>H335</formula>
    </cfRule>
  </conditionalFormatting>
  <conditionalFormatting sqref="O316:O320 M316:M320 G316:G320 K316:K320 S316:S320 U316:U320 W316:W320 I316:I320 Q316:Q320">
    <cfRule type="cellIs" dxfId="5011" priority="5968" stopIfTrue="1" operator="notEqual">
      <formula>H316</formula>
    </cfRule>
  </conditionalFormatting>
  <conditionalFormatting sqref="O317 M317 G317 K317 S317 U317 W317 I317 Q317">
    <cfRule type="cellIs" dxfId="5010" priority="5967" stopIfTrue="1" operator="notEqual">
      <formula>H317</formula>
    </cfRule>
  </conditionalFormatting>
  <conditionalFormatting sqref="O318 M318 G318 K318 S318 U318 W318 I318 Q318">
    <cfRule type="cellIs" dxfId="5009" priority="5966" stopIfTrue="1" operator="notEqual">
      <formula>H318</formula>
    </cfRule>
  </conditionalFormatting>
  <conditionalFormatting sqref="O318 M318 G318 K318 S318 U318 W318 I318 Q318">
    <cfRule type="cellIs" dxfId="5008" priority="5965" stopIfTrue="1" operator="notEqual">
      <formula>H318</formula>
    </cfRule>
  </conditionalFormatting>
  <conditionalFormatting sqref="O316 M316 G316 K316 S316 U316 W316 I316 Q316">
    <cfRule type="cellIs" dxfId="5007" priority="5964" stopIfTrue="1" operator="notEqual">
      <formula>H316</formula>
    </cfRule>
  </conditionalFormatting>
  <conditionalFormatting sqref="O321 M321 G321 K321 S321 U321 W321 I321 Q321">
    <cfRule type="cellIs" dxfId="5006" priority="5963" stopIfTrue="1" operator="notEqual">
      <formula>H321</formula>
    </cfRule>
  </conditionalFormatting>
  <conditionalFormatting sqref="O322 M322 G322 K322 S322 U322 W322 I322 Q322">
    <cfRule type="cellIs" dxfId="5005" priority="5962" stopIfTrue="1" operator="notEqual">
      <formula>H322</formula>
    </cfRule>
  </conditionalFormatting>
  <conditionalFormatting sqref="O320 M320 G320 K320 S320 U320 W320 I320 Q320">
    <cfRule type="cellIs" dxfId="5004" priority="5961" stopIfTrue="1" operator="notEqual">
      <formula>H320</formula>
    </cfRule>
  </conditionalFormatting>
  <conditionalFormatting sqref="O323 M323 G323 K323 S323 U323 W323 I323 Q323">
    <cfRule type="cellIs" dxfId="5003" priority="5960" stopIfTrue="1" operator="notEqual">
      <formula>H323</formula>
    </cfRule>
  </conditionalFormatting>
  <conditionalFormatting sqref="O324 M324 G324 K324 S324 U324 W324 I324 Q324">
    <cfRule type="cellIs" dxfId="5002" priority="5959" stopIfTrue="1" operator="notEqual">
      <formula>H324</formula>
    </cfRule>
  </conditionalFormatting>
  <conditionalFormatting sqref="O325 M325 G325 K325 S325 U325 W325 I325 Q325">
    <cfRule type="cellIs" dxfId="5001" priority="5958" stopIfTrue="1" operator="notEqual">
      <formula>H325</formula>
    </cfRule>
  </conditionalFormatting>
  <conditionalFormatting sqref="O326:O354 M326:M354 G326:G354 K326:K354 S326:S354 U326:U354 W326:W354 I326:I354 Q326:Q354">
    <cfRule type="cellIs" dxfId="5000" priority="5957" stopIfTrue="1" operator="notEqual">
      <formula>H326</formula>
    </cfRule>
  </conditionalFormatting>
  <conditionalFormatting sqref="O327 M327 G327 K327 S327 U327 W327 I327 Q327 O338 O349 M338 M349 G338 G349 K338 K349 S338 S349 U338 U349 W338 W349 I338 I349 Q338 Q349">
    <cfRule type="cellIs" dxfId="4999" priority="5956" stopIfTrue="1" operator="notEqual">
      <formula>H327</formula>
    </cfRule>
  </conditionalFormatting>
  <conditionalFormatting sqref="O328 M328 G328 K328 S328 U328 W328 I328 Q328 O339 O350 M339 M350 G339 G350 K339 K350 S339 S350 U339 U350 W339 W350 I339 I350 Q339 Q350">
    <cfRule type="cellIs" dxfId="4998" priority="5955" stopIfTrue="1" operator="notEqual">
      <formula>H328</formula>
    </cfRule>
  </conditionalFormatting>
  <conditionalFormatting sqref="O329 M329 G329 K329 S329 U329 W329 I329 Q329 O340 O351 M340 M351 G340 G351 K340 K351 S340 S351 U340 U351 W340 W351 I340 I351 Q340 Q351">
    <cfRule type="cellIs" dxfId="4997" priority="5954" stopIfTrue="1" operator="notEqual">
      <formula>H329</formula>
    </cfRule>
  </conditionalFormatting>
  <conditionalFormatting sqref="O330 M330 G330 K330 S330 U330 W330 I330 Q330 O341 O352 M341 M352 G341 G352 K341 K352 S341 S352 U341 U352 W341 W352 I341 I352 Q341 Q352">
    <cfRule type="cellIs" dxfId="4996" priority="5953" stopIfTrue="1" operator="notEqual">
      <formula>H330</formula>
    </cfRule>
  </conditionalFormatting>
  <conditionalFormatting sqref="O331 M331 G331 K331 S331 U331 W331 I331 Q331 O342 O353 M342 M353 G342 G353 K342 K353 S342 S353 U342 U353 W342 W353 I342 I353 Q342 Q353">
    <cfRule type="cellIs" dxfId="4995" priority="5952" stopIfTrue="1" operator="notEqual">
      <formula>H331</formula>
    </cfRule>
  </conditionalFormatting>
  <conditionalFormatting sqref="O332 M332 G332 K332 S332 U332 W332 I332 Q332 O343 O354 M343 M354 G343 G354 K343 K354 S343 S354 U343 U354 W343 W354 I343 I354 Q343 Q354">
    <cfRule type="cellIs" dxfId="4994" priority="5951" stopIfTrue="1" operator="notEqual">
      <formula>H332</formula>
    </cfRule>
  </conditionalFormatting>
  <conditionalFormatting sqref="O333 M333 G333 K333 S333 U333 W333 I333 Q333 O344 M344 G344 K344 S344 U344 W344 I344 Q344">
    <cfRule type="cellIs" dxfId="4993" priority="5950" stopIfTrue="1" operator="notEqual">
      <formula>H333</formula>
    </cfRule>
  </conditionalFormatting>
  <conditionalFormatting sqref="O334 M334 G334 K334 S334 U334 W334 I334 Q334 O345 M345 G345 K345 S345 U345 W345 I345 Q345">
    <cfRule type="cellIs" dxfId="4992" priority="5949" stopIfTrue="1" operator="notEqual">
      <formula>H334</formula>
    </cfRule>
  </conditionalFormatting>
  <conditionalFormatting sqref="O335 M335 G335 K335 S335 U335 W335 I335 Q335 O346 M346 G346 K346 S346 U346 W346 I346 Q346">
    <cfRule type="cellIs" dxfId="4991" priority="5948" stopIfTrue="1" operator="notEqual">
      <formula>H335</formula>
    </cfRule>
  </conditionalFormatting>
  <conditionalFormatting sqref="G343">
    <cfRule type="cellIs" dxfId="4990" priority="5947" stopIfTrue="1" operator="notEqual">
      <formula>H343</formula>
    </cfRule>
  </conditionalFormatting>
  <conditionalFormatting sqref="G336 G347">
    <cfRule type="cellIs" dxfId="4989" priority="5946" stopIfTrue="1" operator="notEqual">
      <formula>H336</formula>
    </cfRule>
  </conditionalFormatting>
  <conditionalFormatting sqref="G337">
    <cfRule type="cellIs" dxfId="4988" priority="5945" stopIfTrue="1" operator="notEqual">
      <formula>H337</formula>
    </cfRule>
  </conditionalFormatting>
  <conditionalFormatting sqref="G338">
    <cfRule type="cellIs" dxfId="4987" priority="5944" stopIfTrue="1" operator="notEqual">
      <formula>H338</formula>
    </cfRule>
  </conditionalFormatting>
  <conditionalFormatting sqref="G339">
    <cfRule type="cellIs" dxfId="4986" priority="5943" stopIfTrue="1" operator="notEqual">
      <formula>H339</formula>
    </cfRule>
  </conditionalFormatting>
  <conditionalFormatting sqref="G340">
    <cfRule type="cellIs" dxfId="4985" priority="5942" stopIfTrue="1" operator="notEqual">
      <formula>H340</formula>
    </cfRule>
  </conditionalFormatting>
  <conditionalFormatting sqref="G341">
    <cfRule type="cellIs" dxfId="4984" priority="5941" stopIfTrue="1" operator="notEqual">
      <formula>H341</formula>
    </cfRule>
  </conditionalFormatting>
  <conditionalFormatting sqref="G342">
    <cfRule type="cellIs" dxfId="4983" priority="5940" stopIfTrue="1" operator="notEqual">
      <formula>H342</formula>
    </cfRule>
  </conditionalFormatting>
  <conditionalFormatting sqref="G336 G347">
    <cfRule type="cellIs" dxfId="4982" priority="5939" stopIfTrue="1" operator="notEqual">
      <formula>H336</formula>
    </cfRule>
  </conditionalFormatting>
  <conditionalFormatting sqref="G337">
    <cfRule type="cellIs" dxfId="4981" priority="5938" stopIfTrue="1" operator="notEqual">
      <formula>H337</formula>
    </cfRule>
  </conditionalFormatting>
  <conditionalFormatting sqref="G338">
    <cfRule type="cellIs" dxfId="4980" priority="5937" stopIfTrue="1" operator="notEqual">
      <formula>H338</formula>
    </cfRule>
  </conditionalFormatting>
  <conditionalFormatting sqref="G339">
    <cfRule type="cellIs" dxfId="4979" priority="5936" stopIfTrue="1" operator="notEqual">
      <formula>H339</formula>
    </cfRule>
  </conditionalFormatting>
  <conditionalFormatting sqref="G340">
    <cfRule type="cellIs" dxfId="4978" priority="5935" stopIfTrue="1" operator="notEqual">
      <formula>H340</formula>
    </cfRule>
  </conditionalFormatting>
  <conditionalFormatting sqref="G341">
    <cfRule type="cellIs" dxfId="4977" priority="5934" stopIfTrue="1" operator="notEqual">
      <formula>H341</formula>
    </cfRule>
  </conditionalFormatting>
  <conditionalFormatting sqref="G342">
    <cfRule type="cellIs" dxfId="4976" priority="5933" stopIfTrue="1" operator="notEqual">
      <formula>H342</formula>
    </cfRule>
  </conditionalFormatting>
  <conditionalFormatting sqref="O336 M336 G336 K336 S336 U336 W336 I336 Q336 O347 M347 G347 K347 S347 U347 W347 I347 Q347">
    <cfRule type="cellIs" dxfId="4975" priority="5932" stopIfTrue="1" operator="notEqual">
      <formula>H336</formula>
    </cfRule>
  </conditionalFormatting>
  <conditionalFormatting sqref="O337 M337 G337 K337 S337 U337 W337 I337 Q337">
    <cfRule type="cellIs" dxfId="4974" priority="5931" stopIfTrue="1" operator="notEqual">
      <formula>H337</formula>
    </cfRule>
  </conditionalFormatting>
  <conditionalFormatting sqref="O338 M338 G338 K338 S338 U338 W338 I338 Q338">
    <cfRule type="cellIs" dxfId="4973" priority="5930" stopIfTrue="1" operator="notEqual">
      <formula>H338</formula>
    </cfRule>
  </conditionalFormatting>
  <conditionalFormatting sqref="O339 M339 G339 K339 S339 U339 W339 I339 Q339">
    <cfRule type="cellIs" dxfId="4972" priority="5929" stopIfTrue="1" operator="notEqual">
      <formula>H339</formula>
    </cfRule>
  </conditionalFormatting>
  <conditionalFormatting sqref="O340 M340 G340 K340 S340 U340 W340 I340 Q340">
    <cfRule type="cellIs" dxfId="4971" priority="5928" stopIfTrue="1" operator="notEqual">
      <formula>H340</formula>
    </cfRule>
  </conditionalFormatting>
  <conditionalFormatting sqref="O341 M341 G341 K341 S341 U341 W341 I341 Q341">
    <cfRule type="cellIs" dxfId="4970" priority="5927" stopIfTrue="1" operator="notEqual">
      <formula>H341</formula>
    </cfRule>
  </conditionalFormatting>
  <conditionalFormatting sqref="G341:G342">
    <cfRule type="cellIs" dxfId="4969" priority="5926" stopIfTrue="1" operator="notEqual">
      <formula>H341</formula>
    </cfRule>
  </conditionalFormatting>
  <conditionalFormatting sqref="G336 G347">
    <cfRule type="cellIs" dxfId="4968" priority="5925" stopIfTrue="1" operator="notEqual">
      <formula>H336</formula>
    </cfRule>
  </conditionalFormatting>
  <conditionalFormatting sqref="G337">
    <cfRule type="cellIs" dxfId="4967" priority="5924" stopIfTrue="1" operator="notEqual">
      <formula>H337</formula>
    </cfRule>
  </conditionalFormatting>
  <conditionalFormatting sqref="G338">
    <cfRule type="cellIs" dxfId="4966" priority="5923" stopIfTrue="1" operator="notEqual">
      <formula>H338</formula>
    </cfRule>
  </conditionalFormatting>
  <conditionalFormatting sqref="G339">
    <cfRule type="cellIs" dxfId="4965" priority="5922" stopIfTrue="1" operator="notEqual">
      <formula>H339</formula>
    </cfRule>
  </conditionalFormatting>
  <conditionalFormatting sqref="G340">
    <cfRule type="cellIs" dxfId="4964" priority="5921" stopIfTrue="1" operator="notEqual">
      <formula>H340</formula>
    </cfRule>
  </conditionalFormatting>
  <conditionalFormatting sqref="G342">
    <cfRule type="cellIs" dxfId="4963" priority="5920" stopIfTrue="1" operator="notEqual">
      <formula>H342</formula>
    </cfRule>
  </conditionalFormatting>
  <conditionalFormatting sqref="O337:O342 M337:M342 G337:G342 K337:K342 S337:S342 U337:U342 W337:W342 I337:I342 Q337:Q342">
    <cfRule type="cellIs" dxfId="4962" priority="5919" stopIfTrue="1" operator="notEqual">
      <formula>H337</formula>
    </cfRule>
  </conditionalFormatting>
  <conditionalFormatting sqref="O336 M336 G336 K336 S336 U336 W336 I336 Q336 O347 M347 G347 K347 S347 U347 W347 I347 Q347">
    <cfRule type="cellIs" dxfId="4961" priority="5918" stopIfTrue="1" operator="notEqual">
      <formula>H336</formula>
    </cfRule>
  </conditionalFormatting>
  <conditionalFormatting sqref="O339 M339 G339 K339 S339 U339 W339 I339 Q339">
    <cfRule type="cellIs" dxfId="4960" priority="5917" stopIfTrue="1" operator="notEqual">
      <formula>H339</formula>
    </cfRule>
  </conditionalFormatting>
  <conditionalFormatting sqref="O340 M340 G340 K340 S340 U340 W340 I340 Q340">
    <cfRule type="cellIs" dxfId="4959" priority="5916" stopIfTrue="1" operator="notEqual">
      <formula>H340</formula>
    </cfRule>
  </conditionalFormatting>
  <conditionalFormatting sqref="O340 M340 G340 K340 S340 U340 W340 I340 Q340">
    <cfRule type="cellIs" dxfId="4958" priority="5915" stopIfTrue="1" operator="notEqual">
      <formula>H340</formula>
    </cfRule>
  </conditionalFormatting>
  <conditionalFormatting sqref="O338 M338 G338 K338 S338 U338 W338 I338 Q338">
    <cfRule type="cellIs" dxfId="4957" priority="5914" stopIfTrue="1" operator="notEqual">
      <formula>H338</formula>
    </cfRule>
  </conditionalFormatting>
  <conditionalFormatting sqref="O342 M342 G342 K342 S342 U342 W342 I342 Q342">
    <cfRule type="cellIs" dxfId="4956" priority="5913" stopIfTrue="1" operator="notEqual">
      <formula>H342</formula>
    </cfRule>
  </conditionalFormatting>
  <conditionalFormatting sqref="O336 M336 G336 K336 S336 U336 W336 I336 Q336 O347 M347 G347 K347 S347 U347 W347 I347 Q347">
    <cfRule type="cellIs" dxfId="4955" priority="5912" stopIfTrue="1" operator="notEqual">
      <formula>H336</formula>
    </cfRule>
  </conditionalFormatting>
  <conditionalFormatting sqref="O337 M337 G337 K337 S337 U337 W337 I337 Q337">
    <cfRule type="cellIs" dxfId="4954" priority="5911" stopIfTrue="1" operator="notEqual">
      <formula>H337</formula>
    </cfRule>
  </conditionalFormatting>
  <conditionalFormatting sqref="O338 M338 G338 K338 S338 U338 W338 I338 Q338">
    <cfRule type="cellIs" dxfId="4953" priority="5910" stopIfTrue="1" operator="notEqual">
      <formula>H338</formula>
    </cfRule>
  </conditionalFormatting>
  <conditionalFormatting sqref="O339 M339 G339 K339 S339 U339 W339 I339 Q339">
    <cfRule type="cellIs" dxfId="4952" priority="5909" stopIfTrue="1" operator="notEqual">
      <formula>H339</formula>
    </cfRule>
  </conditionalFormatting>
  <conditionalFormatting sqref="O340 M340 G340 K340 S340 U340 W340 I340 Q340">
    <cfRule type="cellIs" dxfId="4951" priority="5908" stopIfTrue="1" operator="notEqual">
      <formula>H340</formula>
    </cfRule>
  </conditionalFormatting>
  <conditionalFormatting sqref="O341 M341 G341 K341 S341 U341 W341 I341 Q341">
    <cfRule type="cellIs" dxfId="4950" priority="5907" stopIfTrue="1" operator="notEqual">
      <formula>H341</formula>
    </cfRule>
  </conditionalFormatting>
  <conditionalFormatting sqref="O342 M342 G342 K342 S342 U342 W342 I342 Q342">
    <cfRule type="cellIs" dxfId="4949" priority="5906" stopIfTrue="1" operator="notEqual">
      <formula>H342</formula>
    </cfRule>
  </conditionalFormatting>
  <conditionalFormatting sqref="G336 G347">
    <cfRule type="cellIs" dxfId="4948" priority="5905" stopIfTrue="1" operator="notEqual">
      <formula>H336</formula>
    </cfRule>
  </conditionalFormatting>
  <conditionalFormatting sqref="G337">
    <cfRule type="cellIs" dxfId="4947" priority="5904" stopIfTrue="1" operator="notEqual">
      <formula>H337</formula>
    </cfRule>
  </conditionalFormatting>
  <conditionalFormatting sqref="G338">
    <cfRule type="cellIs" dxfId="4946" priority="5903" stopIfTrue="1" operator="notEqual">
      <formula>H338</formula>
    </cfRule>
  </conditionalFormatting>
  <conditionalFormatting sqref="G339">
    <cfRule type="cellIs" dxfId="4945" priority="5902" stopIfTrue="1" operator="notEqual">
      <formula>H339</formula>
    </cfRule>
  </conditionalFormatting>
  <conditionalFormatting sqref="G340">
    <cfRule type="cellIs" dxfId="4944" priority="5901" stopIfTrue="1" operator="notEqual">
      <formula>H340</formula>
    </cfRule>
  </conditionalFormatting>
  <conditionalFormatting sqref="G341">
    <cfRule type="cellIs" dxfId="4943" priority="5900" stopIfTrue="1" operator="notEqual">
      <formula>H341</formula>
    </cfRule>
  </conditionalFormatting>
  <conditionalFormatting sqref="G342">
    <cfRule type="cellIs" dxfId="4942" priority="5899" stopIfTrue="1" operator="notEqual">
      <formula>H342</formula>
    </cfRule>
  </conditionalFormatting>
  <conditionalFormatting sqref="G343">
    <cfRule type="cellIs" dxfId="4941" priority="5898" stopIfTrue="1" operator="notEqual">
      <formula>H343</formula>
    </cfRule>
  </conditionalFormatting>
  <conditionalFormatting sqref="G344">
    <cfRule type="cellIs" dxfId="4940" priority="5897" stopIfTrue="1" operator="notEqual">
      <formula>H344</formula>
    </cfRule>
  </conditionalFormatting>
  <conditionalFormatting sqref="G345">
    <cfRule type="cellIs" dxfId="4939" priority="5896" stopIfTrue="1" operator="notEqual">
      <formula>H345</formula>
    </cfRule>
  </conditionalFormatting>
  <conditionalFormatting sqref="G346">
    <cfRule type="cellIs" dxfId="4938" priority="5895" stopIfTrue="1" operator="notEqual">
      <formula>H346</formula>
    </cfRule>
  </conditionalFormatting>
  <conditionalFormatting sqref="G347">
    <cfRule type="cellIs" dxfId="4937" priority="5894" stopIfTrue="1" operator="notEqual">
      <formula>H347</formula>
    </cfRule>
  </conditionalFormatting>
  <conditionalFormatting sqref="G348">
    <cfRule type="cellIs" dxfId="4936" priority="5893" stopIfTrue="1" operator="notEqual">
      <formula>H348</formula>
    </cfRule>
  </conditionalFormatting>
  <conditionalFormatting sqref="G349">
    <cfRule type="cellIs" dxfId="4935" priority="5892" stopIfTrue="1" operator="notEqual">
      <formula>H349</formula>
    </cfRule>
  </conditionalFormatting>
  <conditionalFormatting sqref="G350">
    <cfRule type="cellIs" dxfId="4934" priority="5891" stopIfTrue="1" operator="notEqual">
      <formula>H350</formula>
    </cfRule>
  </conditionalFormatting>
  <conditionalFormatting sqref="G351">
    <cfRule type="cellIs" dxfId="4933" priority="5890" stopIfTrue="1" operator="notEqual">
      <formula>H351</formula>
    </cfRule>
  </conditionalFormatting>
  <conditionalFormatting sqref="G352">
    <cfRule type="cellIs" dxfId="4932" priority="5889" stopIfTrue="1" operator="notEqual">
      <formula>H352</formula>
    </cfRule>
  </conditionalFormatting>
  <conditionalFormatting sqref="G353">
    <cfRule type="cellIs" dxfId="4931" priority="5888" stopIfTrue="1" operator="notEqual">
      <formula>H353</formula>
    </cfRule>
  </conditionalFormatting>
  <conditionalFormatting sqref="G354">
    <cfRule type="cellIs" dxfId="4930" priority="5887" stopIfTrue="1" operator="notEqual">
      <formula>H354</formula>
    </cfRule>
  </conditionalFormatting>
  <conditionalFormatting sqref="G355">
    <cfRule type="cellIs" dxfId="4929" priority="5886" stopIfTrue="1" operator="notEqual">
      <formula>H355</formula>
    </cfRule>
  </conditionalFormatting>
  <conditionalFormatting sqref="O336 M336 G336 K336 S336 U336 W336 I336 Q336 O347 M347 G347 K347 S347 U347 W347 I347 Q347">
    <cfRule type="cellIs" dxfId="4928" priority="5885" stopIfTrue="1" operator="notEqual">
      <formula>H336</formula>
    </cfRule>
  </conditionalFormatting>
  <conditionalFormatting sqref="O337 M337 G337 K337 S337 U337 W337 I337 Q337">
    <cfRule type="cellIs" dxfId="4927" priority="5884" stopIfTrue="1" operator="notEqual">
      <formula>H337</formula>
    </cfRule>
  </conditionalFormatting>
  <conditionalFormatting sqref="O338 M338 G338 K338 S338 U338 W338 I338 Q338">
    <cfRule type="cellIs" dxfId="4926" priority="5883" stopIfTrue="1" operator="notEqual">
      <formula>H338</formula>
    </cfRule>
  </conditionalFormatting>
  <conditionalFormatting sqref="O339 M339 G339 K339 S339 U339 W339 I339 Q339">
    <cfRule type="cellIs" dxfId="4925" priority="5882" stopIfTrue="1" operator="notEqual">
      <formula>H339</formula>
    </cfRule>
  </conditionalFormatting>
  <conditionalFormatting sqref="O340 M340 G340 K340 S340 U340 W340 I340 Q340">
    <cfRule type="cellIs" dxfId="4924" priority="5881" stopIfTrue="1" operator="notEqual">
      <formula>H340</formula>
    </cfRule>
  </conditionalFormatting>
  <conditionalFormatting sqref="O341 M341 G341 K341 S341 U341 W341 I341 Q341">
    <cfRule type="cellIs" dxfId="4923" priority="5880" stopIfTrue="1" operator="notEqual">
      <formula>H341</formula>
    </cfRule>
  </conditionalFormatting>
  <conditionalFormatting sqref="O342 M342 G342 K342 S342 U342 W342 I342 Q342">
    <cfRule type="cellIs" dxfId="4922" priority="5879" stopIfTrue="1" operator="notEqual">
      <formula>H342</formula>
    </cfRule>
  </conditionalFormatting>
  <conditionalFormatting sqref="O343 M343 G343 K343 S343 U343 W343 I343 Q343">
    <cfRule type="cellIs" dxfId="4921" priority="5878" stopIfTrue="1" operator="notEqual">
      <formula>H343</formula>
    </cfRule>
  </conditionalFormatting>
  <conditionalFormatting sqref="O344 M344 G344 K344 S344 U344 W344 I344 Q344">
    <cfRule type="cellIs" dxfId="4920" priority="5877" stopIfTrue="1" operator="notEqual">
      <formula>H344</formula>
    </cfRule>
  </conditionalFormatting>
  <conditionalFormatting sqref="O345 M345 G345 K345 S345 U345 W345 I345 Q345">
    <cfRule type="cellIs" dxfId="4919" priority="5876" stopIfTrue="1" operator="notEqual">
      <formula>H345</formula>
    </cfRule>
  </conditionalFormatting>
  <conditionalFormatting sqref="O346 M346 G346 K346 S346 U346 W346 I346 Q346">
    <cfRule type="cellIs" dxfId="4918" priority="5875" stopIfTrue="1" operator="notEqual">
      <formula>H346</formula>
    </cfRule>
  </conditionalFormatting>
  <conditionalFormatting sqref="G346:G347">
    <cfRule type="cellIs" dxfId="4917" priority="5874" stopIfTrue="1" operator="notEqual">
      <formula>H346</formula>
    </cfRule>
  </conditionalFormatting>
  <conditionalFormatting sqref="G336 G347">
    <cfRule type="cellIs" dxfId="4916" priority="5873" stopIfTrue="1" operator="notEqual">
      <formula>H336</formula>
    </cfRule>
  </conditionalFormatting>
  <conditionalFormatting sqref="G337">
    <cfRule type="cellIs" dxfId="4915" priority="5872" stopIfTrue="1" operator="notEqual">
      <formula>H337</formula>
    </cfRule>
  </conditionalFormatting>
  <conditionalFormatting sqref="G338">
    <cfRule type="cellIs" dxfId="4914" priority="5871" stopIfTrue="1" operator="notEqual">
      <formula>H338</formula>
    </cfRule>
  </conditionalFormatting>
  <conditionalFormatting sqref="G339">
    <cfRule type="cellIs" dxfId="4913" priority="5870" stopIfTrue="1" operator="notEqual">
      <formula>H339</formula>
    </cfRule>
  </conditionalFormatting>
  <conditionalFormatting sqref="G340">
    <cfRule type="cellIs" dxfId="4912" priority="5869" stopIfTrue="1" operator="notEqual">
      <formula>H340</formula>
    </cfRule>
  </conditionalFormatting>
  <conditionalFormatting sqref="G341">
    <cfRule type="cellIs" dxfId="4911" priority="5868" stopIfTrue="1" operator="notEqual">
      <formula>H341</formula>
    </cfRule>
  </conditionalFormatting>
  <conditionalFormatting sqref="G342">
    <cfRule type="cellIs" dxfId="4910" priority="5867" stopIfTrue="1" operator="notEqual">
      <formula>H342</formula>
    </cfRule>
  </conditionalFormatting>
  <conditionalFormatting sqref="G343">
    <cfRule type="cellIs" dxfId="4909" priority="5866" stopIfTrue="1" operator="notEqual">
      <formula>H343</formula>
    </cfRule>
  </conditionalFormatting>
  <conditionalFormatting sqref="G344">
    <cfRule type="cellIs" dxfId="4908" priority="5865" stopIfTrue="1" operator="notEqual">
      <formula>H344</formula>
    </cfRule>
  </conditionalFormatting>
  <conditionalFormatting sqref="G345">
    <cfRule type="cellIs" dxfId="4907" priority="5864" stopIfTrue="1" operator="notEqual">
      <formula>H345</formula>
    </cfRule>
  </conditionalFormatting>
  <conditionalFormatting sqref="G347">
    <cfRule type="cellIs" dxfId="4906" priority="5863" stopIfTrue="1" operator="notEqual">
      <formula>H347</formula>
    </cfRule>
  </conditionalFormatting>
  <conditionalFormatting sqref="O342:O347 M342:M347 G342:G347 K342:K347 S342:S347 U342:U347 W342:W347 I342:I347 Q342:Q347">
    <cfRule type="cellIs" dxfId="4905" priority="5862" stopIfTrue="1" operator="notEqual">
      <formula>H342</formula>
    </cfRule>
  </conditionalFormatting>
  <conditionalFormatting sqref="O336 M336 G336 K336 S336 U336 W336 I336 Q336 O347 M347 G347 K347 S347 U347 W347 I347 Q347">
    <cfRule type="cellIs" dxfId="4904" priority="5861" stopIfTrue="1" operator="notEqual">
      <formula>H336</formula>
    </cfRule>
  </conditionalFormatting>
  <conditionalFormatting sqref="O337 M337 G337 K337 S337 U337 W337 I337 Q337">
    <cfRule type="cellIs" dxfId="4903" priority="5860" stopIfTrue="1" operator="notEqual">
      <formula>H337</formula>
    </cfRule>
  </conditionalFormatting>
  <conditionalFormatting sqref="O338 M338 G338 K338 S338 U338 W338 I338 Q338">
    <cfRule type="cellIs" dxfId="4902" priority="5859" stopIfTrue="1" operator="notEqual">
      <formula>H338</formula>
    </cfRule>
  </conditionalFormatting>
  <conditionalFormatting sqref="O339 M339 G339 K339 S339 U339 W339 I339 Q339">
    <cfRule type="cellIs" dxfId="4901" priority="5858" stopIfTrue="1" operator="notEqual">
      <formula>H339</formula>
    </cfRule>
  </conditionalFormatting>
  <conditionalFormatting sqref="O340 M340 G340 K340 S340 U340 W340 I340 Q340">
    <cfRule type="cellIs" dxfId="4900" priority="5857" stopIfTrue="1" operator="notEqual">
      <formula>H340</formula>
    </cfRule>
  </conditionalFormatting>
  <conditionalFormatting sqref="O341 M341 G341 K341 S341 U341 W341 I341 Q341">
    <cfRule type="cellIs" dxfId="4899" priority="5856" stopIfTrue="1" operator="notEqual">
      <formula>H341</formula>
    </cfRule>
  </conditionalFormatting>
  <conditionalFormatting sqref="O344 M344 G344 K344 S344 U344 W344 I344 Q344">
    <cfRule type="cellIs" dxfId="4898" priority="5855" stopIfTrue="1" operator="notEqual">
      <formula>H344</formula>
    </cfRule>
  </conditionalFormatting>
  <conditionalFormatting sqref="O345 M345 G345 K345 S345 U345 W345 I345 Q345">
    <cfRule type="cellIs" dxfId="4897" priority="5854" stopIfTrue="1" operator="notEqual">
      <formula>H345</formula>
    </cfRule>
  </conditionalFormatting>
  <conditionalFormatting sqref="O345 M345 G345 K345 S345 U345 W345 I345 Q345">
    <cfRule type="cellIs" dxfId="4896" priority="5853" stopIfTrue="1" operator="notEqual">
      <formula>H345</formula>
    </cfRule>
  </conditionalFormatting>
  <conditionalFormatting sqref="O343 M343 G343 K343 S343 U343 W343 I343 Q343">
    <cfRule type="cellIs" dxfId="4895" priority="5852" stopIfTrue="1" operator="notEqual">
      <formula>H343</formula>
    </cfRule>
  </conditionalFormatting>
  <conditionalFormatting sqref="O347 M347 G347 K347 S347 U347 W347 I347 Q347">
    <cfRule type="cellIs" dxfId="4894" priority="5851" stopIfTrue="1" operator="notEqual">
      <formula>H347</formula>
    </cfRule>
  </conditionalFormatting>
  <conditionalFormatting sqref="O336 M336 G336 K336 S336 U336 W336 I336 Q336 O347 M347 G347 K347 S347 U347 W347 I347 Q347">
    <cfRule type="cellIs" dxfId="4893" priority="5850" stopIfTrue="1" operator="notEqual">
      <formula>H336</formula>
    </cfRule>
  </conditionalFormatting>
  <conditionalFormatting sqref="O337 M337 G337 K337 S337 U337 W337 I337 Q337">
    <cfRule type="cellIs" dxfId="4892" priority="5849" stopIfTrue="1" operator="notEqual">
      <formula>H337</formula>
    </cfRule>
  </conditionalFormatting>
  <conditionalFormatting sqref="O338 M338 G338 K338 S338 U338 W338 I338 Q338">
    <cfRule type="cellIs" dxfId="4891" priority="5848" stopIfTrue="1" operator="notEqual">
      <formula>H338</formula>
    </cfRule>
  </conditionalFormatting>
  <conditionalFormatting sqref="O339 M339 G339 K339 S339 U339 W339 I339 Q339">
    <cfRule type="cellIs" dxfId="4890" priority="5847" stopIfTrue="1" operator="notEqual">
      <formula>H339</formula>
    </cfRule>
  </conditionalFormatting>
  <conditionalFormatting sqref="O340 M340 G340 K340 S340 U340 W340 I340 Q340">
    <cfRule type="cellIs" dxfId="4889" priority="5846" stopIfTrue="1" operator="notEqual">
      <formula>H340</formula>
    </cfRule>
  </conditionalFormatting>
  <conditionalFormatting sqref="O341 M341 G341 K341 S341 U341 W341 I341 Q341">
    <cfRule type="cellIs" dxfId="4888" priority="5845" stopIfTrue="1" operator="notEqual">
      <formula>H341</formula>
    </cfRule>
  </conditionalFormatting>
  <conditionalFormatting sqref="O342 M342 G342 K342 S342 U342 W342 I342 Q342">
    <cfRule type="cellIs" dxfId="4887" priority="5844" stopIfTrue="1" operator="notEqual">
      <formula>H342</formula>
    </cfRule>
  </conditionalFormatting>
  <conditionalFormatting sqref="O343 M343 G343 K343 S343 U343 W343 I343 Q343">
    <cfRule type="cellIs" dxfId="4886" priority="5843" stopIfTrue="1" operator="notEqual">
      <formula>H343</formula>
    </cfRule>
  </conditionalFormatting>
  <conditionalFormatting sqref="O344 M344 G344 K344 S344 U344 W344 I344 Q344">
    <cfRule type="cellIs" dxfId="4885" priority="5842" stopIfTrue="1" operator="notEqual">
      <formula>H344</formula>
    </cfRule>
  </conditionalFormatting>
  <conditionalFormatting sqref="O345 M345 G345 K345 S345 U345 W345 I345 Q345">
    <cfRule type="cellIs" dxfId="4884" priority="5841" stopIfTrue="1" operator="notEqual">
      <formula>H345</formula>
    </cfRule>
  </conditionalFormatting>
  <conditionalFormatting sqref="O346 M346 G346 K346 S346 U346 W346 I346 Q346">
    <cfRule type="cellIs" dxfId="4883" priority="5840" stopIfTrue="1" operator="notEqual">
      <formula>H346</formula>
    </cfRule>
  </conditionalFormatting>
  <conditionalFormatting sqref="O347 M347 G347 K347 S347 U347 W347 I347 Q347">
    <cfRule type="cellIs" dxfId="4882" priority="5839" stopIfTrue="1" operator="notEqual">
      <formula>H347</formula>
    </cfRule>
  </conditionalFormatting>
  <conditionalFormatting sqref="G347:G350">
    <cfRule type="cellIs" dxfId="4881" priority="5838" stopIfTrue="1" operator="notEqual">
      <formula>H347</formula>
    </cfRule>
  </conditionalFormatting>
  <conditionalFormatting sqref="G347">
    <cfRule type="cellIs" dxfId="4880" priority="5837" stopIfTrue="1" operator="notEqual">
      <formula>H347</formula>
    </cfRule>
  </conditionalFormatting>
  <conditionalFormatting sqref="G348">
    <cfRule type="cellIs" dxfId="4879" priority="5836" stopIfTrue="1" operator="notEqual">
      <formula>H348</formula>
    </cfRule>
  </conditionalFormatting>
  <conditionalFormatting sqref="G348">
    <cfRule type="cellIs" dxfId="4878" priority="5835" stopIfTrue="1" operator="notEqual">
      <formula>H348</formula>
    </cfRule>
  </conditionalFormatting>
  <conditionalFormatting sqref="G351">
    <cfRule type="cellIs" dxfId="4877" priority="5834" stopIfTrue="1" operator="notEqual">
      <formula>H351</formula>
    </cfRule>
  </conditionalFormatting>
  <conditionalFormatting sqref="G352">
    <cfRule type="cellIs" dxfId="4876" priority="5833" stopIfTrue="1" operator="notEqual">
      <formula>H352</formula>
    </cfRule>
  </conditionalFormatting>
  <conditionalFormatting sqref="G350">
    <cfRule type="cellIs" dxfId="4875" priority="5832" stopIfTrue="1" operator="notEqual">
      <formula>H350</formula>
    </cfRule>
  </conditionalFormatting>
  <conditionalFormatting sqref="G353">
    <cfRule type="cellIs" dxfId="4874" priority="5831" stopIfTrue="1" operator="notEqual">
      <formula>H353</formula>
    </cfRule>
  </conditionalFormatting>
  <conditionalFormatting sqref="G354">
    <cfRule type="cellIs" dxfId="4873" priority="5830" stopIfTrue="1" operator="notEqual">
      <formula>H354</formula>
    </cfRule>
  </conditionalFormatting>
  <conditionalFormatting sqref="G355">
    <cfRule type="cellIs" dxfId="4872" priority="5829" stopIfTrue="1" operator="notEqual">
      <formula>H355</formula>
    </cfRule>
  </conditionalFormatting>
  <conditionalFormatting sqref="O347 M347 G347 K347 S347 U347 W347 I347 Q347">
    <cfRule type="cellIs" dxfId="4871" priority="5828" stopIfTrue="1" operator="notEqual">
      <formula>H347</formula>
    </cfRule>
  </conditionalFormatting>
  <conditionalFormatting sqref="O348 M348 G348 K348 S348 U348 W348 I348 Q348">
    <cfRule type="cellIs" dxfId="4870" priority="5827" stopIfTrue="1" operator="notEqual">
      <formula>H348</formula>
    </cfRule>
  </conditionalFormatting>
  <conditionalFormatting sqref="O349 M349 G349 K349 S349 U349 W349 I349 Q349">
    <cfRule type="cellIs" dxfId="4869" priority="5826" stopIfTrue="1" operator="notEqual">
      <formula>H349</formula>
    </cfRule>
  </conditionalFormatting>
  <conditionalFormatting sqref="O350 M350 G350 K350 S350 U350 W350 I350 Q350">
    <cfRule type="cellIs" dxfId="4868" priority="5825" stopIfTrue="1" operator="notEqual">
      <formula>H350</formula>
    </cfRule>
  </conditionalFormatting>
  <conditionalFormatting sqref="O351 M351 G351 K351 S351 U351 W351 I351 Q351">
    <cfRule type="cellIs" dxfId="4867" priority="5824" stopIfTrue="1" operator="notEqual">
      <formula>H351</formula>
    </cfRule>
  </conditionalFormatting>
  <conditionalFormatting sqref="O352 M352 G352 K352 S352 U352 W352 I352 Q352">
    <cfRule type="cellIs" dxfId="4866" priority="5823" stopIfTrue="1" operator="notEqual">
      <formula>H352</formula>
    </cfRule>
  </conditionalFormatting>
  <conditionalFormatting sqref="O353 M353 G353 K353 S353 U353 W353 I353 Q353">
    <cfRule type="cellIs" dxfId="4865" priority="5822" stopIfTrue="1" operator="notEqual">
      <formula>H353</formula>
    </cfRule>
  </conditionalFormatting>
  <conditionalFormatting sqref="O354 M354 G354 K354 S354 U354 W354 I354 Q354">
    <cfRule type="cellIs" dxfId="4864" priority="5821" stopIfTrue="1" operator="notEqual">
      <formula>H354</formula>
    </cfRule>
  </conditionalFormatting>
  <conditionalFormatting sqref="O355 M355 G355 K355 S355 U355 W355 I355 Q355">
    <cfRule type="cellIs" dxfId="4863" priority="5820" stopIfTrue="1" operator="notEqual">
      <formula>H355</formula>
    </cfRule>
  </conditionalFormatting>
  <conditionalFormatting sqref="G347">
    <cfRule type="cellIs" dxfId="4862" priority="5819" stopIfTrue="1" operator="notEqual">
      <formula>H347</formula>
    </cfRule>
  </conditionalFormatting>
  <conditionalFormatting sqref="G348">
    <cfRule type="cellIs" dxfId="4861" priority="5818" stopIfTrue="1" operator="notEqual">
      <formula>H348</formula>
    </cfRule>
  </conditionalFormatting>
  <conditionalFormatting sqref="G349">
    <cfRule type="cellIs" dxfId="4860" priority="5817" stopIfTrue="1" operator="notEqual">
      <formula>H349</formula>
    </cfRule>
  </conditionalFormatting>
  <conditionalFormatting sqref="G350">
    <cfRule type="cellIs" dxfId="4859" priority="5816" stopIfTrue="1" operator="notEqual">
      <formula>H350</formula>
    </cfRule>
  </conditionalFormatting>
  <conditionalFormatting sqref="G351">
    <cfRule type="cellIs" dxfId="4858" priority="5815" stopIfTrue="1" operator="notEqual">
      <formula>H351</formula>
    </cfRule>
  </conditionalFormatting>
  <conditionalFormatting sqref="G352">
    <cfRule type="cellIs" dxfId="4857" priority="5814" stopIfTrue="1" operator="notEqual">
      <formula>H352</formula>
    </cfRule>
  </conditionalFormatting>
  <conditionalFormatting sqref="G353">
    <cfRule type="cellIs" dxfId="4856" priority="5813" stopIfTrue="1" operator="notEqual">
      <formula>H353</formula>
    </cfRule>
  </conditionalFormatting>
  <conditionalFormatting sqref="G354">
    <cfRule type="cellIs" dxfId="4855" priority="5812" stopIfTrue="1" operator="notEqual">
      <formula>H354</formula>
    </cfRule>
  </conditionalFormatting>
  <conditionalFormatting sqref="G355">
    <cfRule type="cellIs" dxfId="4854" priority="5811" stopIfTrue="1" operator="notEqual">
      <formula>H355</formula>
    </cfRule>
  </conditionalFormatting>
  <conditionalFormatting sqref="G347">
    <cfRule type="cellIs" dxfId="4853" priority="5810" stopIfTrue="1" operator="notEqual">
      <formula>H347</formula>
    </cfRule>
  </conditionalFormatting>
  <conditionalFormatting sqref="G347">
    <cfRule type="cellIs" dxfId="4852" priority="5809" stopIfTrue="1" operator="notEqual">
      <formula>H347</formula>
    </cfRule>
  </conditionalFormatting>
  <conditionalFormatting sqref="G347">
    <cfRule type="cellIs" dxfId="4851" priority="5808" stopIfTrue="1" operator="notEqual">
      <formula>H347</formula>
    </cfRule>
  </conditionalFormatting>
  <conditionalFormatting sqref="G347">
    <cfRule type="cellIs" dxfId="4850" priority="5807" stopIfTrue="1" operator="notEqual">
      <formula>H347</formula>
    </cfRule>
  </conditionalFormatting>
  <conditionalFormatting sqref="G347">
    <cfRule type="cellIs" dxfId="4849" priority="5806" stopIfTrue="1" operator="notEqual">
      <formula>H347</formula>
    </cfRule>
  </conditionalFormatting>
  <conditionalFormatting sqref="G347">
    <cfRule type="cellIs" dxfId="4848" priority="5805" stopIfTrue="1" operator="notEqual">
      <formula>H347</formula>
    </cfRule>
  </conditionalFormatting>
  <conditionalFormatting sqref="O347 M347 G347 K347 S347 U347 W347 I347 Q347">
    <cfRule type="cellIs" dxfId="4847" priority="5804" stopIfTrue="1" operator="notEqual">
      <formula>H347</formula>
    </cfRule>
  </conditionalFormatting>
  <conditionalFormatting sqref="O348 M348 G348 K348 S348 U348 W348 I348 Q348">
    <cfRule type="cellIs" dxfId="4846" priority="5803" stopIfTrue="1" operator="notEqual">
      <formula>H348</formula>
    </cfRule>
  </conditionalFormatting>
  <conditionalFormatting sqref="O349 M349 G349 K349 S349 U349 W349 I349 Q349">
    <cfRule type="cellIs" dxfId="4845" priority="5802" stopIfTrue="1" operator="notEqual">
      <formula>H349</formula>
    </cfRule>
  </conditionalFormatting>
  <conditionalFormatting sqref="O350 M350 G350 K350 S350 U350 W350 I350 Q350">
    <cfRule type="cellIs" dxfId="4844" priority="5801" stopIfTrue="1" operator="notEqual">
      <formula>H350</formula>
    </cfRule>
  </conditionalFormatting>
  <conditionalFormatting sqref="O351 M351 G351 K351 S351 U351 W351 I351 Q351">
    <cfRule type="cellIs" dxfId="4843" priority="5800" stopIfTrue="1" operator="notEqual">
      <formula>H351</formula>
    </cfRule>
  </conditionalFormatting>
  <conditionalFormatting sqref="O352 M352 G352 K352 S352 U352 W352 I352 Q352">
    <cfRule type="cellIs" dxfId="4842" priority="5799" stopIfTrue="1" operator="notEqual">
      <formula>H352</formula>
    </cfRule>
  </conditionalFormatting>
  <conditionalFormatting sqref="O353 M353 G353 K353 S353 U353 W353 I353 Q353">
    <cfRule type="cellIs" dxfId="4841" priority="5798" stopIfTrue="1" operator="notEqual">
      <formula>H353</formula>
    </cfRule>
  </conditionalFormatting>
  <conditionalFormatting sqref="O354 M354 G354 K354 S354 U354 W354 I354 Q354">
    <cfRule type="cellIs" dxfId="4840" priority="5797" stopIfTrue="1" operator="notEqual">
      <formula>H354</formula>
    </cfRule>
  </conditionalFormatting>
  <conditionalFormatting sqref="O355 M355 G355 K355 S355 U355 W355 I355 Q355">
    <cfRule type="cellIs" dxfId="4839" priority="5796" stopIfTrue="1" operator="notEqual">
      <formula>H355</formula>
    </cfRule>
  </conditionalFormatting>
  <conditionalFormatting sqref="O347 M347 G347 K347 S347 U347 W347 I347 Q347">
    <cfRule type="cellIs" dxfId="4838" priority="5795" stopIfTrue="1" operator="notEqual">
      <formula>H347</formula>
    </cfRule>
  </conditionalFormatting>
  <conditionalFormatting sqref="O348 M348 G348 K348 S348 U348 W348 I348 Q348">
    <cfRule type="cellIs" dxfId="4837" priority="5794" stopIfTrue="1" operator="notEqual">
      <formula>H348</formula>
    </cfRule>
  </conditionalFormatting>
  <conditionalFormatting sqref="O349 M349 G349 K349 S349 U349 W349 I349 Q349">
    <cfRule type="cellIs" dxfId="4836" priority="5793" stopIfTrue="1" operator="notEqual">
      <formula>H349</formula>
    </cfRule>
  </conditionalFormatting>
  <conditionalFormatting sqref="O347 M347 G347 K347 S347 U347 W347 I347 Q347">
    <cfRule type="cellIs" dxfId="4835" priority="5792" stopIfTrue="1" operator="notEqual">
      <formula>H347</formula>
    </cfRule>
  </conditionalFormatting>
  <conditionalFormatting sqref="O350 M350 G350 K350 S350 U350 W350 I350 Q350">
    <cfRule type="cellIs" dxfId="4834" priority="5791" stopIfTrue="1" operator="notEqual">
      <formula>H350</formula>
    </cfRule>
  </conditionalFormatting>
  <conditionalFormatting sqref="O351 M351 G351 K351 S351 U351 W351 I351 Q351">
    <cfRule type="cellIs" dxfId="4833" priority="5790" stopIfTrue="1" operator="notEqual">
      <formula>H351</formula>
    </cfRule>
  </conditionalFormatting>
  <conditionalFormatting sqref="O352 M352 G352 K352 S352 U352 W352 I352 Q352">
    <cfRule type="cellIs" dxfId="4832" priority="5789" stopIfTrue="1" operator="notEqual">
      <formula>H352</formula>
    </cfRule>
  </conditionalFormatting>
  <conditionalFormatting sqref="O353 M353 G353 K353 S353 U353 W353 I353 Q353">
    <cfRule type="cellIs" dxfId="4831" priority="5788" stopIfTrue="1" operator="notEqual">
      <formula>H353</formula>
    </cfRule>
  </conditionalFormatting>
  <conditionalFormatting sqref="O354 M354 G354 K354 S354 U354 W354 I354 Q354">
    <cfRule type="cellIs" dxfId="4830" priority="5787" stopIfTrue="1" operator="notEqual">
      <formula>H354</formula>
    </cfRule>
  </conditionalFormatting>
  <conditionalFormatting sqref="O355 M355 G355 K355 S355 U355 W355 I355 Q355">
    <cfRule type="cellIs" dxfId="4829" priority="5786" stopIfTrue="1" operator="notEqual">
      <formula>H355</formula>
    </cfRule>
  </conditionalFormatting>
  <conditionalFormatting sqref="G350:G355">
    <cfRule type="cellIs" dxfId="4828" priority="5785" stopIfTrue="1" operator="notEqual">
      <formula>H350</formula>
    </cfRule>
  </conditionalFormatting>
  <conditionalFormatting sqref="G336 G347">
    <cfRule type="cellIs" dxfId="4827" priority="5784" stopIfTrue="1" operator="notEqual">
      <formula>H336</formula>
    </cfRule>
  </conditionalFormatting>
  <conditionalFormatting sqref="G337">
    <cfRule type="cellIs" dxfId="4826" priority="5783" stopIfTrue="1" operator="notEqual">
      <formula>H337</formula>
    </cfRule>
  </conditionalFormatting>
  <conditionalFormatting sqref="G338">
    <cfRule type="cellIs" dxfId="4825" priority="5782" stopIfTrue="1" operator="notEqual">
      <formula>H338</formula>
    </cfRule>
  </conditionalFormatting>
  <conditionalFormatting sqref="G339">
    <cfRule type="cellIs" dxfId="4824" priority="5781" stopIfTrue="1" operator="notEqual">
      <formula>H339</formula>
    </cfRule>
  </conditionalFormatting>
  <conditionalFormatting sqref="G340">
    <cfRule type="cellIs" dxfId="4823" priority="5780" stopIfTrue="1" operator="notEqual">
      <formula>H340</formula>
    </cfRule>
  </conditionalFormatting>
  <conditionalFormatting sqref="G341">
    <cfRule type="cellIs" dxfId="4822" priority="5779" stopIfTrue="1" operator="notEqual">
      <formula>H341</formula>
    </cfRule>
  </conditionalFormatting>
  <conditionalFormatting sqref="G342">
    <cfRule type="cellIs" dxfId="4821" priority="5778" stopIfTrue="1" operator="notEqual">
      <formula>H342</formula>
    </cfRule>
  </conditionalFormatting>
  <conditionalFormatting sqref="G343">
    <cfRule type="cellIs" dxfId="4820" priority="5777" stopIfTrue="1" operator="notEqual">
      <formula>H343</formula>
    </cfRule>
  </conditionalFormatting>
  <conditionalFormatting sqref="G344">
    <cfRule type="cellIs" dxfId="4819" priority="5776" stopIfTrue="1" operator="notEqual">
      <formula>H344</formula>
    </cfRule>
  </conditionalFormatting>
  <conditionalFormatting sqref="G345">
    <cfRule type="cellIs" dxfId="4818" priority="5775" stopIfTrue="1" operator="notEqual">
      <formula>H345</formula>
    </cfRule>
  </conditionalFormatting>
  <conditionalFormatting sqref="G346">
    <cfRule type="cellIs" dxfId="4817" priority="5774" stopIfTrue="1" operator="notEqual">
      <formula>H346</formula>
    </cfRule>
  </conditionalFormatting>
  <conditionalFormatting sqref="G347">
    <cfRule type="cellIs" dxfId="4816" priority="5773" stopIfTrue="1" operator="notEqual">
      <formula>H347</formula>
    </cfRule>
  </conditionalFormatting>
  <conditionalFormatting sqref="G348">
    <cfRule type="cellIs" dxfId="4815" priority="5772" stopIfTrue="1" operator="notEqual">
      <formula>H348</formula>
    </cfRule>
  </conditionalFormatting>
  <conditionalFormatting sqref="G349">
    <cfRule type="cellIs" dxfId="4814" priority="5771" stopIfTrue="1" operator="notEqual">
      <formula>H349</formula>
    </cfRule>
  </conditionalFormatting>
  <conditionalFormatting sqref="G336 G347">
    <cfRule type="cellIs" dxfId="4813" priority="5770" stopIfTrue="1" operator="notEqual">
      <formula>H336</formula>
    </cfRule>
  </conditionalFormatting>
  <conditionalFormatting sqref="G336 G347">
    <cfRule type="cellIs" dxfId="4812" priority="5769" stopIfTrue="1" operator="notEqual">
      <formula>H336</formula>
    </cfRule>
  </conditionalFormatting>
  <conditionalFormatting sqref="G336 G347">
    <cfRule type="cellIs" dxfId="4811" priority="5768" stopIfTrue="1" operator="notEqual">
      <formula>H336</formula>
    </cfRule>
  </conditionalFormatting>
  <conditionalFormatting sqref="G336 G347">
    <cfRule type="cellIs" dxfId="4810" priority="5767" stopIfTrue="1" operator="notEqual">
      <formula>H336</formula>
    </cfRule>
  </conditionalFormatting>
  <conditionalFormatting sqref="G336 G347">
    <cfRule type="cellIs" dxfId="4809" priority="5766" stopIfTrue="1" operator="notEqual">
      <formula>H336</formula>
    </cfRule>
  </conditionalFormatting>
  <conditionalFormatting sqref="G336 G347">
    <cfRule type="cellIs" dxfId="4808" priority="5765" stopIfTrue="1" operator="notEqual">
      <formula>H336</formula>
    </cfRule>
  </conditionalFormatting>
  <conditionalFormatting sqref="G352">
    <cfRule type="cellIs" dxfId="4807" priority="5764" stopIfTrue="1" operator="notEqual">
      <formula>H352</formula>
    </cfRule>
  </conditionalFormatting>
  <conditionalFormatting sqref="G353">
    <cfRule type="cellIs" dxfId="4806" priority="5763" stopIfTrue="1" operator="notEqual">
      <formula>H353</formula>
    </cfRule>
  </conditionalFormatting>
  <conditionalFormatting sqref="G353">
    <cfRule type="cellIs" dxfId="4805" priority="5762" stopIfTrue="1" operator="notEqual">
      <formula>H353</formula>
    </cfRule>
  </conditionalFormatting>
  <conditionalFormatting sqref="G351">
    <cfRule type="cellIs" dxfId="4804" priority="5761" stopIfTrue="1" operator="notEqual">
      <formula>H351</formula>
    </cfRule>
  </conditionalFormatting>
  <conditionalFormatting sqref="G355">
    <cfRule type="cellIs" dxfId="4803" priority="5760" stopIfTrue="1" operator="notEqual">
      <formula>H355</formula>
    </cfRule>
  </conditionalFormatting>
  <conditionalFormatting sqref="O346:O351 M346:M351 G346:G351 K346:K351 S346:S351 U346:U351 W346:W351 I346:I351 Q346:Q351">
    <cfRule type="cellIs" dxfId="4802" priority="5759" stopIfTrue="1" operator="notEqual">
      <formula>H346</formula>
    </cfRule>
  </conditionalFormatting>
  <conditionalFormatting sqref="O336 M336 G336 K336 S336 U336 W336 I336 Q336 O347 M347 G347 K347 S347 U347 W347 I347 Q347">
    <cfRule type="cellIs" dxfId="4801" priority="5758" stopIfTrue="1" operator="notEqual">
      <formula>H336</formula>
    </cfRule>
  </conditionalFormatting>
  <conditionalFormatting sqref="O337 M337 G337 K337 S337 U337 W337 I337 Q337">
    <cfRule type="cellIs" dxfId="4800" priority="5757" stopIfTrue="1" operator="notEqual">
      <formula>H337</formula>
    </cfRule>
  </conditionalFormatting>
  <conditionalFormatting sqref="O338 M338 G338 K338 S338 U338 W338 I338 Q338">
    <cfRule type="cellIs" dxfId="4799" priority="5756" stopIfTrue="1" operator="notEqual">
      <formula>H338</formula>
    </cfRule>
  </conditionalFormatting>
  <conditionalFormatting sqref="O339 M339 G339 K339 S339 U339 W339 I339 Q339">
    <cfRule type="cellIs" dxfId="4798" priority="5755" stopIfTrue="1" operator="notEqual">
      <formula>H339</formula>
    </cfRule>
  </conditionalFormatting>
  <conditionalFormatting sqref="O340 M340 G340 K340 S340 U340 W340 I340 Q340">
    <cfRule type="cellIs" dxfId="4797" priority="5754" stopIfTrue="1" operator="notEqual">
      <formula>H340</formula>
    </cfRule>
  </conditionalFormatting>
  <conditionalFormatting sqref="O341 M341 G341 K341 S341 U341 W341 I341 Q341">
    <cfRule type="cellIs" dxfId="4796" priority="5753" stopIfTrue="1" operator="notEqual">
      <formula>H341</formula>
    </cfRule>
  </conditionalFormatting>
  <conditionalFormatting sqref="O342 M342 G342 K342 S342 U342 W342 I342 Q342">
    <cfRule type="cellIs" dxfId="4795" priority="5752" stopIfTrue="1" operator="notEqual">
      <formula>H342</formula>
    </cfRule>
  </conditionalFormatting>
  <conditionalFormatting sqref="O343 M343 G343 K343 S343 U343 W343 I343 Q343">
    <cfRule type="cellIs" dxfId="4794" priority="5751" stopIfTrue="1" operator="notEqual">
      <formula>H343</formula>
    </cfRule>
  </conditionalFormatting>
  <conditionalFormatting sqref="O344 M344 G344 K344 S344 U344 W344 I344 Q344">
    <cfRule type="cellIs" dxfId="4793" priority="5750" stopIfTrue="1" operator="notEqual">
      <formula>H344</formula>
    </cfRule>
  </conditionalFormatting>
  <conditionalFormatting sqref="O345 M345 G345 K345 S345 U345 W345 I345 Q345">
    <cfRule type="cellIs" dxfId="4792" priority="5749" stopIfTrue="1" operator="notEqual">
      <formula>H345</formula>
    </cfRule>
  </conditionalFormatting>
  <conditionalFormatting sqref="O348 M348 G348 K348 S348 U348 W348 I348 Q348">
    <cfRule type="cellIs" dxfId="4791" priority="5748" stopIfTrue="1" operator="notEqual">
      <formula>H348</formula>
    </cfRule>
  </conditionalFormatting>
  <conditionalFormatting sqref="O349 M349 G349 K349 S349 U349 W349 I349 Q349">
    <cfRule type="cellIs" dxfId="4790" priority="5747" stopIfTrue="1" operator="notEqual">
      <formula>H349</formula>
    </cfRule>
  </conditionalFormatting>
  <conditionalFormatting sqref="O349 M349 G349 K349 S349 U349 W349 I349 Q349">
    <cfRule type="cellIs" dxfId="4789" priority="5746" stopIfTrue="1" operator="notEqual">
      <formula>H349</formula>
    </cfRule>
  </conditionalFormatting>
  <conditionalFormatting sqref="O347 M347 G347 K347 S347 U347 W347 I347 Q347">
    <cfRule type="cellIs" dxfId="4788" priority="5745" stopIfTrue="1" operator="notEqual">
      <formula>H347</formula>
    </cfRule>
  </conditionalFormatting>
  <conditionalFormatting sqref="O352 M352 G352 K352 S352 U352 W352 I352 Q352">
    <cfRule type="cellIs" dxfId="4787" priority="5744" stopIfTrue="1" operator="notEqual">
      <formula>H352</formula>
    </cfRule>
  </conditionalFormatting>
  <conditionalFormatting sqref="O353 M353 G353 K353 S353 U353 W353 I353 Q353">
    <cfRule type="cellIs" dxfId="4786" priority="5743" stopIfTrue="1" operator="notEqual">
      <formula>H353</formula>
    </cfRule>
  </conditionalFormatting>
  <conditionalFormatting sqref="O351 M351 G351 K351 S351 U351 W351 I351 Q351">
    <cfRule type="cellIs" dxfId="4785" priority="5742" stopIfTrue="1" operator="notEqual">
      <formula>H351</formula>
    </cfRule>
  </conditionalFormatting>
  <conditionalFormatting sqref="O354 M354 G354 K354 S354 U354 W354 I354 Q354">
    <cfRule type="cellIs" dxfId="4784" priority="5741" stopIfTrue="1" operator="notEqual">
      <formula>H354</formula>
    </cfRule>
  </conditionalFormatting>
  <conditionalFormatting sqref="O355 M355 G355 K355 S355 U355 W355 I355 Q355">
    <cfRule type="cellIs" dxfId="4783" priority="5740" stopIfTrue="1" operator="notEqual">
      <formula>H355</formula>
    </cfRule>
  </conditionalFormatting>
  <conditionalFormatting sqref="O336 M336 G336 K336 S336 U336 W336 I336 Q336 O347 M347 G347 K347 S347 U347 W347 I347 Q347">
    <cfRule type="cellIs" dxfId="4782" priority="5739" stopIfTrue="1" operator="notEqual">
      <formula>H336</formula>
    </cfRule>
  </conditionalFormatting>
  <conditionalFormatting sqref="O337 M337 G337 K337 S337 U337 W337 I337 Q337">
    <cfRule type="cellIs" dxfId="4781" priority="5738" stopIfTrue="1" operator="notEqual">
      <formula>H337</formula>
    </cfRule>
  </conditionalFormatting>
  <conditionalFormatting sqref="O338 M338 G338 K338 S338 U338 W338 I338 Q338">
    <cfRule type="cellIs" dxfId="4780" priority="5737" stopIfTrue="1" operator="notEqual">
      <formula>H338</formula>
    </cfRule>
  </conditionalFormatting>
  <conditionalFormatting sqref="O336 M336 G336 K336 S336 U336 W336 I336 Q336 O347 M347 G347 K347 S347 U347 W347 I347 Q347">
    <cfRule type="cellIs" dxfId="4779" priority="5736" stopIfTrue="1" operator="notEqual">
      <formula>H336</formula>
    </cfRule>
  </conditionalFormatting>
  <conditionalFormatting sqref="O339 M339 G339 K339 S339 U339 W339 I339 Q339">
    <cfRule type="cellIs" dxfId="4778" priority="5735" stopIfTrue="1" operator="notEqual">
      <formula>H339</formula>
    </cfRule>
  </conditionalFormatting>
  <conditionalFormatting sqref="O340 M340 G340 K340 S340 U340 W340 I340 Q340">
    <cfRule type="cellIs" dxfId="4777" priority="5734" stopIfTrue="1" operator="notEqual">
      <formula>H340</formula>
    </cfRule>
  </conditionalFormatting>
  <conditionalFormatting sqref="O341 M341 G341 K341 S341 U341 W341 I341 Q341">
    <cfRule type="cellIs" dxfId="4776" priority="5733" stopIfTrue="1" operator="notEqual">
      <formula>H341</formula>
    </cfRule>
  </conditionalFormatting>
  <conditionalFormatting sqref="O342 M342 G342 K342 S342 U342 W342 I342 Q342">
    <cfRule type="cellIs" dxfId="4775" priority="5732" stopIfTrue="1" operator="notEqual">
      <formula>H342</formula>
    </cfRule>
  </conditionalFormatting>
  <conditionalFormatting sqref="O343 M343 G343 K343 S343 U343 W343 I343 Q343">
    <cfRule type="cellIs" dxfId="4774" priority="5731" stopIfTrue="1" operator="notEqual">
      <formula>H343</formula>
    </cfRule>
  </conditionalFormatting>
  <conditionalFormatting sqref="O344 M344 G344 K344 S344 U344 W344 I344 Q344">
    <cfRule type="cellIs" dxfId="4773" priority="5730" stopIfTrue="1" operator="notEqual">
      <formula>H344</formula>
    </cfRule>
  </conditionalFormatting>
  <conditionalFormatting sqref="O345 M345 G345 K345 S345 U345 W345 I345 Q345">
    <cfRule type="cellIs" dxfId="4772" priority="5729" stopIfTrue="1" operator="notEqual">
      <formula>H345</formula>
    </cfRule>
  </conditionalFormatting>
  <conditionalFormatting sqref="O346 M346 G346 K346 S346 U346 W346 I346 Q346">
    <cfRule type="cellIs" dxfId="4771" priority="5728" stopIfTrue="1" operator="notEqual">
      <formula>H346</formula>
    </cfRule>
  </conditionalFormatting>
  <conditionalFormatting sqref="O347 M347 G347 K347 S347 U347 W347 I347 Q347">
    <cfRule type="cellIs" dxfId="4770" priority="5727" stopIfTrue="1" operator="notEqual">
      <formula>H347</formula>
    </cfRule>
  </conditionalFormatting>
  <conditionalFormatting sqref="O348 M348 G348 K348 S348 U348 W348 I348 Q348">
    <cfRule type="cellIs" dxfId="4769" priority="5726" stopIfTrue="1" operator="notEqual">
      <formula>H348</formula>
    </cfRule>
  </conditionalFormatting>
  <conditionalFormatting sqref="O349 M349 G349 K349 S349 U349 W349 I349 Q349">
    <cfRule type="cellIs" dxfId="4768" priority="5725" stopIfTrue="1" operator="notEqual">
      <formula>H349</formula>
    </cfRule>
  </conditionalFormatting>
  <conditionalFormatting sqref="O350 M350 G350 K350 S350 U350 W350 I350 Q350">
    <cfRule type="cellIs" dxfId="4767" priority="5724" stopIfTrue="1" operator="notEqual">
      <formula>H350</formula>
    </cfRule>
  </conditionalFormatting>
  <conditionalFormatting sqref="O351 M351 G351 K351 S351 U351 W351 I351 Q351">
    <cfRule type="cellIs" dxfId="4766" priority="5723" stopIfTrue="1" operator="notEqual">
      <formula>H351</formula>
    </cfRule>
  </conditionalFormatting>
  <conditionalFormatting sqref="G352">
    <cfRule type="cellIs" dxfId="4765" priority="5722" stopIfTrue="1" operator="notEqual">
      <formula>H352</formula>
    </cfRule>
  </conditionalFormatting>
  <conditionalFormatting sqref="G353">
    <cfRule type="cellIs" dxfId="4764" priority="5721" stopIfTrue="1" operator="notEqual">
      <formula>H353</formula>
    </cfRule>
  </conditionalFormatting>
  <conditionalFormatting sqref="G354">
    <cfRule type="cellIs" dxfId="4763" priority="5720" stopIfTrue="1" operator="notEqual">
      <formula>H354</formula>
    </cfRule>
  </conditionalFormatting>
  <conditionalFormatting sqref="G355">
    <cfRule type="cellIs" dxfId="4762" priority="5719" stopIfTrue="1" operator="notEqual">
      <formula>H355</formula>
    </cfRule>
  </conditionalFormatting>
  <conditionalFormatting sqref="G352">
    <cfRule type="cellIs" dxfId="4761" priority="5718" stopIfTrue="1" operator="notEqual">
      <formula>H352</formula>
    </cfRule>
  </conditionalFormatting>
  <conditionalFormatting sqref="G352">
    <cfRule type="cellIs" dxfId="4760" priority="5717" stopIfTrue="1" operator="notEqual">
      <formula>H352</formula>
    </cfRule>
  </conditionalFormatting>
  <conditionalFormatting sqref="G352">
    <cfRule type="cellIs" dxfId="4759" priority="5716" stopIfTrue="1" operator="notEqual">
      <formula>H352</formula>
    </cfRule>
  </conditionalFormatting>
  <conditionalFormatting sqref="G352">
    <cfRule type="cellIs" dxfId="4758" priority="5715" stopIfTrue="1" operator="notEqual">
      <formula>H352</formula>
    </cfRule>
  </conditionalFormatting>
  <conditionalFormatting sqref="G352">
    <cfRule type="cellIs" dxfId="4757" priority="5714" stopIfTrue="1" operator="notEqual">
      <formula>H352</formula>
    </cfRule>
  </conditionalFormatting>
  <conditionalFormatting sqref="G352">
    <cfRule type="cellIs" dxfId="4756" priority="5713" stopIfTrue="1" operator="notEqual">
      <formula>H352</formula>
    </cfRule>
  </conditionalFormatting>
  <conditionalFormatting sqref="O352 M352 G352 K352 S352 U352 W352 I352 Q352">
    <cfRule type="cellIs" dxfId="4755" priority="5712" stopIfTrue="1" operator="notEqual">
      <formula>H352</formula>
    </cfRule>
  </conditionalFormatting>
  <conditionalFormatting sqref="O353 M353 G353 K353 S353 U353 W353 I353 Q353">
    <cfRule type="cellIs" dxfId="4754" priority="5711" stopIfTrue="1" operator="notEqual">
      <formula>H353</formula>
    </cfRule>
  </conditionalFormatting>
  <conditionalFormatting sqref="O354 M354 G354 K354 S354 U354 W354 I354 Q354">
    <cfRule type="cellIs" dxfId="4753" priority="5710" stopIfTrue="1" operator="notEqual">
      <formula>H354</formula>
    </cfRule>
  </conditionalFormatting>
  <conditionalFormatting sqref="O355 M355 G355 K355 S355 U355 W355 I355 Q355">
    <cfRule type="cellIs" dxfId="4752" priority="5709" stopIfTrue="1" operator="notEqual">
      <formula>H355</formula>
    </cfRule>
  </conditionalFormatting>
  <conditionalFormatting sqref="O352 M352 G352 K352 S352 U352 W352 I352 Q352">
    <cfRule type="cellIs" dxfId="4751" priority="5708" stopIfTrue="1" operator="notEqual">
      <formula>H352</formula>
    </cfRule>
  </conditionalFormatting>
  <conditionalFormatting sqref="O353 M353 G353 K353 S353 U353 W353 I353 Q353">
    <cfRule type="cellIs" dxfId="4750" priority="5707" stopIfTrue="1" operator="notEqual">
      <formula>H353</formula>
    </cfRule>
  </conditionalFormatting>
  <conditionalFormatting sqref="O354 M354 G354 K354 S354 U354 W354 I354 Q354">
    <cfRule type="cellIs" dxfId="4749" priority="5706" stopIfTrue="1" operator="notEqual">
      <formula>H354</formula>
    </cfRule>
  </conditionalFormatting>
  <conditionalFormatting sqref="O352 M352 G352 K352 S352 U352 W352 I352 Q352">
    <cfRule type="cellIs" dxfId="4748" priority="5705" stopIfTrue="1" operator="notEqual">
      <formula>H352</formula>
    </cfRule>
  </conditionalFormatting>
  <conditionalFormatting sqref="O355 M355 G355 K355 S355 U355 W355 I355 Q355">
    <cfRule type="cellIs" dxfId="4747" priority="5704" stopIfTrue="1" operator="notEqual">
      <formula>H355</formula>
    </cfRule>
  </conditionalFormatting>
  <conditionalFormatting sqref="O336:O340 M336:M340 G336:G340 K336:K340 S336:S340 U336:U340 W336:W340 I336:I340 Q336:Q340 O347 M347 G347 K347 S347 U347 W347 I347 Q347">
    <cfRule type="cellIs" dxfId="4746" priority="5703" stopIfTrue="1" operator="notEqual">
      <formula>H336</formula>
    </cfRule>
  </conditionalFormatting>
  <conditionalFormatting sqref="O337 M337 G337 K337 S337 U337 W337 I337 Q337">
    <cfRule type="cellIs" dxfId="4745" priority="5702" stopIfTrue="1" operator="notEqual">
      <formula>H337</formula>
    </cfRule>
  </conditionalFormatting>
  <conditionalFormatting sqref="O338 M338 G338 K338 S338 U338 W338 I338 Q338">
    <cfRule type="cellIs" dxfId="4744" priority="5701" stopIfTrue="1" operator="notEqual">
      <formula>H338</formula>
    </cfRule>
  </conditionalFormatting>
  <conditionalFormatting sqref="O338 M338 G338 K338 S338 U338 W338 I338 Q338">
    <cfRule type="cellIs" dxfId="4743" priority="5700" stopIfTrue="1" operator="notEqual">
      <formula>H338</formula>
    </cfRule>
  </conditionalFormatting>
  <conditionalFormatting sqref="O336 M336 G336 K336 S336 U336 W336 I336 Q336 O347 M347 G347 K347 S347 U347 W347 I347 Q347">
    <cfRule type="cellIs" dxfId="4742" priority="5699" stopIfTrue="1" operator="notEqual">
      <formula>H336</formula>
    </cfRule>
  </conditionalFormatting>
  <conditionalFormatting sqref="O341 M341 G341 K341 S341 U341 W341 I341 Q341">
    <cfRule type="cellIs" dxfId="4741" priority="5698" stopIfTrue="1" operator="notEqual">
      <formula>H341</formula>
    </cfRule>
  </conditionalFormatting>
  <conditionalFormatting sqref="O342 M342 G342 K342 S342 U342 W342 I342 Q342">
    <cfRule type="cellIs" dxfId="4740" priority="5697" stopIfTrue="1" operator="notEqual">
      <formula>H342</formula>
    </cfRule>
  </conditionalFormatting>
  <conditionalFormatting sqref="O340 M340 G340 K340 S340 U340 W340 I340 Q340">
    <cfRule type="cellIs" dxfId="4739" priority="5696" stopIfTrue="1" operator="notEqual">
      <formula>H340</formula>
    </cfRule>
  </conditionalFormatting>
  <conditionalFormatting sqref="O343 M343 G343 K343 S343 U343 W343 I343 Q343">
    <cfRule type="cellIs" dxfId="4738" priority="5695" stopIfTrue="1" operator="notEqual">
      <formula>H343</formula>
    </cfRule>
  </conditionalFormatting>
  <conditionalFormatting sqref="O344 M344 G344 K344 S344 U344 W344 I344 Q344">
    <cfRule type="cellIs" dxfId="4737" priority="5694" stopIfTrue="1" operator="notEqual">
      <formula>H344</formula>
    </cfRule>
  </conditionalFormatting>
  <conditionalFormatting sqref="O345 M345 G345 K345 S345 U345 W345 I345 Q345">
    <cfRule type="cellIs" dxfId="4736" priority="5693" stopIfTrue="1" operator="notEqual">
      <formula>H345</formula>
    </cfRule>
  </conditionalFormatting>
  <conditionalFormatting sqref="O346 M346 G346 K346 S346 U346 W346 I346 Q346">
    <cfRule type="cellIs" dxfId="4735" priority="5692" stopIfTrue="1" operator="notEqual">
      <formula>H346</formula>
    </cfRule>
  </conditionalFormatting>
  <conditionalFormatting sqref="O347 M347 G347 K347 S347 U347 W347 I347 Q347">
    <cfRule type="cellIs" dxfId="4734" priority="5691" stopIfTrue="1" operator="notEqual">
      <formula>H347</formula>
    </cfRule>
  </conditionalFormatting>
  <conditionalFormatting sqref="O348 M348 G348 K348 S348 U348 W348 I348 Q348">
    <cfRule type="cellIs" dxfId="4733" priority="5690" stopIfTrue="1" operator="notEqual">
      <formula>H348</formula>
    </cfRule>
  </conditionalFormatting>
  <conditionalFormatting sqref="O349 M349 G349 K349 S349 U349 W349 I349 Q349">
    <cfRule type="cellIs" dxfId="4732" priority="5689" stopIfTrue="1" operator="notEqual">
      <formula>H349</formula>
    </cfRule>
  </conditionalFormatting>
  <conditionalFormatting sqref="O350 M350 G350 K350 S350 U350 W350 I350 Q350">
    <cfRule type="cellIs" dxfId="4731" priority="5688" stopIfTrue="1" operator="notEqual">
      <formula>H350</formula>
    </cfRule>
  </conditionalFormatting>
  <conditionalFormatting sqref="O351 M351 G351 K351 S351 U351 W351 I351 Q351">
    <cfRule type="cellIs" dxfId="4730" priority="5687" stopIfTrue="1" operator="notEqual">
      <formula>H351</formula>
    </cfRule>
  </conditionalFormatting>
  <conditionalFormatting sqref="O352 M352 G352 K352 S352 U352 W352 I352 Q352">
    <cfRule type="cellIs" dxfId="4729" priority="5686" stopIfTrue="1" operator="notEqual">
      <formula>H352</formula>
    </cfRule>
  </conditionalFormatting>
  <conditionalFormatting sqref="O353 M353 G353 K353 S353 U353 W353 I353 Q353">
    <cfRule type="cellIs" dxfId="4728" priority="5685" stopIfTrue="1" operator="notEqual">
      <formula>H353</formula>
    </cfRule>
  </conditionalFormatting>
  <conditionalFormatting sqref="O354 M354 G354 K354 S354 U354 W354 I354 Q354">
    <cfRule type="cellIs" dxfId="4727" priority="5684" stopIfTrue="1" operator="notEqual">
      <formula>H354</formula>
    </cfRule>
  </conditionalFormatting>
  <conditionalFormatting sqref="O355 M355 G355 K355 S355 U355 W355 I355 Q355">
    <cfRule type="cellIs" dxfId="4726" priority="5683" stopIfTrue="1" operator="notEqual">
      <formula>H355</formula>
    </cfRule>
  </conditionalFormatting>
  <conditionalFormatting sqref="G363">
    <cfRule type="cellIs" dxfId="4725" priority="5682" stopIfTrue="1" operator="notEqual">
      <formula>H363</formula>
    </cfRule>
  </conditionalFormatting>
  <conditionalFormatting sqref="G356">
    <cfRule type="cellIs" dxfId="4724" priority="5681" stopIfTrue="1" operator="notEqual">
      <formula>H356</formula>
    </cfRule>
  </conditionalFormatting>
  <conditionalFormatting sqref="G357:G360">
    <cfRule type="cellIs" dxfId="4723" priority="5680" stopIfTrue="1" operator="notEqual">
      <formula>H357</formula>
    </cfRule>
  </conditionalFormatting>
  <conditionalFormatting sqref="G358">
    <cfRule type="cellIs" dxfId="4722" priority="5679" stopIfTrue="1" operator="notEqual">
      <formula>H358</formula>
    </cfRule>
  </conditionalFormatting>
  <conditionalFormatting sqref="G359">
    <cfRule type="cellIs" dxfId="4721" priority="5678" stopIfTrue="1" operator="notEqual">
      <formula>H359</formula>
    </cfRule>
  </conditionalFormatting>
  <conditionalFormatting sqref="G360">
    <cfRule type="cellIs" dxfId="4720" priority="5677" stopIfTrue="1" operator="notEqual">
      <formula>H360</formula>
    </cfRule>
  </conditionalFormatting>
  <conditionalFormatting sqref="G361">
    <cfRule type="cellIs" dxfId="4719" priority="5676" stopIfTrue="1" operator="notEqual">
      <formula>H361</formula>
    </cfRule>
  </conditionalFormatting>
  <conditionalFormatting sqref="G362">
    <cfRule type="cellIs" dxfId="4718" priority="5675" stopIfTrue="1" operator="notEqual">
      <formula>H362</formula>
    </cfRule>
  </conditionalFormatting>
  <conditionalFormatting sqref="G356">
    <cfRule type="cellIs" dxfId="4717" priority="5674" stopIfTrue="1" operator="notEqual">
      <formula>H356</formula>
    </cfRule>
  </conditionalFormatting>
  <conditionalFormatting sqref="G357:G360">
    <cfRule type="cellIs" dxfId="4716" priority="5673" stopIfTrue="1" operator="notEqual">
      <formula>H357</formula>
    </cfRule>
  </conditionalFormatting>
  <conditionalFormatting sqref="G358">
    <cfRule type="cellIs" dxfId="4715" priority="5672" stopIfTrue="1" operator="notEqual">
      <formula>H358</formula>
    </cfRule>
  </conditionalFormatting>
  <conditionalFormatting sqref="G359">
    <cfRule type="cellIs" dxfId="4714" priority="5671" stopIfTrue="1" operator="notEqual">
      <formula>H359</formula>
    </cfRule>
  </conditionalFormatting>
  <conditionalFormatting sqref="G360">
    <cfRule type="cellIs" dxfId="4713" priority="5670" stopIfTrue="1" operator="notEqual">
      <formula>H360</formula>
    </cfRule>
  </conditionalFormatting>
  <conditionalFormatting sqref="G361">
    <cfRule type="cellIs" dxfId="4712" priority="5669" stopIfTrue="1" operator="notEqual">
      <formula>H361</formula>
    </cfRule>
  </conditionalFormatting>
  <conditionalFormatting sqref="G362">
    <cfRule type="cellIs" dxfId="4711" priority="5668" stopIfTrue="1" operator="notEqual">
      <formula>H362</formula>
    </cfRule>
  </conditionalFormatting>
  <conditionalFormatting sqref="O356 M356 G356 K356 S356 U356 W356 I356 Q356">
    <cfRule type="cellIs" dxfId="4710" priority="5667" stopIfTrue="1" operator="notEqual">
      <formula>H356</formula>
    </cfRule>
  </conditionalFormatting>
  <conditionalFormatting sqref="O357:O360 M357:M360 G357:G360 K357:K360 S357:S360 U357:U360 W357:W360 I357:I360 Q357:Q360">
    <cfRule type="cellIs" dxfId="4709" priority="5666" stopIfTrue="1" operator="notEqual">
      <formula>H357</formula>
    </cfRule>
  </conditionalFormatting>
  <conditionalFormatting sqref="O358 M358 G358 K358 S358 U358 W358 I358 Q358">
    <cfRule type="cellIs" dxfId="4708" priority="5665" stopIfTrue="1" operator="notEqual">
      <formula>H358</formula>
    </cfRule>
  </conditionalFormatting>
  <conditionalFormatting sqref="O359 M359 G359 K359 S359 U359 W359 I359 Q359">
    <cfRule type="cellIs" dxfId="4707" priority="5664" stopIfTrue="1" operator="notEqual">
      <formula>H359</formula>
    </cfRule>
  </conditionalFormatting>
  <conditionalFormatting sqref="O360 M360 G360 K360 S360 U360 W360 I360 Q360">
    <cfRule type="cellIs" dxfId="4706" priority="5663" stopIfTrue="1" operator="notEqual">
      <formula>H360</formula>
    </cfRule>
  </conditionalFormatting>
  <conditionalFormatting sqref="O361 M361 G361 K361 S361 U361 W361 I361 Q361">
    <cfRule type="cellIs" dxfId="4705" priority="5662" stopIfTrue="1" operator="notEqual">
      <formula>H361</formula>
    </cfRule>
  </conditionalFormatting>
  <conditionalFormatting sqref="G361:G362">
    <cfRule type="cellIs" dxfId="4704" priority="5661" stopIfTrue="1" operator="notEqual">
      <formula>H361</formula>
    </cfRule>
  </conditionalFormatting>
  <conditionalFormatting sqref="G356">
    <cfRule type="cellIs" dxfId="4703" priority="5660" stopIfTrue="1" operator="notEqual">
      <formula>H356</formula>
    </cfRule>
  </conditionalFormatting>
  <conditionalFormatting sqref="G357:G360">
    <cfRule type="cellIs" dxfId="4702" priority="5659" stopIfTrue="1" operator="notEqual">
      <formula>H357</formula>
    </cfRule>
  </conditionalFormatting>
  <conditionalFormatting sqref="G358">
    <cfRule type="cellIs" dxfId="4701" priority="5658" stopIfTrue="1" operator="notEqual">
      <formula>H358</formula>
    </cfRule>
  </conditionalFormatting>
  <conditionalFormatting sqref="G359">
    <cfRule type="cellIs" dxfId="4700" priority="5657" stopIfTrue="1" operator="notEqual">
      <formula>H359</formula>
    </cfRule>
  </conditionalFormatting>
  <conditionalFormatting sqref="G360">
    <cfRule type="cellIs" dxfId="4699" priority="5656" stopIfTrue="1" operator="notEqual">
      <formula>H360</formula>
    </cfRule>
  </conditionalFormatting>
  <conditionalFormatting sqref="G362">
    <cfRule type="cellIs" dxfId="4698" priority="5655" stopIfTrue="1" operator="notEqual">
      <formula>H362</formula>
    </cfRule>
  </conditionalFormatting>
  <conditionalFormatting sqref="O357:O362 M357:M362 G357:G362 K357:K362 S357:S362 U357:U362 W357:W362 I357:I362 Q357:Q362">
    <cfRule type="cellIs" dxfId="4697" priority="5654" stopIfTrue="1" operator="notEqual">
      <formula>H357</formula>
    </cfRule>
  </conditionalFormatting>
  <conditionalFormatting sqref="O356 M356 G356 K356 S356 U356 W356 I356 Q356">
    <cfRule type="cellIs" dxfId="4696" priority="5653" stopIfTrue="1" operator="notEqual">
      <formula>H356</formula>
    </cfRule>
  </conditionalFormatting>
  <conditionalFormatting sqref="O359 M359 G359 K359 S359 U359 W359 I359 Q359">
    <cfRule type="cellIs" dxfId="4695" priority="5652" stopIfTrue="1" operator="notEqual">
      <formula>H359</formula>
    </cfRule>
  </conditionalFormatting>
  <conditionalFormatting sqref="O360 M360 G360 K360 S360 U360 W360 I360 Q360">
    <cfRule type="cellIs" dxfId="4694" priority="5651" stopIfTrue="1" operator="notEqual">
      <formula>H360</formula>
    </cfRule>
  </conditionalFormatting>
  <conditionalFormatting sqref="O360 M360 G360 K360 S360 U360 W360 I360 Q360">
    <cfRule type="cellIs" dxfId="4693" priority="5650" stopIfTrue="1" operator="notEqual">
      <formula>H360</formula>
    </cfRule>
  </conditionalFormatting>
  <conditionalFormatting sqref="O358 M358 G358 K358 S358 U358 W358 I358 Q358">
    <cfRule type="cellIs" dxfId="4692" priority="5649" stopIfTrue="1" operator="notEqual">
      <formula>H358</formula>
    </cfRule>
  </conditionalFormatting>
  <conditionalFormatting sqref="O362 M362 G362 K362 S362 U362 W362 I362 Q362">
    <cfRule type="cellIs" dxfId="4691" priority="5648" stopIfTrue="1" operator="notEqual">
      <formula>H362</formula>
    </cfRule>
  </conditionalFormatting>
  <conditionalFormatting sqref="O356 M356 G356 K356 S356 U356 W356 I356 Q356">
    <cfRule type="cellIs" dxfId="4690" priority="5647" stopIfTrue="1" operator="notEqual">
      <formula>H356</formula>
    </cfRule>
  </conditionalFormatting>
  <conditionalFormatting sqref="O357:O360 M357:M360 G357:G360 K357:K360 S357:S360 U357:U360 W357:W360 I357:I360 Q357:Q360">
    <cfRule type="cellIs" dxfId="4689" priority="5646" stopIfTrue="1" operator="notEqual">
      <formula>H357</formula>
    </cfRule>
  </conditionalFormatting>
  <conditionalFormatting sqref="O358 M358 G358 K358 S358 U358 W358 I358 Q358">
    <cfRule type="cellIs" dxfId="4688" priority="5645" stopIfTrue="1" operator="notEqual">
      <formula>H358</formula>
    </cfRule>
  </conditionalFormatting>
  <conditionalFormatting sqref="O359 M359 G359 K359 S359 U359 W359 I359 Q359">
    <cfRule type="cellIs" dxfId="4687" priority="5644" stopIfTrue="1" operator="notEqual">
      <formula>H359</formula>
    </cfRule>
  </conditionalFormatting>
  <conditionalFormatting sqref="O360 M360 G360 K360 S360 U360 W360 I360 Q360">
    <cfRule type="cellIs" dxfId="4686" priority="5643" stopIfTrue="1" operator="notEqual">
      <formula>H360</formula>
    </cfRule>
  </conditionalFormatting>
  <conditionalFormatting sqref="O361 M361 G361 K361 S361 U361 W361 I361 Q361">
    <cfRule type="cellIs" dxfId="4685" priority="5642" stopIfTrue="1" operator="notEqual">
      <formula>H361</formula>
    </cfRule>
  </conditionalFormatting>
  <conditionalFormatting sqref="O362 M362 G362 K362 S362 U362 W362 I362 Q362">
    <cfRule type="cellIs" dxfId="4684" priority="5641" stopIfTrue="1" operator="notEqual">
      <formula>H362</formula>
    </cfRule>
  </conditionalFormatting>
  <conditionalFormatting sqref="G356">
    <cfRule type="cellIs" dxfId="4683" priority="5640" stopIfTrue="1" operator="notEqual">
      <formula>H356</formula>
    </cfRule>
  </conditionalFormatting>
  <conditionalFormatting sqref="G357:G360">
    <cfRule type="cellIs" dxfId="4682" priority="5639" stopIfTrue="1" operator="notEqual">
      <formula>H357</formula>
    </cfRule>
  </conditionalFormatting>
  <conditionalFormatting sqref="G358">
    <cfRule type="cellIs" dxfId="4681" priority="5638" stopIfTrue="1" operator="notEqual">
      <formula>H358</formula>
    </cfRule>
  </conditionalFormatting>
  <conditionalFormatting sqref="G359">
    <cfRule type="cellIs" dxfId="4680" priority="5637" stopIfTrue="1" operator="notEqual">
      <formula>H359</formula>
    </cfRule>
  </conditionalFormatting>
  <conditionalFormatting sqref="G360">
    <cfRule type="cellIs" dxfId="4679" priority="5636" stopIfTrue="1" operator="notEqual">
      <formula>H360</formula>
    </cfRule>
  </conditionalFormatting>
  <conditionalFormatting sqref="G361">
    <cfRule type="cellIs" dxfId="4678" priority="5635" stopIfTrue="1" operator="notEqual">
      <formula>H361</formula>
    </cfRule>
  </conditionalFormatting>
  <conditionalFormatting sqref="G362">
    <cfRule type="cellIs" dxfId="4677" priority="5634" stopIfTrue="1" operator="notEqual">
      <formula>H362</formula>
    </cfRule>
  </conditionalFormatting>
  <conditionalFormatting sqref="G363">
    <cfRule type="cellIs" dxfId="4676" priority="5633" stopIfTrue="1" operator="notEqual">
      <formula>H363</formula>
    </cfRule>
  </conditionalFormatting>
  <conditionalFormatting sqref="G364">
    <cfRule type="cellIs" dxfId="4675" priority="5632" stopIfTrue="1" operator="notEqual">
      <formula>H364</formula>
    </cfRule>
  </conditionalFormatting>
  <conditionalFormatting sqref="G365">
    <cfRule type="cellIs" dxfId="4674" priority="5631" stopIfTrue="1" operator="notEqual">
      <formula>H365</formula>
    </cfRule>
  </conditionalFormatting>
  <conditionalFormatting sqref="G366">
    <cfRule type="cellIs" dxfId="4673" priority="5630" stopIfTrue="1" operator="notEqual">
      <formula>H366</formula>
    </cfRule>
  </conditionalFormatting>
  <conditionalFormatting sqref="G367">
    <cfRule type="cellIs" dxfId="4672" priority="5629" stopIfTrue="1" operator="notEqual">
      <formula>H367</formula>
    </cfRule>
  </conditionalFormatting>
  <conditionalFormatting sqref="G368">
    <cfRule type="cellIs" dxfId="4671" priority="5628" stopIfTrue="1" operator="notEqual">
      <formula>H368</formula>
    </cfRule>
  </conditionalFormatting>
  <conditionalFormatting sqref="G369">
    <cfRule type="cellIs" dxfId="4670" priority="5627" stopIfTrue="1" operator="notEqual">
      <formula>H369</formula>
    </cfRule>
  </conditionalFormatting>
  <conditionalFormatting sqref="G370">
    <cfRule type="cellIs" dxfId="4669" priority="5626" stopIfTrue="1" operator="notEqual">
      <formula>H370</formula>
    </cfRule>
  </conditionalFormatting>
  <conditionalFormatting sqref="G371:G383">
    <cfRule type="cellIs" dxfId="4668" priority="5625" stopIfTrue="1" operator="notEqual">
      <formula>H371</formula>
    </cfRule>
  </conditionalFormatting>
  <conditionalFormatting sqref="G372">
    <cfRule type="cellIs" dxfId="4667" priority="5624" stopIfTrue="1" operator="notEqual">
      <formula>H372</formula>
    </cfRule>
  </conditionalFormatting>
  <conditionalFormatting sqref="G373">
    <cfRule type="cellIs" dxfId="4666" priority="5623" stopIfTrue="1" operator="notEqual">
      <formula>H373</formula>
    </cfRule>
  </conditionalFormatting>
  <conditionalFormatting sqref="G374">
    <cfRule type="cellIs" dxfId="4665" priority="5622" stopIfTrue="1" operator="notEqual">
      <formula>H374</formula>
    </cfRule>
  </conditionalFormatting>
  <conditionalFormatting sqref="G375">
    <cfRule type="cellIs" dxfId="4664" priority="5621" stopIfTrue="1" operator="notEqual">
      <formula>H375</formula>
    </cfRule>
  </conditionalFormatting>
  <conditionalFormatting sqref="O356 M356 G356 K356 S356 U356 W356 I356 Q356">
    <cfRule type="cellIs" dxfId="4663" priority="5620" stopIfTrue="1" operator="notEqual">
      <formula>H356</formula>
    </cfRule>
  </conditionalFormatting>
  <conditionalFormatting sqref="O357:O360 M357:M360 G357:G360 K357:K360 S357:S360 U357:U360 W357:W360 I357:I360 Q357:Q360">
    <cfRule type="cellIs" dxfId="4662" priority="5619" stopIfTrue="1" operator="notEqual">
      <formula>H357</formula>
    </cfRule>
  </conditionalFormatting>
  <conditionalFormatting sqref="O358 M358 G358 K358 S358 U358 W358 I358 Q358">
    <cfRule type="cellIs" dxfId="4661" priority="5618" stopIfTrue="1" operator="notEqual">
      <formula>H358</formula>
    </cfRule>
  </conditionalFormatting>
  <conditionalFormatting sqref="O359 M359 G359 K359 S359 U359 W359 I359 Q359">
    <cfRule type="cellIs" dxfId="4660" priority="5617" stopIfTrue="1" operator="notEqual">
      <formula>H359</formula>
    </cfRule>
  </conditionalFormatting>
  <conditionalFormatting sqref="O360 M360 G360 K360 S360 U360 W360 I360 Q360">
    <cfRule type="cellIs" dxfId="4659" priority="5616" stopIfTrue="1" operator="notEqual">
      <formula>H360</formula>
    </cfRule>
  </conditionalFormatting>
  <conditionalFormatting sqref="O361 M361 G361 K361 S361 U361 W361 I361 Q361">
    <cfRule type="cellIs" dxfId="4658" priority="5615" stopIfTrue="1" operator="notEqual">
      <formula>H361</formula>
    </cfRule>
  </conditionalFormatting>
  <conditionalFormatting sqref="O362 M362 G362 K362 S362 U362 W362 I362 Q362">
    <cfRule type="cellIs" dxfId="4657" priority="5614" stopIfTrue="1" operator="notEqual">
      <formula>H362</formula>
    </cfRule>
  </conditionalFormatting>
  <conditionalFormatting sqref="O363 M363 G363 K363 S363 U363 W363 I363 Q363">
    <cfRule type="cellIs" dxfId="4656" priority="5613" stopIfTrue="1" operator="notEqual">
      <formula>H363</formula>
    </cfRule>
  </conditionalFormatting>
  <conditionalFormatting sqref="O364 M364 G364 K364 S364 U364 W364 I364 Q364">
    <cfRule type="cellIs" dxfId="4655" priority="5612" stopIfTrue="1" operator="notEqual">
      <formula>H364</formula>
    </cfRule>
  </conditionalFormatting>
  <conditionalFormatting sqref="O365 M365 G365 K365 S365 U365 W365 I365 Q365">
    <cfRule type="cellIs" dxfId="4654" priority="5611" stopIfTrue="1" operator="notEqual">
      <formula>H365</formula>
    </cfRule>
  </conditionalFormatting>
  <conditionalFormatting sqref="O366 M366 G366 K366 S366 U366 W366 I366 Q366">
    <cfRule type="cellIs" dxfId="4653" priority="5610" stopIfTrue="1" operator="notEqual">
      <formula>H366</formula>
    </cfRule>
  </conditionalFormatting>
  <conditionalFormatting sqref="G366:G367">
    <cfRule type="cellIs" dxfId="4652" priority="5609" stopIfTrue="1" operator="notEqual">
      <formula>H366</formula>
    </cfRule>
  </conditionalFormatting>
  <conditionalFormatting sqref="G356">
    <cfRule type="cellIs" dxfId="4651" priority="5608" stopIfTrue="1" operator="notEqual">
      <formula>H356</formula>
    </cfRule>
  </conditionalFormatting>
  <conditionalFormatting sqref="G357:G360">
    <cfRule type="cellIs" dxfId="4650" priority="5607" stopIfTrue="1" operator="notEqual">
      <formula>H357</formula>
    </cfRule>
  </conditionalFormatting>
  <conditionalFormatting sqref="G358">
    <cfRule type="cellIs" dxfId="4649" priority="5606" stopIfTrue="1" operator="notEqual">
      <formula>H358</formula>
    </cfRule>
  </conditionalFormatting>
  <conditionalFormatting sqref="G359">
    <cfRule type="cellIs" dxfId="4648" priority="5605" stopIfTrue="1" operator="notEqual">
      <formula>H359</formula>
    </cfRule>
  </conditionalFormatting>
  <conditionalFormatting sqref="G360">
    <cfRule type="cellIs" dxfId="4647" priority="5604" stopIfTrue="1" operator="notEqual">
      <formula>H360</formula>
    </cfRule>
  </conditionalFormatting>
  <conditionalFormatting sqref="G361">
    <cfRule type="cellIs" dxfId="4646" priority="5603" stopIfTrue="1" operator="notEqual">
      <formula>H361</formula>
    </cfRule>
  </conditionalFormatting>
  <conditionalFormatting sqref="G362">
    <cfRule type="cellIs" dxfId="4645" priority="5602" stopIfTrue="1" operator="notEqual">
      <formula>H362</formula>
    </cfRule>
  </conditionalFormatting>
  <conditionalFormatting sqref="G363">
    <cfRule type="cellIs" dxfId="4644" priority="5601" stopIfTrue="1" operator="notEqual">
      <formula>H363</formula>
    </cfRule>
  </conditionalFormatting>
  <conditionalFormatting sqref="G364">
    <cfRule type="cellIs" dxfId="4643" priority="5600" stopIfTrue="1" operator="notEqual">
      <formula>H364</formula>
    </cfRule>
  </conditionalFormatting>
  <conditionalFormatting sqref="G365">
    <cfRule type="cellIs" dxfId="4642" priority="5599" stopIfTrue="1" operator="notEqual">
      <formula>H365</formula>
    </cfRule>
  </conditionalFormatting>
  <conditionalFormatting sqref="G367">
    <cfRule type="cellIs" dxfId="4641" priority="5598" stopIfTrue="1" operator="notEqual">
      <formula>H367</formula>
    </cfRule>
  </conditionalFormatting>
  <conditionalFormatting sqref="O362:O367 M362:M367 G362:G367 K362:K367 S362:S367 U362:U367 W362:W367 I362:I367 Q362:Q367">
    <cfRule type="cellIs" dxfId="4640" priority="5597" stopIfTrue="1" operator="notEqual">
      <formula>H362</formula>
    </cfRule>
  </conditionalFormatting>
  <conditionalFormatting sqref="O356 M356 G356 K356 S356 U356 W356 I356 Q356">
    <cfRule type="cellIs" dxfId="4639" priority="5596" stopIfTrue="1" operator="notEqual">
      <formula>H356</formula>
    </cfRule>
  </conditionalFormatting>
  <conditionalFormatting sqref="O357:O360 M357:M360 G357:G360 K357:K360 S357:S360 U357:U360 W357:W360 I357:I360 Q357:Q360">
    <cfRule type="cellIs" dxfId="4638" priority="5595" stopIfTrue="1" operator="notEqual">
      <formula>H357</formula>
    </cfRule>
  </conditionalFormatting>
  <conditionalFormatting sqref="O358 M358 G358 K358 S358 U358 W358 I358 Q358">
    <cfRule type="cellIs" dxfId="4637" priority="5594" stopIfTrue="1" operator="notEqual">
      <formula>H358</formula>
    </cfRule>
  </conditionalFormatting>
  <conditionalFormatting sqref="O359 M359 G359 K359 S359 U359 W359 I359 Q359">
    <cfRule type="cellIs" dxfId="4636" priority="5593" stopIfTrue="1" operator="notEqual">
      <formula>H359</formula>
    </cfRule>
  </conditionalFormatting>
  <conditionalFormatting sqref="O360 M360 G360 K360 S360 U360 W360 I360 Q360">
    <cfRule type="cellIs" dxfId="4635" priority="5592" stopIfTrue="1" operator="notEqual">
      <formula>H360</formula>
    </cfRule>
  </conditionalFormatting>
  <conditionalFormatting sqref="O361 M361 G361 K361 S361 U361 W361 I361 Q361">
    <cfRule type="cellIs" dxfId="4634" priority="5591" stopIfTrue="1" operator="notEqual">
      <formula>H361</formula>
    </cfRule>
  </conditionalFormatting>
  <conditionalFormatting sqref="O364 M364 G364 K364 S364 U364 W364 I364 Q364">
    <cfRule type="cellIs" dxfId="4633" priority="5590" stopIfTrue="1" operator="notEqual">
      <formula>H364</formula>
    </cfRule>
  </conditionalFormatting>
  <conditionalFormatting sqref="O365 M365 G365 K365 S365 U365 W365 I365 Q365">
    <cfRule type="cellIs" dxfId="4632" priority="5589" stopIfTrue="1" operator="notEqual">
      <formula>H365</formula>
    </cfRule>
  </conditionalFormatting>
  <conditionalFormatting sqref="O365 M365 G365 K365 S365 U365 W365 I365 Q365">
    <cfRule type="cellIs" dxfId="4631" priority="5588" stopIfTrue="1" operator="notEqual">
      <formula>H365</formula>
    </cfRule>
  </conditionalFormatting>
  <conditionalFormatting sqref="O363 M363 G363 K363 S363 U363 W363 I363 Q363">
    <cfRule type="cellIs" dxfId="4630" priority="5587" stopIfTrue="1" operator="notEqual">
      <formula>H363</formula>
    </cfRule>
  </conditionalFormatting>
  <conditionalFormatting sqref="O367 M367 G367 K367 S367 U367 W367 I367 Q367">
    <cfRule type="cellIs" dxfId="4629" priority="5586" stopIfTrue="1" operator="notEqual">
      <formula>H367</formula>
    </cfRule>
  </conditionalFormatting>
  <conditionalFormatting sqref="O356 M356 G356 K356 S356 U356 W356 I356 Q356">
    <cfRule type="cellIs" dxfId="4628" priority="5585" stopIfTrue="1" operator="notEqual">
      <formula>H356</formula>
    </cfRule>
  </conditionalFormatting>
  <conditionalFormatting sqref="O357:O360 M357:M360 G357:G360 K357:K360 S357:S360 U357:U360 W357:W360 I357:I360 Q357:Q360">
    <cfRule type="cellIs" dxfId="4627" priority="5584" stopIfTrue="1" operator="notEqual">
      <formula>H357</formula>
    </cfRule>
  </conditionalFormatting>
  <conditionalFormatting sqref="O358 M358 G358 K358 S358 U358 W358 I358 Q358">
    <cfRule type="cellIs" dxfId="4626" priority="5583" stopIfTrue="1" operator="notEqual">
      <formula>H358</formula>
    </cfRule>
  </conditionalFormatting>
  <conditionalFormatting sqref="O359 M359 G359 K359 S359 U359 W359 I359 Q359">
    <cfRule type="cellIs" dxfId="4625" priority="5582" stopIfTrue="1" operator="notEqual">
      <formula>H359</formula>
    </cfRule>
  </conditionalFormatting>
  <conditionalFormatting sqref="O360 M360 G360 K360 S360 U360 W360 I360 Q360">
    <cfRule type="cellIs" dxfId="4624" priority="5581" stopIfTrue="1" operator="notEqual">
      <formula>H360</formula>
    </cfRule>
  </conditionalFormatting>
  <conditionalFormatting sqref="O361 M361 G361 K361 S361 U361 W361 I361 Q361">
    <cfRule type="cellIs" dxfId="4623" priority="5580" stopIfTrue="1" operator="notEqual">
      <formula>H361</formula>
    </cfRule>
  </conditionalFormatting>
  <conditionalFormatting sqref="O362 M362 G362 K362 S362 U362 W362 I362 Q362">
    <cfRule type="cellIs" dxfId="4622" priority="5579" stopIfTrue="1" operator="notEqual">
      <formula>H362</formula>
    </cfRule>
  </conditionalFormatting>
  <conditionalFormatting sqref="O363 M363 G363 K363 S363 U363 W363 I363 Q363">
    <cfRule type="cellIs" dxfId="4621" priority="5578" stopIfTrue="1" operator="notEqual">
      <formula>H363</formula>
    </cfRule>
  </conditionalFormatting>
  <conditionalFormatting sqref="O364 M364 G364 K364 S364 U364 W364 I364 Q364">
    <cfRule type="cellIs" dxfId="4620" priority="5577" stopIfTrue="1" operator="notEqual">
      <formula>H364</formula>
    </cfRule>
  </conditionalFormatting>
  <conditionalFormatting sqref="O365 M365 G365 K365 S365 U365 W365 I365 Q365">
    <cfRule type="cellIs" dxfId="4619" priority="5576" stopIfTrue="1" operator="notEqual">
      <formula>H365</formula>
    </cfRule>
  </conditionalFormatting>
  <conditionalFormatting sqref="O366 M366 G366 K366 S366 U366 W366 I366 Q366">
    <cfRule type="cellIs" dxfId="4618" priority="5575" stopIfTrue="1" operator="notEqual">
      <formula>H366</formula>
    </cfRule>
  </conditionalFormatting>
  <conditionalFormatting sqref="O367 M367 G367 K367 S367 U367 W367 I367 Q367">
    <cfRule type="cellIs" dxfId="4617" priority="5574" stopIfTrue="1" operator="notEqual">
      <formula>H367</formula>
    </cfRule>
  </conditionalFormatting>
  <conditionalFormatting sqref="G367:G370">
    <cfRule type="cellIs" dxfId="4616" priority="5573" stopIfTrue="1" operator="notEqual">
      <formula>H367</formula>
    </cfRule>
  </conditionalFormatting>
  <conditionalFormatting sqref="G367">
    <cfRule type="cellIs" dxfId="4615" priority="5572" stopIfTrue="1" operator="notEqual">
      <formula>H367</formula>
    </cfRule>
  </conditionalFormatting>
  <conditionalFormatting sqref="G368">
    <cfRule type="cellIs" dxfId="4614" priority="5571" stopIfTrue="1" operator="notEqual">
      <formula>H368</formula>
    </cfRule>
  </conditionalFormatting>
  <conditionalFormatting sqref="G368">
    <cfRule type="cellIs" dxfId="4613" priority="5570" stopIfTrue="1" operator="notEqual">
      <formula>H368</formula>
    </cfRule>
  </conditionalFormatting>
  <conditionalFormatting sqref="G371:G383">
    <cfRule type="cellIs" dxfId="4612" priority="5569" stopIfTrue="1" operator="notEqual">
      <formula>H371</formula>
    </cfRule>
  </conditionalFormatting>
  <conditionalFormatting sqref="G372">
    <cfRule type="cellIs" dxfId="4611" priority="5568" stopIfTrue="1" operator="notEqual">
      <formula>H372</formula>
    </cfRule>
  </conditionalFormatting>
  <conditionalFormatting sqref="G370">
    <cfRule type="cellIs" dxfId="4610" priority="5567" stopIfTrue="1" operator="notEqual">
      <formula>H370</formula>
    </cfRule>
  </conditionalFormatting>
  <conditionalFormatting sqref="G373">
    <cfRule type="cellIs" dxfId="4609" priority="5566" stopIfTrue="1" operator="notEqual">
      <formula>H373</formula>
    </cfRule>
  </conditionalFormatting>
  <conditionalFormatting sqref="G374">
    <cfRule type="cellIs" dxfId="4608" priority="5565" stopIfTrue="1" operator="notEqual">
      <formula>H374</formula>
    </cfRule>
  </conditionalFormatting>
  <conditionalFormatting sqref="G375">
    <cfRule type="cellIs" dxfId="4607" priority="5564" stopIfTrue="1" operator="notEqual">
      <formula>H375</formula>
    </cfRule>
  </conditionalFormatting>
  <conditionalFormatting sqref="O367 M367 G367 K367 S367 U367 W367 I367 Q367">
    <cfRule type="cellIs" dxfId="4606" priority="5563" stopIfTrue="1" operator="notEqual">
      <formula>H367</formula>
    </cfRule>
  </conditionalFormatting>
  <conditionalFormatting sqref="O368 M368 G368 K368 S368 U368 W368 I368 Q368">
    <cfRule type="cellIs" dxfId="4605" priority="5562" stopIfTrue="1" operator="notEqual">
      <formula>H368</formula>
    </cfRule>
  </conditionalFormatting>
  <conditionalFormatting sqref="O369 M369 G369 K369 S369 U369 W369 I369 Q369">
    <cfRule type="cellIs" dxfId="4604" priority="5561" stopIfTrue="1" operator="notEqual">
      <formula>H369</formula>
    </cfRule>
  </conditionalFormatting>
  <conditionalFormatting sqref="O370 M370 G370 K370 S370 U370 W370 I370 Q370">
    <cfRule type="cellIs" dxfId="4603" priority="5560" stopIfTrue="1" operator="notEqual">
      <formula>H370</formula>
    </cfRule>
  </conditionalFormatting>
  <conditionalFormatting sqref="O371:O383 M371:M383 G371:G383 K371:K383 S371:S383 U371:U383 W371:W383 I371:I383 Q371:Q383">
    <cfRule type="cellIs" dxfId="4602" priority="5559" stopIfTrue="1" operator="notEqual">
      <formula>H371</formula>
    </cfRule>
  </conditionalFormatting>
  <conditionalFormatting sqref="O372 M372 G372 K372 S372 U372 W372 I372 Q372">
    <cfRule type="cellIs" dxfId="4601" priority="5558" stopIfTrue="1" operator="notEqual">
      <formula>H372</formula>
    </cfRule>
  </conditionalFormatting>
  <conditionalFormatting sqref="O373 M373 G373 K373 S373 U373 W373 I373 Q373">
    <cfRule type="cellIs" dxfId="4600" priority="5557" stopIfTrue="1" operator="notEqual">
      <formula>H373</formula>
    </cfRule>
  </conditionalFormatting>
  <conditionalFormatting sqref="O374 M374 G374 K374 S374 U374 W374 I374 Q374">
    <cfRule type="cellIs" dxfId="4599" priority="5556" stopIfTrue="1" operator="notEqual">
      <formula>H374</formula>
    </cfRule>
  </conditionalFormatting>
  <conditionalFormatting sqref="O375 M375 G375 K375 S375 U375 W375 I375 Q375">
    <cfRule type="cellIs" dxfId="4598" priority="5555" stopIfTrue="1" operator="notEqual">
      <formula>H375</formula>
    </cfRule>
  </conditionalFormatting>
  <conditionalFormatting sqref="G367">
    <cfRule type="cellIs" dxfId="4597" priority="5554" stopIfTrue="1" operator="notEqual">
      <formula>H367</formula>
    </cfRule>
  </conditionalFormatting>
  <conditionalFormatting sqref="G368">
    <cfRule type="cellIs" dxfId="4596" priority="5553" stopIfTrue="1" operator="notEqual">
      <formula>H368</formula>
    </cfRule>
  </conditionalFormatting>
  <conditionalFormatting sqref="G369">
    <cfRule type="cellIs" dxfId="4595" priority="5552" stopIfTrue="1" operator="notEqual">
      <formula>H369</formula>
    </cfRule>
  </conditionalFormatting>
  <conditionalFormatting sqref="G370">
    <cfRule type="cellIs" dxfId="4594" priority="5551" stopIfTrue="1" operator="notEqual">
      <formula>H370</formula>
    </cfRule>
  </conditionalFormatting>
  <conditionalFormatting sqref="G371:G383">
    <cfRule type="cellIs" dxfId="4593" priority="5550" stopIfTrue="1" operator="notEqual">
      <formula>H371</formula>
    </cfRule>
  </conditionalFormatting>
  <conditionalFormatting sqref="G372">
    <cfRule type="cellIs" dxfId="4592" priority="5549" stopIfTrue="1" operator="notEqual">
      <formula>H372</formula>
    </cfRule>
  </conditionalFormatting>
  <conditionalFormatting sqref="G373">
    <cfRule type="cellIs" dxfId="4591" priority="5548" stopIfTrue="1" operator="notEqual">
      <formula>H373</formula>
    </cfRule>
  </conditionalFormatting>
  <conditionalFormatting sqref="G374">
    <cfRule type="cellIs" dxfId="4590" priority="5547" stopIfTrue="1" operator="notEqual">
      <formula>H374</formula>
    </cfRule>
  </conditionalFormatting>
  <conditionalFormatting sqref="G375">
    <cfRule type="cellIs" dxfId="4589" priority="5546" stopIfTrue="1" operator="notEqual">
      <formula>H375</formula>
    </cfRule>
  </conditionalFormatting>
  <conditionalFormatting sqref="G367">
    <cfRule type="cellIs" dxfId="4588" priority="5545" stopIfTrue="1" operator="notEqual">
      <formula>H367</formula>
    </cfRule>
  </conditionalFormatting>
  <conditionalFormatting sqref="G367">
    <cfRule type="cellIs" dxfId="4587" priority="5544" stopIfTrue="1" operator="notEqual">
      <formula>H367</formula>
    </cfRule>
  </conditionalFormatting>
  <conditionalFormatting sqref="G367">
    <cfRule type="cellIs" dxfId="4586" priority="5543" stopIfTrue="1" operator="notEqual">
      <formula>H367</formula>
    </cfRule>
  </conditionalFormatting>
  <conditionalFormatting sqref="G367">
    <cfRule type="cellIs" dxfId="4585" priority="5542" stopIfTrue="1" operator="notEqual">
      <formula>H367</formula>
    </cfRule>
  </conditionalFormatting>
  <conditionalFormatting sqref="G367">
    <cfRule type="cellIs" dxfId="4584" priority="5541" stopIfTrue="1" operator="notEqual">
      <formula>H367</formula>
    </cfRule>
  </conditionalFormatting>
  <conditionalFormatting sqref="G367">
    <cfRule type="cellIs" dxfId="4583" priority="5540" stopIfTrue="1" operator="notEqual">
      <formula>H367</formula>
    </cfRule>
  </conditionalFormatting>
  <conditionalFormatting sqref="O367 M367 G367 K367 S367 U367 W367 I367 Q367">
    <cfRule type="cellIs" dxfId="4582" priority="5539" stopIfTrue="1" operator="notEqual">
      <formula>H367</formula>
    </cfRule>
  </conditionalFormatting>
  <conditionalFormatting sqref="O368 M368 G368 K368 S368 U368 W368 I368 Q368">
    <cfRule type="cellIs" dxfId="4581" priority="5538" stopIfTrue="1" operator="notEqual">
      <formula>H368</formula>
    </cfRule>
  </conditionalFormatting>
  <conditionalFormatting sqref="O369 M369 G369 K369 S369 U369 W369 I369 Q369">
    <cfRule type="cellIs" dxfId="4580" priority="5537" stopIfTrue="1" operator="notEqual">
      <formula>H369</formula>
    </cfRule>
  </conditionalFormatting>
  <conditionalFormatting sqref="O370 M370 G370 K370 S370 U370 W370 I370 Q370">
    <cfRule type="cellIs" dxfId="4579" priority="5536" stopIfTrue="1" operator="notEqual">
      <formula>H370</formula>
    </cfRule>
  </conditionalFormatting>
  <conditionalFormatting sqref="O371:O383 M371:M383 G371:G383 K371:K383 S371:S383 U371:U383 W371:W383 I371:I383 Q371:Q383">
    <cfRule type="cellIs" dxfId="4578" priority="5535" stopIfTrue="1" operator="notEqual">
      <formula>H371</formula>
    </cfRule>
  </conditionalFormatting>
  <conditionalFormatting sqref="O372 M372 G372 K372 S372 U372 W372 I372 Q372">
    <cfRule type="cellIs" dxfId="4577" priority="5534" stopIfTrue="1" operator="notEqual">
      <formula>H372</formula>
    </cfRule>
  </conditionalFormatting>
  <conditionalFormatting sqref="O373 M373 G373 K373 S373 U373 W373 I373 Q373">
    <cfRule type="cellIs" dxfId="4576" priority="5533" stopIfTrue="1" operator="notEqual">
      <formula>H373</formula>
    </cfRule>
  </conditionalFormatting>
  <conditionalFormatting sqref="O374 M374 G374 K374 S374 U374 W374 I374 Q374">
    <cfRule type="cellIs" dxfId="4575" priority="5532" stopIfTrue="1" operator="notEqual">
      <formula>H374</formula>
    </cfRule>
  </conditionalFormatting>
  <conditionalFormatting sqref="O375 M375 G375 K375 S375 U375 W375 I375 Q375">
    <cfRule type="cellIs" dxfId="4574" priority="5531" stopIfTrue="1" operator="notEqual">
      <formula>H375</formula>
    </cfRule>
  </conditionalFormatting>
  <conditionalFormatting sqref="O367 M367 G367 K367 S367 U367 W367 I367 Q367">
    <cfRule type="cellIs" dxfId="4573" priority="5530" stopIfTrue="1" operator="notEqual">
      <formula>H367</formula>
    </cfRule>
  </conditionalFormatting>
  <conditionalFormatting sqref="O368 M368 G368 K368 S368 U368 W368 I368 Q368">
    <cfRule type="cellIs" dxfId="4572" priority="5529" stopIfTrue="1" operator="notEqual">
      <formula>H368</formula>
    </cfRule>
  </conditionalFormatting>
  <conditionalFormatting sqref="O369 M369 G369 K369 S369 U369 W369 I369 Q369">
    <cfRule type="cellIs" dxfId="4571" priority="5528" stopIfTrue="1" operator="notEqual">
      <formula>H369</formula>
    </cfRule>
  </conditionalFormatting>
  <conditionalFormatting sqref="O367 M367 G367 K367 S367 U367 W367 I367 Q367">
    <cfRule type="cellIs" dxfId="4570" priority="5527" stopIfTrue="1" operator="notEqual">
      <formula>H367</formula>
    </cfRule>
  </conditionalFormatting>
  <conditionalFormatting sqref="O370 M370 G370 K370 S370 U370 W370 I370 Q370">
    <cfRule type="cellIs" dxfId="4569" priority="5526" stopIfTrue="1" operator="notEqual">
      <formula>H370</formula>
    </cfRule>
  </conditionalFormatting>
  <conditionalFormatting sqref="O371:O383 M371:M383 G371:G383 K371:K383 S371:S383 U371:U383 W371:W383 I371:I383 Q371:Q383">
    <cfRule type="cellIs" dxfId="4568" priority="5525" stopIfTrue="1" operator="notEqual">
      <formula>H371</formula>
    </cfRule>
  </conditionalFormatting>
  <conditionalFormatting sqref="O372 M372 G372 K372 S372 U372 W372 I372 Q372">
    <cfRule type="cellIs" dxfId="4567" priority="5524" stopIfTrue="1" operator="notEqual">
      <formula>H372</formula>
    </cfRule>
  </conditionalFormatting>
  <conditionalFormatting sqref="O373 M373 G373 K373 S373 U373 W373 I373 Q373">
    <cfRule type="cellIs" dxfId="4566" priority="5523" stopIfTrue="1" operator="notEqual">
      <formula>H373</formula>
    </cfRule>
  </conditionalFormatting>
  <conditionalFormatting sqref="O374 M374 G374 K374 S374 U374 W374 I374 Q374">
    <cfRule type="cellIs" dxfId="4565" priority="5522" stopIfTrue="1" operator="notEqual">
      <formula>H374</formula>
    </cfRule>
  </conditionalFormatting>
  <conditionalFormatting sqref="O375 M375 G375 K375 S375 U375 W375 I375 Q375">
    <cfRule type="cellIs" dxfId="4564" priority="5521" stopIfTrue="1" operator="notEqual">
      <formula>H375</formula>
    </cfRule>
  </conditionalFormatting>
  <conditionalFormatting sqref="G370:G383">
    <cfRule type="cellIs" dxfId="4563" priority="5520" stopIfTrue="1" operator="notEqual">
      <formula>H370</formula>
    </cfRule>
  </conditionalFormatting>
  <conditionalFormatting sqref="G356">
    <cfRule type="cellIs" dxfId="4562" priority="5519" stopIfTrue="1" operator="notEqual">
      <formula>H356</formula>
    </cfRule>
  </conditionalFormatting>
  <conditionalFormatting sqref="G357:G360">
    <cfRule type="cellIs" dxfId="4561" priority="5518" stopIfTrue="1" operator="notEqual">
      <formula>H357</formula>
    </cfRule>
  </conditionalFormatting>
  <conditionalFormatting sqref="G358">
    <cfRule type="cellIs" dxfId="4560" priority="5517" stopIfTrue="1" operator="notEqual">
      <formula>H358</formula>
    </cfRule>
  </conditionalFormatting>
  <conditionalFormatting sqref="G359">
    <cfRule type="cellIs" dxfId="4559" priority="5516" stopIfTrue="1" operator="notEqual">
      <formula>H359</formula>
    </cfRule>
  </conditionalFormatting>
  <conditionalFormatting sqref="G360">
    <cfRule type="cellIs" dxfId="4558" priority="5515" stopIfTrue="1" operator="notEqual">
      <formula>H360</formula>
    </cfRule>
  </conditionalFormatting>
  <conditionalFormatting sqref="G361">
    <cfRule type="cellIs" dxfId="4557" priority="5514" stopIfTrue="1" operator="notEqual">
      <formula>H361</formula>
    </cfRule>
  </conditionalFormatting>
  <conditionalFormatting sqref="G362">
    <cfRule type="cellIs" dxfId="4556" priority="5513" stopIfTrue="1" operator="notEqual">
      <formula>H362</formula>
    </cfRule>
  </conditionalFormatting>
  <conditionalFormatting sqref="G363">
    <cfRule type="cellIs" dxfId="4555" priority="5512" stopIfTrue="1" operator="notEqual">
      <formula>H363</formula>
    </cfRule>
  </conditionalFormatting>
  <conditionalFormatting sqref="G364">
    <cfRule type="cellIs" dxfId="4554" priority="5511" stopIfTrue="1" operator="notEqual">
      <formula>H364</formula>
    </cfRule>
  </conditionalFormatting>
  <conditionalFormatting sqref="G365">
    <cfRule type="cellIs" dxfId="4553" priority="5510" stopIfTrue="1" operator="notEqual">
      <formula>H365</formula>
    </cfRule>
  </conditionalFormatting>
  <conditionalFormatting sqref="G366">
    <cfRule type="cellIs" dxfId="4552" priority="5509" stopIfTrue="1" operator="notEqual">
      <formula>H366</formula>
    </cfRule>
  </conditionalFormatting>
  <conditionalFormatting sqref="G367">
    <cfRule type="cellIs" dxfId="4551" priority="5508" stopIfTrue="1" operator="notEqual">
      <formula>H367</formula>
    </cfRule>
  </conditionalFormatting>
  <conditionalFormatting sqref="G368">
    <cfRule type="cellIs" dxfId="4550" priority="5507" stopIfTrue="1" operator="notEqual">
      <formula>H368</formula>
    </cfRule>
  </conditionalFormatting>
  <conditionalFormatting sqref="G369">
    <cfRule type="cellIs" dxfId="4549" priority="5506" stopIfTrue="1" operator="notEqual">
      <formula>H369</formula>
    </cfRule>
  </conditionalFormatting>
  <conditionalFormatting sqref="G356">
    <cfRule type="cellIs" dxfId="4548" priority="5505" stopIfTrue="1" operator="notEqual">
      <formula>H356</formula>
    </cfRule>
  </conditionalFormatting>
  <conditionalFormatting sqref="G356">
    <cfRule type="cellIs" dxfId="4547" priority="5504" stopIfTrue="1" operator="notEqual">
      <formula>H356</formula>
    </cfRule>
  </conditionalFormatting>
  <conditionalFormatting sqref="G356">
    <cfRule type="cellIs" dxfId="4546" priority="5503" stopIfTrue="1" operator="notEqual">
      <formula>H356</formula>
    </cfRule>
  </conditionalFormatting>
  <conditionalFormatting sqref="G356">
    <cfRule type="cellIs" dxfId="4545" priority="5502" stopIfTrue="1" operator="notEqual">
      <formula>H356</formula>
    </cfRule>
  </conditionalFormatting>
  <conditionalFormatting sqref="G356">
    <cfRule type="cellIs" dxfId="4544" priority="5501" stopIfTrue="1" operator="notEqual">
      <formula>H356</formula>
    </cfRule>
  </conditionalFormatting>
  <conditionalFormatting sqref="G356">
    <cfRule type="cellIs" dxfId="4543" priority="5500" stopIfTrue="1" operator="notEqual">
      <formula>H356</formula>
    </cfRule>
  </conditionalFormatting>
  <conditionalFormatting sqref="G372">
    <cfRule type="cellIs" dxfId="4542" priority="5499" stopIfTrue="1" operator="notEqual">
      <formula>H372</formula>
    </cfRule>
  </conditionalFormatting>
  <conditionalFormatting sqref="G373">
    <cfRule type="cellIs" dxfId="4541" priority="5498" stopIfTrue="1" operator="notEqual">
      <formula>H373</formula>
    </cfRule>
  </conditionalFormatting>
  <conditionalFormatting sqref="G373">
    <cfRule type="cellIs" dxfId="4540" priority="5497" stopIfTrue="1" operator="notEqual">
      <formula>H373</formula>
    </cfRule>
  </conditionalFormatting>
  <conditionalFormatting sqref="G371:G383">
    <cfRule type="cellIs" dxfId="4539" priority="5496" stopIfTrue="1" operator="notEqual">
      <formula>H371</formula>
    </cfRule>
  </conditionalFormatting>
  <conditionalFormatting sqref="G375">
    <cfRule type="cellIs" dxfId="4538" priority="5495" stopIfTrue="1" operator="notEqual">
      <formula>H375</formula>
    </cfRule>
  </conditionalFormatting>
  <conditionalFormatting sqref="O366:O383 M366:M383 G366:G383 K366:K383 S366:S383 U366:U383 W366:W383 I366:I383 Q366:Q383">
    <cfRule type="cellIs" dxfId="4537" priority="5494" stopIfTrue="1" operator="notEqual">
      <formula>H366</formula>
    </cfRule>
  </conditionalFormatting>
  <conditionalFormatting sqref="O356 M356 G356 K356 S356 U356 W356 I356 Q356">
    <cfRule type="cellIs" dxfId="4536" priority="5493" stopIfTrue="1" operator="notEqual">
      <formula>H356</formula>
    </cfRule>
  </conditionalFormatting>
  <conditionalFormatting sqref="O357:O360 M357:M360 G357:G360 K357:K360 S357:S360 U357:U360 W357:W360 I357:I360 Q357:Q360">
    <cfRule type="cellIs" dxfId="4535" priority="5492" stopIfTrue="1" operator="notEqual">
      <formula>H357</formula>
    </cfRule>
  </conditionalFormatting>
  <conditionalFormatting sqref="O358 M358 G358 K358 S358 U358 W358 I358 Q358">
    <cfRule type="cellIs" dxfId="4534" priority="5491" stopIfTrue="1" operator="notEqual">
      <formula>H358</formula>
    </cfRule>
  </conditionalFormatting>
  <conditionalFormatting sqref="O359 M359 G359 K359 S359 U359 W359 I359 Q359">
    <cfRule type="cellIs" dxfId="4533" priority="5490" stopIfTrue="1" operator="notEqual">
      <formula>H359</formula>
    </cfRule>
  </conditionalFormatting>
  <conditionalFormatting sqref="O360 M360 G360 K360 S360 U360 W360 I360 Q360">
    <cfRule type="cellIs" dxfId="4532" priority="5489" stopIfTrue="1" operator="notEqual">
      <formula>H360</formula>
    </cfRule>
  </conditionalFormatting>
  <conditionalFormatting sqref="O361 M361 G361 K361 S361 U361 W361 I361 Q361">
    <cfRule type="cellIs" dxfId="4531" priority="5488" stopIfTrue="1" operator="notEqual">
      <formula>H361</formula>
    </cfRule>
  </conditionalFormatting>
  <conditionalFormatting sqref="O362 M362 G362 K362 S362 U362 W362 I362 Q362">
    <cfRule type="cellIs" dxfId="4530" priority="5487" stopIfTrue="1" operator="notEqual">
      <formula>H362</formula>
    </cfRule>
  </conditionalFormatting>
  <conditionalFormatting sqref="O363 M363 G363 K363 S363 U363 W363 I363 Q363">
    <cfRule type="cellIs" dxfId="4529" priority="5486" stopIfTrue="1" operator="notEqual">
      <formula>H363</formula>
    </cfRule>
  </conditionalFormatting>
  <conditionalFormatting sqref="O364 M364 G364 K364 S364 U364 W364 I364 Q364">
    <cfRule type="cellIs" dxfId="4528" priority="5485" stopIfTrue="1" operator="notEqual">
      <formula>H364</formula>
    </cfRule>
  </conditionalFormatting>
  <conditionalFormatting sqref="O365 M365 G365 K365 S365 U365 W365 I365 Q365">
    <cfRule type="cellIs" dxfId="4527" priority="5484" stopIfTrue="1" operator="notEqual">
      <formula>H365</formula>
    </cfRule>
  </conditionalFormatting>
  <conditionalFormatting sqref="O368 M368 G368 K368 S368 U368 W368 I368 Q368">
    <cfRule type="cellIs" dxfId="4526" priority="5483" stopIfTrue="1" operator="notEqual">
      <formula>H368</formula>
    </cfRule>
  </conditionalFormatting>
  <conditionalFormatting sqref="O369 M369 G369 K369 S369 U369 W369 I369 Q369">
    <cfRule type="cellIs" dxfId="4525" priority="5482" stopIfTrue="1" operator="notEqual">
      <formula>H369</formula>
    </cfRule>
  </conditionalFormatting>
  <conditionalFormatting sqref="O369 M369 G369 K369 S369 U369 W369 I369 Q369">
    <cfRule type="cellIs" dxfId="4524" priority="5481" stopIfTrue="1" operator="notEqual">
      <formula>H369</formula>
    </cfRule>
  </conditionalFormatting>
  <conditionalFormatting sqref="O367 M367 G367 K367 S367 U367 W367 I367 Q367">
    <cfRule type="cellIs" dxfId="4523" priority="5480" stopIfTrue="1" operator="notEqual">
      <formula>H367</formula>
    </cfRule>
  </conditionalFormatting>
  <conditionalFormatting sqref="O372 M372 G372 K372 S372 U372 W372 I372 Q372">
    <cfRule type="cellIs" dxfId="4522" priority="5479" stopIfTrue="1" operator="notEqual">
      <formula>H372</formula>
    </cfRule>
  </conditionalFormatting>
  <conditionalFormatting sqref="O373 M373 G373 K373 S373 U373 W373 I373 Q373">
    <cfRule type="cellIs" dxfId="4521" priority="5478" stopIfTrue="1" operator="notEqual">
      <formula>H373</formula>
    </cfRule>
  </conditionalFormatting>
  <conditionalFormatting sqref="O371:O383 M371:M383 G371:G383 K371:K383 S371:S383 U371:U383 W371:W383 I371:I383 Q371:Q383">
    <cfRule type="cellIs" dxfId="4520" priority="5477" stopIfTrue="1" operator="notEqual">
      <formula>H371</formula>
    </cfRule>
  </conditionalFormatting>
  <conditionalFormatting sqref="O374 M374 G374 K374 S374 U374 W374 I374 Q374">
    <cfRule type="cellIs" dxfId="4519" priority="5476" stopIfTrue="1" operator="notEqual">
      <formula>H374</formula>
    </cfRule>
  </conditionalFormatting>
  <conditionalFormatting sqref="O375 M375 G375 K375 S375 U375 W375 I375 Q375">
    <cfRule type="cellIs" dxfId="4518" priority="5475" stopIfTrue="1" operator="notEqual">
      <formula>H375</formula>
    </cfRule>
  </conditionalFormatting>
  <conditionalFormatting sqref="O356 M356 G356 K356 S356 U356 W356 I356 Q356">
    <cfRule type="cellIs" dxfId="4517" priority="5474" stopIfTrue="1" operator="notEqual">
      <formula>H356</formula>
    </cfRule>
  </conditionalFormatting>
  <conditionalFormatting sqref="O357:O360 M357:M360 G357:G360 K357:K360 S357:S360 U357:U360 W357:W360 I357:I360 Q357:Q360">
    <cfRule type="cellIs" dxfId="4516" priority="5473" stopIfTrue="1" operator="notEqual">
      <formula>H357</formula>
    </cfRule>
  </conditionalFormatting>
  <conditionalFormatting sqref="O358 M358 G358 K358 S358 U358 W358 I358 Q358">
    <cfRule type="cellIs" dxfId="4515" priority="5472" stopIfTrue="1" operator="notEqual">
      <formula>H358</formula>
    </cfRule>
  </conditionalFormatting>
  <conditionalFormatting sqref="O356 M356 G356 K356 S356 U356 W356 I356 Q356">
    <cfRule type="cellIs" dxfId="4514" priority="5471" stopIfTrue="1" operator="notEqual">
      <formula>H356</formula>
    </cfRule>
  </conditionalFormatting>
  <conditionalFormatting sqref="O359 M359 G359 K359 S359 U359 W359 I359 Q359">
    <cfRule type="cellIs" dxfId="4513" priority="5470" stopIfTrue="1" operator="notEqual">
      <formula>H359</formula>
    </cfRule>
  </conditionalFormatting>
  <conditionalFormatting sqref="O360 M360 G360 K360 S360 U360 W360 I360 Q360">
    <cfRule type="cellIs" dxfId="4512" priority="5469" stopIfTrue="1" operator="notEqual">
      <formula>H360</formula>
    </cfRule>
  </conditionalFormatting>
  <conditionalFormatting sqref="O361 M361 G361 K361 S361 U361 W361 I361 Q361">
    <cfRule type="cellIs" dxfId="4511" priority="5468" stopIfTrue="1" operator="notEqual">
      <formula>H361</formula>
    </cfRule>
  </conditionalFormatting>
  <conditionalFormatting sqref="O362 M362 G362 K362 S362 U362 W362 I362 Q362">
    <cfRule type="cellIs" dxfId="4510" priority="5467" stopIfTrue="1" operator="notEqual">
      <formula>H362</formula>
    </cfRule>
  </conditionalFormatting>
  <conditionalFormatting sqref="O363 M363 G363 K363 S363 U363 W363 I363 Q363">
    <cfRule type="cellIs" dxfId="4509" priority="5466" stopIfTrue="1" operator="notEqual">
      <formula>H363</formula>
    </cfRule>
  </conditionalFormatting>
  <conditionalFormatting sqref="O364 M364 G364 K364 S364 U364 W364 I364 Q364">
    <cfRule type="cellIs" dxfId="4508" priority="5465" stopIfTrue="1" operator="notEqual">
      <formula>H364</formula>
    </cfRule>
  </conditionalFormatting>
  <conditionalFormatting sqref="O365 M365 G365 K365 S365 U365 W365 I365 Q365">
    <cfRule type="cellIs" dxfId="4507" priority="5464" stopIfTrue="1" operator="notEqual">
      <formula>H365</formula>
    </cfRule>
  </conditionalFormatting>
  <conditionalFormatting sqref="O366 M366 G366 K366 S366 U366 W366 I366 Q366">
    <cfRule type="cellIs" dxfId="4506" priority="5463" stopIfTrue="1" operator="notEqual">
      <formula>H366</formula>
    </cfRule>
  </conditionalFormatting>
  <conditionalFormatting sqref="O367 M367 G367 K367 S367 U367 W367 I367 Q367">
    <cfRule type="cellIs" dxfId="4505" priority="5462" stopIfTrue="1" operator="notEqual">
      <formula>H367</formula>
    </cfRule>
  </conditionalFormatting>
  <conditionalFormatting sqref="O368 M368 G368 K368 S368 U368 W368 I368 Q368">
    <cfRule type="cellIs" dxfId="4504" priority="5461" stopIfTrue="1" operator="notEqual">
      <formula>H368</formula>
    </cfRule>
  </conditionalFormatting>
  <conditionalFormatting sqref="O369 M369 G369 K369 S369 U369 W369 I369 Q369">
    <cfRule type="cellIs" dxfId="4503" priority="5460" stopIfTrue="1" operator="notEqual">
      <formula>H369</formula>
    </cfRule>
  </conditionalFormatting>
  <conditionalFormatting sqref="O370 M370 G370 K370 S370 U370 W370 I370 Q370">
    <cfRule type="cellIs" dxfId="4502" priority="5459" stopIfTrue="1" operator="notEqual">
      <formula>H370</formula>
    </cfRule>
  </conditionalFormatting>
  <conditionalFormatting sqref="O371:O383 M371:M383 G371:G383 K371:K383 S371:S383 U371:U383 W371:W383 I371:I383 Q371:Q383">
    <cfRule type="cellIs" dxfId="4501" priority="5458" stopIfTrue="1" operator="notEqual">
      <formula>H371</formula>
    </cfRule>
  </conditionalFormatting>
  <conditionalFormatting sqref="G372">
    <cfRule type="cellIs" dxfId="4500" priority="5457" stopIfTrue="1" operator="notEqual">
      <formula>H372</formula>
    </cfRule>
  </conditionalFormatting>
  <conditionalFormatting sqref="G373">
    <cfRule type="cellIs" dxfId="4499" priority="5456" stopIfTrue="1" operator="notEqual">
      <formula>H373</formula>
    </cfRule>
  </conditionalFormatting>
  <conditionalFormatting sqref="G374">
    <cfRule type="cellIs" dxfId="4498" priority="5455" stopIfTrue="1" operator="notEqual">
      <formula>H374</formula>
    </cfRule>
  </conditionalFormatting>
  <conditionalFormatting sqref="G375">
    <cfRule type="cellIs" dxfId="4497" priority="5454" stopIfTrue="1" operator="notEqual">
      <formula>H375</formula>
    </cfRule>
  </conditionalFormatting>
  <conditionalFormatting sqref="G372">
    <cfRule type="cellIs" dxfId="4496" priority="5453" stopIfTrue="1" operator="notEqual">
      <formula>H372</formula>
    </cfRule>
  </conditionalFormatting>
  <conditionalFormatting sqref="G372">
    <cfRule type="cellIs" dxfId="4495" priority="5452" stopIfTrue="1" operator="notEqual">
      <formula>H372</formula>
    </cfRule>
  </conditionalFormatting>
  <conditionalFormatting sqref="G372">
    <cfRule type="cellIs" dxfId="4494" priority="5451" stopIfTrue="1" operator="notEqual">
      <formula>H372</formula>
    </cfRule>
  </conditionalFormatting>
  <conditionalFormatting sqref="G372">
    <cfRule type="cellIs" dxfId="4493" priority="5450" stopIfTrue="1" operator="notEqual">
      <formula>H372</formula>
    </cfRule>
  </conditionalFormatting>
  <conditionalFormatting sqref="G372">
    <cfRule type="cellIs" dxfId="4492" priority="5449" stopIfTrue="1" operator="notEqual">
      <formula>H372</formula>
    </cfRule>
  </conditionalFormatting>
  <conditionalFormatting sqref="G372">
    <cfRule type="cellIs" dxfId="4491" priority="5448" stopIfTrue="1" operator="notEqual">
      <formula>H372</formula>
    </cfRule>
  </conditionalFormatting>
  <conditionalFormatting sqref="O372 M372 G372 K372 S372 U372 W372 I372 Q372">
    <cfRule type="cellIs" dxfId="4490" priority="5447" stopIfTrue="1" operator="notEqual">
      <formula>H372</formula>
    </cfRule>
  </conditionalFormatting>
  <conditionalFormatting sqref="O373 M373 G373 K373 S373 U373 W373 I373 Q373">
    <cfRule type="cellIs" dxfId="4489" priority="5446" stopIfTrue="1" operator="notEqual">
      <formula>H373</formula>
    </cfRule>
  </conditionalFormatting>
  <conditionalFormatting sqref="O374 M374 G374 K374 S374 U374 W374 I374 Q374">
    <cfRule type="cellIs" dxfId="4488" priority="5445" stopIfTrue="1" operator="notEqual">
      <formula>H374</formula>
    </cfRule>
  </conditionalFormatting>
  <conditionalFormatting sqref="O375 M375 G375 K375 S375 U375 W375 I375 Q375">
    <cfRule type="cellIs" dxfId="4487" priority="5444" stopIfTrue="1" operator="notEqual">
      <formula>H375</formula>
    </cfRule>
  </conditionalFormatting>
  <conditionalFormatting sqref="O372 M372 G372 K372 S372 U372 W372 I372 Q372">
    <cfRule type="cellIs" dxfId="4486" priority="5443" stopIfTrue="1" operator="notEqual">
      <formula>H372</formula>
    </cfRule>
  </conditionalFormatting>
  <conditionalFormatting sqref="O373 M373 G373 K373 S373 U373 W373 I373 Q373">
    <cfRule type="cellIs" dxfId="4485" priority="5442" stopIfTrue="1" operator="notEqual">
      <formula>H373</formula>
    </cfRule>
  </conditionalFormatting>
  <conditionalFormatting sqref="O374 M374 G374 K374 S374 U374 W374 I374 Q374">
    <cfRule type="cellIs" dxfId="4484" priority="5441" stopIfTrue="1" operator="notEqual">
      <formula>H374</formula>
    </cfRule>
  </conditionalFormatting>
  <conditionalFormatting sqref="O372 M372 G372 K372 S372 U372 W372 I372 Q372">
    <cfRule type="cellIs" dxfId="4483" priority="5440" stopIfTrue="1" operator="notEqual">
      <formula>H372</formula>
    </cfRule>
  </conditionalFormatting>
  <conditionalFormatting sqref="O375 M375 G375 K375 S375 U375 W375 I375 Q375">
    <cfRule type="cellIs" dxfId="4482" priority="5439" stopIfTrue="1" operator="notEqual">
      <formula>H375</formula>
    </cfRule>
  </conditionalFormatting>
  <conditionalFormatting sqref="O356:O360 M356:M360 G356:G360 K356:K360 S356:S360 U356:U360 W356:W360 I356:I360 Q356:Q360">
    <cfRule type="cellIs" dxfId="4481" priority="5438" stopIfTrue="1" operator="notEqual">
      <formula>H356</formula>
    </cfRule>
  </conditionalFormatting>
  <conditionalFormatting sqref="O357:O360 M357:M360 G357:G360 K357:K360 S357:S360 U357:U360 W357:W360 I357:I360 Q357:Q360">
    <cfRule type="cellIs" dxfId="4480" priority="5437" stopIfTrue="1" operator="notEqual">
      <formula>H357</formula>
    </cfRule>
  </conditionalFormatting>
  <conditionalFormatting sqref="O358 M358 G358 K358 S358 U358 W358 I358 Q358">
    <cfRule type="cellIs" dxfId="4479" priority="5436" stopIfTrue="1" operator="notEqual">
      <formula>H358</formula>
    </cfRule>
  </conditionalFormatting>
  <conditionalFormatting sqref="O358 M358 G358 K358 S358 U358 W358 I358 Q358">
    <cfRule type="cellIs" dxfId="4478" priority="5435" stopIfTrue="1" operator="notEqual">
      <formula>H358</formula>
    </cfRule>
  </conditionalFormatting>
  <conditionalFormatting sqref="O356 M356 G356 K356 S356 U356 W356 I356 Q356">
    <cfRule type="cellIs" dxfId="4477" priority="5434" stopIfTrue="1" operator="notEqual">
      <formula>H356</formula>
    </cfRule>
  </conditionalFormatting>
  <conditionalFormatting sqref="O361 M361 G361 K361 S361 U361 W361 I361 Q361">
    <cfRule type="cellIs" dxfId="4476" priority="5433" stopIfTrue="1" operator="notEqual">
      <formula>H361</formula>
    </cfRule>
  </conditionalFormatting>
  <conditionalFormatting sqref="O362 M362 G362 K362 S362 U362 W362 I362 Q362">
    <cfRule type="cellIs" dxfId="4475" priority="5432" stopIfTrue="1" operator="notEqual">
      <formula>H362</formula>
    </cfRule>
  </conditionalFormatting>
  <conditionalFormatting sqref="O360 M360 G360 K360 S360 U360 W360 I360 Q360">
    <cfRule type="cellIs" dxfId="4474" priority="5431" stopIfTrue="1" operator="notEqual">
      <formula>H360</formula>
    </cfRule>
  </conditionalFormatting>
  <conditionalFormatting sqref="O363 M363 G363 K363 S363 U363 W363 I363 Q363">
    <cfRule type="cellIs" dxfId="4473" priority="5430" stopIfTrue="1" operator="notEqual">
      <formula>H363</formula>
    </cfRule>
  </conditionalFormatting>
  <conditionalFormatting sqref="O364 M364 G364 K364 S364 U364 W364 I364 Q364">
    <cfRule type="cellIs" dxfId="4472" priority="5429" stopIfTrue="1" operator="notEqual">
      <formula>H364</formula>
    </cfRule>
  </conditionalFormatting>
  <conditionalFormatting sqref="O365 M365 G365 K365 S365 U365 W365 I365 Q365">
    <cfRule type="cellIs" dxfId="4471" priority="5428" stopIfTrue="1" operator="notEqual">
      <formula>H365</formula>
    </cfRule>
  </conditionalFormatting>
  <conditionalFormatting sqref="O366 M366 G366 K366 S366 U366 W366 I366 Q366">
    <cfRule type="cellIs" dxfId="4470" priority="5427" stopIfTrue="1" operator="notEqual">
      <formula>H366</formula>
    </cfRule>
  </conditionalFormatting>
  <conditionalFormatting sqref="O367 M367 G367 K367 S367 U367 W367 I367 Q367">
    <cfRule type="cellIs" dxfId="4469" priority="5426" stopIfTrue="1" operator="notEqual">
      <formula>H367</formula>
    </cfRule>
  </conditionalFormatting>
  <conditionalFormatting sqref="O368 M368 G368 K368 S368 U368 W368 I368 Q368">
    <cfRule type="cellIs" dxfId="4468" priority="5425" stopIfTrue="1" operator="notEqual">
      <formula>H368</formula>
    </cfRule>
  </conditionalFormatting>
  <conditionalFormatting sqref="O369 M369 G369 K369 S369 U369 W369 I369 Q369">
    <cfRule type="cellIs" dxfId="4467" priority="5424" stopIfTrue="1" operator="notEqual">
      <formula>H369</formula>
    </cfRule>
  </conditionalFormatting>
  <conditionalFormatting sqref="O370 M370 G370 K370 S370 U370 W370 I370 Q370">
    <cfRule type="cellIs" dxfId="4466" priority="5423" stopIfTrue="1" operator="notEqual">
      <formula>H370</formula>
    </cfRule>
  </conditionalFormatting>
  <conditionalFormatting sqref="O371:O383 M371:M383 G371:G383 K371:K383 S371:S383 U371:U383 W371:W383 I371:I383 Q371:Q383">
    <cfRule type="cellIs" dxfId="4465" priority="5422" stopIfTrue="1" operator="notEqual">
      <formula>H371</formula>
    </cfRule>
  </conditionalFormatting>
  <conditionalFormatting sqref="O372 M372 G372 K372 S372 U372 W372 I372 Q372">
    <cfRule type="cellIs" dxfId="4464" priority="5421" stopIfTrue="1" operator="notEqual">
      <formula>H372</formula>
    </cfRule>
  </conditionalFormatting>
  <conditionalFormatting sqref="O373 M373 G373 K373 S373 U373 W373 I373 Q373">
    <cfRule type="cellIs" dxfId="4463" priority="5420" stopIfTrue="1" operator="notEqual">
      <formula>H373</formula>
    </cfRule>
  </conditionalFormatting>
  <conditionalFormatting sqref="O374 M374 G374 K374 S374 U374 W374 I374 Q374">
    <cfRule type="cellIs" dxfId="4462" priority="5419" stopIfTrue="1" operator="notEqual">
      <formula>H374</formula>
    </cfRule>
  </conditionalFormatting>
  <conditionalFormatting sqref="O375 M375 G375 K375 S375 U375 W375 I375 Q375">
    <cfRule type="cellIs" dxfId="4461" priority="5418" stopIfTrue="1" operator="notEqual">
      <formula>H375</formula>
    </cfRule>
  </conditionalFormatting>
  <conditionalFormatting sqref="G383">
    <cfRule type="cellIs" dxfId="4460" priority="5417" stopIfTrue="1" operator="notEqual">
      <formula>H383</formula>
    </cfRule>
  </conditionalFormatting>
  <conditionalFormatting sqref="G376">
    <cfRule type="cellIs" dxfId="4459" priority="5416" stopIfTrue="1" operator="notEqual">
      <formula>H376</formula>
    </cfRule>
  </conditionalFormatting>
  <conditionalFormatting sqref="G377">
    <cfRule type="cellIs" dxfId="4458" priority="5415" stopIfTrue="1" operator="notEqual">
      <formula>H377</formula>
    </cfRule>
  </conditionalFormatting>
  <conditionalFormatting sqref="G378">
    <cfRule type="cellIs" dxfId="4457" priority="5414" stopIfTrue="1" operator="notEqual">
      <formula>H378</formula>
    </cfRule>
  </conditionalFormatting>
  <conditionalFormatting sqref="G379">
    <cfRule type="cellIs" dxfId="4456" priority="5413" stopIfTrue="1" operator="notEqual">
      <formula>H379</formula>
    </cfRule>
  </conditionalFormatting>
  <conditionalFormatting sqref="G380">
    <cfRule type="cellIs" dxfId="4455" priority="5412" stopIfTrue="1" operator="notEqual">
      <formula>H380</formula>
    </cfRule>
  </conditionalFormatting>
  <conditionalFormatting sqref="G381">
    <cfRule type="cellIs" dxfId="4454" priority="5411" stopIfTrue="1" operator="notEqual">
      <formula>H381</formula>
    </cfRule>
  </conditionalFormatting>
  <conditionalFormatting sqref="G382">
    <cfRule type="cellIs" dxfId="4453" priority="5410" stopIfTrue="1" operator="notEqual">
      <formula>H382</formula>
    </cfRule>
  </conditionalFormatting>
  <conditionalFormatting sqref="G376">
    <cfRule type="cellIs" dxfId="4452" priority="5409" stopIfTrue="1" operator="notEqual">
      <formula>H376</formula>
    </cfRule>
  </conditionalFormatting>
  <conditionalFormatting sqref="G377">
    <cfRule type="cellIs" dxfId="4451" priority="5408" stopIfTrue="1" operator="notEqual">
      <formula>H377</formula>
    </cfRule>
  </conditionalFormatting>
  <conditionalFormatting sqref="G378">
    <cfRule type="cellIs" dxfId="4450" priority="5407" stopIfTrue="1" operator="notEqual">
      <formula>H378</formula>
    </cfRule>
  </conditionalFormatting>
  <conditionalFormatting sqref="G379">
    <cfRule type="cellIs" dxfId="4449" priority="5406" stopIfTrue="1" operator="notEqual">
      <formula>H379</formula>
    </cfRule>
  </conditionalFormatting>
  <conditionalFormatting sqref="G380">
    <cfRule type="cellIs" dxfId="4448" priority="5405" stopIfTrue="1" operator="notEqual">
      <formula>H380</formula>
    </cfRule>
  </conditionalFormatting>
  <conditionalFormatting sqref="G381">
    <cfRule type="cellIs" dxfId="4447" priority="5404" stopIfTrue="1" operator="notEqual">
      <formula>H381</formula>
    </cfRule>
  </conditionalFormatting>
  <conditionalFormatting sqref="G382">
    <cfRule type="cellIs" dxfId="4446" priority="5403" stopIfTrue="1" operator="notEqual">
      <formula>H382</formula>
    </cfRule>
  </conditionalFormatting>
  <conditionalFormatting sqref="O376 M376 G376 K376 S376 U376 W376 I376 Q376">
    <cfRule type="cellIs" dxfId="4445" priority="5402" stopIfTrue="1" operator="notEqual">
      <formula>H376</formula>
    </cfRule>
  </conditionalFormatting>
  <conditionalFormatting sqref="O377 M377 G377 K377 S377 U377 W377 I377 Q377">
    <cfRule type="cellIs" dxfId="4444" priority="5401" stopIfTrue="1" operator="notEqual">
      <formula>H377</formula>
    </cfRule>
  </conditionalFormatting>
  <conditionalFormatting sqref="O378 M378 G378 K378 S378 U378 W378 I378 Q378">
    <cfRule type="cellIs" dxfId="4443" priority="5400" stopIfTrue="1" operator="notEqual">
      <formula>H378</formula>
    </cfRule>
  </conditionalFormatting>
  <conditionalFormatting sqref="O379 M379 G379 K379 S379 U379 W379 I379 Q379">
    <cfRule type="cellIs" dxfId="4442" priority="5399" stopIfTrue="1" operator="notEqual">
      <formula>H379</formula>
    </cfRule>
  </conditionalFormatting>
  <conditionalFormatting sqref="O380 M380 G380 K380 S380 U380 W380 I380 Q380">
    <cfRule type="cellIs" dxfId="4441" priority="5398" stopIfTrue="1" operator="notEqual">
      <formula>H380</formula>
    </cfRule>
  </conditionalFormatting>
  <conditionalFormatting sqref="O381 M381 G381 K381 S381 U381 W381 I381 Q381">
    <cfRule type="cellIs" dxfId="4440" priority="5397" stopIfTrue="1" operator="notEqual">
      <formula>H381</formula>
    </cfRule>
  </conditionalFormatting>
  <conditionalFormatting sqref="G381:G382">
    <cfRule type="cellIs" dxfId="4439" priority="5396" stopIfTrue="1" operator="notEqual">
      <formula>H381</formula>
    </cfRule>
  </conditionalFormatting>
  <conditionalFormatting sqref="G376">
    <cfRule type="cellIs" dxfId="4438" priority="5395" stopIfTrue="1" operator="notEqual">
      <formula>H376</formula>
    </cfRule>
  </conditionalFormatting>
  <conditionalFormatting sqref="G377">
    <cfRule type="cellIs" dxfId="4437" priority="5394" stopIfTrue="1" operator="notEqual">
      <formula>H377</formula>
    </cfRule>
  </conditionalFormatting>
  <conditionalFormatting sqref="G378">
    <cfRule type="cellIs" dxfId="4436" priority="5393" stopIfTrue="1" operator="notEqual">
      <formula>H378</formula>
    </cfRule>
  </conditionalFormatting>
  <conditionalFormatting sqref="G379">
    <cfRule type="cellIs" dxfId="4435" priority="5392" stopIfTrue="1" operator="notEqual">
      <formula>H379</formula>
    </cfRule>
  </conditionalFormatting>
  <conditionalFormatting sqref="G380">
    <cfRule type="cellIs" dxfId="4434" priority="5391" stopIfTrue="1" operator="notEqual">
      <formula>H380</formula>
    </cfRule>
  </conditionalFormatting>
  <conditionalFormatting sqref="G382">
    <cfRule type="cellIs" dxfId="4433" priority="5390" stopIfTrue="1" operator="notEqual">
      <formula>H382</formula>
    </cfRule>
  </conditionalFormatting>
  <conditionalFormatting sqref="O377:O382 M377:M382 G377:G382 K377:K382 S377:S382 U377:U382 W377:W382 I377:I382 Q377:Q382">
    <cfRule type="cellIs" dxfId="4432" priority="5389" stopIfTrue="1" operator="notEqual">
      <formula>H377</formula>
    </cfRule>
  </conditionalFormatting>
  <conditionalFormatting sqref="O376 M376 G376 K376 S376 U376 W376 I376 Q376">
    <cfRule type="cellIs" dxfId="4431" priority="5388" stopIfTrue="1" operator="notEqual">
      <formula>H376</formula>
    </cfRule>
  </conditionalFormatting>
  <conditionalFormatting sqref="O379 M379 G379 K379 S379 U379 W379 I379 Q379">
    <cfRule type="cellIs" dxfId="4430" priority="5387" stopIfTrue="1" operator="notEqual">
      <formula>H379</formula>
    </cfRule>
  </conditionalFormatting>
  <conditionalFormatting sqref="O380 M380 G380 K380 S380 U380 W380 I380 Q380">
    <cfRule type="cellIs" dxfId="4429" priority="5386" stopIfTrue="1" operator="notEqual">
      <formula>H380</formula>
    </cfRule>
  </conditionalFormatting>
  <conditionalFormatting sqref="O380 M380 G380 K380 S380 U380 W380 I380 Q380">
    <cfRule type="cellIs" dxfId="4428" priority="5385" stopIfTrue="1" operator="notEqual">
      <formula>H380</formula>
    </cfRule>
  </conditionalFormatting>
  <conditionalFormatting sqref="O378 M378 G378 K378 S378 U378 W378 I378 Q378">
    <cfRule type="cellIs" dxfId="4427" priority="5384" stopIfTrue="1" operator="notEqual">
      <formula>H378</formula>
    </cfRule>
  </conditionalFormatting>
  <conditionalFormatting sqref="O382 M382 G382 K382 S382 U382 W382 I382 Q382">
    <cfRule type="cellIs" dxfId="4426" priority="5383" stopIfTrue="1" operator="notEqual">
      <formula>H382</formula>
    </cfRule>
  </conditionalFormatting>
  <conditionalFormatting sqref="O376 M376 G376 K376 S376 U376 W376 I376 Q376">
    <cfRule type="cellIs" dxfId="4425" priority="5382" stopIfTrue="1" operator="notEqual">
      <formula>H376</formula>
    </cfRule>
  </conditionalFormatting>
  <conditionalFormatting sqref="O377 M377 G377 K377 S377 U377 W377 I377 Q377">
    <cfRule type="cellIs" dxfId="4424" priority="5381" stopIfTrue="1" operator="notEqual">
      <formula>H377</formula>
    </cfRule>
  </conditionalFormatting>
  <conditionalFormatting sqref="O378 M378 G378 K378 S378 U378 W378 I378 Q378">
    <cfRule type="cellIs" dxfId="4423" priority="5380" stopIfTrue="1" operator="notEqual">
      <formula>H378</formula>
    </cfRule>
  </conditionalFormatting>
  <conditionalFormatting sqref="O379 M379 G379 K379 S379 U379 W379 I379 Q379">
    <cfRule type="cellIs" dxfId="4422" priority="5379" stopIfTrue="1" operator="notEqual">
      <formula>H379</formula>
    </cfRule>
  </conditionalFormatting>
  <conditionalFormatting sqref="O380 M380 G380 K380 S380 U380 W380 I380 Q380">
    <cfRule type="cellIs" dxfId="4421" priority="5378" stopIfTrue="1" operator="notEqual">
      <formula>H380</formula>
    </cfRule>
  </conditionalFormatting>
  <conditionalFormatting sqref="O381 M381 G381 K381 S381 U381 W381 I381 Q381">
    <cfRule type="cellIs" dxfId="4420" priority="5377" stopIfTrue="1" operator="notEqual">
      <formula>H381</formula>
    </cfRule>
  </conditionalFormatting>
  <conditionalFormatting sqref="O382 M382 G382 K382 S382 U382 W382 I382 Q382">
    <cfRule type="cellIs" dxfId="4419" priority="5376" stopIfTrue="1" operator="notEqual">
      <formula>H382</formula>
    </cfRule>
  </conditionalFormatting>
  <conditionalFormatting sqref="G376">
    <cfRule type="cellIs" dxfId="4418" priority="5375" stopIfTrue="1" operator="notEqual">
      <formula>H376</formula>
    </cfRule>
  </conditionalFormatting>
  <conditionalFormatting sqref="G377">
    <cfRule type="cellIs" dxfId="4417" priority="5374" stopIfTrue="1" operator="notEqual">
      <formula>H377</formula>
    </cfRule>
  </conditionalFormatting>
  <conditionalFormatting sqref="G378">
    <cfRule type="cellIs" dxfId="4416" priority="5373" stopIfTrue="1" operator="notEqual">
      <formula>H378</formula>
    </cfRule>
  </conditionalFormatting>
  <conditionalFormatting sqref="G379">
    <cfRule type="cellIs" dxfId="4415" priority="5372" stopIfTrue="1" operator="notEqual">
      <formula>H379</formula>
    </cfRule>
  </conditionalFormatting>
  <conditionalFormatting sqref="G380">
    <cfRule type="cellIs" dxfId="4414" priority="5371" stopIfTrue="1" operator="notEqual">
      <formula>H380</formula>
    </cfRule>
  </conditionalFormatting>
  <conditionalFormatting sqref="G381">
    <cfRule type="cellIs" dxfId="4413" priority="5370" stopIfTrue="1" operator="notEqual">
      <formula>H381</formula>
    </cfRule>
  </conditionalFormatting>
  <conditionalFormatting sqref="G382">
    <cfRule type="cellIs" dxfId="4412" priority="5369" stopIfTrue="1" operator="notEqual">
      <formula>H382</formula>
    </cfRule>
  </conditionalFormatting>
  <conditionalFormatting sqref="G383">
    <cfRule type="cellIs" dxfId="4411" priority="5368" stopIfTrue="1" operator="notEqual">
      <formula>H383</formula>
    </cfRule>
  </conditionalFormatting>
  <conditionalFormatting sqref="G384:G388">
    <cfRule type="cellIs" dxfId="4410" priority="5367" stopIfTrue="1" operator="notEqual">
      <formula>H384</formula>
    </cfRule>
  </conditionalFormatting>
  <conditionalFormatting sqref="G385">
    <cfRule type="cellIs" dxfId="4409" priority="5366" stopIfTrue="1" operator="notEqual">
      <formula>H385</formula>
    </cfRule>
  </conditionalFormatting>
  <conditionalFormatting sqref="G386">
    <cfRule type="cellIs" dxfId="4408" priority="5365" stopIfTrue="1" operator="notEqual">
      <formula>H386</formula>
    </cfRule>
  </conditionalFormatting>
  <conditionalFormatting sqref="G387">
    <cfRule type="cellIs" dxfId="4407" priority="5364" stopIfTrue="1" operator="notEqual">
      <formula>H387</formula>
    </cfRule>
  </conditionalFormatting>
  <conditionalFormatting sqref="G388">
    <cfRule type="cellIs" dxfId="4406" priority="5363" stopIfTrue="1" operator="notEqual">
      <formula>H388</formula>
    </cfRule>
  </conditionalFormatting>
  <conditionalFormatting sqref="G389">
    <cfRule type="cellIs" dxfId="4405" priority="5362" stopIfTrue="1" operator="notEqual">
      <formula>H389</formula>
    </cfRule>
  </conditionalFormatting>
  <conditionalFormatting sqref="G390">
    <cfRule type="cellIs" dxfId="4404" priority="5361" stopIfTrue="1" operator="notEqual">
      <formula>H390</formula>
    </cfRule>
  </conditionalFormatting>
  <conditionalFormatting sqref="G391">
    <cfRule type="cellIs" dxfId="4403" priority="5360" stopIfTrue="1" operator="notEqual">
      <formula>H391</formula>
    </cfRule>
  </conditionalFormatting>
  <conditionalFormatting sqref="G392">
    <cfRule type="cellIs" dxfId="4402" priority="5359" stopIfTrue="1" operator="notEqual">
      <formula>H392</formula>
    </cfRule>
  </conditionalFormatting>
  <conditionalFormatting sqref="G393">
    <cfRule type="cellIs" dxfId="4401" priority="5358" stopIfTrue="1" operator="notEqual">
      <formula>H393</formula>
    </cfRule>
  </conditionalFormatting>
  <conditionalFormatting sqref="G394:G395">
    <cfRule type="cellIs" dxfId="4400" priority="5357" stopIfTrue="1" operator="notEqual">
      <formula>H394</formula>
    </cfRule>
  </conditionalFormatting>
  <conditionalFormatting sqref="G396">
    <cfRule type="cellIs" dxfId="4399" priority="5356" stopIfTrue="1" operator="notEqual">
      <formula>H396</formula>
    </cfRule>
  </conditionalFormatting>
  <conditionalFormatting sqref="O376 M376 G376 K376 S376 U376 W376 I376 Q376">
    <cfRule type="cellIs" dxfId="4398" priority="5355" stopIfTrue="1" operator="notEqual">
      <formula>H376</formula>
    </cfRule>
  </conditionalFormatting>
  <conditionalFormatting sqref="O377 M377 G377 K377 S377 U377 W377 I377 Q377">
    <cfRule type="cellIs" dxfId="4397" priority="5354" stopIfTrue="1" operator="notEqual">
      <formula>H377</formula>
    </cfRule>
  </conditionalFormatting>
  <conditionalFormatting sqref="O378 M378 G378 K378 S378 U378 W378 I378 Q378">
    <cfRule type="cellIs" dxfId="4396" priority="5353" stopIfTrue="1" operator="notEqual">
      <formula>H378</formula>
    </cfRule>
  </conditionalFormatting>
  <conditionalFormatting sqref="O379 M379 G379 K379 S379 U379 W379 I379 Q379">
    <cfRule type="cellIs" dxfId="4395" priority="5352" stopIfTrue="1" operator="notEqual">
      <formula>H379</formula>
    </cfRule>
  </conditionalFormatting>
  <conditionalFormatting sqref="O380 M380 G380 K380 S380 U380 W380 I380 Q380">
    <cfRule type="cellIs" dxfId="4394" priority="5351" stopIfTrue="1" operator="notEqual">
      <formula>H380</formula>
    </cfRule>
  </conditionalFormatting>
  <conditionalFormatting sqref="O381 M381 G381 K381 S381 U381 W381 I381 Q381">
    <cfRule type="cellIs" dxfId="4393" priority="5350" stopIfTrue="1" operator="notEqual">
      <formula>H381</formula>
    </cfRule>
  </conditionalFormatting>
  <conditionalFormatting sqref="O382 M382 G382 K382 S382 U382 W382 I382 Q382">
    <cfRule type="cellIs" dxfId="4392" priority="5349" stopIfTrue="1" operator="notEqual">
      <formula>H382</formula>
    </cfRule>
  </conditionalFormatting>
  <conditionalFormatting sqref="O383 M383 G383 K383 S383 U383 W383 I383 Q383">
    <cfRule type="cellIs" dxfId="4391" priority="5348" stopIfTrue="1" operator="notEqual">
      <formula>H383</formula>
    </cfRule>
  </conditionalFormatting>
  <conditionalFormatting sqref="O384:O388 M384:M388 G384:G388 K384:K388 S384:S388 U384:U388 W384:W388 I384:I388 Q384:Q388">
    <cfRule type="cellIs" dxfId="4390" priority="5347" stopIfTrue="1" operator="notEqual">
      <formula>H384</formula>
    </cfRule>
  </conditionalFormatting>
  <conditionalFormatting sqref="O385 M385 G385 K385 S385 U385 W385 I385 Q385">
    <cfRule type="cellIs" dxfId="4389" priority="5346" stopIfTrue="1" operator="notEqual">
      <formula>H385</formula>
    </cfRule>
  </conditionalFormatting>
  <conditionalFormatting sqref="O386 M386 G386 K386 S386 U386 W386 I386 Q386">
    <cfRule type="cellIs" dxfId="4388" priority="5345" stopIfTrue="1" operator="notEqual">
      <formula>H386</formula>
    </cfRule>
  </conditionalFormatting>
  <conditionalFormatting sqref="G386:G387">
    <cfRule type="cellIs" dxfId="4387" priority="5344" stopIfTrue="1" operator="notEqual">
      <formula>H386</formula>
    </cfRule>
  </conditionalFormatting>
  <conditionalFormatting sqref="G376">
    <cfRule type="cellIs" dxfId="4386" priority="5343" stopIfTrue="1" operator="notEqual">
      <formula>H376</formula>
    </cfRule>
  </conditionalFormatting>
  <conditionalFormatting sqref="G377">
    <cfRule type="cellIs" dxfId="4385" priority="5342" stopIfTrue="1" operator="notEqual">
      <formula>H377</formula>
    </cfRule>
  </conditionalFormatting>
  <conditionalFormatting sqref="G378">
    <cfRule type="cellIs" dxfId="4384" priority="5341" stopIfTrue="1" operator="notEqual">
      <formula>H378</formula>
    </cfRule>
  </conditionalFormatting>
  <conditionalFormatting sqref="G379">
    <cfRule type="cellIs" dxfId="4383" priority="5340" stopIfTrue="1" operator="notEqual">
      <formula>H379</formula>
    </cfRule>
  </conditionalFormatting>
  <conditionalFormatting sqref="G380">
    <cfRule type="cellIs" dxfId="4382" priority="5339" stopIfTrue="1" operator="notEqual">
      <formula>H380</formula>
    </cfRule>
  </conditionalFormatting>
  <conditionalFormatting sqref="G381">
    <cfRule type="cellIs" dxfId="4381" priority="5338" stopIfTrue="1" operator="notEqual">
      <formula>H381</formula>
    </cfRule>
  </conditionalFormatting>
  <conditionalFormatting sqref="G382">
    <cfRule type="cellIs" dxfId="4380" priority="5337" stopIfTrue="1" operator="notEqual">
      <formula>H382</formula>
    </cfRule>
  </conditionalFormatting>
  <conditionalFormatting sqref="G383">
    <cfRule type="cellIs" dxfId="4379" priority="5336" stopIfTrue="1" operator="notEqual">
      <formula>H383</formula>
    </cfRule>
  </conditionalFormatting>
  <conditionalFormatting sqref="G384:G388">
    <cfRule type="cellIs" dxfId="4378" priority="5335" stopIfTrue="1" operator="notEqual">
      <formula>H384</formula>
    </cfRule>
  </conditionalFormatting>
  <conditionalFormatting sqref="G385">
    <cfRule type="cellIs" dxfId="4377" priority="5334" stopIfTrue="1" operator="notEqual">
      <formula>H385</formula>
    </cfRule>
  </conditionalFormatting>
  <conditionalFormatting sqref="G387">
    <cfRule type="cellIs" dxfId="4376" priority="5333" stopIfTrue="1" operator="notEqual">
      <formula>H387</formula>
    </cfRule>
  </conditionalFormatting>
  <conditionalFormatting sqref="O382:O388 M382:M388 G382:G388 K382:K388 S382:S388 U382:U388 W382:W388 I382:I388 Q382:Q388">
    <cfRule type="cellIs" dxfId="4375" priority="5332" stopIfTrue="1" operator="notEqual">
      <formula>H382</formula>
    </cfRule>
  </conditionalFormatting>
  <conditionalFormatting sqref="O376 M376 G376 K376 S376 U376 W376 I376 Q376">
    <cfRule type="cellIs" dxfId="4374" priority="5331" stopIfTrue="1" operator="notEqual">
      <formula>H376</formula>
    </cfRule>
  </conditionalFormatting>
  <conditionalFormatting sqref="O377 M377 G377 K377 S377 U377 W377 I377 Q377">
    <cfRule type="cellIs" dxfId="4373" priority="5330" stopIfTrue="1" operator="notEqual">
      <formula>H377</formula>
    </cfRule>
  </conditionalFormatting>
  <conditionalFormatting sqref="O378 M378 G378 K378 S378 U378 W378 I378 Q378">
    <cfRule type="cellIs" dxfId="4372" priority="5329" stopIfTrue="1" operator="notEqual">
      <formula>H378</formula>
    </cfRule>
  </conditionalFormatting>
  <conditionalFormatting sqref="O379 M379 G379 K379 S379 U379 W379 I379 Q379">
    <cfRule type="cellIs" dxfId="4371" priority="5328" stopIfTrue="1" operator="notEqual">
      <formula>H379</formula>
    </cfRule>
  </conditionalFormatting>
  <conditionalFormatting sqref="O380 M380 G380 K380 S380 U380 W380 I380 Q380">
    <cfRule type="cellIs" dxfId="4370" priority="5327" stopIfTrue="1" operator="notEqual">
      <formula>H380</formula>
    </cfRule>
  </conditionalFormatting>
  <conditionalFormatting sqref="O381 M381 G381 K381 S381 U381 W381 I381 Q381">
    <cfRule type="cellIs" dxfId="4369" priority="5326" stopIfTrue="1" operator="notEqual">
      <formula>H381</formula>
    </cfRule>
  </conditionalFormatting>
  <conditionalFormatting sqref="O384:O388 M384:M388 G384:G388 K384:K388 S384:S388 U384:U388 W384:W388 I384:I388 Q384:Q388">
    <cfRule type="cellIs" dxfId="4368" priority="5325" stopIfTrue="1" operator="notEqual">
      <formula>H384</formula>
    </cfRule>
  </conditionalFormatting>
  <conditionalFormatting sqref="O385 M385 G385 K385 S385 U385 W385 I385 Q385">
    <cfRule type="cellIs" dxfId="4367" priority="5324" stopIfTrue="1" operator="notEqual">
      <formula>H385</formula>
    </cfRule>
  </conditionalFormatting>
  <conditionalFormatting sqref="O385 M385 G385 K385 S385 U385 W385 I385 Q385">
    <cfRule type="cellIs" dxfId="4366" priority="5323" stopIfTrue="1" operator="notEqual">
      <formula>H385</formula>
    </cfRule>
  </conditionalFormatting>
  <conditionalFormatting sqref="O383 M383 G383 K383 S383 U383 W383 I383 Q383">
    <cfRule type="cellIs" dxfId="4365" priority="5322" stopIfTrue="1" operator="notEqual">
      <formula>H383</formula>
    </cfRule>
  </conditionalFormatting>
  <conditionalFormatting sqref="O387 M387 G387 K387 S387 U387 W387 I387 Q387">
    <cfRule type="cellIs" dxfId="4364" priority="5321" stopIfTrue="1" operator="notEqual">
      <formula>H387</formula>
    </cfRule>
  </conditionalFormatting>
  <conditionalFormatting sqref="O376 M376 G376 K376 S376 U376 W376 I376 Q376">
    <cfRule type="cellIs" dxfId="4363" priority="5320" stopIfTrue="1" operator="notEqual">
      <formula>H376</formula>
    </cfRule>
  </conditionalFormatting>
  <conditionalFormatting sqref="O377 M377 G377 K377 S377 U377 W377 I377 Q377">
    <cfRule type="cellIs" dxfId="4362" priority="5319" stopIfTrue="1" operator="notEqual">
      <formula>H377</formula>
    </cfRule>
  </conditionalFormatting>
  <conditionalFormatting sqref="O378 M378 G378 K378 S378 U378 W378 I378 Q378">
    <cfRule type="cellIs" dxfId="4361" priority="5318" stopIfTrue="1" operator="notEqual">
      <formula>H378</formula>
    </cfRule>
  </conditionalFormatting>
  <conditionalFormatting sqref="O379 M379 G379 K379 S379 U379 W379 I379 Q379">
    <cfRule type="cellIs" dxfId="4360" priority="5317" stopIfTrue="1" operator="notEqual">
      <formula>H379</formula>
    </cfRule>
  </conditionalFormatting>
  <conditionalFormatting sqref="O380 M380 G380 K380 S380 U380 W380 I380 Q380">
    <cfRule type="cellIs" dxfId="4359" priority="5316" stopIfTrue="1" operator="notEqual">
      <formula>H380</formula>
    </cfRule>
  </conditionalFormatting>
  <conditionalFormatting sqref="O381 M381 G381 K381 S381 U381 W381 I381 Q381">
    <cfRule type="cellIs" dxfId="4358" priority="5315" stopIfTrue="1" operator="notEqual">
      <formula>H381</formula>
    </cfRule>
  </conditionalFormatting>
  <conditionalFormatting sqref="O382 M382 G382 K382 S382 U382 W382 I382 Q382">
    <cfRule type="cellIs" dxfId="4357" priority="5314" stopIfTrue="1" operator="notEqual">
      <formula>H382</formula>
    </cfRule>
  </conditionalFormatting>
  <conditionalFormatting sqref="O383 M383 G383 K383 S383 U383 W383 I383 Q383">
    <cfRule type="cellIs" dxfId="4356" priority="5313" stopIfTrue="1" operator="notEqual">
      <formula>H383</formula>
    </cfRule>
  </conditionalFormatting>
  <conditionalFormatting sqref="O384:O388 M384:M388 G384:G388 K384:K388 S384:S388 U384:U388 W384:W388 I384:I388 Q384:Q388">
    <cfRule type="cellIs" dxfId="4355" priority="5312" stopIfTrue="1" operator="notEqual">
      <formula>H384</formula>
    </cfRule>
  </conditionalFormatting>
  <conditionalFormatting sqref="O385 M385 G385 K385 S385 U385 W385 I385 Q385">
    <cfRule type="cellIs" dxfId="4354" priority="5311" stopIfTrue="1" operator="notEqual">
      <formula>H385</formula>
    </cfRule>
  </conditionalFormatting>
  <conditionalFormatting sqref="O386 M386 G386 K386 S386 U386 W386 I386 Q386">
    <cfRule type="cellIs" dxfId="4353" priority="5310" stopIfTrue="1" operator="notEqual">
      <formula>H386</formula>
    </cfRule>
  </conditionalFormatting>
  <conditionalFormatting sqref="O387 M387 G387 K387 S387 U387 W387 I387 Q387">
    <cfRule type="cellIs" dxfId="4352" priority="5309" stopIfTrue="1" operator="notEqual">
      <formula>H387</formula>
    </cfRule>
  </conditionalFormatting>
  <conditionalFormatting sqref="G387:G390">
    <cfRule type="cellIs" dxfId="4351" priority="5308" stopIfTrue="1" operator="notEqual">
      <formula>H387</formula>
    </cfRule>
  </conditionalFormatting>
  <conditionalFormatting sqref="G387">
    <cfRule type="cellIs" dxfId="4350" priority="5307" stopIfTrue="1" operator="notEqual">
      <formula>H387</formula>
    </cfRule>
  </conditionalFormatting>
  <conditionalFormatting sqref="G388">
    <cfRule type="cellIs" dxfId="4349" priority="5306" stopIfTrue="1" operator="notEqual">
      <formula>H388</formula>
    </cfRule>
  </conditionalFormatting>
  <conditionalFormatting sqref="G388">
    <cfRule type="cellIs" dxfId="4348" priority="5305" stopIfTrue="1" operator="notEqual">
      <formula>H388</formula>
    </cfRule>
  </conditionalFormatting>
  <conditionalFormatting sqref="G391">
    <cfRule type="cellIs" dxfId="4347" priority="5304" stopIfTrue="1" operator="notEqual">
      <formula>H391</formula>
    </cfRule>
  </conditionalFormatting>
  <conditionalFormatting sqref="G392">
    <cfRule type="cellIs" dxfId="4346" priority="5303" stopIfTrue="1" operator="notEqual">
      <formula>H392</formula>
    </cfRule>
  </conditionalFormatting>
  <conditionalFormatting sqref="G390">
    <cfRule type="cellIs" dxfId="4345" priority="5302" stopIfTrue="1" operator="notEqual">
      <formula>H390</formula>
    </cfRule>
  </conditionalFormatting>
  <conditionalFormatting sqref="G393">
    <cfRule type="cellIs" dxfId="4344" priority="5301" stopIfTrue="1" operator="notEqual">
      <formula>H393</formula>
    </cfRule>
  </conditionalFormatting>
  <conditionalFormatting sqref="G394:G395">
    <cfRule type="cellIs" dxfId="4343" priority="5300" stopIfTrue="1" operator="notEqual">
      <formula>H394</formula>
    </cfRule>
  </conditionalFormatting>
  <conditionalFormatting sqref="G396">
    <cfRule type="cellIs" dxfId="4342" priority="5299" stopIfTrue="1" operator="notEqual">
      <formula>H396</formula>
    </cfRule>
  </conditionalFormatting>
  <conditionalFormatting sqref="O387 M387 G387 K387 S387 U387 W387 I387 Q387">
    <cfRule type="cellIs" dxfId="4341" priority="5298" stopIfTrue="1" operator="notEqual">
      <formula>H387</formula>
    </cfRule>
  </conditionalFormatting>
  <conditionalFormatting sqref="O388 M388 G388 K388 S388 U388 W388 I388 Q388">
    <cfRule type="cellIs" dxfId="4340" priority="5297" stopIfTrue="1" operator="notEqual">
      <formula>H388</formula>
    </cfRule>
  </conditionalFormatting>
  <conditionalFormatting sqref="O389 M389 G389 K389 S389 U389 W389 I389 Q389">
    <cfRule type="cellIs" dxfId="4339" priority="5296" stopIfTrue="1" operator="notEqual">
      <formula>H389</formula>
    </cfRule>
  </conditionalFormatting>
  <conditionalFormatting sqref="O390 M390 G390 K390 S390 U390 W390 I390 Q390">
    <cfRule type="cellIs" dxfId="4338" priority="5295" stopIfTrue="1" operator="notEqual">
      <formula>H390</formula>
    </cfRule>
  </conditionalFormatting>
  <conditionalFormatting sqref="O391 M391 G391 K391 S391 U391 W391 I391 Q391">
    <cfRule type="cellIs" dxfId="4337" priority="5294" stopIfTrue="1" operator="notEqual">
      <formula>H391</formula>
    </cfRule>
  </conditionalFormatting>
  <conditionalFormatting sqref="O392 M392 G392 K392 S392 U392 W392 I392 Q392">
    <cfRule type="cellIs" dxfId="4336" priority="5293" stopIfTrue="1" operator="notEqual">
      <formula>H392</formula>
    </cfRule>
  </conditionalFormatting>
  <conditionalFormatting sqref="O393 M393 G393 K393 S393 U393 W393 I393 Q393">
    <cfRule type="cellIs" dxfId="4335" priority="5292" stopIfTrue="1" operator="notEqual">
      <formula>H393</formula>
    </cfRule>
  </conditionalFormatting>
  <conditionalFormatting sqref="O394:O395 M394:M395 G394:G395 K394:K395 S394:S395 U394:U395 W394:W395 I394:I395 Q394:Q395">
    <cfRule type="cellIs" dxfId="4334" priority="5291" stopIfTrue="1" operator="notEqual">
      <formula>H394</formula>
    </cfRule>
  </conditionalFormatting>
  <conditionalFormatting sqref="O396 M396 G396 K396 S396 U396 W396 I396 Q396">
    <cfRule type="cellIs" dxfId="4333" priority="5290" stopIfTrue="1" operator="notEqual">
      <formula>H396</formula>
    </cfRule>
  </conditionalFormatting>
  <conditionalFormatting sqref="G387">
    <cfRule type="cellIs" dxfId="4332" priority="5289" stopIfTrue="1" operator="notEqual">
      <formula>H387</formula>
    </cfRule>
  </conditionalFormatting>
  <conditionalFormatting sqref="G388">
    <cfRule type="cellIs" dxfId="4331" priority="5288" stopIfTrue="1" operator="notEqual">
      <formula>H388</formula>
    </cfRule>
  </conditionalFormatting>
  <conditionalFormatting sqref="G389">
    <cfRule type="cellIs" dxfId="4330" priority="5287" stopIfTrue="1" operator="notEqual">
      <formula>H389</formula>
    </cfRule>
  </conditionalFormatting>
  <conditionalFormatting sqref="G390">
    <cfRule type="cellIs" dxfId="4329" priority="5286" stopIfTrue="1" operator="notEqual">
      <formula>H390</formula>
    </cfRule>
  </conditionalFormatting>
  <conditionalFormatting sqref="G391">
    <cfRule type="cellIs" dxfId="4328" priority="5285" stopIfTrue="1" operator="notEqual">
      <formula>H391</formula>
    </cfRule>
  </conditionalFormatting>
  <conditionalFormatting sqref="G392">
    <cfRule type="cellIs" dxfId="4327" priority="5284" stopIfTrue="1" operator="notEqual">
      <formula>H392</formula>
    </cfRule>
  </conditionalFormatting>
  <conditionalFormatting sqref="G393">
    <cfRule type="cellIs" dxfId="4326" priority="5283" stopIfTrue="1" operator="notEqual">
      <formula>H393</formula>
    </cfRule>
  </conditionalFormatting>
  <conditionalFormatting sqref="G394:G395">
    <cfRule type="cellIs" dxfId="4325" priority="5282" stopIfTrue="1" operator="notEqual">
      <formula>H394</formula>
    </cfRule>
  </conditionalFormatting>
  <conditionalFormatting sqref="G396">
    <cfRule type="cellIs" dxfId="4324" priority="5281" stopIfTrue="1" operator="notEqual">
      <formula>H396</formula>
    </cfRule>
  </conditionalFormatting>
  <conditionalFormatting sqref="G387">
    <cfRule type="cellIs" dxfId="4323" priority="5280" stopIfTrue="1" operator="notEqual">
      <formula>H387</formula>
    </cfRule>
  </conditionalFormatting>
  <conditionalFormatting sqref="G387">
    <cfRule type="cellIs" dxfId="4322" priority="5279" stopIfTrue="1" operator="notEqual">
      <formula>H387</formula>
    </cfRule>
  </conditionalFormatting>
  <conditionalFormatting sqref="G387">
    <cfRule type="cellIs" dxfId="4321" priority="5278" stopIfTrue="1" operator="notEqual">
      <formula>H387</formula>
    </cfRule>
  </conditionalFormatting>
  <conditionalFormatting sqref="G387">
    <cfRule type="cellIs" dxfId="4320" priority="5277" stopIfTrue="1" operator="notEqual">
      <formula>H387</formula>
    </cfRule>
  </conditionalFormatting>
  <conditionalFormatting sqref="G387">
    <cfRule type="cellIs" dxfId="4319" priority="5276" stopIfTrue="1" operator="notEqual">
      <formula>H387</formula>
    </cfRule>
  </conditionalFormatting>
  <conditionalFormatting sqref="G387">
    <cfRule type="cellIs" dxfId="4318" priority="5275" stopIfTrue="1" operator="notEqual">
      <formula>H387</formula>
    </cfRule>
  </conditionalFormatting>
  <conditionalFormatting sqref="O387 M387 G387 K387 S387 U387 W387 I387 Q387">
    <cfRule type="cellIs" dxfId="4317" priority="5274" stopIfTrue="1" operator="notEqual">
      <formula>H387</formula>
    </cfRule>
  </conditionalFormatting>
  <conditionalFormatting sqref="O388 M388 G388 K388 S388 U388 W388 I388 Q388">
    <cfRule type="cellIs" dxfId="4316" priority="5273" stopIfTrue="1" operator="notEqual">
      <formula>H388</formula>
    </cfRule>
  </conditionalFormatting>
  <conditionalFormatting sqref="O389 M389 G389 K389 S389 U389 W389 I389 Q389">
    <cfRule type="cellIs" dxfId="4315" priority="5272" stopIfTrue="1" operator="notEqual">
      <formula>H389</formula>
    </cfRule>
  </conditionalFormatting>
  <conditionalFormatting sqref="O390 M390 G390 K390 S390 U390 W390 I390 Q390">
    <cfRule type="cellIs" dxfId="4314" priority="5271" stopIfTrue="1" operator="notEqual">
      <formula>H390</formula>
    </cfRule>
  </conditionalFormatting>
  <conditionalFormatting sqref="O391 M391 G391 K391 S391 U391 W391 I391 Q391">
    <cfRule type="cellIs" dxfId="4313" priority="5270" stopIfTrue="1" operator="notEqual">
      <formula>H391</formula>
    </cfRule>
  </conditionalFormatting>
  <conditionalFormatting sqref="O392 M392 G392 K392 S392 U392 W392 I392 Q392">
    <cfRule type="cellIs" dxfId="4312" priority="5269" stopIfTrue="1" operator="notEqual">
      <formula>H392</formula>
    </cfRule>
  </conditionalFormatting>
  <conditionalFormatting sqref="O393 M393 G393 K393 S393 U393 W393 I393 Q393">
    <cfRule type="cellIs" dxfId="4311" priority="5268" stopIfTrue="1" operator="notEqual">
      <formula>H393</formula>
    </cfRule>
  </conditionalFormatting>
  <conditionalFormatting sqref="O394:O395 M394:M395 G394:G395 K394:K395 S394:S395 U394:U395 W394:W395 I394:I395 Q394:Q395">
    <cfRule type="cellIs" dxfId="4310" priority="5267" stopIfTrue="1" operator="notEqual">
      <formula>H394</formula>
    </cfRule>
  </conditionalFormatting>
  <conditionalFormatting sqref="O396 M396 G396 K396 S396 U396 W396 I396 Q396">
    <cfRule type="cellIs" dxfId="4309" priority="5266" stopIfTrue="1" operator="notEqual">
      <formula>H396</formula>
    </cfRule>
  </conditionalFormatting>
  <conditionalFormatting sqref="O387 M387 G387 K387 S387 U387 W387 I387 Q387">
    <cfRule type="cellIs" dxfId="4308" priority="5265" stopIfTrue="1" operator="notEqual">
      <formula>H387</formula>
    </cfRule>
  </conditionalFormatting>
  <conditionalFormatting sqref="O388 M388 G388 K388 S388 U388 W388 I388 Q388">
    <cfRule type="cellIs" dxfId="4307" priority="5264" stopIfTrue="1" operator="notEqual">
      <formula>H388</formula>
    </cfRule>
  </conditionalFormatting>
  <conditionalFormatting sqref="O389 M389 G389 K389 S389 U389 W389 I389 Q389">
    <cfRule type="cellIs" dxfId="4306" priority="5263" stopIfTrue="1" operator="notEqual">
      <formula>H389</formula>
    </cfRule>
  </conditionalFormatting>
  <conditionalFormatting sqref="O387 M387 G387 K387 S387 U387 W387 I387 Q387">
    <cfRule type="cellIs" dxfId="4305" priority="5262" stopIfTrue="1" operator="notEqual">
      <formula>H387</formula>
    </cfRule>
  </conditionalFormatting>
  <conditionalFormatting sqref="O390 M390 G390 K390 S390 U390 W390 I390 Q390">
    <cfRule type="cellIs" dxfId="4304" priority="5261" stopIfTrue="1" operator="notEqual">
      <formula>H390</formula>
    </cfRule>
  </conditionalFormatting>
  <conditionalFormatting sqref="O391 M391 G391 K391 S391 U391 W391 I391 Q391">
    <cfRule type="cellIs" dxfId="4303" priority="5260" stopIfTrue="1" operator="notEqual">
      <formula>H391</formula>
    </cfRule>
  </conditionalFormatting>
  <conditionalFormatting sqref="O392 M392 G392 K392 S392 U392 W392 I392 Q392">
    <cfRule type="cellIs" dxfId="4302" priority="5259" stopIfTrue="1" operator="notEqual">
      <formula>H392</formula>
    </cfRule>
  </conditionalFormatting>
  <conditionalFormatting sqref="O393 M393 G393 K393 S393 U393 W393 I393 Q393">
    <cfRule type="cellIs" dxfId="4301" priority="5258" stopIfTrue="1" operator="notEqual">
      <formula>H393</formula>
    </cfRule>
  </conditionalFormatting>
  <conditionalFormatting sqref="O394:O395 M394:M395 G394:G395 K394:K395 S394:S395 U394:U395 W394:W395 I394:I395 Q394:Q395">
    <cfRule type="cellIs" dxfId="4300" priority="5257" stopIfTrue="1" operator="notEqual">
      <formula>H394</formula>
    </cfRule>
  </conditionalFormatting>
  <conditionalFormatting sqref="O396 M396 G396 K396 S396 U396 W396 I396 Q396">
    <cfRule type="cellIs" dxfId="4299" priority="5256" stopIfTrue="1" operator="notEqual">
      <formula>H396</formula>
    </cfRule>
  </conditionalFormatting>
  <conditionalFormatting sqref="G390:G396">
    <cfRule type="cellIs" dxfId="4298" priority="5255" stopIfTrue="1" operator="notEqual">
      <formula>H390</formula>
    </cfRule>
  </conditionalFormatting>
  <conditionalFormatting sqref="G376">
    <cfRule type="cellIs" dxfId="4297" priority="5254" stopIfTrue="1" operator="notEqual">
      <formula>H376</formula>
    </cfRule>
  </conditionalFormatting>
  <conditionalFormatting sqref="G377">
    <cfRule type="cellIs" dxfId="4296" priority="5253" stopIfTrue="1" operator="notEqual">
      <formula>H377</formula>
    </cfRule>
  </conditionalFormatting>
  <conditionalFormatting sqref="G378">
    <cfRule type="cellIs" dxfId="4295" priority="5252" stopIfTrue="1" operator="notEqual">
      <formula>H378</formula>
    </cfRule>
  </conditionalFormatting>
  <conditionalFormatting sqref="G379">
    <cfRule type="cellIs" dxfId="4294" priority="5251" stopIfTrue="1" operator="notEqual">
      <formula>H379</formula>
    </cfRule>
  </conditionalFormatting>
  <conditionalFormatting sqref="G380">
    <cfRule type="cellIs" dxfId="4293" priority="5250" stopIfTrue="1" operator="notEqual">
      <formula>H380</formula>
    </cfRule>
  </conditionalFormatting>
  <conditionalFormatting sqref="G381">
    <cfRule type="cellIs" dxfId="4292" priority="5249" stopIfTrue="1" operator="notEqual">
      <formula>H381</formula>
    </cfRule>
  </conditionalFormatting>
  <conditionalFormatting sqref="G382">
    <cfRule type="cellIs" dxfId="4291" priority="5248" stopIfTrue="1" operator="notEqual">
      <formula>H382</formula>
    </cfRule>
  </conditionalFormatting>
  <conditionalFormatting sqref="G383">
    <cfRule type="cellIs" dxfId="4290" priority="5247" stopIfTrue="1" operator="notEqual">
      <formula>H383</formula>
    </cfRule>
  </conditionalFormatting>
  <conditionalFormatting sqref="G384:G388">
    <cfRule type="cellIs" dxfId="4289" priority="5246" stopIfTrue="1" operator="notEqual">
      <formula>H384</formula>
    </cfRule>
  </conditionalFormatting>
  <conditionalFormatting sqref="G385">
    <cfRule type="cellIs" dxfId="4288" priority="5245" stopIfTrue="1" operator="notEqual">
      <formula>H385</formula>
    </cfRule>
  </conditionalFormatting>
  <conditionalFormatting sqref="G386">
    <cfRule type="cellIs" dxfId="4287" priority="5244" stopIfTrue="1" operator="notEqual">
      <formula>H386</formula>
    </cfRule>
  </conditionalFormatting>
  <conditionalFormatting sqref="G387">
    <cfRule type="cellIs" dxfId="4286" priority="5243" stopIfTrue="1" operator="notEqual">
      <formula>H387</formula>
    </cfRule>
  </conditionalFormatting>
  <conditionalFormatting sqref="G388">
    <cfRule type="cellIs" dxfId="4285" priority="5242" stopIfTrue="1" operator="notEqual">
      <formula>H388</formula>
    </cfRule>
  </conditionalFormatting>
  <conditionalFormatting sqref="G389">
    <cfRule type="cellIs" dxfId="4284" priority="5241" stopIfTrue="1" operator="notEqual">
      <formula>H389</formula>
    </cfRule>
  </conditionalFormatting>
  <conditionalFormatting sqref="G376">
    <cfRule type="cellIs" dxfId="4283" priority="5240" stopIfTrue="1" operator="notEqual">
      <formula>H376</formula>
    </cfRule>
  </conditionalFormatting>
  <conditionalFormatting sqref="G376">
    <cfRule type="cellIs" dxfId="4282" priority="5239" stopIfTrue="1" operator="notEqual">
      <formula>H376</formula>
    </cfRule>
  </conditionalFormatting>
  <conditionalFormatting sqref="G376">
    <cfRule type="cellIs" dxfId="4281" priority="5238" stopIfTrue="1" operator="notEqual">
      <formula>H376</formula>
    </cfRule>
  </conditionalFormatting>
  <conditionalFormatting sqref="G376">
    <cfRule type="cellIs" dxfId="4280" priority="5237" stopIfTrue="1" operator="notEqual">
      <formula>H376</formula>
    </cfRule>
  </conditionalFormatting>
  <conditionalFormatting sqref="G376">
    <cfRule type="cellIs" dxfId="4279" priority="5236" stopIfTrue="1" operator="notEqual">
      <formula>H376</formula>
    </cfRule>
  </conditionalFormatting>
  <conditionalFormatting sqref="G376">
    <cfRule type="cellIs" dxfId="4278" priority="5235" stopIfTrue="1" operator="notEqual">
      <formula>H376</formula>
    </cfRule>
  </conditionalFormatting>
  <conditionalFormatting sqref="G392">
    <cfRule type="cellIs" dxfId="4277" priority="5234" stopIfTrue="1" operator="notEqual">
      <formula>H392</formula>
    </cfRule>
  </conditionalFormatting>
  <conditionalFormatting sqref="G393">
    <cfRule type="cellIs" dxfId="4276" priority="5233" stopIfTrue="1" operator="notEqual">
      <formula>H393</formula>
    </cfRule>
  </conditionalFormatting>
  <conditionalFormatting sqref="G393">
    <cfRule type="cellIs" dxfId="4275" priority="5232" stopIfTrue="1" operator="notEqual">
      <formula>H393</formula>
    </cfRule>
  </conditionalFormatting>
  <conditionalFormatting sqref="G391">
    <cfRule type="cellIs" dxfId="4274" priority="5231" stopIfTrue="1" operator="notEqual">
      <formula>H391</formula>
    </cfRule>
  </conditionalFormatting>
  <conditionalFormatting sqref="G396">
    <cfRule type="cellIs" dxfId="4273" priority="5230" stopIfTrue="1" operator="notEqual">
      <formula>H396</formula>
    </cfRule>
  </conditionalFormatting>
  <conditionalFormatting sqref="O386:O391 M386:M391 G386:G391 K386:K391 S386:S391 U386:U391 W386:W391 I386:I391 Q386:Q391">
    <cfRule type="cellIs" dxfId="4272" priority="5229" stopIfTrue="1" operator="notEqual">
      <formula>H386</formula>
    </cfRule>
  </conditionalFormatting>
  <conditionalFormatting sqref="O376 M376 G376 K376 S376 U376 W376 I376 Q376">
    <cfRule type="cellIs" dxfId="4271" priority="5228" stopIfTrue="1" operator="notEqual">
      <formula>H376</formula>
    </cfRule>
  </conditionalFormatting>
  <conditionalFormatting sqref="O377 M377 G377 K377 S377 U377 W377 I377 Q377">
    <cfRule type="cellIs" dxfId="4270" priority="5227" stopIfTrue="1" operator="notEqual">
      <formula>H377</formula>
    </cfRule>
  </conditionalFormatting>
  <conditionalFormatting sqref="O378 M378 G378 K378 S378 U378 W378 I378 Q378">
    <cfRule type="cellIs" dxfId="4269" priority="5226" stopIfTrue="1" operator="notEqual">
      <formula>H378</formula>
    </cfRule>
  </conditionalFormatting>
  <conditionalFormatting sqref="O379 M379 G379 K379 S379 U379 W379 I379 Q379">
    <cfRule type="cellIs" dxfId="4268" priority="5225" stopIfTrue="1" operator="notEqual">
      <formula>H379</formula>
    </cfRule>
  </conditionalFormatting>
  <conditionalFormatting sqref="O380 M380 G380 K380 S380 U380 W380 I380 Q380">
    <cfRule type="cellIs" dxfId="4267" priority="5224" stopIfTrue="1" operator="notEqual">
      <formula>H380</formula>
    </cfRule>
  </conditionalFormatting>
  <conditionalFormatting sqref="O381 M381 G381 K381 S381 U381 W381 I381 Q381">
    <cfRule type="cellIs" dxfId="4266" priority="5223" stopIfTrue="1" operator="notEqual">
      <formula>H381</formula>
    </cfRule>
  </conditionalFormatting>
  <conditionalFormatting sqref="O382 M382 G382 K382 S382 U382 W382 I382 Q382">
    <cfRule type="cellIs" dxfId="4265" priority="5222" stopIfTrue="1" operator="notEqual">
      <formula>H382</formula>
    </cfRule>
  </conditionalFormatting>
  <conditionalFormatting sqref="O383 M383 G383 K383 S383 U383 W383 I383 Q383">
    <cfRule type="cellIs" dxfId="4264" priority="5221" stopIfTrue="1" operator="notEqual">
      <formula>H383</formula>
    </cfRule>
  </conditionalFormatting>
  <conditionalFormatting sqref="O384:O388 M384:M388 G384:G388 K384:K388 S384:S388 U384:U388 W384:W388 I384:I388 Q384:Q388">
    <cfRule type="cellIs" dxfId="4263" priority="5220" stopIfTrue="1" operator="notEqual">
      <formula>H384</formula>
    </cfRule>
  </conditionalFormatting>
  <conditionalFormatting sqref="O385 M385 G385 K385 S385 U385 W385 I385 Q385">
    <cfRule type="cellIs" dxfId="4262" priority="5219" stopIfTrue="1" operator="notEqual">
      <formula>H385</formula>
    </cfRule>
  </conditionalFormatting>
  <conditionalFormatting sqref="O388 M388 G388 K388 S388 U388 W388 I388 Q388">
    <cfRule type="cellIs" dxfId="4261" priority="5218" stopIfTrue="1" operator="notEqual">
      <formula>H388</formula>
    </cfRule>
  </conditionalFormatting>
  <conditionalFormatting sqref="O389 M389 G389 K389 S389 U389 W389 I389 Q389">
    <cfRule type="cellIs" dxfId="4260" priority="5217" stopIfTrue="1" operator="notEqual">
      <formula>H389</formula>
    </cfRule>
  </conditionalFormatting>
  <conditionalFormatting sqref="O389 M389 G389 K389 S389 U389 W389 I389 Q389">
    <cfRule type="cellIs" dxfId="4259" priority="5216" stopIfTrue="1" operator="notEqual">
      <formula>H389</formula>
    </cfRule>
  </conditionalFormatting>
  <conditionalFormatting sqref="O387 M387 G387 K387 S387 U387 W387 I387 Q387">
    <cfRule type="cellIs" dxfId="4258" priority="5215" stopIfTrue="1" operator="notEqual">
      <formula>H387</formula>
    </cfRule>
  </conditionalFormatting>
  <conditionalFormatting sqref="O392 M392 G392 K392 S392 U392 W392 I392 Q392">
    <cfRule type="cellIs" dxfId="4257" priority="5214" stopIfTrue="1" operator="notEqual">
      <formula>H392</formula>
    </cfRule>
  </conditionalFormatting>
  <conditionalFormatting sqref="O393 M393 G393 K393 S393 U393 W393 I393 Q393">
    <cfRule type="cellIs" dxfId="4256" priority="5213" stopIfTrue="1" operator="notEqual">
      <formula>H393</formula>
    </cfRule>
  </conditionalFormatting>
  <conditionalFormatting sqref="O391 M391 G391 K391 S391 U391 W391 I391 Q391">
    <cfRule type="cellIs" dxfId="4255" priority="5212" stopIfTrue="1" operator="notEqual">
      <formula>H391</formula>
    </cfRule>
  </conditionalFormatting>
  <conditionalFormatting sqref="O394:O395 M394:M395 G394:G395 K394:K395 S394:S395 U394:U395 W394:W395 I394:I395 Q394:Q395">
    <cfRule type="cellIs" dxfId="4254" priority="5211" stopIfTrue="1" operator="notEqual">
      <formula>H394</formula>
    </cfRule>
  </conditionalFormatting>
  <conditionalFormatting sqref="O396 M396 G396 K396 S396 U396 W396 I396 Q396">
    <cfRule type="cellIs" dxfId="4253" priority="5210" stopIfTrue="1" operator="notEqual">
      <formula>H396</formula>
    </cfRule>
  </conditionalFormatting>
  <conditionalFormatting sqref="O376 M376 G376 K376 S376 U376 W376 I376 Q376">
    <cfRule type="cellIs" dxfId="4252" priority="5209" stopIfTrue="1" operator="notEqual">
      <formula>H376</formula>
    </cfRule>
  </conditionalFormatting>
  <conditionalFormatting sqref="O377 M377 G377 K377 S377 U377 W377 I377 Q377">
    <cfRule type="cellIs" dxfId="4251" priority="5208" stopIfTrue="1" operator="notEqual">
      <formula>H377</formula>
    </cfRule>
  </conditionalFormatting>
  <conditionalFormatting sqref="O378 M378 G378 K378 S378 U378 W378 I378 Q378">
    <cfRule type="cellIs" dxfId="4250" priority="5207" stopIfTrue="1" operator="notEqual">
      <formula>H378</formula>
    </cfRule>
  </conditionalFormatting>
  <conditionalFormatting sqref="O376 M376 G376 K376 S376 U376 W376 I376 Q376">
    <cfRule type="cellIs" dxfId="4249" priority="5206" stopIfTrue="1" operator="notEqual">
      <formula>H376</formula>
    </cfRule>
  </conditionalFormatting>
  <conditionalFormatting sqref="O379 M379 G379 K379 S379 U379 W379 I379 Q379">
    <cfRule type="cellIs" dxfId="4248" priority="5205" stopIfTrue="1" operator="notEqual">
      <formula>H379</formula>
    </cfRule>
  </conditionalFormatting>
  <conditionalFormatting sqref="O380 M380 G380 K380 S380 U380 W380 I380 Q380">
    <cfRule type="cellIs" dxfId="4247" priority="5204" stopIfTrue="1" operator="notEqual">
      <formula>H380</formula>
    </cfRule>
  </conditionalFormatting>
  <conditionalFormatting sqref="O381 M381 G381 K381 S381 U381 W381 I381 Q381">
    <cfRule type="cellIs" dxfId="4246" priority="5203" stopIfTrue="1" operator="notEqual">
      <formula>H381</formula>
    </cfRule>
  </conditionalFormatting>
  <conditionalFormatting sqref="O382 M382 G382 K382 S382 U382 W382 I382 Q382">
    <cfRule type="cellIs" dxfId="4245" priority="5202" stopIfTrue="1" operator="notEqual">
      <formula>H382</formula>
    </cfRule>
  </conditionalFormatting>
  <conditionalFormatting sqref="O383 M383 G383 K383 S383 U383 W383 I383 Q383">
    <cfRule type="cellIs" dxfId="4244" priority="5201" stopIfTrue="1" operator="notEqual">
      <formula>H383</formula>
    </cfRule>
  </conditionalFormatting>
  <conditionalFormatting sqref="O384:O388 M384:M388 G384:G388 K384:K388 S384:S388 U384:U388 W384:W388 I384:I388 Q384:Q388">
    <cfRule type="cellIs" dxfId="4243" priority="5200" stopIfTrue="1" operator="notEqual">
      <formula>H384</formula>
    </cfRule>
  </conditionalFormatting>
  <conditionalFormatting sqref="O385 M385 G385 K385 S385 U385 W385 I385 Q385">
    <cfRule type="cellIs" dxfId="4242" priority="5199" stopIfTrue="1" operator="notEqual">
      <formula>H385</formula>
    </cfRule>
  </conditionalFormatting>
  <conditionalFormatting sqref="O386 M386 G386 K386 S386 U386 W386 I386 Q386">
    <cfRule type="cellIs" dxfId="4241" priority="5198" stopIfTrue="1" operator="notEqual">
      <formula>H386</formula>
    </cfRule>
  </conditionalFormatting>
  <conditionalFormatting sqref="O387 M387 G387 K387 S387 U387 W387 I387 Q387">
    <cfRule type="cellIs" dxfId="4240" priority="5197" stopIfTrue="1" operator="notEqual">
      <formula>H387</formula>
    </cfRule>
  </conditionalFormatting>
  <conditionalFormatting sqref="O388 M388 G388 K388 S388 U388 W388 I388 Q388">
    <cfRule type="cellIs" dxfId="4239" priority="5196" stopIfTrue="1" operator="notEqual">
      <formula>H388</formula>
    </cfRule>
  </conditionalFormatting>
  <conditionalFormatting sqref="O389 M389 G389 K389 S389 U389 W389 I389 Q389">
    <cfRule type="cellIs" dxfId="4238" priority="5195" stopIfTrue="1" operator="notEqual">
      <formula>H389</formula>
    </cfRule>
  </conditionalFormatting>
  <conditionalFormatting sqref="O390 M390 G390 K390 S390 U390 W390 I390 Q390">
    <cfRule type="cellIs" dxfId="4237" priority="5194" stopIfTrue="1" operator="notEqual">
      <formula>H390</formula>
    </cfRule>
  </conditionalFormatting>
  <conditionalFormatting sqref="O391 M391 G391 K391 S391 U391 W391 I391 Q391">
    <cfRule type="cellIs" dxfId="4236" priority="5193" stopIfTrue="1" operator="notEqual">
      <formula>H391</formula>
    </cfRule>
  </conditionalFormatting>
  <conditionalFormatting sqref="G392">
    <cfRule type="cellIs" dxfId="4235" priority="5192" stopIfTrue="1" operator="notEqual">
      <formula>H392</formula>
    </cfRule>
  </conditionalFormatting>
  <conditionalFormatting sqref="G393">
    <cfRule type="cellIs" dxfId="4234" priority="5191" stopIfTrue="1" operator="notEqual">
      <formula>H393</formula>
    </cfRule>
  </conditionalFormatting>
  <conditionalFormatting sqref="G394:G395">
    <cfRule type="cellIs" dxfId="4233" priority="5190" stopIfTrue="1" operator="notEqual">
      <formula>H394</formula>
    </cfRule>
  </conditionalFormatting>
  <conditionalFormatting sqref="G396">
    <cfRule type="cellIs" dxfId="4232" priority="5189" stopIfTrue="1" operator="notEqual">
      <formula>H396</formula>
    </cfRule>
  </conditionalFormatting>
  <conditionalFormatting sqref="G392">
    <cfRule type="cellIs" dxfId="4231" priority="5188" stopIfTrue="1" operator="notEqual">
      <formula>H392</formula>
    </cfRule>
  </conditionalFormatting>
  <conditionalFormatting sqref="G392">
    <cfRule type="cellIs" dxfId="4230" priority="5187" stopIfTrue="1" operator="notEqual">
      <formula>H392</formula>
    </cfRule>
  </conditionalFormatting>
  <conditionalFormatting sqref="G392">
    <cfRule type="cellIs" dxfId="4229" priority="5186" stopIfTrue="1" operator="notEqual">
      <formula>H392</formula>
    </cfRule>
  </conditionalFormatting>
  <conditionalFormatting sqref="G392">
    <cfRule type="cellIs" dxfId="4228" priority="5185" stopIfTrue="1" operator="notEqual">
      <formula>H392</formula>
    </cfRule>
  </conditionalFormatting>
  <conditionalFormatting sqref="G392">
    <cfRule type="cellIs" dxfId="4227" priority="5184" stopIfTrue="1" operator="notEqual">
      <formula>H392</formula>
    </cfRule>
  </conditionalFormatting>
  <conditionalFormatting sqref="G392">
    <cfRule type="cellIs" dxfId="4226" priority="5183" stopIfTrue="1" operator="notEqual">
      <formula>H392</formula>
    </cfRule>
  </conditionalFormatting>
  <conditionalFormatting sqref="O392 M392 G392 K392 S392 U392 W392 I392 Q392">
    <cfRule type="cellIs" dxfId="4225" priority="5182" stopIfTrue="1" operator="notEqual">
      <formula>H392</formula>
    </cfRule>
  </conditionalFormatting>
  <conditionalFormatting sqref="O393 M393 G393 K393 S393 U393 W393 I393 Q393">
    <cfRule type="cellIs" dxfId="4224" priority="5181" stopIfTrue="1" operator="notEqual">
      <formula>H393</formula>
    </cfRule>
  </conditionalFormatting>
  <conditionalFormatting sqref="O394:O395 M394:M395 G394:G395 K394:K395 S394:S395 U394:U395 W394:W395 I394:I395 Q394:Q395">
    <cfRule type="cellIs" dxfId="4223" priority="5180" stopIfTrue="1" operator="notEqual">
      <formula>H394</formula>
    </cfRule>
  </conditionalFormatting>
  <conditionalFormatting sqref="O396 M396 G396 K396 S396 U396 W396 I396 Q396">
    <cfRule type="cellIs" dxfId="4222" priority="5179" stopIfTrue="1" operator="notEqual">
      <formula>H396</formula>
    </cfRule>
  </conditionalFormatting>
  <conditionalFormatting sqref="O392 M392 G392 K392 S392 U392 W392 I392 Q392">
    <cfRule type="cellIs" dxfId="4221" priority="5178" stopIfTrue="1" operator="notEqual">
      <formula>H392</formula>
    </cfRule>
  </conditionalFormatting>
  <conditionalFormatting sqref="O393 M393 G393 K393 S393 U393 W393 I393 Q393">
    <cfRule type="cellIs" dxfId="4220" priority="5177" stopIfTrue="1" operator="notEqual">
      <formula>H393</formula>
    </cfRule>
  </conditionalFormatting>
  <conditionalFormatting sqref="O394:O395 M394:M395 G394:G395 K394:K395 S394:S395 U394:U395 W394:W395 I394:I395 Q394:Q395">
    <cfRule type="cellIs" dxfId="4219" priority="5176" stopIfTrue="1" operator="notEqual">
      <formula>H394</formula>
    </cfRule>
  </conditionalFormatting>
  <conditionalFormatting sqref="O392 M392 G392 K392 S392 U392 W392 I392 Q392">
    <cfRule type="cellIs" dxfId="4218" priority="5175" stopIfTrue="1" operator="notEqual">
      <formula>H392</formula>
    </cfRule>
  </conditionalFormatting>
  <conditionalFormatting sqref="O396 M396 G396 K396 S396 U396 W396 I396 Q396">
    <cfRule type="cellIs" dxfId="4217" priority="5174" stopIfTrue="1" operator="notEqual">
      <formula>H396</formula>
    </cfRule>
  </conditionalFormatting>
  <conditionalFormatting sqref="O376:O380 M376:M380 G376:G380 K376:K380 S376:S380 U376:U380 W376:W380 I376:I380 Q376:Q380">
    <cfRule type="cellIs" dxfId="4216" priority="5173" stopIfTrue="1" operator="notEqual">
      <formula>H376</formula>
    </cfRule>
  </conditionalFormatting>
  <conditionalFormatting sqref="O377 M377 G377 K377 S377 U377 W377 I377 Q377">
    <cfRule type="cellIs" dxfId="4215" priority="5172" stopIfTrue="1" operator="notEqual">
      <formula>H377</formula>
    </cfRule>
  </conditionalFormatting>
  <conditionalFormatting sqref="O378 M378 G378 K378 S378 U378 W378 I378 Q378">
    <cfRule type="cellIs" dxfId="4214" priority="5171" stopIfTrue="1" operator="notEqual">
      <formula>H378</formula>
    </cfRule>
  </conditionalFormatting>
  <conditionalFormatting sqref="O378 M378 G378 K378 S378 U378 W378 I378 Q378">
    <cfRule type="cellIs" dxfId="4213" priority="5170" stopIfTrue="1" operator="notEqual">
      <formula>H378</formula>
    </cfRule>
  </conditionalFormatting>
  <conditionalFormatting sqref="O376 M376 G376 K376 S376 U376 W376 I376 Q376">
    <cfRule type="cellIs" dxfId="4212" priority="5169" stopIfTrue="1" operator="notEqual">
      <formula>H376</formula>
    </cfRule>
  </conditionalFormatting>
  <conditionalFormatting sqref="O381 M381 G381 K381 S381 U381 W381 I381 Q381">
    <cfRule type="cellIs" dxfId="4211" priority="5168" stopIfTrue="1" operator="notEqual">
      <formula>H381</formula>
    </cfRule>
  </conditionalFormatting>
  <conditionalFormatting sqref="O382 M382 G382 K382 S382 U382 W382 I382 Q382">
    <cfRule type="cellIs" dxfId="4210" priority="5167" stopIfTrue="1" operator="notEqual">
      <formula>H382</formula>
    </cfRule>
  </conditionalFormatting>
  <conditionalFormatting sqref="O380 M380 G380 K380 S380 U380 W380 I380 Q380">
    <cfRule type="cellIs" dxfId="4209" priority="5166" stopIfTrue="1" operator="notEqual">
      <formula>H380</formula>
    </cfRule>
  </conditionalFormatting>
  <conditionalFormatting sqref="O383 M383 G383 K383 S383 U383 W383 I383 Q383">
    <cfRule type="cellIs" dxfId="4208" priority="5165" stopIfTrue="1" operator="notEqual">
      <formula>H383</formula>
    </cfRule>
  </conditionalFormatting>
  <conditionalFormatting sqref="O384:O388 M384:M388 G384:G388 K384:K388 S384:S388 U384:U388 W384:W388 I384:I388 Q384:Q388">
    <cfRule type="cellIs" dxfId="4207" priority="5164" stopIfTrue="1" operator="notEqual">
      <formula>H384</formula>
    </cfRule>
  </conditionalFormatting>
  <conditionalFormatting sqref="O385 M385 G385 K385 S385 U385 W385 I385 Q385">
    <cfRule type="cellIs" dxfId="4206" priority="5163" stopIfTrue="1" operator="notEqual">
      <formula>H385</formula>
    </cfRule>
  </conditionalFormatting>
  <conditionalFormatting sqref="O386 M386 G386 K386 S386 U386 W386 I386 Q386">
    <cfRule type="cellIs" dxfId="4205" priority="5162" stopIfTrue="1" operator="notEqual">
      <formula>H386</formula>
    </cfRule>
  </conditionalFormatting>
  <conditionalFormatting sqref="O387 M387 G387 K387 S387 U387 W387 I387 Q387">
    <cfRule type="cellIs" dxfId="4204" priority="5161" stopIfTrue="1" operator="notEqual">
      <formula>H387</formula>
    </cfRule>
  </conditionalFormatting>
  <conditionalFormatting sqref="O388 M388 G388 K388 S388 U388 W388 I388 Q388">
    <cfRule type="cellIs" dxfId="4203" priority="5160" stopIfTrue="1" operator="notEqual">
      <formula>H388</formula>
    </cfRule>
  </conditionalFormatting>
  <conditionalFormatting sqref="O389 M389 G389 K389 S389 U389 W389 I389 Q389">
    <cfRule type="cellIs" dxfId="4202" priority="5159" stopIfTrue="1" operator="notEqual">
      <formula>H389</formula>
    </cfRule>
  </conditionalFormatting>
  <conditionalFormatting sqref="O390 M390 G390 K390 S390 U390 W390 I390 Q390">
    <cfRule type="cellIs" dxfId="4201" priority="5158" stopIfTrue="1" operator="notEqual">
      <formula>H390</formula>
    </cfRule>
  </conditionalFormatting>
  <conditionalFormatting sqref="O391 M391 G391 K391 S391 U391 W391 I391 Q391">
    <cfRule type="cellIs" dxfId="4200" priority="5157" stopIfTrue="1" operator="notEqual">
      <formula>H391</formula>
    </cfRule>
  </conditionalFormatting>
  <conditionalFormatting sqref="O392 M392 G392 K392 S392 U392 W392 I392 Q392">
    <cfRule type="cellIs" dxfId="4199" priority="5156" stopIfTrue="1" operator="notEqual">
      <formula>H392</formula>
    </cfRule>
  </conditionalFormatting>
  <conditionalFormatting sqref="O393 M393 G393 K393 S393 U393 W393 I393 Q393">
    <cfRule type="cellIs" dxfId="4198" priority="5155" stopIfTrue="1" operator="notEqual">
      <formula>H393</formula>
    </cfRule>
  </conditionalFormatting>
  <conditionalFormatting sqref="O394:O395 M394:M395 G394:G395 K394:K395 S394:S395 U394:U395 W394:W395 I394:I395 Q394:Q395">
    <cfRule type="cellIs" dxfId="4197" priority="5154" stopIfTrue="1" operator="notEqual">
      <formula>H394</formula>
    </cfRule>
  </conditionalFormatting>
  <conditionalFormatting sqref="O396 M396 G396 K396 S396 U396 W396 I396 Q396">
    <cfRule type="cellIs" dxfId="4196" priority="5153" stopIfTrue="1" operator="notEqual">
      <formula>H396</formula>
    </cfRule>
  </conditionalFormatting>
  <conditionalFormatting sqref="G397">
    <cfRule type="cellIs" dxfId="4195" priority="5152" stopIfTrue="1" operator="notEqual">
      <formula>H397</formula>
    </cfRule>
  </conditionalFormatting>
  <conditionalFormatting sqref="G398">
    <cfRule type="cellIs" dxfId="4194" priority="5151" stopIfTrue="1" operator="notEqual">
      <formula>H398</formula>
    </cfRule>
  </conditionalFormatting>
  <conditionalFormatting sqref="G399">
    <cfRule type="cellIs" dxfId="4193" priority="5150" stopIfTrue="1" operator="notEqual">
      <formula>H399</formula>
    </cfRule>
  </conditionalFormatting>
  <conditionalFormatting sqref="G400">
    <cfRule type="cellIs" dxfId="4192" priority="5149" stopIfTrue="1" operator="notEqual">
      <formula>H400</formula>
    </cfRule>
  </conditionalFormatting>
  <conditionalFormatting sqref="G401">
    <cfRule type="cellIs" dxfId="4191" priority="5148" stopIfTrue="1" operator="notEqual">
      <formula>H401</formula>
    </cfRule>
  </conditionalFormatting>
  <conditionalFormatting sqref="G402:G411">
    <cfRule type="cellIs" dxfId="4190" priority="5147" stopIfTrue="1" operator="notEqual">
      <formula>H402</formula>
    </cfRule>
  </conditionalFormatting>
  <conditionalFormatting sqref="G397">
    <cfRule type="cellIs" dxfId="4189" priority="5146" stopIfTrue="1" operator="notEqual">
      <formula>H397</formula>
    </cfRule>
  </conditionalFormatting>
  <conditionalFormatting sqref="G398">
    <cfRule type="cellIs" dxfId="4188" priority="5145" stopIfTrue="1" operator="notEqual">
      <formula>H398</formula>
    </cfRule>
  </conditionalFormatting>
  <conditionalFormatting sqref="G399">
    <cfRule type="cellIs" dxfId="4187" priority="5144" stopIfTrue="1" operator="notEqual">
      <formula>H399</formula>
    </cfRule>
  </conditionalFormatting>
  <conditionalFormatting sqref="G400">
    <cfRule type="cellIs" dxfId="4186" priority="5143" stopIfTrue="1" operator="notEqual">
      <formula>H400</formula>
    </cfRule>
  </conditionalFormatting>
  <conditionalFormatting sqref="G401">
    <cfRule type="cellIs" dxfId="4185" priority="5142" stopIfTrue="1" operator="notEqual">
      <formula>H401</formula>
    </cfRule>
  </conditionalFormatting>
  <conditionalFormatting sqref="G402:G411">
    <cfRule type="cellIs" dxfId="4184" priority="5141" stopIfTrue="1" operator="notEqual">
      <formula>H402</formula>
    </cfRule>
  </conditionalFormatting>
  <conditionalFormatting sqref="O397 M397 G397 K397 S397 U397 W397 I397 Q397">
    <cfRule type="cellIs" dxfId="4183" priority="5140" stopIfTrue="1" operator="notEqual">
      <formula>H397</formula>
    </cfRule>
  </conditionalFormatting>
  <conditionalFormatting sqref="O398 M398 G398 K398 S398 U398 W398 I398 Q398">
    <cfRule type="cellIs" dxfId="4182" priority="5139" stopIfTrue="1" operator="notEqual">
      <formula>H398</formula>
    </cfRule>
  </conditionalFormatting>
  <conditionalFormatting sqref="O399 M399 G399 K399 S399 U399 W399 I399 Q399">
    <cfRule type="cellIs" dxfId="4181" priority="5138" stopIfTrue="1" operator="notEqual">
      <formula>H399</formula>
    </cfRule>
  </conditionalFormatting>
  <conditionalFormatting sqref="O400 M400 G400 K400 S400 U400 W400 I400 Q400">
    <cfRule type="cellIs" dxfId="4180" priority="5137" stopIfTrue="1" operator="notEqual">
      <formula>H400</formula>
    </cfRule>
  </conditionalFormatting>
  <conditionalFormatting sqref="O401 M401 G401 K401 S401 U401 W401 I401 Q401">
    <cfRule type="cellIs" dxfId="4179" priority="5136" stopIfTrue="1" operator="notEqual">
      <formula>H401</formula>
    </cfRule>
  </conditionalFormatting>
  <conditionalFormatting sqref="O402:O411 M402:M411 G402:G411 K402:K411 S402:S411 U402:U411 W402:W411 I402:I411 Q402:Q411">
    <cfRule type="cellIs" dxfId="4178" priority="5135" stopIfTrue="1" operator="notEqual">
      <formula>H402</formula>
    </cfRule>
  </conditionalFormatting>
  <conditionalFormatting sqref="G402:G411">
    <cfRule type="cellIs" dxfId="4177" priority="5134" stopIfTrue="1" operator="notEqual">
      <formula>H402</formula>
    </cfRule>
  </conditionalFormatting>
  <conditionalFormatting sqref="G397">
    <cfRule type="cellIs" dxfId="4176" priority="5133" stopIfTrue="1" operator="notEqual">
      <formula>H397</formula>
    </cfRule>
  </conditionalFormatting>
  <conditionalFormatting sqref="G398">
    <cfRule type="cellIs" dxfId="4175" priority="5132" stopIfTrue="1" operator="notEqual">
      <formula>H398</formula>
    </cfRule>
  </conditionalFormatting>
  <conditionalFormatting sqref="G399">
    <cfRule type="cellIs" dxfId="4174" priority="5131" stopIfTrue="1" operator="notEqual">
      <formula>H399</formula>
    </cfRule>
  </conditionalFormatting>
  <conditionalFormatting sqref="G400">
    <cfRule type="cellIs" dxfId="4173" priority="5130" stopIfTrue="1" operator="notEqual">
      <formula>H400</formula>
    </cfRule>
  </conditionalFormatting>
  <conditionalFormatting sqref="G401">
    <cfRule type="cellIs" dxfId="4172" priority="5129" stopIfTrue="1" operator="notEqual">
      <formula>H401</formula>
    </cfRule>
  </conditionalFormatting>
  <conditionalFormatting sqref="O398:O411 M398:M411 G398:G411 K398:K411 S398:S411 U398:U411 W398:W411 I398:I411 Q398:Q411">
    <cfRule type="cellIs" dxfId="4171" priority="5128" stopIfTrue="1" operator="notEqual">
      <formula>H398</formula>
    </cfRule>
  </conditionalFormatting>
  <conditionalFormatting sqref="O397 M397 G397 K397 S397 U397 W397 I397 Q397">
    <cfRule type="cellIs" dxfId="4170" priority="5127" stopIfTrue="1" operator="notEqual">
      <formula>H397</formula>
    </cfRule>
  </conditionalFormatting>
  <conditionalFormatting sqref="O400 M400 G400 K400 S400 U400 W400 I400 Q400">
    <cfRule type="cellIs" dxfId="4169" priority="5126" stopIfTrue="1" operator="notEqual">
      <formula>H400</formula>
    </cfRule>
  </conditionalFormatting>
  <conditionalFormatting sqref="O401 M401 G401 K401 S401 U401 W401 I401 Q401">
    <cfRule type="cellIs" dxfId="4168" priority="5125" stopIfTrue="1" operator="notEqual">
      <formula>H401</formula>
    </cfRule>
  </conditionalFormatting>
  <conditionalFormatting sqref="O401 M401 G401 K401 S401 U401 W401 I401 Q401">
    <cfRule type="cellIs" dxfId="4167" priority="5124" stopIfTrue="1" operator="notEqual">
      <formula>H401</formula>
    </cfRule>
  </conditionalFormatting>
  <conditionalFormatting sqref="O399 M399 G399 K399 S399 U399 W399 I399 Q399">
    <cfRule type="cellIs" dxfId="4166" priority="5123" stopIfTrue="1" operator="notEqual">
      <formula>H399</formula>
    </cfRule>
  </conditionalFormatting>
  <conditionalFormatting sqref="O397 M397 G397 K397 S397 U397 W397 I397 Q397">
    <cfRule type="cellIs" dxfId="4165" priority="5122" stopIfTrue="1" operator="notEqual">
      <formula>H397</formula>
    </cfRule>
  </conditionalFormatting>
  <conditionalFormatting sqref="O398 M398 G398 K398 S398 U398 W398 I398 Q398">
    <cfRule type="cellIs" dxfId="4164" priority="5121" stopIfTrue="1" operator="notEqual">
      <formula>H398</formula>
    </cfRule>
  </conditionalFormatting>
  <conditionalFormatting sqref="O399 M399 G399 K399 S399 U399 W399 I399 Q399">
    <cfRule type="cellIs" dxfId="4163" priority="5120" stopIfTrue="1" operator="notEqual">
      <formula>H399</formula>
    </cfRule>
  </conditionalFormatting>
  <conditionalFormatting sqref="O400 M400 G400 K400 S400 U400 W400 I400 Q400">
    <cfRule type="cellIs" dxfId="4162" priority="5119" stopIfTrue="1" operator="notEqual">
      <formula>H400</formula>
    </cfRule>
  </conditionalFormatting>
  <conditionalFormatting sqref="O401 M401 G401 K401 S401 U401 W401 I401 Q401">
    <cfRule type="cellIs" dxfId="4161" priority="5118" stopIfTrue="1" operator="notEqual">
      <formula>H401</formula>
    </cfRule>
  </conditionalFormatting>
  <conditionalFormatting sqref="O402:O411 M402:M411 G402:G411 K402:K411 S402:S411 U402:U411 W402:W411 I402:I411 Q402:Q411">
    <cfRule type="cellIs" dxfId="4160" priority="5117" stopIfTrue="1" operator="notEqual">
      <formula>H402</formula>
    </cfRule>
  </conditionalFormatting>
  <conditionalFormatting sqref="G397">
    <cfRule type="cellIs" dxfId="4159" priority="5116" stopIfTrue="1" operator="notEqual">
      <formula>H397</formula>
    </cfRule>
  </conditionalFormatting>
  <conditionalFormatting sqref="G398">
    <cfRule type="cellIs" dxfId="4158" priority="5115" stopIfTrue="1" operator="notEqual">
      <formula>H398</formula>
    </cfRule>
  </conditionalFormatting>
  <conditionalFormatting sqref="G399">
    <cfRule type="cellIs" dxfId="4157" priority="5114" stopIfTrue="1" operator="notEqual">
      <formula>H399</formula>
    </cfRule>
  </conditionalFormatting>
  <conditionalFormatting sqref="G400">
    <cfRule type="cellIs" dxfId="4156" priority="5113" stopIfTrue="1" operator="notEqual">
      <formula>H400</formula>
    </cfRule>
  </conditionalFormatting>
  <conditionalFormatting sqref="G401">
    <cfRule type="cellIs" dxfId="4155" priority="5112" stopIfTrue="1" operator="notEqual">
      <formula>H401</formula>
    </cfRule>
  </conditionalFormatting>
  <conditionalFormatting sqref="G402:G411">
    <cfRule type="cellIs" dxfId="4154" priority="5111" stopIfTrue="1" operator="notEqual">
      <formula>H402</formula>
    </cfRule>
  </conditionalFormatting>
  <conditionalFormatting sqref="O397 M397 G397 K397 S397 U397 W397 I397 Q397">
    <cfRule type="cellIs" dxfId="4153" priority="5110" stopIfTrue="1" operator="notEqual">
      <formula>H397</formula>
    </cfRule>
  </conditionalFormatting>
  <conditionalFormatting sqref="O398 M398 G398 K398 S398 U398 W398 I398 Q398">
    <cfRule type="cellIs" dxfId="4152" priority="5109" stopIfTrue="1" operator="notEqual">
      <formula>H398</formula>
    </cfRule>
  </conditionalFormatting>
  <conditionalFormatting sqref="O399 M399 G399 K399 S399 U399 W399 I399 Q399">
    <cfRule type="cellIs" dxfId="4151" priority="5108" stopIfTrue="1" operator="notEqual">
      <formula>H399</formula>
    </cfRule>
  </conditionalFormatting>
  <conditionalFormatting sqref="O400 M400 G400 K400 S400 U400 W400 I400 Q400">
    <cfRule type="cellIs" dxfId="4150" priority="5107" stopIfTrue="1" operator="notEqual">
      <formula>H400</formula>
    </cfRule>
  </conditionalFormatting>
  <conditionalFormatting sqref="O401 M401 G401 K401 S401 U401 W401 I401 Q401">
    <cfRule type="cellIs" dxfId="4149" priority="5106" stopIfTrue="1" operator="notEqual">
      <formula>H401</formula>
    </cfRule>
  </conditionalFormatting>
  <conditionalFormatting sqref="O402:O411 M402:M411 G402:G411 K402:K411 S402:S411 U402:U411 W402:W411 I402:I411 Q402:Q411">
    <cfRule type="cellIs" dxfId="4148" priority="5105" stopIfTrue="1" operator="notEqual">
      <formula>H402</formula>
    </cfRule>
  </conditionalFormatting>
  <conditionalFormatting sqref="G397">
    <cfRule type="cellIs" dxfId="4147" priority="5104" stopIfTrue="1" operator="notEqual">
      <formula>H397</formula>
    </cfRule>
  </conditionalFormatting>
  <conditionalFormatting sqref="G398">
    <cfRule type="cellIs" dxfId="4146" priority="5103" stopIfTrue="1" operator="notEqual">
      <formula>H398</formula>
    </cfRule>
  </conditionalFormatting>
  <conditionalFormatting sqref="G399">
    <cfRule type="cellIs" dxfId="4145" priority="5102" stopIfTrue="1" operator="notEqual">
      <formula>H399</formula>
    </cfRule>
  </conditionalFormatting>
  <conditionalFormatting sqref="G400">
    <cfRule type="cellIs" dxfId="4144" priority="5101" stopIfTrue="1" operator="notEqual">
      <formula>H400</formula>
    </cfRule>
  </conditionalFormatting>
  <conditionalFormatting sqref="G401">
    <cfRule type="cellIs" dxfId="4143" priority="5100" stopIfTrue="1" operator="notEqual">
      <formula>H401</formula>
    </cfRule>
  </conditionalFormatting>
  <conditionalFormatting sqref="G402:G411">
    <cfRule type="cellIs" dxfId="4142" priority="5099" stopIfTrue="1" operator="notEqual">
      <formula>H402</formula>
    </cfRule>
  </conditionalFormatting>
  <conditionalFormatting sqref="O397 M397 G397 K397 S397 U397 W397 I397 Q397">
    <cfRule type="cellIs" dxfId="4141" priority="5098" stopIfTrue="1" operator="notEqual">
      <formula>H397</formula>
    </cfRule>
  </conditionalFormatting>
  <conditionalFormatting sqref="O398 M398 G398 K398 S398 U398 W398 I398 Q398">
    <cfRule type="cellIs" dxfId="4140" priority="5097" stopIfTrue="1" operator="notEqual">
      <formula>H398</formula>
    </cfRule>
  </conditionalFormatting>
  <conditionalFormatting sqref="O399 M399 G399 K399 S399 U399 W399 I399 Q399">
    <cfRule type="cellIs" dxfId="4139" priority="5096" stopIfTrue="1" operator="notEqual">
      <formula>H399</formula>
    </cfRule>
  </conditionalFormatting>
  <conditionalFormatting sqref="O400 M400 G400 K400 S400 U400 W400 I400 Q400">
    <cfRule type="cellIs" dxfId="4138" priority="5095" stopIfTrue="1" operator="notEqual">
      <formula>H400</formula>
    </cfRule>
  </conditionalFormatting>
  <conditionalFormatting sqref="O401 M401 G401 K401 S401 U401 W401 I401 Q401">
    <cfRule type="cellIs" dxfId="4137" priority="5094" stopIfTrue="1" operator="notEqual">
      <formula>H401</formula>
    </cfRule>
  </conditionalFormatting>
  <conditionalFormatting sqref="O402:O411 M402:M411 G402:G411 K402:K411 S402:S411 U402:U411 W402:W411 I402:I411 Q402:Q411">
    <cfRule type="cellIs" dxfId="4136" priority="5093" stopIfTrue="1" operator="notEqual">
      <formula>H402</formula>
    </cfRule>
  </conditionalFormatting>
  <conditionalFormatting sqref="O397 M397 G397 K397 S397 U397 W397 I397 Q397">
    <cfRule type="cellIs" dxfId="4135" priority="5092" stopIfTrue="1" operator="notEqual">
      <formula>H397</formula>
    </cfRule>
  </conditionalFormatting>
  <conditionalFormatting sqref="O398 M398 G398 K398 S398 U398 W398 I398 Q398">
    <cfRule type="cellIs" dxfId="4134" priority="5091" stopIfTrue="1" operator="notEqual">
      <formula>H398</formula>
    </cfRule>
  </conditionalFormatting>
  <conditionalFormatting sqref="O399 M399 G399 K399 S399 U399 W399 I399 Q399">
    <cfRule type="cellIs" dxfId="4133" priority="5090" stopIfTrue="1" operator="notEqual">
      <formula>H399</formula>
    </cfRule>
  </conditionalFormatting>
  <conditionalFormatting sqref="O400 M400 G400 K400 S400 U400 W400 I400 Q400">
    <cfRule type="cellIs" dxfId="4132" priority="5089" stopIfTrue="1" operator="notEqual">
      <formula>H400</formula>
    </cfRule>
  </conditionalFormatting>
  <conditionalFormatting sqref="O401 M401 G401 K401 S401 U401 W401 I401 Q401">
    <cfRule type="cellIs" dxfId="4131" priority="5088" stopIfTrue="1" operator="notEqual">
      <formula>H401</formula>
    </cfRule>
  </conditionalFormatting>
  <conditionalFormatting sqref="O402:O411 M402:M411 G402:G411 K402:K411 S402:S411 U402:U411 W402:W411 I402:I411 Q402:Q411">
    <cfRule type="cellIs" dxfId="4130" priority="5087" stopIfTrue="1" operator="notEqual">
      <formula>H402</formula>
    </cfRule>
  </conditionalFormatting>
  <conditionalFormatting sqref="G397">
    <cfRule type="cellIs" dxfId="4129" priority="5086" stopIfTrue="1" operator="notEqual">
      <formula>H397</formula>
    </cfRule>
  </conditionalFormatting>
  <conditionalFormatting sqref="G398">
    <cfRule type="cellIs" dxfId="4128" priority="5085" stopIfTrue="1" operator="notEqual">
      <formula>H398</formula>
    </cfRule>
  </conditionalFormatting>
  <conditionalFormatting sqref="G399">
    <cfRule type="cellIs" dxfId="4127" priority="5084" stopIfTrue="1" operator="notEqual">
      <formula>H399</formula>
    </cfRule>
  </conditionalFormatting>
  <conditionalFormatting sqref="G400">
    <cfRule type="cellIs" dxfId="4126" priority="5083" stopIfTrue="1" operator="notEqual">
      <formula>H400</formula>
    </cfRule>
  </conditionalFormatting>
  <conditionalFormatting sqref="G401">
    <cfRule type="cellIs" dxfId="4125" priority="5082" stopIfTrue="1" operator="notEqual">
      <formula>H401</formula>
    </cfRule>
  </conditionalFormatting>
  <conditionalFormatting sqref="G402:G411">
    <cfRule type="cellIs" dxfId="4124" priority="5081" stopIfTrue="1" operator="notEqual">
      <formula>H402</formula>
    </cfRule>
  </conditionalFormatting>
  <conditionalFormatting sqref="G397">
    <cfRule type="cellIs" dxfId="4123" priority="5080" stopIfTrue="1" operator="notEqual">
      <formula>H397</formula>
    </cfRule>
  </conditionalFormatting>
  <conditionalFormatting sqref="G397">
    <cfRule type="cellIs" dxfId="4122" priority="5079" stopIfTrue="1" operator="notEqual">
      <formula>H397</formula>
    </cfRule>
  </conditionalFormatting>
  <conditionalFormatting sqref="G397">
    <cfRule type="cellIs" dxfId="4121" priority="5078" stopIfTrue="1" operator="notEqual">
      <formula>H397</formula>
    </cfRule>
  </conditionalFormatting>
  <conditionalFormatting sqref="G397">
    <cfRule type="cellIs" dxfId="4120" priority="5077" stopIfTrue="1" operator="notEqual">
      <formula>H397</formula>
    </cfRule>
  </conditionalFormatting>
  <conditionalFormatting sqref="G397">
    <cfRule type="cellIs" dxfId="4119" priority="5076" stopIfTrue="1" operator="notEqual">
      <formula>H397</formula>
    </cfRule>
  </conditionalFormatting>
  <conditionalFormatting sqref="G397">
    <cfRule type="cellIs" dxfId="4118" priority="5075" stopIfTrue="1" operator="notEqual">
      <formula>H397</formula>
    </cfRule>
  </conditionalFormatting>
  <conditionalFormatting sqref="O397 M397 G397 K397 S397 U397 W397 I397 Q397">
    <cfRule type="cellIs" dxfId="4117" priority="5074" stopIfTrue="1" operator="notEqual">
      <formula>H397</formula>
    </cfRule>
  </conditionalFormatting>
  <conditionalFormatting sqref="O398 M398 G398 K398 S398 U398 W398 I398 Q398">
    <cfRule type="cellIs" dxfId="4116" priority="5073" stopIfTrue="1" operator="notEqual">
      <formula>H398</formula>
    </cfRule>
  </conditionalFormatting>
  <conditionalFormatting sqref="O399 M399 G399 K399 S399 U399 W399 I399 Q399">
    <cfRule type="cellIs" dxfId="4115" priority="5072" stopIfTrue="1" operator="notEqual">
      <formula>H399</formula>
    </cfRule>
  </conditionalFormatting>
  <conditionalFormatting sqref="O400 M400 G400 K400 S400 U400 W400 I400 Q400">
    <cfRule type="cellIs" dxfId="4114" priority="5071" stopIfTrue="1" operator="notEqual">
      <formula>H400</formula>
    </cfRule>
  </conditionalFormatting>
  <conditionalFormatting sqref="O401 M401 G401 K401 S401 U401 W401 I401 Q401">
    <cfRule type="cellIs" dxfId="4113" priority="5070" stopIfTrue="1" operator="notEqual">
      <formula>H401</formula>
    </cfRule>
  </conditionalFormatting>
  <conditionalFormatting sqref="O402:O411 M402:M411 G402:G411 K402:K411 S402:S411 U402:U411 W402:W411 I402:I411 Q402:Q411">
    <cfRule type="cellIs" dxfId="4112" priority="5069" stopIfTrue="1" operator="notEqual">
      <formula>H402</formula>
    </cfRule>
  </conditionalFormatting>
  <conditionalFormatting sqref="O397 M397 G397 K397 S397 U397 W397 I397 Q397">
    <cfRule type="cellIs" dxfId="4111" priority="5068" stopIfTrue="1" operator="notEqual">
      <formula>H397</formula>
    </cfRule>
  </conditionalFormatting>
  <conditionalFormatting sqref="O398 M398 G398 K398 S398 U398 W398 I398 Q398">
    <cfRule type="cellIs" dxfId="4110" priority="5067" stopIfTrue="1" operator="notEqual">
      <formula>H398</formula>
    </cfRule>
  </conditionalFormatting>
  <conditionalFormatting sqref="O399 M399 G399 K399 S399 U399 W399 I399 Q399">
    <cfRule type="cellIs" dxfId="4109" priority="5066" stopIfTrue="1" operator="notEqual">
      <formula>H399</formula>
    </cfRule>
  </conditionalFormatting>
  <conditionalFormatting sqref="O397 M397 G397 K397 S397 U397 W397 I397 Q397">
    <cfRule type="cellIs" dxfId="4108" priority="5065" stopIfTrue="1" operator="notEqual">
      <formula>H397</formula>
    </cfRule>
  </conditionalFormatting>
  <conditionalFormatting sqref="O400 M400 G400 K400 S400 U400 W400 I400 Q400">
    <cfRule type="cellIs" dxfId="4107" priority="5064" stopIfTrue="1" operator="notEqual">
      <formula>H400</formula>
    </cfRule>
  </conditionalFormatting>
  <conditionalFormatting sqref="O401 M401 G401 K401 S401 U401 W401 I401 Q401">
    <cfRule type="cellIs" dxfId="4106" priority="5063" stopIfTrue="1" operator="notEqual">
      <formula>H401</formula>
    </cfRule>
  </conditionalFormatting>
  <conditionalFormatting sqref="O402:O411 M402:M411 G402:G411 K402:K411 S402:S411 U402:U411 W402:W411 I402:I411 Q402:Q411">
    <cfRule type="cellIs" dxfId="4105" priority="5062" stopIfTrue="1" operator="notEqual">
      <formula>H402</formula>
    </cfRule>
  </conditionalFormatting>
  <conditionalFormatting sqref="O397:O401 M397:M401 G397:G401 K397:K401 S397:S401 U397:U401 W397:W401 I397:I401 Q397:Q401">
    <cfRule type="cellIs" dxfId="4104" priority="5061" stopIfTrue="1" operator="notEqual">
      <formula>H397</formula>
    </cfRule>
  </conditionalFormatting>
  <conditionalFormatting sqref="O398 M398 G398 K398 S398 U398 W398 I398 Q398">
    <cfRule type="cellIs" dxfId="4103" priority="5060" stopIfTrue="1" operator="notEqual">
      <formula>H398</formula>
    </cfRule>
  </conditionalFormatting>
  <conditionalFormatting sqref="O399 M399 G399 K399 S399 U399 W399 I399 Q399">
    <cfRule type="cellIs" dxfId="4102" priority="5059" stopIfTrue="1" operator="notEqual">
      <formula>H399</formula>
    </cfRule>
  </conditionalFormatting>
  <conditionalFormatting sqref="O399 M399 G399 K399 S399 U399 W399 I399 Q399">
    <cfRule type="cellIs" dxfId="4101" priority="5058" stopIfTrue="1" operator="notEqual">
      <formula>H399</formula>
    </cfRule>
  </conditionalFormatting>
  <conditionalFormatting sqref="O397 M397 G397 K397 S397 U397 W397 I397 Q397">
    <cfRule type="cellIs" dxfId="4100" priority="5057" stopIfTrue="1" operator="notEqual">
      <formula>H397</formula>
    </cfRule>
  </conditionalFormatting>
  <conditionalFormatting sqref="O402:O411 M402:M411 G402:G411 K402:K411 S402:S411 U402:U411 W402:W411 I402:I411 Q402:Q411">
    <cfRule type="cellIs" dxfId="4099" priority="5056" stopIfTrue="1" operator="notEqual">
      <formula>H402</formula>
    </cfRule>
  </conditionalFormatting>
  <conditionalFormatting sqref="O401 M401 G401 K401 S401 U401 W401 I401 Q401">
    <cfRule type="cellIs" dxfId="4098" priority="5055" stopIfTrue="1" operator="notEqual">
      <formula>H401</formula>
    </cfRule>
  </conditionalFormatting>
  <conditionalFormatting sqref="G430">
    <cfRule type="cellIs" dxfId="4097" priority="5054" stopIfTrue="1" operator="notEqual">
      <formula>H430</formula>
    </cfRule>
  </conditionalFormatting>
  <conditionalFormatting sqref="G430">
    <cfRule type="cellIs" dxfId="4096" priority="5053" stopIfTrue="1" operator="notEqual">
      <formula>H430</formula>
    </cfRule>
  </conditionalFormatting>
  <conditionalFormatting sqref="G430">
    <cfRule type="cellIs" dxfId="4095" priority="5052" stopIfTrue="1" operator="notEqual">
      <formula>H430</formula>
    </cfRule>
  </conditionalFormatting>
  <conditionalFormatting sqref="G430">
    <cfRule type="cellIs" dxfId="4094" priority="5051" stopIfTrue="1" operator="notEqual">
      <formula>H430</formula>
    </cfRule>
  </conditionalFormatting>
  <conditionalFormatting sqref="G430">
    <cfRule type="cellIs" dxfId="4093" priority="5050" stopIfTrue="1" operator="notEqual">
      <formula>H430</formula>
    </cfRule>
  </conditionalFormatting>
  <conditionalFormatting sqref="G430">
    <cfRule type="cellIs" dxfId="4092" priority="5049" stopIfTrue="1" operator="notEqual">
      <formula>H430</formula>
    </cfRule>
  </conditionalFormatting>
  <conditionalFormatting sqref="G404">
    <cfRule type="cellIs" dxfId="4091" priority="5048" stopIfTrue="1" operator="notEqual">
      <formula>H404</formula>
    </cfRule>
  </conditionalFormatting>
  <conditionalFormatting sqref="G403">
    <cfRule type="cellIs" dxfId="4090" priority="5047" stopIfTrue="1" operator="notEqual">
      <formula>H403</formula>
    </cfRule>
  </conditionalFormatting>
  <conditionalFormatting sqref="G403">
    <cfRule type="cellIs" dxfId="4089" priority="5046" stopIfTrue="1" operator="notEqual">
      <formula>H403</formula>
    </cfRule>
  </conditionalFormatting>
  <conditionalFormatting sqref="G403">
    <cfRule type="cellIs" dxfId="4088" priority="5045" stopIfTrue="1" operator="notEqual">
      <formula>H403</formula>
    </cfRule>
  </conditionalFormatting>
  <conditionalFormatting sqref="G403">
    <cfRule type="cellIs" dxfId="4087" priority="5044" stopIfTrue="1" operator="notEqual">
      <formula>H403</formula>
    </cfRule>
  </conditionalFormatting>
  <conditionalFormatting sqref="O403 M403 G403 K403 S403 U403 W403 I403 Q403">
    <cfRule type="cellIs" dxfId="4086" priority="5043" stopIfTrue="1" operator="notEqual">
      <formula>H403</formula>
    </cfRule>
  </conditionalFormatting>
  <conditionalFormatting sqref="O403 M403 G403 K403 S403 U403 W403 I403 Q403">
    <cfRule type="cellIs" dxfId="4085" priority="5042" stopIfTrue="1" operator="notEqual">
      <formula>H403</formula>
    </cfRule>
  </conditionalFormatting>
  <conditionalFormatting sqref="O403 M403 G403 K403 S403 U403 W403 I403 Q403">
    <cfRule type="cellIs" dxfId="4084" priority="5041" stopIfTrue="1" operator="notEqual">
      <formula>H403</formula>
    </cfRule>
  </conditionalFormatting>
  <conditionalFormatting sqref="G403">
    <cfRule type="cellIs" dxfId="4083" priority="5040" stopIfTrue="1" operator="notEqual">
      <formula>H403</formula>
    </cfRule>
  </conditionalFormatting>
  <conditionalFormatting sqref="G404">
    <cfRule type="cellIs" dxfId="4082" priority="5039" stopIfTrue="1" operator="notEqual">
      <formula>H404</formula>
    </cfRule>
  </conditionalFormatting>
  <conditionalFormatting sqref="G405">
    <cfRule type="cellIs" dxfId="4081" priority="5038" stopIfTrue="1" operator="notEqual">
      <formula>H405</formula>
    </cfRule>
  </conditionalFormatting>
  <conditionalFormatting sqref="G406">
    <cfRule type="cellIs" dxfId="4080" priority="5037" stopIfTrue="1" operator="notEqual">
      <formula>H406</formula>
    </cfRule>
  </conditionalFormatting>
  <conditionalFormatting sqref="G407">
    <cfRule type="cellIs" dxfId="4079" priority="5036" stopIfTrue="1" operator="notEqual">
      <formula>H407</formula>
    </cfRule>
  </conditionalFormatting>
  <conditionalFormatting sqref="G408">
    <cfRule type="cellIs" dxfId="4078" priority="5035" stopIfTrue="1" operator="notEqual">
      <formula>H408</formula>
    </cfRule>
  </conditionalFormatting>
  <conditionalFormatting sqref="G409">
    <cfRule type="cellIs" dxfId="4077" priority="5034" stopIfTrue="1" operator="notEqual">
      <formula>H409</formula>
    </cfRule>
  </conditionalFormatting>
  <conditionalFormatting sqref="G410">
    <cfRule type="cellIs" dxfId="4076" priority="5033" stopIfTrue="1" operator="notEqual">
      <formula>H410</formula>
    </cfRule>
  </conditionalFormatting>
  <conditionalFormatting sqref="G411">
    <cfRule type="cellIs" dxfId="4075" priority="5032" stopIfTrue="1" operator="notEqual">
      <formula>H411</formula>
    </cfRule>
  </conditionalFormatting>
  <conditionalFormatting sqref="G412">
    <cfRule type="cellIs" dxfId="4074" priority="5031" stopIfTrue="1" operator="notEqual">
      <formula>H412</formula>
    </cfRule>
  </conditionalFormatting>
  <conditionalFormatting sqref="G413">
    <cfRule type="cellIs" dxfId="4073" priority="5030" stopIfTrue="1" operator="notEqual">
      <formula>H413</formula>
    </cfRule>
  </conditionalFormatting>
  <conditionalFormatting sqref="G414">
    <cfRule type="cellIs" dxfId="4072" priority="5029" stopIfTrue="1" operator="notEqual">
      <formula>H414</formula>
    </cfRule>
  </conditionalFormatting>
  <conditionalFormatting sqref="G415">
    <cfRule type="cellIs" dxfId="4071" priority="5028" stopIfTrue="1" operator="notEqual">
      <formula>H415</formula>
    </cfRule>
  </conditionalFormatting>
  <conditionalFormatting sqref="G416">
    <cfRule type="cellIs" dxfId="4070" priority="5027" stopIfTrue="1" operator="notEqual">
      <formula>H416</formula>
    </cfRule>
  </conditionalFormatting>
  <conditionalFormatting sqref="O403 M403 G403 K403 S403 U403 W403 I403 Q403">
    <cfRule type="cellIs" dxfId="4069" priority="5026" stopIfTrue="1" operator="notEqual">
      <formula>H403</formula>
    </cfRule>
  </conditionalFormatting>
  <conditionalFormatting sqref="O404 M404 G404 K404 S404 U404 W404 I404 Q404">
    <cfRule type="cellIs" dxfId="4068" priority="5025" stopIfTrue="1" operator="notEqual">
      <formula>H404</formula>
    </cfRule>
  </conditionalFormatting>
  <conditionalFormatting sqref="O405 M405 G405 K405 S405 U405 W405 I405 Q405">
    <cfRule type="cellIs" dxfId="4067" priority="5024" stopIfTrue="1" operator="notEqual">
      <formula>H405</formula>
    </cfRule>
  </conditionalFormatting>
  <conditionalFormatting sqref="O406 M406 G406 K406 S406 U406 W406 I406 Q406">
    <cfRule type="cellIs" dxfId="4066" priority="5023" stopIfTrue="1" operator="notEqual">
      <formula>H406</formula>
    </cfRule>
  </conditionalFormatting>
  <conditionalFormatting sqref="O407 M407 G407 K407 S407 U407 W407 I407 Q407">
    <cfRule type="cellIs" dxfId="4065" priority="5022" stopIfTrue="1" operator="notEqual">
      <formula>H407</formula>
    </cfRule>
  </conditionalFormatting>
  <conditionalFormatting sqref="G407:G408">
    <cfRule type="cellIs" dxfId="4064" priority="5021" stopIfTrue="1" operator="notEqual">
      <formula>H407</formula>
    </cfRule>
  </conditionalFormatting>
  <conditionalFormatting sqref="G403">
    <cfRule type="cellIs" dxfId="4063" priority="5020" stopIfTrue="1" operator="notEqual">
      <formula>H403</formula>
    </cfRule>
  </conditionalFormatting>
  <conditionalFormatting sqref="G404">
    <cfRule type="cellIs" dxfId="4062" priority="5019" stopIfTrue="1" operator="notEqual">
      <formula>H404</formula>
    </cfRule>
  </conditionalFormatting>
  <conditionalFormatting sqref="G405">
    <cfRule type="cellIs" dxfId="4061" priority="5018" stopIfTrue="1" operator="notEqual">
      <formula>H405</formula>
    </cfRule>
  </conditionalFormatting>
  <conditionalFormatting sqref="G406">
    <cfRule type="cellIs" dxfId="4060" priority="5017" stopIfTrue="1" operator="notEqual">
      <formula>H406</formula>
    </cfRule>
  </conditionalFormatting>
  <conditionalFormatting sqref="G408">
    <cfRule type="cellIs" dxfId="4059" priority="5016" stopIfTrue="1" operator="notEqual">
      <formula>H408</formula>
    </cfRule>
  </conditionalFormatting>
  <conditionalFormatting sqref="O403:O408 M403:M408 G403:G408 K403:K408 S403:S408 U403:U408 W403:W408 I403:I408 Q403:Q408">
    <cfRule type="cellIs" dxfId="4058" priority="5015" stopIfTrue="1" operator="notEqual">
      <formula>H403</formula>
    </cfRule>
  </conditionalFormatting>
  <conditionalFormatting sqref="O405 M405 G405 K405 S405 U405 W405 I405 Q405">
    <cfRule type="cellIs" dxfId="4057" priority="5014" stopIfTrue="1" operator="notEqual">
      <formula>H405</formula>
    </cfRule>
  </conditionalFormatting>
  <conditionalFormatting sqref="O406 M406 G406 K406 S406 U406 W406 I406 Q406">
    <cfRule type="cellIs" dxfId="4056" priority="5013" stopIfTrue="1" operator="notEqual">
      <formula>H406</formula>
    </cfRule>
  </conditionalFormatting>
  <conditionalFormatting sqref="O406 M406 G406 K406 S406 U406 W406 I406 Q406">
    <cfRule type="cellIs" dxfId="4055" priority="5012" stopIfTrue="1" operator="notEqual">
      <formula>H406</formula>
    </cfRule>
  </conditionalFormatting>
  <conditionalFormatting sqref="O404 M404 G404 K404 S404 U404 W404 I404 Q404">
    <cfRule type="cellIs" dxfId="4054" priority="5011" stopIfTrue="1" operator="notEqual">
      <formula>H404</formula>
    </cfRule>
  </conditionalFormatting>
  <conditionalFormatting sqref="O408 M408 G408 K408 S408 U408 W408 I408 Q408">
    <cfRule type="cellIs" dxfId="4053" priority="5010" stopIfTrue="1" operator="notEqual">
      <formula>H408</formula>
    </cfRule>
  </conditionalFormatting>
  <conditionalFormatting sqref="O403 M403 G403 K403 S403 U403 W403 I403 Q403">
    <cfRule type="cellIs" dxfId="4052" priority="5009" stopIfTrue="1" operator="notEqual">
      <formula>H403</formula>
    </cfRule>
  </conditionalFormatting>
  <conditionalFormatting sqref="O404 M404 G404 K404 S404 U404 W404 I404 Q404">
    <cfRule type="cellIs" dxfId="4051" priority="5008" stopIfTrue="1" operator="notEqual">
      <formula>H404</formula>
    </cfRule>
  </conditionalFormatting>
  <conditionalFormatting sqref="O405 M405 G405 K405 S405 U405 W405 I405 Q405">
    <cfRule type="cellIs" dxfId="4050" priority="5007" stopIfTrue="1" operator="notEqual">
      <formula>H405</formula>
    </cfRule>
  </conditionalFormatting>
  <conditionalFormatting sqref="O406 M406 G406 K406 S406 U406 W406 I406 Q406">
    <cfRule type="cellIs" dxfId="4049" priority="5006" stopIfTrue="1" operator="notEqual">
      <formula>H406</formula>
    </cfRule>
  </conditionalFormatting>
  <conditionalFormatting sqref="O407 M407 G407 K407 S407 U407 W407 I407 Q407">
    <cfRule type="cellIs" dxfId="4048" priority="5005" stopIfTrue="1" operator="notEqual">
      <formula>H407</formula>
    </cfRule>
  </conditionalFormatting>
  <conditionalFormatting sqref="O408 M408 G408 K408 S408 U408 W408 I408 Q408">
    <cfRule type="cellIs" dxfId="4047" priority="5004" stopIfTrue="1" operator="notEqual">
      <formula>H408</formula>
    </cfRule>
  </conditionalFormatting>
  <conditionalFormatting sqref="G408:G411">
    <cfRule type="cellIs" dxfId="4046" priority="5003" stopIfTrue="1" operator="notEqual">
      <formula>H408</formula>
    </cfRule>
  </conditionalFormatting>
  <conditionalFormatting sqref="G408">
    <cfRule type="cellIs" dxfId="4045" priority="5002" stopIfTrue="1" operator="notEqual">
      <formula>H408</formula>
    </cfRule>
  </conditionalFormatting>
  <conditionalFormatting sqref="G409">
    <cfRule type="cellIs" dxfId="4044" priority="5001" stopIfTrue="1" operator="notEqual">
      <formula>H409</formula>
    </cfRule>
  </conditionalFormatting>
  <conditionalFormatting sqref="G409">
    <cfRule type="cellIs" dxfId="4043" priority="5000" stopIfTrue="1" operator="notEqual">
      <formula>H409</formula>
    </cfRule>
  </conditionalFormatting>
  <conditionalFormatting sqref="G412">
    <cfRule type="cellIs" dxfId="4042" priority="4999" stopIfTrue="1" operator="notEqual">
      <formula>H412</formula>
    </cfRule>
  </conditionalFormatting>
  <conditionalFormatting sqref="G413">
    <cfRule type="cellIs" dxfId="4041" priority="4998" stopIfTrue="1" operator="notEqual">
      <formula>H413</formula>
    </cfRule>
  </conditionalFormatting>
  <conditionalFormatting sqref="G411">
    <cfRule type="cellIs" dxfId="4040" priority="4997" stopIfTrue="1" operator="notEqual">
      <formula>H411</formula>
    </cfRule>
  </conditionalFormatting>
  <conditionalFormatting sqref="G414">
    <cfRule type="cellIs" dxfId="4039" priority="4996" stopIfTrue="1" operator="notEqual">
      <formula>H414</formula>
    </cfRule>
  </conditionalFormatting>
  <conditionalFormatting sqref="G415">
    <cfRule type="cellIs" dxfId="4038" priority="4995" stopIfTrue="1" operator="notEqual">
      <formula>H415</formula>
    </cfRule>
  </conditionalFormatting>
  <conditionalFormatting sqref="G416">
    <cfRule type="cellIs" dxfId="4037" priority="4994" stopIfTrue="1" operator="notEqual">
      <formula>H416</formula>
    </cfRule>
  </conditionalFormatting>
  <conditionalFormatting sqref="O408 M408 G408 K408 S408 U408 W408 I408 Q408">
    <cfRule type="cellIs" dxfId="4036" priority="4993" stopIfTrue="1" operator="notEqual">
      <formula>H408</formula>
    </cfRule>
  </conditionalFormatting>
  <conditionalFormatting sqref="O409 M409 G409 K409 S409 U409 W409 I409 Q409">
    <cfRule type="cellIs" dxfId="4035" priority="4992" stopIfTrue="1" operator="notEqual">
      <formula>H409</formula>
    </cfRule>
  </conditionalFormatting>
  <conditionalFormatting sqref="O410 M410 G410 K410 S410 U410 W410 I410 Q410">
    <cfRule type="cellIs" dxfId="4034" priority="4991" stopIfTrue="1" operator="notEqual">
      <formula>H410</formula>
    </cfRule>
  </conditionalFormatting>
  <conditionalFormatting sqref="O411 M411 G411 K411 S411 U411 W411 I411 Q411">
    <cfRule type="cellIs" dxfId="4033" priority="4990" stopIfTrue="1" operator="notEqual">
      <formula>H411</formula>
    </cfRule>
  </conditionalFormatting>
  <conditionalFormatting sqref="O412 M412 G412 K412 S412 U412 W412 I412 Q412">
    <cfRule type="cellIs" dxfId="4032" priority="4989" stopIfTrue="1" operator="notEqual">
      <formula>H412</formula>
    </cfRule>
  </conditionalFormatting>
  <conditionalFormatting sqref="O413 M413 G413 K413 S413 U413 W413 I413 Q413">
    <cfRule type="cellIs" dxfId="4031" priority="4988" stopIfTrue="1" operator="notEqual">
      <formula>H413</formula>
    </cfRule>
  </conditionalFormatting>
  <conditionalFormatting sqref="O414 M414 G414 K414 S414 U414 W414 I414 Q414">
    <cfRule type="cellIs" dxfId="4030" priority="4987" stopIfTrue="1" operator="notEqual">
      <formula>H414</formula>
    </cfRule>
  </conditionalFormatting>
  <conditionalFormatting sqref="O415 M415 G415 K415 S415 U415 W415 I415 Q415">
    <cfRule type="cellIs" dxfId="4029" priority="4986" stopIfTrue="1" operator="notEqual">
      <formula>H415</formula>
    </cfRule>
  </conditionalFormatting>
  <conditionalFormatting sqref="O416 M416 G416 K416 S416 U416 W416 I416 Q416">
    <cfRule type="cellIs" dxfId="4028" priority="4985" stopIfTrue="1" operator="notEqual">
      <formula>H416</formula>
    </cfRule>
  </conditionalFormatting>
  <conditionalFormatting sqref="G408">
    <cfRule type="cellIs" dxfId="4027" priority="4984" stopIfTrue="1" operator="notEqual">
      <formula>H408</formula>
    </cfRule>
  </conditionalFormatting>
  <conditionalFormatting sqref="G409">
    <cfRule type="cellIs" dxfId="4026" priority="4983" stopIfTrue="1" operator="notEqual">
      <formula>H409</formula>
    </cfRule>
  </conditionalFormatting>
  <conditionalFormatting sqref="G410">
    <cfRule type="cellIs" dxfId="4025" priority="4982" stopIfTrue="1" operator="notEqual">
      <formula>H410</formula>
    </cfRule>
  </conditionalFormatting>
  <conditionalFormatting sqref="G411">
    <cfRule type="cellIs" dxfId="4024" priority="4981" stopIfTrue="1" operator="notEqual">
      <formula>H411</formula>
    </cfRule>
  </conditionalFormatting>
  <conditionalFormatting sqref="G412">
    <cfRule type="cellIs" dxfId="4023" priority="4980" stopIfTrue="1" operator="notEqual">
      <formula>H412</formula>
    </cfRule>
  </conditionalFormatting>
  <conditionalFormatting sqref="G413">
    <cfRule type="cellIs" dxfId="4022" priority="4979" stopIfTrue="1" operator="notEqual">
      <formula>H413</formula>
    </cfRule>
  </conditionalFormatting>
  <conditionalFormatting sqref="G414">
    <cfRule type="cellIs" dxfId="4021" priority="4978" stopIfTrue="1" operator="notEqual">
      <formula>H414</formula>
    </cfRule>
  </conditionalFormatting>
  <conditionalFormatting sqref="G415">
    <cfRule type="cellIs" dxfId="4020" priority="4977" stopIfTrue="1" operator="notEqual">
      <formula>H415</formula>
    </cfRule>
  </conditionalFormatting>
  <conditionalFormatting sqref="G416">
    <cfRule type="cellIs" dxfId="4019" priority="4976" stopIfTrue="1" operator="notEqual">
      <formula>H416</formula>
    </cfRule>
  </conditionalFormatting>
  <conditionalFormatting sqref="G408">
    <cfRule type="cellIs" dxfId="4018" priority="4975" stopIfTrue="1" operator="notEqual">
      <formula>H408</formula>
    </cfRule>
  </conditionalFormatting>
  <conditionalFormatting sqref="G408">
    <cfRule type="cellIs" dxfId="4017" priority="4974" stopIfTrue="1" operator="notEqual">
      <formula>H408</formula>
    </cfRule>
  </conditionalFormatting>
  <conditionalFormatting sqref="G408">
    <cfRule type="cellIs" dxfId="4016" priority="4973" stopIfTrue="1" operator="notEqual">
      <formula>H408</formula>
    </cfRule>
  </conditionalFormatting>
  <conditionalFormatting sqref="G408">
    <cfRule type="cellIs" dxfId="4015" priority="4972" stopIfTrue="1" operator="notEqual">
      <formula>H408</formula>
    </cfRule>
  </conditionalFormatting>
  <conditionalFormatting sqref="G408">
    <cfRule type="cellIs" dxfId="4014" priority="4971" stopIfTrue="1" operator="notEqual">
      <formula>H408</formula>
    </cfRule>
  </conditionalFormatting>
  <conditionalFormatting sqref="G408">
    <cfRule type="cellIs" dxfId="4013" priority="4970" stopIfTrue="1" operator="notEqual">
      <formula>H408</formula>
    </cfRule>
  </conditionalFormatting>
  <conditionalFormatting sqref="O408 M408 G408 K408 S408 U408 W408 I408 Q408">
    <cfRule type="cellIs" dxfId="4012" priority="4969" stopIfTrue="1" operator="notEqual">
      <formula>H408</formula>
    </cfRule>
  </conditionalFormatting>
  <conditionalFormatting sqref="O409 M409 G409 K409 S409 U409 W409 I409 Q409">
    <cfRule type="cellIs" dxfId="4011" priority="4968" stopIfTrue="1" operator="notEqual">
      <formula>H409</formula>
    </cfRule>
  </conditionalFormatting>
  <conditionalFormatting sqref="O410 M410 G410 K410 S410 U410 W410 I410 Q410">
    <cfRule type="cellIs" dxfId="4010" priority="4967" stopIfTrue="1" operator="notEqual">
      <formula>H410</formula>
    </cfRule>
  </conditionalFormatting>
  <conditionalFormatting sqref="O411 M411 G411 K411 S411 U411 W411 I411 Q411">
    <cfRule type="cellIs" dxfId="4009" priority="4966" stopIfTrue="1" operator="notEqual">
      <formula>H411</formula>
    </cfRule>
  </conditionalFormatting>
  <conditionalFormatting sqref="O412 M412 G412 K412 S412 U412 W412 I412 Q412">
    <cfRule type="cellIs" dxfId="4008" priority="4965" stopIfTrue="1" operator="notEqual">
      <formula>H412</formula>
    </cfRule>
  </conditionalFormatting>
  <conditionalFormatting sqref="O413 M413 G413 K413 S413 U413 W413 I413 Q413">
    <cfRule type="cellIs" dxfId="4007" priority="4964" stopIfTrue="1" operator="notEqual">
      <formula>H413</formula>
    </cfRule>
  </conditionalFormatting>
  <conditionalFormatting sqref="O414 M414 G414 K414 S414 U414 W414 I414 Q414">
    <cfRule type="cellIs" dxfId="4006" priority="4963" stopIfTrue="1" operator="notEqual">
      <formula>H414</formula>
    </cfRule>
  </conditionalFormatting>
  <conditionalFormatting sqref="O415 M415 G415 K415 S415 U415 W415 I415 Q415">
    <cfRule type="cellIs" dxfId="4005" priority="4962" stopIfTrue="1" operator="notEqual">
      <formula>H415</formula>
    </cfRule>
  </conditionalFormatting>
  <conditionalFormatting sqref="O416 M416 G416 K416 S416 U416 W416 I416 Q416">
    <cfRule type="cellIs" dxfId="4004" priority="4961" stopIfTrue="1" operator="notEqual">
      <formula>H416</formula>
    </cfRule>
  </conditionalFormatting>
  <conditionalFormatting sqref="O408 M408 G408 K408 S408 U408 W408 I408 Q408">
    <cfRule type="cellIs" dxfId="4003" priority="4960" stopIfTrue="1" operator="notEqual">
      <formula>H408</formula>
    </cfRule>
  </conditionalFormatting>
  <conditionalFormatting sqref="O409 M409 G409 K409 S409 U409 W409 I409 Q409">
    <cfRule type="cellIs" dxfId="4002" priority="4959" stopIfTrue="1" operator="notEqual">
      <formula>H409</formula>
    </cfRule>
  </conditionalFormatting>
  <conditionalFormatting sqref="O410 M410 G410 K410 S410 U410 W410 I410 Q410">
    <cfRule type="cellIs" dxfId="4001" priority="4958" stopIfTrue="1" operator="notEqual">
      <formula>H410</formula>
    </cfRule>
  </conditionalFormatting>
  <conditionalFormatting sqref="O408 M408 G408 K408 S408 U408 W408 I408 Q408">
    <cfRule type="cellIs" dxfId="4000" priority="4957" stopIfTrue="1" operator="notEqual">
      <formula>H408</formula>
    </cfRule>
  </conditionalFormatting>
  <conditionalFormatting sqref="O411 M411 G411 K411 S411 U411 W411 I411 Q411">
    <cfRule type="cellIs" dxfId="3999" priority="4956" stopIfTrue="1" operator="notEqual">
      <formula>H411</formula>
    </cfRule>
  </conditionalFormatting>
  <conditionalFormatting sqref="O412 M412 G412 K412 S412 U412 W412 I412 Q412">
    <cfRule type="cellIs" dxfId="3998" priority="4955" stopIfTrue="1" operator="notEqual">
      <formula>H412</formula>
    </cfRule>
  </conditionalFormatting>
  <conditionalFormatting sqref="O413 M413 G413 K413 S413 U413 W413 I413 Q413">
    <cfRule type="cellIs" dxfId="3997" priority="4954" stopIfTrue="1" operator="notEqual">
      <formula>H413</formula>
    </cfRule>
  </conditionalFormatting>
  <conditionalFormatting sqref="O414 M414 G414 K414 S414 U414 W414 I414 Q414">
    <cfRule type="cellIs" dxfId="3996" priority="4953" stopIfTrue="1" operator="notEqual">
      <formula>H414</formula>
    </cfRule>
  </conditionalFormatting>
  <conditionalFormatting sqref="O415 M415 G415 K415 S415 U415 W415 I415 Q415">
    <cfRule type="cellIs" dxfId="3995" priority="4952" stopIfTrue="1" operator="notEqual">
      <formula>H415</formula>
    </cfRule>
  </conditionalFormatting>
  <conditionalFormatting sqref="O416 M416 G416 K416 S416 U416 W416 I416 Q416">
    <cfRule type="cellIs" dxfId="3994" priority="4951" stopIfTrue="1" operator="notEqual">
      <formula>H416</formula>
    </cfRule>
  </conditionalFormatting>
  <conditionalFormatting sqref="G411:G416">
    <cfRule type="cellIs" dxfId="3993" priority="4950" stopIfTrue="1" operator="notEqual">
      <formula>H411</formula>
    </cfRule>
  </conditionalFormatting>
  <conditionalFormatting sqref="G403">
    <cfRule type="cellIs" dxfId="3992" priority="4949" stopIfTrue="1" operator="notEqual">
      <formula>H403</formula>
    </cfRule>
  </conditionalFormatting>
  <conditionalFormatting sqref="G404">
    <cfRule type="cellIs" dxfId="3991" priority="4948" stopIfTrue="1" operator="notEqual">
      <formula>H404</formula>
    </cfRule>
  </conditionalFormatting>
  <conditionalFormatting sqref="G405">
    <cfRule type="cellIs" dxfId="3990" priority="4947" stopIfTrue="1" operator="notEqual">
      <formula>H405</formula>
    </cfRule>
  </conditionalFormatting>
  <conditionalFormatting sqref="G406">
    <cfRule type="cellIs" dxfId="3989" priority="4946" stopIfTrue="1" operator="notEqual">
      <formula>H406</formula>
    </cfRule>
  </conditionalFormatting>
  <conditionalFormatting sqref="G407">
    <cfRule type="cellIs" dxfId="3988" priority="4945" stopIfTrue="1" operator="notEqual">
      <formula>H407</formula>
    </cfRule>
  </conditionalFormatting>
  <conditionalFormatting sqref="G408">
    <cfRule type="cellIs" dxfId="3987" priority="4944" stopIfTrue="1" operator="notEqual">
      <formula>H408</formula>
    </cfRule>
  </conditionalFormatting>
  <conditionalFormatting sqref="G409">
    <cfRule type="cellIs" dxfId="3986" priority="4943" stopIfTrue="1" operator="notEqual">
      <formula>H409</formula>
    </cfRule>
  </conditionalFormatting>
  <conditionalFormatting sqref="G410">
    <cfRule type="cellIs" dxfId="3985" priority="4942" stopIfTrue="1" operator="notEqual">
      <formula>H410</formula>
    </cfRule>
  </conditionalFormatting>
  <conditionalFormatting sqref="G413">
    <cfRule type="cellIs" dxfId="3984" priority="4941" stopIfTrue="1" operator="notEqual">
      <formula>H413</formula>
    </cfRule>
  </conditionalFormatting>
  <conditionalFormatting sqref="G414">
    <cfRule type="cellIs" dxfId="3983" priority="4940" stopIfTrue="1" operator="notEqual">
      <formula>H414</formula>
    </cfRule>
  </conditionalFormatting>
  <conditionalFormatting sqref="G414">
    <cfRule type="cellIs" dxfId="3982" priority="4939" stopIfTrue="1" operator="notEqual">
      <formula>H414</formula>
    </cfRule>
  </conditionalFormatting>
  <conditionalFormatting sqref="G412">
    <cfRule type="cellIs" dxfId="3981" priority="4938" stopIfTrue="1" operator="notEqual">
      <formula>H412</formula>
    </cfRule>
  </conditionalFormatting>
  <conditionalFormatting sqref="G416">
    <cfRule type="cellIs" dxfId="3980" priority="4937" stopIfTrue="1" operator="notEqual">
      <formula>H416</formula>
    </cfRule>
  </conditionalFormatting>
  <conditionalFormatting sqref="O407:O412 M407:M412 G407:G412 K407:K412 S407:S412 U407:U412 W407:W412 I407:I412 Q407:Q412">
    <cfRule type="cellIs" dxfId="3979" priority="4936" stopIfTrue="1" operator="notEqual">
      <formula>H407</formula>
    </cfRule>
  </conditionalFormatting>
  <conditionalFormatting sqref="O403 M403 G403 K403 S403 U403 W403 I403 Q403">
    <cfRule type="cellIs" dxfId="3978" priority="4935" stopIfTrue="1" operator="notEqual">
      <formula>H403</formula>
    </cfRule>
  </conditionalFormatting>
  <conditionalFormatting sqref="O404 M404 G404 K404 S404 U404 W404 I404 Q404">
    <cfRule type="cellIs" dxfId="3977" priority="4934" stopIfTrue="1" operator="notEqual">
      <formula>H404</formula>
    </cfRule>
  </conditionalFormatting>
  <conditionalFormatting sqref="O405 M405 G405 K405 S405 U405 W405 I405 Q405">
    <cfRule type="cellIs" dxfId="3976" priority="4933" stopIfTrue="1" operator="notEqual">
      <formula>H405</formula>
    </cfRule>
  </conditionalFormatting>
  <conditionalFormatting sqref="O406 M406 G406 K406 S406 U406 W406 I406 Q406">
    <cfRule type="cellIs" dxfId="3975" priority="4932" stopIfTrue="1" operator="notEqual">
      <formula>H406</formula>
    </cfRule>
  </conditionalFormatting>
  <conditionalFormatting sqref="O409 M409 G409 K409 S409 U409 W409 I409 Q409">
    <cfRule type="cellIs" dxfId="3974" priority="4931" stopIfTrue="1" operator="notEqual">
      <formula>H409</formula>
    </cfRule>
  </conditionalFormatting>
  <conditionalFormatting sqref="O410 M410 G410 K410 S410 U410 W410 I410 Q410">
    <cfRule type="cellIs" dxfId="3973" priority="4930" stopIfTrue="1" operator="notEqual">
      <formula>H410</formula>
    </cfRule>
  </conditionalFormatting>
  <conditionalFormatting sqref="O410 M410 G410 K410 S410 U410 W410 I410 Q410">
    <cfRule type="cellIs" dxfId="3972" priority="4929" stopIfTrue="1" operator="notEqual">
      <formula>H410</formula>
    </cfRule>
  </conditionalFormatting>
  <conditionalFormatting sqref="O408 M408 G408 K408 S408 U408 W408 I408 Q408">
    <cfRule type="cellIs" dxfId="3971" priority="4928" stopIfTrue="1" operator="notEqual">
      <formula>H408</formula>
    </cfRule>
  </conditionalFormatting>
  <conditionalFormatting sqref="O413 M413 G413 K413 S413 U413 W413 I413 Q413">
    <cfRule type="cellIs" dxfId="3970" priority="4927" stopIfTrue="1" operator="notEqual">
      <formula>H413</formula>
    </cfRule>
  </conditionalFormatting>
  <conditionalFormatting sqref="O414 M414 G414 K414 S414 U414 W414 I414 Q414">
    <cfRule type="cellIs" dxfId="3969" priority="4926" stopIfTrue="1" operator="notEqual">
      <formula>H414</formula>
    </cfRule>
  </conditionalFormatting>
  <conditionalFormatting sqref="O412 M412 G412 K412 S412 U412 W412 I412 Q412">
    <cfRule type="cellIs" dxfId="3968" priority="4925" stopIfTrue="1" operator="notEqual">
      <formula>H412</formula>
    </cfRule>
  </conditionalFormatting>
  <conditionalFormatting sqref="O415 M415 G415 K415 S415 U415 W415 I415 Q415">
    <cfRule type="cellIs" dxfId="3967" priority="4924" stopIfTrue="1" operator="notEqual">
      <formula>H415</formula>
    </cfRule>
  </conditionalFormatting>
  <conditionalFormatting sqref="O416 M416 G416 K416 S416 U416 W416 I416 Q416">
    <cfRule type="cellIs" dxfId="3966" priority="4923" stopIfTrue="1" operator="notEqual">
      <formula>H416</formula>
    </cfRule>
  </conditionalFormatting>
  <conditionalFormatting sqref="O403 M403 G403 K403 S403 U403 W403 I403 Q403">
    <cfRule type="cellIs" dxfId="3965" priority="4922" stopIfTrue="1" operator="notEqual">
      <formula>H403</formula>
    </cfRule>
  </conditionalFormatting>
  <conditionalFormatting sqref="O404 M404 G404 K404 S404 U404 W404 I404 Q404">
    <cfRule type="cellIs" dxfId="3964" priority="4921" stopIfTrue="1" operator="notEqual">
      <formula>H404</formula>
    </cfRule>
  </conditionalFormatting>
  <conditionalFormatting sqref="O405 M405 G405 K405 S405 U405 W405 I405 Q405">
    <cfRule type="cellIs" dxfId="3963" priority="4920" stopIfTrue="1" operator="notEqual">
      <formula>H405</formula>
    </cfRule>
  </conditionalFormatting>
  <conditionalFormatting sqref="O406 M406 G406 K406 S406 U406 W406 I406 Q406">
    <cfRule type="cellIs" dxfId="3962" priority="4919" stopIfTrue="1" operator="notEqual">
      <formula>H406</formula>
    </cfRule>
  </conditionalFormatting>
  <conditionalFormatting sqref="O407 M407 G407 K407 S407 U407 W407 I407 Q407">
    <cfRule type="cellIs" dxfId="3961" priority="4918" stopIfTrue="1" operator="notEqual">
      <formula>H407</formula>
    </cfRule>
  </conditionalFormatting>
  <conditionalFormatting sqref="O408 M408 G408 K408 S408 U408 W408 I408 Q408">
    <cfRule type="cellIs" dxfId="3960" priority="4917" stopIfTrue="1" operator="notEqual">
      <formula>H408</formula>
    </cfRule>
  </conditionalFormatting>
  <conditionalFormatting sqref="O409 M409 G409 K409 S409 U409 W409 I409 Q409">
    <cfRule type="cellIs" dxfId="3959" priority="4916" stopIfTrue="1" operator="notEqual">
      <formula>H409</formula>
    </cfRule>
  </conditionalFormatting>
  <conditionalFormatting sqref="O410 M410 G410 K410 S410 U410 W410 I410 Q410">
    <cfRule type="cellIs" dxfId="3958" priority="4915" stopIfTrue="1" operator="notEqual">
      <formula>H410</formula>
    </cfRule>
  </conditionalFormatting>
  <conditionalFormatting sqref="O411 M411 G411 K411 S411 U411 W411 I411 Q411">
    <cfRule type="cellIs" dxfId="3957" priority="4914" stopIfTrue="1" operator="notEqual">
      <formula>H411</formula>
    </cfRule>
  </conditionalFormatting>
  <conditionalFormatting sqref="O412 M412 G412 K412 S412 U412 W412 I412 Q412">
    <cfRule type="cellIs" dxfId="3956" priority="4913" stopIfTrue="1" operator="notEqual">
      <formula>H412</formula>
    </cfRule>
  </conditionalFormatting>
  <conditionalFormatting sqref="G413">
    <cfRule type="cellIs" dxfId="3955" priority="4912" stopIfTrue="1" operator="notEqual">
      <formula>H413</formula>
    </cfRule>
  </conditionalFormatting>
  <conditionalFormatting sqref="G414">
    <cfRule type="cellIs" dxfId="3954" priority="4911" stopIfTrue="1" operator="notEqual">
      <formula>H414</formula>
    </cfRule>
  </conditionalFormatting>
  <conditionalFormatting sqref="G415">
    <cfRule type="cellIs" dxfId="3953" priority="4910" stopIfTrue="1" operator="notEqual">
      <formula>H415</formula>
    </cfRule>
  </conditionalFormatting>
  <conditionalFormatting sqref="G416">
    <cfRule type="cellIs" dxfId="3952" priority="4909" stopIfTrue="1" operator="notEqual">
      <formula>H416</formula>
    </cfRule>
  </conditionalFormatting>
  <conditionalFormatting sqref="G413">
    <cfRule type="cellIs" dxfId="3951" priority="4908" stopIfTrue="1" operator="notEqual">
      <formula>H413</formula>
    </cfRule>
  </conditionalFormatting>
  <conditionalFormatting sqref="G413">
    <cfRule type="cellIs" dxfId="3950" priority="4907" stopIfTrue="1" operator="notEqual">
      <formula>H413</formula>
    </cfRule>
  </conditionalFormatting>
  <conditionalFormatting sqref="G413">
    <cfRule type="cellIs" dxfId="3949" priority="4906" stopIfTrue="1" operator="notEqual">
      <formula>H413</formula>
    </cfRule>
  </conditionalFormatting>
  <conditionalFormatting sqref="G413">
    <cfRule type="cellIs" dxfId="3948" priority="4905" stopIfTrue="1" operator="notEqual">
      <formula>H413</formula>
    </cfRule>
  </conditionalFormatting>
  <conditionalFormatting sqref="G413">
    <cfRule type="cellIs" dxfId="3947" priority="4904" stopIfTrue="1" operator="notEqual">
      <formula>H413</formula>
    </cfRule>
  </conditionalFormatting>
  <conditionalFormatting sqref="G413">
    <cfRule type="cellIs" dxfId="3946" priority="4903" stopIfTrue="1" operator="notEqual">
      <formula>H413</formula>
    </cfRule>
  </conditionalFormatting>
  <conditionalFormatting sqref="O413 M413 G413 K413 S413 U413 W413 I413 Q413">
    <cfRule type="cellIs" dxfId="3945" priority="4902" stopIfTrue="1" operator="notEqual">
      <formula>H413</formula>
    </cfRule>
  </conditionalFormatting>
  <conditionalFormatting sqref="O414 M414 G414 K414 S414 U414 W414 I414 Q414">
    <cfRule type="cellIs" dxfId="3944" priority="4901" stopIfTrue="1" operator="notEqual">
      <formula>H414</formula>
    </cfRule>
  </conditionalFormatting>
  <conditionalFormatting sqref="O415 M415 G415 K415 S415 U415 W415 I415 Q415">
    <cfRule type="cellIs" dxfId="3943" priority="4900" stopIfTrue="1" operator="notEqual">
      <formula>H415</formula>
    </cfRule>
  </conditionalFormatting>
  <conditionalFormatting sqref="O416 M416 G416 K416 S416 U416 W416 I416 Q416">
    <cfRule type="cellIs" dxfId="3942" priority="4899" stopIfTrue="1" operator="notEqual">
      <formula>H416</formula>
    </cfRule>
  </conditionalFormatting>
  <conditionalFormatting sqref="O413 M413 G413 K413 S413 U413 W413 I413 Q413">
    <cfRule type="cellIs" dxfId="3941" priority="4898" stopIfTrue="1" operator="notEqual">
      <formula>H413</formula>
    </cfRule>
  </conditionalFormatting>
  <conditionalFormatting sqref="O414 M414 G414 K414 S414 U414 W414 I414 Q414">
    <cfRule type="cellIs" dxfId="3940" priority="4897" stopIfTrue="1" operator="notEqual">
      <formula>H414</formula>
    </cfRule>
  </conditionalFormatting>
  <conditionalFormatting sqref="O415 M415 G415 K415 S415 U415 W415 I415 Q415">
    <cfRule type="cellIs" dxfId="3939" priority="4896" stopIfTrue="1" operator="notEqual">
      <formula>H415</formula>
    </cfRule>
  </conditionalFormatting>
  <conditionalFormatting sqref="O413 M413 G413 K413 S413 U413 W413 I413 Q413">
    <cfRule type="cellIs" dxfId="3938" priority="4895" stopIfTrue="1" operator="notEqual">
      <formula>H413</formula>
    </cfRule>
  </conditionalFormatting>
  <conditionalFormatting sqref="O416 M416 G416 K416 S416 U416 W416 I416 Q416">
    <cfRule type="cellIs" dxfId="3937" priority="4894" stopIfTrue="1" operator="notEqual">
      <formula>H416</formula>
    </cfRule>
  </conditionalFormatting>
  <conditionalFormatting sqref="O403 M403 G403 K403 S403 U403 W403 I403 Q403">
    <cfRule type="cellIs" dxfId="3936" priority="4893" stopIfTrue="1" operator="notEqual">
      <formula>H403</formula>
    </cfRule>
  </conditionalFormatting>
  <conditionalFormatting sqref="O404 M404 G404 K404 S404 U404 W404 I404 Q404">
    <cfRule type="cellIs" dxfId="3935" priority="4892" stopIfTrue="1" operator="notEqual">
      <formula>H404</formula>
    </cfRule>
  </conditionalFormatting>
  <conditionalFormatting sqref="O405 M405 G405 K405 S405 U405 W405 I405 Q405">
    <cfRule type="cellIs" dxfId="3934" priority="4891" stopIfTrue="1" operator="notEqual">
      <formula>H405</formula>
    </cfRule>
  </conditionalFormatting>
  <conditionalFormatting sqref="O406 M406 G406 K406 S406 U406 W406 I406 Q406">
    <cfRule type="cellIs" dxfId="3933" priority="4890" stopIfTrue="1" operator="notEqual">
      <formula>H406</formula>
    </cfRule>
  </conditionalFormatting>
  <conditionalFormatting sqref="O407 M407 G407 K407 S407 U407 W407 I407 Q407">
    <cfRule type="cellIs" dxfId="3932" priority="4889" stopIfTrue="1" operator="notEqual">
      <formula>H407</formula>
    </cfRule>
  </conditionalFormatting>
  <conditionalFormatting sqref="O408 M408 G408 K408 S408 U408 W408 I408 Q408">
    <cfRule type="cellIs" dxfId="3931" priority="4888" stopIfTrue="1" operator="notEqual">
      <formula>H408</formula>
    </cfRule>
  </conditionalFormatting>
  <conditionalFormatting sqref="O409 M409 G409 K409 S409 U409 W409 I409 Q409">
    <cfRule type="cellIs" dxfId="3930" priority="4887" stopIfTrue="1" operator="notEqual">
      <formula>H409</formula>
    </cfRule>
  </conditionalFormatting>
  <conditionalFormatting sqref="O410 M410 G410 K410 S410 U410 W410 I410 Q410">
    <cfRule type="cellIs" dxfId="3929" priority="4886" stopIfTrue="1" operator="notEqual">
      <formula>H410</formula>
    </cfRule>
  </conditionalFormatting>
  <conditionalFormatting sqref="O411 M411 G411 K411 S411 U411 W411 I411 Q411">
    <cfRule type="cellIs" dxfId="3928" priority="4885" stopIfTrue="1" operator="notEqual">
      <formula>H411</formula>
    </cfRule>
  </conditionalFormatting>
  <conditionalFormatting sqref="O412 M412 G412 K412 S412 U412 W412 I412 Q412">
    <cfRule type="cellIs" dxfId="3927" priority="4884" stopIfTrue="1" operator="notEqual">
      <formula>H412</formula>
    </cfRule>
  </conditionalFormatting>
  <conditionalFormatting sqref="O413 M413 G413 K413 S413 U413 W413 I413 Q413">
    <cfRule type="cellIs" dxfId="3926" priority="4883" stopIfTrue="1" operator="notEqual">
      <formula>H413</formula>
    </cfRule>
  </conditionalFormatting>
  <conditionalFormatting sqref="O414 M414 G414 K414 S414 U414 W414 I414 Q414">
    <cfRule type="cellIs" dxfId="3925" priority="4882" stopIfTrue="1" operator="notEqual">
      <formula>H414</formula>
    </cfRule>
  </conditionalFormatting>
  <conditionalFormatting sqref="O415 M415 G415 K415 S415 U415 W415 I415 Q415">
    <cfRule type="cellIs" dxfId="3924" priority="4881" stopIfTrue="1" operator="notEqual">
      <formula>H415</formula>
    </cfRule>
  </conditionalFormatting>
  <conditionalFormatting sqref="O416 M416 G416 K416 S416 U416 W416 I416 Q416">
    <cfRule type="cellIs" dxfId="3923" priority="4880" stopIfTrue="1" operator="notEqual">
      <formula>H416</formula>
    </cfRule>
  </conditionalFormatting>
  <conditionalFormatting sqref="G424">
    <cfRule type="cellIs" dxfId="3922" priority="4879" stopIfTrue="1" operator="notEqual">
      <formula>H424</formula>
    </cfRule>
  </conditionalFormatting>
  <conditionalFormatting sqref="G417">
    <cfRule type="cellIs" dxfId="3921" priority="4878" stopIfTrue="1" operator="notEqual">
      <formula>H417</formula>
    </cfRule>
  </conditionalFormatting>
  <conditionalFormatting sqref="G418:G419">
    <cfRule type="cellIs" dxfId="3920" priority="4877" stopIfTrue="1" operator="notEqual">
      <formula>H418</formula>
    </cfRule>
  </conditionalFormatting>
  <conditionalFormatting sqref="G419">
    <cfRule type="cellIs" dxfId="3919" priority="4876" stopIfTrue="1" operator="notEqual">
      <formula>H419</formula>
    </cfRule>
  </conditionalFormatting>
  <conditionalFormatting sqref="G420">
    <cfRule type="cellIs" dxfId="3918" priority="4875" stopIfTrue="1" operator="notEqual">
      <formula>H420</formula>
    </cfRule>
  </conditionalFormatting>
  <conditionalFormatting sqref="G421">
    <cfRule type="cellIs" dxfId="3917" priority="4874" stopIfTrue="1" operator="notEqual">
      <formula>H421</formula>
    </cfRule>
  </conditionalFormatting>
  <conditionalFormatting sqref="G422:G430">
    <cfRule type="cellIs" dxfId="3916" priority="4873" stopIfTrue="1" operator="notEqual">
      <formula>H422</formula>
    </cfRule>
  </conditionalFormatting>
  <conditionalFormatting sqref="G423">
    <cfRule type="cellIs" dxfId="3915" priority="4872" stopIfTrue="1" operator="notEqual">
      <formula>H423</formula>
    </cfRule>
  </conditionalFormatting>
  <conditionalFormatting sqref="G417">
    <cfRule type="cellIs" dxfId="3914" priority="4871" stopIfTrue="1" operator="notEqual">
      <formula>H417</formula>
    </cfRule>
  </conditionalFormatting>
  <conditionalFormatting sqref="G418:G419">
    <cfRule type="cellIs" dxfId="3913" priority="4870" stopIfTrue="1" operator="notEqual">
      <formula>H418</formula>
    </cfRule>
  </conditionalFormatting>
  <conditionalFormatting sqref="G419">
    <cfRule type="cellIs" dxfId="3912" priority="4869" stopIfTrue="1" operator="notEqual">
      <formula>H419</formula>
    </cfRule>
  </conditionalFormatting>
  <conditionalFormatting sqref="G420">
    <cfRule type="cellIs" dxfId="3911" priority="4868" stopIfTrue="1" operator="notEqual">
      <formula>H420</formula>
    </cfRule>
  </conditionalFormatting>
  <conditionalFormatting sqref="G421">
    <cfRule type="cellIs" dxfId="3910" priority="4867" stopIfTrue="1" operator="notEqual">
      <formula>H421</formula>
    </cfRule>
  </conditionalFormatting>
  <conditionalFormatting sqref="G422:G430">
    <cfRule type="cellIs" dxfId="3909" priority="4866" stopIfTrue="1" operator="notEqual">
      <formula>H422</formula>
    </cfRule>
  </conditionalFormatting>
  <conditionalFormatting sqref="G423">
    <cfRule type="cellIs" dxfId="3908" priority="4865" stopIfTrue="1" operator="notEqual">
      <formula>H423</formula>
    </cfRule>
  </conditionalFormatting>
  <conditionalFormatting sqref="O417 M417 G417 K417 S417 U417 W417 I417 Q417">
    <cfRule type="cellIs" dxfId="3907" priority="4864" stopIfTrue="1" operator="notEqual">
      <formula>H417</formula>
    </cfRule>
  </conditionalFormatting>
  <conditionalFormatting sqref="O418:O419 M418:M419 G418:G419 K418:K419 S418:S419 U418:U419 W418:W419 I418:I419 Q418:Q419">
    <cfRule type="cellIs" dxfId="3906" priority="4863" stopIfTrue="1" operator="notEqual">
      <formula>H418</formula>
    </cfRule>
  </conditionalFormatting>
  <conditionalFormatting sqref="O419 M419 G419 K419 S419 U419 W419 I419 Q419">
    <cfRule type="cellIs" dxfId="3905" priority="4862" stopIfTrue="1" operator="notEqual">
      <formula>H419</formula>
    </cfRule>
  </conditionalFormatting>
  <conditionalFormatting sqref="O420 M420 G420 K420 S420 U420 W420 I420 Q420">
    <cfRule type="cellIs" dxfId="3904" priority="4861" stopIfTrue="1" operator="notEqual">
      <formula>H420</formula>
    </cfRule>
  </conditionalFormatting>
  <conditionalFormatting sqref="O421 M421 G421 K421 S421 U421 W421 I421 Q421">
    <cfRule type="cellIs" dxfId="3903" priority="4860" stopIfTrue="1" operator="notEqual">
      <formula>H421</formula>
    </cfRule>
  </conditionalFormatting>
  <conditionalFormatting sqref="O422:O430 M422:M430 G422:G430 K422:K430 S422:S430 U422:U430 W422:W430 I422:I430 Q422:Q430">
    <cfRule type="cellIs" dxfId="3902" priority="4859" stopIfTrue="1" operator="notEqual">
      <formula>H422</formula>
    </cfRule>
  </conditionalFormatting>
  <conditionalFormatting sqref="G422:G430">
    <cfRule type="cellIs" dxfId="3901" priority="4858" stopIfTrue="1" operator="notEqual">
      <formula>H422</formula>
    </cfRule>
  </conditionalFormatting>
  <conditionalFormatting sqref="G417">
    <cfRule type="cellIs" dxfId="3900" priority="4857" stopIfTrue="1" operator="notEqual">
      <formula>H417</formula>
    </cfRule>
  </conditionalFormatting>
  <conditionalFormatting sqref="G418:G419">
    <cfRule type="cellIs" dxfId="3899" priority="4856" stopIfTrue="1" operator="notEqual">
      <formula>H418</formula>
    </cfRule>
  </conditionalFormatting>
  <conditionalFormatting sqref="G419">
    <cfRule type="cellIs" dxfId="3898" priority="4855" stopIfTrue="1" operator="notEqual">
      <formula>H419</formula>
    </cfRule>
  </conditionalFormatting>
  <conditionalFormatting sqref="G420">
    <cfRule type="cellIs" dxfId="3897" priority="4854" stopIfTrue="1" operator="notEqual">
      <formula>H420</formula>
    </cfRule>
  </conditionalFormatting>
  <conditionalFormatting sqref="G421">
    <cfRule type="cellIs" dxfId="3896" priority="4853" stopIfTrue="1" operator="notEqual">
      <formula>H421</formula>
    </cfRule>
  </conditionalFormatting>
  <conditionalFormatting sqref="G423">
    <cfRule type="cellIs" dxfId="3895" priority="4852" stopIfTrue="1" operator="notEqual">
      <formula>H423</formula>
    </cfRule>
  </conditionalFormatting>
  <conditionalFormatting sqref="O418:O430 M418:M430 G418:G430 K418:K430 S418:S430 U418:U430 W418:W430 I418:I430 Q418:Q430">
    <cfRule type="cellIs" dxfId="3894" priority="4851" stopIfTrue="1" operator="notEqual">
      <formula>H418</formula>
    </cfRule>
  </conditionalFormatting>
  <conditionalFormatting sqref="O417 M417 G417 K417 S417 U417 W417 I417 Q417">
    <cfRule type="cellIs" dxfId="3893" priority="4850" stopIfTrue="1" operator="notEqual">
      <formula>H417</formula>
    </cfRule>
  </conditionalFormatting>
  <conditionalFormatting sqref="O420 M420 G420 K420 S420 U420 W420 I420 Q420">
    <cfRule type="cellIs" dxfId="3892" priority="4849" stopIfTrue="1" operator="notEqual">
      <formula>H420</formula>
    </cfRule>
  </conditionalFormatting>
  <conditionalFormatting sqref="O421 M421 G421 K421 S421 U421 W421 I421 Q421">
    <cfRule type="cellIs" dxfId="3891" priority="4848" stopIfTrue="1" operator="notEqual">
      <formula>H421</formula>
    </cfRule>
  </conditionalFormatting>
  <conditionalFormatting sqref="O421 M421 G421 K421 S421 U421 W421 I421 Q421">
    <cfRule type="cellIs" dxfId="3890" priority="4847" stopIfTrue="1" operator="notEqual">
      <formula>H421</formula>
    </cfRule>
  </conditionalFormatting>
  <conditionalFormatting sqref="O419 M419 G419 K419 S419 U419 W419 I419 Q419">
    <cfRule type="cellIs" dxfId="3889" priority="4846" stopIfTrue="1" operator="notEqual">
      <formula>H419</formula>
    </cfRule>
  </conditionalFormatting>
  <conditionalFormatting sqref="O423 M423 G423 K423 S423 U423 W423 I423 Q423">
    <cfRule type="cellIs" dxfId="3888" priority="4845" stopIfTrue="1" operator="notEqual">
      <formula>H423</formula>
    </cfRule>
  </conditionalFormatting>
  <conditionalFormatting sqref="O417 M417 G417 K417 S417 U417 W417 I417 Q417">
    <cfRule type="cellIs" dxfId="3887" priority="4844" stopIfTrue="1" operator="notEqual">
      <formula>H417</formula>
    </cfRule>
  </conditionalFormatting>
  <conditionalFormatting sqref="O418:O419 M418:M419 G418:G419 K418:K419 S418:S419 U418:U419 W418:W419 I418:I419 Q418:Q419">
    <cfRule type="cellIs" dxfId="3886" priority="4843" stopIfTrue="1" operator="notEqual">
      <formula>H418</formula>
    </cfRule>
  </conditionalFormatting>
  <conditionalFormatting sqref="O419 M419 G419 K419 S419 U419 W419 I419 Q419">
    <cfRule type="cellIs" dxfId="3885" priority="4842" stopIfTrue="1" operator="notEqual">
      <formula>H419</formula>
    </cfRule>
  </conditionalFormatting>
  <conditionalFormatting sqref="O420 M420 G420 K420 S420 U420 W420 I420 Q420">
    <cfRule type="cellIs" dxfId="3884" priority="4841" stopIfTrue="1" operator="notEqual">
      <formula>H420</formula>
    </cfRule>
  </conditionalFormatting>
  <conditionalFormatting sqref="O421 M421 G421 K421 S421 U421 W421 I421 Q421">
    <cfRule type="cellIs" dxfId="3883" priority="4840" stopIfTrue="1" operator="notEqual">
      <formula>H421</formula>
    </cfRule>
  </conditionalFormatting>
  <conditionalFormatting sqref="O422:O430 M422:M430 G422:G430 K422:K430 S422:S430 U422:U430 W422:W430 I422:I430 Q422:Q430">
    <cfRule type="cellIs" dxfId="3882" priority="4839" stopIfTrue="1" operator="notEqual">
      <formula>H422</formula>
    </cfRule>
  </conditionalFormatting>
  <conditionalFormatting sqref="O423 M423 G423 K423 S423 U423 W423 I423 Q423">
    <cfRule type="cellIs" dxfId="3881" priority="4838" stopIfTrue="1" operator="notEqual">
      <formula>H423</formula>
    </cfRule>
  </conditionalFormatting>
  <conditionalFormatting sqref="G417">
    <cfRule type="cellIs" dxfId="3880" priority="4837" stopIfTrue="1" operator="notEqual">
      <formula>H417</formula>
    </cfRule>
  </conditionalFormatting>
  <conditionalFormatting sqref="G418:G419">
    <cfRule type="cellIs" dxfId="3879" priority="4836" stopIfTrue="1" operator="notEqual">
      <formula>H418</formula>
    </cfRule>
  </conditionalFormatting>
  <conditionalFormatting sqref="G419">
    <cfRule type="cellIs" dxfId="3878" priority="4835" stopIfTrue="1" operator="notEqual">
      <formula>H419</formula>
    </cfRule>
  </conditionalFormatting>
  <conditionalFormatting sqref="G420">
    <cfRule type="cellIs" dxfId="3877" priority="4834" stopIfTrue="1" operator="notEqual">
      <formula>H420</formula>
    </cfRule>
  </conditionalFormatting>
  <conditionalFormatting sqref="G421">
    <cfRule type="cellIs" dxfId="3876" priority="4833" stopIfTrue="1" operator="notEqual">
      <formula>H421</formula>
    </cfRule>
  </conditionalFormatting>
  <conditionalFormatting sqref="G422:G430">
    <cfRule type="cellIs" dxfId="3875" priority="4832" stopIfTrue="1" operator="notEqual">
      <formula>H422</formula>
    </cfRule>
  </conditionalFormatting>
  <conditionalFormatting sqref="G423">
    <cfRule type="cellIs" dxfId="3874" priority="4831" stopIfTrue="1" operator="notEqual">
      <formula>H423</formula>
    </cfRule>
  </conditionalFormatting>
  <conditionalFormatting sqref="G424">
    <cfRule type="cellIs" dxfId="3873" priority="4830" stopIfTrue="1" operator="notEqual">
      <formula>H424</formula>
    </cfRule>
  </conditionalFormatting>
  <conditionalFormatting sqref="G425">
    <cfRule type="cellIs" dxfId="3872" priority="4829" stopIfTrue="1" operator="notEqual">
      <formula>H425</formula>
    </cfRule>
  </conditionalFormatting>
  <conditionalFormatting sqref="G426">
    <cfRule type="cellIs" dxfId="3871" priority="4828" stopIfTrue="1" operator="notEqual">
      <formula>H426</formula>
    </cfRule>
  </conditionalFormatting>
  <conditionalFormatting sqref="G427">
    <cfRule type="cellIs" dxfId="3870" priority="4827" stopIfTrue="1" operator="notEqual">
      <formula>H427</formula>
    </cfRule>
  </conditionalFormatting>
  <conditionalFormatting sqref="G428">
    <cfRule type="cellIs" dxfId="3869" priority="4826" stopIfTrue="1" operator="notEqual">
      <formula>H428</formula>
    </cfRule>
  </conditionalFormatting>
  <conditionalFormatting sqref="G429">
    <cfRule type="cellIs" dxfId="3868" priority="4825" stopIfTrue="1" operator="notEqual">
      <formula>H429</formula>
    </cfRule>
  </conditionalFormatting>
  <conditionalFormatting sqref="G430">
    <cfRule type="cellIs" dxfId="3867" priority="4824" stopIfTrue="1" operator="notEqual">
      <formula>H430</formula>
    </cfRule>
  </conditionalFormatting>
  <conditionalFormatting sqref="G431">
    <cfRule type="cellIs" dxfId="3866" priority="4823" stopIfTrue="1" operator="notEqual">
      <formula>H431</formula>
    </cfRule>
  </conditionalFormatting>
  <conditionalFormatting sqref="O417 M417 G417 K417 S417 U417 W417 I417 Q417">
    <cfRule type="cellIs" dxfId="3865" priority="4817" stopIfTrue="1" operator="notEqual">
      <formula>H417</formula>
    </cfRule>
  </conditionalFormatting>
  <conditionalFormatting sqref="O418:O419 M418:M419 G418:G419 K418:K419 S418:S419 U418:U419 W418:W419 I418:I419 Q418:Q419">
    <cfRule type="cellIs" dxfId="3864" priority="4816" stopIfTrue="1" operator="notEqual">
      <formula>H418</formula>
    </cfRule>
  </conditionalFormatting>
  <conditionalFormatting sqref="O419 M419 G419 K419 S419 U419 W419 I419 Q419">
    <cfRule type="cellIs" dxfId="3863" priority="4815" stopIfTrue="1" operator="notEqual">
      <formula>H419</formula>
    </cfRule>
  </conditionalFormatting>
  <conditionalFormatting sqref="O420 M420 G420 K420 S420 U420 W420 I420 Q420">
    <cfRule type="cellIs" dxfId="3862" priority="4814" stopIfTrue="1" operator="notEqual">
      <formula>H420</formula>
    </cfRule>
  </conditionalFormatting>
  <conditionalFormatting sqref="O421 M421 G421 K421 S421 U421 W421 I421 Q421">
    <cfRule type="cellIs" dxfId="3861" priority="4813" stopIfTrue="1" operator="notEqual">
      <formula>H421</formula>
    </cfRule>
  </conditionalFormatting>
  <conditionalFormatting sqref="O422:O430 M422:M430 G422:G430 K422:K430 S422:S430 U422:U430 W422:W430 I422:I430 Q422:Q430">
    <cfRule type="cellIs" dxfId="3860" priority="4812" stopIfTrue="1" operator="notEqual">
      <formula>H422</formula>
    </cfRule>
  </conditionalFormatting>
  <conditionalFormatting sqref="O423 M423 G423 K423 S423 U423 W423 I423 Q423">
    <cfRule type="cellIs" dxfId="3859" priority="4811" stopIfTrue="1" operator="notEqual">
      <formula>H423</formula>
    </cfRule>
  </conditionalFormatting>
  <conditionalFormatting sqref="O424 M424 G424 K424 S424 U424 W424 I424 Q424">
    <cfRule type="cellIs" dxfId="3858" priority="4810" stopIfTrue="1" operator="notEqual">
      <formula>H424</formula>
    </cfRule>
  </conditionalFormatting>
  <conditionalFormatting sqref="O425 M425 G425 K425 S425 U425 W425 I425 Q425">
    <cfRule type="cellIs" dxfId="3857" priority="4809" stopIfTrue="1" operator="notEqual">
      <formula>H425</formula>
    </cfRule>
  </conditionalFormatting>
  <conditionalFormatting sqref="O426 M426 G426 K426 S426 U426 W426 I426 Q426">
    <cfRule type="cellIs" dxfId="3856" priority="4808" stopIfTrue="1" operator="notEqual">
      <formula>H426</formula>
    </cfRule>
  </conditionalFormatting>
  <conditionalFormatting sqref="O427 M427 G427 K427 S427 U427 W427 I427 Q427">
    <cfRule type="cellIs" dxfId="3855" priority="4807" stopIfTrue="1" operator="notEqual">
      <formula>H427</formula>
    </cfRule>
  </conditionalFormatting>
  <conditionalFormatting sqref="G427:G428">
    <cfRule type="cellIs" dxfId="3854" priority="4806" stopIfTrue="1" operator="notEqual">
      <formula>H427</formula>
    </cfRule>
  </conditionalFormatting>
  <conditionalFormatting sqref="G417">
    <cfRule type="cellIs" dxfId="3853" priority="4805" stopIfTrue="1" operator="notEqual">
      <formula>H417</formula>
    </cfRule>
  </conditionalFormatting>
  <conditionalFormatting sqref="G418:G419">
    <cfRule type="cellIs" dxfId="3852" priority="4804" stopIfTrue="1" operator="notEqual">
      <formula>H418</formula>
    </cfRule>
  </conditionalFormatting>
  <conditionalFormatting sqref="G419">
    <cfRule type="cellIs" dxfId="3851" priority="4803" stopIfTrue="1" operator="notEqual">
      <formula>H419</formula>
    </cfRule>
  </conditionalFormatting>
  <conditionalFormatting sqref="G420">
    <cfRule type="cellIs" dxfId="3850" priority="4802" stopIfTrue="1" operator="notEqual">
      <formula>H420</formula>
    </cfRule>
  </conditionalFormatting>
  <conditionalFormatting sqref="G421">
    <cfRule type="cellIs" dxfId="3849" priority="4801" stopIfTrue="1" operator="notEqual">
      <formula>H421</formula>
    </cfRule>
  </conditionalFormatting>
  <conditionalFormatting sqref="G422:G430">
    <cfRule type="cellIs" dxfId="3848" priority="4800" stopIfTrue="1" operator="notEqual">
      <formula>H422</formula>
    </cfRule>
  </conditionalFormatting>
  <conditionalFormatting sqref="G423">
    <cfRule type="cellIs" dxfId="3847" priority="4799" stopIfTrue="1" operator="notEqual">
      <formula>H423</formula>
    </cfRule>
  </conditionalFormatting>
  <conditionalFormatting sqref="G424">
    <cfRule type="cellIs" dxfId="3846" priority="4798" stopIfTrue="1" operator="notEqual">
      <formula>H424</formula>
    </cfRule>
  </conditionalFormatting>
  <conditionalFormatting sqref="G425">
    <cfRule type="cellIs" dxfId="3845" priority="4797" stopIfTrue="1" operator="notEqual">
      <formula>H425</formula>
    </cfRule>
  </conditionalFormatting>
  <conditionalFormatting sqref="G426">
    <cfRule type="cellIs" dxfId="3844" priority="4796" stopIfTrue="1" operator="notEqual">
      <formula>H426</formula>
    </cfRule>
  </conditionalFormatting>
  <conditionalFormatting sqref="G428">
    <cfRule type="cellIs" dxfId="3843" priority="4795" stopIfTrue="1" operator="notEqual">
      <formula>H428</formula>
    </cfRule>
  </conditionalFormatting>
  <conditionalFormatting sqref="O423:O428 M423:M428 G423:G428 K423:K428 S423:S428 U423:U428 W423:W428 I423:I428 Q423:Q428">
    <cfRule type="cellIs" dxfId="3842" priority="4794" stopIfTrue="1" operator="notEqual">
      <formula>H423</formula>
    </cfRule>
  </conditionalFormatting>
  <conditionalFormatting sqref="O417 M417 G417 K417 S417 U417 W417 I417 Q417">
    <cfRule type="cellIs" dxfId="3841" priority="4793" stopIfTrue="1" operator="notEqual">
      <formula>H417</formula>
    </cfRule>
  </conditionalFormatting>
  <conditionalFormatting sqref="O418:O419 M418:M419 G418:G419 K418:K419 S418:S419 U418:U419 W418:W419 I418:I419 Q418:Q419">
    <cfRule type="cellIs" dxfId="3840" priority="4792" stopIfTrue="1" operator="notEqual">
      <formula>H418</formula>
    </cfRule>
  </conditionalFormatting>
  <conditionalFormatting sqref="O419 M419 G419 K419 S419 U419 W419 I419 Q419">
    <cfRule type="cellIs" dxfId="3839" priority="4791" stopIfTrue="1" operator="notEqual">
      <formula>H419</formula>
    </cfRule>
  </conditionalFormatting>
  <conditionalFormatting sqref="O420 M420 G420 K420 S420 U420 W420 I420 Q420">
    <cfRule type="cellIs" dxfId="3838" priority="4790" stopIfTrue="1" operator="notEqual">
      <formula>H420</formula>
    </cfRule>
  </conditionalFormatting>
  <conditionalFormatting sqref="O421 M421 G421 K421 S421 U421 W421 I421 Q421">
    <cfRule type="cellIs" dxfId="3837" priority="4789" stopIfTrue="1" operator="notEqual">
      <formula>H421</formula>
    </cfRule>
  </conditionalFormatting>
  <conditionalFormatting sqref="O422:O430 M422:M430 G422:G430 K422:K430 S422:S430 U422:U430 W422:W430 I422:I430 Q422:Q430">
    <cfRule type="cellIs" dxfId="3836" priority="4788" stopIfTrue="1" operator="notEqual">
      <formula>H422</formula>
    </cfRule>
  </conditionalFormatting>
  <conditionalFormatting sqref="O425 M425 G425 K425 S425 U425 W425 I425 Q425">
    <cfRule type="cellIs" dxfId="3835" priority="4787" stopIfTrue="1" operator="notEqual">
      <formula>H425</formula>
    </cfRule>
  </conditionalFormatting>
  <conditionalFormatting sqref="O426 M426 G426 K426 S426 U426 W426 I426 Q426">
    <cfRule type="cellIs" dxfId="3834" priority="4786" stopIfTrue="1" operator="notEqual">
      <formula>H426</formula>
    </cfRule>
  </conditionalFormatting>
  <conditionalFormatting sqref="O426 M426 G426 K426 S426 U426 W426 I426 Q426">
    <cfRule type="cellIs" dxfId="3833" priority="4785" stopIfTrue="1" operator="notEqual">
      <formula>H426</formula>
    </cfRule>
  </conditionalFormatting>
  <conditionalFormatting sqref="O424 M424 G424 K424 S424 U424 W424 I424 Q424">
    <cfRule type="cellIs" dxfId="3832" priority="4784" stopIfTrue="1" operator="notEqual">
      <formula>H424</formula>
    </cfRule>
  </conditionalFormatting>
  <conditionalFormatting sqref="O428 M428 G428 K428 S428 U428 W428 I428 Q428">
    <cfRule type="cellIs" dxfId="3831" priority="4783" stopIfTrue="1" operator="notEqual">
      <formula>H428</formula>
    </cfRule>
  </conditionalFormatting>
  <conditionalFormatting sqref="O417 M417 G417 K417 S417 U417 W417 I417 Q417">
    <cfRule type="cellIs" dxfId="3830" priority="4782" stopIfTrue="1" operator="notEqual">
      <formula>H417</formula>
    </cfRule>
  </conditionalFormatting>
  <conditionalFormatting sqref="O418:O419 M418:M419 G418:G419 K418:K419 S418:S419 U418:U419 W418:W419 I418:I419 Q418:Q419">
    <cfRule type="cellIs" dxfId="3829" priority="4781" stopIfTrue="1" operator="notEqual">
      <formula>H418</formula>
    </cfRule>
  </conditionalFormatting>
  <conditionalFormatting sqref="O419 M419 G419 K419 S419 U419 W419 I419 Q419">
    <cfRule type="cellIs" dxfId="3828" priority="4780" stopIfTrue="1" operator="notEqual">
      <formula>H419</formula>
    </cfRule>
  </conditionalFormatting>
  <conditionalFormatting sqref="O420 M420 G420 K420 S420 U420 W420 I420 Q420">
    <cfRule type="cellIs" dxfId="3827" priority="4779" stopIfTrue="1" operator="notEqual">
      <formula>H420</formula>
    </cfRule>
  </conditionalFormatting>
  <conditionalFormatting sqref="O421 M421 G421 K421 S421 U421 W421 I421 Q421">
    <cfRule type="cellIs" dxfId="3826" priority="4778" stopIfTrue="1" operator="notEqual">
      <formula>H421</formula>
    </cfRule>
  </conditionalFormatting>
  <conditionalFormatting sqref="O422:O430 M422:M430 G422:G430 K422:K430 S422:S430 U422:U430 W422:W430 I422:I430 Q422:Q430">
    <cfRule type="cellIs" dxfId="3825" priority="4777" stopIfTrue="1" operator="notEqual">
      <formula>H422</formula>
    </cfRule>
  </conditionalFormatting>
  <conditionalFormatting sqref="O423 M423 G423 K423 S423 U423 W423 I423 Q423">
    <cfRule type="cellIs" dxfId="3824" priority="4776" stopIfTrue="1" operator="notEqual">
      <formula>H423</formula>
    </cfRule>
  </conditionalFormatting>
  <conditionalFormatting sqref="O424 M424 G424 K424 S424 U424 W424 I424 Q424">
    <cfRule type="cellIs" dxfId="3823" priority="4775" stopIfTrue="1" operator="notEqual">
      <formula>H424</formula>
    </cfRule>
  </conditionalFormatting>
  <conditionalFormatting sqref="O425 M425 G425 K425 S425 U425 W425 I425 Q425">
    <cfRule type="cellIs" dxfId="3822" priority="4774" stopIfTrue="1" operator="notEqual">
      <formula>H425</formula>
    </cfRule>
  </conditionalFormatting>
  <conditionalFormatting sqref="O426 M426 G426 K426 S426 U426 W426 I426 Q426">
    <cfRule type="cellIs" dxfId="3821" priority="4773" stopIfTrue="1" operator="notEqual">
      <formula>H426</formula>
    </cfRule>
  </conditionalFormatting>
  <conditionalFormatting sqref="O427 M427 G427 K427 S427 U427 W427 I427 Q427">
    <cfRule type="cellIs" dxfId="3820" priority="4772" stopIfTrue="1" operator="notEqual">
      <formula>H427</formula>
    </cfRule>
  </conditionalFormatting>
  <conditionalFormatting sqref="O428 M428 G428 K428 S428 U428 W428 I428 Q428">
    <cfRule type="cellIs" dxfId="3819" priority="4771" stopIfTrue="1" operator="notEqual">
      <formula>H428</formula>
    </cfRule>
  </conditionalFormatting>
  <conditionalFormatting sqref="G428:G431">
    <cfRule type="cellIs" dxfId="3818" priority="4770" stopIfTrue="1" operator="notEqual">
      <formula>H428</formula>
    </cfRule>
  </conditionalFormatting>
  <conditionalFormatting sqref="G428">
    <cfRule type="cellIs" dxfId="3817" priority="4769" stopIfTrue="1" operator="notEqual">
      <formula>H428</formula>
    </cfRule>
  </conditionalFormatting>
  <conditionalFormatting sqref="G429">
    <cfRule type="cellIs" dxfId="3816" priority="4768" stopIfTrue="1" operator="notEqual">
      <formula>H429</formula>
    </cfRule>
  </conditionalFormatting>
  <conditionalFormatting sqref="G429">
    <cfRule type="cellIs" dxfId="3815" priority="4767" stopIfTrue="1" operator="notEqual">
      <formula>H429</formula>
    </cfRule>
  </conditionalFormatting>
  <conditionalFormatting sqref="G431">
    <cfRule type="cellIs" dxfId="3814" priority="4764" stopIfTrue="1" operator="notEqual">
      <formula>H431</formula>
    </cfRule>
  </conditionalFormatting>
  <conditionalFormatting sqref="O428 M428 G428 K428 S428 U428 W428 I428 Q428">
    <cfRule type="cellIs" dxfId="3813" priority="4760" stopIfTrue="1" operator="notEqual">
      <formula>H428</formula>
    </cfRule>
  </conditionalFormatting>
  <conditionalFormatting sqref="O429 M429 G429 K429 S429 U429 W429 I429 Q429">
    <cfRule type="cellIs" dxfId="3812" priority="4759" stopIfTrue="1" operator="notEqual">
      <formula>H429</formula>
    </cfRule>
  </conditionalFormatting>
  <conditionalFormatting sqref="O430 M430 G430 K430 S430 U430 W430 I430 Q430">
    <cfRule type="cellIs" dxfId="3811" priority="4758" stopIfTrue="1" operator="notEqual">
      <formula>H430</formula>
    </cfRule>
  </conditionalFormatting>
  <conditionalFormatting sqref="O431 M431 G431 K431 S431 U431 W431 I431 Q431">
    <cfRule type="cellIs" dxfId="3810" priority="4757" stopIfTrue="1" operator="notEqual">
      <formula>H431</formula>
    </cfRule>
  </conditionalFormatting>
  <conditionalFormatting sqref="G428">
    <cfRule type="cellIs" dxfId="3809" priority="4751" stopIfTrue="1" operator="notEqual">
      <formula>H428</formula>
    </cfRule>
  </conditionalFormatting>
  <conditionalFormatting sqref="G429">
    <cfRule type="cellIs" dxfId="3808" priority="4750" stopIfTrue="1" operator="notEqual">
      <formula>H429</formula>
    </cfRule>
  </conditionalFormatting>
  <conditionalFormatting sqref="G430">
    <cfRule type="cellIs" dxfId="3807" priority="4749" stopIfTrue="1" operator="notEqual">
      <formula>H430</formula>
    </cfRule>
  </conditionalFormatting>
  <conditionalFormatting sqref="G431">
    <cfRule type="cellIs" dxfId="3806" priority="4748" stopIfTrue="1" operator="notEqual">
      <formula>H431</formula>
    </cfRule>
  </conditionalFormatting>
  <conditionalFormatting sqref="G428">
    <cfRule type="cellIs" dxfId="3805" priority="4742" stopIfTrue="1" operator="notEqual">
      <formula>H428</formula>
    </cfRule>
  </conditionalFormatting>
  <conditionalFormatting sqref="G428">
    <cfRule type="cellIs" dxfId="3804" priority="4741" stopIfTrue="1" operator="notEqual">
      <formula>H428</formula>
    </cfRule>
  </conditionalFormatting>
  <conditionalFormatting sqref="G428">
    <cfRule type="cellIs" dxfId="3803" priority="4740" stopIfTrue="1" operator="notEqual">
      <formula>H428</formula>
    </cfRule>
  </conditionalFormatting>
  <conditionalFormatting sqref="G428">
    <cfRule type="cellIs" dxfId="3802" priority="4739" stopIfTrue="1" operator="notEqual">
      <formula>H428</formula>
    </cfRule>
  </conditionalFormatting>
  <conditionalFormatting sqref="G428">
    <cfRule type="cellIs" dxfId="3801" priority="4738" stopIfTrue="1" operator="notEqual">
      <formula>H428</formula>
    </cfRule>
  </conditionalFormatting>
  <conditionalFormatting sqref="G428">
    <cfRule type="cellIs" dxfId="3800" priority="4737" stopIfTrue="1" operator="notEqual">
      <formula>H428</formula>
    </cfRule>
  </conditionalFormatting>
  <conditionalFormatting sqref="O428 M428 G428 K428 S428 U428 W428 I428 Q428">
    <cfRule type="cellIs" dxfId="3799" priority="4736" stopIfTrue="1" operator="notEqual">
      <formula>H428</formula>
    </cfRule>
  </conditionalFormatting>
  <conditionalFormatting sqref="O429 M429 G429 K429 S429 U429 W429 I429 Q429">
    <cfRule type="cellIs" dxfId="3798" priority="4735" stopIfTrue="1" operator="notEqual">
      <formula>H429</formula>
    </cfRule>
  </conditionalFormatting>
  <conditionalFormatting sqref="O430 M430 G430 K430 S430 U430 W430 I430 Q430">
    <cfRule type="cellIs" dxfId="3797" priority="4734" stopIfTrue="1" operator="notEqual">
      <formula>H430</formula>
    </cfRule>
  </conditionalFormatting>
  <conditionalFormatting sqref="O431 M431 G431 K431 S431 U431 W431 I431 Q431">
    <cfRule type="cellIs" dxfId="3796" priority="4733" stopIfTrue="1" operator="notEqual">
      <formula>H431</formula>
    </cfRule>
  </conditionalFormatting>
  <conditionalFormatting sqref="O428 M428 G428 K428 S428 U428 W428 I428 Q428">
    <cfRule type="cellIs" dxfId="3795" priority="4727" stopIfTrue="1" operator="notEqual">
      <formula>H428</formula>
    </cfRule>
  </conditionalFormatting>
  <conditionalFormatting sqref="O429 M429 G429 K429 S429 U429 W429 I429 Q429">
    <cfRule type="cellIs" dxfId="3794" priority="4726" stopIfTrue="1" operator="notEqual">
      <formula>H429</formula>
    </cfRule>
  </conditionalFormatting>
  <conditionalFormatting sqref="O430 M430 G430 K430 S430 U430 W430 I430 Q430">
    <cfRule type="cellIs" dxfId="3793" priority="4725" stopIfTrue="1" operator="notEqual">
      <formula>H430</formula>
    </cfRule>
  </conditionalFormatting>
  <conditionalFormatting sqref="O428 M428 G428 K428 S428 U428 W428 I428 Q428">
    <cfRule type="cellIs" dxfId="3792" priority="4724" stopIfTrue="1" operator="notEqual">
      <formula>H428</formula>
    </cfRule>
  </conditionalFormatting>
  <conditionalFormatting sqref="O431 M431 G431 K431 S431 U431 W431 I431 Q431">
    <cfRule type="cellIs" dxfId="3791" priority="4723" stopIfTrue="1" operator="notEqual">
      <formula>H431</formula>
    </cfRule>
  </conditionalFormatting>
  <conditionalFormatting sqref="G417">
    <cfRule type="cellIs" dxfId="3790" priority="4716" stopIfTrue="1" operator="notEqual">
      <formula>H417</formula>
    </cfRule>
  </conditionalFormatting>
  <conditionalFormatting sqref="G418:G419">
    <cfRule type="cellIs" dxfId="3789" priority="4715" stopIfTrue="1" operator="notEqual">
      <formula>H418</formula>
    </cfRule>
  </conditionalFormatting>
  <conditionalFormatting sqref="G419">
    <cfRule type="cellIs" dxfId="3788" priority="4714" stopIfTrue="1" operator="notEqual">
      <formula>H419</formula>
    </cfRule>
  </conditionalFormatting>
  <conditionalFormatting sqref="G420">
    <cfRule type="cellIs" dxfId="3787" priority="4713" stopIfTrue="1" operator="notEqual">
      <formula>H420</formula>
    </cfRule>
  </conditionalFormatting>
  <conditionalFormatting sqref="G421">
    <cfRule type="cellIs" dxfId="3786" priority="4712" stopIfTrue="1" operator="notEqual">
      <formula>H421</formula>
    </cfRule>
  </conditionalFormatting>
  <conditionalFormatting sqref="G422:G430">
    <cfRule type="cellIs" dxfId="3785" priority="4711" stopIfTrue="1" operator="notEqual">
      <formula>H422</formula>
    </cfRule>
  </conditionalFormatting>
  <conditionalFormatting sqref="G423">
    <cfRule type="cellIs" dxfId="3784" priority="4710" stopIfTrue="1" operator="notEqual">
      <formula>H423</formula>
    </cfRule>
  </conditionalFormatting>
  <conditionalFormatting sqref="G424">
    <cfRule type="cellIs" dxfId="3783" priority="4709" stopIfTrue="1" operator="notEqual">
      <formula>H424</formula>
    </cfRule>
  </conditionalFormatting>
  <conditionalFormatting sqref="G425">
    <cfRule type="cellIs" dxfId="3782" priority="4708" stopIfTrue="1" operator="notEqual">
      <formula>H425</formula>
    </cfRule>
  </conditionalFormatting>
  <conditionalFormatting sqref="G426">
    <cfRule type="cellIs" dxfId="3781" priority="4707" stopIfTrue="1" operator="notEqual">
      <formula>H426</formula>
    </cfRule>
  </conditionalFormatting>
  <conditionalFormatting sqref="G427">
    <cfRule type="cellIs" dxfId="3780" priority="4706" stopIfTrue="1" operator="notEqual">
      <formula>H427</formula>
    </cfRule>
  </conditionalFormatting>
  <conditionalFormatting sqref="G428">
    <cfRule type="cellIs" dxfId="3779" priority="4705" stopIfTrue="1" operator="notEqual">
      <formula>H428</formula>
    </cfRule>
  </conditionalFormatting>
  <conditionalFormatting sqref="G429">
    <cfRule type="cellIs" dxfId="3778" priority="4704" stopIfTrue="1" operator="notEqual">
      <formula>H429</formula>
    </cfRule>
  </conditionalFormatting>
  <conditionalFormatting sqref="G430">
    <cfRule type="cellIs" dxfId="3777" priority="4703" stopIfTrue="1" operator="notEqual">
      <formula>H430</formula>
    </cfRule>
  </conditionalFormatting>
  <conditionalFormatting sqref="G417">
    <cfRule type="cellIs" dxfId="3776" priority="4702" stopIfTrue="1" operator="notEqual">
      <formula>H417</formula>
    </cfRule>
  </conditionalFormatting>
  <conditionalFormatting sqref="G417">
    <cfRule type="cellIs" dxfId="3775" priority="4701" stopIfTrue="1" operator="notEqual">
      <formula>H417</formula>
    </cfRule>
  </conditionalFormatting>
  <conditionalFormatting sqref="G417">
    <cfRule type="cellIs" dxfId="3774" priority="4700" stopIfTrue="1" operator="notEqual">
      <formula>H417</formula>
    </cfRule>
  </conditionalFormatting>
  <conditionalFormatting sqref="G417">
    <cfRule type="cellIs" dxfId="3773" priority="4699" stopIfTrue="1" operator="notEqual">
      <formula>H417</formula>
    </cfRule>
  </conditionalFormatting>
  <conditionalFormatting sqref="G417">
    <cfRule type="cellIs" dxfId="3772" priority="4698" stopIfTrue="1" operator="notEqual">
      <formula>H417</formula>
    </cfRule>
  </conditionalFormatting>
  <conditionalFormatting sqref="G417">
    <cfRule type="cellIs" dxfId="3771" priority="4697" stopIfTrue="1" operator="notEqual">
      <formula>H417</formula>
    </cfRule>
  </conditionalFormatting>
  <conditionalFormatting sqref="O417 M417 G417 K417 S417 U417 W417 I417 Q417">
    <cfRule type="cellIs" dxfId="3770" priority="4690" stopIfTrue="1" operator="notEqual">
      <formula>H417</formula>
    </cfRule>
  </conditionalFormatting>
  <conditionalFormatting sqref="O418:O419 M418:M419 G418:G419 K418:K419 S418:S419 U418:U419 W418:W419 I418:I419 Q418:Q419">
    <cfRule type="cellIs" dxfId="3769" priority="4689" stopIfTrue="1" operator="notEqual">
      <formula>H418</formula>
    </cfRule>
  </conditionalFormatting>
  <conditionalFormatting sqref="O419 M419 G419 K419 S419 U419 W419 I419 Q419">
    <cfRule type="cellIs" dxfId="3768" priority="4688" stopIfTrue="1" operator="notEqual">
      <formula>H419</formula>
    </cfRule>
  </conditionalFormatting>
  <conditionalFormatting sqref="O420 M420 G420 K420 S420 U420 W420 I420 Q420">
    <cfRule type="cellIs" dxfId="3767" priority="4687" stopIfTrue="1" operator="notEqual">
      <formula>H420</formula>
    </cfRule>
  </conditionalFormatting>
  <conditionalFormatting sqref="O421 M421 G421 K421 S421 U421 W421 I421 Q421">
    <cfRule type="cellIs" dxfId="3766" priority="4686" stopIfTrue="1" operator="notEqual">
      <formula>H421</formula>
    </cfRule>
  </conditionalFormatting>
  <conditionalFormatting sqref="O422:O430 M422:M430 G422:G430 K422:K430 S422:S430 U422:U430 W422:W430 I422:I430 Q422:Q430">
    <cfRule type="cellIs" dxfId="3765" priority="4685" stopIfTrue="1" operator="notEqual">
      <formula>H422</formula>
    </cfRule>
  </conditionalFormatting>
  <conditionalFormatting sqref="O423 M423 G423 K423 S423 U423 W423 I423 Q423">
    <cfRule type="cellIs" dxfId="3764" priority="4684" stopIfTrue="1" operator="notEqual">
      <formula>H423</formula>
    </cfRule>
  </conditionalFormatting>
  <conditionalFormatting sqref="O424 M424 G424 K424 S424 U424 W424 I424 Q424">
    <cfRule type="cellIs" dxfId="3763" priority="4683" stopIfTrue="1" operator="notEqual">
      <formula>H424</formula>
    </cfRule>
  </conditionalFormatting>
  <conditionalFormatting sqref="O425 M425 G425 K425 S425 U425 W425 I425 Q425">
    <cfRule type="cellIs" dxfId="3762" priority="4682" stopIfTrue="1" operator="notEqual">
      <formula>H425</formula>
    </cfRule>
  </conditionalFormatting>
  <conditionalFormatting sqref="O426 M426 G426 K426 S426 U426 W426 I426 Q426">
    <cfRule type="cellIs" dxfId="3761" priority="4681" stopIfTrue="1" operator="notEqual">
      <formula>H426</formula>
    </cfRule>
  </conditionalFormatting>
  <conditionalFormatting sqref="O429 M429 G429 K429 S429 U429 W429 I429 Q429">
    <cfRule type="cellIs" dxfId="3760" priority="4680" stopIfTrue="1" operator="notEqual">
      <formula>H429</formula>
    </cfRule>
  </conditionalFormatting>
  <conditionalFormatting sqref="O430 M430 G430 K430 S430 U430 W430 I430 Q430">
    <cfRule type="cellIs" dxfId="3759" priority="4679" stopIfTrue="1" operator="notEqual">
      <formula>H430</formula>
    </cfRule>
  </conditionalFormatting>
  <conditionalFormatting sqref="O430 M430 G430 K430 S430 U430 W430 I430 Q430">
    <cfRule type="cellIs" dxfId="3758" priority="4678" stopIfTrue="1" operator="notEqual">
      <formula>H430</formula>
    </cfRule>
  </conditionalFormatting>
  <conditionalFormatting sqref="O428 M428 G428 K428 S428 U428 W428 I428 Q428">
    <cfRule type="cellIs" dxfId="3757" priority="4677" stopIfTrue="1" operator="notEqual">
      <formula>H428</formula>
    </cfRule>
  </conditionalFormatting>
  <conditionalFormatting sqref="O417 M417 G417 K417 S417 U417 W417 I417 Q417">
    <cfRule type="cellIs" dxfId="3756" priority="4671" stopIfTrue="1" operator="notEqual">
      <formula>H417</formula>
    </cfRule>
  </conditionalFormatting>
  <conditionalFormatting sqref="O418:O419 M418:M419 G418:G419 K418:K419 S418:S419 U418:U419 W418:W419 I418:I419 Q418:Q419">
    <cfRule type="cellIs" dxfId="3755" priority="4670" stopIfTrue="1" operator="notEqual">
      <formula>H418</formula>
    </cfRule>
  </conditionalFormatting>
  <conditionalFormatting sqref="O419 M419 G419 K419 S419 U419 W419 I419 Q419">
    <cfRule type="cellIs" dxfId="3754" priority="4669" stopIfTrue="1" operator="notEqual">
      <formula>H419</formula>
    </cfRule>
  </conditionalFormatting>
  <conditionalFormatting sqref="O417 M417 G417 K417 S417 U417 W417 I417 Q417">
    <cfRule type="cellIs" dxfId="3753" priority="4668" stopIfTrue="1" operator="notEqual">
      <formula>H417</formula>
    </cfRule>
  </conditionalFormatting>
  <conditionalFormatting sqref="O420 M420 G420 K420 S420 U420 W420 I420 Q420">
    <cfRule type="cellIs" dxfId="3752" priority="4667" stopIfTrue="1" operator="notEqual">
      <formula>H420</formula>
    </cfRule>
  </conditionalFormatting>
  <conditionalFormatting sqref="O421 M421 G421 K421 S421 U421 W421 I421 Q421">
    <cfRule type="cellIs" dxfId="3751" priority="4666" stopIfTrue="1" operator="notEqual">
      <formula>H421</formula>
    </cfRule>
  </conditionalFormatting>
  <conditionalFormatting sqref="O422:O430 M422:M430 G422:G430 K422:K430 S422:S430 U422:U430 W422:W430 I422:I430 Q422:Q430">
    <cfRule type="cellIs" dxfId="3750" priority="4665" stopIfTrue="1" operator="notEqual">
      <formula>H422</formula>
    </cfRule>
  </conditionalFormatting>
  <conditionalFormatting sqref="O423 M423 G423 K423 S423 U423 W423 I423 Q423">
    <cfRule type="cellIs" dxfId="3749" priority="4664" stopIfTrue="1" operator="notEqual">
      <formula>H423</formula>
    </cfRule>
  </conditionalFormatting>
  <conditionalFormatting sqref="O424 M424 G424 K424 S424 U424 W424 I424 Q424">
    <cfRule type="cellIs" dxfId="3748" priority="4663" stopIfTrue="1" operator="notEqual">
      <formula>H424</formula>
    </cfRule>
  </conditionalFormatting>
  <conditionalFormatting sqref="O425 M425 G425 K425 S425 U425 W425 I425 Q425">
    <cfRule type="cellIs" dxfId="3747" priority="4662" stopIfTrue="1" operator="notEqual">
      <formula>H425</formula>
    </cfRule>
  </conditionalFormatting>
  <conditionalFormatting sqref="O426 M426 G426 K426 S426 U426 W426 I426 Q426">
    <cfRule type="cellIs" dxfId="3746" priority="4661" stopIfTrue="1" operator="notEqual">
      <formula>H426</formula>
    </cfRule>
  </conditionalFormatting>
  <conditionalFormatting sqref="O427 M427 G427 K427 S427 U427 W427 I427 Q427">
    <cfRule type="cellIs" dxfId="3745" priority="4660" stopIfTrue="1" operator="notEqual">
      <formula>H427</formula>
    </cfRule>
  </conditionalFormatting>
  <conditionalFormatting sqref="O428 M428 G428 K428 S428 U428 W428 I428 Q428">
    <cfRule type="cellIs" dxfId="3744" priority="4659" stopIfTrue="1" operator="notEqual">
      <formula>H428</formula>
    </cfRule>
  </conditionalFormatting>
  <conditionalFormatting sqref="O429 M429 G429 K429 S429 U429 W429 I429 Q429">
    <cfRule type="cellIs" dxfId="3743" priority="4658" stopIfTrue="1" operator="notEqual">
      <formula>H429</formula>
    </cfRule>
  </conditionalFormatting>
  <conditionalFormatting sqref="O430 M430 G430 K430 S430 U430 W430 I430 Q430">
    <cfRule type="cellIs" dxfId="3742" priority="4657" stopIfTrue="1" operator="notEqual">
      <formula>H430</formula>
    </cfRule>
  </conditionalFormatting>
  <conditionalFormatting sqref="O431 M431 G431 K431 S431 U431 W431 I431 Q431">
    <cfRule type="cellIs" dxfId="3741" priority="4656" stopIfTrue="1" operator="notEqual">
      <formula>H431</formula>
    </cfRule>
  </conditionalFormatting>
  <conditionalFormatting sqref="O417:O421 M417:M421 G417:G421 K417:K421 S417:S421 U417:U421 W417:W421 I417:I421 Q417:Q421">
    <cfRule type="cellIs" dxfId="3740" priority="4635" stopIfTrue="1" operator="notEqual">
      <formula>H417</formula>
    </cfRule>
  </conditionalFormatting>
  <conditionalFormatting sqref="O418:O419 M418:M419 G418:G419 K418:K419 S418:S419 U418:U419 W418:W419 I418:I419 Q418:Q419">
    <cfRule type="cellIs" dxfId="3739" priority="4634" stopIfTrue="1" operator="notEqual">
      <formula>H418</formula>
    </cfRule>
  </conditionalFormatting>
  <conditionalFormatting sqref="O419 M419 G419 K419 S419 U419 W419 I419 Q419">
    <cfRule type="cellIs" dxfId="3738" priority="4633" stopIfTrue="1" operator="notEqual">
      <formula>H419</formula>
    </cfRule>
  </conditionalFormatting>
  <conditionalFormatting sqref="O419 M419 G419 K419 S419 U419 W419 I419 Q419">
    <cfRule type="cellIs" dxfId="3737" priority="4632" stopIfTrue="1" operator="notEqual">
      <formula>H419</formula>
    </cfRule>
  </conditionalFormatting>
  <conditionalFormatting sqref="O417 M417 G417 K417 S417 U417 W417 I417 Q417">
    <cfRule type="cellIs" dxfId="3736" priority="4631" stopIfTrue="1" operator="notEqual">
      <formula>H417</formula>
    </cfRule>
  </conditionalFormatting>
  <conditionalFormatting sqref="O422:O430 M422:M430 G422:G430 K422:K430 S422:S430 U422:U430 W422:W430 I422:I430 Q422:Q430">
    <cfRule type="cellIs" dxfId="3735" priority="4630" stopIfTrue="1" operator="notEqual">
      <formula>H422</formula>
    </cfRule>
  </conditionalFormatting>
  <conditionalFormatting sqref="O423 M423 G423 K423 S423 U423 W423 I423 Q423">
    <cfRule type="cellIs" dxfId="3734" priority="4629" stopIfTrue="1" operator="notEqual">
      <formula>H423</formula>
    </cfRule>
  </conditionalFormatting>
  <conditionalFormatting sqref="O421 M421 G421 K421 S421 U421 W421 I421 Q421">
    <cfRule type="cellIs" dxfId="3733" priority="4628" stopIfTrue="1" operator="notEqual">
      <formula>H421</formula>
    </cfRule>
  </conditionalFormatting>
  <conditionalFormatting sqref="O424 M424 G424 K424 S424 U424 W424 I424 Q424">
    <cfRule type="cellIs" dxfId="3732" priority="4627" stopIfTrue="1" operator="notEqual">
      <formula>H424</formula>
    </cfRule>
  </conditionalFormatting>
  <conditionalFormatting sqref="O425 M425 G425 K425 S425 U425 W425 I425 Q425">
    <cfRule type="cellIs" dxfId="3731" priority="4626" stopIfTrue="1" operator="notEqual">
      <formula>H425</formula>
    </cfRule>
  </conditionalFormatting>
  <conditionalFormatting sqref="O426 M426 G426 K426 S426 U426 W426 I426 Q426">
    <cfRule type="cellIs" dxfId="3730" priority="4625" stopIfTrue="1" operator="notEqual">
      <formula>H426</formula>
    </cfRule>
  </conditionalFormatting>
  <conditionalFormatting sqref="O427 M427 G427 K427 S427 U427 W427 I427 Q427">
    <cfRule type="cellIs" dxfId="3729" priority="4624" stopIfTrue="1" operator="notEqual">
      <formula>H427</formula>
    </cfRule>
  </conditionalFormatting>
  <conditionalFormatting sqref="O428 M428 G428 K428 S428 U428 W428 I428 Q428">
    <cfRule type="cellIs" dxfId="3728" priority="4623" stopIfTrue="1" operator="notEqual">
      <formula>H428</formula>
    </cfRule>
  </conditionalFormatting>
  <conditionalFormatting sqref="O429 M429 G429 K429 S429 U429 W429 I429 Q429">
    <cfRule type="cellIs" dxfId="3727" priority="4622" stopIfTrue="1" operator="notEqual">
      <formula>H429</formula>
    </cfRule>
  </conditionalFormatting>
  <conditionalFormatting sqref="O430 M430 G430 K430 S430 U430 W430 I430 Q430">
    <cfRule type="cellIs" dxfId="3726" priority="4621" stopIfTrue="1" operator="notEqual">
      <formula>H430</formula>
    </cfRule>
  </conditionalFormatting>
  <conditionalFormatting sqref="O431 M431 G431 K431 S431 U431 W431 I431 Q431">
    <cfRule type="cellIs" dxfId="3725" priority="4620" stopIfTrue="1" operator="notEqual">
      <formula>H431</formula>
    </cfRule>
  </conditionalFormatting>
  <conditionalFormatting sqref="G439">
    <cfRule type="cellIs" dxfId="3724" priority="4614" stopIfTrue="1" operator="notEqual">
      <formula>H439</formula>
    </cfRule>
  </conditionalFormatting>
  <conditionalFormatting sqref="G439">
    <cfRule type="cellIs" dxfId="3723" priority="4613" stopIfTrue="1" operator="notEqual">
      <formula>H439</formula>
    </cfRule>
  </conditionalFormatting>
  <conditionalFormatting sqref="G439">
    <cfRule type="cellIs" dxfId="3722" priority="4612" stopIfTrue="1" operator="notEqual">
      <formula>H439</formula>
    </cfRule>
  </conditionalFormatting>
  <conditionalFormatting sqref="G439">
    <cfRule type="cellIs" dxfId="3721" priority="4611" stopIfTrue="1" operator="notEqual">
      <formula>H439</formula>
    </cfRule>
  </conditionalFormatting>
  <conditionalFormatting sqref="G439">
    <cfRule type="cellIs" dxfId="3720" priority="4610" stopIfTrue="1" operator="notEqual">
      <formula>H439</formula>
    </cfRule>
  </conditionalFormatting>
  <conditionalFormatting sqref="G439">
    <cfRule type="cellIs" dxfId="3719" priority="4609" stopIfTrue="1" operator="notEqual">
      <formula>H439</formula>
    </cfRule>
  </conditionalFormatting>
  <conditionalFormatting sqref="G432">
    <cfRule type="cellIs" dxfId="3718" priority="4602" stopIfTrue="1" operator="notEqual">
      <formula>H432</formula>
    </cfRule>
  </conditionalFormatting>
  <conditionalFormatting sqref="G433">
    <cfRule type="cellIs" dxfId="3717" priority="4601" stopIfTrue="1" operator="notEqual">
      <formula>H433</formula>
    </cfRule>
  </conditionalFormatting>
  <conditionalFormatting sqref="G432">
    <cfRule type="cellIs" dxfId="3716" priority="4595" stopIfTrue="1" operator="notEqual">
      <formula>H432</formula>
    </cfRule>
  </conditionalFormatting>
  <conditionalFormatting sqref="G433">
    <cfRule type="cellIs" dxfId="3715" priority="4594" stopIfTrue="1" operator="notEqual">
      <formula>H433</formula>
    </cfRule>
  </conditionalFormatting>
  <conditionalFormatting sqref="O432 M432 G432 K432 S432 U432 W432 I432 Q432">
    <cfRule type="cellIs" dxfId="3714" priority="4588" stopIfTrue="1" operator="notEqual">
      <formula>H432</formula>
    </cfRule>
  </conditionalFormatting>
  <conditionalFormatting sqref="G432:G433">
    <cfRule type="cellIs" dxfId="3713" priority="4587" stopIfTrue="1" operator="notEqual">
      <formula>H432</formula>
    </cfRule>
  </conditionalFormatting>
  <conditionalFormatting sqref="G433">
    <cfRule type="cellIs" dxfId="3712" priority="4581" stopIfTrue="1" operator="notEqual">
      <formula>H433</formula>
    </cfRule>
  </conditionalFormatting>
  <conditionalFormatting sqref="O433 M433 G433 K433 S433 U433 W433 I433 Q433">
    <cfRule type="cellIs" dxfId="3711" priority="4574" stopIfTrue="1" operator="notEqual">
      <formula>H433</formula>
    </cfRule>
  </conditionalFormatting>
  <conditionalFormatting sqref="O432 M432 G432 K432 S432 U432 W432 I432 Q432">
    <cfRule type="cellIs" dxfId="3710" priority="4568" stopIfTrue="1" operator="notEqual">
      <formula>H432</formula>
    </cfRule>
  </conditionalFormatting>
  <conditionalFormatting sqref="O433 M433 G433 K433 S433 U433 W433 I433 Q433">
    <cfRule type="cellIs" dxfId="3709" priority="4567" stopIfTrue="1" operator="notEqual">
      <formula>H433</formula>
    </cfRule>
  </conditionalFormatting>
  <conditionalFormatting sqref="G432">
    <cfRule type="cellIs" dxfId="3708" priority="4561" stopIfTrue="1" operator="notEqual">
      <formula>H432</formula>
    </cfRule>
  </conditionalFormatting>
  <conditionalFormatting sqref="G433">
    <cfRule type="cellIs" dxfId="3707" priority="4560" stopIfTrue="1" operator="notEqual">
      <formula>H433</formula>
    </cfRule>
  </conditionalFormatting>
  <conditionalFormatting sqref="G434">
    <cfRule type="cellIs" dxfId="3706" priority="4558" stopIfTrue="1" operator="notEqual">
      <formula>H434</formula>
    </cfRule>
  </conditionalFormatting>
  <conditionalFormatting sqref="G435">
    <cfRule type="cellIs" dxfId="3705" priority="4557" stopIfTrue="1" operator="notEqual">
      <formula>H435</formula>
    </cfRule>
  </conditionalFormatting>
  <conditionalFormatting sqref="G436">
    <cfRule type="cellIs" dxfId="3704" priority="4556" stopIfTrue="1" operator="notEqual">
      <formula>H436</formula>
    </cfRule>
  </conditionalFormatting>
  <conditionalFormatting sqref="G437">
    <cfRule type="cellIs" dxfId="3703" priority="4555" stopIfTrue="1" operator="notEqual">
      <formula>H437</formula>
    </cfRule>
  </conditionalFormatting>
  <conditionalFormatting sqref="G438">
    <cfRule type="cellIs" dxfId="3702" priority="4554" stopIfTrue="1" operator="notEqual">
      <formula>H438</formula>
    </cfRule>
  </conditionalFormatting>
  <conditionalFormatting sqref="G439">
    <cfRule type="cellIs" dxfId="3701" priority="4553" stopIfTrue="1" operator="notEqual">
      <formula>H439</formula>
    </cfRule>
  </conditionalFormatting>
  <conditionalFormatting sqref="G440">
    <cfRule type="cellIs" dxfId="3700" priority="4552" stopIfTrue="1" operator="notEqual">
      <formula>H440</formula>
    </cfRule>
  </conditionalFormatting>
  <conditionalFormatting sqref="G442">
    <cfRule type="cellIs" dxfId="3699" priority="4550" stopIfTrue="1" operator="notEqual">
      <formula>H442</formula>
    </cfRule>
  </conditionalFormatting>
  <conditionalFormatting sqref="G443">
    <cfRule type="cellIs" dxfId="3698" priority="4549" stopIfTrue="1" operator="notEqual">
      <formula>H443</formula>
    </cfRule>
  </conditionalFormatting>
  <conditionalFormatting sqref="G444">
    <cfRule type="cellIs" dxfId="3697" priority="4548" stopIfTrue="1" operator="notEqual">
      <formula>H444</formula>
    </cfRule>
  </conditionalFormatting>
  <conditionalFormatting sqref="G445">
    <cfRule type="cellIs" dxfId="3696" priority="4547" stopIfTrue="1" operator="notEqual">
      <formula>H445</formula>
    </cfRule>
  </conditionalFormatting>
  <conditionalFormatting sqref="O432 M432 G432 K432 S432 U432 W432 I432 Q432">
    <cfRule type="cellIs" dxfId="3695" priority="4541" stopIfTrue="1" operator="notEqual">
      <formula>H432</formula>
    </cfRule>
  </conditionalFormatting>
  <conditionalFormatting sqref="O433 M433 G433 K433 S433 U433 W433 I433 Q433">
    <cfRule type="cellIs" dxfId="3694" priority="4540" stopIfTrue="1" operator="notEqual">
      <formula>H433</formula>
    </cfRule>
  </conditionalFormatting>
  <conditionalFormatting sqref="O434 M434 G434 K434 S434 U434 W434 I434 Q434">
    <cfRule type="cellIs" dxfId="3693" priority="4538" stopIfTrue="1" operator="notEqual">
      <formula>H434</formula>
    </cfRule>
  </conditionalFormatting>
  <conditionalFormatting sqref="O435 M435 G435 K435 S435 U435 W435 I435 Q435">
    <cfRule type="cellIs" dxfId="3692" priority="4537" stopIfTrue="1" operator="notEqual">
      <formula>H435</formula>
    </cfRule>
  </conditionalFormatting>
  <conditionalFormatting sqref="O436 M436 G436 K436 S436 U436 W436 I436 Q436">
    <cfRule type="cellIs" dxfId="3691" priority="4536" stopIfTrue="1" operator="notEqual">
      <formula>H436</formula>
    </cfRule>
  </conditionalFormatting>
  <conditionalFormatting sqref="G436:G437">
    <cfRule type="cellIs" dxfId="3690" priority="4535" stopIfTrue="1" operator="notEqual">
      <formula>H436</formula>
    </cfRule>
  </conditionalFormatting>
  <conditionalFormatting sqref="G432">
    <cfRule type="cellIs" dxfId="3689" priority="4529" stopIfTrue="1" operator="notEqual">
      <formula>H432</formula>
    </cfRule>
  </conditionalFormatting>
  <conditionalFormatting sqref="G433">
    <cfRule type="cellIs" dxfId="3688" priority="4528" stopIfTrue="1" operator="notEqual">
      <formula>H433</formula>
    </cfRule>
  </conditionalFormatting>
  <conditionalFormatting sqref="G434">
    <cfRule type="cellIs" dxfId="3687" priority="4526" stopIfTrue="1" operator="notEqual">
      <formula>H434</formula>
    </cfRule>
  </conditionalFormatting>
  <conditionalFormatting sqref="G435">
    <cfRule type="cellIs" dxfId="3686" priority="4525" stopIfTrue="1" operator="notEqual">
      <formula>H435</formula>
    </cfRule>
  </conditionalFormatting>
  <conditionalFormatting sqref="G437">
    <cfRule type="cellIs" dxfId="3685" priority="4524" stopIfTrue="1" operator="notEqual">
      <formula>H437</formula>
    </cfRule>
  </conditionalFormatting>
  <conditionalFormatting sqref="O432 M432 G432 K432 S432 U432 W432 I432 Q432">
    <cfRule type="cellIs" dxfId="3684" priority="4517" stopIfTrue="1" operator="notEqual">
      <formula>H432</formula>
    </cfRule>
  </conditionalFormatting>
  <conditionalFormatting sqref="O434 M434 G434 K434 S434 U434 W434 I434 Q434">
    <cfRule type="cellIs" dxfId="3683" priority="4516" stopIfTrue="1" operator="notEqual">
      <formula>H434</formula>
    </cfRule>
  </conditionalFormatting>
  <conditionalFormatting sqref="O435 M435 G435 K435 S435 U435 W435 I435 Q435">
    <cfRule type="cellIs" dxfId="3682" priority="4515" stopIfTrue="1" operator="notEqual">
      <formula>H435</formula>
    </cfRule>
  </conditionalFormatting>
  <conditionalFormatting sqref="O435 M435 G435 K435 S435 U435 W435 I435 Q435">
    <cfRule type="cellIs" dxfId="3681" priority="4514" stopIfTrue="1" operator="notEqual">
      <formula>H435</formula>
    </cfRule>
  </conditionalFormatting>
  <conditionalFormatting sqref="O437 M437 G437 K437 S437 U437 W437 I437 Q437">
    <cfRule type="cellIs" dxfId="3680" priority="4512" stopIfTrue="1" operator="notEqual">
      <formula>H437</formula>
    </cfRule>
  </conditionalFormatting>
  <conditionalFormatting sqref="O432 M432 G432 K432 S432 U432 W432 I432 Q432">
    <cfRule type="cellIs" dxfId="3679" priority="4506" stopIfTrue="1" operator="notEqual">
      <formula>H432</formula>
    </cfRule>
  </conditionalFormatting>
  <conditionalFormatting sqref="O433 M433 G433 K433 S433 U433 W433 I433 Q433">
    <cfRule type="cellIs" dxfId="3678" priority="4505" stopIfTrue="1" operator="notEqual">
      <formula>H433</formula>
    </cfRule>
  </conditionalFormatting>
  <conditionalFormatting sqref="O434 M434 G434 K434 S434 U434 W434 I434 Q434">
    <cfRule type="cellIs" dxfId="3677" priority="4503" stopIfTrue="1" operator="notEqual">
      <formula>H434</formula>
    </cfRule>
  </conditionalFormatting>
  <conditionalFormatting sqref="O435 M435 G435 K435 S435 U435 W435 I435 Q435">
    <cfRule type="cellIs" dxfId="3676" priority="4502" stopIfTrue="1" operator="notEqual">
      <formula>H435</formula>
    </cfRule>
  </conditionalFormatting>
  <conditionalFormatting sqref="O436 M436 G436 K436 S436 U436 W436 I436 Q436">
    <cfRule type="cellIs" dxfId="3675" priority="4501" stopIfTrue="1" operator="notEqual">
      <formula>H436</formula>
    </cfRule>
  </conditionalFormatting>
  <conditionalFormatting sqref="O437 M437 G437 K437 S437 U437 W437 I437 Q437">
    <cfRule type="cellIs" dxfId="3674" priority="4500" stopIfTrue="1" operator="notEqual">
      <formula>H437</formula>
    </cfRule>
  </conditionalFormatting>
  <conditionalFormatting sqref="G437:G440">
    <cfRule type="cellIs" dxfId="3673" priority="4499" stopIfTrue="1" operator="notEqual">
      <formula>H437</formula>
    </cfRule>
  </conditionalFormatting>
  <conditionalFormatting sqref="G437">
    <cfRule type="cellIs" dxfId="3672" priority="4498" stopIfTrue="1" operator="notEqual">
      <formula>H437</formula>
    </cfRule>
  </conditionalFormatting>
  <conditionalFormatting sqref="G438">
    <cfRule type="cellIs" dxfId="3671" priority="4497" stopIfTrue="1" operator="notEqual">
      <formula>H438</formula>
    </cfRule>
  </conditionalFormatting>
  <conditionalFormatting sqref="G438">
    <cfRule type="cellIs" dxfId="3670" priority="4496" stopIfTrue="1" operator="notEqual">
      <formula>H438</formula>
    </cfRule>
  </conditionalFormatting>
  <conditionalFormatting sqref="G442">
    <cfRule type="cellIs" dxfId="3669" priority="4494" stopIfTrue="1" operator="notEqual">
      <formula>H442</formula>
    </cfRule>
  </conditionalFormatting>
  <conditionalFormatting sqref="G440">
    <cfRule type="cellIs" dxfId="3668" priority="4493" stopIfTrue="1" operator="notEqual">
      <formula>H440</formula>
    </cfRule>
  </conditionalFormatting>
  <conditionalFormatting sqref="G443">
    <cfRule type="cellIs" dxfId="3667" priority="4492" stopIfTrue="1" operator="notEqual">
      <formula>H443</formula>
    </cfRule>
  </conditionalFormatting>
  <conditionalFormatting sqref="G444">
    <cfRule type="cellIs" dxfId="3666" priority="4491" stopIfTrue="1" operator="notEqual">
      <formula>H444</formula>
    </cfRule>
  </conditionalFormatting>
  <conditionalFormatting sqref="G445">
    <cfRule type="cellIs" dxfId="3665" priority="4490" stopIfTrue="1" operator="notEqual">
      <formula>H445</formula>
    </cfRule>
  </conditionalFormatting>
  <conditionalFormatting sqref="O437 M437 G437 K437 S437 U437 W437 I437 Q437">
    <cfRule type="cellIs" dxfId="3664" priority="4489" stopIfTrue="1" operator="notEqual">
      <formula>H437</formula>
    </cfRule>
  </conditionalFormatting>
  <conditionalFormatting sqref="O438 M438 G438 K438 S438 U438 W438 I438 Q438">
    <cfRule type="cellIs" dxfId="3663" priority="4488" stopIfTrue="1" operator="notEqual">
      <formula>H438</formula>
    </cfRule>
  </conditionalFormatting>
  <conditionalFormatting sqref="O439 M439 G439 K439 S439 U439 W439 I439 Q439">
    <cfRule type="cellIs" dxfId="3662" priority="4487" stopIfTrue="1" operator="notEqual">
      <formula>H439</formula>
    </cfRule>
  </conditionalFormatting>
  <conditionalFormatting sqref="O440 M440 G440 K440 S440 U440 W440 I440 Q440">
    <cfRule type="cellIs" dxfId="3661" priority="4486" stopIfTrue="1" operator="notEqual">
      <formula>H440</formula>
    </cfRule>
  </conditionalFormatting>
  <conditionalFormatting sqref="O442 M442 G442 K442 S442 U442 W442 I442 Q442">
    <cfRule type="cellIs" dxfId="3660" priority="4484" stopIfTrue="1" operator="notEqual">
      <formula>H442</formula>
    </cfRule>
  </conditionalFormatting>
  <conditionalFormatting sqref="O443 M443 G443 K443 S443 U443 W443 I443 Q443">
    <cfRule type="cellIs" dxfId="3659" priority="4483" stopIfTrue="1" operator="notEqual">
      <formula>H443</formula>
    </cfRule>
  </conditionalFormatting>
  <conditionalFormatting sqref="O444 M444 G444 K444 S444 U444 W444 I444 Q444">
    <cfRule type="cellIs" dxfId="3658" priority="4482" stopIfTrue="1" operator="notEqual">
      <formula>H444</formula>
    </cfRule>
  </conditionalFormatting>
  <conditionalFormatting sqref="O445 M445 G445 K445 S445 U445 W445 I445 Q445">
    <cfRule type="cellIs" dxfId="3657" priority="4481" stopIfTrue="1" operator="notEqual">
      <formula>H445</formula>
    </cfRule>
  </conditionalFormatting>
  <conditionalFormatting sqref="G437">
    <cfRule type="cellIs" dxfId="3656" priority="4480" stopIfTrue="1" operator="notEqual">
      <formula>H437</formula>
    </cfRule>
  </conditionalFormatting>
  <conditionalFormatting sqref="G438">
    <cfRule type="cellIs" dxfId="3655" priority="4479" stopIfTrue="1" operator="notEqual">
      <formula>H438</formula>
    </cfRule>
  </conditionalFormatting>
  <conditionalFormatting sqref="G439">
    <cfRule type="cellIs" dxfId="3654" priority="4478" stopIfTrue="1" operator="notEqual">
      <formula>H439</formula>
    </cfRule>
  </conditionalFormatting>
  <conditionalFormatting sqref="G440">
    <cfRule type="cellIs" dxfId="3653" priority="4477" stopIfTrue="1" operator="notEqual">
      <formula>H440</formula>
    </cfRule>
  </conditionalFormatting>
  <conditionalFormatting sqref="G442">
    <cfRule type="cellIs" dxfId="3652" priority="4475" stopIfTrue="1" operator="notEqual">
      <formula>H442</formula>
    </cfRule>
  </conditionalFormatting>
  <conditionalFormatting sqref="G443">
    <cfRule type="cellIs" dxfId="3651" priority="4474" stopIfTrue="1" operator="notEqual">
      <formula>H443</formula>
    </cfRule>
  </conditionalFormatting>
  <conditionalFormatting sqref="G444">
    <cfRule type="cellIs" dxfId="3650" priority="4473" stopIfTrue="1" operator="notEqual">
      <formula>H444</formula>
    </cfRule>
  </conditionalFormatting>
  <conditionalFormatting sqref="G445">
    <cfRule type="cellIs" dxfId="3649" priority="4472" stopIfTrue="1" operator="notEqual">
      <formula>H445</formula>
    </cfRule>
  </conditionalFormatting>
  <conditionalFormatting sqref="G437">
    <cfRule type="cellIs" dxfId="3648" priority="4471" stopIfTrue="1" operator="notEqual">
      <formula>H437</formula>
    </cfRule>
  </conditionalFormatting>
  <conditionalFormatting sqref="G437">
    <cfRule type="cellIs" dxfId="3647" priority="4470" stopIfTrue="1" operator="notEqual">
      <formula>H437</formula>
    </cfRule>
  </conditionalFormatting>
  <conditionalFormatting sqref="G437">
    <cfRule type="cellIs" dxfId="3646" priority="4469" stopIfTrue="1" operator="notEqual">
      <formula>H437</formula>
    </cfRule>
  </conditionalFormatting>
  <conditionalFormatting sqref="G437">
    <cfRule type="cellIs" dxfId="3645" priority="4468" stopIfTrue="1" operator="notEqual">
      <formula>H437</formula>
    </cfRule>
  </conditionalFormatting>
  <conditionalFormatting sqref="G437">
    <cfRule type="cellIs" dxfId="3644" priority="4467" stopIfTrue="1" operator="notEqual">
      <formula>H437</formula>
    </cfRule>
  </conditionalFormatting>
  <conditionalFormatting sqref="G437">
    <cfRule type="cellIs" dxfId="3643" priority="4466" stopIfTrue="1" operator="notEqual">
      <formula>H437</formula>
    </cfRule>
  </conditionalFormatting>
  <conditionalFormatting sqref="O437 M437 G437 K437 S437 U437 W437 I437 Q437">
    <cfRule type="cellIs" dxfId="3642" priority="4465" stopIfTrue="1" operator="notEqual">
      <formula>H437</formula>
    </cfRule>
  </conditionalFormatting>
  <conditionalFormatting sqref="O438 M438 G438 K438 S438 U438 W438 I438 Q438">
    <cfRule type="cellIs" dxfId="3641" priority="4464" stopIfTrue="1" operator="notEqual">
      <formula>H438</formula>
    </cfRule>
  </conditionalFormatting>
  <conditionalFormatting sqref="O439 M439 G439 K439 S439 U439 W439 I439 Q439">
    <cfRule type="cellIs" dxfId="3640" priority="4463" stopIfTrue="1" operator="notEqual">
      <formula>H439</formula>
    </cfRule>
  </conditionalFormatting>
  <conditionalFormatting sqref="O440 M440 G440 K440 S440 U440 W440 I440 Q440">
    <cfRule type="cellIs" dxfId="3639" priority="4462" stopIfTrue="1" operator="notEqual">
      <formula>H440</formula>
    </cfRule>
  </conditionalFormatting>
  <conditionalFormatting sqref="O442 M442 G442 K442 S442 U442 W442 I442 Q442">
    <cfRule type="cellIs" dxfId="3638" priority="4460" stopIfTrue="1" operator="notEqual">
      <formula>H442</formula>
    </cfRule>
  </conditionalFormatting>
  <conditionalFormatting sqref="O443 M443 G443 K443 S443 U443 W443 I443 Q443">
    <cfRule type="cellIs" dxfId="3637" priority="4459" stopIfTrue="1" operator="notEqual">
      <formula>H443</formula>
    </cfRule>
  </conditionalFormatting>
  <conditionalFormatting sqref="O444 M444 G444 K444 S444 U444 W444 I444 Q444">
    <cfRule type="cellIs" dxfId="3636" priority="4458" stopIfTrue="1" operator="notEqual">
      <formula>H444</formula>
    </cfRule>
  </conditionalFormatting>
  <conditionalFormatting sqref="O445 M445 G445 K445 S445 U445 W445 I445 Q445">
    <cfRule type="cellIs" dxfId="3635" priority="4457" stopIfTrue="1" operator="notEqual">
      <formula>H445</formula>
    </cfRule>
  </conditionalFormatting>
  <conditionalFormatting sqref="O437 M437 G437 K437 S437 U437 W437 I437 Q437">
    <cfRule type="cellIs" dxfId="3634" priority="4456" stopIfTrue="1" operator="notEqual">
      <formula>H437</formula>
    </cfRule>
  </conditionalFormatting>
  <conditionalFormatting sqref="O438 M438 G438 K438 S438 U438 W438 I438 Q438">
    <cfRule type="cellIs" dxfId="3633" priority="4455" stopIfTrue="1" operator="notEqual">
      <formula>H438</formula>
    </cfRule>
  </conditionalFormatting>
  <conditionalFormatting sqref="O439 M439 G439 K439 S439 U439 W439 I439 Q439">
    <cfRule type="cellIs" dxfId="3632" priority="4454" stopIfTrue="1" operator="notEqual">
      <formula>H439</formula>
    </cfRule>
  </conditionalFormatting>
  <conditionalFormatting sqref="O437 M437 G437 K437 S437 U437 W437 I437 Q437">
    <cfRule type="cellIs" dxfId="3631" priority="4453" stopIfTrue="1" operator="notEqual">
      <formula>H437</formula>
    </cfRule>
  </conditionalFormatting>
  <conditionalFormatting sqref="O440 M440 G440 K440 S440 U440 W440 I440 Q440">
    <cfRule type="cellIs" dxfId="3630" priority="4452" stopIfTrue="1" operator="notEqual">
      <formula>H440</formula>
    </cfRule>
  </conditionalFormatting>
  <conditionalFormatting sqref="O442 M442 G442 K442 S442 U442 W442 I442 Q442">
    <cfRule type="cellIs" dxfId="3629" priority="4450" stopIfTrue="1" operator="notEqual">
      <formula>H442</formula>
    </cfRule>
  </conditionalFormatting>
  <conditionalFormatting sqref="O443 M443 G443 K443 S443 U443 W443 I443 Q443">
    <cfRule type="cellIs" dxfId="3628" priority="4449" stopIfTrue="1" operator="notEqual">
      <formula>H443</formula>
    </cfRule>
  </conditionalFormatting>
  <conditionalFormatting sqref="O444 M444 G444 K444 S444 U444 W444 I444 Q444">
    <cfRule type="cellIs" dxfId="3627" priority="4448" stopIfTrue="1" operator="notEqual">
      <formula>H444</formula>
    </cfRule>
  </conditionalFormatting>
  <conditionalFormatting sqref="O445 M445 G445 K445 S445 U445 W445 I445 Q445">
    <cfRule type="cellIs" dxfId="3626" priority="4447" stopIfTrue="1" operator="notEqual">
      <formula>H445</formula>
    </cfRule>
  </conditionalFormatting>
  <conditionalFormatting sqref="G432">
    <cfRule type="cellIs" dxfId="3625" priority="4440" stopIfTrue="1" operator="notEqual">
      <formula>H432</formula>
    </cfRule>
  </conditionalFormatting>
  <conditionalFormatting sqref="G433">
    <cfRule type="cellIs" dxfId="3624" priority="4439" stopIfTrue="1" operator="notEqual">
      <formula>H433</formula>
    </cfRule>
  </conditionalFormatting>
  <conditionalFormatting sqref="G434">
    <cfRule type="cellIs" dxfId="3623" priority="4437" stopIfTrue="1" operator="notEqual">
      <formula>H434</formula>
    </cfRule>
  </conditionalFormatting>
  <conditionalFormatting sqref="G435">
    <cfRule type="cellIs" dxfId="3622" priority="4436" stopIfTrue="1" operator="notEqual">
      <formula>H435</formula>
    </cfRule>
  </conditionalFormatting>
  <conditionalFormatting sqref="G436">
    <cfRule type="cellIs" dxfId="3621" priority="4435" stopIfTrue="1" operator="notEqual">
      <formula>H436</formula>
    </cfRule>
  </conditionalFormatting>
  <conditionalFormatting sqref="G437">
    <cfRule type="cellIs" dxfId="3620" priority="4434" stopIfTrue="1" operator="notEqual">
      <formula>H437</formula>
    </cfRule>
  </conditionalFormatting>
  <conditionalFormatting sqref="G438">
    <cfRule type="cellIs" dxfId="3619" priority="4433" stopIfTrue="1" operator="notEqual">
      <formula>H438</formula>
    </cfRule>
  </conditionalFormatting>
  <conditionalFormatting sqref="G439">
    <cfRule type="cellIs" dxfId="3618" priority="4432" stopIfTrue="1" operator="notEqual">
      <formula>H439</formula>
    </cfRule>
  </conditionalFormatting>
  <conditionalFormatting sqref="G442">
    <cfRule type="cellIs" dxfId="3617" priority="4425" stopIfTrue="1" operator="notEqual">
      <formula>H442</formula>
    </cfRule>
  </conditionalFormatting>
  <conditionalFormatting sqref="G443">
    <cfRule type="cellIs" dxfId="3616" priority="4424" stopIfTrue="1" operator="notEqual">
      <formula>H443</formula>
    </cfRule>
  </conditionalFormatting>
  <conditionalFormatting sqref="G443">
    <cfRule type="cellIs" dxfId="3615" priority="4423" stopIfTrue="1" operator="notEqual">
      <formula>H443</formula>
    </cfRule>
  </conditionalFormatting>
  <conditionalFormatting sqref="G445">
    <cfRule type="cellIs" dxfId="3614" priority="4421" stopIfTrue="1" operator="notEqual">
      <formula>H445</formula>
    </cfRule>
  </conditionalFormatting>
  <conditionalFormatting sqref="O432 M432 G432 K432 S432 U432 W432 I432 Q432">
    <cfRule type="cellIs" dxfId="3613" priority="4414" stopIfTrue="1" operator="notEqual">
      <formula>H432</formula>
    </cfRule>
  </conditionalFormatting>
  <conditionalFormatting sqref="O433 M433 G433 K433 S433 U433 W433 I433 Q433">
    <cfRule type="cellIs" dxfId="3612" priority="4413" stopIfTrue="1" operator="notEqual">
      <formula>H433</formula>
    </cfRule>
  </conditionalFormatting>
  <conditionalFormatting sqref="O434 M434 G434 K434 S434 U434 W434 I434 Q434">
    <cfRule type="cellIs" dxfId="3611" priority="4411" stopIfTrue="1" operator="notEqual">
      <formula>H434</formula>
    </cfRule>
  </conditionalFormatting>
  <conditionalFormatting sqref="O435 M435 G435 K435 S435 U435 W435 I435 Q435">
    <cfRule type="cellIs" dxfId="3610" priority="4410" stopIfTrue="1" operator="notEqual">
      <formula>H435</formula>
    </cfRule>
  </conditionalFormatting>
  <conditionalFormatting sqref="O438 M438 G438 K438 S438 U438 W438 I438 Q438">
    <cfRule type="cellIs" dxfId="3609" priority="4409" stopIfTrue="1" operator="notEqual">
      <formula>H438</formula>
    </cfRule>
  </conditionalFormatting>
  <conditionalFormatting sqref="O439 M439 G439 K439 S439 U439 W439 I439 Q439">
    <cfRule type="cellIs" dxfId="3608" priority="4408" stopIfTrue="1" operator="notEqual">
      <formula>H439</formula>
    </cfRule>
  </conditionalFormatting>
  <conditionalFormatting sqref="O439 M439 G439 K439 S439 U439 W439 I439 Q439">
    <cfRule type="cellIs" dxfId="3607" priority="4407" stopIfTrue="1" operator="notEqual">
      <formula>H439</formula>
    </cfRule>
  </conditionalFormatting>
  <conditionalFormatting sqref="O437 M437 G437 K437 S437 U437 W437 I437 Q437">
    <cfRule type="cellIs" dxfId="3606" priority="4406" stopIfTrue="1" operator="notEqual">
      <formula>H437</formula>
    </cfRule>
  </conditionalFormatting>
  <conditionalFormatting sqref="O442 M442 G442 K442 S442 U442 W442 I442 Q442">
    <cfRule type="cellIs" dxfId="3605" priority="4405" stopIfTrue="1" operator="notEqual">
      <formula>H442</formula>
    </cfRule>
  </conditionalFormatting>
  <conditionalFormatting sqref="O443 M443 G443 K443 S443 U443 W443 I443 Q443">
    <cfRule type="cellIs" dxfId="3604" priority="4404" stopIfTrue="1" operator="notEqual">
      <formula>H443</formula>
    </cfRule>
  </conditionalFormatting>
  <conditionalFormatting sqref="O444 M444 G444 K444 S444 U444 W444 I444 Q444">
    <cfRule type="cellIs" dxfId="3603" priority="4402" stopIfTrue="1" operator="notEqual">
      <formula>H444</formula>
    </cfRule>
  </conditionalFormatting>
  <conditionalFormatting sqref="O445 M445 G445 K445 S445 U445 W445 I445 Q445">
    <cfRule type="cellIs" dxfId="3602" priority="4401" stopIfTrue="1" operator="notEqual">
      <formula>H445</formula>
    </cfRule>
  </conditionalFormatting>
  <conditionalFormatting sqref="O432 M432 G432 K432 S432 U432 W432 I432 Q432">
    <cfRule type="cellIs" dxfId="3601" priority="4394" stopIfTrue="1" operator="notEqual">
      <formula>H432</formula>
    </cfRule>
  </conditionalFormatting>
  <conditionalFormatting sqref="O433 M433 G433 K433 S433 U433 W433 I433 Q433">
    <cfRule type="cellIs" dxfId="3600" priority="4393" stopIfTrue="1" operator="notEqual">
      <formula>H433</formula>
    </cfRule>
  </conditionalFormatting>
  <conditionalFormatting sqref="O434 M434 G434 K434 S434 U434 W434 I434 Q434">
    <cfRule type="cellIs" dxfId="3599" priority="4391" stopIfTrue="1" operator="notEqual">
      <formula>H434</formula>
    </cfRule>
  </conditionalFormatting>
  <conditionalFormatting sqref="O435 M435 G435 K435 S435 U435 W435 I435 Q435">
    <cfRule type="cellIs" dxfId="3598" priority="4390" stopIfTrue="1" operator="notEqual">
      <formula>H435</formula>
    </cfRule>
  </conditionalFormatting>
  <conditionalFormatting sqref="O436 M436 G436 K436 S436 U436 W436 I436 Q436">
    <cfRule type="cellIs" dxfId="3597" priority="4389" stopIfTrue="1" operator="notEqual">
      <formula>H436</formula>
    </cfRule>
  </conditionalFormatting>
  <conditionalFormatting sqref="O437 M437 G437 K437 S437 U437 W437 I437 Q437">
    <cfRule type="cellIs" dxfId="3596" priority="4388" stopIfTrue="1" operator="notEqual">
      <formula>H437</formula>
    </cfRule>
  </conditionalFormatting>
  <conditionalFormatting sqref="O438 M438 G438 K438 S438 U438 W438 I438 Q438">
    <cfRule type="cellIs" dxfId="3595" priority="4387" stopIfTrue="1" operator="notEqual">
      <formula>H438</formula>
    </cfRule>
  </conditionalFormatting>
  <conditionalFormatting sqref="O439 M439 G439 K439 S439 U439 W439 I439 Q439">
    <cfRule type="cellIs" dxfId="3594" priority="4386" stopIfTrue="1" operator="notEqual">
      <formula>H439</formula>
    </cfRule>
  </conditionalFormatting>
  <conditionalFormatting sqref="O440 M440 G440 K440 S440 U440 W440 I440 Q440">
    <cfRule type="cellIs" dxfId="3593" priority="4385" stopIfTrue="1" operator="notEqual">
      <formula>H440</formula>
    </cfRule>
  </conditionalFormatting>
  <conditionalFormatting sqref="G442">
    <cfRule type="cellIs" dxfId="3592" priority="4383" stopIfTrue="1" operator="notEqual">
      <formula>H442</formula>
    </cfRule>
  </conditionalFormatting>
  <conditionalFormatting sqref="G443">
    <cfRule type="cellIs" dxfId="3591" priority="4382" stopIfTrue="1" operator="notEqual">
      <formula>H443</formula>
    </cfRule>
  </conditionalFormatting>
  <conditionalFormatting sqref="G444">
    <cfRule type="cellIs" dxfId="3590" priority="4381" stopIfTrue="1" operator="notEqual">
      <formula>H444</formula>
    </cfRule>
  </conditionalFormatting>
  <conditionalFormatting sqref="G445">
    <cfRule type="cellIs" dxfId="3589" priority="4380" stopIfTrue="1" operator="notEqual">
      <formula>H445</formula>
    </cfRule>
  </conditionalFormatting>
  <conditionalFormatting sqref="G442">
    <cfRule type="cellIs" dxfId="3588" priority="4379" stopIfTrue="1" operator="notEqual">
      <formula>H442</formula>
    </cfRule>
  </conditionalFormatting>
  <conditionalFormatting sqref="G442">
    <cfRule type="cellIs" dxfId="3587" priority="4378" stopIfTrue="1" operator="notEqual">
      <formula>H442</formula>
    </cfRule>
  </conditionalFormatting>
  <conditionalFormatting sqref="G442">
    <cfRule type="cellIs" dxfId="3586" priority="4377" stopIfTrue="1" operator="notEqual">
      <formula>H442</formula>
    </cfRule>
  </conditionalFormatting>
  <conditionalFormatting sqref="G442">
    <cfRule type="cellIs" dxfId="3585" priority="4376" stopIfTrue="1" operator="notEqual">
      <formula>H442</formula>
    </cfRule>
  </conditionalFormatting>
  <conditionalFormatting sqref="G442">
    <cfRule type="cellIs" dxfId="3584" priority="4375" stopIfTrue="1" operator="notEqual">
      <formula>H442</formula>
    </cfRule>
  </conditionalFormatting>
  <conditionalFormatting sqref="G442">
    <cfRule type="cellIs" dxfId="3583" priority="4374" stopIfTrue="1" operator="notEqual">
      <formula>H442</formula>
    </cfRule>
  </conditionalFormatting>
  <conditionalFormatting sqref="O442 M442 G442 K442 S442 U442 W442 I442 Q442">
    <cfRule type="cellIs" dxfId="3582" priority="4373" stopIfTrue="1" operator="notEqual">
      <formula>H442</formula>
    </cfRule>
  </conditionalFormatting>
  <conditionalFormatting sqref="O443 M443 G443 K443 S443 U443 W443 I443 Q443">
    <cfRule type="cellIs" dxfId="3581" priority="4372" stopIfTrue="1" operator="notEqual">
      <formula>H443</formula>
    </cfRule>
  </conditionalFormatting>
  <conditionalFormatting sqref="O444 M444 G444 K444 S444 U444 W444 I444 Q444">
    <cfRule type="cellIs" dxfId="3580" priority="4371" stopIfTrue="1" operator="notEqual">
      <formula>H444</formula>
    </cfRule>
  </conditionalFormatting>
  <conditionalFormatting sqref="O445 M445 G445 K445 S445 U445 W445 I445 Q445">
    <cfRule type="cellIs" dxfId="3579" priority="4370" stopIfTrue="1" operator="notEqual">
      <formula>H445</formula>
    </cfRule>
  </conditionalFormatting>
  <conditionalFormatting sqref="O442 M442 G442 K442 S442 U442 W442 I442 Q442">
    <cfRule type="cellIs" dxfId="3578" priority="4369" stopIfTrue="1" operator="notEqual">
      <formula>H442</formula>
    </cfRule>
  </conditionalFormatting>
  <conditionalFormatting sqref="O443 M443 G443 K443 S443 U443 W443 I443 Q443">
    <cfRule type="cellIs" dxfId="3577" priority="4368" stopIfTrue="1" operator="notEqual">
      <formula>H443</formula>
    </cfRule>
  </conditionalFormatting>
  <conditionalFormatting sqref="O444 M444 G444 K444 S444 U444 W444 I444 Q444">
    <cfRule type="cellIs" dxfId="3576" priority="4367" stopIfTrue="1" operator="notEqual">
      <formula>H444</formula>
    </cfRule>
  </conditionalFormatting>
  <conditionalFormatting sqref="O442 M442 G442 K442 S442 U442 W442 I442 Q442">
    <cfRule type="cellIs" dxfId="3575" priority="4366" stopIfTrue="1" operator="notEqual">
      <formula>H442</formula>
    </cfRule>
  </conditionalFormatting>
  <conditionalFormatting sqref="O445 M445 G445 K445 S445 U445 W445 I445 Q445">
    <cfRule type="cellIs" dxfId="3574" priority="4365" stopIfTrue="1" operator="notEqual">
      <formula>H445</formula>
    </cfRule>
  </conditionalFormatting>
  <conditionalFormatting sqref="O432 M432 G432 K432 S432 U432 W432 I432 Q432">
    <cfRule type="cellIs" dxfId="3573" priority="4359" stopIfTrue="1" operator="notEqual">
      <formula>H432</formula>
    </cfRule>
  </conditionalFormatting>
  <conditionalFormatting sqref="O433 M433 G433 K433 S433 U433 W433 I433 Q433">
    <cfRule type="cellIs" dxfId="3572" priority="4358" stopIfTrue="1" operator="notEqual">
      <formula>H433</formula>
    </cfRule>
  </conditionalFormatting>
  <conditionalFormatting sqref="O434 M434 G434 K434 S434 U434 W434 I434 Q434">
    <cfRule type="cellIs" dxfId="3571" priority="4355" stopIfTrue="1" operator="notEqual">
      <formula>H434</formula>
    </cfRule>
  </conditionalFormatting>
  <conditionalFormatting sqref="O435 M435 G435 K435 S435 U435 W435 I435 Q435">
    <cfRule type="cellIs" dxfId="3570" priority="4354" stopIfTrue="1" operator="notEqual">
      <formula>H435</formula>
    </cfRule>
  </conditionalFormatting>
  <conditionalFormatting sqref="O436 M436 G436 K436 S436 U436 W436 I436 Q436">
    <cfRule type="cellIs" dxfId="3569" priority="4353" stopIfTrue="1" operator="notEqual">
      <formula>H436</formula>
    </cfRule>
  </conditionalFormatting>
  <conditionalFormatting sqref="O437 M437 G437 K437 S437 U437 W437 I437 Q437">
    <cfRule type="cellIs" dxfId="3568" priority="4352" stopIfTrue="1" operator="notEqual">
      <formula>H437</formula>
    </cfRule>
  </conditionalFormatting>
  <conditionalFormatting sqref="O438 M438 G438 K438 S438 U438 W438 I438 Q438">
    <cfRule type="cellIs" dxfId="3567" priority="4351" stopIfTrue="1" operator="notEqual">
      <formula>H438</formula>
    </cfRule>
  </conditionalFormatting>
  <conditionalFormatting sqref="O439 M439 G439 K439 S439 U439 W439 I439 Q439">
    <cfRule type="cellIs" dxfId="3566" priority="4350" stopIfTrue="1" operator="notEqual">
      <formula>H439</formula>
    </cfRule>
  </conditionalFormatting>
  <conditionalFormatting sqref="O440 M440 G440 K440 S440 U440 W440 I440 Q440">
    <cfRule type="cellIs" dxfId="3565" priority="4349" stopIfTrue="1" operator="notEqual">
      <formula>H440</formula>
    </cfRule>
  </conditionalFormatting>
  <conditionalFormatting sqref="O442 M442 G442 K442 S442 U442 W442 I442 Q442">
    <cfRule type="cellIs" dxfId="3564" priority="4347" stopIfTrue="1" operator="notEqual">
      <formula>H442</formula>
    </cfRule>
  </conditionalFormatting>
  <conditionalFormatting sqref="O443 M443 G443 K443 S443 U443 W443 I443 Q443">
    <cfRule type="cellIs" dxfId="3563" priority="4346" stopIfTrue="1" operator="notEqual">
      <formula>H443</formula>
    </cfRule>
  </conditionalFormatting>
  <conditionalFormatting sqref="O444 M444 G444 K444 S444 U444 W444 I444 Q444">
    <cfRule type="cellIs" dxfId="3562" priority="4345" stopIfTrue="1" operator="notEqual">
      <formula>H444</formula>
    </cfRule>
  </conditionalFormatting>
  <conditionalFormatting sqref="O445 M445 G445 K445 S445 U445 W445 I445 Q445">
    <cfRule type="cellIs" dxfId="3561" priority="4344" stopIfTrue="1" operator="notEqual">
      <formula>H445</formula>
    </cfRule>
  </conditionalFormatting>
  <conditionalFormatting sqref="G446">
    <cfRule type="cellIs" dxfId="3560" priority="4343" stopIfTrue="1" operator="notEqual">
      <formula>H446</formula>
    </cfRule>
  </conditionalFormatting>
  <conditionalFormatting sqref="G446">
    <cfRule type="cellIs" dxfId="3559" priority="4342" stopIfTrue="1" operator="notEqual">
      <formula>H446</formula>
    </cfRule>
  </conditionalFormatting>
  <conditionalFormatting sqref="O446 M446 G446 K446 S446 U446 W446 I446 Q446">
    <cfRule type="cellIs" dxfId="3558" priority="4341" stopIfTrue="1" operator="notEqual">
      <formula>H446</formula>
    </cfRule>
  </conditionalFormatting>
  <conditionalFormatting sqref="G446">
    <cfRule type="cellIs" dxfId="3557" priority="4340" stopIfTrue="1" operator="notEqual">
      <formula>H446</formula>
    </cfRule>
  </conditionalFormatting>
  <conditionalFormatting sqref="O446 M446 G446 K446 S446 U446 W446 I446 Q446">
    <cfRule type="cellIs" dxfId="3556" priority="4339" stopIfTrue="1" operator="notEqual">
      <formula>H446</formula>
    </cfRule>
  </conditionalFormatting>
  <conditionalFormatting sqref="O446 M446 G446 K446 S446 U446 W446 I446 Q446">
    <cfRule type="cellIs" dxfId="3555" priority="4338" stopIfTrue="1" operator="notEqual">
      <formula>H446</formula>
    </cfRule>
  </conditionalFormatting>
  <conditionalFormatting sqref="G446">
    <cfRule type="cellIs" dxfId="3554" priority="4337" stopIfTrue="1" operator="notEqual">
      <formula>H446</formula>
    </cfRule>
  </conditionalFormatting>
  <conditionalFormatting sqref="O446 M446 G446 K446 S446 U446 W446 I446 Q446">
    <cfRule type="cellIs" dxfId="3553" priority="4336" stopIfTrue="1" operator="notEqual">
      <formula>H446</formula>
    </cfRule>
  </conditionalFormatting>
  <conditionalFormatting sqref="G446">
    <cfRule type="cellIs" dxfId="3552" priority="4335" stopIfTrue="1" operator="notEqual">
      <formula>H446</formula>
    </cfRule>
  </conditionalFormatting>
  <conditionalFormatting sqref="O446 M446 G446 K446 S446 U446 W446 I446 Q446">
    <cfRule type="cellIs" dxfId="3551" priority="4334" stopIfTrue="1" operator="notEqual">
      <formula>H446</formula>
    </cfRule>
  </conditionalFormatting>
  <conditionalFormatting sqref="O446 M446 G446 K446 S446 U446 W446 I446 Q446">
    <cfRule type="cellIs" dxfId="3550" priority="4333" stopIfTrue="1" operator="notEqual">
      <formula>H446</formula>
    </cfRule>
  </conditionalFormatting>
  <conditionalFormatting sqref="G446">
    <cfRule type="cellIs" dxfId="3549" priority="4332" stopIfTrue="1" operator="notEqual">
      <formula>H446</formula>
    </cfRule>
  </conditionalFormatting>
  <conditionalFormatting sqref="G446">
    <cfRule type="cellIs" dxfId="3548" priority="4331" stopIfTrue="1" operator="notEqual">
      <formula>H446</formula>
    </cfRule>
  </conditionalFormatting>
  <conditionalFormatting sqref="G446">
    <cfRule type="cellIs" dxfId="3547" priority="4330" stopIfTrue="1" operator="notEqual">
      <formula>H446</formula>
    </cfRule>
  </conditionalFormatting>
  <conditionalFormatting sqref="G446">
    <cfRule type="cellIs" dxfId="3546" priority="4329" stopIfTrue="1" operator="notEqual">
      <formula>H446</formula>
    </cfRule>
  </conditionalFormatting>
  <conditionalFormatting sqref="G446">
    <cfRule type="cellIs" dxfId="3545" priority="4328" stopIfTrue="1" operator="notEqual">
      <formula>H446</formula>
    </cfRule>
  </conditionalFormatting>
  <conditionalFormatting sqref="G446">
    <cfRule type="cellIs" dxfId="3544" priority="4327" stopIfTrue="1" operator="notEqual">
      <formula>H446</formula>
    </cfRule>
  </conditionalFormatting>
  <conditionalFormatting sqref="G446">
    <cfRule type="cellIs" dxfId="3543" priority="4326" stopIfTrue="1" operator="notEqual">
      <formula>H446</formula>
    </cfRule>
  </conditionalFormatting>
  <conditionalFormatting sqref="O446 M446 G446 K446 S446 U446 W446 I446 Q446">
    <cfRule type="cellIs" dxfId="3542" priority="4325" stopIfTrue="1" operator="notEqual">
      <formula>H446</formula>
    </cfRule>
  </conditionalFormatting>
  <conditionalFormatting sqref="O446 M446 G446 K446 S446 U446 W446 I446 Q446">
    <cfRule type="cellIs" dxfId="3541" priority="4324" stopIfTrue="1" operator="notEqual">
      <formula>H446</formula>
    </cfRule>
  </conditionalFormatting>
  <conditionalFormatting sqref="O446 M446 G446 K446 S446 U446 W446 I446 Q446">
    <cfRule type="cellIs" dxfId="3540" priority="4323" stopIfTrue="1" operator="notEqual">
      <formula>H446</formula>
    </cfRule>
  </conditionalFormatting>
  <conditionalFormatting sqref="O446 M446 G446 K446 S446 U446 W446 I446 Q446">
    <cfRule type="cellIs" dxfId="3539" priority="4322" stopIfTrue="1" operator="notEqual">
      <formula>H446</formula>
    </cfRule>
  </conditionalFormatting>
  <conditionalFormatting sqref="O446 M446 G446 K446 S446 U446 W446 I446 Q446">
    <cfRule type="cellIs" dxfId="3538" priority="4321" stopIfTrue="1" operator="notEqual">
      <formula>H446</formula>
    </cfRule>
  </conditionalFormatting>
  <conditionalFormatting sqref="G459">
    <cfRule type="cellIs" dxfId="3537" priority="4316" stopIfTrue="1" operator="notEqual">
      <formula>H459</formula>
    </cfRule>
  </conditionalFormatting>
  <conditionalFormatting sqref="G459">
    <cfRule type="cellIs" dxfId="3536" priority="4315" stopIfTrue="1" operator="notEqual">
      <formula>H459</formula>
    </cfRule>
  </conditionalFormatting>
  <conditionalFormatting sqref="G459">
    <cfRule type="cellIs" dxfId="3535" priority="4314" stopIfTrue="1" operator="notEqual">
      <formula>H459</formula>
    </cfRule>
  </conditionalFormatting>
  <conditionalFormatting sqref="G459">
    <cfRule type="cellIs" dxfId="3534" priority="4313" stopIfTrue="1" operator="notEqual">
      <formula>H459</formula>
    </cfRule>
  </conditionalFormatting>
  <conditionalFormatting sqref="G459">
    <cfRule type="cellIs" dxfId="3533" priority="4312" stopIfTrue="1" operator="notEqual">
      <formula>H459</formula>
    </cfRule>
  </conditionalFormatting>
  <conditionalFormatting sqref="G459">
    <cfRule type="cellIs" dxfId="3532" priority="4311" stopIfTrue="1" operator="notEqual">
      <formula>H459</formula>
    </cfRule>
  </conditionalFormatting>
  <conditionalFormatting sqref="G453">
    <cfRule type="cellIs" dxfId="3531" priority="4310" stopIfTrue="1" operator="notEqual">
      <formula>H453</formula>
    </cfRule>
  </conditionalFormatting>
  <conditionalFormatting sqref="G447:G464">
    <cfRule type="cellIs" dxfId="3530" priority="4309" stopIfTrue="1" operator="notEqual">
      <formula>H447</formula>
    </cfRule>
  </conditionalFormatting>
  <conditionalFormatting sqref="G448">
    <cfRule type="cellIs" dxfId="3529" priority="4308" stopIfTrue="1" operator="notEqual">
      <formula>H448</formula>
    </cfRule>
  </conditionalFormatting>
  <conditionalFormatting sqref="G449">
    <cfRule type="cellIs" dxfId="3528" priority="4307" stopIfTrue="1" operator="notEqual">
      <formula>H449</formula>
    </cfRule>
  </conditionalFormatting>
  <conditionalFormatting sqref="G450">
    <cfRule type="cellIs" dxfId="3527" priority="4306" stopIfTrue="1" operator="notEqual">
      <formula>H450</formula>
    </cfRule>
  </conditionalFormatting>
  <conditionalFormatting sqref="G451">
    <cfRule type="cellIs" dxfId="3526" priority="4305" stopIfTrue="1" operator="notEqual">
      <formula>H451</formula>
    </cfRule>
  </conditionalFormatting>
  <conditionalFormatting sqref="G452">
    <cfRule type="cellIs" dxfId="3525" priority="4304" stopIfTrue="1" operator="notEqual">
      <formula>H452</formula>
    </cfRule>
  </conditionalFormatting>
  <conditionalFormatting sqref="G447:G464">
    <cfRule type="cellIs" dxfId="3524" priority="4303" stopIfTrue="1" operator="notEqual">
      <formula>H447</formula>
    </cfRule>
  </conditionalFormatting>
  <conditionalFormatting sqref="G448">
    <cfRule type="cellIs" dxfId="3523" priority="4302" stopIfTrue="1" operator="notEqual">
      <formula>H448</formula>
    </cfRule>
  </conditionalFormatting>
  <conditionalFormatting sqref="G449">
    <cfRule type="cellIs" dxfId="3522" priority="4301" stopIfTrue="1" operator="notEqual">
      <formula>H449</formula>
    </cfRule>
  </conditionalFormatting>
  <conditionalFormatting sqref="G450">
    <cfRule type="cellIs" dxfId="3521" priority="4300" stopIfTrue="1" operator="notEqual">
      <formula>H450</formula>
    </cfRule>
  </conditionalFormatting>
  <conditionalFormatting sqref="G451">
    <cfRule type="cellIs" dxfId="3520" priority="4299" stopIfTrue="1" operator="notEqual">
      <formula>H451</formula>
    </cfRule>
  </conditionalFormatting>
  <conditionalFormatting sqref="G452">
    <cfRule type="cellIs" dxfId="3519" priority="4298" stopIfTrue="1" operator="notEqual">
      <formula>H452</formula>
    </cfRule>
  </conditionalFormatting>
  <conditionalFormatting sqref="O447:O464 M447:M464 G447:G464 K447:K464 S447:S464 U447:U464 W447:W464 I447:I464 Q447:Q464">
    <cfRule type="cellIs" dxfId="3518" priority="4297" stopIfTrue="1" operator="notEqual">
      <formula>H447</formula>
    </cfRule>
  </conditionalFormatting>
  <conditionalFormatting sqref="O448 M448 G448 K448 S448 U448 W448 I448 Q448">
    <cfRule type="cellIs" dxfId="3517" priority="4296" stopIfTrue="1" operator="notEqual">
      <formula>H448</formula>
    </cfRule>
  </conditionalFormatting>
  <conditionalFormatting sqref="O449 M449 G449 K449 S449 U449 W449 I449 Q449">
    <cfRule type="cellIs" dxfId="3516" priority="4295" stopIfTrue="1" operator="notEqual">
      <formula>H449</formula>
    </cfRule>
  </conditionalFormatting>
  <conditionalFormatting sqref="O450 M450 G450 K450 S450 U450 W450 I450 Q450">
    <cfRule type="cellIs" dxfId="3515" priority="4294" stopIfTrue="1" operator="notEqual">
      <formula>H450</formula>
    </cfRule>
  </conditionalFormatting>
  <conditionalFormatting sqref="O451 M451 G451 K451 S451 U451 W451 I451 Q451">
    <cfRule type="cellIs" dxfId="3514" priority="4293" stopIfTrue="1" operator="notEqual">
      <formula>H451</formula>
    </cfRule>
  </conditionalFormatting>
  <conditionalFormatting sqref="G451:G452">
    <cfRule type="cellIs" dxfId="3513" priority="4292" stopIfTrue="1" operator="notEqual">
      <formula>H451</formula>
    </cfRule>
  </conditionalFormatting>
  <conditionalFormatting sqref="G447:G464">
    <cfRule type="cellIs" dxfId="3512" priority="4291" stopIfTrue="1" operator="notEqual">
      <formula>H447</formula>
    </cfRule>
  </conditionalFormatting>
  <conditionalFormatting sqref="G448">
    <cfRule type="cellIs" dxfId="3511" priority="4290" stopIfTrue="1" operator="notEqual">
      <formula>H448</formula>
    </cfRule>
  </conditionalFormatting>
  <conditionalFormatting sqref="G449">
    <cfRule type="cellIs" dxfId="3510" priority="4289" stopIfTrue="1" operator="notEqual">
      <formula>H449</formula>
    </cfRule>
  </conditionalFormatting>
  <conditionalFormatting sqref="G450">
    <cfRule type="cellIs" dxfId="3509" priority="4288" stopIfTrue="1" operator="notEqual">
      <formula>H450</formula>
    </cfRule>
  </conditionalFormatting>
  <conditionalFormatting sqref="G452">
    <cfRule type="cellIs" dxfId="3508" priority="4287" stopIfTrue="1" operator="notEqual">
      <formula>H452</formula>
    </cfRule>
  </conditionalFormatting>
  <conditionalFormatting sqref="O447:O464 M447:M464 G447:G464 K447:K464 S447:S464 U447:U464 W447:W464 I447:I464 Q447:Q464">
    <cfRule type="cellIs" dxfId="3507" priority="4286" stopIfTrue="1" operator="notEqual">
      <formula>H447</formula>
    </cfRule>
  </conditionalFormatting>
  <conditionalFormatting sqref="O449 M449 G449 K449 S449 U449 W449 I449 Q449">
    <cfRule type="cellIs" dxfId="3506" priority="4285" stopIfTrue="1" operator="notEqual">
      <formula>H449</formula>
    </cfRule>
  </conditionalFormatting>
  <conditionalFormatting sqref="O450 M450 G450 K450 S450 U450 W450 I450 Q450">
    <cfRule type="cellIs" dxfId="3505" priority="4284" stopIfTrue="1" operator="notEqual">
      <formula>H450</formula>
    </cfRule>
  </conditionalFormatting>
  <conditionalFormatting sqref="O450 M450 G450 K450 S450 U450 W450 I450 Q450">
    <cfRule type="cellIs" dxfId="3504" priority="4283" stopIfTrue="1" operator="notEqual">
      <formula>H450</formula>
    </cfRule>
  </conditionalFormatting>
  <conditionalFormatting sqref="O448 M448 G448 K448 S448 U448 W448 I448 Q448">
    <cfRule type="cellIs" dxfId="3503" priority="4282" stopIfTrue="1" operator="notEqual">
      <formula>H448</formula>
    </cfRule>
  </conditionalFormatting>
  <conditionalFormatting sqref="O452 M452 G452 K452 S452 U452 W452 I452 Q452">
    <cfRule type="cellIs" dxfId="3502" priority="4281" stopIfTrue="1" operator="notEqual">
      <formula>H452</formula>
    </cfRule>
  </conditionalFormatting>
  <conditionalFormatting sqref="O447:O464 M447:M464 G447:G464 K447:K464 S447:S464 U447:U464 W447:W464 I447:I464 Q447:Q464">
    <cfRule type="cellIs" dxfId="3501" priority="4280" stopIfTrue="1" operator="notEqual">
      <formula>H447</formula>
    </cfRule>
  </conditionalFormatting>
  <conditionalFormatting sqref="O448 M448 G448 K448 S448 U448 W448 I448 Q448">
    <cfRule type="cellIs" dxfId="3500" priority="4279" stopIfTrue="1" operator="notEqual">
      <formula>H448</formula>
    </cfRule>
  </conditionalFormatting>
  <conditionalFormatting sqref="O449 M449 G449 K449 S449 U449 W449 I449 Q449">
    <cfRule type="cellIs" dxfId="3499" priority="4278" stopIfTrue="1" operator="notEqual">
      <formula>H449</formula>
    </cfRule>
  </conditionalFormatting>
  <conditionalFormatting sqref="O450 M450 G450 K450 S450 U450 W450 I450 Q450">
    <cfRule type="cellIs" dxfId="3498" priority="4277" stopIfTrue="1" operator="notEqual">
      <formula>H450</formula>
    </cfRule>
  </conditionalFormatting>
  <conditionalFormatting sqref="O451 M451 G451 K451 S451 U451 W451 I451 Q451">
    <cfRule type="cellIs" dxfId="3497" priority="4276" stopIfTrue="1" operator="notEqual">
      <formula>H451</formula>
    </cfRule>
  </conditionalFormatting>
  <conditionalFormatting sqref="O452 M452 G452 K452 S452 U452 W452 I452 Q452">
    <cfRule type="cellIs" dxfId="3496" priority="4275" stopIfTrue="1" operator="notEqual">
      <formula>H452</formula>
    </cfRule>
  </conditionalFormatting>
  <conditionalFormatting sqref="G447:G464">
    <cfRule type="cellIs" dxfId="3495" priority="4274" stopIfTrue="1" operator="notEqual">
      <formula>H447</formula>
    </cfRule>
  </conditionalFormatting>
  <conditionalFormatting sqref="G448">
    <cfRule type="cellIs" dxfId="3494" priority="4273" stopIfTrue="1" operator="notEqual">
      <formula>H448</formula>
    </cfRule>
  </conditionalFormatting>
  <conditionalFormatting sqref="G449">
    <cfRule type="cellIs" dxfId="3493" priority="4272" stopIfTrue="1" operator="notEqual">
      <formula>H449</formula>
    </cfRule>
  </conditionalFormatting>
  <conditionalFormatting sqref="G450">
    <cfRule type="cellIs" dxfId="3492" priority="4271" stopIfTrue="1" operator="notEqual">
      <formula>H450</formula>
    </cfRule>
  </conditionalFormatting>
  <conditionalFormatting sqref="G451">
    <cfRule type="cellIs" dxfId="3491" priority="4270" stopIfTrue="1" operator="notEqual">
      <formula>H451</formula>
    </cfRule>
  </conditionalFormatting>
  <conditionalFormatting sqref="G452">
    <cfRule type="cellIs" dxfId="3490" priority="4269" stopIfTrue="1" operator="notEqual">
      <formula>H452</formula>
    </cfRule>
  </conditionalFormatting>
  <conditionalFormatting sqref="G453">
    <cfRule type="cellIs" dxfId="3489" priority="4268" stopIfTrue="1" operator="notEqual">
      <formula>H453</formula>
    </cfRule>
  </conditionalFormatting>
  <conditionalFormatting sqref="G454">
    <cfRule type="cellIs" dxfId="3488" priority="4267" stopIfTrue="1" operator="notEqual">
      <formula>H454</formula>
    </cfRule>
  </conditionalFormatting>
  <conditionalFormatting sqref="G455">
    <cfRule type="cellIs" dxfId="3487" priority="4266" stopIfTrue="1" operator="notEqual">
      <formula>H455</formula>
    </cfRule>
  </conditionalFormatting>
  <conditionalFormatting sqref="G456">
    <cfRule type="cellIs" dxfId="3486" priority="4265" stopIfTrue="1" operator="notEqual">
      <formula>H456</formula>
    </cfRule>
  </conditionalFormatting>
  <conditionalFormatting sqref="G457">
    <cfRule type="cellIs" dxfId="3485" priority="4264" stopIfTrue="1" operator="notEqual">
      <formula>H457</formula>
    </cfRule>
  </conditionalFormatting>
  <conditionalFormatting sqref="G458">
    <cfRule type="cellIs" dxfId="3484" priority="4263" stopIfTrue="1" operator="notEqual">
      <formula>H458</formula>
    </cfRule>
  </conditionalFormatting>
  <conditionalFormatting sqref="G459">
    <cfRule type="cellIs" dxfId="3483" priority="4262" stopIfTrue="1" operator="notEqual">
      <formula>H459</formula>
    </cfRule>
  </conditionalFormatting>
  <conditionalFormatting sqref="G460">
    <cfRule type="cellIs" dxfId="3482" priority="4261" stopIfTrue="1" operator="notEqual">
      <formula>H460</formula>
    </cfRule>
  </conditionalFormatting>
  <conditionalFormatting sqref="G461">
    <cfRule type="cellIs" dxfId="3481" priority="4260" stopIfTrue="1" operator="notEqual">
      <formula>H461</formula>
    </cfRule>
  </conditionalFormatting>
  <conditionalFormatting sqref="G462">
    <cfRule type="cellIs" dxfId="3480" priority="4259" stopIfTrue="1" operator="notEqual">
      <formula>H462</formula>
    </cfRule>
  </conditionalFormatting>
  <conditionalFormatting sqref="G463">
    <cfRule type="cellIs" dxfId="3479" priority="4258" stopIfTrue="1" operator="notEqual">
      <formula>H463</formula>
    </cfRule>
  </conditionalFormatting>
  <conditionalFormatting sqref="G464">
    <cfRule type="cellIs" dxfId="3478" priority="4257" stopIfTrue="1" operator="notEqual">
      <formula>H464</formula>
    </cfRule>
  </conditionalFormatting>
  <conditionalFormatting sqref="G465">
    <cfRule type="cellIs" dxfId="3477" priority="4256" stopIfTrue="1" operator="notEqual">
      <formula>H465</formula>
    </cfRule>
  </conditionalFormatting>
  <conditionalFormatting sqref="O447:O464 M447:M464 G447:G464 K447:K464 S447:S464 U447:U464 W447:W464 I447:I464 Q447:Q464">
    <cfRule type="cellIs" dxfId="3476" priority="4255" stopIfTrue="1" operator="notEqual">
      <formula>H447</formula>
    </cfRule>
  </conditionalFormatting>
  <conditionalFormatting sqref="O448 M448 G448 K448 S448 U448 W448 I448 Q448">
    <cfRule type="cellIs" dxfId="3475" priority="4254" stopIfTrue="1" operator="notEqual">
      <formula>H448</formula>
    </cfRule>
  </conditionalFormatting>
  <conditionalFormatting sqref="O449 M449 G449 K449 S449 U449 W449 I449 Q449">
    <cfRule type="cellIs" dxfId="3474" priority="4253" stopIfTrue="1" operator="notEqual">
      <formula>H449</formula>
    </cfRule>
  </conditionalFormatting>
  <conditionalFormatting sqref="O450 M450 G450 K450 S450 U450 W450 I450 Q450">
    <cfRule type="cellIs" dxfId="3473" priority="4252" stopIfTrue="1" operator="notEqual">
      <formula>H450</formula>
    </cfRule>
  </conditionalFormatting>
  <conditionalFormatting sqref="O451 M451 G451 K451 S451 U451 W451 I451 Q451">
    <cfRule type="cellIs" dxfId="3472" priority="4251" stopIfTrue="1" operator="notEqual">
      <formula>H451</formula>
    </cfRule>
  </conditionalFormatting>
  <conditionalFormatting sqref="O452 M452 G452 K452 S452 U452 W452 I452 Q452">
    <cfRule type="cellIs" dxfId="3471" priority="4250" stopIfTrue="1" operator="notEqual">
      <formula>H452</formula>
    </cfRule>
  </conditionalFormatting>
  <conditionalFormatting sqref="O453 M453 G453 K453 S453 U453 W453 I453 Q453">
    <cfRule type="cellIs" dxfId="3470" priority="4249" stopIfTrue="1" operator="notEqual">
      <formula>H453</formula>
    </cfRule>
  </conditionalFormatting>
  <conditionalFormatting sqref="O454 M454 G454 K454 S454 U454 W454 I454 Q454">
    <cfRule type="cellIs" dxfId="3469" priority="4248" stopIfTrue="1" operator="notEqual">
      <formula>H454</formula>
    </cfRule>
  </conditionalFormatting>
  <conditionalFormatting sqref="O455 M455 G455 K455 S455 U455 W455 I455 Q455">
    <cfRule type="cellIs" dxfId="3468" priority="4247" stopIfTrue="1" operator="notEqual">
      <formula>H455</formula>
    </cfRule>
  </conditionalFormatting>
  <conditionalFormatting sqref="O456 M456 G456 K456 S456 U456 W456 I456 Q456">
    <cfRule type="cellIs" dxfId="3467" priority="4246" stopIfTrue="1" operator="notEqual">
      <formula>H456</formula>
    </cfRule>
  </conditionalFormatting>
  <conditionalFormatting sqref="G456:G457">
    <cfRule type="cellIs" dxfId="3466" priority="4245" stopIfTrue="1" operator="notEqual">
      <formula>H456</formula>
    </cfRule>
  </conditionalFormatting>
  <conditionalFormatting sqref="G447:G464">
    <cfRule type="cellIs" dxfId="3465" priority="4244" stopIfTrue="1" operator="notEqual">
      <formula>H447</formula>
    </cfRule>
  </conditionalFormatting>
  <conditionalFormatting sqref="G448">
    <cfRule type="cellIs" dxfId="3464" priority="4243" stopIfTrue="1" operator="notEqual">
      <formula>H448</formula>
    </cfRule>
  </conditionalFormatting>
  <conditionalFormatting sqref="G449">
    <cfRule type="cellIs" dxfId="3463" priority="4242" stopIfTrue="1" operator="notEqual">
      <formula>H449</formula>
    </cfRule>
  </conditionalFormatting>
  <conditionalFormatting sqref="G450">
    <cfRule type="cellIs" dxfId="3462" priority="4241" stopIfTrue="1" operator="notEqual">
      <formula>H450</formula>
    </cfRule>
  </conditionalFormatting>
  <conditionalFormatting sqref="G451">
    <cfRule type="cellIs" dxfId="3461" priority="4240" stopIfTrue="1" operator="notEqual">
      <formula>H451</formula>
    </cfRule>
  </conditionalFormatting>
  <conditionalFormatting sqref="G452">
    <cfRule type="cellIs" dxfId="3460" priority="4239" stopIfTrue="1" operator="notEqual">
      <formula>H452</formula>
    </cfRule>
  </conditionalFormatting>
  <conditionalFormatting sqref="G453">
    <cfRule type="cellIs" dxfId="3459" priority="4238" stopIfTrue="1" operator="notEqual">
      <formula>H453</formula>
    </cfRule>
  </conditionalFormatting>
  <conditionalFormatting sqref="G454">
    <cfRule type="cellIs" dxfId="3458" priority="4237" stopIfTrue="1" operator="notEqual">
      <formula>H454</formula>
    </cfRule>
  </conditionalFormatting>
  <conditionalFormatting sqref="G455">
    <cfRule type="cellIs" dxfId="3457" priority="4236" stopIfTrue="1" operator="notEqual">
      <formula>H455</formula>
    </cfRule>
  </conditionalFormatting>
  <conditionalFormatting sqref="G457">
    <cfRule type="cellIs" dxfId="3456" priority="4235" stopIfTrue="1" operator="notEqual">
      <formula>H457</formula>
    </cfRule>
  </conditionalFormatting>
  <conditionalFormatting sqref="O452:O457 M452:M457 G452:G457 K452:K457 S452:S457 U452:U457 W452:W457 I452:I457 Q452:Q457">
    <cfRule type="cellIs" dxfId="3455" priority="4234" stopIfTrue="1" operator="notEqual">
      <formula>H452</formula>
    </cfRule>
  </conditionalFormatting>
  <conditionalFormatting sqref="O447:O464 M447:M464 G447:G464 K447:K464 S447:S464 U447:U464 W447:W464 I447:I464 Q447:Q464">
    <cfRule type="cellIs" dxfId="3454" priority="4233" stopIfTrue="1" operator="notEqual">
      <formula>H447</formula>
    </cfRule>
  </conditionalFormatting>
  <conditionalFormatting sqref="O448 M448 G448 K448 S448 U448 W448 I448 Q448">
    <cfRule type="cellIs" dxfId="3453" priority="4232" stopIfTrue="1" operator="notEqual">
      <formula>H448</formula>
    </cfRule>
  </conditionalFormatting>
  <conditionalFormatting sqref="O449 M449 G449 K449 S449 U449 W449 I449 Q449">
    <cfRule type="cellIs" dxfId="3452" priority="4231" stopIfTrue="1" operator="notEqual">
      <formula>H449</formula>
    </cfRule>
  </conditionalFormatting>
  <conditionalFormatting sqref="O450 M450 G450 K450 S450 U450 W450 I450 Q450">
    <cfRule type="cellIs" dxfId="3451" priority="4230" stopIfTrue="1" operator="notEqual">
      <formula>H450</formula>
    </cfRule>
  </conditionalFormatting>
  <conditionalFormatting sqref="O451 M451 G451 K451 S451 U451 W451 I451 Q451">
    <cfRule type="cellIs" dxfId="3450" priority="4229" stopIfTrue="1" operator="notEqual">
      <formula>H451</formula>
    </cfRule>
  </conditionalFormatting>
  <conditionalFormatting sqref="O454 M454 G454 K454 S454 U454 W454 I454 Q454">
    <cfRule type="cellIs" dxfId="3449" priority="4228" stopIfTrue="1" operator="notEqual">
      <formula>H454</formula>
    </cfRule>
  </conditionalFormatting>
  <conditionalFormatting sqref="O455 M455 G455 K455 S455 U455 W455 I455 Q455">
    <cfRule type="cellIs" dxfId="3448" priority="4227" stopIfTrue="1" operator="notEqual">
      <formula>H455</formula>
    </cfRule>
  </conditionalFormatting>
  <conditionalFormatting sqref="O455 M455 G455 K455 S455 U455 W455 I455 Q455">
    <cfRule type="cellIs" dxfId="3447" priority="4226" stopIfTrue="1" operator="notEqual">
      <formula>H455</formula>
    </cfRule>
  </conditionalFormatting>
  <conditionalFormatting sqref="O453 M453 G453 K453 S453 U453 W453 I453 Q453">
    <cfRule type="cellIs" dxfId="3446" priority="4225" stopIfTrue="1" operator="notEqual">
      <formula>H453</formula>
    </cfRule>
  </conditionalFormatting>
  <conditionalFormatting sqref="O457 M457 G457 K457 S457 U457 W457 I457 Q457">
    <cfRule type="cellIs" dxfId="3445" priority="4224" stopIfTrue="1" operator="notEqual">
      <formula>H457</formula>
    </cfRule>
  </conditionalFormatting>
  <conditionalFormatting sqref="O447:O464 M447:M464 G447:G464 K447:K464 S447:S464 U447:U464 W447:W464 I447:I464 Q447:Q464">
    <cfRule type="cellIs" dxfId="3444" priority="4223" stopIfTrue="1" operator="notEqual">
      <formula>H447</formula>
    </cfRule>
  </conditionalFormatting>
  <conditionalFormatting sqref="O448 M448 G448 K448 S448 U448 W448 I448 Q448">
    <cfRule type="cellIs" dxfId="3443" priority="4222" stopIfTrue="1" operator="notEqual">
      <formula>H448</formula>
    </cfRule>
  </conditionalFormatting>
  <conditionalFormatting sqref="O449 M449 G449 K449 S449 U449 W449 I449 Q449">
    <cfRule type="cellIs" dxfId="3442" priority="4221" stopIfTrue="1" operator="notEqual">
      <formula>H449</formula>
    </cfRule>
  </conditionalFormatting>
  <conditionalFormatting sqref="O450 M450 G450 K450 S450 U450 W450 I450 Q450">
    <cfRule type="cellIs" dxfId="3441" priority="4220" stopIfTrue="1" operator="notEqual">
      <formula>H450</formula>
    </cfRule>
  </conditionalFormatting>
  <conditionalFormatting sqref="O451 M451 G451 K451 S451 U451 W451 I451 Q451">
    <cfRule type="cellIs" dxfId="3440" priority="4219" stopIfTrue="1" operator="notEqual">
      <formula>H451</formula>
    </cfRule>
  </conditionalFormatting>
  <conditionalFormatting sqref="O452 M452 G452 K452 S452 U452 W452 I452 Q452">
    <cfRule type="cellIs" dxfId="3439" priority="4218" stopIfTrue="1" operator="notEqual">
      <formula>H452</formula>
    </cfRule>
  </conditionalFormatting>
  <conditionalFormatting sqref="O453 M453 G453 K453 S453 U453 W453 I453 Q453">
    <cfRule type="cellIs" dxfId="3438" priority="4217" stopIfTrue="1" operator="notEqual">
      <formula>H453</formula>
    </cfRule>
  </conditionalFormatting>
  <conditionalFormatting sqref="O454 M454 G454 K454 S454 U454 W454 I454 Q454">
    <cfRule type="cellIs" dxfId="3437" priority="4216" stopIfTrue="1" operator="notEqual">
      <formula>H454</formula>
    </cfRule>
  </conditionalFormatting>
  <conditionalFormatting sqref="O455 M455 G455 K455 S455 U455 W455 I455 Q455">
    <cfRule type="cellIs" dxfId="3436" priority="4215" stopIfTrue="1" operator="notEqual">
      <formula>H455</formula>
    </cfRule>
  </conditionalFormatting>
  <conditionalFormatting sqref="O456 M456 G456 K456 S456 U456 W456 I456 Q456">
    <cfRule type="cellIs" dxfId="3435" priority="4214" stopIfTrue="1" operator="notEqual">
      <formula>H456</formula>
    </cfRule>
  </conditionalFormatting>
  <conditionalFormatting sqref="O457 M457 G457 K457 S457 U457 W457 I457 Q457">
    <cfRule type="cellIs" dxfId="3434" priority="4213" stopIfTrue="1" operator="notEqual">
      <formula>H457</formula>
    </cfRule>
  </conditionalFormatting>
  <conditionalFormatting sqref="G457:G460">
    <cfRule type="cellIs" dxfId="3433" priority="4212" stopIfTrue="1" operator="notEqual">
      <formula>H457</formula>
    </cfRule>
  </conditionalFormatting>
  <conditionalFormatting sqref="G457">
    <cfRule type="cellIs" dxfId="3432" priority="4211" stopIfTrue="1" operator="notEqual">
      <formula>H457</formula>
    </cfRule>
  </conditionalFormatting>
  <conditionalFormatting sqref="G458">
    <cfRule type="cellIs" dxfId="3431" priority="4210" stopIfTrue="1" operator="notEqual">
      <formula>H458</formula>
    </cfRule>
  </conditionalFormatting>
  <conditionalFormatting sqref="G458">
    <cfRule type="cellIs" dxfId="3430" priority="4209" stopIfTrue="1" operator="notEqual">
      <formula>H458</formula>
    </cfRule>
  </conditionalFormatting>
  <conditionalFormatting sqref="G461">
    <cfRule type="cellIs" dxfId="3429" priority="4208" stopIfTrue="1" operator="notEqual">
      <formula>H461</formula>
    </cfRule>
  </conditionalFormatting>
  <conditionalFormatting sqref="G462">
    <cfRule type="cellIs" dxfId="3428" priority="4207" stopIfTrue="1" operator="notEqual">
      <formula>H462</formula>
    </cfRule>
  </conditionalFormatting>
  <conditionalFormatting sqref="G460">
    <cfRule type="cellIs" dxfId="3427" priority="4206" stopIfTrue="1" operator="notEqual">
      <formula>H460</formula>
    </cfRule>
  </conditionalFormatting>
  <conditionalFormatting sqref="G463">
    <cfRule type="cellIs" dxfId="3426" priority="4205" stopIfTrue="1" operator="notEqual">
      <formula>H463</formula>
    </cfRule>
  </conditionalFormatting>
  <conditionalFormatting sqref="G464">
    <cfRule type="cellIs" dxfId="3425" priority="4204" stopIfTrue="1" operator="notEqual">
      <formula>H464</formula>
    </cfRule>
  </conditionalFormatting>
  <conditionalFormatting sqref="G465">
    <cfRule type="cellIs" dxfId="3424" priority="4203" stopIfTrue="1" operator="notEqual">
      <formula>H465</formula>
    </cfRule>
  </conditionalFormatting>
  <conditionalFormatting sqref="O457 M457 G457 K457 S457 U457 W457 I457 Q457">
    <cfRule type="cellIs" dxfId="3423" priority="4202" stopIfTrue="1" operator="notEqual">
      <formula>H457</formula>
    </cfRule>
  </conditionalFormatting>
  <conditionalFormatting sqref="O458 M458 G458 K458 S458 U458 W458 I458 Q458">
    <cfRule type="cellIs" dxfId="3422" priority="4201" stopIfTrue="1" operator="notEqual">
      <formula>H458</formula>
    </cfRule>
  </conditionalFormatting>
  <conditionalFormatting sqref="O459 M459 G459 K459 S459 U459 W459 I459 Q459">
    <cfRule type="cellIs" dxfId="3421" priority="4200" stopIfTrue="1" operator="notEqual">
      <formula>H459</formula>
    </cfRule>
  </conditionalFormatting>
  <conditionalFormatting sqref="O460 M460 G460 K460 S460 U460 W460 I460 Q460">
    <cfRule type="cellIs" dxfId="3420" priority="4199" stopIfTrue="1" operator="notEqual">
      <formula>H460</formula>
    </cfRule>
  </conditionalFormatting>
  <conditionalFormatting sqref="O461 M461 G461 K461 S461 U461 W461 I461 Q461">
    <cfRule type="cellIs" dxfId="3419" priority="4198" stopIfTrue="1" operator="notEqual">
      <formula>H461</formula>
    </cfRule>
  </conditionalFormatting>
  <conditionalFormatting sqref="O462 M462 G462 K462 S462 U462 W462 I462 Q462">
    <cfRule type="cellIs" dxfId="3418" priority="4197" stopIfTrue="1" operator="notEqual">
      <formula>H462</formula>
    </cfRule>
  </conditionalFormatting>
  <conditionalFormatting sqref="O463 M463 G463 K463 S463 U463 W463 I463 Q463">
    <cfRule type="cellIs" dxfId="3417" priority="4196" stopIfTrue="1" operator="notEqual">
      <formula>H463</formula>
    </cfRule>
  </conditionalFormatting>
  <conditionalFormatting sqref="O464 M464 G464 K464 S464 U464 W464 I464 Q464">
    <cfRule type="cellIs" dxfId="3416" priority="4195" stopIfTrue="1" operator="notEqual">
      <formula>H464</formula>
    </cfRule>
  </conditionalFormatting>
  <conditionalFormatting sqref="O465 M465 G465 K465 S465 U465 W465 I465 Q465">
    <cfRule type="cellIs" dxfId="3415" priority="4194" stopIfTrue="1" operator="notEqual">
      <formula>H465</formula>
    </cfRule>
  </conditionalFormatting>
  <conditionalFormatting sqref="G457">
    <cfRule type="cellIs" dxfId="3414" priority="4193" stopIfTrue="1" operator="notEqual">
      <formula>H457</formula>
    </cfRule>
  </conditionalFormatting>
  <conditionalFormatting sqref="G458">
    <cfRule type="cellIs" dxfId="3413" priority="4192" stopIfTrue="1" operator="notEqual">
      <formula>H458</formula>
    </cfRule>
  </conditionalFormatting>
  <conditionalFormatting sqref="G459">
    <cfRule type="cellIs" dxfId="3412" priority="4191" stopIfTrue="1" operator="notEqual">
      <formula>H459</formula>
    </cfRule>
  </conditionalFormatting>
  <conditionalFormatting sqref="G460">
    <cfRule type="cellIs" dxfId="3411" priority="4190" stopIfTrue="1" operator="notEqual">
      <formula>H460</formula>
    </cfRule>
  </conditionalFormatting>
  <conditionalFormatting sqref="G461">
    <cfRule type="cellIs" dxfId="3410" priority="4189" stopIfTrue="1" operator="notEqual">
      <formula>H461</formula>
    </cfRule>
  </conditionalFormatting>
  <conditionalFormatting sqref="G462">
    <cfRule type="cellIs" dxfId="3409" priority="4188" stopIfTrue="1" operator="notEqual">
      <formula>H462</formula>
    </cfRule>
  </conditionalFormatting>
  <conditionalFormatting sqref="G463">
    <cfRule type="cellIs" dxfId="3408" priority="4187" stopIfTrue="1" operator="notEqual">
      <formula>H463</formula>
    </cfRule>
  </conditionalFormatting>
  <conditionalFormatting sqref="G464">
    <cfRule type="cellIs" dxfId="3407" priority="4186" stopIfTrue="1" operator="notEqual">
      <formula>H464</formula>
    </cfRule>
  </conditionalFormatting>
  <conditionalFormatting sqref="G465">
    <cfRule type="cellIs" dxfId="3406" priority="4185" stopIfTrue="1" operator="notEqual">
      <formula>H465</formula>
    </cfRule>
  </conditionalFormatting>
  <conditionalFormatting sqref="G457">
    <cfRule type="cellIs" dxfId="3405" priority="4184" stopIfTrue="1" operator="notEqual">
      <formula>H457</formula>
    </cfRule>
  </conditionalFormatting>
  <conditionalFormatting sqref="G457">
    <cfRule type="cellIs" dxfId="3404" priority="4183" stopIfTrue="1" operator="notEqual">
      <formula>H457</formula>
    </cfRule>
  </conditionalFormatting>
  <conditionalFormatting sqref="G457">
    <cfRule type="cellIs" dxfId="3403" priority="4182" stopIfTrue="1" operator="notEqual">
      <formula>H457</formula>
    </cfRule>
  </conditionalFormatting>
  <conditionalFormatting sqref="G457">
    <cfRule type="cellIs" dxfId="3402" priority="4181" stopIfTrue="1" operator="notEqual">
      <formula>H457</formula>
    </cfRule>
  </conditionalFormatting>
  <conditionalFormatting sqref="G457">
    <cfRule type="cellIs" dxfId="3401" priority="4180" stopIfTrue="1" operator="notEqual">
      <formula>H457</formula>
    </cfRule>
  </conditionalFormatting>
  <conditionalFormatting sqref="G457">
    <cfRule type="cellIs" dxfId="3400" priority="4179" stopIfTrue="1" operator="notEqual">
      <formula>H457</formula>
    </cfRule>
  </conditionalFormatting>
  <conditionalFormatting sqref="O457 M457 G457 K457 S457 U457 W457 I457 Q457">
    <cfRule type="cellIs" dxfId="3399" priority="4178" stopIfTrue="1" operator="notEqual">
      <formula>H457</formula>
    </cfRule>
  </conditionalFormatting>
  <conditionalFormatting sqref="O458 M458 G458 K458 S458 U458 W458 I458 Q458">
    <cfRule type="cellIs" dxfId="3398" priority="4177" stopIfTrue="1" operator="notEqual">
      <formula>H458</formula>
    </cfRule>
  </conditionalFormatting>
  <conditionalFormatting sqref="O459 M459 G459 K459 S459 U459 W459 I459 Q459">
    <cfRule type="cellIs" dxfId="3397" priority="4176" stopIfTrue="1" operator="notEqual">
      <formula>H459</formula>
    </cfRule>
  </conditionalFormatting>
  <conditionalFormatting sqref="O460 M460 G460 K460 S460 U460 W460 I460 Q460">
    <cfRule type="cellIs" dxfId="3396" priority="4175" stopIfTrue="1" operator="notEqual">
      <formula>H460</formula>
    </cfRule>
  </conditionalFormatting>
  <conditionalFormatting sqref="O461 M461 G461 K461 S461 U461 W461 I461 Q461">
    <cfRule type="cellIs" dxfId="3395" priority="4174" stopIfTrue="1" operator="notEqual">
      <formula>H461</formula>
    </cfRule>
  </conditionalFormatting>
  <conditionalFormatting sqref="O462 M462 G462 K462 S462 U462 W462 I462 Q462">
    <cfRule type="cellIs" dxfId="3394" priority="4173" stopIfTrue="1" operator="notEqual">
      <formula>H462</formula>
    </cfRule>
  </conditionalFormatting>
  <conditionalFormatting sqref="O463 M463 G463 K463 S463 U463 W463 I463 Q463">
    <cfRule type="cellIs" dxfId="3393" priority="4172" stopIfTrue="1" operator="notEqual">
      <formula>H463</formula>
    </cfRule>
  </conditionalFormatting>
  <conditionalFormatting sqref="O464 M464 G464 K464 S464 U464 W464 I464 Q464">
    <cfRule type="cellIs" dxfId="3392" priority="4171" stopIfTrue="1" operator="notEqual">
      <formula>H464</formula>
    </cfRule>
  </conditionalFormatting>
  <conditionalFormatting sqref="O465 M465 G465 K465 S465 U465 W465 I465 Q465">
    <cfRule type="cellIs" dxfId="3391" priority="4170" stopIfTrue="1" operator="notEqual">
      <formula>H465</formula>
    </cfRule>
  </conditionalFormatting>
  <conditionalFormatting sqref="O457 M457 G457 K457 S457 U457 W457 I457 Q457">
    <cfRule type="cellIs" dxfId="3390" priority="4169" stopIfTrue="1" operator="notEqual">
      <formula>H457</formula>
    </cfRule>
  </conditionalFormatting>
  <conditionalFormatting sqref="O458 M458 G458 K458 S458 U458 W458 I458 Q458">
    <cfRule type="cellIs" dxfId="3389" priority="4168" stopIfTrue="1" operator="notEqual">
      <formula>H458</formula>
    </cfRule>
  </conditionalFormatting>
  <conditionalFormatting sqref="O459 M459 G459 K459 S459 U459 W459 I459 Q459">
    <cfRule type="cellIs" dxfId="3388" priority="4167" stopIfTrue="1" operator="notEqual">
      <formula>H459</formula>
    </cfRule>
  </conditionalFormatting>
  <conditionalFormatting sqref="O457 M457 G457 K457 S457 U457 W457 I457 Q457">
    <cfRule type="cellIs" dxfId="3387" priority="4166" stopIfTrue="1" operator="notEqual">
      <formula>H457</formula>
    </cfRule>
  </conditionalFormatting>
  <conditionalFormatting sqref="O460 M460 G460 K460 S460 U460 W460 I460 Q460">
    <cfRule type="cellIs" dxfId="3386" priority="4165" stopIfTrue="1" operator="notEqual">
      <formula>H460</formula>
    </cfRule>
  </conditionalFormatting>
  <conditionalFormatting sqref="O461 M461 G461 K461 S461 U461 W461 I461 Q461">
    <cfRule type="cellIs" dxfId="3385" priority="4164" stopIfTrue="1" operator="notEqual">
      <formula>H461</formula>
    </cfRule>
  </conditionalFormatting>
  <conditionalFormatting sqref="O462 M462 G462 K462 S462 U462 W462 I462 Q462">
    <cfRule type="cellIs" dxfId="3384" priority="4163" stopIfTrue="1" operator="notEqual">
      <formula>H462</formula>
    </cfRule>
  </conditionalFormatting>
  <conditionalFormatting sqref="O463 M463 G463 K463 S463 U463 W463 I463 Q463">
    <cfRule type="cellIs" dxfId="3383" priority="4162" stopIfTrue="1" operator="notEqual">
      <formula>H463</formula>
    </cfRule>
  </conditionalFormatting>
  <conditionalFormatting sqref="O464 M464 G464 K464 S464 U464 W464 I464 Q464">
    <cfRule type="cellIs" dxfId="3382" priority="4161" stopIfTrue="1" operator="notEqual">
      <formula>H464</formula>
    </cfRule>
  </conditionalFormatting>
  <conditionalFormatting sqref="O465 M465 G465 K465 S465 U465 W465 I465 Q465">
    <cfRule type="cellIs" dxfId="3381" priority="4160" stopIfTrue="1" operator="notEqual">
      <formula>H465</formula>
    </cfRule>
  </conditionalFormatting>
  <conditionalFormatting sqref="G460:G465">
    <cfRule type="cellIs" dxfId="3380" priority="4159" stopIfTrue="1" operator="notEqual">
      <formula>H460</formula>
    </cfRule>
  </conditionalFormatting>
  <conditionalFormatting sqref="G447:G464">
    <cfRule type="cellIs" dxfId="3379" priority="4158" stopIfTrue="1" operator="notEqual">
      <formula>H447</formula>
    </cfRule>
  </conditionalFormatting>
  <conditionalFormatting sqref="G448">
    <cfRule type="cellIs" dxfId="3378" priority="4157" stopIfTrue="1" operator="notEqual">
      <formula>H448</formula>
    </cfRule>
  </conditionalFormatting>
  <conditionalFormatting sqref="G449">
    <cfRule type="cellIs" dxfId="3377" priority="4156" stopIfTrue="1" operator="notEqual">
      <formula>H449</formula>
    </cfRule>
  </conditionalFormatting>
  <conditionalFormatting sqref="G450">
    <cfRule type="cellIs" dxfId="3376" priority="4155" stopIfTrue="1" operator="notEqual">
      <formula>H450</formula>
    </cfRule>
  </conditionalFormatting>
  <conditionalFormatting sqref="G451">
    <cfRule type="cellIs" dxfId="3375" priority="4154" stopIfTrue="1" operator="notEqual">
      <formula>H451</formula>
    </cfRule>
  </conditionalFormatting>
  <conditionalFormatting sqref="G452">
    <cfRule type="cellIs" dxfId="3374" priority="4153" stopIfTrue="1" operator="notEqual">
      <formula>H452</formula>
    </cfRule>
  </conditionalFormatting>
  <conditionalFormatting sqref="G453">
    <cfRule type="cellIs" dxfId="3373" priority="4152" stopIfTrue="1" operator="notEqual">
      <formula>H453</formula>
    </cfRule>
  </conditionalFormatting>
  <conditionalFormatting sqref="G454">
    <cfRule type="cellIs" dxfId="3372" priority="4151" stopIfTrue="1" operator="notEqual">
      <formula>H454</formula>
    </cfRule>
  </conditionalFormatting>
  <conditionalFormatting sqref="G455">
    <cfRule type="cellIs" dxfId="3371" priority="4150" stopIfTrue="1" operator="notEqual">
      <formula>H455</formula>
    </cfRule>
  </conditionalFormatting>
  <conditionalFormatting sqref="G456">
    <cfRule type="cellIs" dxfId="3370" priority="4149" stopIfTrue="1" operator="notEqual">
      <formula>H456</formula>
    </cfRule>
  </conditionalFormatting>
  <conditionalFormatting sqref="G457">
    <cfRule type="cellIs" dxfId="3369" priority="4148" stopIfTrue="1" operator="notEqual">
      <formula>H457</formula>
    </cfRule>
  </conditionalFormatting>
  <conditionalFormatting sqref="G458">
    <cfRule type="cellIs" dxfId="3368" priority="4147" stopIfTrue="1" operator="notEqual">
      <formula>H458</formula>
    </cfRule>
  </conditionalFormatting>
  <conditionalFormatting sqref="G459">
    <cfRule type="cellIs" dxfId="3367" priority="4146" stopIfTrue="1" operator="notEqual">
      <formula>H459</formula>
    </cfRule>
  </conditionalFormatting>
  <conditionalFormatting sqref="G462">
    <cfRule type="cellIs" dxfId="3366" priority="4145" stopIfTrue="1" operator="notEqual">
      <formula>H462</formula>
    </cfRule>
  </conditionalFormatting>
  <conditionalFormatting sqref="G463">
    <cfRule type="cellIs" dxfId="3365" priority="4144" stopIfTrue="1" operator="notEqual">
      <formula>H463</formula>
    </cfRule>
  </conditionalFormatting>
  <conditionalFormatting sqref="G463">
    <cfRule type="cellIs" dxfId="3364" priority="4143" stopIfTrue="1" operator="notEqual">
      <formula>H463</formula>
    </cfRule>
  </conditionalFormatting>
  <conditionalFormatting sqref="G461">
    <cfRule type="cellIs" dxfId="3363" priority="4142" stopIfTrue="1" operator="notEqual">
      <formula>H461</formula>
    </cfRule>
  </conditionalFormatting>
  <conditionalFormatting sqref="G465">
    <cfRule type="cellIs" dxfId="3362" priority="4141" stopIfTrue="1" operator="notEqual">
      <formula>H465</formula>
    </cfRule>
  </conditionalFormatting>
  <conditionalFormatting sqref="O456:O461 M456:M461 G456:G461 K456:K461 S456:S461 U456:U461 W456:W461 I456:I461 Q456:Q461">
    <cfRule type="cellIs" dxfId="3361" priority="4140" stopIfTrue="1" operator="notEqual">
      <formula>H456</formula>
    </cfRule>
  </conditionalFormatting>
  <conditionalFormatting sqref="O447:O464 M447:M464 G447:G464 K447:K464 S447:S464 U447:U464 W447:W464 I447:I464 Q447:Q464">
    <cfRule type="cellIs" dxfId="3360" priority="4139" stopIfTrue="1" operator="notEqual">
      <formula>H447</formula>
    </cfRule>
  </conditionalFormatting>
  <conditionalFormatting sqref="O448 M448 G448 K448 S448 U448 W448 I448 Q448">
    <cfRule type="cellIs" dxfId="3359" priority="4138" stopIfTrue="1" operator="notEqual">
      <formula>H448</formula>
    </cfRule>
  </conditionalFormatting>
  <conditionalFormatting sqref="O449 M449 G449 K449 S449 U449 W449 I449 Q449">
    <cfRule type="cellIs" dxfId="3358" priority="4137" stopIfTrue="1" operator="notEqual">
      <formula>H449</formula>
    </cfRule>
  </conditionalFormatting>
  <conditionalFormatting sqref="O450 M450 G450 K450 S450 U450 W450 I450 Q450">
    <cfRule type="cellIs" dxfId="3357" priority="4136" stopIfTrue="1" operator="notEqual">
      <formula>H450</formula>
    </cfRule>
  </conditionalFormatting>
  <conditionalFormatting sqref="O451 M451 G451 K451 S451 U451 W451 I451 Q451">
    <cfRule type="cellIs" dxfId="3356" priority="4135" stopIfTrue="1" operator="notEqual">
      <formula>H451</formula>
    </cfRule>
  </conditionalFormatting>
  <conditionalFormatting sqref="O452 M452 G452 K452 S452 U452 W452 I452 Q452">
    <cfRule type="cellIs" dxfId="3355" priority="4134" stopIfTrue="1" operator="notEqual">
      <formula>H452</formula>
    </cfRule>
  </conditionalFormatting>
  <conditionalFormatting sqref="O453 M453 G453 K453 S453 U453 W453 I453 Q453">
    <cfRule type="cellIs" dxfId="3354" priority="4133" stopIfTrue="1" operator="notEqual">
      <formula>H453</formula>
    </cfRule>
  </conditionalFormatting>
  <conditionalFormatting sqref="O454 M454 G454 K454 S454 U454 W454 I454 Q454">
    <cfRule type="cellIs" dxfId="3353" priority="4132" stopIfTrue="1" operator="notEqual">
      <formula>H454</formula>
    </cfRule>
  </conditionalFormatting>
  <conditionalFormatting sqref="O455 M455 G455 K455 S455 U455 W455 I455 Q455">
    <cfRule type="cellIs" dxfId="3352" priority="4131" stopIfTrue="1" operator="notEqual">
      <formula>H455</formula>
    </cfRule>
  </conditionalFormatting>
  <conditionalFormatting sqref="O458 M458 G458 K458 S458 U458 W458 I458 Q458">
    <cfRule type="cellIs" dxfId="3351" priority="4130" stopIfTrue="1" operator="notEqual">
      <formula>H458</formula>
    </cfRule>
  </conditionalFormatting>
  <conditionalFormatting sqref="O459 M459 G459 K459 S459 U459 W459 I459 Q459">
    <cfRule type="cellIs" dxfId="3350" priority="4129" stopIfTrue="1" operator="notEqual">
      <formula>H459</formula>
    </cfRule>
  </conditionalFormatting>
  <conditionalFormatting sqref="O459 M459 G459 K459 S459 U459 W459 I459 Q459">
    <cfRule type="cellIs" dxfId="3349" priority="4128" stopIfTrue="1" operator="notEqual">
      <formula>H459</formula>
    </cfRule>
  </conditionalFormatting>
  <conditionalFormatting sqref="O457 M457 G457 K457 S457 U457 W457 I457 Q457">
    <cfRule type="cellIs" dxfId="3348" priority="4127" stopIfTrue="1" operator="notEqual">
      <formula>H457</formula>
    </cfRule>
  </conditionalFormatting>
  <conditionalFormatting sqref="O462 M462 G462 K462 S462 U462 W462 I462 Q462">
    <cfRule type="cellIs" dxfId="3347" priority="4126" stopIfTrue="1" operator="notEqual">
      <formula>H462</formula>
    </cfRule>
  </conditionalFormatting>
  <conditionalFormatting sqref="O463 M463 G463 K463 S463 U463 W463 I463 Q463">
    <cfRule type="cellIs" dxfId="3346" priority="4125" stopIfTrue="1" operator="notEqual">
      <formula>H463</formula>
    </cfRule>
  </conditionalFormatting>
  <conditionalFormatting sqref="O461 M461 G461 K461 S461 U461 W461 I461 Q461">
    <cfRule type="cellIs" dxfId="3345" priority="4124" stopIfTrue="1" operator="notEqual">
      <formula>H461</formula>
    </cfRule>
  </conditionalFormatting>
  <conditionalFormatting sqref="O464 M464 G464 K464 S464 U464 W464 I464 Q464">
    <cfRule type="cellIs" dxfId="3344" priority="4123" stopIfTrue="1" operator="notEqual">
      <formula>H464</formula>
    </cfRule>
  </conditionalFormatting>
  <conditionalFormatting sqref="O465 M465 G465 K465 S465 U465 W465 I465 Q465">
    <cfRule type="cellIs" dxfId="3343" priority="4122" stopIfTrue="1" operator="notEqual">
      <formula>H465</formula>
    </cfRule>
  </conditionalFormatting>
  <conditionalFormatting sqref="O447:O464 M447:M464 G447:G464 K447:K464 S447:S464 U447:U464 W447:W464 I447:I464 Q447:Q464">
    <cfRule type="cellIs" dxfId="3342" priority="4121" stopIfTrue="1" operator="notEqual">
      <formula>H447</formula>
    </cfRule>
  </conditionalFormatting>
  <conditionalFormatting sqref="O448 M448 G448 K448 S448 U448 W448 I448 Q448">
    <cfRule type="cellIs" dxfId="3341" priority="4120" stopIfTrue="1" operator="notEqual">
      <formula>H448</formula>
    </cfRule>
  </conditionalFormatting>
  <conditionalFormatting sqref="O449 M449 G449 K449 S449 U449 W449 I449 Q449">
    <cfRule type="cellIs" dxfId="3340" priority="4119" stopIfTrue="1" operator="notEqual">
      <formula>H449</formula>
    </cfRule>
  </conditionalFormatting>
  <conditionalFormatting sqref="O450 M450 G450 K450 S450 U450 W450 I450 Q450">
    <cfRule type="cellIs" dxfId="3339" priority="4118" stopIfTrue="1" operator="notEqual">
      <formula>H450</formula>
    </cfRule>
  </conditionalFormatting>
  <conditionalFormatting sqref="O451 M451 G451 K451 S451 U451 W451 I451 Q451">
    <cfRule type="cellIs" dxfId="3338" priority="4117" stopIfTrue="1" operator="notEqual">
      <formula>H451</formula>
    </cfRule>
  </conditionalFormatting>
  <conditionalFormatting sqref="O452 M452 G452 K452 S452 U452 W452 I452 Q452">
    <cfRule type="cellIs" dxfId="3337" priority="4116" stopIfTrue="1" operator="notEqual">
      <formula>H452</formula>
    </cfRule>
  </conditionalFormatting>
  <conditionalFormatting sqref="O453 M453 G453 K453 S453 U453 W453 I453 Q453">
    <cfRule type="cellIs" dxfId="3336" priority="4115" stopIfTrue="1" operator="notEqual">
      <formula>H453</formula>
    </cfRule>
  </conditionalFormatting>
  <conditionalFormatting sqref="O454 M454 G454 K454 S454 U454 W454 I454 Q454">
    <cfRule type="cellIs" dxfId="3335" priority="4114" stopIfTrue="1" operator="notEqual">
      <formula>H454</formula>
    </cfRule>
  </conditionalFormatting>
  <conditionalFormatting sqref="O455 M455 G455 K455 S455 U455 W455 I455 Q455">
    <cfRule type="cellIs" dxfId="3334" priority="4113" stopIfTrue="1" operator="notEqual">
      <formula>H455</formula>
    </cfRule>
  </conditionalFormatting>
  <conditionalFormatting sqref="O456 M456 G456 K456 S456 U456 W456 I456 Q456">
    <cfRule type="cellIs" dxfId="3333" priority="4112" stopIfTrue="1" operator="notEqual">
      <formula>H456</formula>
    </cfRule>
  </conditionalFormatting>
  <conditionalFormatting sqref="O457 M457 G457 K457 S457 U457 W457 I457 Q457">
    <cfRule type="cellIs" dxfId="3332" priority="4111" stopIfTrue="1" operator="notEqual">
      <formula>H457</formula>
    </cfRule>
  </conditionalFormatting>
  <conditionalFormatting sqref="O458 M458 G458 K458 S458 U458 W458 I458 Q458">
    <cfRule type="cellIs" dxfId="3331" priority="4110" stopIfTrue="1" operator="notEqual">
      <formula>H458</formula>
    </cfRule>
  </conditionalFormatting>
  <conditionalFormatting sqref="O459 M459 G459 K459 S459 U459 W459 I459 Q459">
    <cfRule type="cellIs" dxfId="3330" priority="4109" stopIfTrue="1" operator="notEqual">
      <formula>H459</formula>
    </cfRule>
  </conditionalFormatting>
  <conditionalFormatting sqref="O460 M460 G460 K460 S460 U460 W460 I460 Q460">
    <cfRule type="cellIs" dxfId="3329" priority="4108" stopIfTrue="1" operator="notEqual">
      <formula>H460</formula>
    </cfRule>
  </conditionalFormatting>
  <conditionalFormatting sqref="O461 M461 G461 K461 S461 U461 W461 I461 Q461">
    <cfRule type="cellIs" dxfId="3328" priority="4107" stopIfTrue="1" operator="notEqual">
      <formula>H461</formula>
    </cfRule>
  </conditionalFormatting>
  <conditionalFormatting sqref="G462">
    <cfRule type="cellIs" dxfId="3327" priority="4106" stopIfTrue="1" operator="notEqual">
      <formula>H462</formula>
    </cfRule>
  </conditionalFormatting>
  <conditionalFormatting sqref="G463">
    <cfRule type="cellIs" dxfId="3326" priority="4105" stopIfTrue="1" operator="notEqual">
      <formula>H463</formula>
    </cfRule>
  </conditionalFormatting>
  <conditionalFormatting sqref="G464">
    <cfRule type="cellIs" dxfId="3325" priority="4104" stopIfTrue="1" operator="notEqual">
      <formula>H464</formula>
    </cfRule>
  </conditionalFormatting>
  <conditionalFormatting sqref="G465">
    <cfRule type="cellIs" dxfId="3324" priority="4103" stopIfTrue="1" operator="notEqual">
      <formula>H465</formula>
    </cfRule>
  </conditionalFormatting>
  <conditionalFormatting sqref="G462">
    <cfRule type="cellIs" dxfId="3323" priority="4102" stopIfTrue="1" operator="notEqual">
      <formula>H462</formula>
    </cfRule>
  </conditionalFormatting>
  <conditionalFormatting sqref="G462">
    <cfRule type="cellIs" dxfId="3322" priority="4101" stopIfTrue="1" operator="notEqual">
      <formula>H462</formula>
    </cfRule>
  </conditionalFormatting>
  <conditionalFormatting sqref="G462">
    <cfRule type="cellIs" dxfId="3321" priority="4100" stopIfTrue="1" operator="notEqual">
      <formula>H462</formula>
    </cfRule>
  </conditionalFormatting>
  <conditionalFormatting sqref="G462">
    <cfRule type="cellIs" dxfId="3320" priority="4099" stopIfTrue="1" operator="notEqual">
      <formula>H462</formula>
    </cfRule>
  </conditionalFormatting>
  <conditionalFormatting sqref="G462">
    <cfRule type="cellIs" dxfId="3319" priority="4098" stopIfTrue="1" operator="notEqual">
      <formula>H462</formula>
    </cfRule>
  </conditionalFormatting>
  <conditionalFormatting sqref="G462">
    <cfRule type="cellIs" dxfId="3318" priority="4097" stopIfTrue="1" operator="notEqual">
      <formula>H462</formula>
    </cfRule>
  </conditionalFormatting>
  <conditionalFormatting sqref="O462 M462 G462 K462 S462 U462 W462 I462 Q462">
    <cfRule type="cellIs" dxfId="3317" priority="4096" stopIfTrue="1" operator="notEqual">
      <formula>H462</formula>
    </cfRule>
  </conditionalFormatting>
  <conditionalFormatting sqref="O463 M463 G463 K463 S463 U463 W463 I463 Q463">
    <cfRule type="cellIs" dxfId="3316" priority="4095" stopIfTrue="1" operator="notEqual">
      <formula>H463</formula>
    </cfRule>
  </conditionalFormatting>
  <conditionalFormatting sqref="O464 M464 G464 K464 S464 U464 W464 I464 Q464">
    <cfRule type="cellIs" dxfId="3315" priority="4094" stopIfTrue="1" operator="notEqual">
      <formula>H464</formula>
    </cfRule>
  </conditionalFormatting>
  <conditionalFormatting sqref="O465 M465 G465 K465 S465 U465 W465 I465 Q465">
    <cfRule type="cellIs" dxfId="3314" priority="4093" stopIfTrue="1" operator="notEqual">
      <formula>H465</formula>
    </cfRule>
  </conditionalFormatting>
  <conditionalFormatting sqref="O462 M462 G462 K462 S462 U462 W462 I462 Q462">
    <cfRule type="cellIs" dxfId="3313" priority="4092" stopIfTrue="1" operator="notEqual">
      <formula>H462</formula>
    </cfRule>
  </conditionalFormatting>
  <conditionalFormatting sqref="O463 M463 G463 K463 S463 U463 W463 I463 Q463">
    <cfRule type="cellIs" dxfId="3312" priority="4091" stopIfTrue="1" operator="notEqual">
      <formula>H463</formula>
    </cfRule>
  </conditionalFormatting>
  <conditionalFormatting sqref="O464 M464 G464 K464 S464 U464 W464 I464 Q464">
    <cfRule type="cellIs" dxfId="3311" priority="4090" stopIfTrue="1" operator="notEqual">
      <formula>H464</formula>
    </cfRule>
  </conditionalFormatting>
  <conditionalFormatting sqref="O462 M462 G462 K462 S462 U462 W462 I462 Q462">
    <cfRule type="cellIs" dxfId="3310" priority="4089" stopIfTrue="1" operator="notEqual">
      <formula>H462</formula>
    </cfRule>
  </conditionalFormatting>
  <conditionalFormatting sqref="O465 M465 G465 K465 S465 U465 W465 I465 Q465">
    <cfRule type="cellIs" dxfId="3309" priority="4088" stopIfTrue="1" operator="notEqual">
      <formula>H465</formula>
    </cfRule>
  </conditionalFormatting>
  <conditionalFormatting sqref="O447:O464 M447:M464 G447:G464 K447:K464 S447:S464 U447:U464 W447:W464 I447:I464 Q447:Q464">
    <cfRule type="cellIs" dxfId="3308" priority="4087" stopIfTrue="1" operator="notEqual">
      <formula>H447</formula>
    </cfRule>
  </conditionalFormatting>
  <conditionalFormatting sqref="O447:O464 M447:M464 G447:G464 K447:K464 S447:S464 U447:U464 W447:W464 I447:I464 Q447:Q464">
    <cfRule type="cellIs" dxfId="3307" priority="4086" stopIfTrue="1" operator="notEqual">
      <formula>H447</formula>
    </cfRule>
  </conditionalFormatting>
  <conditionalFormatting sqref="O448 M448 G448 K448 S448 U448 W448 I448 Q448">
    <cfRule type="cellIs" dxfId="3306" priority="4085" stopIfTrue="1" operator="notEqual">
      <formula>H448</formula>
    </cfRule>
  </conditionalFormatting>
  <conditionalFormatting sqref="O448 M448 G448 K448 S448 U448 W448 I448 Q448">
    <cfRule type="cellIs" dxfId="3305" priority="4084" stopIfTrue="1" operator="notEqual">
      <formula>H448</formula>
    </cfRule>
  </conditionalFormatting>
  <conditionalFormatting sqref="O451 M451 G451 K451 S451 U451 W451 I451 Q451">
    <cfRule type="cellIs" dxfId="3304" priority="4083" stopIfTrue="1" operator="notEqual">
      <formula>H451</formula>
    </cfRule>
  </conditionalFormatting>
  <conditionalFormatting sqref="O452 M452 G452 K452 S452 U452 W452 I452 Q452">
    <cfRule type="cellIs" dxfId="3303" priority="4082" stopIfTrue="1" operator="notEqual">
      <formula>H452</formula>
    </cfRule>
  </conditionalFormatting>
  <conditionalFormatting sqref="O450 M450 G450 K450 S450 U450 W450 I450 Q450">
    <cfRule type="cellIs" dxfId="3302" priority="4081" stopIfTrue="1" operator="notEqual">
      <formula>H450</formula>
    </cfRule>
  </conditionalFormatting>
  <conditionalFormatting sqref="O453 M453 G453 K453 S453 U453 W453 I453 Q453">
    <cfRule type="cellIs" dxfId="3301" priority="4080" stopIfTrue="1" operator="notEqual">
      <formula>H453</formula>
    </cfRule>
  </conditionalFormatting>
  <conditionalFormatting sqref="O454 M454 G454 K454 S454 U454 W454 I454 Q454">
    <cfRule type="cellIs" dxfId="3300" priority="4079" stopIfTrue="1" operator="notEqual">
      <formula>H454</formula>
    </cfRule>
  </conditionalFormatting>
  <conditionalFormatting sqref="O455 M455 G455 K455 S455 U455 W455 I455 Q455">
    <cfRule type="cellIs" dxfId="3299" priority="4078" stopIfTrue="1" operator="notEqual">
      <formula>H455</formula>
    </cfRule>
  </conditionalFormatting>
  <conditionalFormatting sqref="O456 M456 G456 K456 S456 U456 W456 I456 Q456">
    <cfRule type="cellIs" dxfId="3298" priority="4077" stopIfTrue="1" operator="notEqual">
      <formula>H456</formula>
    </cfRule>
  </conditionalFormatting>
  <conditionalFormatting sqref="O457 M457 G457 K457 S457 U457 W457 I457 Q457">
    <cfRule type="cellIs" dxfId="3297" priority="4076" stopIfTrue="1" operator="notEqual">
      <formula>H457</formula>
    </cfRule>
  </conditionalFormatting>
  <conditionalFormatting sqref="O458 M458 G458 K458 S458 U458 W458 I458 Q458">
    <cfRule type="cellIs" dxfId="3296" priority="4075" stopIfTrue="1" operator="notEqual">
      <formula>H458</formula>
    </cfRule>
  </conditionalFormatting>
  <conditionalFormatting sqref="O459 M459 G459 K459 S459 U459 W459 I459 Q459">
    <cfRule type="cellIs" dxfId="3295" priority="4074" stopIfTrue="1" operator="notEqual">
      <formula>H459</formula>
    </cfRule>
  </conditionalFormatting>
  <conditionalFormatting sqref="O460 M460 G460 K460 S460 U460 W460 I460 Q460">
    <cfRule type="cellIs" dxfId="3294" priority="4073" stopIfTrue="1" operator="notEqual">
      <formula>H460</formula>
    </cfRule>
  </conditionalFormatting>
  <conditionalFormatting sqref="O461 M461 G461 K461 S461 U461 W461 I461 Q461">
    <cfRule type="cellIs" dxfId="3293" priority="4072" stopIfTrue="1" operator="notEqual">
      <formula>H461</formula>
    </cfRule>
  </conditionalFormatting>
  <conditionalFormatting sqref="O462 M462 G462 K462 S462 U462 W462 I462 Q462">
    <cfRule type="cellIs" dxfId="3292" priority="4071" stopIfTrue="1" operator="notEqual">
      <formula>H462</formula>
    </cfRule>
  </conditionalFormatting>
  <conditionalFormatting sqref="O463 M463 G463 K463 S463 U463 W463 I463 Q463">
    <cfRule type="cellIs" dxfId="3291" priority="4070" stopIfTrue="1" operator="notEqual">
      <formula>H463</formula>
    </cfRule>
  </conditionalFormatting>
  <conditionalFormatting sqref="O464 M464 G464 K464 S464 U464 W464 I464 Q464">
    <cfRule type="cellIs" dxfId="3290" priority="4069" stopIfTrue="1" operator="notEqual">
      <formula>H464</formula>
    </cfRule>
  </conditionalFormatting>
  <conditionalFormatting sqref="O465 M465 G465 K465 S465 U465 W465 I465 Q465">
    <cfRule type="cellIs" dxfId="3289" priority="4068" stopIfTrue="1" operator="notEqual">
      <formula>H465</formula>
    </cfRule>
  </conditionalFormatting>
  <conditionalFormatting sqref="G479">
    <cfRule type="cellIs" dxfId="3288" priority="4067" stopIfTrue="1" operator="notEqual">
      <formula>H479</formula>
    </cfRule>
  </conditionalFormatting>
  <conditionalFormatting sqref="G479">
    <cfRule type="cellIs" dxfId="3287" priority="4066" stopIfTrue="1" operator="notEqual">
      <formula>H479</formula>
    </cfRule>
  </conditionalFormatting>
  <conditionalFormatting sqref="G479">
    <cfRule type="cellIs" dxfId="3286" priority="4065" stopIfTrue="1" operator="notEqual">
      <formula>H479</formula>
    </cfRule>
  </conditionalFormatting>
  <conditionalFormatting sqref="G479">
    <cfRule type="cellIs" dxfId="3285" priority="4064" stopIfTrue="1" operator="notEqual">
      <formula>H479</formula>
    </cfRule>
  </conditionalFormatting>
  <conditionalFormatting sqref="G479">
    <cfRule type="cellIs" dxfId="3284" priority="4063" stopIfTrue="1" operator="notEqual">
      <formula>H479</formula>
    </cfRule>
  </conditionalFormatting>
  <conditionalFormatting sqref="G479">
    <cfRule type="cellIs" dxfId="3283" priority="4062" stopIfTrue="1" operator="notEqual">
      <formula>H479</formula>
    </cfRule>
  </conditionalFormatting>
  <conditionalFormatting sqref="G473">
    <cfRule type="cellIs" dxfId="3282" priority="4061" stopIfTrue="1" operator="notEqual">
      <formula>H473</formula>
    </cfRule>
  </conditionalFormatting>
  <conditionalFormatting sqref="G466">
    <cfRule type="cellIs" dxfId="3281" priority="4060" stopIfTrue="1" operator="notEqual">
      <formula>H466</formula>
    </cfRule>
  </conditionalFormatting>
  <conditionalFormatting sqref="G467">
    <cfRule type="cellIs" dxfId="3280" priority="4059" stopIfTrue="1" operator="notEqual">
      <formula>H467</formula>
    </cfRule>
  </conditionalFormatting>
  <conditionalFormatting sqref="G468">
    <cfRule type="cellIs" dxfId="3279" priority="4058" stopIfTrue="1" operator="notEqual">
      <formula>H468</formula>
    </cfRule>
  </conditionalFormatting>
  <conditionalFormatting sqref="G469:G476">
    <cfRule type="cellIs" dxfId="3278" priority="4057" stopIfTrue="1" operator="notEqual">
      <formula>H469</formula>
    </cfRule>
  </conditionalFormatting>
  <conditionalFormatting sqref="G470">
    <cfRule type="cellIs" dxfId="3277" priority="4056" stopIfTrue="1" operator="notEqual">
      <formula>H470</formula>
    </cfRule>
  </conditionalFormatting>
  <conditionalFormatting sqref="G471">
    <cfRule type="cellIs" dxfId="3276" priority="4055" stopIfTrue="1" operator="notEqual">
      <formula>H471</formula>
    </cfRule>
  </conditionalFormatting>
  <conditionalFormatting sqref="G472">
    <cfRule type="cellIs" dxfId="3275" priority="4054" stopIfTrue="1" operator="notEqual">
      <formula>H472</formula>
    </cfRule>
  </conditionalFormatting>
  <conditionalFormatting sqref="G466">
    <cfRule type="cellIs" dxfId="3274" priority="4053" stopIfTrue="1" operator="notEqual">
      <formula>H466</formula>
    </cfRule>
  </conditionalFormatting>
  <conditionalFormatting sqref="G467">
    <cfRule type="cellIs" dxfId="3273" priority="4052" stopIfTrue="1" operator="notEqual">
      <formula>H467</formula>
    </cfRule>
  </conditionalFormatting>
  <conditionalFormatting sqref="G468">
    <cfRule type="cellIs" dxfId="3272" priority="4051" stopIfTrue="1" operator="notEqual">
      <formula>H468</formula>
    </cfRule>
  </conditionalFormatting>
  <conditionalFormatting sqref="G469:G476">
    <cfRule type="cellIs" dxfId="3271" priority="4050" stopIfTrue="1" operator="notEqual">
      <formula>H469</formula>
    </cfRule>
  </conditionalFormatting>
  <conditionalFormatting sqref="G470">
    <cfRule type="cellIs" dxfId="3270" priority="4049" stopIfTrue="1" operator="notEqual">
      <formula>H470</formula>
    </cfRule>
  </conditionalFormatting>
  <conditionalFormatting sqref="G471">
    <cfRule type="cellIs" dxfId="3269" priority="4048" stopIfTrue="1" operator="notEqual">
      <formula>H471</formula>
    </cfRule>
  </conditionalFormatting>
  <conditionalFormatting sqref="G472">
    <cfRule type="cellIs" dxfId="3268" priority="4047" stopIfTrue="1" operator="notEqual">
      <formula>H472</formula>
    </cfRule>
  </conditionalFormatting>
  <conditionalFormatting sqref="O466 M466 G466 K466 S466 U466 W466 I466 Q466">
    <cfRule type="cellIs" dxfId="3267" priority="4046" stopIfTrue="1" operator="notEqual">
      <formula>H466</formula>
    </cfRule>
  </conditionalFormatting>
  <conditionalFormatting sqref="O467 M467 G467 K467 S467 U467 W467 I467 Q467">
    <cfRule type="cellIs" dxfId="3266" priority="4045" stopIfTrue="1" operator="notEqual">
      <formula>H467</formula>
    </cfRule>
  </conditionalFormatting>
  <conditionalFormatting sqref="O468 M468 G468 K468 S468 U468 W468 I468 Q468">
    <cfRule type="cellIs" dxfId="3265" priority="4044" stopIfTrue="1" operator="notEqual">
      <formula>H468</formula>
    </cfRule>
  </conditionalFormatting>
  <conditionalFormatting sqref="O469:O476 M469:M476 G469:G476 K469:K476 S469:S476 U469:U476 W469:W476 I469:I476 Q469:Q476">
    <cfRule type="cellIs" dxfId="3264" priority="4043" stopIfTrue="1" operator="notEqual">
      <formula>H469</formula>
    </cfRule>
  </conditionalFormatting>
  <conditionalFormatting sqref="O470 M470 G470 K470 S470 U470 W470 I470 Q470">
    <cfRule type="cellIs" dxfId="3263" priority="4042" stopIfTrue="1" operator="notEqual">
      <formula>H470</formula>
    </cfRule>
  </conditionalFormatting>
  <conditionalFormatting sqref="O471 M471 G471 K471 S471 U471 W471 I471 Q471">
    <cfRule type="cellIs" dxfId="3262" priority="4041" stopIfTrue="1" operator="notEqual">
      <formula>H471</formula>
    </cfRule>
  </conditionalFormatting>
  <conditionalFormatting sqref="G471:G472">
    <cfRule type="cellIs" dxfId="3261" priority="4040" stopIfTrue="1" operator="notEqual">
      <formula>H471</formula>
    </cfRule>
  </conditionalFormatting>
  <conditionalFormatting sqref="G466">
    <cfRule type="cellIs" dxfId="3260" priority="4039" stopIfTrue="1" operator="notEqual">
      <formula>H466</formula>
    </cfRule>
  </conditionalFormatting>
  <conditionalFormatting sqref="G467">
    <cfRule type="cellIs" dxfId="3259" priority="4038" stopIfTrue="1" operator="notEqual">
      <formula>H467</formula>
    </cfRule>
  </conditionalFormatting>
  <conditionalFormatting sqref="G468">
    <cfRule type="cellIs" dxfId="3258" priority="4037" stopIfTrue="1" operator="notEqual">
      <formula>H468</formula>
    </cfRule>
  </conditionalFormatting>
  <conditionalFormatting sqref="G469:G476">
    <cfRule type="cellIs" dxfId="3257" priority="4036" stopIfTrue="1" operator="notEqual">
      <formula>H469</formula>
    </cfRule>
  </conditionalFormatting>
  <conditionalFormatting sqref="G470">
    <cfRule type="cellIs" dxfId="3256" priority="4035" stopIfTrue="1" operator="notEqual">
      <formula>H470</formula>
    </cfRule>
  </conditionalFormatting>
  <conditionalFormatting sqref="G472">
    <cfRule type="cellIs" dxfId="3255" priority="4034" stopIfTrue="1" operator="notEqual">
      <formula>H472</formula>
    </cfRule>
  </conditionalFormatting>
  <conditionalFormatting sqref="O467:O476 M467:M476 G467:G476 K467:K476 S467:S476 U467:U476 W467:W476 I467:I476 Q467:Q476">
    <cfRule type="cellIs" dxfId="3254" priority="4033" stopIfTrue="1" operator="notEqual">
      <formula>H467</formula>
    </cfRule>
  </conditionalFormatting>
  <conditionalFormatting sqref="O466 M466 G466 K466 S466 U466 W466 I466 Q466">
    <cfRule type="cellIs" dxfId="3253" priority="4032" stopIfTrue="1" operator="notEqual">
      <formula>H466</formula>
    </cfRule>
  </conditionalFormatting>
  <conditionalFormatting sqref="O469:O476 M469:M476 G469:G476 K469:K476 S469:S476 U469:U476 W469:W476 I469:I476 Q469:Q476">
    <cfRule type="cellIs" dxfId="3252" priority="4031" stopIfTrue="1" operator="notEqual">
      <formula>H469</formula>
    </cfRule>
  </conditionalFormatting>
  <conditionalFormatting sqref="O470 M470 G470 K470 S470 U470 W470 I470 Q470">
    <cfRule type="cellIs" dxfId="3251" priority="4030" stopIfTrue="1" operator="notEqual">
      <formula>H470</formula>
    </cfRule>
  </conditionalFormatting>
  <conditionalFormatting sqref="O470 M470 G470 K470 S470 U470 W470 I470 Q470">
    <cfRule type="cellIs" dxfId="3250" priority="4029" stopIfTrue="1" operator="notEqual">
      <formula>H470</formula>
    </cfRule>
  </conditionalFormatting>
  <conditionalFormatting sqref="O468 M468 G468 K468 S468 U468 W468 I468 Q468">
    <cfRule type="cellIs" dxfId="3249" priority="4028" stopIfTrue="1" operator="notEqual">
      <formula>H468</formula>
    </cfRule>
  </conditionalFormatting>
  <conditionalFormatting sqref="O472 M472 G472 K472 S472 U472 W472 I472 Q472">
    <cfRule type="cellIs" dxfId="3248" priority="4027" stopIfTrue="1" operator="notEqual">
      <formula>H472</formula>
    </cfRule>
  </conditionalFormatting>
  <conditionalFormatting sqref="O466 M466 G466 K466 S466 U466 W466 I466 Q466">
    <cfRule type="cellIs" dxfId="3247" priority="4026" stopIfTrue="1" operator="notEqual">
      <formula>H466</formula>
    </cfRule>
  </conditionalFormatting>
  <conditionalFormatting sqref="O467 M467 G467 K467 S467 U467 W467 I467 Q467">
    <cfRule type="cellIs" dxfId="3246" priority="4025" stopIfTrue="1" operator="notEqual">
      <formula>H467</formula>
    </cfRule>
  </conditionalFormatting>
  <conditionalFormatting sqref="O468 M468 G468 K468 S468 U468 W468 I468 Q468">
    <cfRule type="cellIs" dxfId="3245" priority="4024" stopIfTrue="1" operator="notEqual">
      <formula>H468</formula>
    </cfRule>
  </conditionalFormatting>
  <conditionalFormatting sqref="O469:O476 M469:M476 G469:G476 K469:K476 S469:S476 U469:U476 W469:W476 I469:I476 Q469:Q476">
    <cfRule type="cellIs" dxfId="3244" priority="4023" stopIfTrue="1" operator="notEqual">
      <formula>H469</formula>
    </cfRule>
  </conditionalFormatting>
  <conditionalFormatting sqref="O470 M470 G470 K470 S470 U470 W470 I470 Q470">
    <cfRule type="cellIs" dxfId="3243" priority="4022" stopIfTrue="1" operator="notEqual">
      <formula>H470</formula>
    </cfRule>
  </conditionalFormatting>
  <conditionalFormatting sqref="O471 M471 G471 K471 S471 U471 W471 I471 Q471">
    <cfRule type="cellIs" dxfId="3242" priority="4021" stopIfTrue="1" operator="notEqual">
      <formula>H471</formula>
    </cfRule>
  </conditionalFormatting>
  <conditionalFormatting sqref="O472 M472 G472 K472 S472 U472 W472 I472 Q472">
    <cfRule type="cellIs" dxfId="3241" priority="4020" stopIfTrue="1" operator="notEqual">
      <formula>H472</formula>
    </cfRule>
  </conditionalFormatting>
  <conditionalFormatting sqref="G466">
    <cfRule type="cellIs" dxfId="3240" priority="4019" stopIfTrue="1" operator="notEqual">
      <formula>H466</formula>
    </cfRule>
  </conditionalFormatting>
  <conditionalFormatting sqref="G467">
    <cfRule type="cellIs" dxfId="3239" priority="4018" stopIfTrue="1" operator="notEqual">
      <formula>H467</formula>
    </cfRule>
  </conditionalFormatting>
  <conditionalFormatting sqref="G468">
    <cfRule type="cellIs" dxfId="3238" priority="4017" stopIfTrue="1" operator="notEqual">
      <formula>H468</formula>
    </cfRule>
  </conditionalFormatting>
  <conditionalFormatting sqref="G469:G476">
    <cfRule type="cellIs" dxfId="3237" priority="4016" stopIfTrue="1" operator="notEqual">
      <formula>H469</formula>
    </cfRule>
  </conditionalFormatting>
  <conditionalFormatting sqref="G470">
    <cfRule type="cellIs" dxfId="3236" priority="4015" stopIfTrue="1" operator="notEqual">
      <formula>H470</formula>
    </cfRule>
  </conditionalFormatting>
  <conditionalFormatting sqref="G471">
    <cfRule type="cellIs" dxfId="3235" priority="4014" stopIfTrue="1" operator="notEqual">
      <formula>H471</formula>
    </cfRule>
  </conditionalFormatting>
  <conditionalFormatting sqref="G472">
    <cfRule type="cellIs" dxfId="3234" priority="4013" stopIfTrue="1" operator="notEqual">
      <formula>H472</formula>
    </cfRule>
  </conditionalFormatting>
  <conditionalFormatting sqref="G473">
    <cfRule type="cellIs" dxfId="3233" priority="4012" stopIfTrue="1" operator="notEqual">
      <formula>H473</formula>
    </cfRule>
  </conditionalFormatting>
  <conditionalFormatting sqref="G474">
    <cfRule type="cellIs" dxfId="3232" priority="4011" stopIfTrue="1" operator="notEqual">
      <formula>H474</formula>
    </cfRule>
  </conditionalFormatting>
  <conditionalFormatting sqref="G475">
    <cfRule type="cellIs" dxfId="3231" priority="4010" stopIfTrue="1" operator="notEqual">
      <formula>H475</formula>
    </cfRule>
  </conditionalFormatting>
  <conditionalFormatting sqref="G476">
    <cfRule type="cellIs" dxfId="3230" priority="4009" stopIfTrue="1" operator="notEqual">
      <formula>H476</formula>
    </cfRule>
  </conditionalFormatting>
  <conditionalFormatting sqref="G477">
    <cfRule type="cellIs" dxfId="3229" priority="4008" stopIfTrue="1" operator="notEqual">
      <formula>H477</formula>
    </cfRule>
  </conditionalFormatting>
  <conditionalFormatting sqref="G478">
    <cfRule type="cellIs" dxfId="3228" priority="4007" stopIfTrue="1" operator="notEqual">
      <formula>H478</formula>
    </cfRule>
  </conditionalFormatting>
  <conditionalFormatting sqref="G479">
    <cfRule type="cellIs" dxfId="3227" priority="4006" stopIfTrue="1" operator="notEqual">
      <formula>H479</formula>
    </cfRule>
  </conditionalFormatting>
  <conditionalFormatting sqref="G480">
    <cfRule type="cellIs" dxfId="3226" priority="4005" stopIfTrue="1" operator="notEqual">
      <formula>H480</formula>
    </cfRule>
  </conditionalFormatting>
  <conditionalFormatting sqref="G481">
    <cfRule type="cellIs" dxfId="3225" priority="4004" stopIfTrue="1" operator="notEqual">
      <formula>H481</formula>
    </cfRule>
  </conditionalFormatting>
  <conditionalFormatting sqref="G482">
    <cfRule type="cellIs" dxfId="3224" priority="4003" stopIfTrue="1" operator="notEqual">
      <formula>H482</formula>
    </cfRule>
  </conditionalFormatting>
  <conditionalFormatting sqref="G484">
    <cfRule type="cellIs" dxfId="3223" priority="4001" stopIfTrue="1" operator="notEqual">
      <formula>H484</formula>
    </cfRule>
  </conditionalFormatting>
  <conditionalFormatting sqref="G485">
    <cfRule type="cellIs" dxfId="3222" priority="4000" stopIfTrue="1" operator="notEqual">
      <formula>H485</formula>
    </cfRule>
  </conditionalFormatting>
  <conditionalFormatting sqref="O466 M466 G466 K466 S466 U466 W466 I466 Q466">
    <cfRule type="cellIs" dxfId="3221" priority="3999" stopIfTrue="1" operator="notEqual">
      <formula>H466</formula>
    </cfRule>
  </conditionalFormatting>
  <conditionalFormatting sqref="O467 M467 G467 K467 S467 U467 W467 I467 Q467">
    <cfRule type="cellIs" dxfId="3220" priority="3998" stopIfTrue="1" operator="notEqual">
      <formula>H467</formula>
    </cfRule>
  </conditionalFormatting>
  <conditionalFormatting sqref="O468 M468 G468 K468 S468 U468 W468 I468 Q468">
    <cfRule type="cellIs" dxfId="3219" priority="3997" stopIfTrue="1" operator="notEqual">
      <formula>H468</formula>
    </cfRule>
  </conditionalFormatting>
  <conditionalFormatting sqref="O469:O476 M469:M476 G469:G476 K469:K476 S469:S476 U469:U476 W469:W476 I469:I476 Q469:Q476">
    <cfRule type="cellIs" dxfId="3218" priority="3996" stopIfTrue="1" operator="notEqual">
      <formula>H469</formula>
    </cfRule>
  </conditionalFormatting>
  <conditionalFormatting sqref="O470 M470 G470 K470 S470 U470 W470 I470 Q470">
    <cfRule type="cellIs" dxfId="3217" priority="3995" stopIfTrue="1" operator="notEqual">
      <formula>H470</formula>
    </cfRule>
  </conditionalFormatting>
  <conditionalFormatting sqref="O471 M471 G471 K471 S471 U471 W471 I471 Q471">
    <cfRule type="cellIs" dxfId="3216" priority="3994" stopIfTrue="1" operator="notEqual">
      <formula>H471</formula>
    </cfRule>
  </conditionalFormatting>
  <conditionalFormatting sqref="O472 M472 G472 K472 S472 U472 W472 I472 Q472">
    <cfRule type="cellIs" dxfId="3215" priority="3993" stopIfTrue="1" operator="notEqual">
      <formula>H472</formula>
    </cfRule>
  </conditionalFormatting>
  <conditionalFormatting sqref="O473 M473 G473 K473 S473 U473 W473 I473 Q473">
    <cfRule type="cellIs" dxfId="3214" priority="3992" stopIfTrue="1" operator="notEqual">
      <formula>H473</formula>
    </cfRule>
  </conditionalFormatting>
  <conditionalFormatting sqref="O474 M474 G474 K474 S474 U474 W474 I474 Q474">
    <cfRule type="cellIs" dxfId="3213" priority="3991" stopIfTrue="1" operator="notEqual">
      <formula>H474</formula>
    </cfRule>
  </conditionalFormatting>
  <conditionalFormatting sqref="O475 M475 G475 K475 S475 U475 W475 I475 Q475">
    <cfRule type="cellIs" dxfId="3212" priority="3990" stopIfTrue="1" operator="notEqual">
      <formula>H475</formula>
    </cfRule>
  </conditionalFormatting>
  <conditionalFormatting sqref="O476 M476 G476 K476 S476 U476 W476 I476 Q476">
    <cfRule type="cellIs" dxfId="3211" priority="3989" stopIfTrue="1" operator="notEqual">
      <formula>H476</formula>
    </cfRule>
  </conditionalFormatting>
  <conditionalFormatting sqref="G476:G477">
    <cfRule type="cellIs" dxfId="3210" priority="3988" stopIfTrue="1" operator="notEqual">
      <formula>H476</formula>
    </cfRule>
  </conditionalFormatting>
  <conditionalFormatting sqref="G466">
    <cfRule type="cellIs" dxfId="3209" priority="3987" stopIfTrue="1" operator="notEqual">
      <formula>H466</formula>
    </cfRule>
  </conditionalFormatting>
  <conditionalFormatting sqref="G467">
    <cfRule type="cellIs" dxfId="3208" priority="3986" stopIfTrue="1" operator="notEqual">
      <formula>H467</formula>
    </cfRule>
  </conditionalFormatting>
  <conditionalFormatting sqref="G468">
    <cfRule type="cellIs" dxfId="3207" priority="3985" stopIfTrue="1" operator="notEqual">
      <formula>H468</formula>
    </cfRule>
  </conditionalFormatting>
  <conditionalFormatting sqref="G469:G476">
    <cfRule type="cellIs" dxfId="3206" priority="3984" stopIfTrue="1" operator="notEqual">
      <formula>H469</formula>
    </cfRule>
  </conditionalFormatting>
  <conditionalFormatting sqref="G470">
    <cfRule type="cellIs" dxfId="3205" priority="3983" stopIfTrue="1" operator="notEqual">
      <formula>H470</formula>
    </cfRule>
  </conditionalFormatting>
  <conditionalFormatting sqref="G471">
    <cfRule type="cellIs" dxfId="3204" priority="3982" stopIfTrue="1" operator="notEqual">
      <formula>H471</formula>
    </cfRule>
  </conditionalFormatting>
  <conditionalFormatting sqref="G472">
    <cfRule type="cellIs" dxfId="3203" priority="3981" stopIfTrue="1" operator="notEqual">
      <formula>H472</formula>
    </cfRule>
  </conditionalFormatting>
  <conditionalFormatting sqref="G473">
    <cfRule type="cellIs" dxfId="3202" priority="3980" stopIfTrue="1" operator="notEqual">
      <formula>H473</formula>
    </cfRule>
  </conditionalFormatting>
  <conditionalFormatting sqref="G474">
    <cfRule type="cellIs" dxfId="3201" priority="3979" stopIfTrue="1" operator="notEqual">
      <formula>H474</formula>
    </cfRule>
  </conditionalFormatting>
  <conditionalFormatting sqref="G475">
    <cfRule type="cellIs" dxfId="3200" priority="3978" stopIfTrue="1" operator="notEqual">
      <formula>H475</formula>
    </cfRule>
  </conditionalFormatting>
  <conditionalFormatting sqref="G477">
    <cfRule type="cellIs" dxfId="3199" priority="3977" stopIfTrue="1" operator="notEqual">
      <formula>H477</formula>
    </cfRule>
  </conditionalFormatting>
  <conditionalFormatting sqref="O472:O477 M472:M477 G472:G477 K472:K477 S472:S477 U472:U477 W472:W477 I472:I477 Q472:Q477">
    <cfRule type="cellIs" dxfId="3198" priority="3976" stopIfTrue="1" operator="notEqual">
      <formula>H472</formula>
    </cfRule>
  </conditionalFormatting>
  <conditionalFormatting sqref="O466 M466 G466 K466 S466 U466 W466 I466 Q466">
    <cfRule type="cellIs" dxfId="3197" priority="3975" stopIfTrue="1" operator="notEqual">
      <formula>H466</formula>
    </cfRule>
  </conditionalFormatting>
  <conditionalFormatting sqref="O467 M467 G467 K467 S467 U467 W467 I467 Q467">
    <cfRule type="cellIs" dxfId="3196" priority="3974" stopIfTrue="1" operator="notEqual">
      <formula>H467</formula>
    </cfRule>
  </conditionalFormatting>
  <conditionalFormatting sqref="O468 M468 G468 K468 S468 U468 W468 I468 Q468">
    <cfRule type="cellIs" dxfId="3195" priority="3973" stopIfTrue="1" operator="notEqual">
      <formula>H468</formula>
    </cfRule>
  </conditionalFormatting>
  <conditionalFormatting sqref="O469:O476 M469:M476 G469:G476 K469:K476 S469:S476 U469:U476 W469:W476 I469:I476 Q469:Q476">
    <cfRule type="cellIs" dxfId="3194" priority="3972" stopIfTrue="1" operator="notEqual">
      <formula>H469</formula>
    </cfRule>
  </conditionalFormatting>
  <conditionalFormatting sqref="O470 M470 G470 K470 S470 U470 W470 I470 Q470">
    <cfRule type="cellIs" dxfId="3193" priority="3971" stopIfTrue="1" operator="notEqual">
      <formula>H470</formula>
    </cfRule>
  </conditionalFormatting>
  <conditionalFormatting sqref="O471 M471 G471 K471 S471 U471 W471 I471 Q471">
    <cfRule type="cellIs" dxfId="3192" priority="3970" stopIfTrue="1" operator="notEqual">
      <formula>H471</formula>
    </cfRule>
  </conditionalFormatting>
  <conditionalFormatting sqref="O474 M474 G474 K474 S474 U474 W474 I474 Q474">
    <cfRule type="cellIs" dxfId="3191" priority="3969" stopIfTrue="1" operator="notEqual">
      <formula>H474</formula>
    </cfRule>
  </conditionalFormatting>
  <conditionalFormatting sqref="O475 M475 G475 K475 S475 U475 W475 I475 Q475">
    <cfRule type="cellIs" dxfId="3190" priority="3968" stopIfTrue="1" operator="notEqual">
      <formula>H475</formula>
    </cfRule>
  </conditionalFormatting>
  <conditionalFormatting sqref="O475 M475 G475 K475 S475 U475 W475 I475 Q475">
    <cfRule type="cellIs" dxfId="3189" priority="3967" stopIfTrue="1" operator="notEqual">
      <formula>H475</formula>
    </cfRule>
  </conditionalFormatting>
  <conditionalFormatting sqref="O473 M473 G473 K473 S473 U473 W473 I473 Q473">
    <cfRule type="cellIs" dxfId="3188" priority="3966" stopIfTrue="1" operator="notEqual">
      <formula>H473</formula>
    </cfRule>
  </conditionalFormatting>
  <conditionalFormatting sqref="O477 M477 G477 K477 S477 U477 W477 I477 Q477">
    <cfRule type="cellIs" dxfId="3187" priority="3965" stopIfTrue="1" operator="notEqual">
      <formula>H477</formula>
    </cfRule>
  </conditionalFormatting>
  <conditionalFormatting sqref="O466 M466 G466 K466 S466 U466 W466 I466 Q466">
    <cfRule type="cellIs" dxfId="3186" priority="3964" stopIfTrue="1" operator="notEqual">
      <formula>H466</formula>
    </cfRule>
  </conditionalFormatting>
  <conditionalFormatting sqref="O467 M467 G467 K467 S467 U467 W467 I467 Q467">
    <cfRule type="cellIs" dxfId="3185" priority="3963" stopIfTrue="1" operator="notEqual">
      <formula>H467</formula>
    </cfRule>
  </conditionalFormatting>
  <conditionalFormatting sqref="O468 M468 G468 K468 S468 U468 W468 I468 Q468">
    <cfRule type="cellIs" dxfId="3184" priority="3962" stopIfTrue="1" operator="notEqual">
      <formula>H468</formula>
    </cfRule>
  </conditionalFormatting>
  <conditionalFormatting sqref="O469:O476 M469:M476 G469:G476 K469:K476 S469:S476 U469:U476 W469:W476 I469:I476 Q469:Q476">
    <cfRule type="cellIs" dxfId="3183" priority="3961" stopIfTrue="1" operator="notEqual">
      <formula>H469</formula>
    </cfRule>
  </conditionalFormatting>
  <conditionalFormatting sqref="O470 M470 G470 K470 S470 U470 W470 I470 Q470">
    <cfRule type="cellIs" dxfId="3182" priority="3960" stopIfTrue="1" operator="notEqual">
      <formula>H470</formula>
    </cfRule>
  </conditionalFormatting>
  <conditionalFormatting sqref="O471 M471 G471 K471 S471 U471 W471 I471 Q471">
    <cfRule type="cellIs" dxfId="3181" priority="3959" stopIfTrue="1" operator="notEqual">
      <formula>H471</formula>
    </cfRule>
  </conditionalFormatting>
  <conditionalFormatting sqref="O472 M472 G472 K472 S472 U472 W472 I472 Q472">
    <cfRule type="cellIs" dxfId="3180" priority="3958" stopIfTrue="1" operator="notEqual">
      <formula>H472</formula>
    </cfRule>
  </conditionalFormatting>
  <conditionalFormatting sqref="O473 M473 G473 K473 S473 U473 W473 I473 Q473">
    <cfRule type="cellIs" dxfId="3179" priority="3957" stopIfTrue="1" operator="notEqual">
      <formula>H473</formula>
    </cfRule>
  </conditionalFormatting>
  <conditionalFormatting sqref="O474 M474 G474 K474 S474 U474 W474 I474 Q474">
    <cfRule type="cellIs" dxfId="3178" priority="3956" stopIfTrue="1" operator="notEqual">
      <formula>H474</formula>
    </cfRule>
  </conditionalFormatting>
  <conditionalFormatting sqref="O475 M475 G475 K475 S475 U475 W475 I475 Q475">
    <cfRule type="cellIs" dxfId="3177" priority="3955" stopIfTrue="1" operator="notEqual">
      <formula>H475</formula>
    </cfRule>
  </conditionalFormatting>
  <conditionalFormatting sqref="O476 M476 G476 K476 S476 U476 W476 I476 Q476">
    <cfRule type="cellIs" dxfId="3176" priority="3954" stopIfTrue="1" operator="notEqual">
      <formula>H476</formula>
    </cfRule>
  </conditionalFormatting>
  <conditionalFormatting sqref="O477 M477 G477 K477 S477 U477 W477 I477 Q477">
    <cfRule type="cellIs" dxfId="3175" priority="3953" stopIfTrue="1" operator="notEqual">
      <formula>H477</formula>
    </cfRule>
  </conditionalFormatting>
  <conditionalFormatting sqref="G477:G480">
    <cfRule type="cellIs" dxfId="3174" priority="3952" stopIfTrue="1" operator="notEqual">
      <formula>H477</formula>
    </cfRule>
  </conditionalFormatting>
  <conditionalFormatting sqref="G477">
    <cfRule type="cellIs" dxfId="3173" priority="3951" stopIfTrue="1" operator="notEqual">
      <formula>H477</formula>
    </cfRule>
  </conditionalFormatting>
  <conditionalFormatting sqref="G478">
    <cfRule type="cellIs" dxfId="3172" priority="3950" stopIfTrue="1" operator="notEqual">
      <formula>H478</formula>
    </cfRule>
  </conditionalFormatting>
  <conditionalFormatting sqref="G478">
    <cfRule type="cellIs" dxfId="3171" priority="3949" stopIfTrue="1" operator="notEqual">
      <formula>H478</formula>
    </cfRule>
  </conditionalFormatting>
  <conditionalFormatting sqref="G481">
    <cfRule type="cellIs" dxfId="3170" priority="3948" stopIfTrue="1" operator="notEqual">
      <formula>H481</formula>
    </cfRule>
  </conditionalFormatting>
  <conditionalFormatting sqref="G482">
    <cfRule type="cellIs" dxfId="3169" priority="3947" stopIfTrue="1" operator="notEqual">
      <formula>H482</formula>
    </cfRule>
  </conditionalFormatting>
  <conditionalFormatting sqref="G480">
    <cfRule type="cellIs" dxfId="3168" priority="3946" stopIfTrue="1" operator="notEqual">
      <formula>H480</formula>
    </cfRule>
  </conditionalFormatting>
  <conditionalFormatting sqref="G484">
    <cfRule type="cellIs" dxfId="3167" priority="3944" stopIfTrue="1" operator="notEqual">
      <formula>H484</formula>
    </cfRule>
  </conditionalFormatting>
  <conditionalFormatting sqref="G485">
    <cfRule type="cellIs" dxfId="3166" priority="3943" stopIfTrue="1" operator="notEqual">
      <formula>H485</formula>
    </cfRule>
  </conditionalFormatting>
  <conditionalFormatting sqref="O477 M477 G477 K477 S477 U477 W477 I477 Q477">
    <cfRule type="cellIs" dxfId="3165" priority="3942" stopIfTrue="1" operator="notEqual">
      <formula>H477</formula>
    </cfRule>
  </conditionalFormatting>
  <conditionalFormatting sqref="O478 M478 G478 K478 S478 U478 W478 I478 Q478">
    <cfRule type="cellIs" dxfId="3164" priority="3941" stopIfTrue="1" operator="notEqual">
      <formula>H478</formula>
    </cfRule>
  </conditionalFormatting>
  <conditionalFormatting sqref="O479 M479 G479 K479 S479 U479 W479 I479 Q479">
    <cfRule type="cellIs" dxfId="3163" priority="3940" stopIfTrue="1" operator="notEqual">
      <formula>H479</formula>
    </cfRule>
  </conditionalFormatting>
  <conditionalFormatting sqref="O480 M480 G480 K480 S480 U480 W480 I480 Q480">
    <cfRule type="cellIs" dxfId="3162" priority="3939" stopIfTrue="1" operator="notEqual">
      <formula>H480</formula>
    </cfRule>
  </conditionalFormatting>
  <conditionalFormatting sqref="O481 M481 G481 K481 S481 U481 W481 I481 Q481">
    <cfRule type="cellIs" dxfId="3161" priority="3938" stopIfTrue="1" operator="notEqual">
      <formula>H481</formula>
    </cfRule>
  </conditionalFormatting>
  <conditionalFormatting sqref="O482 M482 G482 K482 S482 U482 W482 I482 Q482">
    <cfRule type="cellIs" dxfId="3160" priority="3937" stopIfTrue="1" operator="notEqual">
      <formula>H482</formula>
    </cfRule>
  </conditionalFormatting>
  <conditionalFormatting sqref="O484 M484 G484 K484 S484 U484 W484 I484 Q484">
    <cfRule type="cellIs" dxfId="3159" priority="3935" stopIfTrue="1" operator="notEqual">
      <formula>H484</formula>
    </cfRule>
  </conditionalFormatting>
  <conditionalFormatting sqref="O485 M485 G485 K485 S485 U485 W485 I485 Q485">
    <cfRule type="cellIs" dxfId="3158" priority="3934" stopIfTrue="1" operator="notEqual">
      <formula>H485</formula>
    </cfRule>
  </conditionalFormatting>
  <conditionalFormatting sqref="G477">
    <cfRule type="cellIs" dxfId="3157" priority="3933" stopIfTrue="1" operator="notEqual">
      <formula>H477</formula>
    </cfRule>
  </conditionalFormatting>
  <conditionalFormatting sqref="G478">
    <cfRule type="cellIs" dxfId="3156" priority="3932" stopIfTrue="1" operator="notEqual">
      <formula>H478</formula>
    </cfRule>
  </conditionalFormatting>
  <conditionalFormatting sqref="G479">
    <cfRule type="cellIs" dxfId="3155" priority="3931" stopIfTrue="1" operator="notEqual">
      <formula>H479</formula>
    </cfRule>
  </conditionalFormatting>
  <conditionalFormatting sqref="G480">
    <cfRule type="cellIs" dxfId="3154" priority="3930" stopIfTrue="1" operator="notEqual">
      <formula>H480</formula>
    </cfRule>
  </conditionalFormatting>
  <conditionalFormatting sqref="G481">
    <cfRule type="cellIs" dxfId="3153" priority="3929" stopIfTrue="1" operator="notEqual">
      <formula>H481</formula>
    </cfRule>
  </conditionalFormatting>
  <conditionalFormatting sqref="G482">
    <cfRule type="cellIs" dxfId="3152" priority="3928" stopIfTrue="1" operator="notEqual">
      <formula>H482</formula>
    </cfRule>
  </conditionalFormatting>
  <conditionalFormatting sqref="G484">
    <cfRule type="cellIs" dxfId="3151" priority="3926" stopIfTrue="1" operator="notEqual">
      <formula>H484</formula>
    </cfRule>
  </conditionalFormatting>
  <conditionalFormatting sqref="G485">
    <cfRule type="cellIs" dxfId="3150" priority="3925" stopIfTrue="1" operator="notEqual">
      <formula>H485</formula>
    </cfRule>
  </conditionalFormatting>
  <conditionalFormatting sqref="G477">
    <cfRule type="cellIs" dxfId="3149" priority="3924" stopIfTrue="1" operator="notEqual">
      <formula>H477</formula>
    </cfRule>
  </conditionalFormatting>
  <conditionalFormatting sqref="G477">
    <cfRule type="cellIs" dxfId="3148" priority="3923" stopIfTrue="1" operator="notEqual">
      <formula>H477</formula>
    </cfRule>
  </conditionalFormatting>
  <conditionalFormatting sqref="G477">
    <cfRule type="cellIs" dxfId="3147" priority="3922" stopIfTrue="1" operator="notEqual">
      <formula>H477</formula>
    </cfRule>
  </conditionalFormatting>
  <conditionalFormatting sqref="G477">
    <cfRule type="cellIs" dxfId="3146" priority="3921" stopIfTrue="1" operator="notEqual">
      <formula>H477</formula>
    </cfRule>
  </conditionalFormatting>
  <conditionalFormatting sqref="G477">
    <cfRule type="cellIs" dxfId="3145" priority="3920" stopIfTrue="1" operator="notEqual">
      <formula>H477</formula>
    </cfRule>
  </conditionalFormatting>
  <conditionalFormatting sqref="G477">
    <cfRule type="cellIs" dxfId="3144" priority="3919" stopIfTrue="1" operator="notEqual">
      <formula>H477</formula>
    </cfRule>
  </conditionalFormatting>
  <conditionalFormatting sqref="O477 M477 G477 K477 S477 U477 W477 I477 Q477">
    <cfRule type="cellIs" dxfId="3143" priority="3918" stopIfTrue="1" operator="notEqual">
      <formula>H477</formula>
    </cfRule>
  </conditionalFormatting>
  <conditionalFormatting sqref="O478 M478 G478 K478 S478 U478 W478 I478 Q478">
    <cfRule type="cellIs" dxfId="3142" priority="3917" stopIfTrue="1" operator="notEqual">
      <formula>H478</formula>
    </cfRule>
  </conditionalFormatting>
  <conditionalFormatting sqref="O479 M479 G479 K479 S479 U479 W479 I479 Q479">
    <cfRule type="cellIs" dxfId="3141" priority="3916" stopIfTrue="1" operator="notEqual">
      <formula>H479</formula>
    </cfRule>
  </conditionalFormatting>
  <conditionalFormatting sqref="O480 M480 G480 K480 S480 U480 W480 I480 Q480">
    <cfRule type="cellIs" dxfId="3140" priority="3915" stopIfTrue="1" operator="notEqual">
      <formula>H480</formula>
    </cfRule>
  </conditionalFormatting>
  <conditionalFormatting sqref="O481 M481 G481 K481 S481 U481 W481 I481 Q481">
    <cfRule type="cellIs" dxfId="3139" priority="3914" stopIfTrue="1" operator="notEqual">
      <formula>H481</formula>
    </cfRule>
  </conditionalFormatting>
  <conditionalFormatting sqref="O482 M482 G482 K482 S482 U482 W482 I482 Q482">
    <cfRule type="cellIs" dxfId="3138" priority="3913" stopIfTrue="1" operator="notEqual">
      <formula>H482</formula>
    </cfRule>
  </conditionalFormatting>
  <conditionalFormatting sqref="O484 M484 G484 K484 S484 U484 W484 I484 Q484">
    <cfRule type="cellIs" dxfId="3137" priority="3911" stopIfTrue="1" operator="notEqual">
      <formula>H484</formula>
    </cfRule>
  </conditionalFormatting>
  <conditionalFormatting sqref="O485 M485 G485 K485 S485 U485 W485 I485 Q485">
    <cfRule type="cellIs" dxfId="3136" priority="3910" stopIfTrue="1" operator="notEqual">
      <formula>H485</formula>
    </cfRule>
  </conditionalFormatting>
  <conditionalFormatting sqref="O477 M477 G477 K477 S477 U477 W477 I477 Q477">
    <cfRule type="cellIs" dxfId="3135" priority="3909" stopIfTrue="1" operator="notEqual">
      <formula>H477</formula>
    </cfRule>
  </conditionalFormatting>
  <conditionalFormatting sqref="O478 M478 G478 K478 S478 U478 W478 I478 Q478">
    <cfRule type="cellIs" dxfId="3134" priority="3908" stopIfTrue="1" operator="notEqual">
      <formula>H478</formula>
    </cfRule>
  </conditionalFormatting>
  <conditionalFormatting sqref="O479 M479 G479 K479 S479 U479 W479 I479 Q479">
    <cfRule type="cellIs" dxfId="3133" priority="3907" stopIfTrue="1" operator="notEqual">
      <formula>H479</formula>
    </cfRule>
  </conditionalFormatting>
  <conditionalFormatting sqref="O477 M477 G477 K477 S477 U477 W477 I477 Q477">
    <cfRule type="cellIs" dxfId="3132" priority="3906" stopIfTrue="1" operator="notEqual">
      <formula>H477</formula>
    </cfRule>
  </conditionalFormatting>
  <conditionalFormatting sqref="O480 M480 G480 K480 S480 U480 W480 I480 Q480">
    <cfRule type="cellIs" dxfId="3131" priority="3905" stopIfTrue="1" operator="notEqual">
      <formula>H480</formula>
    </cfRule>
  </conditionalFormatting>
  <conditionalFormatting sqref="O481 M481 G481 K481 S481 U481 W481 I481 Q481">
    <cfRule type="cellIs" dxfId="3130" priority="3904" stopIfTrue="1" operator="notEqual">
      <formula>H481</formula>
    </cfRule>
  </conditionalFormatting>
  <conditionalFormatting sqref="O482 M482 G482 K482 S482 U482 W482 I482 Q482">
    <cfRule type="cellIs" dxfId="3129" priority="3903" stopIfTrue="1" operator="notEqual">
      <formula>H482</formula>
    </cfRule>
  </conditionalFormatting>
  <conditionalFormatting sqref="O484 M484 G484 K484 S484 U484 W484 I484 Q484">
    <cfRule type="cellIs" dxfId="3128" priority="3901" stopIfTrue="1" operator="notEqual">
      <formula>H484</formula>
    </cfRule>
  </conditionalFormatting>
  <conditionalFormatting sqref="O485 M485 G485 K485 S485 U485 W485 I485 Q485">
    <cfRule type="cellIs" dxfId="3127" priority="3900" stopIfTrue="1" operator="notEqual">
      <formula>H485</formula>
    </cfRule>
  </conditionalFormatting>
  <conditionalFormatting sqref="G466">
    <cfRule type="cellIs" dxfId="3126" priority="3898" stopIfTrue="1" operator="notEqual">
      <formula>H466</formula>
    </cfRule>
  </conditionalFormatting>
  <conditionalFormatting sqref="G467">
    <cfRule type="cellIs" dxfId="3125" priority="3897" stopIfTrue="1" operator="notEqual">
      <formula>H467</formula>
    </cfRule>
  </conditionalFormatting>
  <conditionalFormatting sqref="G468">
    <cfRule type="cellIs" dxfId="3124" priority="3896" stopIfTrue="1" operator="notEqual">
      <formula>H468</formula>
    </cfRule>
  </conditionalFormatting>
  <conditionalFormatting sqref="G469:G476">
    <cfRule type="cellIs" dxfId="3123" priority="3895" stopIfTrue="1" operator="notEqual">
      <formula>H469</formula>
    </cfRule>
  </conditionalFormatting>
  <conditionalFormatting sqref="G470">
    <cfRule type="cellIs" dxfId="3122" priority="3894" stopIfTrue="1" operator="notEqual">
      <formula>H470</formula>
    </cfRule>
  </conditionalFormatting>
  <conditionalFormatting sqref="G471">
    <cfRule type="cellIs" dxfId="3121" priority="3893" stopIfTrue="1" operator="notEqual">
      <formula>H471</formula>
    </cfRule>
  </conditionalFormatting>
  <conditionalFormatting sqref="G472">
    <cfRule type="cellIs" dxfId="3120" priority="3892" stopIfTrue="1" operator="notEqual">
      <formula>H472</formula>
    </cfRule>
  </conditionalFormatting>
  <conditionalFormatting sqref="G473">
    <cfRule type="cellIs" dxfId="3119" priority="3891" stopIfTrue="1" operator="notEqual">
      <formula>H473</formula>
    </cfRule>
  </conditionalFormatting>
  <conditionalFormatting sqref="G474">
    <cfRule type="cellIs" dxfId="3118" priority="3890" stopIfTrue="1" operator="notEqual">
      <formula>H474</formula>
    </cfRule>
  </conditionalFormatting>
  <conditionalFormatting sqref="G475">
    <cfRule type="cellIs" dxfId="3117" priority="3889" stopIfTrue="1" operator="notEqual">
      <formula>H475</formula>
    </cfRule>
  </conditionalFormatting>
  <conditionalFormatting sqref="G476">
    <cfRule type="cellIs" dxfId="3116" priority="3888" stopIfTrue="1" operator="notEqual">
      <formula>H476</formula>
    </cfRule>
  </conditionalFormatting>
  <conditionalFormatting sqref="G477">
    <cfRule type="cellIs" dxfId="3115" priority="3887" stopIfTrue="1" operator="notEqual">
      <formula>H477</formula>
    </cfRule>
  </conditionalFormatting>
  <conditionalFormatting sqref="G478">
    <cfRule type="cellIs" dxfId="3114" priority="3886" stopIfTrue="1" operator="notEqual">
      <formula>H478</formula>
    </cfRule>
  </conditionalFormatting>
  <conditionalFormatting sqref="G479">
    <cfRule type="cellIs" dxfId="3113" priority="3885" stopIfTrue="1" operator="notEqual">
      <formula>H479</formula>
    </cfRule>
  </conditionalFormatting>
  <conditionalFormatting sqref="G466">
    <cfRule type="cellIs" dxfId="3112" priority="3884" stopIfTrue="1" operator="notEqual">
      <formula>H466</formula>
    </cfRule>
  </conditionalFormatting>
  <conditionalFormatting sqref="G466">
    <cfRule type="cellIs" dxfId="3111" priority="3883" stopIfTrue="1" operator="notEqual">
      <formula>H466</formula>
    </cfRule>
  </conditionalFormatting>
  <conditionalFormatting sqref="G466">
    <cfRule type="cellIs" dxfId="3110" priority="3882" stopIfTrue="1" operator="notEqual">
      <formula>H466</formula>
    </cfRule>
  </conditionalFormatting>
  <conditionalFormatting sqref="G466">
    <cfRule type="cellIs" dxfId="3109" priority="3881" stopIfTrue="1" operator="notEqual">
      <formula>H466</formula>
    </cfRule>
  </conditionalFormatting>
  <conditionalFormatting sqref="G466">
    <cfRule type="cellIs" dxfId="3108" priority="3880" stopIfTrue="1" operator="notEqual">
      <formula>H466</formula>
    </cfRule>
  </conditionalFormatting>
  <conditionalFormatting sqref="G466">
    <cfRule type="cellIs" dxfId="3107" priority="3879" stopIfTrue="1" operator="notEqual">
      <formula>H466</formula>
    </cfRule>
  </conditionalFormatting>
  <conditionalFormatting sqref="G482">
    <cfRule type="cellIs" dxfId="3106" priority="3878" stopIfTrue="1" operator="notEqual">
      <formula>H482</formula>
    </cfRule>
  </conditionalFormatting>
  <conditionalFormatting sqref="G481">
    <cfRule type="cellIs" dxfId="3105" priority="3875" stopIfTrue="1" operator="notEqual">
      <formula>H481</formula>
    </cfRule>
  </conditionalFormatting>
  <conditionalFormatting sqref="G485">
    <cfRule type="cellIs" dxfId="3104" priority="3874" stopIfTrue="1" operator="notEqual">
      <formula>H485</formula>
    </cfRule>
  </conditionalFormatting>
  <conditionalFormatting sqref="O476:O481 M476:M481 G476:G481 K476:K481 S476:S481 U476:U481 W476:W481 I476:I481 Q476:Q481">
    <cfRule type="cellIs" dxfId="3103" priority="3873" stopIfTrue="1" operator="notEqual">
      <formula>H476</formula>
    </cfRule>
  </conditionalFormatting>
  <conditionalFormatting sqref="O466 M466 G466 K466 S466 U466 W466 I466 Q466">
    <cfRule type="cellIs" dxfId="3102" priority="3872" stopIfTrue="1" operator="notEqual">
      <formula>H466</formula>
    </cfRule>
  </conditionalFormatting>
  <conditionalFormatting sqref="O467 M467 G467 K467 S467 U467 W467 I467 Q467">
    <cfRule type="cellIs" dxfId="3101" priority="3871" stopIfTrue="1" operator="notEqual">
      <formula>H467</formula>
    </cfRule>
  </conditionalFormatting>
  <conditionalFormatting sqref="O468 M468 G468 K468 S468 U468 W468 I468 Q468">
    <cfRule type="cellIs" dxfId="3100" priority="3870" stopIfTrue="1" operator="notEqual">
      <formula>H468</formula>
    </cfRule>
  </conditionalFormatting>
  <conditionalFormatting sqref="O469:O476 M469:M476 G469:G476 K469:K476 S469:S476 U469:U476 W469:W476 I469:I476 Q469:Q476">
    <cfRule type="cellIs" dxfId="3099" priority="3869" stopIfTrue="1" operator="notEqual">
      <formula>H469</formula>
    </cfRule>
  </conditionalFormatting>
  <conditionalFormatting sqref="O470 M470 G470 K470 S470 U470 W470 I470 Q470">
    <cfRule type="cellIs" dxfId="3098" priority="3868" stopIfTrue="1" operator="notEqual">
      <formula>H470</formula>
    </cfRule>
  </conditionalFormatting>
  <conditionalFormatting sqref="O471 M471 G471 K471 S471 U471 W471 I471 Q471">
    <cfRule type="cellIs" dxfId="3097" priority="3867" stopIfTrue="1" operator="notEqual">
      <formula>H471</formula>
    </cfRule>
  </conditionalFormatting>
  <conditionalFormatting sqref="O472 M472 G472 K472 S472 U472 W472 I472 Q472">
    <cfRule type="cellIs" dxfId="3096" priority="3866" stopIfTrue="1" operator="notEqual">
      <formula>H472</formula>
    </cfRule>
  </conditionalFormatting>
  <conditionalFormatting sqref="O473 M473 G473 K473 S473 U473 W473 I473 Q473">
    <cfRule type="cellIs" dxfId="3095" priority="3865" stopIfTrue="1" operator="notEqual">
      <formula>H473</formula>
    </cfRule>
  </conditionalFormatting>
  <conditionalFormatting sqref="O474 M474 G474 K474 S474 U474 W474 I474 Q474">
    <cfRule type="cellIs" dxfId="3094" priority="3864" stopIfTrue="1" operator="notEqual">
      <formula>H474</formula>
    </cfRule>
  </conditionalFormatting>
  <conditionalFormatting sqref="O475 M475 G475 K475 S475 U475 W475 I475 Q475">
    <cfRule type="cellIs" dxfId="3093" priority="3863" stopIfTrue="1" operator="notEqual">
      <formula>H475</formula>
    </cfRule>
  </conditionalFormatting>
  <conditionalFormatting sqref="O478 M478 G478 K478 S478 U478 W478 I478 Q478">
    <cfRule type="cellIs" dxfId="3092" priority="3862" stopIfTrue="1" operator="notEqual">
      <formula>H478</formula>
    </cfRule>
  </conditionalFormatting>
  <conditionalFormatting sqref="O479 M479 G479 K479 S479 U479 W479 I479 Q479">
    <cfRule type="cellIs" dxfId="3091" priority="3861" stopIfTrue="1" operator="notEqual">
      <formula>H479</formula>
    </cfRule>
  </conditionalFormatting>
  <conditionalFormatting sqref="O479 M479 G479 K479 S479 U479 W479 I479 Q479">
    <cfRule type="cellIs" dxfId="3090" priority="3860" stopIfTrue="1" operator="notEqual">
      <formula>H479</formula>
    </cfRule>
  </conditionalFormatting>
  <conditionalFormatting sqref="O477 M477 G477 K477 S477 U477 W477 I477 Q477">
    <cfRule type="cellIs" dxfId="3089" priority="3859" stopIfTrue="1" operator="notEqual">
      <formula>H477</formula>
    </cfRule>
  </conditionalFormatting>
  <conditionalFormatting sqref="O482 M482 G482 K482 S482 U482 W482 I482 Q482">
    <cfRule type="cellIs" dxfId="3088" priority="3858" stopIfTrue="1" operator="notEqual">
      <formula>H482</formula>
    </cfRule>
  </conditionalFormatting>
  <conditionalFormatting sqref="O481 M481 G481 K481 S481 U481 W481 I481 Q481">
    <cfRule type="cellIs" dxfId="3087" priority="3856" stopIfTrue="1" operator="notEqual">
      <formula>H481</formula>
    </cfRule>
  </conditionalFormatting>
  <conditionalFormatting sqref="O484 M484 G484 K484 S484 U484 W484 I484 Q484">
    <cfRule type="cellIs" dxfId="3086" priority="3855" stopIfTrue="1" operator="notEqual">
      <formula>H484</formula>
    </cfRule>
  </conditionalFormatting>
  <conditionalFormatting sqref="O485 M485 G485 K485 S485 U485 W485 I485 Q485">
    <cfRule type="cellIs" dxfId="3085" priority="3854" stopIfTrue="1" operator="notEqual">
      <formula>H485</formula>
    </cfRule>
  </conditionalFormatting>
  <conditionalFormatting sqref="O466 M466 G466 K466 S466 U466 W466 I466 Q466">
    <cfRule type="cellIs" dxfId="3084" priority="3853" stopIfTrue="1" operator="notEqual">
      <formula>H466</formula>
    </cfRule>
  </conditionalFormatting>
  <conditionalFormatting sqref="O467 M467 G467 K467 S467 U467 W467 I467 Q467">
    <cfRule type="cellIs" dxfId="3083" priority="3852" stopIfTrue="1" operator="notEqual">
      <formula>H467</formula>
    </cfRule>
  </conditionalFormatting>
  <conditionalFormatting sqref="O468 M468 G468 K468 S468 U468 W468 I468 Q468">
    <cfRule type="cellIs" dxfId="3082" priority="3851" stopIfTrue="1" operator="notEqual">
      <formula>H468</formula>
    </cfRule>
  </conditionalFormatting>
  <conditionalFormatting sqref="O466 M466 G466 K466 S466 U466 W466 I466 Q466">
    <cfRule type="cellIs" dxfId="3081" priority="3850" stopIfTrue="1" operator="notEqual">
      <formula>H466</formula>
    </cfRule>
  </conditionalFormatting>
  <conditionalFormatting sqref="O469:O476 M469:M476 G469:G476 K469:K476 S469:S476 U469:U476 W469:W476 I469:I476 Q469:Q476">
    <cfRule type="cellIs" dxfId="3080" priority="3849" stopIfTrue="1" operator="notEqual">
      <formula>H469</formula>
    </cfRule>
  </conditionalFormatting>
  <conditionalFormatting sqref="O470 M470 G470 K470 S470 U470 W470 I470 Q470">
    <cfRule type="cellIs" dxfId="3079" priority="3848" stopIfTrue="1" operator="notEqual">
      <formula>H470</formula>
    </cfRule>
  </conditionalFormatting>
  <conditionalFormatting sqref="O471 M471 G471 K471 S471 U471 W471 I471 Q471">
    <cfRule type="cellIs" dxfId="3078" priority="3847" stopIfTrue="1" operator="notEqual">
      <formula>H471</formula>
    </cfRule>
  </conditionalFormatting>
  <conditionalFormatting sqref="O472 M472 G472 K472 S472 U472 W472 I472 Q472">
    <cfRule type="cellIs" dxfId="3077" priority="3846" stopIfTrue="1" operator="notEqual">
      <formula>H472</formula>
    </cfRule>
  </conditionalFormatting>
  <conditionalFormatting sqref="O473 M473 G473 K473 S473 U473 W473 I473 Q473">
    <cfRule type="cellIs" dxfId="3076" priority="3845" stopIfTrue="1" operator="notEqual">
      <formula>H473</formula>
    </cfRule>
  </conditionalFormatting>
  <conditionalFormatting sqref="O474 M474 G474 K474 S474 U474 W474 I474 Q474">
    <cfRule type="cellIs" dxfId="3075" priority="3844" stopIfTrue="1" operator="notEqual">
      <formula>H474</formula>
    </cfRule>
  </conditionalFormatting>
  <conditionalFormatting sqref="O475 M475 G475 K475 S475 U475 W475 I475 Q475">
    <cfRule type="cellIs" dxfId="3074" priority="3843" stopIfTrue="1" operator="notEqual">
      <formula>H475</formula>
    </cfRule>
  </conditionalFormatting>
  <conditionalFormatting sqref="O476 M476 G476 K476 S476 U476 W476 I476 Q476">
    <cfRule type="cellIs" dxfId="3073" priority="3842" stopIfTrue="1" operator="notEqual">
      <formula>H476</formula>
    </cfRule>
  </conditionalFormatting>
  <conditionalFormatting sqref="O477 M477 G477 K477 S477 U477 W477 I477 Q477">
    <cfRule type="cellIs" dxfId="3072" priority="3841" stopIfTrue="1" operator="notEqual">
      <formula>H477</formula>
    </cfRule>
  </conditionalFormatting>
  <conditionalFormatting sqref="O478 M478 G478 K478 S478 U478 W478 I478 Q478">
    <cfRule type="cellIs" dxfId="3071" priority="3840" stopIfTrue="1" operator="notEqual">
      <formula>H478</formula>
    </cfRule>
  </conditionalFormatting>
  <conditionalFormatting sqref="O479 M479 G479 K479 S479 U479 W479 I479 Q479">
    <cfRule type="cellIs" dxfId="3070" priority="3839" stopIfTrue="1" operator="notEqual">
      <formula>H479</formula>
    </cfRule>
  </conditionalFormatting>
  <conditionalFormatting sqref="O480 M480 G480 K480 S480 U480 W480 I480 Q480">
    <cfRule type="cellIs" dxfId="3069" priority="3838" stopIfTrue="1" operator="notEqual">
      <formula>H480</formula>
    </cfRule>
  </conditionalFormatting>
  <conditionalFormatting sqref="O481 M481 G481 K481 S481 U481 W481 I481 Q481">
    <cfRule type="cellIs" dxfId="3068" priority="3837" stopIfTrue="1" operator="notEqual">
      <formula>H481</formula>
    </cfRule>
  </conditionalFormatting>
  <conditionalFormatting sqref="G482">
    <cfRule type="cellIs" dxfId="3067" priority="3836" stopIfTrue="1" operator="notEqual">
      <formula>H482</formula>
    </cfRule>
  </conditionalFormatting>
  <conditionalFormatting sqref="G484">
    <cfRule type="cellIs" dxfId="3066" priority="3834" stopIfTrue="1" operator="notEqual">
      <formula>H484</formula>
    </cfRule>
  </conditionalFormatting>
  <conditionalFormatting sqref="G485">
    <cfRule type="cellIs" dxfId="3065" priority="3833" stopIfTrue="1" operator="notEqual">
      <formula>H485</formula>
    </cfRule>
  </conditionalFormatting>
  <conditionalFormatting sqref="G482">
    <cfRule type="cellIs" dxfId="3064" priority="3832" stopIfTrue="1" operator="notEqual">
      <formula>H482</formula>
    </cfRule>
  </conditionalFormatting>
  <conditionalFormatting sqref="G482">
    <cfRule type="cellIs" dxfId="3063" priority="3831" stopIfTrue="1" operator="notEqual">
      <formula>H482</formula>
    </cfRule>
  </conditionalFormatting>
  <conditionalFormatting sqref="G482">
    <cfRule type="cellIs" dxfId="3062" priority="3830" stopIfTrue="1" operator="notEqual">
      <formula>H482</formula>
    </cfRule>
  </conditionalFormatting>
  <conditionalFormatting sqref="G482">
    <cfRule type="cellIs" dxfId="3061" priority="3829" stopIfTrue="1" operator="notEqual">
      <formula>H482</formula>
    </cfRule>
  </conditionalFormatting>
  <conditionalFormatting sqref="G482">
    <cfRule type="cellIs" dxfId="3060" priority="3828" stopIfTrue="1" operator="notEqual">
      <formula>H482</formula>
    </cfRule>
  </conditionalFormatting>
  <conditionalFormatting sqref="G482">
    <cfRule type="cellIs" dxfId="3059" priority="3827" stopIfTrue="1" operator="notEqual">
      <formula>H482</formula>
    </cfRule>
  </conditionalFormatting>
  <conditionalFormatting sqref="O482 M482 G482 K482 S482 U482 W482 I482 Q482">
    <cfRule type="cellIs" dxfId="3058" priority="3826" stopIfTrue="1" operator="notEqual">
      <formula>H482</formula>
    </cfRule>
  </conditionalFormatting>
  <conditionalFormatting sqref="O484 M484 G484 K484 S484 U484 W484 I484 Q484">
    <cfRule type="cellIs" dxfId="3057" priority="3824" stopIfTrue="1" operator="notEqual">
      <formula>H484</formula>
    </cfRule>
  </conditionalFormatting>
  <conditionalFormatting sqref="O485 M485 G485 K485 S485 U485 W485 I485 Q485">
    <cfRule type="cellIs" dxfId="3056" priority="3823" stopIfTrue="1" operator="notEqual">
      <formula>H485</formula>
    </cfRule>
  </conditionalFormatting>
  <conditionalFormatting sqref="O482 M482 G482 K482 S482 U482 W482 I482 Q482">
    <cfRule type="cellIs" dxfId="3055" priority="3822" stopIfTrue="1" operator="notEqual">
      <formula>H482</formula>
    </cfRule>
  </conditionalFormatting>
  <conditionalFormatting sqref="O484 M484 G484 K484 S484 U484 W484 I484 Q484">
    <cfRule type="cellIs" dxfId="3054" priority="3820" stopIfTrue="1" operator="notEqual">
      <formula>H484</formula>
    </cfRule>
  </conditionalFormatting>
  <conditionalFormatting sqref="O482 M482 G482 K482 S482 U482 W482 I482 Q482">
    <cfRule type="cellIs" dxfId="3053" priority="3819" stopIfTrue="1" operator="notEqual">
      <formula>H482</formula>
    </cfRule>
  </conditionalFormatting>
  <conditionalFormatting sqref="O485 M485 G485 K485 S485 U485 W485 I485 Q485">
    <cfRule type="cellIs" dxfId="3052" priority="3818" stopIfTrue="1" operator="notEqual">
      <formula>H485</formula>
    </cfRule>
  </conditionalFormatting>
  <conditionalFormatting sqref="O466:O476 M466:M476 G466:G476 K466:K476 S466:S476 U466:U476 W466:W476 I466:I476 Q466:Q476">
    <cfRule type="cellIs" dxfId="3051" priority="3817" stopIfTrue="1" operator="notEqual">
      <formula>H466</formula>
    </cfRule>
  </conditionalFormatting>
  <conditionalFormatting sqref="O467 M467 G467 K467 S467 U467 W467 I467 Q467">
    <cfRule type="cellIs" dxfId="3050" priority="3816" stopIfTrue="1" operator="notEqual">
      <formula>H467</formula>
    </cfRule>
  </conditionalFormatting>
  <conditionalFormatting sqref="O468 M468 G468 K468 S468 U468 W468 I468 Q468">
    <cfRule type="cellIs" dxfId="3049" priority="3815" stopIfTrue="1" operator="notEqual">
      <formula>H468</formula>
    </cfRule>
  </conditionalFormatting>
  <conditionalFormatting sqref="O468 M468 G468 K468 S468 U468 W468 I468 Q468">
    <cfRule type="cellIs" dxfId="3048" priority="3814" stopIfTrue="1" operator="notEqual">
      <formula>H468</formula>
    </cfRule>
  </conditionalFormatting>
  <conditionalFormatting sqref="O466 M466 G466 K466 S466 U466 W466 I466 Q466">
    <cfRule type="cellIs" dxfId="3047" priority="3813" stopIfTrue="1" operator="notEqual">
      <formula>H466</formula>
    </cfRule>
  </conditionalFormatting>
  <conditionalFormatting sqref="O471 M471 G471 K471 S471 U471 W471 I471 Q471">
    <cfRule type="cellIs" dxfId="3046" priority="3812" stopIfTrue="1" operator="notEqual">
      <formula>H471</formula>
    </cfRule>
  </conditionalFormatting>
  <conditionalFormatting sqref="O472 M472 G472 K472 S472 U472 W472 I472 Q472">
    <cfRule type="cellIs" dxfId="3045" priority="3811" stopIfTrue="1" operator="notEqual">
      <formula>H472</formula>
    </cfRule>
  </conditionalFormatting>
  <conditionalFormatting sqref="O470 M470 G470 K470 S470 U470 W470 I470 Q470">
    <cfRule type="cellIs" dxfId="3044" priority="3810" stopIfTrue="1" operator="notEqual">
      <formula>H470</formula>
    </cfRule>
  </conditionalFormatting>
  <conditionalFormatting sqref="O473 M473 G473 K473 S473 U473 W473 I473 Q473">
    <cfRule type="cellIs" dxfId="3043" priority="3809" stopIfTrue="1" operator="notEqual">
      <formula>H473</formula>
    </cfRule>
  </conditionalFormatting>
  <conditionalFormatting sqref="O474 M474 G474 K474 S474 U474 W474 I474 Q474">
    <cfRule type="cellIs" dxfId="3042" priority="3808" stopIfTrue="1" operator="notEqual">
      <formula>H474</formula>
    </cfRule>
  </conditionalFormatting>
  <conditionalFormatting sqref="O475 M475 G475 K475 S475 U475 W475 I475 Q475">
    <cfRule type="cellIs" dxfId="3041" priority="3807" stopIfTrue="1" operator="notEqual">
      <formula>H475</formula>
    </cfRule>
  </conditionalFormatting>
  <conditionalFormatting sqref="O476 M476 G476 K476 S476 U476 W476 I476 Q476">
    <cfRule type="cellIs" dxfId="3040" priority="3806" stopIfTrue="1" operator="notEqual">
      <formula>H476</formula>
    </cfRule>
  </conditionalFormatting>
  <conditionalFormatting sqref="O477 M477 G477 K477 S477 U477 W477 I477 Q477">
    <cfRule type="cellIs" dxfId="3039" priority="3805" stopIfTrue="1" operator="notEqual">
      <formula>H477</formula>
    </cfRule>
  </conditionalFormatting>
  <conditionalFormatting sqref="O478 M478 G478 K478 S478 U478 W478 I478 Q478">
    <cfRule type="cellIs" dxfId="3038" priority="3804" stopIfTrue="1" operator="notEqual">
      <formula>H478</formula>
    </cfRule>
  </conditionalFormatting>
  <conditionalFormatting sqref="O479 M479 G479 K479 S479 U479 W479 I479 Q479">
    <cfRule type="cellIs" dxfId="3037" priority="3803" stopIfTrue="1" operator="notEqual">
      <formula>H479</formula>
    </cfRule>
  </conditionalFormatting>
  <conditionalFormatting sqref="O480 M480 G480 K480 S480 U480 W480 I480 Q480">
    <cfRule type="cellIs" dxfId="3036" priority="3802" stopIfTrue="1" operator="notEqual">
      <formula>H480</formula>
    </cfRule>
  </conditionalFormatting>
  <conditionalFormatting sqref="O481 M481 G481 K481 S481 U481 W481 I481 Q481">
    <cfRule type="cellIs" dxfId="3035" priority="3801" stopIfTrue="1" operator="notEqual">
      <formula>H481</formula>
    </cfRule>
  </conditionalFormatting>
  <conditionalFormatting sqref="O482 M482 G482 K482 S482 U482 W482 I482 Q482">
    <cfRule type="cellIs" dxfId="3034" priority="3800" stopIfTrue="1" operator="notEqual">
      <formula>H482</formula>
    </cfRule>
  </conditionalFormatting>
  <conditionalFormatting sqref="O484 M484 G484 K484 S484 U484 W484 I484 Q484">
    <cfRule type="cellIs" dxfId="3033" priority="3798" stopIfTrue="1" operator="notEqual">
      <formula>H484</formula>
    </cfRule>
  </conditionalFormatting>
  <conditionalFormatting sqref="O485 M485 G485 K485 S485 U485 W485 I485 Q485">
    <cfRule type="cellIs" dxfId="3032" priority="3797" stopIfTrue="1" operator="notEqual">
      <formula>H485</formula>
    </cfRule>
  </conditionalFormatting>
  <conditionalFormatting sqref="G486">
    <cfRule type="cellIs" dxfId="3031" priority="3796" stopIfTrue="1" operator="notEqual">
      <formula>H486</formula>
    </cfRule>
  </conditionalFormatting>
  <conditionalFormatting sqref="G487">
    <cfRule type="cellIs" dxfId="3030" priority="3795" stopIfTrue="1" operator="notEqual">
      <formula>H487</formula>
    </cfRule>
  </conditionalFormatting>
  <conditionalFormatting sqref="G486">
    <cfRule type="cellIs" dxfId="3029" priority="3794" stopIfTrue="1" operator="notEqual">
      <formula>H486</formula>
    </cfRule>
  </conditionalFormatting>
  <conditionalFormatting sqref="G487">
    <cfRule type="cellIs" dxfId="3028" priority="3793" stopIfTrue="1" operator="notEqual">
      <formula>H487</formula>
    </cfRule>
  </conditionalFormatting>
  <conditionalFormatting sqref="O486 M486 G486 K486 S486 U486 W486 I486 Q486">
    <cfRule type="cellIs" dxfId="3027" priority="3792" stopIfTrue="1" operator="notEqual">
      <formula>H486</formula>
    </cfRule>
  </conditionalFormatting>
  <conditionalFormatting sqref="O487 M487 G487 K487 S487 U487 W487 I487 Q487">
    <cfRule type="cellIs" dxfId="3026" priority="3791" stopIfTrue="1" operator="notEqual">
      <formula>H487</formula>
    </cfRule>
  </conditionalFormatting>
  <conditionalFormatting sqref="G486">
    <cfRule type="cellIs" dxfId="3025" priority="3790" stopIfTrue="1" operator="notEqual">
      <formula>H486</formula>
    </cfRule>
  </conditionalFormatting>
  <conditionalFormatting sqref="G487">
    <cfRule type="cellIs" dxfId="3024" priority="3789" stopIfTrue="1" operator="notEqual">
      <formula>H487</formula>
    </cfRule>
  </conditionalFormatting>
  <conditionalFormatting sqref="O487 M487 G487 K487 S487 U487 W487 I487 Q487">
    <cfRule type="cellIs" dxfId="3023" priority="3788" stopIfTrue="1" operator="notEqual">
      <formula>H487</formula>
    </cfRule>
  </conditionalFormatting>
  <conditionalFormatting sqref="O486 M486 G486 K486 S486 U486 W486 I486 Q486">
    <cfRule type="cellIs" dxfId="3022" priority="3787" stopIfTrue="1" operator="notEqual">
      <formula>H486</formula>
    </cfRule>
  </conditionalFormatting>
  <conditionalFormatting sqref="O486 M486 G486 K486 S486 U486 W486 I486 Q486">
    <cfRule type="cellIs" dxfId="3021" priority="3786" stopIfTrue="1" operator="notEqual">
      <formula>H486</formula>
    </cfRule>
  </conditionalFormatting>
  <conditionalFormatting sqref="O487 M487 G487 K487 S487 U487 W487 I487 Q487">
    <cfRule type="cellIs" dxfId="3020" priority="3785" stopIfTrue="1" operator="notEqual">
      <formula>H487</formula>
    </cfRule>
  </conditionalFormatting>
  <conditionalFormatting sqref="G486">
    <cfRule type="cellIs" dxfId="3019" priority="3784" stopIfTrue="1" operator="notEqual">
      <formula>H486</formula>
    </cfRule>
  </conditionalFormatting>
  <conditionalFormatting sqref="G487">
    <cfRule type="cellIs" dxfId="3018" priority="3783" stopIfTrue="1" operator="notEqual">
      <formula>H487</formula>
    </cfRule>
  </conditionalFormatting>
  <conditionalFormatting sqref="O486 M486 G486 K486 S486 U486 W486 I486 Q486">
    <cfRule type="cellIs" dxfId="3017" priority="3782" stopIfTrue="1" operator="notEqual">
      <formula>H486</formula>
    </cfRule>
  </conditionalFormatting>
  <conditionalFormatting sqref="O487 M487 G487 K487 S487 U487 W487 I487 Q487">
    <cfRule type="cellIs" dxfId="3016" priority="3781" stopIfTrue="1" operator="notEqual">
      <formula>H487</formula>
    </cfRule>
  </conditionalFormatting>
  <conditionalFormatting sqref="G486">
    <cfRule type="cellIs" dxfId="3015" priority="3780" stopIfTrue="1" operator="notEqual">
      <formula>H486</formula>
    </cfRule>
  </conditionalFormatting>
  <conditionalFormatting sqref="G487">
    <cfRule type="cellIs" dxfId="3014" priority="3779" stopIfTrue="1" operator="notEqual">
      <formula>H487</formula>
    </cfRule>
  </conditionalFormatting>
  <conditionalFormatting sqref="O486 M486 G486 K486 S486 U486 W486 I486 Q486">
    <cfRule type="cellIs" dxfId="3013" priority="3778" stopIfTrue="1" operator="notEqual">
      <formula>H486</formula>
    </cfRule>
  </conditionalFormatting>
  <conditionalFormatting sqref="O487 M487 G487 K487 S487 U487 W487 I487 Q487">
    <cfRule type="cellIs" dxfId="3012" priority="3777" stopIfTrue="1" operator="notEqual">
      <formula>H487</formula>
    </cfRule>
  </conditionalFormatting>
  <conditionalFormatting sqref="O486 M486 G486 K486 S486 U486 W486 I486 Q486">
    <cfRule type="cellIs" dxfId="3011" priority="3776" stopIfTrue="1" operator="notEqual">
      <formula>H486</formula>
    </cfRule>
  </conditionalFormatting>
  <conditionalFormatting sqref="O487 M487 G487 K487 S487 U487 W487 I487 Q487">
    <cfRule type="cellIs" dxfId="3010" priority="3775" stopIfTrue="1" operator="notEqual">
      <formula>H487</formula>
    </cfRule>
  </conditionalFormatting>
  <conditionalFormatting sqref="G486">
    <cfRule type="cellIs" dxfId="3009" priority="3774" stopIfTrue="1" operator="notEqual">
      <formula>H486</formula>
    </cfRule>
  </conditionalFormatting>
  <conditionalFormatting sqref="G487">
    <cfRule type="cellIs" dxfId="3008" priority="3773" stopIfTrue="1" operator="notEqual">
      <formula>H487</formula>
    </cfRule>
  </conditionalFormatting>
  <conditionalFormatting sqref="G486">
    <cfRule type="cellIs" dxfId="3007" priority="3772" stopIfTrue="1" operator="notEqual">
      <formula>H486</formula>
    </cfRule>
  </conditionalFormatting>
  <conditionalFormatting sqref="G486">
    <cfRule type="cellIs" dxfId="3006" priority="3771" stopIfTrue="1" operator="notEqual">
      <formula>H486</formula>
    </cfRule>
  </conditionalFormatting>
  <conditionalFormatting sqref="G486">
    <cfRule type="cellIs" dxfId="3005" priority="3770" stopIfTrue="1" operator="notEqual">
      <formula>H486</formula>
    </cfRule>
  </conditionalFormatting>
  <conditionalFormatting sqref="G486">
    <cfRule type="cellIs" dxfId="3004" priority="3769" stopIfTrue="1" operator="notEqual">
      <formula>H486</formula>
    </cfRule>
  </conditionalFormatting>
  <conditionalFormatting sqref="G486">
    <cfRule type="cellIs" dxfId="3003" priority="3768" stopIfTrue="1" operator="notEqual">
      <formula>H486</formula>
    </cfRule>
  </conditionalFormatting>
  <conditionalFormatting sqref="G486">
    <cfRule type="cellIs" dxfId="3002" priority="3767" stopIfTrue="1" operator="notEqual">
      <formula>H486</formula>
    </cfRule>
  </conditionalFormatting>
  <conditionalFormatting sqref="O486 M486 G486 K486 S486 U486 W486 I486 Q486">
    <cfRule type="cellIs" dxfId="3001" priority="3766" stopIfTrue="1" operator="notEqual">
      <formula>H486</formula>
    </cfRule>
  </conditionalFormatting>
  <conditionalFormatting sqref="O487 M487 G487 K487 S487 U487 W487 I487 Q487">
    <cfRule type="cellIs" dxfId="3000" priority="3765" stopIfTrue="1" operator="notEqual">
      <formula>H487</formula>
    </cfRule>
  </conditionalFormatting>
  <conditionalFormatting sqref="O486 M486 G486 K486 S486 U486 W486 I486 Q486">
    <cfRule type="cellIs" dxfId="2999" priority="3764" stopIfTrue="1" operator="notEqual">
      <formula>H486</formula>
    </cfRule>
  </conditionalFormatting>
  <conditionalFormatting sqref="O487 M487 G487 K487 S487 U487 W487 I487 Q487">
    <cfRule type="cellIs" dxfId="2998" priority="3763" stopIfTrue="1" operator="notEqual">
      <formula>H487</formula>
    </cfRule>
  </conditionalFormatting>
  <conditionalFormatting sqref="O486 M486 G486 K486 S486 U486 W486 I486 Q486">
    <cfRule type="cellIs" dxfId="2997" priority="3762" stopIfTrue="1" operator="notEqual">
      <formula>H486</formula>
    </cfRule>
  </conditionalFormatting>
  <conditionalFormatting sqref="O486:O487 M486:M487 G486:G487 K486:K487 S486:S487 U486:U487 W486:W487 I486:I487 Q486:Q487">
    <cfRule type="cellIs" dxfId="2996" priority="3761" stopIfTrue="1" operator="notEqual">
      <formula>H486</formula>
    </cfRule>
  </conditionalFormatting>
  <conditionalFormatting sqref="O487 M487 G487 K487 S487 U487 W487 I487 Q487">
    <cfRule type="cellIs" dxfId="2995" priority="3760" stopIfTrue="1" operator="notEqual">
      <formula>H487</formula>
    </cfRule>
  </conditionalFormatting>
  <conditionalFormatting sqref="O486 M486 G486 K486 S486 U486 W486 I486 Q486">
    <cfRule type="cellIs" dxfId="2994" priority="3759" stopIfTrue="1" operator="notEqual">
      <formula>H486</formula>
    </cfRule>
  </conditionalFormatting>
  <conditionalFormatting sqref="S494">
    <cfRule type="cellIs" dxfId="2993" priority="3756" stopIfTrue="1" operator="notEqual">
      <formula>T494</formula>
    </cfRule>
  </conditionalFormatting>
  <conditionalFormatting sqref="S507:S526">
    <cfRule type="cellIs" dxfId="2992" priority="3755" stopIfTrue="1" operator="notEqual">
      <formula>T507</formula>
    </cfRule>
  </conditionalFormatting>
  <conditionalFormatting sqref="U494">
    <cfRule type="cellIs" dxfId="2991" priority="3753" stopIfTrue="1" operator="notEqual">
      <formula>V494</formula>
    </cfRule>
  </conditionalFormatting>
  <conditionalFormatting sqref="U507:U526">
    <cfRule type="cellIs" dxfId="2990" priority="3752" stopIfTrue="1" operator="notEqual">
      <formula>V507</formula>
    </cfRule>
  </conditionalFormatting>
  <conditionalFormatting sqref="U496:U504 W496:W504 G496:G504 K496:K504 M496:M504 O496:O504 S496:S504 I496:I504 Q496:Q531">
    <cfRule type="cellIs" dxfId="2989" priority="3750" stopIfTrue="1" operator="notEqual">
      <formula>H496</formula>
    </cfRule>
  </conditionalFormatting>
  <conditionalFormatting sqref="S496:S504 W496:W504 G496:G504 M496:M504 O496:O504 U496:U504 K496:K504 Q496:Q531">
    <cfRule type="cellIs" dxfId="2988" priority="3749" stopIfTrue="1" operator="notEqual">
      <formula>H496</formula>
    </cfRule>
  </conditionalFormatting>
  <conditionalFormatting sqref="I496:I504">
    <cfRule type="cellIs" dxfId="2987" priority="3748" stopIfTrue="1" operator="notEqual">
      <formula>J496</formula>
    </cfRule>
  </conditionalFormatting>
  <conditionalFormatting sqref="G498">
    <cfRule type="cellIs" dxfId="2986" priority="3747" stopIfTrue="1" operator="notEqual">
      <formula>H498</formula>
    </cfRule>
  </conditionalFormatting>
  <conditionalFormatting sqref="G498">
    <cfRule type="cellIs" dxfId="2985" priority="3746" stopIfTrue="1" operator="notEqual">
      <formula>H498</formula>
    </cfRule>
  </conditionalFormatting>
  <conditionalFormatting sqref="G498">
    <cfRule type="cellIs" dxfId="2984" priority="3745" stopIfTrue="1" operator="notEqual">
      <formula>H498</formula>
    </cfRule>
  </conditionalFormatting>
  <conditionalFormatting sqref="G498">
    <cfRule type="cellIs" dxfId="2983" priority="3744" stopIfTrue="1" operator="notEqual">
      <formula>H498</formula>
    </cfRule>
  </conditionalFormatting>
  <conditionalFormatting sqref="G498">
    <cfRule type="cellIs" dxfId="2982" priority="3743" stopIfTrue="1" operator="notEqual">
      <formula>H498</formula>
    </cfRule>
  </conditionalFormatting>
  <conditionalFormatting sqref="G498">
    <cfRule type="cellIs" dxfId="2981" priority="3742" stopIfTrue="1" operator="notEqual">
      <formula>H498</formula>
    </cfRule>
  </conditionalFormatting>
  <conditionalFormatting sqref="G488">
    <cfRule type="cellIs" dxfId="2980" priority="3740" stopIfTrue="1" operator="notEqual">
      <formula>H488</formula>
    </cfRule>
  </conditionalFormatting>
  <conditionalFormatting sqref="G489">
    <cfRule type="cellIs" dxfId="2979" priority="3739" stopIfTrue="1" operator="notEqual">
      <formula>H489</formula>
    </cfRule>
  </conditionalFormatting>
  <conditionalFormatting sqref="G490">
    <cfRule type="cellIs" dxfId="2978" priority="3738" stopIfTrue="1" operator="notEqual">
      <formula>H490</formula>
    </cfRule>
  </conditionalFormatting>
  <conditionalFormatting sqref="G491">
    <cfRule type="cellIs" dxfId="2977" priority="3737" stopIfTrue="1" operator="notEqual">
      <formula>H491</formula>
    </cfRule>
  </conditionalFormatting>
  <conditionalFormatting sqref="G492">
    <cfRule type="cellIs" dxfId="2976" priority="3736" stopIfTrue="1" operator="notEqual">
      <formula>H492</formula>
    </cfRule>
  </conditionalFormatting>
  <conditionalFormatting sqref="G488">
    <cfRule type="cellIs" dxfId="2975" priority="3735" stopIfTrue="1" operator="notEqual">
      <formula>H488</formula>
    </cfRule>
  </conditionalFormatting>
  <conditionalFormatting sqref="G489">
    <cfRule type="cellIs" dxfId="2974" priority="3734" stopIfTrue="1" operator="notEqual">
      <formula>H489</formula>
    </cfRule>
  </conditionalFormatting>
  <conditionalFormatting sqref="G490">
    <cfRule type="cellIs" dxfId="2973" priority="3733" stopIfTrue="1" operator="notEqual">
      <formula>H490</formula>
    </cfRule>
  </conditionalFormatting>
  <conditionalFormatting sqref="G491">
    <cfRule type="cellIs" dxfId="2972" priority="3732" stopIfTrue="1" operator="notEqual">
      <formula>H491</formula>
    </cfRule>
  </conditionalFormatting>
  <conditionalFormatting sqref="G492">
    <cfRule type="cellIs" dxfId="2971" priority="3731" stopIfTrue="1" operator="notEqual">
      <formula>H492</formula>
    </cfRule>
  </conditionalFormatting>
  <conditionalFormatting sqref="O488 M488 G488 K488 S488 U488 W488 I488 Q488">
    <cfRule type="cellIs" dxfId="2970" priority="3730" stopIfTrue="1" operator="notEqual">
      <formula>H488</formula>
    </cfRule>
  </conditionalFormatting>
  <conditionalFormatting sqref="O489 M489 G489 K489 S489 U489 W489 I489 Q489">
    <cfRule type="cellIs" dxfId="2969" priority="3729" stopIfTrue="1" operator="notEqual">
      <formula>H489</formula>
    </cfRule>
  </conditionalFormatting>
  <conditionalFormatting sqref="O490 M490 G490 K490 S490 U490 W490 I490 Q490">
    <cfRule type="cellIs" dxfId="2968" priority="3728" stopIfTrue="1" operator="notEqual">
      <formula>H490</formula>
    </cfRule>
  </conditionalFormatting>
  <conditionalFormatting sqref="O491 M491 G491 K491 S491 U491 W491 I491 Q491">
    <cfRule type="cellIs" dxfId="2967" priority="3727" stopIfTrue="1" operator="notEqual">
      <formula>H491</formula>
    </cfRule>
  </conditionalFormatting>
  <conditionalFormatting sqref="G491:G492">
    <cfRule type="cellIs" dxfId="2966" priority="3726" stopIfTrue="1" operator="notEqual">
      <formula>H491</formula>
    </cfRule>
  </conditionalFormatting>
  <conditionalFormatting sqref="G488">
    <cfRule type="cellIs" dxfId="2965" priority="3725" stopIfTrue="1" operator="notEqual">
      <formula>H488</formula>
    </cfRule>
  </conditionalFormatting>
  <conditionalFormatting sqref="G489">
    <cfRule type="cellIs" dxfId="2964" priority="3724" stopIfTrue="1" operator="notEqual">
      <formula>H489</formula>
    </cfRule>
  </conditionalFormatting>
  <conditionalFormatting sqref="G490">
    <cfRule type="cellIs" dxfId="2963" priority="3723" stopIfTrue="1" operator="notEqual">
      <formula>H490</formula>
    </cfRule>
  </conditionalFormatting>
  <conditionalFormatting sqref="G492">
    <cfRule type="cellIs" dxfId="2962" priority="3722" stopIfTrue="1" operator="notEqual">
      <formula>H492</formula>
    </cfRule>
  </conditionalFormatting>
  <conditionalFormatting sqref="O488:O492 M488:M492 G488:G492 K488:K492 S488:S492 U488:U492 W488:W492 I488:I492 Q488:Q492">
    <cfRule type="cellIs" dxfId="2961" priority="3721" stopIfTrue="1" operator="notEqual">
      <formula>H488</formula>
    </cfRule>
  </conditionalFormatting>
  <conditionalFormatting sqref="O489 M489 G489 K489 S489 U489 W489 I489 Q489">
    <cfRule type="cellIs" dxfId="2960" priority="3720" stopIfTrue="1" operator="notEqual">
      <formula>H489</formula>
    </cfRule>
  </conditionalFormatting>
  <conditionalFormatting sqref="O490 M490 G490 K490 S490 U490 W490 I490 Q490">
    <cfRule type="cellIs" dxfId="2959" priority="3719" stopIfTrue="1" operator="notEqual">
      <formula>H490</formula>
    </cfRule>
  </conditionalFormatting>
  <conditionalFormatting sqref="O490 M490 G490 K490 S490 U490 W490 I490 Q490">
    <cfRule type="cellIs" dxfId="2958" priority="3718" stopIfTrue="1" operator="notEqual">
      <formula>H490</formula>
    </cfRule>
  </conditionalFormatting>
  <conditionalFormatting sqref="O488 M488 G488 K488 S488 U488 W488 I488 Q488">
    <cfRule type="cellIs" dxfId="2957" priority="3717" stopIfTrue="1" operator="notEqual">
      <formula>H488</formula>
    </cfRule>
  </conditionalFormatting>
  <conditionalFormatting sqref="O492 M492 G492 K492 S492 U492 W492 I492 Q492">
    <cfRule type="cellIs" dxfId="2956" priority="3716" stopIfTrue="1" operator="notEqual">
      <formula>H492</formula>
    </cfRule>
  </conditionalFormatting>
  <conditionalFormatting sqref="O488 M488 G488 K488 S488 U488 W488 I488 Q488">
    <cfRule type="cellIs" dxfId="2955" priority="3715" stopIfTrue="1" operator="notEqual">
      <formula>H488</formula>
    </cfRule>
  </conditionalFormatting>
  <conditionalFormatting sqref="O489 M489 G489 K489 S489 U489 W489 I489 Q489">
    <cfRule type="cellIs" dxfId="2954" priority="3714" stopIfTrue="1" operator="notEqual">
      <formula>H489</formula>
    </cfRule>
  </conditionalFormatting>
  <conditionalFormatting sqref="O490 M490 G490 K490 S490 U490 W490 I490 Q490">
    <cfRule type="cellIs" dxfId="2953" priority="3713" stopIfTrue="1" operator="notEqual">
      <formula>H490</formula>
    </cfRule>
  </conditionalFormatting>
  <conditionalFormatting sqref="O491 M491 G491 K491 S491 U491 W491 I491 Q491">
    <cfRule type="cellIs" dxfId="2952" priority="3712" stopIfTrue="1" operator="notEqual">
      <formula>H491</formula>
    </cfRule>
  </conditionalFormatting>
  <conditionalFormatting sqref="O492 M492 G492 K492 S492 U492 W492 I492 Q492">
    <cfRule type="cellIs" dxfId="2951" priority="3711" stopIfTrue="1" operator="notEqual">
      <formula>H492</formula>
    </cfRule>
  </conditionalFormatting>
  <conditionalFormatting sqref="G488">
    <cfRule type="cellIs" dxfId="2950" priority="3710" stopIfTrue="1" operator="notEqual">
      <formula>H488</formula>
    </cfRule>
  </conditionalFormatting>
  <conditionalFormatting sqref="G489">
    <cfRule type="cellIs" dxfId="2949" priority="3709" stopIfTrue="1" operator="notEqual">
      <formula>H489</formula>
    </cfRule>
  </conditionalFormatting>
  <conditionalFormatting sqref="G490">
    <cfRule type="cellIs" dxfId="2948" priority="3708" stopIfTrue="1" operator="notEqual">
      <formula>H490</formula>
    </cfRule>
  </conditionalFormatting>
  <conditionalFormatting sqref="G491">
    <cfRule type="cellIs" dxfId="2947" priority="3707" stopIfTrue="1" operator="notEqual">
      <formula>H491</formula>
    </cfRule>
  </conditionalFormatting>
  <conditionalFormatting sqref="G492">
    <cfRule type="cellIs" dxfId="2946" priority="3706" stopIfTrue="1" operator="notEqual">
      <formula>H492</formula>
    </cfRule>
  </conditionalFormatting>
  <conditionalFormatting sqref="G493">
    <cfRule type="cellIs" dxfId="2945" priority="3704" stopIfTrue="1" operator="notEqual">
      <formula>H493</formula>
    </cfRule>
  </conditionalFormatting>
  <conditionalFormatting sqref="G494">
    <cfRule type="cellIs" dxfId="2944" priority="3703" stopIfTrue="1" operator="notEqual">
      <formula>H494</formula>
    </cfRule>
  </conditionalFormatting>
  <conditionalFormatting sqref="G495">
    <cfRule type="cellIs" dxfId="2943" priority="3702" stopIfTrue="1" operator="notEqual">
      <formula>H495</formula>
    </cfRule>
  </conditionalFormatting>
  <conditionalFormatting sqref="G496">
    <cfRule type="cellIs" dxfId="2942" priority="3701" stopIfTrue="1" operator="notEqual">
      <formula>H496</formula>
    </cfRule>
  </conditionalFormatting>
  <conditionalFormatting sqref="G497">
    <cfRule type="cellIs" dxfId="2941" priority="3700" stopIfTrue="1" operator="notEqual">
      <formula>H497</formula>
    </cfRule>
  </conditionalFormatting>
  <conditionalFormatting sqref="G498">
    <cfRule type="cellIs" dxfId="2940" priority="3699" stopIfTrue="1" operator="notEqual">
      <formula>H498</formula>
    </cfRule>
  </conditionalFormatting>
  <conditionalFormatting sqref="G499">
    <cfRule type="cellIs" dxfId="2939" priority="3698" stopIfTrue="1" operator="notEqual">
      <formula>H499</formula>
    </cfRule>
  </conditionalFormatting>
  <conditionalFormatting sqref="G500">
    <cfRule type="cellIs" dxfId="2938" priority="3697" stopIfTrue="1" operator="notEqual">
      <formula>H500</formula>
    </cfRule>
  </conditionalFormatting>
  <conditionalFormatting sqref="G501">
    <cfRule type="cellIs" dxfId="2937" priority="3696" stopIfTrue="1" operator="notEqual">
      <formula>H501</formula>
    </cfRule>
  </conditionalFormatting>
  <conditionalFormatting sqref="G502">
    <cfRule type="cellIs" dxfId="2936" priority="3695" stopIfTrue="1" operator="notEqual">
      <formula>H502</formula>
    </cfRule>
  </conditionalFormatting>
  <conditionalFormatting sqref="G503">
    <cfRule type="cellIs" dxfId="2935" priority="3694" stopIfTrue="1" operator="notEqual">
      <formula>H503</formula>
    </cfRule>
  </conditionalFormatting>
  <conditionalFormatting sqref="G504">
    <cfRule type="cellIs" dxfId="2934" priority="3693" stopIfTrue="1" operator="notEqual">
      <formula>H504</formula>
    </cfRule>
  </conditionalFormatting>
  <conditionalFormatting sqref="O488 M488 G488 K488 S488 U488 W488 I488 Q488">
    <cfRule type="cellIs" dxfId="2933" priority="3692" stopIfTrue="1" operator="notEqual">
      <formula>H488</formula>
    </cfRule>
  </conditionalFormatting>
  <conditionalFormatting sqref="O489 M489 G489 K489 S489 U489 W489 I489 Q489">
    <cfRule type="cellIs" dxfId="2932" priority="3691" stopIfTrue="1" operator="notEqual">
      <formula>H489</formula>
    </cfRule>
  </conditionalFormatting>
  <conditionalFormatting sqref="O490 M490 G490 K490 S490 U490 W490 I490 Q490">
    <cfRule type="cellIs" dxfId="2931" priority="3690" stopIfTrue="1" operator="notEqual">
      <formula>H490</formula>
    </cfRule>
  </conditionalFormatting>
  <conditionalFormatting sqref="O491 M491 G491 K491 S491 U491 W491 I491 Q491">
    <cfRule type="cellIs" dxfId="2930" priority="3689" stopIfTrue="1" operator="notEqual">
      <formula>H491</formula>
    </cfRule>
  </conditionalFormatting>
  <conditionalFormatting sqref="O492 M492 G492 K492 S492 U492 W492 I492 Q492">
    <cfRule type="cellIs" dxfId="2929" priority="3688" stopIfTrue="1" operator="notEqual">
      <formula>H492</formula>
    </cfRule>
  </conditionalFormatting>
  <conditionalFormatting sqref="O493 M493 G493 K493 S493 U493 W493 I493 Q493">
    <cfRule type="cellIs" dxfId="2928" priority="3686" stopIfTrue="1" operator="notEqual">
      <formula>H493</formula>
    </cfRule>
  </conditionalFormatting>
  <conditionalFormatting sqref="O494 M494 G494 K494 S494 U494 W494 I494 Q494">
    <cfRule type="cellIs" dxfId="2927" priority="3685" stopIfTrue="1" operator="notEqual">
      <formula>H494</formula>
    </cfRule>
  </conditionalFormatting>
  <conditionalFormatting sqref="O495 M495 G495 K495 S495 U495 W495 I495 Q495">
    <cfRule type="cellIs" dxfId="2926" priority="3684" stopIfTrue="1" operator="notEqual">
      <formula>H495</formula>
    </cfRule>
  </conditionalFormatting>
  <conditionalFormatting sqref="G495:G496">
    <cfRule type="cellIs" dxfId="2925" priority="3683" stopIfTrue="1" operator="notEqual">
      <formula>H495</formula>
    </cfRule>
  </conditionalFormatting>
  <conditionalFormatting sqref="G488">
    <cfRule type="cellIs" dxfId="2924" priority="3682" stopIfTrue="1" operator="notEqual">
      <formula>H488</formula>
    </cfRule>
  </conditionalFormatting>
  <conditionalFormatting sqref="G489">
    <cfRule type="cellIs" dxfId="2923" priority="3681" stopIfTrue="1" operator="notEqual">
      <formula>H489</formula>
    </cfRule>
  </conditionalFormatting>
  <conditionalFormatting sqref="G490">
    <cfRule type="cellIs" dxfId="2922" priority="3680" stopIfTrue="1" operator="notEqual">
      <formula>H490</formula>
    </cfRule>
  </conditionalFormatting>
  <conditionalFormatting sqref="G491">
    <cfRule type="cellIs" dxfId="2921" priority="3679" stopIfTrue="1" operator="notEqual">
      <formula>H491</formula>
    </cfRule>
  </conditionalFormatting>
  <conditionalFormatting sqref="G492">
    <cfRule type="cellIs" dxfId="2920" priority="3678" stopIfTrue="1" operator="notEqual">
      <formula>H492</formula>
    </cfRule>
  </conditionalFormatting>
  <conditionalFormatting sqref="G493">
    <cfRule type="cellIs" dxfId="2919" priority="3676" stopIfTrue="1" operator="notEqual">
      <formula>H493</formula>
    </cfRule>
  </conditionalFormatting>
  <conditionalFormatting sqref="G494">
    <cfRule type="cellIs" dxfId="2918" priority="3675" stopIfTrue="1" operator="notEqual">
      <formula>H494</formula>
    </cfRule>
  </conditionalFormatting>
  <conditionalFormatting sqref="G496">
    <cfRule type="cellIs" dxfId="2917" priority="3674" stopIfTrue="1" operator="notEqual">
      <formula>H496</formula>
    </cfRule>
  </conditionalFormatting>
  <conditionalFormatting sqref="O488 M488 G488 K488 S488 U488 W488 I488 Q488">
    <cfRule type="cellIs" dxfId="2916" priority="3672" stopIfTrue="1" operator="notEqual">
      <formula>H488</formula>
    </cfRule>
  </conditionalFormatting>
  <conditionalFormatting sqref="O489 M489 G489 K489 S489 U489 W489 I489 Q489">
    <cfRule type="cellIs" dxfId="2915" priority="3671" stopIfTrue="1" operator="notEqual">
      <formula>H489</formula>
    </cfRule>
  </conditionalFormatting>
  <conditionalFormatting sqref="O490 M490 G490 K490 S490 U490 W490 I490 Q490">
    <cfRule type="cellIs" dxfId="2914" priority="3670" stopIfTrue="1" operator="notEqual">
      <formula>H490</formula>
    </cfRule>
  </conditionalFormatting>
  <conditionalFormatting sqref="O491 M491 G491 K491 S491 U491 W491 I491 Q491">
    <cfRule type="cellIs" dxfId="2913" priority="3669" stopIfTrue="1" operator="notEqual">
      <formula>H491</formula>
    </cfRule>
  </conditionalFormatting>
  <conditionalFormatting sqref="O493 M493 G493 K493 S493 U493 W493 I493 Q493">
    <cfRule type="cellIs" dxfId="2912" priority="3668" stopIfTrue="1" operator="notEqual">
      <formula>H493</formula>
    </cfRule>
  </conditionalFormatting>
  <conditionalFormatting sqref="O494 M494 G494 K494 S494 U494 W494 I494 Q494">
    <cfRule type="cellIs" dxfId="2911" priority="3667" stopIfTrue="1" operator="notEqual">
      <formula>H494</formula>
    </cfRule>
  </conditionalFormatting>
  <conditionalFormatting sqref="O494 M494 G494 K494 S494 U494 W494 I494 Q494">
    <cfRule type="cellIs" dxfId="2910" priority="3666" stopIfTrue="1" operator="notEqual">
      <formula>H494</formula>
    </cfRule>
  </conditionalFormatting>
  <conditionalFormatting sqref="O496 M496 G496 K496 S496 U496 W496 I496 Q496:Q531">
    <cfRule type="cellIs" dxfId="2909" priority="3664" stopIfTrue="1" operator="notEqual">
      <formula>H496</formula>
    </cfRule>
  </conditionalFormatting>
  <conditionalFormatting sqref="O488 M488 G488 K488 S488 U488 W488 I488 Q488">
    <cfRule type="cellIs" dxfId="2908" priority="3663" stopIfTrue="1" operator="notEqual">
      <formula>H488</formula>
    </cfRule>
  </conditionalFormatting>
  <conditionalFormatting sqref="O489 M489 G489 K489 S489 U489 W489 I489 Q489">
    <cfRule type="cellIs" dxfId="2907" priority="3662" stopIfTrue="1" operator="notEqual">
      <formula>H489</formula>
    </cfRule>
  </conditionalFormatting>
  <conditionalFormatting sqref="O490 M490 G490 K490 S490 U490 W490 I490 Q490">
    <cfRule type="cellIs" dxfId="2906" priority="3661" stopIfTrue="1" operator="notEqual">
      <formula>H490</formula>
    </cfRule>
  </conditionalFormatting>
  <conditionalFormatting sqref="O491 M491 G491 K491 S491 U491 W491 I491 Q491">
    <cfRule type="cellIs" dxfId="2905" priority="3660" stopIfTrue="1" operator="notEqual">
      <formula>H491</formula>
    </cfRule>
  </conditionalFormatting>
  <conditionalFormatting sqref="O492 M492 G492 K492 S492 U492 W492 I492 Q492">
    <cfRule type="cellIs" dxfId="2904" priority="3659" stopIfTrue="1" operator="notEqual">
      <formula>H492</formula>
    </cfRule>
  </conditionalFormatting>
  <conditionalFormatting sqref="O493 M493 G493 K493 S493 U493 W493 I493 Q493">
    <cfRule type="cellIs" dxfId="2903" priority="3657" stopIfTrue="1" operator="notEqual">
      <formula>H493</formula>
    </cfRule>
  </conditionalFormatting>
  <conditionalFormatting sqref="O494 M494 G494 K494 S494 U494 W494 I494 Q494">
    <cfRule type="cellIs" dxfId="2902" priority="3656" stopIfTrue="1" operator="notEqual">
      <formula>H494</formula>
    </cfRule>
  </conditionalFormatting>
  <conditionalFormatting sqref="O495 M495 G495 K495 S495 U495 W495 I495 Q495">
    <cfRule type="cellIs" dxfId="2901" priority="3655" stopIfTrue="1" operator="notEqual">
      <formula>H495</formula>
    </cfRule>
  </conditionalFormatting>
  <conditionalFormatting sqref="O496 M496 G496 K496 S496 U496 W496 I496 Q496:Q531">
    <cfRule type="cellIs" dxfId="2900" priority="3654" stopIfTrue="1" operator="notEqual">
      <formula>H496</formula>
    </cfRule>
  </conditionalFormatting>
  <conditionalFormatting sqref="G496:G499">
    <cfRule type="cellIs" dxfId="2899" priority="3653" stopIfTrue="1" operator="notEqual">
      <formula>H496</formula>
    </cfRule>
  </conditionalFormatting>
  <conditionalFormatting sqref="G496">
    <cfRule type="cellIs" dxfId="2898" priority="3652" stopIfTrue="1" operator="notEqual">
      <formula>H496</formula>
    </cfRule>
  </conditionalFormatting>
  <conditionalFormatting sqref="G497">
    <cfRule type="cellIs" dxfId="2897" priority="3651" stopIfTrue="1" operator="notEqual">
      <formula>H497</formula>
    </cfRule>
  </conditionalFormatting>
  <conditionalFormatting sqref="G497">
    <cfRule type="cellIs" dxfId="2896" priority="3650" stopIfTrue="1" operator="notEqual">
      <formula>H497</formula>
    </cfRule>
  </conditionalFormatting>
  <conditionalFormatting sqref="G500">
    <cfRule type="cellIs" dxfId="2895" priority="3649" stopIfTrue="1" operator="notEqual">
      <formula>H500</formula>
    </cfRule>
  </conditionalFormatting>
  <conditionalFormatting sqref="G501">
    <cfRule type="cellIs" dxfId="2894" priority="3648" stopIfTrue="1" operator="notEqual">
      <formula>H501</formula>
    </cfRule>
  </conditionalFormatting>
  <conditionalFormatting sqref="G499">
    <cfRule type="cellIs" dxfId="2893" priority="3647" stopIfTrue="1" operator="notEqual">
      <formula>H499</formula>
    </cfRule>
  </conditionalFormatting>
  <conditionalFormatting sqref="G502">
    <cfRule type="cellIs" dxfId="2892" priority="3646" stopIfTrue="1" operator="notEqual">
      <formula>H502</formula>
    </cfRule>
  </conditionalFormatting>
  <conditionalFormatting sqref="G503">
    <cfRule type="cellIs" dxfId="2891" priority="3645" stopIfTrue="1" operator="notEqual">
      <formula>H503</formula>
    </cfRule>
  </conditionalFormatting>
  <conditionalFormatting sqref="G504">
    <cfRule type="cellIs" dxfId="2890" priority="3644" stopIfTrue="1" operator="notEqual">
      <formula>H504</formula>
    </cfRule>
  </conditionalFormatting>
  <conditionalFormatting sqref="O496 M496 G496 K496 S496 U496 W496 I496 Q496:Q531">
    <cfRule type="cellIs" dxfId="2889" priority="3643" stopIfTrue="1" operator="notEqual">
      <formula>H496</formula>
    </cfRule>
  </conditionalFormatting>
  <conditionalFormatting sqref="O497 M497 G497 K497 S497 U497 W497 I497 Q497">
    <cfRule type="cellIs" dxfId="2888" priority="3642" stopIfTrue="1" operator="notEqual">
      <formula>H497</formula>
    </cfRule>
  </conditionalFormatting>
  <conditionalFormatting sqref="O498 M498 G498 K498 S498 U498 W498 I498 Q498">
    <cfRule type="cellIs" dxfId="2887" priority="3641" stopIfTrue="1" operator="notEqual">
      <formula>H498</formula>
    </cfRule>
  </conditionalFormatting>
  <conditionalFormatting sqref="O499 M499 G499 K499 S499 U499 W499 I499 Q499">
    <cfRule type="cellIs" dxfId="2886" priority="3640" stopIfTrue="1" operator="notEqual">
      <formula>H499</formula>
    </cfRule>
  </conditionalFormatting>
  <conditionalFormatting sqref="O500 M500 G500 K500 S500 U500 W500 I500 Q500">
    <cfRule type="cellIs" dxfId="2885" priority="3639" stopIfTrue="1" operator="notEqual">
      <formula>H500</formula>
    </cfRule>
  </conditionalFormatting>
  <conditionalFormatting sqref="O501 M501 G501 K501 S501 U501 W501 I501 Q501">
    <cfRule type="cellIs" dxfId="2884" priority="3638" stopIfTrue="1" operator="notEqual">
      <formula>H501</formula>
    </cfRule>
  </conditionalFormatting>
  <conditionalFormatting sqref="O502 M502 G502 K502 S502 U502 W502 I502 Q502">
    <cfRule type="cellIs" dxfId="2883" priority="3637" stopIfTrue="1" operator="notEqual">
      <formula>H502</formula>
    </cfRule>
  </conditionalFormatting>
  <conditionalFormatting sqref="O503 M503 G503 K503 S503 U503 W503 I503 Q503">
    <cfRule type="cellIs" dxfId="2882" priority="3636" stopIfTrue="1" operator="notEqual">
      <formula>H503</formula>
    </cfRule>
  </conditionalFormatting>
  <conditionalFormatting sqref="O504 M504 G504 K504 S504 U504 W504 I504 Q504">
    <cfRule type="cellIs" dxfId="2881" priority="3635" stopIfTrue="1" operator="notEqual">
      <formula>H504</formula>
    </cfRule>
  </conditionalFormatting>
  <conditionalFormatting sqref="G496">
    <cfRule type="cellIs" dxfId="2880" priority="3634" stopIfTrue="1" operator="notEqual">
      <formula>H496</formula>
    </cfRule>
  </conditionalFormatting>
  <conditionalFormatting sqref="G497">
    <cfRule type="cellIs" dxfId="2879" priority="3633" stopIfTrue="1" operator="notEqual">
      <formula>H497</formula>
    </cfRule>
  </conditionalFormatting>
  <conditionalFormatting sqref="G498">
    <cfRule type="cellIs" dxfId="2878" priority="3632" stopIfTrue="1" operator="notEqual">
      <formula>H498</formula>
    </cfRule>
  </conditionalFormatting>
  <conditionalFormatting sqref="G499">
    <cfRule type="cellIs" dxfId="2877" priority="3631" stopIfTrue="1" operator="notEqual">
      <formula>H499</formula>
    </cfRule>
  </conditionalFormatting>
  <conditionalFormatting sqref="G500">
    <cfRule type="cellIs" dxfId="2876" priority="3630" stopIfTrue="1" operator="notEqual">
      <formula>H500</formula>
    </cfRule>
  </conditionalFormatting>
  <conditionalFormatting sqref="G501">
    <cfRule type="cellIs" dxfId="2875" priority="3629" stopIfTrue="1" operator="notEqual">
      <formula>H501</formula>
    </cfRule>
  </conditionalFormatting>
  <conditionalFormatting sqref="G502">
    <cfRule type="cellIs" dxfId="2874" priority="3628" stopIfTrue="1" operator="notEqual">
      <formula>H502</formula>
    </cfRule>
  </conditionalFormatting>
  <conditionalFormatting sqref="G503">
    <cfRule type="cellIs" dxfId="2873" priority="3627" stopIfTrue="1" operator="notEqual">
      <formula>H503</formula>
    </cfRule>
  </conditionalFormatting>
  <conditionalFormatting sqref="G504">
    <cfRule type="cellIs" dxfId="2872" priority="3626" stopIfTrue="1" operator="notEqual">
      <formula>H504</formula>
    </cfRule>
  </conditionalFormatting>
  <conditionalFormatting sqref="G496">
    <cfRule type="cellIs" dxfId="2871" priority="3625" stopIfTrue="1" operator="notEqual">
      <formula>H496</formula>
    </cfRule>
  </conditionalFormatting>
  <conditionalFormatting sqref="G496">
    <cfRule type="cellIs" dxfId="2870" priority="3624" stopIfTrue="1" operator="notEqual">
      <formula>H496</formula>
    </cfRule>
  </conditionalFormatting>
  <conditionalFormatting sqref="G496">
    <cfRule type="cellIs" dxfId="2869" priority="3623" stopIfTrue="1" operator="notEqual">
      <formula>H496</formula>
    </cfRule>
  </conditionalFormatting>
  <conditionalFormatting sqref="G496">
    <cfRule type="cellIs" dxfId="2868" priority="3622" stopIfTrue="1" operator="notEqual">
      <formula>H496</formula>
    </cfRule>
  </conditionalFormatting>
  <conditionalFormatting sqref="G496">
    <cfRule type="cellIs" dxfId="2867" priority="3621" stopIfTrue="1" operator="notEqual">
      <formula>H496</formula>
    </cfRule>
  </conditionalFormatting>
  <conditionalFormatting sqref="G496">
    <cfRule type="cellIs" dxfId="2866" priority="3620" stopIfTrue="1" operator="notEqual">
      <formula>H496</formula>
    </cfRule>
  </conditionalFormatting>
  <conditionalFormatting sqref="O496 M496 G496 K496 S496 U496 W496 I496 Q496:Q531">
    <cfRule type="cellIs" dxfId="2865" priority="3619" stopIfTrue="1" operator="notEqual">
      <formula>H496</formula>
    </cfRule>
  </conditionalFormatting>
  <conditionalFormatting sqref="O497 M497 G497 K497 S497 U497 W497 I497 Q497">
    <cfRule type="cellIs" dxfId="2864" priority="3618" stopIfTrue="1" operator="notEqual">
      <formula>H497</formula>
    </cfRule>
  </conditionalFormatting>
  <conditionalFormatting sqref="O498 M498 G498 K498 S498 U498 W498 I498 Q498">
    <cfRule type="cellIs" dxfId="2863" priority="3617" stopIfTrue="1" operator="notEqual">
      <formula>H498</formula>
    </cfRule>
  </conditionalFormatting>
  <conditionalFormatting sqref="O499 M499 G499 K499 S499 U499 W499 I499 Q499">
    <cfRule type="cellIs" dxfId="2862" priority="3616" stopIfTrue="1" operator="notEqual">
      <formula>H499</formula>
    </cfRule>
  </conditionalFormatting>
  <conditionalFormatting sqref="O500 M500 G500 K500 S500 U500 W500 I500 Q500">
    <cfRule type="cellIs" dxfId="2861" priority="3615" stopIfTrue="1" operator="notEqual">
      <formula>H500</formula>
    </cfRule>
  </conditionalFormatting>
  <conditionalFormatting sqref="O501 M501 G501 K501 S501 U501 W501 I501 Q501">
    <cfRule type="cellIs" dxfId="2860" priority="3614" stopIfTrue="1" operator="notEqual">
      <formula>H501</formula>
    </cfRule>
  </conditionalFormatting>
  <conditionalFormatting sqref="O502 M502 G502 K502 S502 U502 W502 I502 Q502">
    <cfRule type="cellIs" dxfId="2859" priority="3613" stopIfTrue="1" operator="notEqual">
      <formula>H502</formula>
    </cfRule>
  </conditionalFormatting>
  <conditionalFormatting sqref="O503 M503 G503 K503 S503 U503 W503 I503 Q503">
    <cfRule type="cellIs" dxfId="2858" priority="3612" stopIfTrue="1" operator="notEqual">
      <formula>H503</formula>
    </cfRule>
  </conditionalFormatting>
  <conditionalFormatting sqref="O504 M504 G504 K504 S504 U504 W504 I504 Q504">
    <cfRule type="cellIs" dxfId="2857" priority="3611" stopIfTrue="1" operator="notEqual">
      <formula>H504</formula>
    </cfRule>
  </conditionalFormatting>
  <conditionalFormatting sqref="O496 M496 G496 K496 S496 U496 W496 I496 Q496:Q531">
    <cfRule type="cellIs" dxfId="2856" priority="3610" stopIfTrue="1" operator="notEqual">
      <formula>H496</formula>
    </cfRule>
  </conditionalFormatting>
  <conditionalFormatting sqref="O497 M497 G497 K497 S497 U497 W497 I497 Q497">
    <cfRule type="cellIs" dxfId="2855" priority="3609" stopIfTrue="1" operator="notEqual">
      <formula>H497</formula>
    </cfRule>
  </conditionalFormatting>
  <conditionalFormatting sqref="O498 M498 G498 K498 S498 U498 W498 I498 Q498">
    <cfRule type="cellIs" dxfId="2854" priority="3608" stopIfTrue="1" operator="notEqual">
      <formula>H498</formula>
    </cfRule>
  </conditionalFormatting>
  <conditionalFormatting sqref="O496 M496 G496 K496 S496 U496 W496 I496 Q496:Q531">
    <cfRule type="cellIs" dxfId="2853" priority="3607" stopIfTrue="1" operator="notEqual">
      <formula>H496</formula>
    </cfRule>
  </conditionalFormatting>
  <conditionalFormatting sqref="O499 M499 G499 K499 S499 U499 W499 I499 Q499">
    <cfRule type="cellIs" dxfId="2852" priority="3606" stopIfTrue="1" operator="notEqual">
      <formula>H499</formula>
    </cfRule>
  </conditionalFormatting>
  <conditionalFormatting sqref="O500 M500 G500 K500 S500 U500 W500 I500 Q500">
    <cfRule type="cellIs" dxfId="2851" priority="3605" stopIfTrue="1" operator="notEqual">
      <formula>H500</formula>
    </cfRule>
  </conditionalFormatting>
  <conditionalFormatting sqref="O501 M501 G501 K501 S501 U501 W501 I501 Q501">
    <cfRule type="cellIs" dxfId="2850" priority="3604" stopIfTrue="1" operator="notEqual">
      <formula>H501</formula>
    </cfRule>
  </conditionalFormatting>
  <conditionalFormatting sqref="O502 M502 G502 K502 S502 U502 W502 I502 Q502">
    <cfRule type="cellIs" dxfId="2849" priority="3603" stopIfTrue="1" operator="notEqual">
      <formula>H502</formula>
    </cfRule>
  </conditionalFormatting>
  <conditionalFormatting sqref="O503 M503 G503 K503 S503 U503 W503 I503 Q503">
    <cfRule type="cellIs" dxfId="2848" priority="3602" stopIfTrue="1" operator="notEqual">
      <formula>H503</formula>
    </cfRule>
  </conditionalFormatting>
  <conditionalFormatting sqref="O504 M504 G504 K504 S504 U504 W504 I504 Q504">
    <cfRule type="cellIs" dxfId="2847" priority="3601" stopIfTrue="1" operator="notEqual">
      <formula>H504</formula>
    </cfRule>
  </conditionalFormatting>
  <conditionalFormatting sqref="G499:G504">
    <cfRule type="cellIs" dxfId="2846" priority="3600" stopIfTrue="1" operator="notEqual">
      <formula>H499</formula>
    </cfRule>
  </conditionalFormatting>
  <conditionalFormatting sqref="G488">
    <cfRule type="cellIs" dxfId="2845" priority="3599" stopIfTrue="1" operator="notEqual">
      <formula>H488</formula>
    </cfRule>
  </conditionalFormatting>
  <conditionalFormatting sqref="G489">
    <cfRule type="cellIs" dxfId="2844" priority="3598" stopIfTrue="1" operator="notEqual">
      <formula>H489</formula>
    </cfRule>
  </conditionalFormatting>
  <conditionalFormatting sqref="G490">
    <cfRule type="cellIs" dxfId="2843" priority="3597" stopIfTrue="1" operator="notEqual">
      <formula>H490</formula>
    </cfRule>
  </conditionalFormatting>
  <conditionalFormatting sqref="G491">
    <cfRule type="cellIs" dxfId="2842" priority="3596" stopIfTrue="1" operator="notEqual">
      <formula>H491</formula>
    </cfRule>
  </conditionalFormatting>
  <conditionalFormatting sqref="G492">
    <cfRule type="cellIs" dxfId="2841" priority="3595" stopIfTrue="1" operator="notEqual">
      <formula>H492</formula>
    </cfRule>
  </conditionalFormatting>
  <conditionalFormatting sqref="G493">
    <cfRule type="cellIs" dxfId="2840" priority="3593" stopIfTrue="1" operator="notEqual">
      <formula>H493</formula>
    </cfRule>
  </conditionalFormatting>
  <conditionalFormatting sqref="G494">
    <cfRule type="cellIs" dxfId="2839" priority="3592" stopIfTrue="1" operator="notEqual">
      <formula>H494</formula>
    </cfRule>
  </conditionalFormatting>
  <conditionalFormatting sqref="G495">
    <cfRule type="cellIs" dxfId="2838" priority="3591" stopIfTrue="1" operator="notEqual">
      <formula>H495</formula>
    </cfRule>
  </conditionalFormatting>
  <conditionalFormatting sqref="G496">
    <cfRule type="cellIs" dxfId="2837" priority="3590" stopIfTrue="1" operator="notEqual">
      <formula>H496</formula>
    </cfRule>
  </conditionalFormatting>
  <conditionalFormatting sqref="G497">
    <cfRule type="cellIs" dxfId="2836" priority="3589" stopIfTrue="1" operator="notEqual">
      <formula>H497</formula>
    </cfRule>
  </conditionalFormatting>
  <conditionalFormatting sqref="G498">
    <cfRule type="cellIs" dxfId="2835" priority="3588" stopIfTrue="1" operator="notEqual">
      <formula>H498</formula>
    </cfRule>
  </conditionalFormatting>
  <conditionalFormatting sqref="G501">
    <cfRule type="cellIs" dxfId="2834" priority="3587" stopIfTrue="1" operator="notEqual">
      <formula>H501</formula>
    </cfRule>
  </conditionalFormatting>
  <conditionalFormatting sqref="G502">
    <cfRule type="cellIs" dxfId="2833" priority="3586" stopIfTrue="1" operator="notEqual">
      <formula>H502</formula>
    </cfRule>
  </conditionalFormatting>
  <conditionalFormatting sqref="G502">
    <cfRule type="cellIs" dxfId="2832" priority="3585" stopIfTrue="1" operator="notEqual">
      <formula>H502</formula>
    </cfRule>
  </conditionalFormatting>
  <conditionalFormatting sqref="G500">
    <cfRule type="cellIs" dxfId="2831" priority="3584" stopIfTrue="1" operator="notEqual">
      <formula>H500</formula>
    </cfRule>
  </conditionalFormatting>
  <conditionalFormatting sqref="G504">
    <cfRule type="cellIs" dxfId="2830" priority="3583" stopIfTrue="1" operator="notEqual">
      <formula>H504</formula>
    </cfRule>
  </conditionalFormatting>
  <conditionalFormatting sqref="O495:O500 M495:M500 G495:G500 K495:K500 S495:S500 U495:U500 W495:W500 I495:I500 Q495:Q531">
    <cfRule type="cellIs" dxfId="2829" priority="3582" stopIfTrue="1" operator="notEqual">
      <formula>H495</formula>
    </cfRule>
  </conditionalFormatting>
  <conditionalFormatting sqref="O488 M488 G488 K488 S488 U488 W488 I488 Q488">
    <cfRule type="cellIs" dxfId="2828" priority="3581" stopIfTrue="1" operator="notEqual">
      <formula>H488</formula>
    </cfRule>
  </conditionalFormatting>
  <conditionalFormatting sqref="O489 M489 G489 K489 S489 U489 W489 I489 Q489">
    <cfRule type="cellIs" dxfId="2827" priority="3580" stopIfTrue="1" operator="notEqual">
      <formula>H489</formula>
    </cfRule>
  </conditionalFormatting>
  <conditionalFormatting sqref="O490 M490 G490 K490 S490 U490 W490 I490 Q490">
    <cfRule type="cellIs" dxfId="2826" priority="3579" stopIfTrue="1" operator="notEqual">
      <formula>H490</formula>
    </cfRule>
  </conditionalFormatting>
  <conditionalFormatting sqref="O491 M491 G491 K491 S491 U491 W491 I491 Q491">
    <cfRule type="cellIs" dxfId="2825" priority="3578" stopIfTrue="1" operator="notEqual">
      <formula>H491</formula>
    </cfRule>
  </conditionalFormatting>
  <conditionalFormatting sqref="O492 M492 G492 K492 S492 U492 W492 I492 Q492">
    <cfRule type="cellIs" dxfId="2824" priority="3577" stopIfTrue="1" operator="notEqual">
      <formula>H492</formula>
    </cfRule>
  </conditionalFormatting>
  <conditionalFormatting sqref="O493 M493 G493 K493 S493 U493 W493 I493 Q493">
    <cfRule type="cellIs" dxfId="2823" priority="3575" stopIfTrue="1" operator="notEqual">
      <formula>H493</formula>
    </cfRule>
  </conditionalFormatting>
  <conditionalFormatting sqref="O494 M494 G494 K494 S494 U494 W494 I494 Q494">
    <cfRule type="cellIs" dxfId="2822" priority="3574" stopIfTrue="1" operator="notEqual">
      <formula>H494</formula>
    </cfRule>
  </conditionalFormatting>
  <conditionalFormatting sqref="O497 M497 G497 K497 S497 U497 W497 I497 Q497">
    <cfRule type="cellIs" dxfId="2821" priority="3573" stopIfTrue="1" operator="notEqual">
      <formula>H497</formula>
    </cfRule>
  </conditionalFormatting>
  <conditionalFormatting sqref="O498 M498 G498 K498 S498 U498 W498 I498 Q498">
    <cfRule type="cellIs" dxfId="2820" priority="3572" stopIfTrue="1" operator="notEqual">
      <formula>H498</formula>
    </cfRule>
  </conditionalFormatting>
  <conditionalFormatting sqref="O498 M498 G498 K498 S498 U498 W498 I498 Q498">
    <cfRule type="cellIs" dxfId="2819" priority="3571" stopIfTrue="1" operator="notEqual">
      <formula>H498</formula>
    </cfRule>
  </conditionalFormatting>
  <conditionalFormatting sqref="O496 M496 G496 K496 S496 U496 W496 I496 Q496:Q531">
    <cfRule type="cellIs" dxfId="2818" priority="3570" stopIfTrue="1" operator="notEqual">
      <formula>H496</formula>
    </cfRule>
  </conditionalFormatting>
  <conditionalFormatting sqref="O501 M501 G501 K501 S501 U501 W501 I501 Q501">
    <cfRule type="cellIs" dxfId="2817" priority="3569" stopIfTrue="1" operator="notEqual">
      <formula>H501</formula>
    </cfRule>
  </conditionalFormatting>
  <conditionalFormatting sqref="O502 M502 G502 K502 S502 U502 W502 I502 Q502">
    <cfRule type="cellIs" dxfId="2816" priority="3568" stopIfTrue="1" operator="notEqual">
      <formula>H502</formula>
    </cfRule>
  </conditionalFormatting>
  <conditionalFormatting sqref="O500 M500 G500 K500 S500 U500 W500 I500 Q500">
    <cfRule type="cellIs" dxfId="2815" priority="3567" stopIfTrue="1" operator="notEqual">
      <formula>H500</formula>
    </cfRule>
  </conditionalFormatting>
  <conditionalFormatting sqref="O503 M503 G503 K503 S503 U503 W503 I503 Q503">
    <cfRule type="cellIs" dxfId="2814" priority="3566" stopIfTrue="1" operator="notEqual">
      <formula>H503</formula>
    </cfRule>
  </conditionalFormatting>
  <conditionalFormatting sqref="O504 M504 G504 K504 S504 U504 W504 I504 Q504">
    <cfRule type="cellIs" dxfId="2813" priority="3565" stopIfTrue="1" operator="notEqual">
      <formula>H504</formula>
    </cfRule>
  </conditionalFormatting>
  <conditionalFormatting sqref="O488 M488 G488 K488 S488 U488 W488 I488 Q488">
    <cfRule type="cellIs" dxfId="2812" priority="3564" stopIfTrue="1" operator="notEqual">
      <formula>H488</formula>
    </cfRule>
  </conditionalFormatting>
  <conditionalFormatting sqref="O489 M489 G489 K489 S489 U489 W489 I489 Q489">
    <cfRule type="cellIs" dxfId="2811" priority="3563" stopIfTrue="1" operator="notEqual">
      <formula>H489</formula>
    </cfRule>
  </conditionalFormatting>
  <conditionalFormatting sqref="O490 M490 G490 K490 S490 U490 W490 I490 Q490">
    <cfRule type="cellIs" dxfId="2810" priority="3562" stopIfTrue="1" operator="notEqual">
      <formula>H490</formula>
    </cfRule>
  </conditionalFormatting>
  <conditionalFormatting sqref="O491 M491 G491 K491 S491 U491 W491 I491 Q491">
    <cfRule type="cellIs" dxfId="2809" priority="3561" stopIfTrue="1" operator="notEqual">
      <formula>H491</formula>
    </cfRule>
  </conditionalFormatting>
  <conditionalFormatting sqref="O492 M492 G492 K492 S492 U492 W492 I492 Q492">
    <cfRule type="cellIs" dxfId="2808" priority="3560" stopIfTrue="1" operator="notEqual">
      <formula>H492</formula>
    </cfRule>
  </conditionalFormatting>
  <conditionalFormatting sqref="O493 M493 G493 K493 S493 U493 W493 I493 Q493">
    <cfRule type="cellIs" dxfId="2807" priority="3558" stopIfTrue="1" operator="notEqual">
      <formula>H493</formula>
    </cfRule>
  </conditionalFormatting>
  <conditionalFormatting sqref="O494 M494 G494 K494 S494 U494 W494 I494 Q494">
    <cfRule type="cellIs" dxfId="2806" priority="3557" stopIfTrue="1" operator="notEqual">
      <formula>H494</formula>
    </cfRule>
  </conditionalFormatting>
  <conditionalFormatting sqref="O495 M495 G495 K495 S495 U495 W495 I495 Q495">
    <cfRule type="cellIs" dxfId="2805" priority="3556" stopIfTrue="1" operator="notEqual">
      <formula>H495</formula>
    </cfRule>
  </conditionalFormatting>
  <conditionalFormatting sqref="O496 M496 G496 K496 S496 U496 W496 I496 Q496:Q531">
    <cfRule type="cellIs" dxfId="2804" priority="3555" stopIfTrue="1" operator="notEqual">
      <formula>H496</formula>
    </cfRule>
  </conditionalFormatting>
  <conditionalFormatting sqref="O497 M497 G497 K497 S497 U497 W497 I497 Q497">
    <cfRule type="cellIs" dxfId="2803" priority="3554" stopIfTrue="1" operator="notEqual">
      <formula>H497</formula>
    </cfRule>
  </conditionalFormatting>
  <conditionalFormatting sqref="O498 M498 G498 K498 S498 U498 W498 I498 Q498">
    <cfRule type="cellIs" dxfId="2802" priority="3553" stopIfTrue="1" operator="notEqual">
      <formula>H498</formula>
    </cfRule>
  </conditionalFormatting>
  <conditionalFormatting sqref="O499 M499 G499 K499 S499 U499 W499 I499 Q499">
    <cfRule type="cellIs" dxfId="2801" priority="3552" stopIfTrue="1" operator="notEqual">
      <formula>H499</formula>
    </cfRule>
  </conditionalFormatting>
  <conditionalFormatting sqref="O500 M500 G500 K500 S500 U500 W500 I500 Q500">
    <cfRule type="cellIs" dxfId="2800" priority="3551" stopIfTrue="1" operator="notEqual">
      <formula>H500</formula>
    </cfRule>
  </conditionalFormatting>
  <conditionalFormatting sqref="G501">
    <cfRule type="cellIs" dxfId="2799" priority="3550" stopIfTrue="1" operator="notEqual">
      <formula>H501</formula>
    </cfRule>
  </conditionalFormatting>
  <conditionalFormatting sqref="G502">
    <cfRule type="cellIs" dxfId="2798" priority="3549" stopIfTrue="1" operator="notEqual">
      <formula>H502</formula>
    </cfRule>
  </conditionalFormatting>
  <conditionalFormatting sqref="G503">
    <cfRule type="cellIs" dxfId="2797" priority="3548" stopIfTrue="1" operator="notEqual">
      <formula>H503</formula>
    </cfRule>
  </conditionalFormatting>
  <conditionalFormatting sqref="G504">
    <cfRule type="cellIs" dxfId="2796" priority="3547" stopIfTrue="1" operator="notEqual">
      <formula>H504</formula>
    </cfRule>
  </conditionalFormatting>
  <conditionalFormatting sqref="G501">
    <cfRule type="cellIs" dxfId="2795" priority="3546" stopIfTrue="1" operator="notEqual">
      <formula>H501</formula>
    </cfRule>
  </conditionalFormatting>
  <conditionalFormatting sqref="G501">
    <cfRule type="cellIs" dxfId="2794" priority="3545" stopIfTrue="1" operator="notEqual">
      <formula>H501</formula>
    </cfRule>
  </conditionalFormatting>
  <conditionalFormatting sqref="G501">
    <cfRule type="cellIs" dxfId="2793" priority="3544" stopIfTrue="1" operator="notEqual">
      <formula>H501</formula>
    </cfRule>
  </conditionalFormatting>
  <conditionalFormatting sqref="G501">
    <cfRule type="cellIs" dxfId="2792" priority="3543" stopIfTrue="1" operator="notEqual">
      <formula>H501</formula>
    </cfRule>
  </conditionalFormatting>
  <conditionalFormatting sqref="G501">
    <cfRule type="cellIs" dxfId="2791" priority="3542" stopIfTrue="1" operator="notEqual">
      <formula>H501</formula>
    </cfRule>
  </conditionalFormatting>
  <conditionalFormatting sqref="G501">
    <cfRule type="cellIs" dxfId="2790" priority="3541" stopIfTrue="1" operator="notEqual">
      <formula>H501</formula>
    </cfRule>
  </conditionalFormatting>
  <conditionalFormatting sqref="O501 M501 G501 K501 S501 U501 W501 I501 Q501">
    <cfRule type="cellIs" dxfId="2789" priority="3540" stopIfTrue="1" operator="notEqual">
      <formula>H501</formula>
    </cfRule>
  </conditionalFormatting>
  <conditionalFormatting sqref="O502 M502 G502 K502 S502 U502 W502 I502 Q502">
    <cfRule type="cellIs" dxfId="2788" priority="3539" stopIfTrue="1" operator="notEqual">
      <formula>H502</formula>
    </cfRule>
  </conditionalFormatting>
  <conditionalFormatting sqref="O503 M503 G503 K503 S503 U503 W503 I503 Q503">
    <cfRule type="cellIs" dxfId="2787" priority="3538" stopIfTrue="1" operator="notEqual">
      <formula>H503</formula>
    </cfRule>
  </conditionalFormatting>
  <conditionalFormatting sqref="O504 M504 G504 K504 S504 U504 W504 I504 Q504">
    <cfRule type="cellIs" dxfId="2786" priority="3537" stopIfTrue="1" operator="notEqual">
      <formula>H504</formula>
    </cfRule>
  </conditionalFormatting>
  <conditionalFormatting sqref="O501 M501 G501 K501 S501 U501 W501 I501 Q501">
    <cfRule type="cellIs" dxfId="2785" priority="3536" stopIfTrue="1" operator="notEqual">
      <formula>H501</formula>
    </cfRule>
  </conditionalFormatting>
  <conditionalFormatting sqref="O502 M502 G502 K502 S502 U502 W502 I502 Q502">
    <cfRule type="cellIs" dxfId="2784" priority="3535" stopIfTrue="1" operator="notEqual">
      <formula>H502</formula>
    </cfRule>
  </conditionalFormatting>
  <conditionalFormatting sqref="O503 M503 G503 K503 S503 U503 W503 I503 Q503">
    <cfRule type="cellIs" dxfId="2783" priority="3534" stopIfTrue="1" operator="notEqual">
      <formula>H503</formula>
    </cfRule>
  </conditionalFormatting>
  <conditionalFormatting sqref="O501 M501 G501 K501 S501 U501 W501 I501 Q501">
    <cfRule type="cellIs" dxfId="2782" priority="3533" stopIfTrue="1" operator="notEqual">
      <formula>H501</formula>
    </cfRule>
  </conditionalFormatting>
  <conditionalFormatting sqref="O504 M504 G504 K504 S504 U504 W504 I504 Q504">
    <cfRule type="cellIs" dxfId="2781" priority="3532" stopIfTrue="1" operator="notEqual">
      <formula>H504</formula>
    </cfRule>
  </conditionalFormatting>
  <conditionalFormatting sqref="O488:O490 M488:M490 G488:G490 K488:K490 S488:S490 U488:U490 W488:W490 I488:I490 Q488:Q490">
    <cfRule type="cellIs" dxfId="2780" priority="3531" stopIfTrue="1" operator="notEqual">
      <formula>H488</formula>
    </cfRule>
  </conditionalFormatting>
  <conditionalFormatting sqref="O488 M488 G488 K488 S488 U488 W488 I488 Q488">
    <cfRule type="cellIs" dxfId="2779" priority="3530" stopIfTrue="1" operator="notEqual">
      <formula>H488</formula>
    </cfRule>
  </conditionalFormatting>
  <conditionalFormatting sqref="O488 M488 G488 K488 S488 U488 W488 I488 Q488">
    <cfRule type="cellIs" dxfId="2778" priority="3529" stopIfTrue="1" operator="notEqual">
      <formula>H488</formula>
    </cfRule>
  </conditionalFormatting>
  <conditionalFormatting sqref="O491 M491 G491 K491 S491 U491 W491 I491 Q491">
    <cfRule type="cellIs" dxfId="2777" priority="3528" stopIfTrue="1" operator="notEqual">
      <formula>H491</formula>
    </cfRule>
  </conditionalFormatting>
  <conditionalFormatting sqref="O492 M492 G492 K492 S492 U492 W492 I492 Q492">
    <cfRule type="cellIs" dxfId="2776" priority="3527" stopIfTrue="1" operator="notEqual">
      <formula>H492</formula>
    </cfRule>
  </conditionalFormatting>
  <conditionalFormatting sqref="O490 M490 G490 K490 S490 U490 W490 I490 Q490">
    <cfRule type="cellIs" dxfId="2775" priority="3526" stopIfTrue="1" operator="notEqual">
      <formula>H490</formula>
    </cfRule>
  </conditionalFormatting>
  <conditionalFormatting sqref="O493 M493 G493 K493 S493 U493 W493 I493 Q493">
    <cfRule type="cellIs" dxfId="2774" priority="3524" stopIfTrue="1" operator="notEqual">
      <formula>H493</formula>
    </cfRule>
  </conditionalFormatting>
  <conditionalFormatting sqref="O494 M494 G494 K494 S494 U494 W494 I494 Q494">
    <cfRule type="cellIs" dxfId="2773" priority="3523" stopIfTrue="1" operator="notEqual">
      <formula>H494</formula>
    </cfRule>
  </conditionalFormatting>
  <conditionalFormatting sqref="O495 M495 G495 K495 S495 U495 W495 I495 Q495">
    <cfRule type="cellIs" dxfId="2772" priority="3522" stopIfTrue="1" operator="notEqual">
      <formula>H495</formula>
    </cfRule>
  </conditionalFormatting>
  <conditionalFormatting sqref="O496 M496 G496 K496 S496 U496 W496 I496 Q496:Q531">
    <cfRule type="cellIs" dxfId="2771" priority="3521" stopIfTrue="1" operator="notEqual">
      <formula>H496</formula>
    </cfRule>
  </conditionalFormatting>
  <conditionalFormatting sqref="O497 M497 G497 K497 S497 U497 W497 I497 Q497">
    <cfRule type="cellIs" dxfId="2770" priority="3520" stopIfTrue="1" operator="notEqual">
      <formula>H497</formula>
    </cfRule>
  </conditionalFormatting>
  <conditionalFormatting sqref="O498 M498 G498 K498 S498 U498 W498 I498 Q498">
    <cfRule type="cellIs" dxfId="2769" priority="3519" stopIfTrue="1" operator="notEqual">
      <formula>H498</formula>
    </cfRule>
  </conditionalFormatting>
  <conditionalFormatting sqref="O499 M499 G499 K499 S499 U499 W499 I499 Q499">
    <cfRule type="cellIs" dxfId="2768" priority="3518" stopIfTrue="1" operator="notEqual">
      <formula>H499</formula>
    </cfRule>
  </conditionalFormatting>
  <conditionalFormatting sqref="O500 M500 G500 K500 S500 U500 W500 I500 Q500">
    <cfRule type="cellIs" dxfId="2767" priority="3517" stopIfTrue="1" operator="notEqual">
      <formula>H500</formula>
    </cfRule>
  </conditionalFormatting>
  <conditionalFormatting sqref="O501 M501 G501 K501 S501 U501 W501 I501 Q501">
    <cfRule type="cellIs" dxfId="2766" priority="3516" stopIfTrue="1" operator="notEqual">
      <formula>H501</formula>
    </cfRule>
  </conditionalFormatting>
  <conditionalFormatting sqref="O502 M502 G502 K502 S502 U502 W502 I502 Q502">
    <cfRule type="cellIs" dxfId="2765" priority="3515" stopIfTrue="1" operator="notEqual">
      <formula>H502</formula>
    </cfRule>
  </conditionalFormatting>
  <conditionalFormatting sqref="O503 M503 G503 K503 S503 U503 W503 I503 Q503">
    <cfRule type="cellIs" dxfId="2764" priority="3514" stopIfTrue="1" operator="notEqual">
      <formula>H503</formula>
    </cfRule>
  </conditionalFormatting>
  <conditionalFormatting sqref="O504 M504 G504 K504 S504 U504 W504 I504 Q504">
    <cfRule type="cellIs" dxfId="2763" priority="3513" stopIfTrue="1" operator="notEqual">
      <formula>H504</formula>
    </cfRule>
  </conditionalFormatting>
  <conditionalFormatting sqref="Q505:Q526 U505:U526 W505:W526 G505:G526 K505:K526 M505:M526 O505:O526 S505:S526 I505:I526">
    <cfRule type="cellIs" dxfId="2762" priority="3512" stopIfTrue="1" operator="notEqual">
      <formula>H505</formula>
    </cfRule>
  </conditionalFormatting>
  <conditionalFormatting sqref="S514">
    <cfRule type="cellIs" dxfId="2761" priority="3511" stopIfTrue="1" operator="notEqual">
      <formula>T514</formula>
    </cfRule>
  </conditionalFormatting>
  <conditionalFormatting sqref="S505:S526 W505:W526 G505:G526 M505:M526 O505:O526 Q505:Q526 U505:U526 K505:K526">
    <cfRule type="cellIs" dxfId="2760" priority="3510" stopIfTrue="1" operator="notEqual">
      <formula>H505</formula>
    </cfRule>
  </conditionalFormatting>
  <conditionalFormatting sqref="U514">
    <cfRule type="cellIs" dxfId="2759" priority="3509" stopIfTrue="1" operator="notEqual">
      <formula>V514</formula>
    </cfRule>
  </conditionalFormatting>
  <conditionalFormatting sqref="I505:I526">
    <cfRule type="cellIs" dxfId="2758" priority="3508" stopIfTrue="1" operator="notEqual">
      <formula>J505</formula>
    </cfRule>
  </conditionalFormatting>
  <conditionalFormatting sqref="Q516:Q520 U516:U520 W516:W520 G516:G520 K516:K520 M516:M520 O516:O520 S516:S520 I516:I520">
    <cfRule type="cellIs" dxfId="2757" priority="3507" stopIfTrue="1" operator="notEqual">
      <formula>H516</formula>
    </cfRule>
  </conditionalFormatting>
  <conditionalFormatting sqref="S516:S520 W516:W520 G516:G520 M516:M520 O516:O520 Q516:Q520 U516:U520 K516:K520">
    <cfRule type="cellIs" dxfId="2756" priority="3506" stopIfTrue="1" operator="notEqual">
      <formula>H516</formula>
    </cfRule>
  </conditionalFormatting>
  <conditionalFormatting sqref="I516:I520">
    <cfRule type="cellIs" dxfId="2755" priority="3505" stopIfTrue="1" operator="notEqual">
      <formula>J516</formula>
    </cfRule>
  </conditionalFormatting>
  <conditionalFormatting sqref="G518">
    <cfRule type="cellIs" dxfId="2754" priority="3504" stopIfTrue="1" operator="notEqual">
      <formula>H518</formula>
    </cfRule>
  </conditionalFormatting>
  <conditionalFormatting sqref="G518">
    <cfRule type="cellIs" dxfId="2753" priority="3503" stopIfTrue="1" operator="notEqual">
      <formula>H518</formula>
    </cfRule>
  </conditionalFormatting>
  <conditionalFormatting sqref="G518">
    <cfRule type="cellIs" dxfId="2752" priority="3502" stopIfTrue="1" operator="notEqual">
      <formula>H518</formula>
    </cfRule>
  </conditionalFormatting>
  <conditionalFormatting sqref="G518">
    <cfRule type="cellIs" dxfId="2751" priority="3501" stopIfTrue="1" operator="notEqual">
      <formula>H518</formula>
    </cfRule>
  </conditionalFormatting>
  <conditionalFormatting sqref="G518">
    <cfRule type="cellIs" dxfId="2750" priority="3500" stopIfTrue="1" operator="notEqual">
      <formula>H518</formula>
    </cfRule>
  </conditionalFormatting>
  <conditionalFormatting sqref="G518">
    <cfRule type="cellIs" dxfId="2749" priority="3499" stopIfTrue="1" operator="notEqual">
      <formula>H518</formula>
    </cfRule>
  </conditionalFormatting>
  <conditionalFormatting sqref="G512">
    <cfRule type="cellIs" dxfId="2748" priority="3498" stopIfTrue="1" operator="notEqual">
      <formula>H512</formula>
    </cfRule>
  </conditionalFormatting>
  <conditionalFormatting sqref="G505">
    <cfRule type="cellIs" dxfId="2747" priority="3497" stopIfTrue="1" operator="notEqual">
      <formula>H505</formula>
    </cfRule>
  </conditionalFormatting>
  <conditionalFormatting sqref="G506">
    <cfRule type="cellIs" dxfId="2746" priority="3496" stopIfTrue="1" operator="notEqual">
      <formula>H506</formula>
    </cfRule>
  </conditionalFormatting>
  <conditionalFormatting sqref="G507:G526">
    <cfRule type="cellIs" dxfId="2745" priority="3495" stopIfTrue="1" operator="notEqual">
      <formula>H507</formula>
    </cfRule>
  </conditionalFormatting>
  <conditionalFormatting sqref="G508">
    <cfRule type="cellIs" dxfId="2744" priority="3494" stopIfTrue="1" operator="notEqual">
      <formula>H508</formula>
    </cfRule>
  </conditionalFormatting>
  <conditionalFormatting sqref="G509">
    <cfRule type="cellIs" dxfId="2743" priority="3493" stopIfTrue="1" operator="notEqual">
      <formula>H509</formula>
    </cfRule>
  </conditionalFormatting>
  <conditionalFormatting sqref="G510">
    <cfRule type="cellIs" dxfId="2742" priority="3492" stopIfTrue="1" operator="notEqual">
      <formula>H510</formula>
    </cfRule>
  </conditionalFormatting>
  <conditionalFormatting sqref="G511">
    <cfRule type="cellIs" dxfId="2741" priority="3491" stopIfTrue="1" operator="notEqual">
      <formula>H511</formula>
    </cfRule>
  </conditionalFormatting>
  <conditionalFormatting sqref="G505">
    <cfRule type="cellIs" dxfId="2740" priority="3490" stopIfTrue="1" operator="notEqual">
      <formula>H505</formula>
    </cfRule>
  </conditionalFormatting>
  <conditionalFormatting sqref="G506">
    <cfRule type="cellIs" dxfId="2739" priority="3489" stopIfTrue="1" operator="notEqual">
      <formula>H506</formula>
    </cfRule>
  </conditionalFormatting>
  <conditionalFormatting sqref="G507:G526">
    <cfRule type="cellIs" dxfId="2738" priority="3488" stopIfTrue="1" operator="notEqual">
      <formula>H507</formula>
    </cfRule>
  </conditionalFormatting>
  <conditionalFormatting sqref="G508">
    <cfRule type="cellIs" dxfId="2737" priority="3487" stopIfTrue="1" operator="notEqual">
      <formula>H508</formula>
    </cfRule>
  </conditionalFormatting>
  <conditionalFormatting sqref="G509">
    <cfRule type="cellIs" dxfId="2736" priority="3486" stopIfTrue="1" operator="notEqual">
      <formula>H509</formula>
    </cfRule>
  </conditionalFormatting>
  <conditionalFormatting sqref="G510">
    <cfRule type="cellIs" dxfId="2735" priority="3485" stopIfTrue="1" operator="notEqual">
      <formula>H510</formula>
    </cfRule>
  </conditionalFormatting>
  <conditionalFormatting sqref="G511">
    <cfRule type="cellIs" dxfId="2734" priority="3484" stopIfTrue="1" operator="notEqual">
      <formula>H511</formula>
    </cfRule>
  </conditionalFormatting>
  <conditionalFormatting sqref="O505 M505 G505 K505 S505 U505 W505 I505 Q505">
    <cfRule type="cellIs" dxfId="2733" priority="3483" stopIfTrue="1" operator="notEqual">
      <formula>H505</formula>
    </cfRule>
  </conditionalFormatting>
  <conditionalFormatting sqref="O506 M506 G506 K506 S506 U506 W506 I506 Q506">
    <cfRule type="cellIs" dxfId="2732" priority="3482" stopIfTrue="1" operator="notEqual">
      <formula>H506</formula>
    </cfRule>
  </conditionalFormatting>
  <conditionalFormatting sqref="O507:O526 M507:M526 G507:G526 K507:K526 S507:S526 U507:U526 W507:W526 I507:I526 Q507:Q526">
    <cfRule type="cellIs" dxfId="2731" priority="3481" stopIfTrue="1" operator="notEqual">
      <formula>H507</formula>
    </cfRule>
  </conditionalFormatting>
  <conditionalFormatting sqref="O508 M508 G508 K508 S508 U508 W508 I508 Q508">
    <cfRule type="cellIs" dxfId="2730" priority="3480" stopIfTrue="1" operator="notEqual">
      <formula>H508</formula>
    </cfRule>
  </conditionalFormatting>
  <conditionalFormatting sqref="O509 M509 G509 K509 S509 U509 W509 I509 Q509">
    <cfRule type="cellIs" dxfId="2729" priority="3479" stopIfTrue="1" operator="notEqual">
      <formula>H509</formula>
    </cfRule>
  </conditionalFormatting>
  <conditionalFormatting sqref="O510 M510 G510 K510 S510 U510 W510 I510 Q510">
    <cfRule type="cellIs" dxfId="2728" priority="3478" stopIfTrue="1" operator="notEqual">
      <formula>H510</formula>
    </cfRule>
  </conditionalFormatting>
  <conditionalFormatting sqref="G510:G511">
    <cfRule type="cellIs" dxfId="2727" priority="3477" stopIfTrue="1" operator="notEqual">
      <formula>H510</formula>
    </cfRule>
  </conditionalFormatting>
  <conditionalFormatting sqref="G505">
    <cfRule type="cellIs" dxfId="2726" priority="3476" stopIfTrue="1" operator="notEqual">
      <formula>H505</formula>
    </cfRule>
  </conditionalFormatting>
  <conditionalFormatting sqref="G506">
    <cfRule type="cellIs" dxfId="2725" priority="3475" stopIfTrue="1" operator="notEqual">
      <formula>H506</formula>
    </cfRule>
  </conditionalFormatting>
  <conditionalFormatting sqref="G507:G526">
    <cfRule type="cellIs" dxfId="2724" priority="3474" stopIfTrue="1" operator="notEqual">
      <formula>H507</formula>
    </cfRule>
  </conditionalFormatting>
  <conditionalFormatting sqref="G508">
    <cfRule type="cellIs" dxfId="2723" priority="3473" stopIfTrue="1" operator="notEqual">
      <formula>H508</formula>
    </cfRule>
  </conditionalFormatting>
  <conditionalFormatting sqref="G509">
    <cfRule type="cellIs" dxfId="2722" priority="3472" stopIfTrue="1" operator="notEqual">
      <formula>H509</formula>
    </cfRule>
  </conditionalFormatting>
  <conditionalFormatting sqref="G511">
    <cfRule type="cellIs" dxfId="2721" priority="3471" stopIfTrue="1" operator="notEqual">
      <formula>H511</formula>
    </cfRule>
  </conditionalFormatting>
  <conditionalFormatting sqref="O506:O526 M506:M526 G506:G526 K506:K526 S506:S526 U506:U526 W506:W526 I506:I526 Q506:Q526">
    <cfRule type="cellIs" dxfId="2720" priority="3470" stopIfTrue="1" operator="notEqual">
      <formula>H506</formula>
    </cfRule>
  </conditionalFormatting>
  <conditionalFormatting sqref="O505 M505 G505 K505 S505 U505 W505 I505 Q505">
    <cfRule type="cellIs" dxfId="2719" priority="3469" stopIfTrue="1" operator="notEqual">
      <formula>H505</formula>
    </cfRule>
  </conditionalFormatting>
  <conditionalFormatting sqref="O508 M508 G508 K508 S508 U508 W508 I508 Q508">
    <cfRule type="cellIs" dxfId="2718" priority="3468" stopIfTrue="1" operator="notEqual">
      <formula>H508</formula>
    </cfRule>
  </conditionalFormatting>
  <conditionalFormatting sqref="O509 M509 G509 K509 S509 U509 W509 I509 Q509">
    <cfRule type="cellIs" dxfId="2717" priority="3467" stopIfTrue="1" operator="notEqual">
      <formula>H509</formula>
    </cfRule>
  </conditionalFormatting>
  <conditionalFormatting sqref="O509 M509 G509 K509 S509 U509 W509 I509 Q509">
    <cfRule type="cellIs" dxfId="2716" priority="3466" stopIfTrue="1" operator="notEqual">
      <formula>H509</formula>
    </cfRule>
  </conditionalFormatting>
  <conditionalFormatting sqref="O507:O526 M507:M526 G507:G526 K507:K526 S507:S526 U507:U526 W507:W526 I507:I526 Q507:Q526">
    <cfRule type="cellIs" dxfId="2715" priority="3465" stopIfTrue="1" operator="notEqual">
      <formula>H507</formula>
    </cfRule>
  </conditionalFormatting>
  <conditionalFormatting sqref="O511 M511 G511 K511 S511 U511 W511 I511 Q511">
    <cfRule type="cellIs" dxfId="2714" priority="3464" stopIfTrue="1" operator="notEqual">
      <formula>H511</formula>
    </cfRule>
  </conditionalFormatting>
  <conditionalFormatting sqref="O505 M505 G505 K505 S505 U505 W505 I505 Q505">
    <cfRule type="cellIs" dxfId="2713" priority="3463" stopIfTrue="1" operator="notEqual">
      <formula>H505</formula>
    </cfRule>
  </conditionalFormatting>
  <conditionalFormatting sqref="O506 M506 G506 K506 S506 U506 W506 I506 Q506">
    <cfRule type="cellIs" dxfId="2712" priority="3462" stopIfTrue="1" operator="notEqual">
      <formula>H506</formula>
    </cfRule>
  </conditionalFormatting>
  <conditionalFormatting sqref="O507:O526 M507:M526 G507:G526 K507:K526 S507:S526 U507:U526 W507:W526 I507:I526 Q507:Q526">
    <cfRule type="cellIs" dxfId="2711" priority="3461" stopIfTrue="1" operator="notEqual">
      <formula>H507</formula>
    </cfRule>
  </conditionalFormatting>
  <conditionalFormatting sqref="O508 M508 G508 K508 S508 U508 W508 I508 Q508">
    <cfRule type="cellIs" dxfId="2710" priority="3460" stopIfTrue="1" operator="notEqual">
      <formula>H508</formula>
    </cfRule>
  </conditionalFormatting>
  <conditionalFormatting sqref="O509 M509 G509 K509 S509 U509 W509 I509 Q509">
    <cfRule type="cellIs" dxfId="2709" priority="3459" stopIfTrue="1" operator="notEqual">
      <formula>H509</formula>
    </cfRule>
  </conditionalFormatting>
  <conditionalFormatting sqref="O510 M510 G510 K510 S510 U510 W510 I510 Q510">
    <cfRule type="cellIs" dxfId="2708" priority="3458" stopIfTrue="1" operator="notEqual">
      <formula>H510</formula>
    </cfRule>
  </conditionalFormatting>
  <conditionalFormatting sqref="O511 M511 G511 K511 S511 U511 W511 I511 Q511">
    <cfRule type="cellIs" dxfId="2707" priority="3457" stopIfTrue="1" operator="notEqual">
      <formula>H511</formula>
    </cfRule>
  </conditionalFormatting>
  <conditionalFormatting sqref="G505">
    <cfRule type="cellIs" dxfId="2706" priority="3456" stopIfTrue="1" operator="notEqual">
      <formula>H505</formula>
    </cfRule>
  </conditionalFormatting>
  <conditionalFormatting sqref="G506">
    <cfRule type="cellIs" dxfId="2705" priority="3455" stopIfTrue="1" operator="notEqual">
      <formula>H506</formula>
    </cfRule>
  </conditionalFormatting>
  <conditionalFormatting sqref="G507:G526">
    <cfRule type="cellIs" dxfId="2704" priority="3454" stopIfTrue="1" operator="notEqual">
      <formula>H507</formula>
    </cfRule>
  </conditionalFormatting>
  <conditionalFormatting sqref="G508">
    <cfRule type="cellIs" dxfId="2703" priority="3453" stopIfTrue="1" operator="notEqual">
      <formula>H508</formula>
    </cfRule>
  </conditionalFormatting>
  <conditionalFormatting sqref="G509">
    <cfRule type="cellIs" dxfId="2702" priority="3452" stopIfTrue="1" operator="notEqual">
      <formula>H509</formula>
    </cfRule>
  </conditionalFormatting>
  <conditionalFormatting sqref="G510">
    <cfRule type="cellIs" dxfId="2701" priority="3451" stopIfTrue="1" operator="notEqual">
      <formula>H510</formula>
    </cfRule>
  </conditionalFormatting>
  <conditionalFormatting sqref="G511">
    <cfRule type="cellIs" dxfId="2700" priority="3450" stopIfTrue="1" operator="notEqual">
      <formula>H511</formula>
    </cfRule>
  </conditionalFormatting>
  <conditionalFormatting sqref="G512">
    <cfRule type="cellIs" dxfId="2699" priority="3449" stopIfTrue="1" operator="notEqual">
      <formula>H512</formula>
    </cfRule>
  </conditionalFormatting>
  <conditionalFormatting sqref="G513">
    <cfRule type="cellIs" dxfId="2698" priority="3448" stopIfTrue="1" operator="notEqual">
      <formula>H513</formula>
    </cfRule>
  </conditionalFormatting>
  <conditionalFormatting sqref="G514">
    <cfRule type="cellIs" dxfId="2697" priority="3447" stopIfTrue="1" operator="notEqual">
      <formula>H514</formula>
    </cfRule>
  </conditionalFormatting>
  <conditionalFormatting sqref="G515">
    <cfRule type="cellIs" dxfId="2696" priority="3446" stopIfTrue="1" operator="notEqual">
      <formula>H515</formula>
    </cfRule>
  </conditionalFormatting>
  <conditionalFormatting sqref="G516">
    <cfRule type="cellIs" dxfId="2695" priority="3445" stopIfTrue="1" operator="notEqual">
      <formula>H516</formula>
    </cfRule>
  </conditionalFormatting>
  <conditionalFormatting sqref="G517">
    <cfRule type="cellIs" dxfId="2694" priority="3444" stopIfTrue="1" operator="notEqual">
      <formula>H517</formula>
    </cfRule>
  </conditionalFormatting>
  <conditionalFormatting sqref="G518">
    <cfRule type="cellIs" dxfId="2693" priority="3443" stopIfTrue="1" operator="notEqual">
      <formula>H518</formula>
    </cfRule>
  </conditionalFormatting>
  <conditionalFormatting sqref="G519">
    <cfRule type="cellIs" dxfId="2692" priority="3442" stopIfTrue="1" operator="notEqual">
      <formula>H519</formula>
    </cfRule>
  </conditionalFormatting>
  <conditionalFormatting sqref="G520">
    <cfRule type="cellIs" dxfId="2691" priority="3441" stopIfTrue="1" operator="notEqual">
      <formula>H520</formula>
    </cfRule>
  </conditionalFormatting>
  <conditionalFormatting sqref="O505 M505 G505 K505 S505 U505 W505 I505 Q505">
    <cfRule type="cellIs" dxfId="2690" priority="3440" stopIfTrue="1" operator="notEqual">
      <formula>H505</formula>
    </cfRule>
  </conditionalFormatting>
  <conditionalFormatting sqref="O506 M506 G506 K506 S506 U506 W506 I506 Q506">
    <cfRule type="cellIs" dxfId="2689" priority="3439" stopIfTrue="1" operator="notEqual">
      <formula>H506</formula>
    </cfRule>
  </conditionalFormatting>
  <conditionalFormatting sqref="O507:O526 M507:M526 G507:G526 K507:K526 S507:S526 U507:U526 W507:W526 I507:I526 Q507:Q526">
    <cfRule type="cellIs" dxfId="2688" priority="3438" stopIfTrue="1" operator="notEqual">
      <formula>H507</formula>
    </cfRule>
  </conditionalFormatting>
  <conditionalFormatting sqref="O508 M508 G508 K508 S508 U508 W508 I508 Q508">
    <cfRule type="cellIs" dxfId="2687" priority="3437" stopIfTrue="1" operator="notEqual">
      <formula>H508</formula>
    </cfRule>
  </conditionalFormatting>
  <conditionalFormatting sqref="O509 M509 G509 K509 S509 U509 W509 I509 Q509">
    <cfRule type="cellIs" dxfId="2686" priority="3436" stopIfTrue="1" operator="notEqual">
      <formula>H509</formula>
    </cfRule>
  </conditionalFormatting>
  <conditionalFormatting sqref="O510 M510 G510 K510 S510 U510 W510 I510 Q510">
    <cfRule type="cellIs" dxfId="2685" priority="3435" stopIfTrue="1" operator="notEqual">
      <formula>H510</formula>
    </cfRule>
  </conditionalFormatting>
  <conditionalFormatting sqref="O511 M511 G511 K511 S511 U511 W511 I511 Q511">
    <cfRule type="cellIs" dxfId="2684" priority="3434" stopIfTrue="1" operator="notEqual">
      <formula>H511</formula>
    </cfRule>
  </conditionalFormatting>
  <conditionalFormatting sqref="O512 M512 G512 K512 S512 U512 W512 I512 Q512">
    <cfRule type="cellIs" dxfId="2683" priority="3433" stopIfTrue="1" operator="notEqual">
      <formula>H512</formula>
    </cfRule>
  </conditionalFormatting>
  <conditionalFormatting sqref="O513 M513 G513 K513 S513 U513 W513 I513 Q513">
    <cfRule type="cellIs" dxfId="2682" priority="3432" stopIfTrue="1" operator="notEqual">
      <formula>H513</formula>
    </cfRule>
  </conditionalFormatting>
  <conditionalFormatting sqref="O514 M514 G514 K514 S514 U514 W514 I514 Q514">
    <cfRule type="cellIs" dxfId="2681" priority="3431" stopIfTrue="1" operator="notEqual">
      <formula>H514</formula>
    </cfRule>
  </conditionalFormatting>
  <conditionalFormatting sqref="O515 M515 G515 K515 S515 U515 W515 I515 Q515">
    <cfRule type="cellIs" dxfId="2680" priority="3430" stopIfTrue="1" operator="notEqual">
      <formula>H515</formula>
    </cfRule>
  </conditionalFormatting>
  <conditionalFormatting sqref="G515:G516">
    <cfRule type="cellIs" dxfId="2679" priority="3429" stopIfTrue="1" operator="notEqual">
      <formula>H515</formula>
    </cfRule>
  </conditionalFormatting>
  <conditionalFormatting sqref="G505">
    <cfRule type="cellIs" dxfId="2678" priority="3428" stopIfTrue="1" operator="notEqual">
      <formula>H505</formula>
    </cfRule>
  </conditionalFormatting>
  <conditionalFormatting sqref="G506">
    <cfRule type="cellIs" dxfId="2677" priority="3427" stopIfTrue="1" operator="notEqual">
      <formula>H506</formula>
    </cfRule>
  </conditionalFormatting>
  <conditionalFormatting sqref="G507:G526">
    <cfRule type="cellIs" dxfId="2676" priority="3426" stopIfTrue="1" operator="notEqual">
      <formula>H507</formula>
    </cfRule>
  </conditionalFormatting>
  <conditionalFormatting sqref="G508">
    <cfRule type="cellIs" dxfId="2675" priority="3425" stopIfTrue="1" operator="notEqual">
      <formula>H508</formula>
    </cfRule>
  </conditionalFormatting>
  <conditionalFormatting sqref="G509">
    <cfRule type="cellIs" dxfId="2674" priority="3424" stopIfTrue="1" operator="notEqual">
      <formula>H509</formula>
    </cfRule>
  </conditionalFormatting>
  <conditionalFormatting sqref="G510">
    <cfRule type="cellIs" dxfId="2673" priority="3423" stopIfTrue="1" operator="notEqual">
      <formula>H510</formula>
    </cfRule>
  </conditionalFormatting>
  <conditionalFormatting sqref="G511">
    <cfRule type="cellIs" dxfId="2672" priority="3422" stopIfTrue="1" operator="notEqual">
      <formula>H511</formula>
    </cfRule>
  </conditionalFormatting>
  <conditionalFormatting sqref="G512">
    <cfRule type="cellIs" dxfId="2671" priority="3421" stopIfTrue="1" operator="notEqual">
      <formula>H512</formula>
    </cfRule>
  </conditionalFormatting>
  <conditionalFormatting sqref="G513">
    <cfRule type="cellIs" dxfId="2670" priority="3420" stopIfTrue="1" operator="notEqual">
      <formula>H513</formula>
    </cfRule>
  </conditionalFormatting>
  <conditionalFormatting sqref="G514">
    <cfRule type="cellIs" dxfId="2669" priority="3419" stopIfTrue="1" operator="notEqual">
      <formula>H514</formula>
    </cfRule>
  </conditionalFormatting>
  <conditionalFormatting sqref="G516">
    <cfRule type="cellIs" dxfId="2668" priority="3418" stopIfTrue="1" operator="notEqual">
      <formula>H516</formula>
    </cfRule>
  </conditionalFormatting>
  <conditionalFormatting sqref="O511:O516 M511:M516 G511:G516 K511:K516 S511:S516 U511:U516 W511:W516 I511:I516 Q511:Q516">
    <cfRule type="cellIs" dxfId="2667" priority="3417" stopIfTrue="1" operator="notEqual">
      <formula>H511</formula>
    </cfRule>
  </conditionalFormatting>
  <conditionalFormatting sqref="O505 M505 G505 K505 S505 U505 W505 I505 Q505">
    <cfRule type="cellIs" dxfId="2666" priority="3416" stopIfTrue="1" operator="notEqual">
      <formula>H505</formula>
    </cfRule>
  </conditionalFormatting>
  <conditionalFormatting sqref="O506 M506 G506 K506 S506 U506 W506 I506 Q506">
    <cfRule type="cellIs" dxfId="2665" priority="3415" stopIfTrue="1" operator="notEqual">
      <formula>H506</formula>
    </cfRule>
  </conditionalFormatting>
  <conditionalFormatting sqref="O507:O526 M507:M526 G507:G526 K507:K526 S507:S526 U507:U526 W507:W526 I507:I526 Q507:Q526">
    <cfRule type="cellIs" dxfId="2664" priority="3414" stopIfTrue="1" operator="notEqual">
      <formula>H507</formula>
    </cfRule>
  </conditionalFormatting>
  <conditionalFormatting sqref="O508 M508 G508 K508 S508 U508 W508 I508 Q508">
    <cfRule type="cellIs" dxfId="2663" priority="3413" stopIfTrue="1" operator="notEqual">
      <formula>H508</formula>
    </cfRule>
  </conditionalFormatting>
  <conditionalFormatting sqref="O509 M509 G509 K509 S509 U509 W509 I509 Q509">
    <cfRule type="cellIs" dxfId="2662" priority="3412" stopIfTrue="1" operator="notEqual">
      <formula>H509</formula>
    </cfRule>
  </conditionalFormatting>
  <conditionalFormatting sqref="O510 M510 G510 K510 S510 U510 W510 I510 Q510">
    <cfRule type="cellIs" dxfId="2661" priority="3411" stopIfTrue="1" operator="notEqual">
      <formula>H510</formula>
    </cfRule>
  </conditionalFormatting>
  <conditionalFormatting sqref="O513 M513 G513 K513 S513 U513 W513 I513 Q513">
    <cfRule type="cellIs" dxfId="2660" priority="3410" stopIfTrue="1" operator="notEqual">
      <formula>H513</formula>
    </cfRule>
  </conditionalFormatting>
  <conditionalFormatting sqref="O514 M514 G514 K514 S514 U514 W514 I514 Q514">
    <cfRule type="cellIs" dxfId="2659" priority="3409" stopIfTrue="1" operator="notEqual">
      <formula>H514</formula>
    </cfRule>
  </conditionalFormatting>
  <conditionalFormatting sqref="O514 M514 G514 K514 S514 U514 W514 I514 Q514">
    <cfRule type="cellIs" dxfId="2658" priority="3408" stopIfTrue="1" operator="notEqual">
      <formula>H514</formula>
    </cfRule>
  </conditionalFormatting>
  <conditionalFormatting sqref="O512 M512 G512 K512 S512 U512 W512 I512 Q512">
    <cfRule type="cellIs" dxfId="2657" priority="3407" stopIfTrue="1" operator="notEqual">
      <formula>H512</formula>
    </cfRule>
  </conditionalFormatting>
  <conditionalFormatting sqref="O516 M516 G516 K516 S516 U516 W516 I516 Q516">
    <cfRule type="cellIs" dxfId="2656" priority="3406" stopIfTrue="1" operator="notEqual">
      <formula>H516</formula>
    </cfRule>
  </conditionalFormatting>
  <conditionalFormatting sqref="O505 M505 G505 K505 S505 U505 W505 I505 Q505">
    <cfRule type="cellIs" dxfId="2655" priority="3405" stopIfTrue="1" operator="notEqual">
      <formula>H505</formula>
    </cfRule>
  </conditionalFormatting>
  <conditionalFormatting sqref="O506 M506 G506 K506 S506 U506 W506 I506 Q506">
    <cfRule type="cellIs" dxfId="2654" priority="3404" stopIfTrue="1" operator="notEqual">
      <formula>H506</formula>
    </cfRule>
  </conditionalFormatting>
  <conditionalFormatting sqref="O507:O526 M507:M526 G507:G526 K507:K526 S507:S526 U507:U526 W507:W526 I507:I526 Q507:Q526">
    <cfRule type="cellIs" dxfId="2653" priority="3403" stopIfTrue="1" operator="notEqual">
      <formula>H507</formula>
    </cfRule>
  </conditionalFormatting>
  <conditionalFormatting sqref="O508 M508 G508 K508 S508 U508 W508 I508 Q508">
    <cfRule type="cellIs" dxfId="2652" priority="3402" stopIfTrue="1" operator="notEqual">
      <formula>H508</formula>
    </cfRule>
  </conditionalFormatting>
  <conditionalFormatting sqref="O509 M509 G509 K509 S509 U509 W509 I509 Q509">
    <cfRule type="cellIs" dxfId="2651" priority="3401" stopIfTrue="1" operator="notEqual">
      <formula>H509</formula>
    </cfRule>
  </conditionalFormatting>
  <conditionalFormatting sqref="O510 M510 G510 K510 S510 U510 W510 I510 Q510">
    <cfRule type="cellIs" dxfId="2650" priority="3400" stopIfTrue="1" operator="notEqual">
      <formula>H510</formula>
    </cfRule>
  </conditionalFormatting>
  <conditionalFormatting sqref="O511 M511 G511 K511 S511 U511 W511 I511 Q511">
    <cfRule type="cellIs" dxfId="2649" priority="3399" stopIfTrue="1" operator="notEqual">
      <formula>H511</formula>
    </cfRule>
  </conditionalFormatting>
  <conditionalFormatting sqref="O512 M512 G512 K512 S512 U512 W512 I512 Q512">
    <cfRule type="cellIs" dxfId="2648" priority="3398" stopIfTrue="1" operator="notEqual">
      <formula>H512</formula>
    </cfRule>
  </conditionalFormatting>
  <conditionalFormatting sqref="O513 M513 G513 K513 S513 U513 W513 I513 Q513">
    <cfRule type="cellIs" dxfId="2647" priority="3397" stopIfTrue="1" operator="notEqual">
      <formula>H513</formula>
    </cfRule>
  </conditionalFormatting>
  <conditionalFormatting sqref="O514 M514 G514 K514 S514 U514 W514 I514 Q514">
    <cfRule type="cellIs" dxfId="2646" priority="3396" stopIfTrue="1" operator="notEqual">
      <formula>H514</formula>
    </cfRule>
  </conditionalFormatting>
  <conditionalFormatting sqref="O515 M515 G515 K515 S515 U515 W515 I515 Q515">
    <cfRule type="cellIs" dxfId="2645" priority="3395" stopIfTrue="1" operator="notEqual">
      <formula>H515</formula>
    </cfRule>
  </conditionalFormatting>
  <conditionalFormatting sqref="O516 M516 G516 K516 S516 U516 W516 I516 Q516">
    <cfRule type="cellIs" dxfId="2644" priority="3394" stopIfTrue="1" operator="notEqual">
      <formula>H516</formula>
    </cfRule>
  </conditionalFormatting>
  <conditionalFormatting sqref="G516:G519">
    <cfRule type="cellIs" dxfId="2643" priority="3393" stopIfTrue="1" operator="notEqual">
      <formula>H516</formula>
    </cfRule>
  </conditionalFormatting>
  <conditionalFormatting sqref="G516">
    <cfRule type="cellIs" dxfId="2642" priority="3392" stopIfTrue="1" operator="notEqual">
      <formula>H516</formula>
    </cfRule>
  </conditionalFormatting>
  <conditionalFormatting sqref="G517">
    <cfRule type="cellIs" dxfId="2641" priority="3391" stopIfTrue="1" operator="notEqual">
      <formula>H517</formula>
    </cfRule>
  </conditionalFormatting>
  <conditionalFormatting sqref="G517">
    <cfRule type="cellIs" dxfId="2640" priority="3390" stopIfTrue="1" operator="notEqual">
      <formula>H517</formula>
    </cfRule>
  </conditionalFormatting>
  <conditionalFormatting sqref="G520">
    <cfRule type="cellIs" dxfId="2639" priority="3389" stopIfTrue="1" operator="notEqual">
      <formula>H520</formula>
    </cfRule>
  </conditionalFormatting>
  <conditionalFormatting sqref="G519">
    <cfRule type="cellIs" dxfId="2638" priority="3388" stopIfTrue="1" operator="notEqual">
      <formula>H519</formula>
    </cfRule>
  </conditionalFormatting>
  <conditionalFormatting sqref="O516 M516 G516 K516 S516 U516 W516 I516 Q516">
    <cfRule type="cellIs" dxfId="2637" priority="3387" stopIfTrue="1" operator="notEqual">
      <formula>H516</formula>
    </cfRule>
  </conditionalFormatting>
  <conditionalFormatting sqref="O517 M517 G517 K517 S517 U517 W517 I517 Q517">
    <cfRule type="cellIs" dxfId="2636" priority="3386" stopIfTrue="1" operator="notEqual">
      <formula>H517</formula>
    </cfRule>
  </conditionalFormatting>
  <conditionalFormatting sqref="O518 M518 G518 K518 S518 U518 W518 I518 Q518">
    <cfRule type="cellIs" dxfId="2635" priority="3385" stopIfTrue="1" operator="notEqual">
      <formula>H518</formula>
    </cfRule>
  </conditionalFormatting>
  <conditionalFormatting sqref="O519 M519 G519 K519 S519 U519 W519 I519 Q519">
    <cfRule type="cellIs" dxfId="2634" priority="3384" stopIfTrue="1" operator="notEqual">
      <formula>H519</formula>
    </cfRule>
  </conditionalFormatting>
  <conditionalFormatting sqref="O520 M520 G520 K520 S520 U520 W520 I520 Q520">
    <cfRule type="cellIs" dxfId="2633" priority="3383" stopIfTrue="1" operator="notEqual">
      <formula>H520</formula>
    </cfRule>
  </conditionalFormatting>
  <conditionalFormatting sqref="G516">
    <cfRule type="cellIs" dxfId="2632" priority="3382" stopIfTrue="1" operator="notEqual">
      <formula>H516</formula>
    </cfRule>
  </conditionalFormatting>
  <conditionalFormatting sqref="G517">
    <cfRule type="cellIs" dxfId="2631" priority="3381" stopIfTrue="1" operator="notEqual">
      <formula>H517</formula>
    </cfRule>
  </conditionalFormatting>
  <conditionalFormatting sqref="G518">
    <cfRule type="cellIs" dxfId="2630" priority="3380" stopIfTrue="1" operator="notEqual">
      <formula>H518</formula>
    </cfRule>
  </conditionalFormatting>
  <conditionalFormatting sqref="G519">
    <cfRule type="cellIs" dxfId="2629" priority="3379" stopIfTrue="1" operator="notEqual">
      <formula>H519</formula>
    </cfRule>
  </conditionalFormatting>
  <conditionalFormatting sqref="G520">
    <cfRule type="cellIs" dxfId="2628" priority="3378" stopIfTrue="1" operator="notEqual">
      <formula>H520</formula>
    </cfRule>
  </conditionalFormatting>
  <conditionalFormatting sqref="G516">
    <cfRule type="cellIs" dxfId="2627" priority="3377" stopIfTrue="1" operator="notEqual">
      <formula>H516</formula>
    </cfRule>
  </conditionalFormatting>
  <conditionalFormatting sqref="G516">
    <cfRule type="cellIs" dxfId="2626" priority="3376" stopIfTrue="1" operator="notEqual">
      <formula>H516</formula>
    </cfRule>
  </conditionalFormatting>
  <conditionalFormatting sqref="G516">
    <cfRule type="cellIs" dxfId="2625" priority="3375" stopIfTrue="1" operator="notEqual">
      <formula>H516</formula>
    </cfRule>
  </conditionalFormatting>
  <conditionalFormatting sqref="G516">
    <cfRule type="cellIs" dxfId="2624" priority="3374" stopIfTrue="1" operator="notEqual">
      <formula>H516</formula>
    </cfRule>
  </conditionalFormatting>
  <conditionalFormatting sqref="G516">
    <cfRule type="cellIs" dxfId="2623" priority="3373" stopIfTrue="1" operator="notEqual">
      <formula>H516</formula>
    </cfRule>
  </conditionalFormatting>
  <conditionalFormatting sqref="G516">
    <cfRule type="cellIs" dxfId="2622" priority="3372" stopIfTrue="1" operator="notEqual">
      <formula>H516</formula>
    </cfRule>
  </conditionalFormatting>
  <conditionalFormatting sqref="O516 M516 G516 K516 S516 U516 W516 I516 Q516">
    <cfRule type="cellIs" dxfId="2621" priority="3371" stopIfTrue="1" operator="notEqual">
      <formula>H516</formula>
    </cfRule>
  </conditionalFormatting>
  <conditionalFormatting sqref="O517 M517 G517 K517 S517 U517 W517 I517 Q517">
    <cfRule type="cellIs" dxfId="2620" priority="3370" stopIfTrue="1" operator="notEqual">
      <formula>H517</formula>
    </cfRule>
  </conditionalFormatting>
  <conditionalFormatting sqref="O518 M518 G518 K518 S518 U518 W518 I518 Q518">
    <cfRule type="cellIs" dxfId="2619" priority="3369" stopIfTrue="1" operator="notEqual">
      <formula>H518</formula>
    </cfRule>
  </conditionalFormatting>
  <conditionalFormatting sqref="O519 M519 G519 K519 S519 U519 W519 I519 Q519">
    <cfRule type="cellIs" dxfId="2618" priority="3368" stopIfTrue="1" operator="notEqual">
      <formula>H519</formula>
    </cfRule>
  </conditionalFormatting>
  <conditionalFormatting sqref="O520 M520 G520 K520 S520 U520 W520 I520 Q520">
    <cfRule type="cellIs" dxfId="2617" priority="3367" stopIfTrue="1" operator="notEqual">
      <formula>H520</formula>
    </cfRule>
  </conditionalFormatting>
  <conditionalFormatting sqref="O516 M516 G516 K516 S516 U516 W516 I516 Q516">
    <cfRule type="cellIs" dxfId="2616" priority="3366" stopIfTrue="1" operator="notEqual">
      <formula>H516</formula>
    </cfRule>
  </conditionalFormatting>
  <conditionalFormatting sqref="O517 M517 G517 K517 S517 U517 W517 I517 Q517">
    <cfRule type="cellIs" dxfId="2615" priority="3365" stopIfTrue="1" operator="notEqual">
      <formula>H517</formula>
    </cfRule>
  </conditionalFormatting>
  <conditionalFormatting sqref="O518 M518 G518 K518 S518 U518 W518 I518 Q518">
    <cfRule type="cellIs" dxfId="2614" priority="3364" stopIfTrue="1" operator="notEqual">
      <formula>H518</formula>
    </cfRule>
  </conditionalFormatting>
  <conditionalFormatting sqref="O516 M516 G516 K516 S516 U516 W516 I516 Q516">
    <cfRule type="cellIs" dxfId="2613" priority="3363" stopIfTrue="1" operator="notEqual">
      <formula>H516</formula>
    </cfRule>
  </conditionalFormatting>
  <conditionalFormatting sqref="O519 M519 G519 K519 S519 U519 W519 I519 Q519">
    <cfRule type="cellIs" dxfId="2612" priority="3362" stopIfTrue="1" operator="notEqual">
      <formula>H519</formula>
    </cfRule>
  </conditionalFormatting>
  <conditionalFormatting sqref="O520 M520 G520 K520 S520 U520 W520 I520 Q520">
    <cfRule type="cellIs" dxfId="2611" priority="3361" stopIfTrue="1" operator="notEqual">
      <formula>H520</formula>
    </cfRule>
  </conditionalFormatting>
  <conditionalFormatting sqref="G519:G520">
    <cfRule type="cellIs" dxfId="2610" priority="3360" stopIfTrue="1" operator="notEqual">
      <formula>H519</formula>
    </cfRule>
  </conditionalFormatting>
  <conditionalFormatting sqref="G505">
    <cfRule type="cellIs" dxfId="2609" priority="3359" stopIfTrue="1" operator="notEqual">
      <formula>H505</formula>
    </cfRule>
  </conditionalFormatting>
  <conditionalFormatting sqref="G506">
    <cfRule type="cellIs" dxfId="2608" priority="3358" stopIfTrue="1" operator="notEqual">
      <formula>H506</formula>
    </cfRule>
  </conditionalFormatting>
  <conditionalFormatting sqref="G507:G526">
    <cfRule type="cellIs" dxfId="2607" priority="3357" stopIfTrue="1" operator="notEqual">
      <formula>H507</formula>
    </cfRule>
  </conditionalFormatting>
  <conditionalFormatting sqref="G508">
    <cfRule type="cellIs" dxfId="2606" priority="3356" stopIfTrue="1" operator="notEqual">
      <formula>H508</formula>
    </cfRule>
  </conditionalFormatting>
  <conditionalFormatting sqref="G509">
    <cfRule type="cellIs" dxfId="2605" priority="3355" stopIfTrue="1" operator="notEqual">
      <formula>H509</formula>
    </cfRule>
  </conditionalFormatting>
  <conditionalFormatting sqref="G510">
    <cfRule type="cellIs" dxfId="2604" priority="3354" stopIfTrue="1" operator="notEqual">
      <formula>H510</formula>
    </cfRule>
  </conditionalFormatting>
  <conditionalFormatting sqref="G511">
    <cfRule type="cellIs" dxfId="2603" priority="3353" stopIfTrue="1" operator="notEqual">
      <formula>H511</formula>
    </cfRule>
  </conditionalFormatting>
  <conditionalFormatting sqref="G512">
    <cfRule type="cellIs" dxfId="2602" priority="3352" stopIfTrue="1" operator="notEqual">
      <formula>H512</formula>
    </cfRule>
  </conditionalFormatting>
  <conditionalFormatting sqref="G513">
    <cfRule type="cellIs" dxfId="2601" priority="3351" stopIfTrue="1" operator="notEqual">
      <formula>H513</formula>
    </cfRule>
  </conditionalFormatting>
  <conditionalFormatting sqref="G514">
    <cfRule type="cellIs" dxfId="2600" priority="3350" stopIfTrue="1" operator="notEqual">
      <formula>H514</formula>
    </cfRule>
  </conditionalFormatting>
  <conditionalFormatting sqref="G515">
    <cfRule type="cellIs" dxfId="2599" priority="3349" stopIfTrue="1" operator="notEqual">
      <formula>H515</formula>
    </cfRule>
  </conditionalFormatting>
  <conditionalFormatting sqref="G516">
    <cfRule type="cellIs" dxfId="2598" priority="3348" stopIfTrue="1" operator="notEqual">
      <formula>H516</formula>
    </cfRule>
  </conditionalFormatting>
  <conditionalFormatting sqref="G517">
    <cfRule type="cellIs" dxfId="2597" priority="3347" stopIfTrue="1" operator="notEqual">
      <formula>H517</formula>
    </cfRule>
  </conditionalFormatting>
  <conditionalFormatting sqref="G518">
    <cfRule type="cellIs" dxfId="2596" priority="3346" stopIfTrue="1" operator="notEqual">
      <formula>H518</formula>
    </cfRule>
  </conditionalFormatting>
  <conditionalFormatting sqref="G505">
    <cfRule type="cellIs" dxfId="2595" priority="3345" stopIfTrue="1" operator="notEqual">
      <formula>H505</formula>
    </cfRule>
  </conditionalFormatting>
  <conditionalFormatting sqref="G505">
    <cfRule type="cellIs" dxfId="2594" priority="3344" stopIfTrue="1" operator="notEqual">
      <formula>H505</formula>
    </cfRule>
  </conditionalFormatting>
  <conditionalFormatting sqref="G505">
    <cfRule type="cellIs" dxfId="2593" priority="3343" stopIfTrue="1" operator="notEqual">
      <formula>H505</formula>
    </cfRule>
  </conditionalFormatting>
  <conditionalFormatting sqref="G505">
    <cfRule type="cellIs" dxfId="2592" priority="3342" stopIfTrue="1" operator="notEqual">
      <formula>H505</formula>
    </cfRule>
  </conditionalFormatting>
  <conditionalFormatting sqref="G505">
    <cfRule type="cellIs" dxfId="2591" priority="3341" stopIfTrue="1" operator="notEqual">
      <formula>H505</formula>
    </cfRule>
  </conditionalFormatting>
  <conditionalFormatting sqref="G505">
    <cfRule type="cellIs" dxfId="2590" priority="3340" stopIfTrue="1" operator="notEqual">
      <formula>H505</formula>
    </cfRule>
  </conditionalFormatting>
  <conditionalFormatting sqref="G520">
    <cfRule type="cellIs" dxfId="2589" priority="3339" stopIfTrue="1" operator="notEqual">
      <formula>H520</formula>
    </cfRule>
  </conditionalFormatting>
  <conditionalFormatting sqref="O515:O520 M515:M520 G515:G520 K515:K520 S515:S520 U515:U520 W515:W520 I515:I520 Q515:Q520">
    <cfRule type="cellIs" dxfId="2588" priority="3338" stopIfTrue="1" operator="notEqual">
      <formula>H515</formula>
    </cfRule>
  </conditionalFormatting>
  <conditionalFormatting sqref="O505 M505 G505 K505 S505 U505 W505 I505 Q505">
    <cfRule type="cellIs" dxfId="2587" priority="3337" stopIfTrue="1" operator="notEqual">
      <formula>H505</formula>
    </cfRule>
  </conditionalFormatting>
  <conditionalFormatting sqref="O506 M506 G506 K506 S506 U506 W506 I506 Q506">
    <cfRule type="cellIs" dxfId="2586" priority="3336" stopIfTrue="1" operator="notEqual">
      <formula>H506</formula>
    </cfRule>
  </conditionalFormatting>
  <conditionalFormatting sqref="O507:O526 M507:M526 G507:G526 K507:K526 S507:S526 U507:U526 W507:W526 I507:I526 Q507:Q526">
    <cfRule type="cellIs" dxfId="2585" priority="3335" stopIfTrue="1" operator="notEqual">
      <formula>H507</formula>
    </cfRule>
  </conditionalFormatting>
  <conditionalFormatting sqref="O508 M508 G508 K508 S508 U508 W508 I508 Q508">
    <cfRule type="cellIs" dxfId="2584" priority="3334" stopIfTrue="1" operator="notEqual">
      <formula>H508</formula>
    </cfRule>
  </conditionalFormatting>
  <conditionalFormatting sqref="O509 M509 G509 K509 S509 U509 W509 I509 Q509">
    <cfRule type="cellIs" dxfId="2583" priority="3333" stopIfTrue="1" operator="notEqual">
      <formula>H509</formula>
    </cfRule>
  </conditionalFormatting>
  <conditionalFormatting sqref="O510 M510 G510 K510 S510 U510 W510 I510 Q510">
    <cfRule type="cellIs" dxfId="2582" priority="3332" stopIfTrue="1" operator="notEqual">
      <formula>H510</formula>
    </cfRule>
  </conditionalFormatting>
  <conditionalFormatting sqref="O511 M511 G511 K511 S511 U511 W511 I511 Q511">
    <cfRule type="cellIs" dxfId="2581" priority="3331" stopIfTrue="1" operator="notEqual">
      <formula>H511</formula>
    </cfRule>
  </conditionalFormatting>
  <conditionalFormatting sqref="O512 M512 G512 K512 S512 U512 W512 I512 Q512">
    <cfRule type="cellIs" dxfId="2580" priority="3330" stopIfTrue="1" operator="notEqual">
      <formula>H512</formula>
    </cfRule>
  </conditionalFormatting>
  <conditionalFormatting sqref="O513 M513 G513 K513 S513 U513 W513 I513 Q513">
    <cfRule type="cellIs" dxfId="2579" priority="3329" stopIfTrue="1" operator="notEqual">
      <formula>H513</formula>
    </cfRule>
  </conditionalFormatting>
  <conditionalFormatting sqref="O514 M514 G514 K514 S514 U514 W514 I514 Q514">
    <cfRule type="cellIs" dxfId="2578" priority="3328" stopIfTrue="1" operator="notEqual">
      <formula>H514</formula>
    </cfRule>
  </conditionalFormatting>
  <conditionalFormatting sqref="O517 M517 G517 K517 S517 U517 W517 I517 Q517">
    <cfRule type="cellIs" dxfId="2577" priority="3327" stopIfTrue="1" operator="notEqual">
      <formula>H517</formula>
    </cfRule>
  </conditionalFormatting>
  <conditionalFormatting sqref="O518 M518 G518 K518 S518 U518 W518 I518 Q518">
    <cfRule type="cellIs" dxfId="2576" priority="3326" stopIfTrue="1" operator="notEqual">
      <formula>H518</formula>
    </cfRule>
  </conditionalFormatting>
  <conditionalFormatting sqref="O518 M518 G518 K518 S518 U518 W518 I518 Q518">
    <cfRule type="cellIs" dxfId="2575" priority="3325" stopIfTrue="1" operator="notEqual">
      <formula>H518</formula>
    </cfRule>
  </conditionalFormatting>
  <conditionalFormatting sqref="O516 M516 G516 K516 S516 U516 W516 I516 Q516">
    <cfRule type="cellIs" dxfId="2574" priority="3324" stopIfTrue="1" operator="notEqual">
      <formula>H516</formula>
    </cfRule>
  </conditionalFormatting>
  <conditionalFormatting sqref="O520 M520 G520 K520 S520 U520 W520 I520 Q520">
    <cfRule type="cellIs" dxfId="2573" priority="3323" stopIfTrue="1" operator="notEqual">
      <formula>H520</formula>
    </cfRule>
  </conditionalFormatting>
  <conditionalFormatting sqref="O505 M505 G505 K505 S505 U505 W505 I505 Q505">
    <cfRule type="cellIs" dxfId="2572" priority="3322" stopIfTrue="1" operator="notEqual">
      <formula>H505</formula>
    </cfRule>
  </conditionalFormatting>
  <conditionalFormatting sqref="O506 M506 G506 K506 S506 U506 W506 I506 Q506">
    <cfRule type="cellIs" dxfId="2571" priority="3321" stopIfTrue="1" operator="notEqual">
      <formula>H506</formula>
    </cfRule>
  </conditionalFormatting>
  <conditionalFormatting sqref="O507:O526 M507:M526 G507:G526 K507:K526 S507:S526 U507:U526 W507:W526 I507:I526 Q507:Q526">
    <cfRule type="cellIs" dxfId="2570" priority="3320" stopIfTrue="1" operator="notEqual">
      <formula>H507</formula>
    </cfRule>
  </conditionalFormatting>
  <conditionalFormatting sqref="O505 M505 G505 K505 S505 U505 W505 I505 Q505">
    <cfRule type="cellIs" dxfId="2569" priority="3319" stopIfTrue="1" operator="notEqual">
      <formula>H505</formula>
    </cfRule>
  </conditionalFormatting>
  <conditionalFormatting sqref="O508 M508 G508 K508 S508 U508 W508 I508 Q508">
    <cfRule type="cellIs" dxfId="2568" priority="3318" stopIfTrue="1" operator="notEqual">
      <formula>H508</formula>
    </cfRule>
  </conditionalFormatting>
  <conditionalFormatting sqref="O509 M509 G509 K509 S509 U509 W509 I509 Q509">
    <cfRule type="cellIs" dxfId="2567" priority="3317" stopIfTrue="1" operator="notEqual">
      <formula>H509</formula>
    </cfRule>
  </conditionalFormatting>
  <conditionalFormatting sqref="O510 M510 G510 K510 S510 U510 W510 I510 Q510">
    <cfRule type="cellIs" dxfId="2566" priority="3316" stopIfTrue="1" operator="notEqual">
      <formula>H510</formula>
    </cfRule>
  </conditionalFormatting>
  <conditionalFormatting sqref="O511 M511 G511 K511 S511 U511 W511 I511 Q511">
    <cfRule type="cellIs" dxfId="2565" priority="3315" stopIfTrue="1" operator="notEqual">
      <formula>H511</formula>
    </cfRule>
  </conditionalFormatting>
  <conditionalFormatting sqref="O512 M512 G512 K512 S512 U512 W512 I512 Q512">
    <cfRule type="cellIs" dxfId="2564" priority="3314" stopIfTrue="1" operator="notEqual">
      <formula>H512</formula>
    </cfRule>
  </conditionalFormatting>
  <conditionalFormatting sqref="O513 M513 G513 K513 S513 U513 W513 I513 Q513">
    <cfRule type="cellIs" dxfId="2563" priority="3313" stopIfTrue="1" operator="notEqual">
      <formula>H513</formula>
    </cfRule>
  </conditionalFormatting>
  <conditionalFormatting sqref="O514 M514 G514 K514 S514 U514 W514 I514 Q514">
    <cfRule type="cellIs" dxfId="2562" priority="3312" stopIfTrue="1" operator="notEqual">
      <formula>H514</formula>
    </cfRule>
  </conditionalFormatting>
  <conditionalFormatting sqref="O515 M515 G515 K515 S515 U515 W515 I515 Q515">
    <cfRule type="cellIs" dxfId="2561" priority="3311" stopIfTrue="1" operator="notEqual">
      <formula>H515</formula>
    </cfRule>
  </conditionalFormatting>
  <conditionalFormatting sqref="O516 M516 G516 K516 S516 U516 W516 I516 Q516">
    <cfRule type="cellIs" dxfId="2560" priority="3310" stopIfTrue="1" operator="notEqual">
      <formula>H516</formula>
    </cfRule>
  </conditionalFormatting>
  <conditionalFormatting sqref="O517 M517 G517 K517 S517 U517 W517 I517 Q517">
    <cfRule type="cellIs" dxfId="2559" priority="3309" stopIfTrue="1" operator="notEqual">
      <formula>H517</formula>
    </cfRule>
  </conditionalFormatting>
  <conditionalFormatting sqref="O518 M518 G518 K518 S518 U518 W518 I518 Q518">
    <cfRule type="cellIs" dxfId="2558" priority="3308" stopIfTrue="1" operator="notEqual">
      <formula>H518</formula>
    </cfRule>
  </conditionalFormatting>
  <conditionalFormatting sqref="O519 M519 G519 K519 S519 U519 W519 I519 Q519">
    <cfRule type="cellIs" dxfId="2557" priority="3307" stopIfTrue="1" operator="notEqual">
      <formula>H519</formula>
    </cfRule>
  </conditionalFormatting>
  <conditionalFormatting sqref="O520 M520 G520 K520 S520 U520 W520 I520 Q520">
    <cfRule type="cellIs" dxfId="2556" priority="3306" stopIfTrue="1" operator="notEqual">
      <formula>H520</formula>
    </cfRule>
  </conditionalFormatting>
  <conditionalFormatting sqref="O505:O526 M505:M526 G505:G526 K505:K526 S505:S526 U505:U526 W505:W526 I505:I526 Q505:Q526">
    <cfRule type="cellIs" dxfId="2555" priority="3305" stopIfTrue="1" operator="notEqual">
      <formula>H505</formula>
    </cfRule>
  </conditionalFormatting>
  <conditionalFormatting sqref="O506 M506 G506 K506 S506 U506 W506 I506 Q506">
    <cfRule type="cellIs" dxfId="2554" priority="3304" stopIfTrue="1" operator="notEqual">
      <formula>H506</formula>
    </cfRule>
  </conditionalFormatting>
  <conditionalFormatting sqref="O507:O526 M507:M526 G507:G526 K507:K526 S507:S526 U507:U526 W507:W526 I507:I526 Q507:Q526">
    <cfRule type="cellIs" dxfId="2553" priority="3303" stopIfTrue="1" operator="notEqual">
      <formula>H507</formula>
    </cfRule>
  </conditionalFormatting>
  <conditionalFormatting sqref="O507:O526 M507:M526 G507:G526 K507:K526 S507:S526 U507:U526 W507:W526 I507:I526 Q507:Q526">
    <cfRule type="cellIs" dxfId="2552" priority="3302" stopIfTrue="1" operator="notEqual">
      <formula>H507</formula>
    </cfRule>
  </conditionalFormatting>
  <conditionalFormatting sqref="O505 M505 G505 K505 S505 U505 W505 I505 Q505">
    <cfRule type="cellIs" dxfId="2551" priority="3301" stopIfTrue="1" operator="notEqual">
      <formula>H505</formula>
    </cfRule>
  </conditionalFormatting>
  <conditionalFormatting sqref="O510 M510 G510 K510 S510 U510 W510 I510 Q510">
    <cfRule type="cellIs" dxfId="2550" priority="3300" stopIfTrue="1" operator="notEqual">
      <formula>H510</formula>
    </cfRule>
  </conditionalFormatting>
  <conditionalFormatting sqref="O511 M511 G511 K511 S511 U511 W511 I511 Q511">
    <cfRule type="cellIs" dxfId="2549" priority="3299" stopIfTrue="1" operator="notEqual">
      <formula>H511</formula>
    </cfRule>
  </conditionalFormatting>
  <conditionalFormatting sqref="O509 M509 G509 K509 S509 U509 W509 I509 Q509">
    <cfRule type="cellIs" dxfId="2548" priority="3298" stopIfTrue="1" operator="notEqual">
      <formula>H509</formula>
    </cfRule>
  </conditionalFormatting>
  <conditionalFormatting sqref="O512 M512 G512 K512 S512 U512 W512 I512 Q512">
    <cfRule type="cellIs" dxfId="2547" priority="3297" stopIfTrue="1" operator="notEqual">
      <formula>H512</formula>
    </cfRule>
  </conditionalFormatting>
  <conditionalFormatting sqref="O513 M513 G513 K513 S513 U513 W513 I513 Q513">
    <cfRule type="cellIs" dxfId="2546" priority="3296" stopIfTrue="1" operator="notEqual">
      <formula>H513</formula>
    </cfRule>
  </conditionalFormatting>
  <conditionalFormatting sqref="O514 M514 G514 K514 S514 U514 W514 I514 Q514">
    <cfRule type="cellIs" dxfId="2545" priority="3295" stopIfTrue="1" operator="notEqual">
      <formula>H514</formula>
    </cfRule>
  </conditionalFormatting>
  <conditionalFormatting sqref="O515 M515 G515 K515 S515 U515 W515 I515 Q515">
    <cfRule type="cellIs" dxfId="2544" priority="3294" stopIfTrue="1" operator="notEqual">
      <formula>H515</formula>
    </cfRule>
  </conditionalFormatting>
  <conditionalFormatting sqref="O516 M516 G516 K516 S516 U516 W516 I516 Q516">
    <cfRule type="cellIs" dxfId="2543" priority="3293" stopIfTrue="1" operator="notEqual">
      <formula>H516</formula>
    </cfRule>
  </conditionalFormatting>
  <conditionalFormatting sqref="O517 M517 G517 K517 S517 U517 W517 I517 Q517">
    <cfRule type="cellIs" dxfId="2542" priority="3292" stopIfTrue="1" operator="notEqual">
      <formula>H517</formula>
    </cfRule>
  </conditionalFormatting>
  <conditionalFormatting sqref="O518 M518 G518 K518 S518 U518 W518 I518 Q518">
    <cfRule type="cellIs" dxfId="2541" priority="3291" stopIfTrue="1" operator="notEqual">
      <formula>H518</formula>
    </cfRule>
  </conditionalFormatting>
  <conditionalFormatting sqref="O519 M519 G519 K519 S519 U519 W519 I519 Q519">
    <cfRule type="cellIs" dxfId="2540" priority="3290" stopIfTrue="1" operator="notEqual">
      <formula>H519</formula>
    </cfRule>
  </conditionalFormatting>
  <conditionalFormatting sqref="O520 M520 G520 K520 S520 U520 W520 I520 Q520">
    <cfRule type="cellIs" dxfId="2539" priority="3289" stopIfTrue="1" operator="notEqual">
      <formula>H520</formula>
    </cfRule>
  </conditionalFormatting>
  <conditionalFormatting sqref="S521:S550 W521:W550 M521:M550 O521:O550 Q521:Q550 U521:U550 K521:K550 I521:I550 G521:G550">
    <cfRule type="cellIs" dxfId="2538" priority="3288" stopIfTrue="1" operator="notEqual">
      <formula>H521</formula>
    </cfRule>
  </conditionalFormatting>
  <conditionalFormatting sqref="S524">
    <cfRule type="cellIs" dxfId="2537" priority="3287" stopIfTrue="1" operator="notEqual">
      <formula>T524</formula>
    </cfRule>
  </conditionalFormatting>
  <conditionalFormatting sqref="U524">
    <cfRule type="cellIs" dxfId="2536" priority="3286" stopIfTrue="1" operator="notEqual">
      <formula>V524</formula>
    </cfRule>
  </conditionalFormatting>
  <conditionalFormatting sqref="G549">
    <cfRule type="cellIs" dxfId="2535" priority="3285" stopIfTrue="1" operator="notEqual">
      <formula>H549</formula>
    </cfRule>
  </conditionalFormatting>
  <conditionalFormatting sqref="G549">
    <cfRule type="cellIs" dxfId="2534" priority="3284" stopIfTrue="1" operator="notEqual">
      <formula>H549</formula>
    </cfRule>
  </conditionalFormatting>
  <conditionalFormatting sqref="G549">
    <cfRule type="cellIs" dxfId="2533" priority="3283" stopIfTrue="1" operator="notEqual">
      <formula>H549</formula>
    </cfRule>
  </conditionalFormatting>
  <conditionalFormatting sqref="G549">
    <cfRule type="cellIs" dxfId="2532" priority="3282" stopIfTrue="1" operator="notEqual">
      <formula>H549</formula>
    </cfRule>
  </conditionalFormatting>
  <conditionalFormatting sqref="Q521:Q524 U521:U524 W521:W524 G521:G524 K521:K524 M521:M524 O521:O524 S521:S524 I521:I524">
    <cfRule type="cellIs" dxfId="2531" priority="3281" stopIfTrue="1" operator="notEqual">
      <formula>H521</formula>
    </cfRule>
  </conditionalFormatting>
  <conditionalFormatting sqref="S521:S524 W521:W524 G521:G524 M521:M524 O521:O524 Q521:Q524 U521:U524 K521:K524">
    <cfRule type="cellIs" dxfId="2530" priority="3280" stopIfTrue="1" operator="notEqual">
      <formula>H521</formula>
    </cfRule>
  </conditionalFormatting>
  <conditionalFormatting sqref="I521:I524">
    <cfRule type="cellIs" dxfId="2529" priority="3279" stopIfTrue="1" operator="notEqual">
      <formula>J521</formula>
    </cfRule>
  </conditionalFormatting>
  <conditionalFormatting sqref="G521">
    <cfRule type="cellIs" dxfId="2528" priority="3278" stopIfTrue="1" operator="notEqual">
      <formula>H521</formula>
    </cfRule>
  </conditionalFormatting>
  <conditionalFormatting sqref="G522">
    <cfRule type="cellIs" dxfId="2527" priority="3277" stopIfTrue="1" operator="notEqual">
      <formula>H522</formula>
    </cfRule>
  </conditionalFormatting>
  <conditionalFormatting sqref="G523">
    <cfRule type="cellIs" dxfId="2526" priority="3276" stopIfTrue="1" operator="notEqual">
      <formula>H523</formula>
    </cfRule>
  </conditionalFormatting>
  <conditionalFormatting sqref="G524">
    <cfRule type="cellIs" dxfId="2525" priority="3275" stopIfTrue="1" operator="notEqual">
      <formula>H524</formula>
    </cfRule>
  </conditionalFormatting>
  <conditionalFormatting sqref="G521">
    <cfRule type="cellIs" dxfId="2524" priority="3274" stopIfTrue="1" operator="notEqual">
      <formula>H521</formula>
    </cfRule>
  </conditionalFormatting>
  <conditionalFormatting sqref="G522">
    <cfRule type="cellIs" dxfId="2523" priority="3273" stopIfTrue="1" operator="notEqual">
      <formula>H522</formula>
    </cfRule>
  </conditionalFormatting>
  <conditionalFormatting sqref="G523">
    <cfRule type="cellIs" dxfId="2522" priority="3272" stopIfTrue="1" operator="notEqual">
      <formula>H523</formula>
    </cfRule>
  </conditionalFormatting>
  <conditionalFormatting sqref="G524">
    <cfRule type="cellIs" dxfId="2521" priority="3271" stopIfTrue="1" operator="notEqual">
      <formula>H524</formula>
    </cfRule>
  </conditionalFormatting>
  <conditionalFormatting sqref="O521 M521 G521 K521 S521 U521 W521 I521 Q521">
    <cfRule type="cellIs" dxfId="2520" priority="3270" stopIfTrue="1" operator="notEqual">
      <formula>H521</formula>
    </cfRule>
  </conditionalFormatting>
  <conditionalFormatting sqref="O522 M522 G522 K522 S522 U522 W522 I522 Q522">
    <cfRule type="cellIs" dxfId="2519" priority="3269" stopIfTrue="1" operator="notEqual">
      <formula>H522</formula>
    </cfRule>
  </conditionalFormatting>
  <conditionalFormatting sqref="O523 M523 G523 K523 S523 U523 W523 I523 Q523">
    <cfRule type="cellIs" dxfId="2518" priority="3268" stopIfTrue="1" operator="notEqual">
      <formula>H523</formula>
    </cfRule>
  </conditionalFormatting>
  <conditionalFormatting sqref="O524 M524 G524 K524 S524 U524 W524 I524 Q524">
    <cfRule type="cellIs" dxfId="2517" priority="3267" stopIfTrue="1" operator="notEqual">
      <formula>H524</formula>
    </cfRule>
  </conditionalFormatting>
  <conditionalFormatting sqref="G521">
    <cfRule type="cellIs" dxfId="2516" priority="3266" stopIfTrue="1" operator="notEqual">
      <formula>H521</formula>
    </cfRule>
  </conditionalFormatting>
  <conditionalFormatting sqref="G522">
    <cfRule type="cellIs" dxfId="2515" priority="3265" stopIfTrue="1" operator="notEqual">
      <formula>H522</formula>
    </cfRule>
  </conditionalFormatting>
  <conditionalFormatting sqref="G523">
    <cfRule type="cellIs" dxfId="2514" priority="3264" stopIfTrue="1" operator="notEqual">
      <formula>H523</formula>
    </cfRule>
  </conditionalFormatting>
  <conditionalFormatting sqref="G524">
    <cfRule type="cellIs" dxfId="2513" priority="3263" stopIfTrue="1" operator="notEqual">
      <formula>H524</formula>
    </cfRule>
  </conditionalFormatting>
  <conditionalFormatting sqref="O521 M521 G521 K521 S521 U521 W521 I521 Q521">
    <cfRule type="cellIs" dxfId="2512" priority="3262" stopIfTrue="1" operator="notEqual">
      <formula>H521</formula>
    </cfRule>
  </conditionalFormatting>
  <conditionalFormatting sqref="O522 M522 G522 K522 S522 U522 W522 I522 Q522">
    <cfRule type="cellIs" dxfId="2511" priority="3261" stopIfTrue="1" operator="notEqual">
      <formula>H522</formula>
    </cfRule>
  </conditionalFormatting>
  <conditionalFormatting sqref="O523 M523 G523 K523 S523 U523 W523 I523 Q523">
    <cfRule type="cellIs" dxfId="2510" priority="3260" stopIfTrue="1" operator="notEqual">
      <formula>H523</formula>
    </cfRule>
  </conditionalFormatting>
  <conditionalFormatting sqref="O524 M524 G524 K524 S524 U524 W524 I524 Q524">
    <cfRule type="cellIs" dxfId="2509" priority="3259" stopIfTrue="1" operator="notEqual">
      <formula>H524</formula>
    </cfRule>
  </conditionalFormatting>
  <conditionalFormatting sqref="O521 M521 G521 K521 S521 U521 W521 I521 Q521">
    <cfRule type="cellIs" dxfId="2508" priority="3258" stopIfTrue="1" operator="notEqual">
      <formula>H521</formula>
    </cfRule>
  </conditionalFormatting>
  <conditionalFormatting sqref="O522 M522 G522 K522 S522 U522 W522 I522 Q522">
    <cfRule type="cellIs" dxfId="2507" priority="3257" stopIfTrue="1" operator="notEqual">
      <formula>H522</formula>
    </cfRule>
  </conditionalFormatting>
  <conditionalFormatting sqref="O523 M523 G523 K523 S523 U523 W523 I523 Q523">
    <cfRule type="cellIs" dxfId="2506" priority="3256" stopIfTrue="1" operator="notEqual">
      <formula>H523</formula>
    </cfRule>
  </conditionalFormatting>
  <conditionalFormatting sqref="O524 M524 G524 K524 S524 U524 W524 I524 Q524">
    <cfRule type="cellIs" dxfId="2505" priority="3255" stopIfTrue="1" operator="notEqual">
      <formula>H524</formula>
    </cfRule>
  </conditionalFormatting>
  <conditionalFormatting sqref="G521:G524">
    <cfRule type="cellIs" dxfId="2504" priority="3254" stopIfTrue="1" operator="notEqual">
      <formula>H521</formula>
    </cfRule>
  </conditionalFormatting>
  <conditionalFormatting sqref="G521">
    <cfRule type="cellIs" dxfId="2503" priority="3253" stopIfTrue="1" operator="notEqual">
      <formula>H521</formula>
    </cfRule>
  </conditionalFormatting>
  <conditionalFormatting sqref="G522">
    <cfRule type="cellIs" dxfId="2502" priority="3252" stopIfTrue="1" operator="notEqual">
      <formula>H522</formula>
    </cfRule>
  </conditionalFormatting>
  <conditionalFormatting sqref="G522">
    <cfRule type="cellIs" dxfId="2501" priority="3251" stopIfTrue="1" operator="notEqual">
      <formula>H522</formula>
    </cfRule>
  </conditionalFormatting>
  <conditionalFormatting sqref="G524">
    <cfRule type="cellIs" dxfId="2500" priority="3250" stopIfTrue="1" operator="notEqual">
      <formula>H524</formula>
    </cfRule>
  </conditionalFormatting>
  <conditionalFormatting sqref="O521 M521 G521 K521 S521 U521 W521 I521 Q521">
    <cfRule type="cellIs" dxfId="2499" priority="3249" stopIfTrue="1" operator="notEqual">
      <formula>H521</formula>
    </cfRule>
  </conditionalFormatting>
  <conditionalFormatting sqref="O522 M522 G522 K522 S522 U522 W522 I522 Q522">
    <cfRule type="cellIs" dxfId="2498" priority="3248" stopIfTrue="1" operator="notEqual">
      <formula>H522</formula>
    </cfRule>
  </conditionalFormatting>
  <conditionalFormatting sqref="O523 M523 G523 K523 S523 U523 W523 I523 Q523">
    <cfRule type="cellIs" dxfId="2497" priority="3247" stopIfTrue="1" operator="notEqual">
      <formula>H523</formula>
    </cfRule>
  </conditionalFormatting>
  <conditionalFormatting sqref="O524 M524 G524 K524 S524 U524 W524 I524 Q524">
    <cfRule type="cellIs" dxfId="2496" priority="3246" stopIfTrue="1" operator="notEqual">
      <formula>H524</formula>
    </cfRule>
  </conditionalFormatting>
  <conditionalFormatting sqref="G521">
    <cfRule type="cellIs" dxfId="2495" priority="3245" stopIfTrue="1" operator="notEqual">
      <formula>H521</formula>
    </cfRule>
  </conditionalFormatting>
  <conditionalFormatting sqref="G522">
    <cfRule type="cellIs" dxfId="2494" priority="3244" stopIfTrue="1" operator="notEqual">
      <formula>H522</formula>
    </cfRule>
  </conditionalFormatting>
  <conditionalFormatting sqref="G523">
    <cfRule type="cellIs" dxfId="2493" priority="3243" stopIfTrue="1" operator="notEqual">
      <formula>H523</formula>
    </cfRule>
  </conditionalFormatting>
  <conditionalFormatting sqref="G524">
    <cfRule type="cellIs" dxfId="2492" priority="3242" stopIfTrue="1" operator="notEqual">
      <formula>H524</formula>
    </cfRule>
  </conditionalFormatting>
  <conditionalFormatting sqref="G521">
    <cfRule type="cellIs" dxfId="2491" priority="3241" stopIfTrue="1" operator="notEqual">
      <formula>H521</formula>
    </cfRule>
  </conditionalFormatting>
  <conditionalFormatting sqref="G521">
    <cfRule type="cellIs" dxfId="2490" priority="3240" stopIfTrue="1" operator="notEqual">
      <formula>H521</formula>
    </cfRule>
  </conditionalFormatting>
  <conditionalFormatting sqref="G521">
    <cfRule type="cellIs" dxfId="2489" priority="3239" stopIfTrue="1" operator="notEqual">
      <formula>H521</formula>
    </cfRule>
  </conditionalFormatting>
  <conditionalFormatting sqref="G521">
    <cfRule type="cellIs" dxfId="2488" priority="3238" stopIfTrue="1" operator="notEqual">
      <formula>H521</formula>
    </cfRule>
  </conditionalFormatting>
  <conditionalFormatting sqref="G521">
    <cfRule type="cellIs" dxfId="2487" priority="3237" stopIfTrue="1" operator="notEqual">
      <formula>H521</formula>
    </cfRule>
  </conditionalFormatting>
  <conditionalFormatting sqref="G521">
    <cfRule type="cellIs" dxfId="2486" priority="3236" stopIfTrue="1" operator="notEqual">
      <formula>H521</formula>
    </cfRule>
  </conditionalFormatting>
  <conditionalFormatting sqref="O521 M521 G521 K521 S521 U521 W521 I521 Q521">
    <cfRule type="cellIs" dxfId="2485" priority="3235" stopIfTrue="1" operator="notEqual">
      <formula>H521</formula>
    </cfRule>
  </conditionalFormatting>
  <conditionalFormatting sqref="O522 M522 G522 K522 S522 U522 W522 I522 Q522">
    <cfRule type="cellIs" dxfId="2484" priority="3234" stopIfTrue="1" operator="notEqual">
      <formula>H522</formula>
    </cfRule>
  </conditionalFormatting>
  <conditionalFormatting sqref="O523 M523 G523 K523 S523 U523 W523 I523 Q523">
    <cfRule type="cellIs" dxfId="2483" priority="3233" stopIfTrue="1" operator="notEqual">
      <formula>H523</formula>
    </cfRule>
  </conditionalFormatting>
  <conditionalFormatting sqref="O524 M524 G524 K524 S524 U524 W524 I524 Q524">
    <cfRule type="cellIs" dxfId="2482" priority="3232" stopIfTrue="1" operator="notEqual">
      <formula>H524</formula>
    </cfRule>
  </conditionalFormatting>
  <conditionalFormatting sqref="O521 M521 G521 K521 S521 U521 W521 I521 Q521">
    <cfRule type="cellIs" dxfId="2481" priority="3231" stopIfTrue="1" operator="notEqual">
      <formula>H521</formula>
    </cfRule>
  </conditionalFormatting>
  <conditionalFormatting sqref="O522 M522 G522 K522 S522 U522 W522 I522 Q522">
    <cfRule type="cellIs" dxfId="2480" priority="3230" stopIfTrue="1" operator="notEqual">
      <formula>H522</formula>
    </cfRule>
  </conditionalFormatting>
  <conditionalFormatting sqref="O523 M523 G523 K523 S523 U523 W523 I523 Q523">
    <cfRule type="cellIs" dxfId="2479" priority="3229" stopIfTrue="1" operator="notEqual">
      <formula>H523</formula>
    </cfRule>
  </conditionalFormatting>
  <conditionalFormatting sqref="O521 M521 G521 K521 S521 U521 W521 I521 Q521">
    <cfRule type="cellIs" dxfId="2478" priority="3228" stopIfTrue="1" operator="notEqual">
      <formula>H521</formula>
    </cfRule>
  </conditionalFormatting>
  <conditionalFormatting sqref="O524 M524 G524 K524 S524 U524 W524 I524 Q524">
    <cfRule type="cellIs" dxfId="2477" priority="3227" stopIfTrue="1" operator="notEqual">
      <formula>H524</formula>
    </cfRule>
  </conditionalFormatting>
  <conditionalFormatting sqref="O521 M521 G521 K521 S521 U521 W521 I521 Q521">
    <cfRule type="cellIs" dxfId="2476" priority="3226" stopIfTrue="1" operator="notEqual">
      <formula>H521</formula>
    </cfRule>
  </conditionalFormatting>
  <conditionalFormatting sqref="O522 M522 G522 K522 S522 U522 W522 I522 Q522">
    <cfRule type="cellIs" dxfId="2475" priority="3225" stopIfTrue="1" operator="notEqual">
      <formula>H522</formula>
    </cfRule>
  </conditionalFormatting>
  <conditionalFormatting sqref="O523 M523 G523 K523 S523 U523 W523 I523 Q523">
    <cfRule type="cellIs" dxfId="2474" priority="3224" stopIfTrue="1" operator="notEqual">
      <formula>H523</formula>
    </cfRule>
  </conditionalFormatting>
  <conditionalFormatting sqref="O524 M524 G524 K524 S524 U524 W524 I524 Q524">
    <cfRule type="cellIs" dxfId="2473" priority="3223" stopIfTrue="1" operator="notEqual">
      <formula>H524</formula>
    </cfRule>
  </conditionalFormatting>
  <conditionalFormatting sqref="S527">
    <cfRule type="cellIs" dxfId="2472" priority="3222" stopIfTrue="1" operator="notEqual">
      <formula>T527</formula>
    </cfRule>
  </conditionalFormatting>
  <conditionalFormatting sqref="U527">
    <cfRule type="cellIs" dxfId="2471" priority="3221" stopIfTrue="1" operator="notEqual">
      <formula>V527</formula>
    </cfRule>
  </conditionalFormatting>
  <conditionalFormatting sqref="Q525:Q541 U525:U541 W525:W541 G525:G541 K525:K541 M525:M541 O525:O541 S525:S541 I525:I541">
    <cfRule type="cellIs" dxfId="2470" priority="3220" stopIfTrue="1" operator="notEqual">
      <formula>H525</formula>
    </cfRule>
  </conditionalFormatting>
  <conditionalFormatting sqref="S534">
    <cfRule type="cellIs" dxfId="2469" priority="3219" stopIfTrue="1" operator="notEqual">
      <formula>T534</formula>
    </cfRule>
  </conditionalFormatting>
  <conditionalFormatting sqref="S525:S541 W525:W541 G525:G541 M525:M541 O525:O541 Q525:Q541 U525:U541 K525:K541">
    <cfRule type="cellIs" dxfId="2468" priority="3218" stopIfTrue="1" operator="notEqual">
      <formula>H525</formula>
    </cfRule>
  </conditionalFormatting>
  <conditionalFormatting sqref="U534">
    <cfRule type="cellIs" dxfId="2467" priority="3217" stopIfTrue="1" operator="notEqual">
      <formula>V534</formula>
    </cfRule>
  </conditionalFormatting>
  <conditionalFormatting sqref="I525:I541">
    <cfRule type="cellIs" dxfId="2466" priority="3216" stopIfTrue="1" operator="notEqual">
      <formula>J525</formula>
    </cfRule>
  </conditionalFormatting>
  <conditionalFormatting sqref="G538">
    <cfRule type="cellIs" dxfId="2465" priority="3215" stopIfTrue="1" operator="notEqual">
      <formula>H538</formula>
    </cfRule>
  </conditionalFormatting>
  <conditionalFormatting sqref="G538">
    <cfRule type="cellIs" dxfId="2464" priority="3214" stopIfTrue="1" operator="notEqual">
      <formula>H538</formula>
    </cfRule>
  </conditionalFormatting>
  <conditionalFormatting sqref="G538">
    <cfRule type="cellIs" dxfId="2463" priority="3213" stopIfTrue="1" operator="notEqual">
      <formula>H538</formula>
    </cfRule>
  </conditionalFormatting>
  <conditionalFormatting sqref="G538">
    <cfRule type="cellIs" dxfId="2462" priority="3212" stopIfTrue="1" operator="notEqual">
      <formula>H538</formula>
    </cfRule>
  </conditionalFormatting>
  <conditionalFormatting sqref="G538">
    <cfRule type="cellIs" dxfId="2461" priority="3211" stopIfTrue="1" operator="notEqual">
      <formula>H538</formula>
    </cfRule>
  </conditionalFormatting>
  <conditionalFormatting sqref="G538">
    <cfRule type="cellIs" dxfId="2460" priority="3210" stopIfTrue="1" operator="notEqual">
      <formula>H538</formula>
    </cfRule>
  </conditionalFormatting>
  <conditionalFormatting sqref="G532:G541">
    <cfRule type="cellIs" dxfId="2459" priority="3209" stopIfTrue="1" operator="notEqual">
      <formula>H532</formula>
    </cfRule>
  </conditionalFormatting>
  <conditionalFormatting sqref="G525">
    <cfRule type="cellIs" dxfId="2458" priority="3208" stopIfTrue="1" operator="notEqual">
      <formula>H525</formula>
    </cfRule>
  </conditionalFormatting>
  <conditionalFormatting sqref="G526">
    <cfRule type="cellIs" dxfId="2457" priority="3207" stopIfTrue="1" operator="notEqual">
      <formula>H526</formula>
    </cfRule>
  </conditionalFormatting>
  <conditionalFormatting sqref="G527">
    <cfRule type="cellIs" dxfId="2456" priority="3206" stopIfTrue="1" operator="notEqual">
      <formula>H527</formula>
    </cfRule>
  </conditionalFormatting>
  <conditionalFormatting sqref="G528">
    <cfRule type="cellIs" dxfId="2455" priority="3205" stopIfTrue="1" operator="notEqual">
      <formula>H528</formula>
    </cfRule>
  </conditionalFormatting>
  <conditionalFormatting sqref="G529">
    <cfRule type="cellIs" dxfId="2454" priority="3204" stopIfTrue="1" operator="notEqual">
      <formula>H529</formula>
    </cfRule>
  </conditionalFormatting>
  <conditionalFormatting sqref="G530">
    <cfRule type="cellIs" dxfId="2453" priority="3203" stopIfTrue="1" operator="notEqual">
      <formula>H530</formula>
    </cfRule>
  </conditionalFormatting>
  <conditionalFormatting sqref="G531">
    <cfRule type="cellIs" dxfId="2452" priority="3202" stopIfTrue="1" operator="notEqual">
      <formula>H531</formula>
    </cfRule>
  </conditionalFormatting>
  <conditionalFormatting sqref="G525">
    <cfRule type="cellIs" dxfId="2451" priority="3201" stopIfTrue="1" operator="notEqual">
      <formula>H525</formula>
    </cfRule>
  </conditionalFormatting>
  <conditionalFormatting sqref="G526">
    <cfRule type="cellIs" dxfId="2450" priority="3200" stopIfTrue="1" operator="notEqual">
      <formula>H526</formula>
    </cfRule>
  </conditionalFormatting>
  <conditionalFormatting sqref="G527">
    <cfRule type="cellIs" dxfId="2449" priority="3199" stopIfTrue="1" operator="notEqual">
      <formula>H527</formula>
    </cfRule>
  </conditionalFormatting>
  <conditionalFormatting sqref="G528">
    <cfRule type="cellIs" dxfId="2448" priority="3198" stopIfTrue="1" operator="notEqual">
      <formula>H528</formula>
    </cfRule>
  </conditionalFormatting>
  <conditionalFormatting sqref="G529">
    <cfRule type="cellIs" dxfId="2447" priority="3197" stopIfTrue="1" operator="notEqual">
      <formula>H529</formula>
    </cfRule>
  </conditionalFormatting>
  <conditionalFormatting sqref="G530">
    <cfRule type="cellIs" dxfId="2446" priority="3196" stopIfTrue="1" operator="notEqual">
      <formula>H530</formula>
    </cfRule>
  </conditionalFormatting>
  <conditionalFormatting sqref="G531">
    <cfRule type="cellIs" dxfId="2445" priority="3195" stopIfTrue="1" operator="notEqual">
      <formula>H531</formula>
    </cfRule>
  </conditionalFormatting>
  <conditionalFormatting sqref="O525 M525 G525 K525 S525 U525 W525 I525 Q525">
    <cfRule type="cellIs" dxfId="2444" priority="3194" stopIfTrue="1" operator="notEqual">
      <formula>H525</formula>
    </cfRule>
  </conditionalFormatting>
  <conditionalFormatting sqref="O526 M526 G526 K526 S526 U526 W526 I526 Q526">
    <cfRule type="cellIs" dxfId="2443" priority="3193" stopIfTrue="1" operator="notEqual">
      <formula>H526</formula>
    </cfRule>
  </conditionalFormatting>
  <conditionalFormatting sqref="O527 M527 G527 K527 S527 U527 W527 I527 Q527">
    <cfRule type="cellIs" dxfId="2442" priority="3192" stopIfTrue="1" operator="notEqual">
      <formula>H527</formula>
    </cfRule>
  </conditionalFormatting>
  <conditionalFormatting sqref="O528 M528 G528 K528 S528 U528 W528 I528 Q528">
    <cfRule type="cellIs" dxfId="2441" priority="3191" stopIfTrue="1" operator="notEqual">
      <formula>H528</formula>
    </cfRule>
  </conditionalFormatting>
  <conditionalFormatting sqref="O529 M529 G529 K529 S529 U529 W529 I529 Q529">
    <cfRule type="cellIs" dxfId="2440" priority="3190" stopIfTrue="1" operator="notEqual">
      <formula>H529</formula>
    </cfRule>
  </conditionalFormatting>
  <conditionalFormatting sqref="O530 M530 G530 K530 S530 U530 W530 I530 Q530">
    <cfRule type="cellIs" dxfId="2439" priority="3189" stopIfTrue="1" operator="notEqual">
      <formula>H530</formula>
    </cfRule>
  </conditionalFormatting>
  <conditionalFormatting sqref="G530:G531">
    <cfRule type="cellIs" dxfId="2438" priority="3188" stopIfTrue="1" operator="notEqual">
      <formula>H530</formula>
    </cfRule>
  </conditionalFormatting>
  <conditionalFormatting sqref="G525">
    <cfRule type="cellIs" dxfId="2437" priority="3187" stopIfTrue="1" operator="notEqual">
      <formula>H525</formula>
    </cfRule>
  </conditionalFormatting>
  <conditionalFormatting sqref="G526">
    <cfRule type="cellIs" dxfId="2436" priority="3186" stopIfTrue="1" operator="notEqual">
      <formula>H526</formula>
    </cfRule>
  </conditionalFormatting>
  <conditionalFormatting sqref="G527">
    <cfRule type="cellIs" dxfId="2435" priority="3185" stopIfTrue="1" operator="notEqual">
      <formula>H527</formula>
    </cfRule>
  </conditionalFormatting>
  <conditionalFormatting sqref="G528">
    <cfRule type="cellIs" dxfId="2434" priority="3184" stopIfTrue="1" operator="notEqual">
      <formula>H528</formula>
    </cfRule>
  </conditionalFormatting>
  <conditionalFormatting sqref="G529">
    <cfRule type="cellIs" dxfId="2433" priority="3183" stopIfTrue="1" operator="notEqual">
      <formula>H529</formula>
    </cfRule>
  </conditionalFormatting>
  <conditionalFormatting sqref="G531">
    <cfRule type="cellIs" dxfId="2432" priority="3182" stopIfTrue="1" operator="notEqual">
      <formula>H531</formula>
    </cfRule>
  </conditionalFormatting>
  <conditionalFormatting sqref="O526:O531 M526:M531 G526:G531 K526:K531 S526:S531 U526:U531 W526:W531 I526:I531 Q526:Q531">
    <cfRule type="cellIs" dxfId="2431" priority="3181" stopIfTrue="1" operator="notEqual">
      <formula>H526</formula>
    </cfRule>
  </conditionalFormatting>
  <conditionalFormatting sqref="O525 M525 G525 K525 S525 U525 W525 I525 Q525">
    <cfRule type="cellIs" dxfId="2430" priority="3180" stopIfTrue="1" operator="notEqual">
      <formula>H525</formula>
    </cfRule>
  </conditionalFormatting>
  <conditionalFormatting sqref="O528 M528 G528 K528 S528 U528 W528 I528 Q528">
    <cfRule type="cellIs" dxfId="2429" priority="3179" stopIfTrue="1" operator="notEqual">
      <formula>H528</formula>
    </cfRule>
  </conditionalFormatting>
  <conditionalFormatting sqref="O529 M529 G529 K529 S529 U529 W529 I529 Q529">
    <cfRule type="cellIs" dxfId="2428" priority="3178" stopIfTrue="1" operator="notEqual">
      <formula>H529</formula>
    </cfRule>
  </conditionalFormatting>
  <conditionalFormatting sqref="O529 M529 G529 K529 S529 U529 W529 I529 Q529">
    <cfRule type="cellIs" dxfId="2427" priority="3177" stopIfTrue="1" operator="notEqual">
      <formula>H529</formula>
    </cfRule>
  </conditionalFormatting>
  <conditionalFormatting sqref="O527 M527 G527 K527 S527 U527 W527 I527 Q527">
    <cfRule type="cellIs" dxfId="2426" priority="3176" stopIfTrue="1" operator="notEqual">
      <formula>H527</formula>
    </cfRule>
  </conditionalFormatting>
  <conditionalFormatting sqref="O531 M531 G531 K531 S531 U531 W531 I531 Q531">
    <cfRule type="cellIs" dxfId="2425" priority="3175" stopIfTrue="1" operator="notEqual">
      <formula>H531</formula>
    </cfRule>
  </conditionalFormatting>
  <conditionalFormatting sqref="O525 M525 G525 K525 S525 U525 W525 I525 Q525">
    <cfRule type="cellIs" dxfId="2424" priority="3174" stopIfTrue="1" operator="notEqual">
      <formula>H525</formula>
    </cfRule>
  </conditionalFormatting>
  <conditionalFormatting sqref="O526 M526 G526 K526 S526 U526 W526 I526 Q526">
    <cfRule type="cellIs" dxfId="2423" priority="3173" stopIfTrue="1" operator="notEqual">
      <formula>H526</formula>
    </cfRule>
  </conditionalFormatting>
  <conditionalFormatting sqref="O527 M527 G527 K527 S527 U527 W527 I527 Q527">
    <cfRule type="cellIs" dxfId="2422" priority="3172" stopIfTrue="1" operator="notEqual">
      <formula>H527</formula>
    </cfRule>
  </conditionalFormatting>
  <conditionalFormatting sqref="O528 M528 G528 K528 S528 U528 W528 I528 Q528">
    <cfRule type="cellIs" dxfId="2421" priority="3171" stopIfTrue="1" operator="notEqual">
      <formula>H528</formula>
    </cfRule>
  </conditionalFormatting>
  <conditionalFormatting sqref="O529 M529 G529 K529 S529 U529 W529 I529 Q529">
    <cfRule type="cellIs" dxfId="2420" priority="3170" stopIfTrue="1" operator="notEqual">
      <formula>H529</formula>
    </cfRule>
  </conditionalFormatting>
  <conditionalFormatting sqref="O530 M530 G530 K530 S530 U530 W530 I530 Q530">
    <cfRule type="cellIs" dxfId="2419" priority="3169" stopIfTrue="1" operator="notEqual">
      <formula>H530</formula>
    </cfRule>
  </conditionalFormatting>
  <conditionalFormatting sqref="O531 M531 G531 K531 S531 U531 W531 I531 Q531">
    <cfRule type="cellIs" dxfId="2418" priority="3168" stopIfTrue="1" operator="notEqual">
      <formula>H531</formula>
    </cfRule>
  </conditionalFormatting>
  <conditionalFormatting sqref="G525">
    <cfRule type="cellIs" dxfId="2417" priority="3167" stopIfTrue="1" operator="notEqual">
      <formula>H525</formula>
    </cfRule>
  </conditionalFormatting>
  <conditionalFormatting sqref="G526">
    <cfRule type="cellIs" dxfId="2416" priority="3166" stopIfTrue="1" operator="notEqual">
      <formula>H526</formula>
    </cfRule>
  </conditionalFormatting>
  <conditionalFormatting sqref="G527">
    <cfRule type="cellIs" dxfId="2415" priority="3165" stopIfTrue="1" operator="notEqual">
      <formula>H527</formula>
    </cfRule>
  </conditionalFormatting>
  <conditionalFormatting sqref="G528">
    <cfRule type="cellIs" dxfId="2414" priority="3164" stopIfTrue="1" operator="notEqual">
      <formula>H528</formula>
    </cfRule>
  </conditionalFormatting>
  <conditionalFormatting sqref="G529">
    <cfRule type="cellIs" dxfId="2413" priority="3163" stopIfTrue="1" operator="notEqual">
      <formula>H529</formula>
    </cfRule>
  </conditionalFormatting>
  <conditionalFormatting sqref="G530">
    <cfRule type="cellIs" dxfId="2412" priority="3162" stopIfTrue="1" operator="notEqual">
      <formula>H530</formula>
    </cfRule>
  </conditionalFormatting>
  <conditionalFormatting sqref="G531">
    <cfRule type="cellIs" dxfId="2411" priority="3161" stopIfTrue="1" operator="notEqual">
      <formula>H531</formula>
    </cfRule>
  </conditionalFormatting>
  <conditionalFormatting sqref="G532:G541">
    <cfRule type="cellIs" dxfId="2410" priority="3160" stopIfTrue="1" operator="notEqual">
      <formula>H532</formula>
    </cfRule>
  </conditionalFormatting>
  <conditionalFormatting sqref="G533">
    <cfRule type="cellIs" dxfId="2409" priority="3159" stopIfTrue="1" operator="notEqual">
      <formula>H533</formula>
    </cfRule>
  </conditionalFormatting>
  <conditionalFormatting sqref="G534">
    <cfRule type="cellIs" dxfId="2408" priority="3158" stopIfTrue="1" operator="notEqual">
      <formula>H534</formula>
    </cfRule>
  </conditionalFormatting>
  <conditionalFormatting sqref="G535">
    <cfRule type="cellIs" dxfId="2407" priority="3157" stopIfTrue="1" operator="notEqual">
      <formula>H535</formula>
    </cfRule>
  </conditionalFormatting>
  <conditionalFormatting sqref="G536">
    <cfRule type="cellIs" dxfId="2406" priority="3156" stopIfTrue="1" operator="notEqual">
      <formula>H536</formula>
    </cfRule>
  </conditionalFormatting>
  <conditionalFormatting sqref="G537">
    <cfRule type="cellIs" dxfId="2405" priority="3155" stopIfTrue="1" operator="notEqual">
      <formula>H537</formula>
    </cfRule>
  </conditionalFormatting>
  <conditionalFormatting sqref="G538">
    <cfRule type="cellIs" dxfId="2404" priority="3154" stopIfTrue="1" operator="notEqual">
      <formula>H538</formula>
    </cfRule>
  </conditionalFormatting>
  <conditionalFormatting sqref="G539">
    <cfRule type="cellIs" dxfId="2403" priority="3153" stopIfTrue="1" operator="notEqual">
      <formula>H539</formula>
    </cfRule>
  </conditionalFormatting>
  <conditionalFormatting sqref="G540">
    <cfRule type="cellIs" dxfId="2402" priority="3152" stopIfTrue="1" operator="notEqual">
      <formula>H540</formula>
    </cfRule>
  </conditionalFormatting>
  <conditionalFormatting sqref="G541">
    <cfRule type="cellIs" dxfId="2401" priority="3151" stopIfTrue="1" operator="notEqual">
      <formula>H541</formula>
    </cfRule>
  </conditionalFormatting>
  <conditionalFormatting sqref="G542">
    <cfRule type="cellIs" dxfId="2400" priority="3150" stopIfTrue="1" operator="notEqual">
      <formula>H542</formula>
    </cfRule>
  </conditionalFormatting>
  <conditionalFormatting sqref="G543">
    <cfRule type="cellIs" dxfId="2399" priority="3149" stopIfTrue="1" operator="notEqual">
      <formula>H543</formula>
    </cfRule>
  </conditionalFormatting>
  <conditionalFormatting sqref="O525 M525 G525 K525 S525 U525 W525 I525 Q525">
    <cfRule type="cellIs" dxfId="2398" priority="3148" stopIfTrue="1" operator="notEqual">
      <formula>H525</formula>
    </cfRule>
  </conditionalFormatting>
  <conditionalFormatting sqref="O526 M526 G526 K526 S526 U526 W526 I526 Q526">
    <cfRule type="cellIs" dxfId="2397" priority="3147" stopIfTrue="1" operator="notEqual">
      <formula>H526</formula>
    </cfRule>
  </conditionalFormatting>
  <conditionalFormatting sqref="O527 M527 G527 K527 S527 U527 W527 I527 Q527">
    <cfRule type="cellIs" dxfId="2396" priority="3146" stopIfTrue="1" operator="notEqual">
      <formula>H527</formula>
    </cfRule>
  </conditionalFormatting>
  <conditionalFormatting sqref="O528 M528 G528 K528 S528 U528 W528 I528 Q528">
    <cfRule type="cellIs" dxfId="2395" priority="3145" stopIfTrue="1" operator="notEqual">
      <formula>H528</formula>
    </cfRule>
  </conditionalFormatting>
  <conditionalFormatting sqref="O529 M529 G529 K529 S529 U529 W529 I529 Q529">
    <cfRule type="cellIs" dxfId="2394" priority="3144" stopIfTrue="1" operator="notEqual">
      <formula>H529</formula>
    </cfRule>
  </conditionalFormatting>
  <conditionalFormatting sqref="O530 M530 G530 K530 S530 U530 W530 I530 Q530">
    <cfRule type="cellIs" dxfId="2393" priority="3143" stopIfTrue="1" operator="notEqual">
      <formula>H530</formula>
    </cfRule>
  </conditionalFormatting>
  <conditionalFormatting sqref="O531 M531 G531 K531 S531 U531 W531 I531 Q531">
    <cfRule type="cellIs" dxfId="2392" priority="3142" stopIfTrue="1" operator="notEqual">
      <formula>H531</formula>
    </cfRule>
  </conditionalFormatting>
  <conditionalFormatting sqref="O532:O541 M532:M541 G532:G541 K532:K541 S532:S541 U532:U541 W532:W541 I532:I541 Q532:Q541">
    <cfRule type="cellIs" dxfId="2391" priority="3141" stopIfTrue="1" operator="notEqual">
      <formula>H532</formula>
    </cfRule>
  </conditionalFormatting>
  <conditionalFormatting sqref="O533 M533 G533 K533 S533 U533 W533 I533 Q533">
    <cfRule type="cellIs" dxfId="2390" priority="3140" stopIfTrue="1" operator="notEqual">
      <formula>H533</formula>
    </cfRule>
  </conditionalFormatting>
  <conditionalFormatting sqref="O534 M534 G534 K534 S534 U534 W534 I534 Q534">
    <cfRule type="cellIs" dxfId="2389" priority="3139" stopIfTrue="1" operator="notEqual">
      <formula>H534</formula>
    </cfRule>
  </conditionalFormatting>
  <conditionalFormatting sqref="O535 M535 G535 K535 S535 U535 W535 I535 Q535">
    <cfRule type="cellIs" dxfId="2388" priority="3138" stopIfTrue="1" operator="notEqual">
      <formula>H535</formula>
    </cfRule>
  </conditionalFormatting>
  <conditionalFormatting sqref="G535:G536">
    <cfRule type="cellIs" dxfId="2387" priority="3137" stopIfTrue="1" operator="notEqual">
      <formula>H535</formula>
    </cfRule>
  </conditionalFormatting>
  <conditionalFormatting sqref="G525">
    <cfRule type="cellIs" dxfId="2386" priority="3136" stopIfTrue="1" operator="notEqual">
      <formula>H525</formula>
    </cfRule>
  </conditionalFormatting>
  <conditionalFormatting sqref="G526">
    <cfRule type="cellIs" dxfId="2385" priority="3135" stopIfTrue="1" operator="notEqual">
      <formula>H526</formula>
    </cfRule>
  </conditionalFormatting>
  <conditionalFormatting sqref="G527">
    <cfRule type="cellIs" dxfId="2384" priority="3134" stopIfTrue="1" operator="notEqual">
      <formula>H527</formula>
    </cfRule>
  </conditionalFormatting>
  <conditionalFormatting sqref="G528">
    <cfRule type="cellIs" dxfId="2383" priority="3133" stopIfTrue="1" operator="notEqual">
      <formula>H528</formula>
    </cfRule>
  </conditionalFormatting>
  <conditionalFormatting sqref="G529">
    <cfRule type="cellIs" dxfId="2382" priority="3132" stopIfTrue="1" operator="notEqual">
      <formula>H529</formula>
    </cfRule>
  </conditionalFormatting>
  <conditionalFormatting sqref="G530">
    <cfRule type="cellIs" dxfId="2381" priority="3131" stopIfTrue="1" operator="notEqual">
      <formula>H530</formula>
    </cfRule>
  </conditionalFormatting>
  <conditionalFormatting sqref="G531">
    <cfRule type="cellIs" dxfId="2380" priority="3130" stopIfTrue="1" operator="notEqual">
      <formula>H531</formula>
    </cfRule>
  </conditionalFormatting>
  <conditionalFormatting sqref="G532:G541">
    <cfRule type="cellIs" dxfId="2379" priority="3129" stopIfTrue="1" operator="notEqual">
      <formula>H532</formula>
    </cfRule>
  </conditionalFormatting>
  <conditionalFormatting sqref="G533">
    <cfRule type="cellIs" dxfId="2378" priority="3128" stopIfTrue="1" operator="notEqual">
      <formula>H533</formula>
    </cfRule>
  </conditionalFormatting>
  <conditionalFormatting sqref="G534">
    <cfRule type="cellIs" dxfId="2377" priority="3127" stopIfTrue="1" operator="notEqual">
      <formula>H534</formula>
    </cfRule>
  </conditionalFormatting>
  <conditionalFormatting sqref="G536">
    <cfRule type="cellIs" dxfId="2376" priority="3126" stopIfTrue="1" operator="notEqual">
      <formula>H536</formula>
    </cfRule>
  </conditionalFormatting>
  <conditionalFormatting sqref="O531:O541 M531:M541 G531:G541 K531:K541 S531:S541 U531:U541 W531:W541 I531:I541 Q531:Q541">
    <cfRule type="cellIs" dxfId="2375" priority="3125" stopIfTrue="1" operator="notEqual">
      <formula>H531</formula>
    </cfRule>
  </conditionalFormatting>
  <conditionalFormatting sqref="O525 M525 G525 K525 S525 U525 W525 I525 Q525">
    <cfRule type="cellIs" dxfId="2374" priority="3124" stopIfTrue="1" operator="notEqual">
      <formula>H525</formula>
    </cfRule>
  </conditionalFormatting>
  <conditionalFormatting sqref="O526 M526 G526 K526 S526 U526 W526 I526 Q526">
    <cfRule type="cellIs" dxfId="2373" priority="3123" stopIfTrue="1" operator="notEqual">
      <formula>H526</formula>
    </cfRule>
  </conditionalFormatting>
  <conditionalFormatting sqref="O527 M527 G527 K527 S527 U527 W527 I527 Q527">
    <cfRule type="cellIs" dxfId="2372" priority="3122" stopIfTrue="1" operator="notEqual">
      <formula>H527</formula>
    </cfRule>
  </conditionalFormatting>
  <conditionalFormatting sqref="O528 M528 G528 K528 S528 U528 W528 I528 Q528">
    <cfRule type="cellIs" dxfId="2371" priority="3121" stopIfTrue="1" operator="notEqual">
      <formula>H528</formula>
    </cfRule>
  </conditionalFormatting>
  <conditionalFormatting sqref="O529 M529 G529 K529 S529 U529 W529 I529 Q529">
    <cfRule type="cellIs" dxfId="2370" priority="3120" stopIfTrue="1" operator="notEqual">
      <formula>H529</formula>
    </cfRule>
  </conditionalFormatting>
  <conditionalFormatting sqref="O530 M530 G530 K530 S530 U530 W530 I530 Q530">
    <cfRule type="cellIs" dxfId="2369" priority="3119" stopIfTrue="1" operator="notEqual">
      <formula>H530</formula>
    </cfRule>
  </conditionalFormatting>
  <conditionalFormatting sqref="O533 M533 G533 K533 S533 U533 W533 I533 Q533">
    <cfRule type="cellIs" dxfId="2368" priority="3118" stopIfTrue="1" operator="notEqual">
      <formula>H533</formula>
    </cfRule>
  </conditionalFormatting>
  <conditionalFormatting sqref="O534 M534 G534 K534 S534 U534 W534 I534 Q534">
    <cfRule type="cellIs" dxfId="2367" priority="3117" stopIfTrue="1" operator="notEqual">
      <formula>H534</formula>
    </cfRule>
  </conditionalFormatting>
  <conditionalFormatting sqref="O534 M534 G534 K534 S534 U534 W534 I534 Q534">
    <cfRule type="cellIs" dxfId="2366" priority="3116" stopIfTrue="1" operator="notEqual">
      <formula>H534</formula>
    </cfRule>
  </conditionalFormatting>
  <conditionalFormatting sqref="O532:O541 M532:M541 G532:G541 K532:K541 S532:S541 U532:U541 W532:W541 I532:I541 Q532:Q541">
    <cfRule type="cellIs" dxfId="2365" priority="3115" stopIfTrue="1" operator="notEqual">
      <formula>H532</formula>
    </cfRule>
  </conditionalFormatting>
  <conditionalFormatting sqref="O536 M536 G536 K536 S536 U536 W536 I536 Q536">
    <cfRule type="cellIs" dxfId="2364" priority="3114" stopIfTrue="1" operator="notEqual">
      <formula>H536</formula>
    </cfRule>
  </conditionalFormatting>
  <conditionalFormatting sqref="O525 M525 G525 K525 S525 U525 W525 I525 Q525">
    <cfRule type="cellIs" dxfId="2363" priority="3113" stopIfTrue="1" operator="notEqual">
      <formula>H525</formula>
    </cfRule>
  </conditionalFormatting>
  <conditionalFormatting sqref="O526 M526 G526 K526 S526 U526 W526 I526 Q526">
    <cfRule type="cellIs" dxfId="2362" priority="3112" stopIfTrue="1" operator="notEqual">
      <formula>H526</formula>
    </cfRule>
  </conditionalFormatting>
  <conditionalFormatting sqref="O527 M527 G527 K527 S527 U527 W527 I527 Q527">
    <cfRule type="cellIs" dxfId="2361" priority="3111" stopIfTrue="1" operator="notEqual">
      <formula>H527</formula>
    </cfRule>
  </conditionalFormatting>
  <conditionalFormatting sqref="O528 M528 G528 K528 S528 U528 W528 I528 Q528">
    <cfRule type="cellIs" dxfId="2360" priority="3110" stopIfTrue="1" operator="notEqual">
      <formula>H528</formula>
    </cfRule>
  </conditionalFormatting>
  <conditionalFormatting sqref="O529 M529 G529 K529 S529 U529 W529 I529 Q529">
    <cfRule type="cellIs" dxfId="2359" priority="3109" stopIfTrue="1" operator="notEqual">
      <formula>H529</formula>
    </cfRule>
  </conditionalFormatting>
  <conditionalFormatting sqref="O530 M530 G530 K530 S530 U530 W530 I530 Q530">
    <cfRule type="cellIs" dxfId="2358" priority="3108" stopIfTrue="1" operator="notEqual">
      <formula>H530</formula>
    </cfRule>
  </conditionalFormatting>
  <conditionalFormatting sqref="O531 M531 G531 K531 S531 U531 W531 I531 Q531">
    <cfRule type="cellIs" dxfId="2357" priority="3107" stopIfTrue="1" operator="notEqual">
      <formula>H531</formula>
    </cfRule>
  </conditionalFormatting>
  <conditionalFormatting sqref="O532:O541 M532:M541 G532:G541 K532:K541 S532:S541 U532:U541 W532:W541 I532:I541 Q532:Q541">
    <cfRule type="cellIs" dxfId="2356" priority="3106" stopIfTrue="1" operator="notEqual">
      <formula>H532</formula>
    </cfRule>
  </conditionalFormatting>
  <conditionalFormatting sqref="O533 M533 G533 K533 S533 U533 W533 I533 Q533">
    <cfRule type="cellIs" dxfId="2355" priority="3105" stopIfTrue="1" operator="notEqual">
      <formula>H533</formula>
    </cfRule>
  </conditionalFormatting>
  <conditionalFormatting sqref="O534 M534 G534 K534 S534 U534 W534 I534 Q534">
    <cfRule type="cellIs" dxfId="2354" priority="3104" stopIfTrue="1" operator="notEqual">
      <formula>H534</formula>
    </cfRule>
  </conditionalFormatting>
  <conditionalFormatting sqref="O535 M535 G535 K535 S535 U535 W535 I535 Q535">
    <cfRule type="cellIs" dxfId="2353" priority="3103" stopIfTrue="1" operator="notEqual">
      <formula>H535</formula>
    </cfRule>
  </conditionalFormatting>
  <conditionalFormatting sqref="O536 M536 G536 K536 S536 U536 W536 I536 Q536">
    <cfRule type="cellIs" dxfId="2352" priority="3102" stopIfTrue="1" operator="notEqual">
      <formula>H536</formula>
    </cfRule>
  </conditionalFormatting>
  <conditionalFormatting sqref="G536:G539">
    <cfRule type="cellIs" dxfId="2351" priority="3101" stopIfTrue="1" operator="notEqual">
      <formula>H536</formula>
    </cfRule>
  </conditionalFormatting>
  <conditionalFormatting sqref="G536">
    <cfRule type="cellIs" dxfId="2350" priority="3100" stopIfTrue="1" operator="notEqual">
      <formula>H536</formula>
    </cfRule>
  </conditionalFormatting>
  <conditionalFormatting sqref="G537">
    <cfRule type="cellIs" dxfId="2349" priority="3099" stopIfTrue="1" operator="notEqual">
      <formula>H537</formula>
    </cfRule>
  </conditionalFormatting>
  <conditionalFormatting sqref="G537">
    <cfRule type="cellIs" dxfId="2348" priority="3098" stopIfTrue="1" operator="notEqual">
      <formula>H537</formula>
    </cfRule>
  </conditionalFormatting>
  <conditionalFormatting sqref="G540">
    <cfRule type="cellIs" dxfId="2347" priority="3097" stopIfTrue="1" operator="notEqual">
      <formula>H540</formula>
    </cfRule>
  </conditionalFormatting>
  <conditionalFormatting sqref="G541">
    <cfRule type="cellIs" dxfId="2346" priority="3096" stopIfTrue="1" operator="notEqual">
      <formula>H541</formula>
    </cfRule>
  </conditionalFormatting>
  <conditionalFormatting sqref="G539">
    <cfRule type="cellIs" dxfId="2345" priority="3095" stopIfTrue="1" operator="notEqual">
      <formula>H539</formula>
    </cfRule>
  </conditionalFormatting>
  <conditionalFormatting sqref="G542">
    <cfRule type="cellIs" dxfId="2344" priority="3094" stopIfTrue="1" operator="notEqual">
      <formula>H542</formula>
    </cfRule>
  </conditionalFormatting>
  <conditionalFormatting sqref="G543">
    <cfRule type="cellIs" dxfId="2343" priority="3093" stopIfTrue="1" operator="notEqual">
      <formula>H543</formula>
    </cfRule>
  </conditionalFormatting>
  <conditionalFormatting sqref="O536 M536 G536 K536 S536 U536 W536 I536 Q536">
    <cfRule type="cellIs" dxfId="2342" priority="3092" stopIfTrue="1" operator="notEqual">
      <formula>H536</formula>
    </cfRule>
  </conditionalFormatting>
  <conditionalFormatting sqref="O537 M537 G537 K537 S537 U537 W537 I537 Q537">
    <cfRule type="cellIs" dxfId="2341" priority="3091" stopIfTrue="1" operator="notEqual">
      <formula>H537</formula>
    </cfRule>
  </conditionalFormatting>
  <conditionalFormatting sqref="O538 M538 G538 K538 S538 U538 W538 I538 Q538">
    <cfRule type="cellIs" dxfId="2340" priority="3090" stopIfTrue="1" operator="notEqual">
      <formula>H538</formula>
    </cfRule>
  </conditionalFormatting>
  <conditionalFormatting sqref="O539 M539 G539 K539 S539 U539 W539 I539 Q539">
    <cfRule type="cellIs" dxfId="2339" priority="3089" stopIfTrue="1" operator="notEqual">
      <formula>H539</formula>
    </cfRule>
  </conditionalFormatting>
  <conditionalFormatting sqref="O540 M540 G540 K540 S540 U540 W540 I540 Q540">
    <cfRule type="cellIs" dxfId="2338" priority="3088" stopIfTrue="1" operator="notEqual">
      <formula>H540</formula>
    </cfRule>
  </conditionalFormatting>
  <conditionalFormatting sqref="O541 M541 G541 K541 S541 U541 W541 I541 Q541">
    <cfRule type="cellIs" dxfId="2337" priority="3087" stopIfTrue="1" operator="notEqual">
      <formula>H541</formula>
    </cfRule>
  </conditionalFormatting>
  <conditionalFormatting sqref="O542 M542 G542 K542 S542 U542 W542 I542 Q542">
    <cfRule type="cellIs" dxfId="2336" priority="3086" stopIfTrue="1" operator="notEqual">
      <formula>H542</formula>
    </cfRule>
  </conditionalFormatting>
  <conditionalFormatting sqref="O543 M543 G543 K543 S543 U543 W543 I543 Q543">
    <cfRule type="cellIs" dxfId="2335" priority="3085" stopIfTrue="1" operator="notEqual">
      <formula>H543</formula>
    </cfRule>
  </conditionalFormatting>
  <conditionalFormatting sqref="G536">
    <cfRule type="cellIs" dxfId="2334" priority="3084" stopIfTrue="1" operator="notEqual">
      <formula>H536</formula>
    </cfRule>
  </conditionalFormatting>
  <conditionalFormatting sqref="G537">
    <cfRule type="cellIs" dxfId="2333" priority="3083" stopIfTrue="1" operator="notEqual">
      <formula>H537</formula>
    </cfRule>
  </conditionalFormatting>
  <conditionalFormatting sqref="G538">
    <cfRule type="cellIs" dxfId="2332" priority="3082" stopIfTrue="1" operator="notEqual">
      <formula>H538</formula>
    </cfRule>
  </conditionalFormatting>
  <conditionalFormatting sqref="G539">
    <cfRule type="cellIs" dxfId="2331" priority="3081" stopIfTrue="1" operator="notEqual">
      <formula>H539</formula>
    </cfRule>
  </conditionalFormatting>
  <conditionalFormatting sqref="G540">
    <cfRule type="cellIs" dxfId="2330" priority="3080" stopIfTrue="1" operator="notEqual">
      <formula>H540</formula>
    </cfRule>
  </conditionalFormatting>
  <conditionalFormatting sqref="G541">
    <cfRule type="cellIs" dxfId="2329" priority="3079" stopIfTrue="1" operator="notEqual">
      <formula>H541</formula>
    </cfRule>
  </conditionalFormatting>
  <conditionalFormatting sqref="G542">
    <cfRule type="cellIs" dxfId="2328" priority="3078" stopIfTrue="1" operator="notEqual">
      <formula>H542</formula>
    </cfRule>
  </conditionalFormatting>
  <conditionalFormatting sqref="G543">
    <cfRule type="cellIs" dxfId="2327" priority="3077" stopIfTrue="1" operator="notEqual">
      <formula>H543</formula>
    </cfRule>
  </conditionalFormatting>
  <conditionalFormatting sqref="G536">
    <cfRule type="cellIs" dxfId="2326" priority="3076" stopIfTrue="1" operator="notEqual">
      <formula>H536</formula>
    </cfRule>
  </conditionalFormatting>
  <conditionalFormatting sqref="G536">
    <cfRule type="cellIs" dxfId="2325" priority="3075" stopIfTrue="1" operator="notEqual">
      <formula>H536</formula>
    </cfRule>
  </conditionalFormatting>
  <conditionalFormatting sqref="G536">
    <cfRule type="cellIs" dxfId="2324" priority="3074" stopIfTrue="1" operator="notEqual">
      <formula>H536</formula>
    </cfRule>
  </conditionalFormatting>
  <conditionalFormatting sqref="G536">
    <cfRule type="cellIs" dxfId="2323" priority="3073" stopIfTrue="1" operator="notEqual">
      <formula>H536</formula>
    </cfRule>
  </conditionalFormatting>
  <conditionalFormatting sqref="G536">
    <cfRule type="cellIs" dxfId="2322" priority="3072" stopIfTrue="1" operator="notEqual">
      <formula>H536</formula>
    </cfRule>
  </conditionalFormatting>
  <conditionalFormatting sqref="G536">
    <cfRule type="cellIs" dxfId="2321" priority="3071" stopIfTrue="1" operator="notEqual">
      <formula>H536</formula>
    </cfRule>
  </conditionalFormatting>
  <conditionalFormatting sqref="O536 M536 G536 K536 S536 U536 W536 I536 Q536">
    <cfRule type="cellIs" dxfId="2320" priority="3070" stopIfTrue="1" operator="notEqual">
      <formula>H536</formula>
    </cfRule>
  </conditionalFormatting>
  <conditionalFormatting sqref="O537 M537 G537 K537 S537 U537 W537 I537 Q537">
    <cfRule type="cellIs" dxfId="2319" priority="3069" stopIfTrue="1" operator="notEqual">
      <formula>H537</formula>
    </cfRule>
  </conditionalFormatting>
  <conditionalFormatting sqref="O538 M538 G538 K538 S538 U538 W538 I538 Q538">
    <cfRule type="cellIs" dxfId="2318" priority="3068" stopIfTrue="1" operator="notEqual">
      <formula>H538</formula>
    </cfRule>
  </conditionalFormatting>
  <conditionalFormatting sqref="O539 M539 G539 K539 S539 U539 W539 I539 Q539">
    <cfRule type="cellIs" dxfId="2317" priority="3067" stopIfTrue="1" operator="notEqual">
      <formula>H539</formula>
    </cfRule>
  </conditionalFormatting>
  <conditionalFormatting sqref="O540 M540 G540 K540 S540 U540 W540 I540 Q540">
    <cfRule type="cellIs" dxfId="2316" priority="3066" stopIfTrue="1" operator="notEqual">
      <formula>H540</formula>
    </cfRule>
  </conditionalFormatting>
  <conditionalFormatting sqref="O541 M541 G541 K541 S541 U541 W541 I541 Q541">
    <cfRule type="cellIs" dxfId="2315" priority="3065" stopIfTrue="1" operator="notEqual">
      <formula>H541</formula>
    </cfRule>
  </conditionalFormatting>
  <conditionalFormatting sqref="O542 M542 G542 K542 S542 U542 W542 I542 Q542">
    <cfRule type="cellIs" dxfId="2314" priority="3064" stopIfTrue="1" operator="notEqual">
      <formula>H542</formula>
    </cfRule>
  </conditionalFormatting>
  <conditionalFormatting sqref="O543 M543 G543 K543 S543 U543 W543 I543 Q543">
    <cfRule type="cellIs" dxfId="2313" priority="3063" stopIfTrue="1" operator="notEqual">
      <formula>H543</formula>
    </cfRule>
  </conditionalFormatting>
  <conditionalFormatting sqref="O536 M536 G536 K536 S536 U536 W536 I536 Q536">
    <cfRule type="cellIs" dxfId="2312" priority="3062" stopIfTrue="1" operator="notEqual">
      <formula>H536</formula>
    </cfRule>
  </conditionalFormatting>
  <conditionalFormatting sqref="O537 M537 G537 K537 S537 U537 W537 I537 Q537">
    <cfRule type="cellIs" dxfId="2311" priority="3061" stopIfTrue="1" operator="notEqual">
      <formula>H537</formula>
    </cfRule>
  </conditionalFormatting>
  <conditionalFormatting sqref="O538 M538 G538 K538 S538 U538 W538 I538 Q538">
    <cfRule type="cellIs" dxfId="2310" priority="3060" stopIfTrue="1" operator="notEqual">
      <formula>H538</formula>
    </cfRule>
  </conditionalFormatting>
  <conditionalFormatting sqref="O536 M536 G536 K536 S536 U536 W536 I536 Q536">
    <cfRule type="cellIs" dxfId="2309" priority="3059" stopIfTrue="1" operator="notEqual">
      <formula>H536</formula>
    </cfRule>
  </conditionalFormatting>
  <conditionalFormatting sqref="O539 M539 G539 K539 S539 U539 W539 I539 Q539">
    <cfRule type="cellIs" dxfId="2308" priority="3058" stopIfTrue="1" operator="notEqual">
      <formula>H539</formula>
    </cfRule>
  </conditionalFormatting>
  <conditionalFormatting sqref="O540 M540 G540 K540 S540 U540 W540 I540 Q540">
    <cfRule type="cellIs" dxfId="2307" priority="3057" stopIfTrue="1" operator="notEqual">
      <formula>H540</formula>
    </cfRule>
  </conditionalFormatting>
  <conditionalFormatting sqref="O541 M541 G541 K541 S541 U541 W541 I541 Q541">
    <cfRule type="cellIs" dxfId="2306" priority="3056" stopIfTrue="1" operator="notEqual">
      <formula>H541</formula>
    </cfRule>
  </conditionalFormatting>
  <conditionalFormatting sqref="O542 M542 G542 K542 S542 U542 W542 I542 Q542">
    <cfRule type="cellIs" dxfId="2305" priority="3055" stopIfTrue="1" operator="notEqual">
      <formula>H542</formula>
    </cfRule>
  </conditionalFormatting>
  <conditionalFormatting sqref="O543 M543 G543 K543 S543 U543 W543 I543 Q543">
    <cfRule type="cellIs" dxfId="2304" priority="3054" stopIfTrue="1" operator="notEqual">
      <formula>H543</formula>
    </cfRule>
  </conditionalFormatting>
  <conditionalFormatting sqref="G525">
    <cfRule type="cellIs" dxfId="2303" priority="3053" stopIfTrue="1" operator="notEqual">
      <formula>H525</formula>
    </cfRule>
  </conditionalFormatting>
  <conditionalFormatting sqref="G526">
    <cfRule type="cellIs" dxfId="2302" priority="3052" stopIfTrue="1" operator="notEqual">
      <formula>H526</formula>
    </cfRule>
  </conditionalFormatting>
  <conditionalFormatting sqref="G527">
    <cfRule type="cellIs" dxfId="2301" priority="3051" stopIfTrue="1" operator="notEqual">
      <formula>H527</formula>
    </cfRule>
  </conditionalFormatting>
  <conditionalFormatting sqref="G528">
    <cfRule type="cellIs" dxfId="2300" priority="3050" stopIfTrue="1" operator="notEqual">
      <formula>H528</formula>
    </cfRule>
  </conditionalFormatting>
  <conditionalFormatting sqref="G529">
    <cfRule type="cellIs" dxfId="2299" priority="3049" stopIfTrue="1" operator="notEqual">
      <formula>H529</formula>
    </cfRule>
  </conditionalFormatting>
  <conditionalFormatting sqref="G530">
    <cfRule type="cellIs" dxfId="2298" priority="3048" stopIfTrue="1" operator="notEqual">
      <formula>H530</formula>
    </cfRule>
  </conditionalFormatting>
  <conditionalFormatting sqref="G531">
    <cfRule type="cellIs" dxfId="2297" priority="3047" stopIfTrue="1" operator="notEqual">
      <formula>H531</formula>
    </cfRule>
  </conditionalFormatting>
  <conditionalFormatting sqref="G532:G541">
    <cfRule type="cellIs" dxfId="2296" priority="3046" stopIfTrue="1" operator="notEqual">
      <formula>H532</formula>
    </cfRule>
  </conditionalFormatting>
  <conditionalFormatting sqref="G533">
    <cfRule type="cellIs" dxfId="2295" priority="3045" stopIfTrue="1" operator="notEqual">
      <formula>H533</formula>
    </cfRule>
  </conditionalFormatting>
  <conditionalFormatting sqref="G534">
    <cfRule type="cellIs" dxfId="2294" priority="3044" stopIfTrue="1" operator="notEqual">
      <formula>H534</formula>
    </cfRule>
  </conditionalFormatting>
  <conditionalFormatting sqref="G535">
    <cfRule type="cellIs" dxfId="2293" priority="3043" stopIfTrue="1" operator="notEqual">
      <formula>H535</formula>
    </cfRule>
  </conditionalFormatting>
  <conditionalFormatting sqref="G536">
    <cfRule type="cellIs" dxfId="2292" priority="3042" stopIfTrue="1" operator="notEqual">
      <formula>H536</formula>
    </cfRule>
  </conditionalFormatting>
  <conditionalFormatting sqref="G537">
    <cfRule type="cellIs" dxfId="2291" priority="3041" stopIfTrue="1" operator="notEqual">
      <formula>H537</formula>
    </cfRule>
  </conditionalFormatting>
  <conditionalFormatting sqref="G538">
    <cfRule type="cellIs" dxfId="2290" priority="3040" stopIfTrue="1" operator="notEqual">
      <formula>H538</formula>
    </cfRule>
  </conditionalFormatting>
  <conditionalFormatting sqref="G525">
    <cfRule type="cellIs" dxfId="2289" priority="3039" stopIfTrue="1" operator="notEqual">
      <formula>H525</formula>
    </cfRule>
  </conditionalFormatting>
  <conditionalFormatting sqref="G525">
    <cfRule type="cellIs" dxfId="2288" priority="3038" stopIfTrue="1" operator="notEqual">
      <formula>H525</formula>
    </cfRule>
  </conditionalFormatting>
  <conditionalFormatting sqref="G525">
    <cfRule type="cellIs" dxfId="2287" priority="3037" stopIfTrue="1" operator="notEqual">
      <formula>H525</formula>
    </cfRule>
  </conditionalFormatting>
  <conditionalFormatting sqref="G525">
    <cfRule type="cellIs" dxfId="2286" priority="3036" stopIfTrue="1" operator="notEqual">
      <formula>H525</formula>
    </cfRule>
  </conditionalFormatting>
  <conditionalFormatting sqref="G525">
    <cfRule type="cellIs" dxfId="2285" priority="3035" stopIfTrue="1" operator="notEqual">
      <formula>H525</formula>
    </cfRule>
  </conditionalFormatting>
  <conditionalFormatting sqref="G525">
    <cfRule type="cellIs" dxfId="2284" priority="3034" stopIfTrue="1" operator="notEqual">
      <formula>H525</formula>
    </cfRule>
  </conditionalFormatting>
  <conditionalFormatting sqref="G541">
    <cfRule type="cellIs" dxfId="2283" priority="3033" stopIfTrue="1" operator="notEqual">
      <formula>H541</formula>
    </cfRule>
  </conditionalFormatting>
  <conditionalFormatting sqref="G542">
    <cfRule type="cellIs" dxfId="2282" priority="3032" stopIfTrue="1" operator="notEqual">
      <formula>H542</formula>
    </cfRule>
  </conditionalFormatting>
  <conditionalFormatting sqref="G542">
    <cfRule type="cellIs" dxfId="2281" priority="3031" stopIfTrue="1" operator="notEqual">
      <formula>H542</formula>
    </cfRule>
  </conditionalFormatting>
  <conditionalFormatting sqref="G540">
    <cfRule type="cellIs" dxfId="2280" priority="3030" stopIfTrue="1" operator="notEqual">
      <formula>H540</formula>
    </cfRule>
  </conditionalFormatting>
  <conditionalFormatting sqref="O535:O540 M535:M540 G535:G540 K535:K540 S535:S540 U535:U540 W535:W540 I535:I540 Q535:Q540">
    <cfRule type="cellIs" dxfId="2279" priority="3029" stopIfTrue="1" operator="notEqual">
      <formula>H535</formula>
    </cfRule>
  </conditionalFormatting>
  <conditionalFormatting sqref="O525 M525 G525 K525 S525 U525 W525 I525 Q525">
    <cfRule type="cellIs" dxfId="2278" priority="3028" stopIfTrue="1" operator="notEqual">
      <formula>H525</formula>
    </cfRule>
  </conditionalFormatting>
  <conditionalFormatting sqref="O526 M526 G526 K526 S526 U526 W526 I526 Q526">
    <cfRule type="cellIs" dxfId="2277" priority="3027" stopIfTrue="1" operator="notEqual">
      <formula>H526</formula>
    </cfRule>
  </conditionalFormatting>
  <conditionalFormatting sqref="O527 M527 G527 K527 S527 U527 W527 I527 Q527">
    <cfRule type="cellIs" dxfId="2276" priority="3026" stopIfTrue="1" operator="notEqual">
      <formula>H527</formula>
    </cfRule>
  </conditionalFormatting>
  <conditionalFormatting sqref="O528 M528 G528 K528 S528 U528 W528 I528 Q528">
    <cfRule type="cellIs" dxfId="2275" priority="3025" stopIfTrue="1" operator="notEqual">
      <formula>H528</formula>
    </cfRule>
  </conditionalFormatting>
  <conditionalFormatting sqref="O529 M529 G529 K529 S529 U529 W529 I529 Q529">
    <cfRule type="cellIs" dxfId="2274" priority="3024" stopIfTrue="1" operator="notEqual">
      <formula>H529</formula>
    </cfRule>
  </conditionalFormatting>
  <conditionalFormatting sqref="O530 M530 G530 K530 S530 U530 W530 I530 Q530">
    <cfRule type="cellIs" dxfId="2273" priority="3023" stopIfTrue="1" operator="notEqual">
      <formula>H530</formula>
    </cfRule>
  </conditionalFormatting>
  <conditionalFormatting sqref="O531 M531 G531 K531 S531 U531 W531 I531 Q531">
    <cfRule type="cellIs" dxfId="2272" priority="3022" stopIfTrue="1" operator="notEqual">
      <formula>H531</formula>
    </cfRule>
  </conditionalFormatting>
  <conditionalFormatting sqref="O532:O541 M532:M541 G532:G541 K532:K541 S532:S541 U532:U541 W532:W541 I532:I541 Q532:Q541">
    <cfRule type="cellIs" dxfId="2271" priority="3021" stopIfTrue="1" operator="notEqual">
      <formula>H532</formula>
    </cfRule>
  </conditionalFormatting>
  <conditionalFormatting sqref="O533 M533 G533 K533 S533 U533 W533 I533 Q533">
    <cfRule type="cellIs" dxfId="2270" priority="3020" stopIfTrue="1" operator="notEqual">
      <formula>H533</formula>
    </cfRule>
  </conditionalFormatting>
  <conditionalFormatting sqref="O534 M534 G534 K534 S534 U534 W534 I534 Q534">
    <cfRule type="cellIs" dxfId="2269" priority="3019" stopIfTrue="1" operator="notEqual">
      <formula>H534</formula>
    </cfRule>
  </conditionalFormatting>
  <conditionalFormatting sqref="O537 M537 G537 K537 S537 U537 W537 I537 Q537">
    <cfRule type="cellIs" dxfId="2268" priority="3018" stopIfTrue="1" operator="notEqual">
      <formula>H537</formula>
    </cfRule>
  </conditionalFormatting>
  <conditionalFormatting sqref="O538 M538 G538 K538 S538 U538 W538 I538 Q538">
    <cfRule type="cellIs" dxfId="2267" priority="3017" stopIfTrue="1" operator="notEqual">
      <formula>H538</formula>
    </cfRule>
  </conditionalFormatting>
  <conditionalFormatting sqref="O538 M538 G538 K538 S538 U538 W538 I538 Q538">
    <cfRule type="cellIs" dxfId="2266" priority="3016" stopIfTrue="1" operator="notEqual">
      <formula>H538</formula>
    </cfRule>
  </conditionalFormatting>
  <conditionalFormatting sqref="O536 M536 G536 K536 S536 U536 W536 I536 Q536">
    <cfRule type="cellIs" dxfId="2265" priority="3015" stopIfTrue="1" operator="notEqual">
      <formula>H536</formula>
    </cfRule>
  </conditionalFormatting>
  <conditionalFormatting sqref="O541 M541 G541 K541 S541 U541 W541 I541 Q541">
    <cfRule type="cellIs" dxfId="2264" priority="3014" stopIfTrue="1" operator="notEqual">
      <formula>H541</formula>
    </cfRule>
  </conditionalFormatting>
  <conditionalFormatting sqref="O542 M542 G542 K542 S542 U542 W542 I542 Q542">
    <cfRule type="cellIs" dxfId="2263" priority="3013" stopIfTrue="1" operator="notEqual">
      <formula>H542</formula>
    </cfRule>
  </conditionalFormatting>
  <conditionalFormatting sqref="O540 M540 G540 K540 S540 U540 W540 I540 Q540">
    <cfRule type="cellIs" dxfId="2262" priority="3012" stopIfTrue="1" operator="notEqual">
      <formula>H540</formula>
    </cfRule>
  </conditionalFormatting>
  <conditionalFormatting sqref="O543 M543 G543 K543 S543 U543 W543 I543 Q543">
    <cfRule type="cellIs" dxfId="2261" priority="3011" stopIfTrue="1" operator="notEqual">
      <formula>H543</formula>
    </cfRule>
  </conditionalFormatting>
  <conditionalFormatting sqref="O525 M525 G525 K525 S525 U525 W525 I525 Q525">
    <cfRule type="cellIs" dxfId="2260" priority="3010" stopIfTrue="1" operator="notEqual">
      <formula>H525</formula>
    </cfRule>
  </conditionalFormatting>
  <conditionalFormatting sqref="O526 M526 G526 K526 S526 U526 W526 I526 Q526">
    <cfRule type="cellIs" dxfId="2259" priority="3009" stopIfTrue="1" operator="notEqual">
      <formula>H526</formula>
    </cfRule>
  </conditionalFormatting>
  <conditionalFormatting sqref="O527 M527 G527 K527 S527 U527 W527 I527 Q527">
    <cfRule type="cellIs" dxfId="2258" priority="3008" stopIfTrue="1" operator="notEqual">
      <formula>H527</formula>
    </cfRule>
  </conditionalFormatting>
  <conditionalFormatting sqref="O525 M525 G525 K525 S525 U525 W525 I525 Q525">
    <cfRule type="cellIs" dxfId="2257" priority="3007" stopIfTrue="1" operator="notEqual">
      <formula>H525</formula>
    </cfRule>
  </conditionalFormatting>
  <conditionalFormatting sqref="O528 M528 G528 K528 S528 U528 W528 I528 Q528">
    <cfRule type="cellIs" dxfId="2256" priority="3006" stopIfTrue="1" operator="notEqual">
      <formula>H528</formula>
    </cfRule>
  </conditionalFormatting>
  <conditionalFormatting sqref="O529 M529 G529 K529 S529 U529 W529 I529 Q529">
    <cfRule type="cellIs" dxfId="2255" priority="3005" stopIfTrue="1" operator="notEqual">
      <formula>H529</formula>
    </cfRule>
  </conditionalFormatting>
  <conditionalFormatting sqref="O530 M530 G530 K530 S530 U530 W530 I530 Q530">
    <cfRule type="cellIs" dxfId="2254" priority="3004" stopIfTrue="1" operator="notEqual">
      <formula>H530</formula>
    </cfRule>
  </conditionalFormatting>
  <conditionalFormatting sqref="O531 M531 G531 K531 S531 U531 W531 I531 Q531">
    <cfRule type="cellIs" dxfId="2253" priority="3003" stopIfTrue="1" operator="notEqual">
      <formula>H531</formula>
    </cfRule>
  </conditionalFormatting>
  <conditionalFormatting sqref="O532:O541 M532:M541 G532:G541 K532:K541 S532:S541 U532:U541 W532:W541 I532:I541 Q532:Q541">
    <cfRule type="cellIs" dxfId="2252" priority="3002" stopIfTrue="1" operator="notEqual">
      <formula>H532</formula>
    </cfRule>
  </conditionalFormatting>
  <conditionalFormatting sqref="O533 M533 G533 K533 S533 U533 W533 I533 Q533">
    <cfRule type="cellIs" dxfId="2251" priority="3001" stopIfTrue="1" operator="notEqual">
      <formula>H533</formula>
    </cfRule>
  </conditionalFormatting>
  <conditionalFormatting sqref="O534 M534 G534 K534 S534 U534 W534 I534 Q534">
    <cfRule type="cellIs" dxfId="2250" priority="3000" stopIfTrue="1" operator="notEqual">
      <formula>H534</formula>
    </cfRule>
  </conditionalFormatting>
  <conditionalFormatting sqref="O535 M535 G535 K535 S535 U535 W535 I535 Q535">
    <cfRule type="cellIs" dxfId="2249" priority="2999" stopIfTrue="1" operator="notEqual">
      <formula>H535</formula>
    </cfRule>
  </conditionalFormatting>
  <conditionalFormatting sqref="O536 M536 G536 K536 S536 U536 W536 I536 Q536">
    <cfRule type="cellIs" dxfId="2248" priority="2998" stopIfTrue="1" operator="notEqual">
      <formula>H536</formula>
    </cfRule>
  </conditionalFormatting>
  <conditionalFormatting sqref="O537 M537 G537 K537 S537 U537 W537 I537 Q537">
    <cfRule type="cellIs" dxfId="2247" priority="2997" stopIfTrue="1" operator="notEqual">
      <formula>H537</formula>
    </cfRule>
  </conditionalFormatting>
  <conditionalFormatting sqref="O538 M538 G538 K538 S538 U538 W538 I538 Q538">
    <cfRule type="cellIs" dxfId="2246" priority="2996" stopIfTrue="1" operator="notEqual">
      <formula>H538</formula>
    </cfRule>
  </conditionalFormatting>
  <conditionalFormatting sqref="O539 M539 G539 K539 S539 U539 W539 I539 Q539">
    <cfRule type="cellIs" dxfId="2245" priority="2995" stopIfTrue="1" operator="notEqual">
      <formula>H539</formula>
    </cfRule>
  </conditionalFormatting>
  <conditionalFormatting sqref="O540 M540 G540 K540 S540 U540 W540 I540 Q540">
    <cfRule type="cellIs" dxfId="2244" priority="2994" stopIfTrue="1" operator="notEqual">
      <formula>H540</formula>
    </cfRule>
  </conditionalFormatting>
  <conditionalFormatting sqref="G541">
    <cfRule type="cellIs" dxfId="2243" priority="2993" stopIfTrue="1" operator="notEqual">
      <formula>H541</formula>
    </cfRule>
  </conditionalFormatting>
  <conditionalFormatting sqref="G542">
    <cfRule type="cellIs" dxfId="2242" priority="2992" stopIfTrue="1" operator="notEqual">
      <formula>H542</formula>
    </cfRule>
  </conditionalFormatting>
  <conditionalFormatting sqref="G543">
    <cfRule type="cellIs" dxfId="2241" priority="2991" stopIfTrue="1" operator="notEqual">
      <formula>H543</formula>
    </cfRule>
  </conditionalFormatting>
  <conditionalFormatting sqref="G541">
    <cfRule type="cellIs" dxfId="2240" priority="2990" stopIfTrue="1" operator="notEqual">
      <formula>H541</formula>
    </cfRule>
  </conditionalFormatting>
  <conditionalFormatting sqref="G541">
    <cfRule type="cellIs" dxfId="2239" priority="2989" stopIfTrue="1" operator="notEqual">
      <formula>H541</formula>
    </cfRule>
  </conditionalFormatting>
  <conditionalFormatting sqref="G541">
    <cfRule type="cellIs" dxfId="2238" priority="2988" stopIfTrue="1" operator="notEqual">
      <formula>H541</formula>
    </cfRule>
  </conditionalFormatting>
  <conditionalFormatting sqref="G541">
    <cfRule type="cellIs" dxfId="2237" priority="2987" stopIfTrue="1" operator="notEqual">
      <formula>H541</formula>
    </cfRule>
  </conditionalFormatting>
  <conditionalFormatting sqref="G541">
    <cfRule type="cellIs" dxfId="2236" priority="2986" stopIfTrue="1" operator="notEqual">
      <formula>H541</formula>
    </cfRule>
  </conditionalFormatting>
  <conditionalFormatting sqref="G541">
    <cfRule type="cellIs" dxfId="2235" priority="2985" stopIfTrue="1" operator="notEqual">
      <formula>H541</formula>
    </cfRule>
  </conditionalFormatting>
  <conditionalFormatting sqref="O541 M541 G541 K541 S541 U541 W541 I541 Q541">
    <cfRule type="cellIs" dxfId="2234" priority="2984" stopIfTrue="1" operator="notEqual">
      <formula>H541</formula>
    </cfRule>
  </conditionalFormatting>
  <conditionalFormatting sqref="O542 M542 G542 K542 S542 U542 W542 I542 Q542">
    <cfRule type="cellIs" dxfId="2233" priority="2983" stopIfTrue="1" operator="notEqual">
      <formula>H542</formula>
    </cfRule>
  </conditionalFormatting>
  <conditionalFormatting sqref="O543 M543 G543 K543 S543 U543 W543 I543 Q543">
    <cfRule type="cellIs" dxfId="2232" priority="2982" stopIfTrue="1" operator="notEqual">
      <formula>H543</formula>
    </cfRule>
  </conditionalFormatting>
  <conditionalFormatting sqref="O541 M541 G541 K541 S541 U541 W541 I541 Q541">
    <cfRule type="cellIs" dxfId="2231" priority="2981" stopIfTrue="1" operator="notEqual">
      <formula>H541</formula>
    </cfRule>
  </conditionalFormatting>
  <conditionalFormatting sqref="O542 M542 G542 K542 S542 U542 W542 I542 Q542">
    <cfRule type="cellIs" dxfId="2230" priority="2980" stopIfTrue="1" operator="notEqual">
      <formula>H542</formula>
    </cfRule>
  </conditionalFormatting>
  <conditionalFormatting sqref="O543 M543 G543 K543 S543 U543 W543 I543 Q543">
    <cfRule type="cellIs" dxfId="2229" priority="2979" stopIfTrue="1" operator="notEqual">
      <formula>H543</formula>
    </cfRule>
  </conditionalFormatting>
  <conditionalFormatting sqref="O541 M541 G541 K541 S541 U541 W541 I541 Q541">
    <cfRule type="cellIs" dxfId="2228" priority="2978" stopIfTrue="1" operator="notEqual">
      <formula>H541</formula>
    </cfRule>
  </conditionalFormatting>
  <conditionalFormatting sqref="O525:O529 M525:M529 G525:G529 K525:K529 S525:S529 U525:U529 W525:W529 I525:I529 Q525:Q529">
    <cfRule type="cellIs" dxfId="2227" priority="2977" stopIfTrue="1" operator="notEqual">
      <formula>H525</formula>
    </cfRule>
  </conditionalFormatting>
  <conditionalFormatting sqref="O526 M526 G526 K526 S526 U526 W526 I526 Q526">
    <cfRule type="cellIs" dxfId="2226" priority="2976" stopIfTrue="1" operator="notEqual">
      <formula>H526</formula>
    </cfRule>
  </conditionalFormatting>
  <conditionalFormatting sqref="O527 M527 G527 K527 S527 U527 W527 I527 Q527">
    <cfRule type="cellIs" dxfId="2225" priority="2975" stopIfTrue="1" operator="notEqual">
      <formula>H527</formula>
    </cfRule>
  </conditionalFormatting>
  <conditionalFormatting sqref="O527 M527 G527 K527 S527 U527 W527 I527 Q527">
    <cfRule type="cellIs" dxfId="2224" priority="2974" stopIfTrue="1" operator="notEqual">
      <formula>H527</formula>
    </cfRule>
  </conditionalFormatting>
  <conditionalFormatting sqref="O525 M525 G525 K525 S525 U525 W525 I525 Q525">
    <cfRule type="cellIs" dxfId="2223" priority="2973" stopIfTrue="1" operator="notEqual">
      <formula>H525</formula>
    </cfRule>
  </conditionalFormatting>
  <conditionalFormatting sqref="O530 M530 G530 K530 S530 U530 W530 I530 Q530">
    <cfRule type="cellIs" dxfId="2222" priority="2972" stopIfTrue="1" operator="notEqual">
      <formula>H530</formula>
    </cfRule>
  </conditionalFormatting>
  <conditionalFormatting sqref="O531 M531 G531 K531 S531 U531 W531 I531 Q531">
    <cfRule type="cellIs" dxfId="2221" priority="2971" stopIfTrue="1" operator="notEqual">
      <formula>H531</formula>
    </cfRule>
  </conditionalFormatting>
  <conditionalFormatting sqref="O529 M529 G529 K529 S529 U529 W529 I529 Q529">
    <cfRule type="cellIs" dxfId="2220" priority="2970" stopIfTrue="1" operator="notEqual">
      <formula>H529</formula>
    </cfRule>
  </conditionalFormatting>
  <conditionalFormatting sqref="O532:O541 M532:M541 G532:G541 K532:K541 S532:S541 U532:U541 W532:W541 I532:I541 Q532:Q541">
    <cfRule type="cellIs" dxfId="2219" priority="2969" stopIfTrue="1" operator="notEqual">
      <formula>H532</formula>
    </cfRule>
  </conditionalFormatting>
  <conditionalFormatting sqref="O533 M533 G533 K533 S533 U533 W533 I533 Q533">
    <cfRule type="cellIs" dxfId="2218" priority="2968" stopIfTrue="1" operator="notEqual">
      <formula>H533</formula>
    </cfRule>
  </conditionalFormatting>
  <conditionalFormatting sqref="O534 M534 G534 K534 S534 U534 W534 I534 Q534">
    <cfRule type="cellIs" dxfId="2217" priority="2967" stopIfTrue="1" operator="notEqual">
      <formula>H534</formula>
    </cfRule>
  </conditionalFormatting>
  <conditionalFormatting sqref="O535 M535 G535 K535 S535 U535 W535 I535 Q535">
    <cfRule type="cellIs" dxfId="2216" priority="2966" stopIfTrue="1" operator="notEqual">
      <formula>H535</formula>
    </cfRule>
  </conditionalFormatting>
  <conditionalFormatting sqref="O536 M536 G536 K536 S536 U536 W536 I536 Q536">
    <cfRule type="cellIs" dxfId="2215" priority="2965" stopIfTrue="1" operator="notEqual">
      <formula>H536</formula>
    </cfRule>
  </conditionalFormatting>
  <conditionalFormatting sqref="O537 M537 G537 K537 S537 U537 W537 I537 Q537">
    <cfRule type="cellIs" dxfId="2214" priority="2964" stopIfTrue="1" operator="notEqual">
      <formula>H537</formula>
    </cfRule>
  </conditionalFormatting>
  <conditionalFormatting sqref="O538 M538 G538 K538 S538 U538 W538 I538 Q538">
    <cfRule type="cellIs" dxfId="2213" priority="2963" stopIfTrue="1" operator="notEqual">
      <formula>H538</formula>
    </cfRule>
  </conditionalFormatting>
  <conditionalFormatting sqref="O539 M539 G539 K539 S539 U539 W539 I539 Q539">
    <cfRule type="cellIs" dxfId="2212" priority="2962" stopIfTrue="1" operator="notEqual">
      <formula>H539</formula>
    </cfRule>
  </conditionalFormatting>
  <conditionalFormatting sqref="O540 M540 G540 K540 S540 U540 W540 I540 Q540">
    <cfRule type="cellIs" dxfId="2211" priority="2961" stopIfTrue="1" operator="notEqual">
      <formula>H540</formula>
    </cfRule>
  </conditionalFormatting>
  <conditionalFormatting sqref="O541 M541 G541 K541 S541 U541 W541 I541 Q541">
    <cfRule type="cellIs" dxfId="2210" priority="2960" stopIfTrue="1" operator="notEqual">
      <formula>H541</formula>
    </cfRule>
  </conditionalFormatting>
  <conditionalFormatting sqref="O542 M542 G542 K542 S542 U542 W542 I542 Q542">
    <cfRule type="cellIs" dxfId="2209" priority="2959" stopIfTrue="1" operator="notEqual">
      <formula>H542</formula>
    </cfRule>
  </conditionalFormatting>
  <conditionalFormatting sqref="O543 M543 G543 K543 S543 U543 W543 I543 Q543">
    <cfRule type="cellIs" dxfId="2208" priority="2958" stopIfTrue="1" operator="notEqual">
      <formula>H543</formula>
    </cfRule>
  </conditionalFormatting>
  <conditionalFormatting sqref="S548">
    <cfRule type="cellIs" dxfId="2207" priority="2957" stopIfTrue="1" operator="notEqual">
      <formula>T548</formula>
    </cfRule>
  </conditionalFormatting>
  <conditionalFormatting sqref="U548">
    <cfRule type="cellIs" dxfId="2206" priority="2956" stopIfTrue="1" operator="notEqual">
      <formula>V548</formula>
    </cfRule>
  </conditionalFormatting>
  <conditionalFormatting sqref="Q550 U550 W550 G550 K550 M550 O550 S550 I550">
    <cfRule type="cellIs" dxfId="2205" priority="2955" stopIfTrue="1" operator="notEqual">
      <formula>H550</formula>
    </cfRule>
  </conditionalFormatting>
  <conditionalFormatting sqref="S550 W550 G550 M550 O550 Q550 U550 K550">
    <cfRule type="cellIs" dxfId="2204" priority="2954" stopIfTrue="1" operator="notEqual">
      <formula>H550</formula>
    </cfRule>
  </conditionalFormatting>
  <conditionalFormatting sqref="I550">
    <cfRule type="cellIs" dxfId="2203" priority="2953" stopIfTrue="1" operator="notEqual">
      <formula>J550</formula>
    </cfRule>
  </conditionalFormatting>
  <conditionalFormatting sqref="G546">
    <cfRule type="cellIs" dxfId="2202" priority="2952" stopIfTrue="1" operator="notEqual">
      <formula>H546</formula>
    </cfRule>
  </conditionalFormatting>
  <conditionalFormatting sqref="G544:G550">
    <cfRule type="cellIs" dxfId="2201" priority="2951" stopIfTrue="1" operator="notEqual">
      <formula>H544</formula>
    </cfRule>
  </conditionalFormatting>
  <conditionalFormatting sqref="G545">
    <cfRule type="cellIs" dxfId="2200" priority="2950" stopIfTrue="1" operator="notEqual">
      <formula>H545</formula>
    </cfRule>
  </conditionalFormatting>
  <conditionalFormatting sqref="G544:G550">
    <cfRule type="cellIs" dxfId="2199" priority="2949" stopIfTrue="1" operator="notEqual">
      <formula>H544</formula>
    </cfRule>
  </conditionalFormatting>
  <conditionalFormatting sqref="G545">
    <cfRule type="cellIs" dxfId="2198" priority="2948" stopIfTrue="1" operator="notEqual">
      <formula>H545</formula>
    </cfRule>
  </conditionalFormatting>
  <conditionalFormatting sqref="O544:O550 M544:M550 G544:G550 K544:K550 S544:S550 U544:U550 W544:W550 I544:I550 Q544:Q550">
    <cfRule type="cellIs" dxfId="2197" priority="2947" stopIfTrue="1" operator="notEqual">
      <formula>H544</formula>
    </cfRule>
  </conditionalFormatting>
  <conditionalFormatting sqref="G544:G550">
    <cfRule type="cellIs" dxfId="2196" priority="2946" stopIfTrue="1" operator="notEqual">
      <formula>H544</formula>
    </cfRule>
  </conditionalFormatting>
  <conditionalFormatting sqref="G545">
    <cfRule type="cellIs" dxfId="2195" priority="2945" stopIfTrue="1" operator="notEqual">
      <formula>H545</formula>
    </cfRule>
  </conditionalFormatting>
  <conditionalFormatting sqref="O545 M545 G545 K545 S545 U545 W545 I545 Q545">
    <cfRule type="cellIs" dxfId="2194" priority="2944" stopIfTrue="1" operator="notEqual">
      <formula>H545</formula>
    </cfRule>
  </conditionalFormatting>
  <conditionalFormatting sqref="O544:O550 M544:M550 G544:G550 K544:K550 S544:S550 U544:U550 W544:W550 I544:I550 Q544:Q550">
    <cfRule type="cellIs" dxfId="2193" priority="2943" stopIfTrue="1" operator="notEqual">
      <formula>H544</formula>
    </cfRule>
  </conditionalFormatting>
  <conditionalFormatting sqref="O545 M545 G545 K545 S545 U545 W545 I545 Q545">
    <cfRule type="cellIs" dxfId="2192" priority="2942" stopIfTrue="1" operator="notEqual">
      <formula>H545</formula>
    </cfRule>
  </conditionalFormatting>
  <conditionalFormatting sqref="G544:G550">
    <cfRule type="cellIs" dxfId="2191" priority="2941" stopIfTrue="1" operator="notEqual">
      <formula>H544</formula>
    </cfRule>
  </conditionalFormatting>
  <conditionalFormatting sqref="G545">
    <cfRule type="cellIs" dxfId="2190" priority="2940" stopIfTrue="1" operator="notEqual">
      <formula>H545</formula>
    </cfRule>
  </conditionalFormatting>
  <conditionalFormatting sqref="G546">
    <cfRule type="cellIs" dxfId="2189" priority="2939" stopIfTrue="1" operator="notEqual">
      <formula>H546</formula>
    </cfRule>
  </conditionalFormatting>
  <conditionalFormatting sqref="G547">
    <cfRule type="cellIs" dxfId="2188" priority="2938" stopIfTrue="1" operator="notEqual">
      <formula>H547</formula>
    </cfRule>
  </conditionalFormatting>
  <conditionalFormatting sqref="G548">
    <cfRule type="cellIs" dxfId="2187" priority="2937" stopIfTrue="1" operator="notEqual">
      <formula>H548</formula>
    </cfRule>
  </conditionalFormatting>
  <conditionalFormatting sqref="G549">
    <cfRule type="cellIs" dxfId="2186" priority="2936" stopIfTrue="1" operator="notEqual">
      <formula>H549</formula>
    </cfRule>
  </conditionalFormatting>
  <conditionalFormatting sqref="G550">
    <cfRule type="cellIs" dxfId="2185" priority="2935" stopIfTrue="1" operator="notEqual">
      <formula>H550</formula>
    </cfRule>
  </conditionalFormatting>
  <conditionalFormatting sqref="O544:O550 M544:M550 G544:G550 K544:K550 S544:S550 U544:U550 W544:W550 I544:I550 Q544:Q550">
    <cfRule type="cellIs" dxfId="2184" priority="2934" stopIfTrue="1" operator="notEqual">
      <formula>H544</formula>
    </cfRule>
  </conditionalFormatting>
  <conditionalFormatting sqref="O545 M545 G545 K545 S545 U545 W545 I545 Q545">
    <cfRule type="cellIs" dxfId="2183" priority="2933" stopIfTrue="1" operator="notEqual">
      <formula>H545</formula>
    </cfRule>
  </conditionalFormatting>
  <conditionalFormatting sqref="O546 M546 G546 K546 S546 U546 W546 I546 Q546">
    <cfRule type="cellIs" dxfId="2182" priority="2932" stopIfTrue="1" operator="notEqual">
      <formula>H546</formula>
    </cfRule>
  </conditionalFormatting>
  <conditionalFormatting sqref="O547 M547 G547 K547 S547 U547 W547 I547 Q547">
    <cfRule type="cellIs" dxfId="2181" priority="2931" stopIfTrue="1" operator="notEqual">
      <formula>H547</formula>
    </cfRule>
  </conditionalFormatting>
  <conditionalFormatting sqref="O548 M548 G548 K548 S548 U548 W548 I548 Q548">
    <cfRule type="cellIs" dxfId="2180" priority="2930" stopIfTrue="1" operator="notEqual">
      <formula>H548</formula>
    </cfRule>
  </conditionalFormatting>
  <conditionalFormatting sqref="O549 M549 G549 K549 S549 U549 W549 I549 Q549">
    <cfRule type="cellIs" dxfId="2179" priority="2929" stopIfTrue="1" operator="notEqual">
      <formula>H549</formula>
    </cfRule>
  </conditionalFormatting>
  <conditionalFormatting sqref="G549:G550">
    <cfRule type="cellIs" dxfId="2178" priority="2928" stopIfTrue="1" operator="notEqual">
      <formula>H549</formula>
    </cfRule>
  </conditionalFormatting>
  <conditionalFormatting sqref="G544:G550">
    <cfRule type="cellIs" dxfId="2177" priority="2927" stopIfTrue="1" operator="notEqual">
      <formula>H544</formula>
    </cfRule>
  </conditionalFormatting>
  <conditionalFormatting sqref="G545">
    <cfRule type="cellIs" dxfId="2176" priority="2926" stopIfTrue="1" operator="notEqual">
      <formula>H545</formula>
    </cfRule>
  </conditionalFormatting>
  <conditionalFormatting sqref="G546">
    <cfRule type="cellIs" dxfId="2175" priority="2925" stopIfTrue="1" operator="notEqual">
      <formula>H546</formula>
    </cfRule>
  </conditionalFormatting>
  <conditionalFormatting sqref="G547">
    <cfRule type="cellIs" dxfId="2174" priority="2924" stopIfTrue="1" operator="notEqual">
      <formula>H547</formula>
    </cfRule>
  </conditionalFormatting>
  <conditionalFormatting sqref="G548">
    <cfRule type="cellIs" dxfId="2173" priority="2923" stopIfTrue="1" operator="notEqual">
      <formula>H548</formula>
    </cfRule>
  </conditionalFormatting>
  <conditionalFormatting sqref="G550">
    <cfRule type="cellIs" dxfId="2172" priority="2922" stopIfTrue="1" operator="notEqual">
      <formula>H550</formula>
    </cfRule>
  </conditionalFormatting>
  <conditionalFormatting sqref="O545:O550 M545:M550 G545:G550 K545:K550 S545:S550 U545:U550 W545:W550 I545:I550 Q545:Q550">
    <cfRule type="cellIs" dxfId="2171" priority="2921" stopIfTrue="1" operator="notEqual">
      <formula>H545</formula>
    </cfRule>
  </conditionalFormatting>
  <conditionalFormatting sqref="O544:O550 M544:M550 G544:G550 K544:K550 S544:S550 U544:U550 W544:W550 I544:I550 Q544:Q550">
    <cfRule type="cellIs" dxfId="2170" priority="2920" stopIfTrue="1" operator="notEqual">
      <formula>H544</formula>
    </cfRule>
  </conditionalFormatting>
  <conditionalFormatting sqref="O547 M547 G547 K547 S547 U547 W547 I547 Q547">
    <cfRule type="cellIs" dxfId="2169" priority="2919" stopIfTrue="1" operator="notEqual">
      <formula>H547</formula>
    </cfRule>
  </conditionalFormatting>
  <conditionalFormatting sqref="O548 M548 G548 K548 S548 U548 W548 I548 Q548">
    <cfRule type="cellIs" dxfId="2168" priority="2918" stopIfTrue="1" operator="notEqual">
      <formula>H548</formula>
    </cfRule>
  </conditionalFormatting>
  <conditionalFormatting sqref="O548 M548 G548 K548 S548 U548 W548 I548 Q548">
    <cfRule type="cellIs" dxfId="2167" priority="2917" stopIfTrue="1" operator="notEqual">
      <formula>H548</formula>
    </cfRule>
  </conditionalFormatting>
  <conditionalFormatting sqref="O546 M546 G546 K546 S546 U546 W546 I546 Q546">
    <cfRule type="cellIs" dxfId="2166" priority="2916" stopIfTrue="1" operator="notEqual">
      <formula>H546</formula>
    </cfRule>
  </conditionalFormatting>
  <conditionalFormatting sqref="O550 M550 G550 K550 S550 U550 W550 I550 Q550">
    <cfRule type="cellIs" dxfId="2165" priority="2915" stopIfTrue="1" operator="notEqual">
      <formula>H550</formula>
    </cfRule>
  </conditionalFormatting>
  <conditionalFormatting sqref="O544:O550 M544:M550 G544:G550 K544:K550 S544:S550 U544:U550 W544:W550 I544:I550 Q544:Q550">
    <cfRule type="cellIs" dxfId="2164" priority="2914" stopIfTrue="1" operator="notEqual">
      <formula>H544</formula>
    </cfRule>
  </conditionalFormatting>
  <conditionalFormatting sqref="O545 M545 G545 K545 S545 U545 W545 I545 Q545">
    <cfRule type="cellIs" dxfId="2163" priority="2913" stopIfTrue="1" operator="notEqual">
      <formula>H545</formula>
    </cfRule>
  </conditionalFormatting>
  <conditionalFormatting sqref="O546 M546 G546 K546 S546 U546 W546 I546 Q546">
    <cfRule type="cellIs" dxfId="2162" priority="2912" stopIfTrue="1" operator="notEqual">
      <formula>H546</formula>
    </cfRule>
  </conditionalFormatting>
  <conditionalFormatting sqref="O547 M547 G547 K547 S547 U547 W547 I547 Q547">
    <cfRule type="cellIs" dxfId="2161" priority="2911" stopIfTrue="1" operator="notEqual">
      <formula>H547</formula>
    </cfRule>
  </conditionalFormatting>
  <conditionalFormatting sqref="O548 M548 G548 K548 S548 U548 W548 I548 Q548">
    <cfRule type="cellIs" dxfId="2160" priority="2910" stopIfTrue="1" operator="notEqual">
      <formula>H548</formula>
    </cfRule>
  </conditionalFormatting>
  <conditionalFormatting sqref="O549 M549 G549 K549 S549 U549 W549 I549 Q549">
    <cfRule type="cellIs" dxfId="2159" priority="2909" stopIfTrue="1" operator="notEqual">
      <formula>H549</formula>
    </cfRule>
  </conditionalFormatting>
  <conditionalFormatting sqref="O550 M550 G550 K550 S550 U550 W550 I550 Q550">
    <cfRule type="cellIs" dxfId="2158" priority="2908" stopIfTrue="1" operator="notEqual">
      <formula>H550</formula>
    </cfRule>
  </conditionalFormatting>
  <conditionalFormatting sqref="G550">
    <cfRule type="cellIs" dxfId="2157" priority="2907" stopIfTrue="1" operator="notEqual">
      <formula>H550</formula>
    </cfRule>
  </conditionalFormatting>
  <conditionalFormatting sqref="G550">
    <cfRule type="cellIs" dxfId="2156" priority="2906" stopIfTrue="1" operator="notEqual">
      <formula>H550</formula>
    </cfRule>
  </conditionalFormatting>
  <conditionalFormatting sqref="O550 M550 G550 K550 S550 U550 W550 I550 Q550">
    <cfRule type="cellIs" dxfId="2155" priority="2905" stopIfTrue="1" operator="notEqual">
      <formula>H550</formula>
    </cfRule>
  </conditionalFormatting>
  <conditionalFormatting sqref="G550">
    <cfRule type="cellIs" dxfId="2154" priority="2904" stopIfTrue="1" operator="notEqual">
      <formula>H550</formula>
    </cfRule>
  </conditionalFormatting>
  <conditionalFormatting sqref="G550">
    <cfRule type="cellIs" dxfId="2153" priority="2903" stopIfTrue="1" operator="notEqual">
      <formula>H550</formula>
    </cfRule>
  </conditionalFormatting>
  <conditionalFormatting sqref="G550">
    <cfRule type="cellIs" dxfId="2152" priority="2902" stopIfTrue="1" operator="notEqual">
      <formula>H550</formula>
    </cfRule>
  </conditionalFormatting>
  <conditionalFormatting sqref="G550">
    <cfRule type="cellIs" dxfId="2151" priority="2901" stopIfTrue="1" operator="notEqual">
      <formula>H550</formula>
    </cfRule>
  </conditionalFormatting>
  <conditionalFormatting sqref="G550">
    <cfRule type="cellIs" dxfId="2150" priority="2900" stopIfTrue="1" operator="notEqual">
      <formula>H550</formula>
    </cfRule>
  </conditionalFormatting>
  <conditionalFormatting sqref="G550">
    <cfRule type="cellIs" dxfId="2149" priority="2899" stopIfTrue="1" operator="notEqual">
      <formula>H550</formula>
    </cfRule>
  </conditionalFormatting>
  <conditionalFormatting sqref="G550">
    <cfRule type="cellIs" dxfId="2148" priority="2898" stopIfTrue="1" operator="notEqual">
      <formula>H550</formula>
    </cfRule>
  </conditionalFormatting>
  <conditionalFormatting sqref="O550 M550 G550 K550 S550 U550 W550 I550 Q550">
    <cfRule type="cellIs" dxfId="2147" priority="2897" stopIfTrue="1" operator="notEqual">
      <formula>H550</formula>
    </cfRule>
  </conditionalFormatting>
  <conditionalFormatting sqref="O550 M550 G550 K550 S550 U550 W550 I550 Q550">
    <cfRule type="cellIs" dxfId="2146" priority="2896" stopIfTrue="1" operator="notEqual">
      <formula>H550</formula>
    </cfRule>
  </conditionalFormatting>
  <conditionalFormatting sqref="O550 M550 G550 K550 S550 U550 W550 I550 Q550">
    <cfRule type="cellIs" dxfId="2145" priority="2895" stopIfTrue="1" operator="notEqual">
      <formula>H550</formula>
    </cfRule>
  </conditionalFormatting>
  <conditionalFormatting sqref="G544:G550">
    <cfRule type="cellIs" dxfId="2144" priority="2894" stopIfTrue="1" operator="notEqual">
      <formula>H544</formula>
    </cfRule>
  </conditionalFormatting>
  <conditionalFormatting sqref="G545">
    <cfRule type="cellIs" dxfId="2143" priority="2893" stopIfTrue="1" operator="notEqual">
      <formula>H545</formula>
    </cfRule>
  </conditionalFormatting>
  <conditionalFormatting sqref="G546">
    <cfRule type="cellIs" dxfId="2142" priority="2892" stopIfTrue="1" operator="notEqual">
      <formula>H546</formula>
    </cfRule>
  </conditionalFormatting>
  <conditionalFormatting sqref="G547">
    <cfRule type="cellIs" dxfId="2141" priority="2891" stopIfTrue="1" operator="notEqual">
      <formula>H547</formula>
    </cfRule>
  </conditionalFormatting>
  <conditionalFormatting sqref="G548">
    <cfRule type="cellIs" dxfId="2140" priority="2890" stopIfTrue="1" operator="notEqual">
      <formula>H548</formula>
    </cfRule>
  </conditionalFormatting>
  <conditionalFormatting sqref="G549">
    <cfRule type="cellIs" dxfId="2139" priority="2889" stopIfTrue="1" operator="notEqual">
      <formula>H549</formula>
    </cfRule>
  </conditionalFormatting>
  <conditionalFormatting sqref="G550">
    <cfRule type="cellIs" dxfId="2138" priority="2888" stopIfTrue="1" operator="notEqual">
      <formula>H550</formula>
    </cfRule>
  </conditionalFormatting>
  <conditionalFormatting sqref="O549:O550 M549:M550 G549:G550 K549:K550 S549:S550 U549:U550 W549:W550 I549:I550 Q549:Q550">
    <cfRule type="cellIs" dxfId="2137" priority="2887" stopIfTrue="1" operator="notEqual">
      <formula>H549</formula>
    </cfRule>
  </conditionalFormatting>
  <conditionalFormatting sqref="O544:O550 M544:M550 G544:G550 K544:K550 S544:S550 U544:U550 W544:W550 I544:I550 Q544:Q550">
    <cfRule type="cellIs" dxfId="2136" priority="2886" stopIfTrue="1" operator="notEqual">
      <formula>H544</formula>
    </cfRule>
  </conditionalFormatting>
  <conditionalFormatting sqref="O545 M545 G545 K545 S545 U545 W545 I545 Q545">
    <cfRule type="cellIs" dxfId="2135" priority="2885" stopIfTrue="1" operator="notEqual">
      <formula>H545</formula>
    </cfRule>
  </conditionalFormatting>
  <conditionalFormatting sqref="O546 M546 G546 K546 S546 U546 W546 I546 Q546">
    <cfRule type="cellIs" dxfId="2134" priority="2884" stopIfTrue="1" operator="notEqual">
      <formula>H546</formula>
    </cfRule>
  </conditionalFormatting>
  <conditionalFormatting sqref="O547 M547 G547 K547 S547 U547 W547 I547 Q547">
    <cfRule type="cellIs" dxfId="2133" priority="2883" stopIfTrue="1" operator="notEqual">
      <formula>H547</formula>
    </cfRule>
  </conditionalFormatting>
  <conditionalFormatting sqref="O548 M548 G548 K548 S548 U548 W548 I548 Q548">
    <cfRule type="cellIs" dxfId="2132" priority="2882" stopIfTrue="1" operator="notEqual">
      <formula>H548</formula>
    </cfRule>
  </conditionalFormatting>
  <conditionalFormatting sqref="O550 M550 G550 K550 S550 U550 W550 I550 Q550">
    <cfRule type="cellIs" dxfId="2131" priority="2881" stopIfTrue="1" operator="notEqual">
      <formula>H550</formula>
    </cfRule>
  </conditionalFormatting>
  <conditionalFormatting sqref="O544:O550 M544:M550 G544:G550 K544:K550 S544:S550 U544:U550 W544:W550 I544:I550 Q544:Q550">
    <cfRule type="cellIs" dxfId="2130" priority="2880" stopIfTrue="1" operator="notEqual">
      <formula>H544</formula>
    </cfRule>
  </conditionalFormatting>
  <conditionalFormatting sqref="O545 M545 G545 K545 S545 U545 W545 I545 Q545">
    <cfRule type="cellIs" dxfId="2129" priority="2879" stopIfTrue="1" operator="notEqual">
      <formula>H545</formula>
    </cfRule>
  </conditionalFormatting>
  <conditionalFormatting sqref="O546 M546 G546 K546 S546 U546 W546 I546 Q546">
    <cfRule type="cellIs" dxfId="2128" priority="2878" stopIfTrue="1" operator="notEqual">
      <formula>H546</formula>
    </cfRule>
  </conditionalFormatting>
  <conditionalFormatting sqref="O547 M547 G547 K547 S547 U547 W547 I547 Q547">
    <cfRule type="cellIs" dxfId="2127" priority="2877" stopIfTrue="1" operator="notEqual">
      <formula>H547</formula>
    </cfRule>
  </conditionalFormatting>
  <conditionalFormatting sqref="O548 M548 G548 K548 S548 U548 W548 I548 Q548">
    <cfRule type="cellIs" dxfId="2126" priority="2876" stopIfTrue="1" operator="notEqual">
      <formula>H548</formula>
    </cfRule>
  </conditionalFormatting>
  <conditionalFormatting sqref="O549 M549 G549 K549 S549 U549 W549 I549 Q549">
    <cfRule type="cellIs" dxfId="2125" priority="2875" stopIfTrue="1" operator="notEqual">
      <formula>H549</formula>
    </cfRule>
  </conditionalFormatting>
  <conditionalFormatting sqref="O550 M550 G550 K550 S550 U550 W550 I550 Q550">
    <cfRule type="cellIs" dxfId="2124" priority="2874" stopIfTrue="1" operator="notEqual">
      <formula>H550</formula>
    </cfRule>
  </conditionalFormatting>
  <conditionalFormatting sqref="O544:O550 M544:M550 G544:G550 K544:K550 S544:S550 U544:U550 W544:W550 I544:I550 Q544:Q550">
    <cfRule type="cellIs" dxfId="2123" priority="2873" stopIfTrue="1" operator="notEqual">
      <formula>H544</formula>
    </cfRule>
  </conditionalFormatting>
  <conditionalFormatting sqref="O545 M545 G545 K545 S545 U545 W545 I545 Q545">
    <cfRule type="cellIs" dxfId="2122" priority="2872" stopIfTrue="1" operator="notEqual">
      <formula>H545</formula>
    </cfRule>
  </conditionalFormatting>
  <conditionalFormatting sqref="O546 M546 G546 K546 S546 U546 W546 I546 Q546">
    <cfRule type="cellIs" dxfId="2121" priority="2871" stopIfTrue="1" operator="notEqual">
      <formula>H546</formula>
    </cfRule>
  </conditionalFormatting>
  <conditionalFormatting sqref="O547 M547 G547 K547 S547 U547 W547 I547 Q547">
    <cfRule type="cellIs" dxfId="2120" priority="2870" stopIfTrue="1" operator="notEqual">
      <formula>H547</formula>
    </cfRule>
  </conditionalFormatting>
  <conditionalFormatting sqref="O548 M548 G548 K548 S548 U548 W548 I548 Q548">
    <cfRule type="cellIs" dxfId="2119" priority="2869" stopIfTrue="1" operator="notEqual">
      <formula>H548</formula>
    </cfRule>
  </conditionalFormatting>
  <conditionalFormatting sqref="O549 M549 G549 K549 S549 U549 W549 I549 Q549">
    <cfRule type="cellIs" dxfId="2118" priority="2868" stopIfTrue="1" operator="notEqual">
      <formula>H549</formula>
    </cfRule>
  </conditionalFormatting>
  <conditionalFormatting sqref="O550 M550 G550 K550 S550 U550 W550 I550 Q550">
    <cfRule type="cellIs" dxfId="2117" priority="2867" stopIfTrue="1" operator="notEqual">
      <formula>H550</formula>
    </cfRule>
  </conditionalFormatting>
  <conditionalFormatting sqref="S558">
    <cfRule type="cellIs" dxfId="2116" priority="2865" stopIfTrue="1" operator="notEqual">
      <formula>T558</formula>
    </cfRule>
  </conditionalFormatting>
  <conditionalFormatting sqref="U558">
    <cfRule type="cellIs" dxfId="2115" priority="2864" stopIfTrue="1" operator="notEqual">
      <formula>V558</formula>
    </cfRule>
  </conditionalFormatting>
  <conditionalFormatting sqref="Q551:Q563 U551:U563 W551:W563 G551:G563 K551:K563 M551:M563 O551:O563 S551:S563 I551:I563">
    <cfRule type="cellIs" dxfId="2114" priority="2863" stopIfTrue="1" operator="notEqual">
      <formula>H551</formula>
    </cfRule>
  </conditionalFormatting>
  <conditionalFormatting sqref="S551:S563 W551:W563 G551:G563 M551:M563 O551:O563 Q551:Q563 U551:U563 K551:K563">
    <cfRule type="cellIs" dxfId="2113" priority="2862" stopIfTrue="1" operator="notEqual">
      <formula>H551</formula>
    </cfRule>
  </conditionalFormatting>
  <conditionalFormatting sqref="I551:I563">
    <cfRule type="cellIs" dxfId="2112" priority="2861" stopIfTrue="1" operator="notEqual">
      <formula>J551</formula>
    </cfRule>
  </conditionalFormatting>
  <conditionalFormatting sqref="G552">
    <cfRule type="cellIs" dxfId="2111" priority="2860" stopIfTrue="1" operator="notEqual">
      <formula>H552</formula>
    </cfRule>
  </conditionalFormatting>
  <conditionalFormatting sqref="G552">
    <cfRule type="cellIs" dxfId="2110" priority="2859" stopIfTrue="1" operator="notEqual">
      <formula>H552</formula>
    </cfRule>
  </conditionalFormatting>
  <conditionalFormatting sqref="G552">
    <cfRule type="cellIs" dxfId="2109" priority="2858" stopIfTrue="1" operator="notEqual">
      <formula>H552</formula>
    </cfRule>
  </conditionalFormatting>
  <conditionalFormatting sqref="G552">
    <cfRule type="cellIs" dxfId="2108" priority="2857" stopIfTrue="1" operator="notEqual">
      <formula>H552</formula>
    </cfRule>
  </conditionalFormatting>
  <conditionalFormatting sqref="G552">
    <cfRule type="cellIs" dxfId="2107" priority="2856" stopIfTrue="1" operator="notEqual">
      <formula>H552</formula>
    </cfRule>
  </conditionalFormatting>
  <conditionalFormatting sqref="G552">
    <cfRule type="cellIs" dxfId="2106" priority="2855" stopIfTrue="1" operator="notEqual">
      <formula>H552</formula>
    </cfRule>
  </conditionalFormatting>
  <conditionalFormatting sqref="G551">
    <cfRule type="cellIs" dxfId="2105" priority="2854" stopIfTrue="1" operator="notEqual">
      <formula>H551</formula>
    </cfRule>
  </conditionalFormatting>
  <conditionalFormatting sqref="G552">
    <cfRule type="cellIs" dxfId="2104" priority="2853" stopIfTrue="1" operator="notEqual">
      <formula>H552</formula>
    </cfRule>
  </conditionalFormatting>
  <conditionalFormatting sqref="G553">
    <cfRule type="cellIs" dxfId="2103" priority="2852" stopIfTrue="1" operator="notEqual">
      <formula>H553</formula>
    </cfRule>
  </conditionalFormatting>
  <conditionalFormatting sqref="G554">
    <cfRule type="cellIs" dxfId="2102" priority="2851" stopIfTrue="1" operator="notEqual">
      <formula>H554</formula>
    </cfRule>
  </conditionalFormatting>
  <conditionalFormatting sqref="G555:G563">
    <cfRule type="cellIs" dxfId="2101" priority="2850" stopIfTrue="1" operator="notEqual">
      <formula>H555</formula>
    </cfRule>
  </conditionalFormatting>
  <conditionalFormatting sqref="G556">
    <cfRule type="cellIs" dxfId="2100" priority="2849" stopIfTrue="1" operator="notEqual">
      <formula>H556</formula>
    </cfRule>
  </conditionalFormatting>
  <conditionalFormatting sqref="G557">
    <cfRule type="cellIs" dxfId="2099" priority="2848" stopIfTrue="1" operator="notEqual">
      <formula>H557</formula>
    </cfRule>
  </conditionalFormatting>
  <conditionalFormatting sqref="G558">
    <cfRule type="cellIs" dxfId="2098" priority="2847" stopIfTrue="1" operator="notEqual">
      <formula>H558</formula>
    </cfRule>
  </conditionalFormatting>
  <conditionalFormatting sqref="G551:G553">
    <cfRule type="cellIs" dxfId="2097" priority="2846" stopIfTrue="1" operator="notEqual">
      <formula>H551</formula>
    </cfRule>
  </conditionalFormatting>
  <conditionalFormatting sqref="G551">
    <cfRule type="cellIs" dxfId="2096" priority="2845" stopIfTrue="1" operator="notEqual">
      <formula>H551</formula>
    </cfRule>
  </conditionalFormatting>
  <conditionalFormatting sqref="G551">
    <cfRule type="cellIs" dxfId="2095" priority="2844" stopIfTrue="1" operator="notEqual">
      <formula>H551</formula>
    </cfRule>
  </conditionalFormatting>
  <conditionalFormatting sqref="G554">
    <cfRule type="cellIs" dxfId="2094" priority="2843" stopIfTrue="1" operator="notEqual">
      <formula>H554</formula>
    </cfRule>
  </conditionalFormatting>
  <conditionalFormatting sqref="G555:G563">
    <cfRule type="cellIs" dxfId="2093" priority="2842" stopIfTrue="1" operator="notEqual">
      <formula>H555</formula>
    </cfRule>
  </conditionalFormatting>
  <conditionalFormatting sqref="G553">
    <cfRule type="cellIs" dxfId="2092" priority="2841" stopIfTrue="1" operator="notEqual">
      <formula>H553</formula>
    </cfRule>
  </conditionalFormatting>
  <conditionalFormatting sqref="G556">
    <cfRule type="cellIs" dxfId="2091" priority="2840" stopIfTrue="1" operator="notEqual">
      <formula>H556</formula>
    </cfRule>
  </conditionalFormatting>
  <conditionalFormatting sqref="G557">
    <cfRule type="cellIs" dxfId="2090" priority="2839" stopIfTrue="1" operator="notEqual">
      <formula>H557</formula>
    </cfRule>
  </conditionalFormatting>
  <conditionalFormatting sqref="G558">
    <cfRule type="cellIs" dxfId="2089" priority="2838" stopIfTrue="1" operator="notEqual">
      <formula>H558</formula>
    </cfRule>
  </conditionalFormatting>
  <conditionalFormatting sqref="O551 M551 G551 K551 S551 U551 W551 I551 Q551">
    <cfRule type="cellIs" dxfId="2088" priority="2837" stopIfTrue="1" operator="notEqual">
      <formula>H551</formula>
    </cfRule>
  </conditionalFormatting>
  <conditionalFormatting sqref="O552 M552 G552 K552 S552 U552 W552 I552 Q552">
    <cfRule type="cellIs" dxfId="2087" priority="2836" stopIfTrue="1" operator="notEqual">
      <formula>H552</formula>
    </cfRule>
  </conditionalFormatting>
  <conditionalFormatting sqref="O553 M553 G553 K553 S553 U553 W553 I553 Q553">
    <cfRule type="cellIs" dxfId="2086" priority="2835" stopIfTrue="1" operator="notEqual">
      <formula>H553</formula>
    </cfRule>
  </conditionalFormatting>
  <conditionalFormatting sqref="O554 M554 G554 K554 S554 U554 W554 I554 Q554">
    <cfRule type="cellIs" dxfId="2085" priority="2834" stopIfTrue="1" operator="notEqual">
      <formula>H554</formula>
    </cfRule>
  </conditionalFormatting>
  <conditionalFormatting sqref="O555:O563 M555:M563 G555:G563 K555:K563 S555:S563 U555:U563 W555:W563 I555:I563 Q555:Q563">
    <cfRule type="cellIs" dxfId="2084" priority="2833" stopIfTrue="1" operator="notEqual">
      <formula>H555</formula>
    </cfRule>
  </conditionalFormatting>
  <conditionalFormatting sqref="O556 M556 G556 K556 S556 U556 W556 I556 Q556">
    <cfRule type="cellIs" dxfId="2083" priority="2832" stopIfTrue="1" operator="notEqual">
      <formula>H556</formula>
    </cfRule>
  </conditionalFormatting>
  <conditionalFormatting sqref="O557 M557 G557 K557 S557 U557 W557 I557 Q557">
    <cfRule type="cellIs" dxfId="2082" priority="2831" stopIfTrue="1" operator="notEqual">
      <formula>H557</formula>
    </cfRule>
  </conditionalFormatting>
  <conditionalFormatting sqref="O558 M558 G558 K558 S558 U558 W558 I558 Q558">
    <cfRule type="cellIs" dxfId="2081" priority="2830" stopIfTrue="1" operator="notEqual">
      <formula>H558</formula>
    </cfRule>
  </conditionalFormatting>
  <conditionalFormatting sqref="G551">
    <cfRule type="cellIs" dxfId="2080" priority="2829" stopIfTrue="1" operator="notEqual">
      <formula>H551</formula>
    </cfRule>
  </conditionalFormatting>
  <conditionalFormatting sqref="G552">
    <cfRule type="cellIs" dxfId="2079" priority="2828" stopIfTrue="1" operator="notEqual">
      <formula>H552</formula>
    </cfRule>
  </conditionalFormatting>
  <conditionalFormatting sqref="G553">
    <cfRule type="cellIs" dxfId="2078" priority="2827" stopIfTrue="1" operator="notEqual">
      <formula>H553</formula>
    </cfRule>
  </conditionalFormatting>
  <conditionalFormatting sqref="G554">
    <cfRule type="cellIs" dxfId="2077" priority="2826" stopIfTrue="1" operator="notEqual">
      <formula>H554</formula>
    </cfRule>
  </conditionalFormatting>
  <conditionalFormatting sqref="G555:G563">
    <cfRule type="cellIs" dxfId="2076" priority="2825" stopIfTrue="1" operator="notEqual">
      <formula>H555</formula>
    </cfRule>
  </conditionalFormatting>
  <conditionalFormatting sqref="G556">
    <cfRule type="cellIs" dxfId="2075" priority="2824" stopIfTrue="1" operator="notEqual">
      <formula>H556</formula>
    </cfRule>
  </conditionalFormatting>
  <conditionalFormatting sqref="G557">
    <cfRule type="cellIs" dxfId="2074" priority="2823" stopIfTrue="1" operator="notEqual">
      <formula>H557</formula>
    </cfRule>
  </conditionalFormatting>
  <conditionalFormatting sqref="G558">
    <cfRule type="cellIs" dxfId="2073" priority="2822" stopIfTrue="1" operator="notEqual">
      <formula>H558</formula>
    </cfRule>
  </conditionalFormatting>
  <conditionalFormatting sqref="O551 M551 G551 K551 S551 U551 W551 I551 Q551">
    <cfRule type="cellIs" dxfId="2072" priority="2821" stopIfTrue="1" operator="notEqual">
      <formula>H551</formula>
    </cfRule>
  </conditionalFormatting>
  <conditionalFormatting sqref="O552 M552 G552 K552 S552 U552 W552 I552 Q552">
    <cfRule type="cellIs" dxfId="2071" priority="2820" stopIfTrue="1" operator="notEqual">
      <formula>H552</formula>
    </cfRule>
  </conditionalFormatting>
  <conditionalFormatting sqref="O553 M553 G553 K553 S553 U553 W553 I553 Q553">
    <cfRule type="cellIs" dxfId="2070" priority="2819" stopIfTrue="1" operator="notEqual">
      <formula>H553</formula>
    </cfRule>
  </conditionalFormatting>
  <conditionalFormatting sqref="O554 M554 G554 K554 S554 U554 W554 I554 Q554">
    <cfRule type="cellIs" dxfId="2069" priority="2818" stopIfTrue="1" operator="notEqual">
      <formula>H554</formula>
    </cfRule>
  </conditionalFormatting>
  <conditionalFormatting sqref="O555:O563 M555:M563 G555:G563 K555:K563 S555:S563 U555:U563 W555:W563 I555:I563 Q555:Q563">
    <cfRule type="cellIs" dxfId="2068" priority="2817" stopIfTrue="1" operator="notEqual">
      <formula>H555</formula>
    </cfRule>
  </conditionalFormatting>
  <conditionalFormatting sqref="O556 M556 G556 K556 S556 U556 W556 I556 Q556">
    <cfRule type="cellIs" dxfId="2067" priority="2816" stopIfTrue="1" operator="notEqual">
      <formula>H556</formula>
    </cfRule>
  </conditionalFormatting>
  <conditionalFormatting sqref="O557 M557 G557 K557 S557 U557 W557 I557 Q557">
    <cfRule type="cellIs" dxfId="2066" priority="2815" stopIfTrue="1" operator="notEqual">
      <formula>H557</formula>
    </cfRule>
  </conditionalFormatting>
  <conditionalFormatting sqref="O558 M558 G558 K558 S558 U558 W558 I558 Q558">
    <cfRule type="cellIs" dxfId="2065" priority="2814" stopIfTrue="1" operator="notEqual">
      <formula>H558</formula>
    </cfRule>
  </conditionalFormatting>
  <conditionalFormatting sqref="O551 M551 G551 K551 S551 U551 W551 I551 Q551">
    <cfRule type="cellIs" dxfId="2064" priority="2813" stopIfTrue="1" operator="notEqual">
      <formula>H551</formula>
    </cfRule>
  </conditionalFormatting>
  <conditionalFormatting sqref="O552 M552 G552 K552 S552 U552 W552 I552 Q552">
    <cfRule type="cellIs" dxfId="2063" priority="2812" stopIfTrue="1" operator="notEqual">
      <formula>H552</formula>
    </cfRule>
  </conditionalFormatting>
  <conditionalFormatting sqref="O553 M553 G553 K553 S553 U553 W553 I553 Q553">
    <cfRule type="cellIs" dxfId="2062" priority="2811" stopIfTrue="1" operator="notEqual">
      <formula>H553</formula>
    </cfRule>
  </conditionalFormatting>
  <conditionalFormatting sqref="O554 M554 G554 K554 S554 U554 W554 I554 Q554">
    <cfRule type="cellIs" dxfId="2061" priority="2810" stopIfTrue="1" operator="notEqual">
      <formula>H554</formula>
    </cfRule>
  </conditionalFormatting>
  <conditionalFormatting sqref="O555:O563 M555:M563 G555:G563 K555:K563 S555:S563 U555:U563 W555:W563 I555:I563 Q555:Q563">
    <cfRule type="cellIs" dxfId="2060" priority="2809" stopIfTrue="1" operator="notEqual">
      <formula>H555</formula>
    </cfRule>
  </conditionalFormatting>
  <conditionalFormatting sqref="O556 M556 G556 K556 S556 U556 W556 I556 Q556">
    <cfRule type="cellIs" dxfId="2059" priority="2808" stopIfTrue="1" operator="notEqual">
      <formula>H556</formula>
    </cfRule>
  </conditionalFormatting>
  <conditionalFormatting sqref="O557 M557 G557 K557 S557 U557 W557 I557 Q557">
    <cfRule type="cellIs" dxfId="2058" priority="2807" stopIfTrue="1" operator="notEqual">
      <formula>H557</formula>
    </cfRule>
  </conditionalFormatting>
  <conditionalFormatting sqref="O558 M558 G558 K558 S558 U558 W558 I558 Q558">
    <cfRule type="cellIs" dxfId="2057" priority="2806" stopIfTrue="1" operator="notEqual">
      <formula>H558</formula>
    </cfRule>
  </conditionalFormatting>
  <conditionalFormatting sqref="G553:G563">
    <cfRule type="cellIs" dxfId="2056" priority="2805" stopIfTrue="1" operator="notEqual">
      <formula>H553</formula>
    </cfRule>
  </conditionalFormatting>
  <conditionalFormatting sqref="G551">
    <cfRule type="cellIs" dxfId="2055" priority="2804" stopIfTrue="1" operator="notEqual">
      <formula>H551</formula>
    </cfRule>
  </conditionalFormatting>
  <conditionalFormatting sqref="G552">
    <cfRule type="cellIs" dxfId="2054" priority="2803" stopIfTrue="1" operator="notEqual">
      <formula>H552</formula>
    </cfRule>
  </conditionalFormatting>
  <conditionalFormatting sqref="G555:G563">
    <cfRule type="cellIs" dxfId="2053" priority="2802" stopIfTrue="1" operator="notEqual">
      <formula>H555</formula>
    </cfRule>
  </conditionalFormatting>
  <conditionalFormatting sqref="G556">
    <cfRule type="cellIs" dxfId="2052" priority="2801" stopIfTrue="1" operator="notEqual">
      <formula>H556</formula>
    </cfRule>
  </conditionalFormatting>
  <conditionalFormatting sqref="G556">
    <cfRule type="cellIs" dxfId="2051" priority="2800" stopIfTrue="1" operator="notEqual">
      <formula>H556</formula>
    </cfRule>
  </conditionalFormatting>
  <conditionalFormatting sqref="G554">
    <cfRule type="cellIs" dxfId="2050" priority="2799" stopIfTrue="1" operator="notEqual">
      <formula>H554</formula>
    </cfRule>
  </conditionalFormatting>
  <conditionalFormatting sqref="G558">
    <cfRule type="cellIs" dxfId="2049" priority="2798" stopIfTrue="1" operator="notEqual">
      <formula>H558</formula>
    </cfRule>
  </conditionalFormatting>
  <conditionalFormatting sqref="O551:O554 M551:M554 G551:G554 K551:K554 S551:S554 U551:U554 W551:W554 I551:I554 Q551:Q554">
    <cfRule type="cellIs" dxfId="2048" priority="2797" stopIfTrue="1" operator="notEqual">
      <formula>H551</formula>
    </cfRule>
  </conditionalFormatting>
  <conditionalFormatting sqref="O551 M551 G551 K551 S551 U551 W551 I551 Q551">
    <cfRule type="cellIs" dxfId="2047" priority="2796" stopIfTrue="1" operator="notEqual">
      <formula>H551</formula>
    </cfRule>
  </conditionalFormatting>
  <conditionalFormatting sqref="O552 M552 G552 K552 S552 U552 W552 I552 Q552">
    <cfRule type="cellIs" dxfId="2046" priority="2795" stopIfTrue="1" operator="notEqual">
      <formula>H552</formula>
    </cfRule>
  </conditionalFormatting>
  <conditionalFormatting sqref="O552 M552 G552 K552 S552 U552 W552 I552 Q552">
    <cfRule type="cellIs" dxfId="2045" priority="2794" stopIfTrue="1" operator="notEqual">
      <formula>H552</formula>
    </cfRule>
  </conditionalFormatting>
  <conditionalFormatting sqref="O555:O563 M555:M563 G555:G563 K555:K563 S555:S563 U555:U563 W555:W563 I555:I563 Q555:Q563">
    <cfRule type="cellIs" dxfId="2044" priority="2793" stopIfTrue="1" operator="notEqual">
      <formula>H555</formula>
    </cfRule>
  </conditionalFormatting>
  <conditionalFormatting sqref="O556 M556 G556 K556 S556 U556 W556 I556 Q556">
    <cfRule type="cellIs" dxfId="2043" priority="2792" stopIfTrue="1" operator="notEqual">
      <formula>H556</formula>
    </cfRule>
  </conditionalFormatting>
  <conditionalFormatting sqref="O554 M554 G554 K554 S554 U554 W554 I554 Q554">
    <cfRule type="cellIs" dxfId="2042" priority="2791" stopIfTrue="1" operator="notEqual">
      <formula>H554</formula>
    </cfRule>
  </conditionalFormatting>
  <conditionalFormatting sqref="O557 M557 G557 K557 S557 U557 W557 I557 Q557">
    <cfRule type="cellIs" dxfId="2041" priority="2790" stopIfTrue="1" operator="notEqual">
      <formula>H557</formula>
    </cfRule>
  </conditionalFormatting>
  <conditionalFormatting sqref="O558 M558 G558 K558 S558 U558 W558 I558 Q558">
    <cfRule type="cellIs" dxfId="2040" priority="2789" stopIfTrue="1" operator="notEqual">
      <formula>H558</formula>
    </cfRule>
  </conditionalFormatting>
  <conditionalFormatting sqref="O551 M551 G551 K551 S551 U551 W551 I551 Q551">
    <cfRule type="cellIs" dxfId="2039" priority="2788" stopIfTrue="1" operator="notEqual">
      <formula>H551</formula>
    </cfRule>
  </conditionalFormatting>
  <conditionalFormatting sqref="O552 M552 G552 K552 S552 U552 W552 I552 Q552">
    <cfRule type="cellIs" dxfId="2038" priority="2787" stopIfTrue="1" operator="notEqual">
      <formula>H552</formula>
    </cfRule>
  </conditionalFormatting>
  <conditionalFormatting sqref="O553 M553 G553 K553 S553 U553 W553 I553 Q553">
    <cfRule type="cellIs" dxfId="2037" priority="2786" stopIfTrue="1" operator="notEqual">
      <formula>H553</formula>
    </cfRule>
  </conditionalFormatting>
  <conditionalFormatting sqref="O554 M554 G554 K554 S554 U554 W554 I554 Q554">
    <cfRule type="cellIs" dxfId="2036" priority="2785" stopIfTrue="1" operator="notEqual">
      <formula>H554</formula>
    </cfRule>
  </conditionalFormatting>
  <conditionalFormatting sqref="G555:G563">
    <cfRule type="cellIs" dxfId="2035" priority="2784" stopIfTrue="1" operator="notEqual">
      <formula>H555</formula>
    </cfRule>
  </conditionalFormatting>
  <conditionalFormatting sqref="G556">
    <cfRule type="cellIs" dxfId="2034" priority="2783" stopIfTrue="1" operator="notEqual">
      <formula>H556</formula>
    </cfRule>
  </conditionalFormatting>
  <conditionalFormatting sqref="G557">
    <cfRule type="cellIs" dxfId="2033" priority="2782" stopIfTrue="1" operator="notEqual">
      <formula>H557</formula>
    </cfRule>
  </conditionalFormatting>
  <conditionalFormatting sqref="G558">
    <cfRule type="cellIs" dxfId="2032" priority="2781" stopIfTrue="1" operator="notEqual">
      <formula>H558</formula>
    </cfRule>
  </conditionalFormatting>
  <conditionalFormatting sqref="G555:G563">
    <cfRule type="cellIs" dxfId="2031" priority="2780" stopIfTrue="1" operator="notEqual">
      <formula>H555</formula>
    </cfRule>
  </conditionalFormatting>
  <conditionalFormatting sqref="G555:G563">
    <cfRule type="cellIs" dxfId="2030" priority="2779" stopIfTrue="1" operator="notEqual">
      <formula>H555</formula>
    </cfRule>
  </conditionalFormatting>
  <conditionalFormatting sqref="G555:G563">
    <cfRule type="cellIs" dxfId="2029" priority="2778" stopIfTrue="1" operator="notEqual">
      <formula>H555</formula>
    </cfRule>
  </conditionalFormatting>
  <conditionalFormatting sqref="G555:G563">
    <cfRule type="cellIs" dxfId="2028" priority="2777" stopIfTrue="1" operator="notEqual">
      <formula>H555</formula>
    </cfRule>
  </conditionalFormatting>
  <conditionalFormatting sqref="G555:G563">
    <cfRule type="cellIs" dxfId="2027" priority="2776" stopIfTrue="1" operator="notEqual">
      <formula>H555</formula>
    </cfRule>
  </conditionalFormatting>
  <conditionalFormatting sqref="G555:G563">
    <cfRule type="cellIs" dxfId="2026" priority="2775" stopIfTrue="1" operator="notEqual">
      <formula>H555</formula>
    </cfRule>
  </conditionalFormatting>
  <conditionalFormatting sqref="O555:O563 M555:M563 G555:G563 K555:K563 S555:S563 U555:U563 W555:W563 I555:I563 Q555:Q563">
    <cfRule type="cellIs" dxfId="2025" priority="2774" stopIfTrue="1" operator="notEqual">
      <formula>H555</formula>
    </cfRule>
  </conditionalFormatting>
  <conditionalFormatting sqref="O556 M556 G556 K556 S556 U556 W556 I556 Q556">
    <cfRule type="cellIs" dxfId="2024" priority="2773" stopIfTrue="1" operator="notEqual">
      <formula>H556</formula>
    </cfRule>
  </conditionalFormatting>
  <conditionalFormatting sqref="O557 M557 G557 K557 S557 U557 W557 I557 Q557">
    <cfRule type="cellIs" dxfId="2023" priority="2772" stopIfTrue="1" operator="notEqual">
      <formula>H557</formula>
    </cfRule>
  </conditionalFormatting>
  <conditionalFormatting sqref="O558 M558 G558 K558 S558 U558 W558 I558 Q558">
    <cfRule type="cellIs" dxfId="2022" priority="2771" stopIfTrue="1" operator="notEqual">
      <formula>H558</formula>
    </cfRule>
  </conditionalFormatting>
  <conditionalFormatting sqref="O555:O563 M555:M563 G555:G563 K555:K563 S555:S563 U555:U563 W555:W563 I555:I563 Q555:Q563">
    <cfRule type="cellIs" dxfId="2021" priority="2770" stopIfTrue="1" operator="notEqual">
      <formula>H555</formula>
    </cfRule>
  </conditionalFormatting>
  <conditionalFormatting sqref="O556 M556 G556 K556 S556 U556 W556 I556 Q556">
    <cfRule type="cellIs" dxfId="2020" priority="2769" stopIfTrue="1" operator="notEqual">
      <formula>H556</formula>
    </cfRule>
  </conditionalFormatting>
  <conditionalFormatting sqref="O557 M557 G557 K557 S557 U557 W557 I557 Q557">
    <cfRule type="cellIs" dxfId="2019" priority="2768" stopIfTrue="1" operator="notEqual">
      <formula>H557</formula>
    </cfRule>
  </conditionalFormatting>
  <conditionalFormatting sqref="O555:O563 M555:M563 G555:G563 K555:K563 S555:S563 U555:U563 W555:W563 I555:I563 Q555:Q563">
    <cfRule type="cellIs" dxfId="2018" priority="2767" stopIfTrue="1" operator="notEqual">
      <formula>H555</formula>
    </cfRule>
  </conditionalFormatting>
  <conditionalFormatting sqref="O558 M558 G558 K558 S558 U558 W558 I558 Q558">
    <cfRule type="cellIs" dxfId="2017" priority="2766" stopIfTrue="1" operator="notEqual">
      <formula>H558</formula>
    </cfRule>
  </conditionalFormatting>
  <conditionalFormatting sqref="O551 M551 G551 K551 S551 U551 W551 I551 Q551">
    <cfRule type="cellIs" dxfId="2016" priority="2765" stopIfTrue="1" operator="notEqual">
      <formula>H551</formula>
    </cfRule>
  </conditionalFormatting>
  <conditionalFormatting sqref="O552 M552 G552 K552 S552 U552 W552 I552 Q552">
    <cfRule type="cellIs" dxfId="2015" priority="2764" stopIfTrue="1" operator="notEqual">
      <formula>H552</formula>
    </cfRule>
  </conditionalFormatting>
  <conditionalFormatting sqref="O553 M553 G553 K553 S553 U553 W553 I553 Q553">
    <cfRule type="cellIs" dxfId="2014" priority="2763" stopIfTrue="1" operator="notEqual">
      <formula>H553</formula>
    </cfRule>
  </conditionalFormatting>
  <conditionalFormatting sqref="O554 M554 G554 K554 S554 U554 W554 I554 Q554">
    <cfRule type="cellIs" dxfId="2013" priority="2762" stopIfTrue="1" operator="notEqual">
      <formula>H554</formula>
    </cfRule>
  </conditionalFormatting>
  <conditionalFormatting sqref="O555:O563 M555:M563 G555:G563 K555:K563 S555:S563 U555:U563 W555:W563 I555:I563 Q555:Q563">
    <cfRule type="cellIs" dxfId="2012" priority="2761" stopIfTrue="1" operator="notEqual">
      <formula>H555</formula>
    </cfRule>
  </conditionalFormatting>
  <conditionalFormatting sqref="O556 M556 G556 K556 S556 U556 W556 I556 Q556">
    <cfRule type="cellIs" dxfId="2011" priority="2760" stopIfTrue="1" operator="notEqual">
      <formula>H556</formula>
    </cfRule>
  </conditionalFormatting>
  <conditionalFormatting sqref="O557 M557 G557 K557 S557 U557 W557 I557 Q557">
    <cfRule type="cellIs" dxfId="2010" priority="2759" stopIfTrue="1" operator="notEqual">
      <formula>H557</formula>
    </cfRule>
  </conditionalFormatting>
  <conditionalFormatting sqref="O558 M558 G558 K558 S558 U558 W558 I558 Q558">
    <cfRule type="cellIs" dxfId="2009" priority="2758" stopIfTrue="1" operator="notEqual">
      <formula>H558</formula>
    </cfRule>
  </conditionalFormatting>
  <conditionalFormatting sqref="S561">
    <cfRule type="cellIs" dxfId="2008" priority="2757" stopIfTrue="1" operator="notEqual">
      <formula>T561</formula>
    </cfRule>
  </conditionalFormatting>
  <conditionalFormatting sqref="S570">
    <cfRule type="cellIs" dxfId="2007" priority="2756" stopIfTrue="1" operator="notEqual">
      <formula>T570</formula>
    </cfRule>
  </conditionalFormatting>
  <conditionalFormatting sqref="U561">
    <cfRule type="cellIs" dxfId="2006" priority="2755" stopIfTrue="1" operator="notEqual">
      <formula>V561</formula>
    </cfRule>
  </conditionalFormatting>
  <conditionalFormatting sqref="U570">
    <cfRule type="cellIs" dxfId="2005" priority="2754" stopIfTrue="1" operator="notEqual">
      <formula>V570</formula>
    </cfRule>
  </conditionalFormatting>
  <conditionalFormatting sqref="S564">
    <cfRule type="cellIs" dxfId="2004" priority="2753" stopIfTrue="1" operator="notEqual">
      <formula>T564</formula>
    </cfRule>
  </conditionalFormatting>
  <conditionalFormatting sqref="U564">
    <cfRule type="cellIs" dxfId="2003" priority="2752" stopIfTrue="1" operator="notEqual">
      <formula>V564</formula>
    </cfRule>
  </conditionalFormatting>
  <conditionalFormatting sqref="G562">
    <cfRule type="cellIs" dxfId="2002" priority="2751" stopIfTrue="1" operator="notEqual">
      <formula>H562</formula>
    </cfRule>
  </conditionalFormatting>
  <conditionalFormatting sqref="G559">
    <cfRule type="cellIs" dxfId="2001" priority="2750" stopIfTrue="1" operator="notEqual">
      <formula>H559</formula>
    </cfRule>
  </conditionalFormatting>
  <conditionalFormatting sqref="G560">
    <cfRule type="cellIs" dxfId="2000" priority="2749" stopIfTrue="1" operator="notEqual">
      <formula>H560</formula>
    </cfRule>
  </conditionalFormatting>
  <conditionalFormatting sqref="G561">
    <cfRule type="cellIs" dxfId="1999" priority="2748" stopIfTrue="1" operator="notEqual">
      <formula>H561</formula>
    </cfRule>
  </conditionalFormatting>
  <conditionalFormatting sqref="G559">
    <cfRule type="cellIs" dxfId="1998" priority="2747" stopIfTrue="1" operator="notEqual">
      <formula>H559</formula>
    </cfRule>
  </conditionalFormatting>
  <conditionalFormatting sqref="G560">
    <cfRule type="cellIs" dxfId="1997" priority="2746" stopIfTrue="1" operator="notEqual">
      <formula>H560</formula>
    </cfRule>
  </conditionalFormatting>
  <conditionalFormatting sqref="G561">
    <cfRule type="cellIs" dxfId="1996" priority="2745" stopIfTrue="1" operator="notEqual">
      <formula>H561</formula>
    </cfRule>
  </conditionalFormatting>
  <conditionalFormatting sqref="O559 M559 G559 K559 S559 U559 W559 I559 Q559">
    <cfRule type="cellIs" dxfId="1995" priority="2744" stopIfTrue="1" operator="notEqual">
      <formula>H559</formula>
    </cfRule>
  </conditionalFormatting>
  <conditionalFormatting sqref="O560 M560 G560 K560 S560 U560 W560 I560 Q560">
    <cfRule type="cellIs" dxfId="1994" priority="2743" stopIfTrue="1" operator="notEqual">
      <formula>H560</formula>
    </cfRule>
  </conditionalFormatting>
  <conditionalFormatting sqref="O561 M561 G561 K561 S561 U561 W561 I561 Q561">
    <cfRule type="cellIs" dxfId="1993" priority="2742" stopIfTrue="1" operator="notEqual">
      <formula>H561</formula>
    </cfRule>
  </conditionalFormatting>
  <conditionalFormatting sqref="G559">
    <cfRule type="cellIs" dxfId="1992" priority="2741" stopIfTrue="1" operator="notEqual">
      <formula>H559</formula>
    </cfRule>
  </conditionalFormatting>
  <conditionalFormatting sqref="G560">
    <cfRule type="cellIs" dxfId="1991" priority="2740" stopIfTrue="1" operator="notEqual">
      <formula>H560</formula>
    </cfRule>
  </conditionalFormatting>
  <conditionalFormatting sqref="G561">
    <cfRule type="cellIs" dxfId="1990" priority="2739" stopIfTrue="1" operator="notEqual">
      <formula>H561</formula>
    </cfRule>
  </conditionalFormatting>
  <conditionalFormatting sqref="O559 M559 G559 K559 S559 U559 W559 I559 Q559">
    <cfRule type="cellIs" dxfId="1989" priority="2738" stopIfTrue="1" operator="notEqual">
      <formula>H559</formula>
    </cfRule>
  </conditionalFormatting>
  <conditionalFormatting sqref="O561 M561 G561 K561 S561 U561 W561 I561 Q561">
    <cfRule type="cellIs" dxfId="1988" priority="2737" stopIfTrue="1" operator="notEqual">
      <formula>H561</formula>
    </cfRule>
  </conditionalFormatting>
  <conditionalFormatting sqref="O559 M559 G559 K559 S559 U559 W559 I559 Q559">
    <cfRule type="cellIs" dxfId="1987" priority="2736" stopIfTrue="1" operator="notEqual">
      <formula>H559</formula>
    </cfRule>
  </conditionalFormatting>
  <conditionalFormatting sqref="O560 M560 G560 K560 S560 U560 W560 I560 Q560">
    <cfRule type="cellIs" dxfId="1986" priority="2735" stopIfTrue="1" operator="notEqual">
      <formula>H560</formula>
    </cfRule>
  </conditionalFormatting>
  <conditionalFormatting sqref="O561 M561 G561 K561 S561 U561 W561 I561 Q561">
    <cfRule type="cellIs" dxfId="1985" priority="2734" stopIfTrue="1" operator="notEqual">
      <formula>H561</formula>
    </cfRule>
  </conditionalFormatting>
  <conditionalFormatting sqref="G559">
    <cfRule type="cellIs" dxfId="1984" priority="2733" stopIfTrue="1" operator="notEqual">
      <formula>H559</formula>
    </cfRule>
  </conditionalFormatting>
  <conditionalFormatting sqref="G560">
    <cfRule type="cellIs" dxfId="1983" priority="2732" stopIfTrue="1" operator="notEqual">
      <formula>H560</formula>
    </cfRule>
  </conditionalFormatting>
  <conditionalFormatting sqref="G561">
    <cfRule type="cellIs" dxfId="1982" priority="2731" stopIfTrue="1" operator="notEqual">
      <formula>H561</formula>
    </cfRule>
  </conditionalFormatting>
  <conditionalFormatting sqref="G562">
    <cfRule type="cellIs" dxfId="1981" priority="2730" stopIfTrue="1" operator="notEqual">
      <formula>H562</formula>
    </cfRule>
  </conditionalFormatting>
  <conditionalFormatting sqref="G563">
    <cfRule type="cellIs" dxfId="1980" priority="2729" stopIfTrue="1" operator="notEqual">
      <formula>H563</formula>
    </cfRule>
  </conditionalFormatting>
  <conditionalFormatting sqref="G564">
    <cfRule type="cellIs" dxfId="1979" priority="2728" stopIfTrue="1" operator="notEqual">
      <formula>H564</formula>
    </cfRule>
  </conditionalFormatting>
  <conditionalFormatting sqref="G565">
    <cfRule type="cellIs" dxfId="1978" priority="2727" stopIfTrue="1" operator="notEqual">
      <formula>H565</formula>
    </cfRule>
  </conditionalFormatting>
  <conditionalFormatting sqref="G566:G567">
    <cfRule type="cellIs" dxfId="1977" priority="2726" stopIfTrue="1" operator="notEqual">
      <formula>H566</formula>
    </cfRule>
  </conditionalFormatting>
  <conditionalFormatting sqref="G567">
    <cfRule type="cellIs" dxfId="1976" priority="2725" stopIfTrue="1" operator="notEqual">
      <formula>H567</formula>
    </cfRule>
  </conditionalFormatting>
  <conditionalFormatting sqref="G568:G569">
    <cfRule type="cellIs" dxfId="1975" priority="2724" stopIfTrue="1" operator="notEqual">
      <formula>H568</formula>
    </cfRule>
  </conditionalFormatting>
  <conditionalFormatting sqref="G569">
    <cfRule type="cellIs" dxfId="1974" priority="2723" stopIfTrue="1" operator="notEqual">
      <formula>H569</formula>
    </cfRule>
  </conditionalFormatting>
  <conditionalFormatting sqref="G570">
    <cfRule type="cellIs" dxfId="1973" priority="2722" stopIfTrue="1" operator="notEqual">
      <formula>H570</formula>
    </cfRule>
  </conditionalFormatting>
  <conditionalFormatting sqref="O559 M559 G559 K559 S559 U559 W559 I559 Q559">
    <cfRule type="cellIs" dxfId="1972" priority="2721" stopIfTrue="1" operator="notEqual">
      <formula>H559</formula>
    </cfRule>
  </conditionalFormatting>
  <conditionalFormatting sqref="O560 M560 G560 K560 S560 U560 W560 I560 Q560">
    <cfRule type="cellIs" dxfId="1971" priority="2720" stopIfTrue="1" operator="notEqual">
      <formula>H560</formula>
    </cfRule>
  </conditionalFormatting>
  <conditionalFormatting sqref="O561 M561 G561 K561 S561 U561 W561 I561 Q561">
    <cfRule type="cellIs" dxfId="1970" priority="2719" stopIfTrue="1" operator="notEqual">
      <formula>H561</formula>
    </cfRule>
  </conditionalFormatting>
  <conditionalFormatting sqref="O562 M562 G562 K562 S562 U562 W562 I562 Q562">
    <cfRule type="cellIs" dxfId="1969" priority="2718" stopIfTrue="1" operator="notEqual">
      <formula>H562</formula>
    </cfRule>
  </conditionalFormatting>
  <conditionalFormatting sqref="O563 M563 G563 K563 S563 U563 W563 I563 Q563">
    <cfRule type="cellIs" dxfId="1968" priority="2717" stopIfTrue="1" operator="notEqual">
      <formula>H563</formula>
    </cfRule>
  </conditionalFormatting>
  <conditionalFormatting sqref="O564 M564 G564 K564 S564 U564 W564 I564 Q564">
    <cfRule type="cellIs" dxfId="1967" priority="2716" stopIfTrue="1" operator="notEqual">
      <formula>H564</formula>
    </cfRule>
  </conditionalFormatting>
  <conditionalFormatting sqref="G559">
    <cfRule type="cellIs" dxfId="1966" priority="2715" stopIfTrue="1" operator="notEqual">
      <formula>H559</formula>
    </cfRule>
  </conditionalFormatting>
  <conditionalFormatting sqref="G560">
    <cfRule type="cellIs" dxfId="1965" priority="2714" stopIfTrue="1" operator="notEqual">
      <formula>H560</formula>
    </cfRule>
  </conditionalFormatting>
  <conditionalFormatting sqref="G561">
    <cfRule type="cellIs" dxfId="1964" priority="2713" stopIfTrue="1" operator="notEqual">
      <formula>H561</formula>
    </cfRule>
  </conditionalFormatting>
  <conditionalFormatting sqref="G562">
    <cfRule type="cellIs" dxfId="1963" priority="2712" stopIfTrue="1" operator="notEqual">
      <formula>H562</formula>
    </cfRule>
  </conditionalFormatting>
  <conditionalFormatting sqref="G563">
    <cfRule type="cellIs" dxfId="1962" priority="2711" stopIfTrue="1" operator="notEqual">
      <formula>H563</formula>
    </cfRule>
  </conditionalFormatting>
  <conditionalFormatting sqref="G564">
    <cfRule type="cellIs" dxfId="1961" priority="2710" stopIfTrue="1" operator="notEqual">
      <formula>H564</formula>
    </cfRule>
  </conditionalFormatting>
  <conditionalFormatting sqref="G565">
    <cfRule type="cellIs" dxfId="1960" priority="2709" stopIfTrue="1" operator="notEqual">
      <formula>H565</formula>
    </cfRule>
  </conditionalFormatting>
  <conditionalFormatting sqref="O559 M559 G559 K559 S559 U559 W559 I559 Q559">
    <cfRule type="cellIs" dxfId="1959" priority="2708" stopIfTrue="1" operator="notEqual">
      <formula>H559</formula>
    </cfRule>
  </conditionalFormatting>
  <conditionalFormatting sqref="O560 M560 G560 K560 S560 U560 W560 I560 Q560">
    <cfRule type="cellIs" dxfId="1958" priority="2707" stopIfTrue="1" operator="notEqual">
      <formula>H560</formula>
    </cfRule>
  </conditionalFormatting>
  <conditionalFormatting sqref="O561 M561 G561 K561 S561 U561 W561 I561 Q561">
    <cfRule type="cellIs" dxfId="1957" priority="2706" stopIfTrue="1" operator="notEqual">
      <formula>H561</formula>
    </cfRule>
  </conditionalFormatting>
  <conditionalFormatting sqref="O563 M563 G563 K563 S563 U563 W563 I563 Q563">
    <cfRule type="cellIs" dxfId="1956" priority="2705" stopIfTrue="1" operator="notEqual">
      <formula>H563</formula>
    </cfRule>
  </conditionalFormatting>
  <conditionalFormatting sqref="O564 M564 G564 K564 S564 U564 W564 I564 Q564">
    <cfRule type="cellIs" dxfId="1955" priority="2704" stopIfTrue="1" operator="notEqual">
      <formula>H564</formula>
    </cfRule>
  </conditionalFormatting>
  <conditionalFormatting sqref="O564 M564 G564 K564 S564 U564 W564 I564 Q564">
    <cfRule type="cellIs" dxfId="1954" priority="2703" stopIfTrue="1" operator="notEqual">
      <formula>H564</formula>
    </cfRule>
  </conditionalFormatting>
  <conditionalFormatting sqref="O562 M562 G562 K562 S562 U562 W562 I562 Q562">
    <cfRule type="cellIs" dxfId="1953" priority="2702" stopIfTrue="1" operator="notEqual">
      <formula>H562</formula>
    </cfRule>
  </conditionalFormatting>
  <conditionalFormatting sqref="O565 M565 G565 K565 S565 U565 W565 I565 Q565">
    <cfRule type="cellIs" dxfId="1952" priority="2701" stopIfTrue="1" operator="notEqual">
      <formula>H565</formula>
    </cfRule>
  </conditionalFormatting>
  <conditionalFormatting sqref="O559 M559 G559 K559 S559 U559 W559 I559 Q559">
    <cfRule type="cellIs" dxfId="1951" priority="2700" stopIfTrue="1" operator="notEqual">
      <formula>H559</formula>
    </cfRule>
  </conditionalFormatting>
  <conditionalFormatting sqref="O560 M560 G560 K560 S560 U560 W560 I560 Q560">
    <cfRule type="cellIs" dxfId="1950" priority="2699" stopIfTrue="1" operator="notEqual">
      <formula>H560</formula>
    </cfRule>
  </conditionalFormatting>
  <conditionalFormatting sqref="O561 M561 G561 K561 S561 U561 W561 I561 Q561">
    <cfRule type="cellIs" dxfId="1949" priority="2698" stopIfTrue="1" operator="notEqual">
      <formula>H561</formula>
    </cfRule>
  </conditionalFormatting>
  <conditionalFormatting sqref="O562 M562 G562 K562 S562 U562 W562 I562 Q562">
    <cfRule type="cellIs" dxfId="1948" priority="2697" stopIfTrue="1" operator="notEqual">
      <formula>H562</formula>
    </cfRule>
  </conditionalFormatting>
  <conditionalFormatting sqref="O563 M563 G563 K563 S563 U563 W563 I563 Q563">
    <cfRule type="cellIs" dxfId="1947" priority="2696" stopIfTrue="1" operator="notEqual">
      <formula>H563</formula>
    </cfRule>
  </conditionalFormatting>
  <conditionalFormatting sqref="O564 M564 G564 K564 S564 U564 W564 I564 Q564">
    <cfRule type="cellIs" dxfId="1946" priority="2695" stopIfTrue="1" operator="notEqual">
      <formula>H564</formula>
    </cfRule>
  </conditionalFormatting>
  <conditionalFormatting sqref="O565 M565 G565 K565 S565 U565 W565 I565 Q565">
    <cfRule type="cellIs" dxfId="1945" priority="2694" stopIfTrue="1" operator="notEqual">
      <formula>H565</formula>
    </cfRule>
  </conditionalFormatting>
  <conditionalFormatting sqref="G565">
    <cfRule type="cellIs" dxfId="1944" priority="2693" stopIfTrue="1" operator="notEqual">
      <formula>H565</formula>
    </cfRule>
  </conditionalFormatting>
  <conditionalFormatting sqref="G566:G567">
    <cfRule type="cellIs" dxfId="1943" priority="2692" stopIfTrue="1" operator="notEqual">
      <formula>H566</formula>
    </cfRule>
  </conditionalFormatting>
  <conditionalFormatting sqref="G566:G567">
    <cfRule type="cellIs" dxfId="1942" priority="2691" stopIfTrue="1" operator="notEqual">
      <formula>H566</formula>
    </cfRule>
  </conditionalFormatting>
  <conditionalFormatting sqref="G568:G569">
    <cfRule type="cellIs" dxfId="1941" priority="2690" stopIfTrue="1" operator="notEqual">
      <formula>H568</formula>
    </cfRule>
  </conditionalFormatting>
  <conditionalFormatting sqref="G567">
    <cfRule type="cellIs" dxfId="1940" priority="2689" stopIfTrue="1" operator="notEqual">
      <formula>H567</formula>
    </cfRule>
  </conditionalFormatting>
  <conditionalFormatting sqref="G569">
    <cfRule type="cellIs" dxfId="1939" priority="2688" stopIfTrue="1" operator="notEqual">
      <formula>H569</formula>
    </cfRule>
  </conditionalFormatting>
  <conditionalFormatting sqref="G570">
    <cfRule type="cellIs" dxfId="1938" priority="2687" stopIfTrue="1" operator="notEqual">
      <formula>H570</formula>
    </cfRule>
  </conditionalFormatting>
  <conditionalFormatting sqref="O565 M565 G565 K565 S565 U565 W565 I565 Q565">
    <cfRule type="cellIs" dxfId="1937" priority="2686" stopIfTrue="1" operator="notEqual">
      <formula>H565</formula>
    </cfRule>
  </conditionalFormatting>
  <conditionalFormatting sqref="O566:O567 M566:M567 G566:G567 K566:K567 S566:S567 U566:U567 W566:W567 I566:I567 Q566:Q567">
    <cfRule type="cellIs" dxfId="1936" priority="2685" stopIfTrue="1" operator="notEqual">
      <formula>H566</formula>
    </cfRule>
  </conditionalFormatting>
  <conditionalFormatting sqref="O567 M567 G567 K567 S567 U567 W567 I567 Q567">
    <cfRule type="cellIs" dxfId="1935" priority="2684" stopIfTrue="1" operator="notEqual">
      <formula>H567</formula>
    </cfRule>
  </conditionalFormatting>
  <conditionalFormatting sqref="O568:O569 M568:M569 G568:G569 K568:K569 S568:S569 U568:U569 W568:W569 I568:I569 Q568:Q569">
    <cfRule type="cellIs" dxfId="1934" priority="2683" stopIfTrue="1" operator="notEqual">
      <formula>H568</formula>
    </cfRule>
  </conditionalFormatting>
  <conditionalFormatting sqref="O569 M569 G569 K569 S569 U569 W569 I569 Q569">
    <cfRule type="cellIs" dxfId="1933" priority="2682" stopIfTrue="1" operator="notEqual">
      <formula>H569</formula>
    </cfRule>
  </conditionalFormatting>
  <conditionalFormatting sqref="O570 M570 G570 K570 S570 U570 W570 I570 Q570">
    <cfRule type="cellIs" dxfId="1932" priority="2681" stopIfTrue="1" operator="notEqual">
      <formula>H570</formula>
    </cfRule>
  </conditionalFormatting>
  <conditionalFormatting sqref="G565">
    <cfRule type="cellIs" dxfId="1931" priority="2680" stopIfTrue="1" operator="notEqual">
      <formula>H565</formula>
    </cfRule>
  </conditionalFormatting>
  <conditionalFormatting sqref="G566:G567">
    <cfRule type="cellIs" dxfId="1930" priority="2679" stopIfTrue="1" operator="notEqual">
      <formula>H566</formula>
    </cfRule>
  </conditionalFormatting>
  <conditionalFormatting sqref="G567">
    <cfRule type="cellIs" dxfId="1929" priority="2678" stopIfTrue="1" operator="notEqual">
      <formula>H567</formula>
    </cfRule>
  </conditionalFormatting>
  <conditionalFormatting sqref="G568:G569">
    <cfRule type="cellIs" dxfId="1928" priority="2677" stopIfTrue="1" operator="notEqual">
      <formula>H568</formula>
    </cfRule>
  </conditionalFormatting>
  <conditionalFormatting sqref="G569">
    <cfRule type="cellIs" dxfId="1927" priority="2676" stopIfTrue="1" operator="notEqual">
      <formula>H569</formula>
    </cfRule>
  </conditionalFormatting>
  <conditionalFormatting sqref="G570">
    <cfRule type="cellIs" dxfId="1926" priority="2675" stopIfTrue="1" operator="notEqual">
      <formula>H570</formula>
    </cfRule>
  </conditionalFormatting>
  <conditionalFormatting sqref="G565">
    <cfRule type="cellIs" dxfId="1925" priority="2674" stopIfTrue="1" operator="notEqual">
      <formula>H565</formula>
    </cfRule>
  </conditionalFormatting>
  <conditionalFormatting sqref="G565">
    <cfRule type="cellIs" dxfId="1924" priority="2673" stopIfTrue="1" operator="notEqual">
      <formula>H565</formula>
    </cfRule>
  </conditionalFormatting>
  <conditionalFormatting sqref="G565">
    <cfRule type="cellIs" dxfId="1923" priority="2672" stopIfTrue="1" operator="notEqual">
      <formula>H565</formula>
    </cfRule>
  </conditionalFormatting>
  <conditionalFormatting sqref="G565">
    <cfRule type="cellIs" dxfId="1922" priority="2671" stopIfTrue="1" operator="notEqual">
      <formula>H565</formula>
    </cfRule>
  </conditionalFormatting>
  <conditionalFormatting sqref="G565">
    <cfRule type="cellIs" dxfId="1921" priority="2670" stopIfTrue="1" operator="notEqual">
      <formula>H565</formula>
    </cfRule>
  </conditionalFormatting>
  <conditionalFormatting sqref="G565">
    <cfRule type="cellIs" dxfId="1920" priority="2669" stopIfTrue="1" operator="notEqual">
      <formula>H565</formula>
    </cfRule>
  </conditionalFormatting>
  <conditionalFormatting sqref="O565 M565 G565 K565 S565 U565 W565 I565 Q565">
    <cfRule type="cellIs" dxfId="1919" priority="2668" stopIfTrue="1" operator="notEqual">
      <formula>H565</formula>
    </cfRule>
  </conditionalFormatting>
  <conditionalFormatting sqref="O566:O567 M566:M567 G566:G567 K566:K567 S566:S567 U566:U567 W566:W567 I566:I567 Q566:Q567">
    <cfRule type="cellIs" dxfId="1918" priority="2667" stopIfTrue="1" operator="notEqual">
      <formula>H566</formula>
    </cfRule>
  </conditionalFormatting>
  <conditionalFormatting sqref="O567 M567 G567 K567 S567 U567 W567 I567 Q567">
    <cfRule type="cellIs" dxfId="1917" priority="2666" stopIfTrue="1" operator="notEqual">
      <formula>H567</formula>
    </cfRule>
  </conditionalFormatting>
  <conditionalFormatting sqref="O568:O569 M568:M569 G568:G569 K568:K569 S568:S569 U568:U569 W568:W569 I568:I569 Q568:Q569">
    <cfRule type="cellIs" dxfId="1916" priority="2665" stopIfTrue="1" operator="notEqual">
      <formula>H568</formula>
    </cfRule>
  </conditionalFormatting>
  <conditionalFormatting sqref="O569 M569 G569 K569 S569 U569 W569 I569 Q569">
    <cfRule type="cellIs" dxfId="1915" priority="2664" stopIfTrue="1" operator="notEqual">
      <formula>H569</formula>
    </cfRule>
  </conditionalFormatting>
  <conditionalFormatting sqref="O570 M570 G570 K570 S570 U570 W570 I570 Q570">
    <cfRule type="cellIs" dxfId="1914" priority="2663" stopIfTrue="1" operator="notEqual">
      <formula>H570</formula>
    </cfRule>
  </conditionalFormatting>
  <conditionalFormatting sqref="O565 M565 G565 K565 S565 U565 W565 I565 Q565">
    <cfRule type="cellIs" dxfId="1913" priority="2662" stopIfTrue="1" operator="notEqual">
      <formula>H565</formula>
    </cfRule>
  </conditionalFormatting>
  <conditionalFormatting sqref="O566:O567 M566:M567 G566:G567 K566:K567 S566:S567 U566:U567 W566:W567 I566:I567 Q566:Q567">
    <cfRule type="cellIs" dxfId="1912" priority="2661" stopIfTrue="1" operator="notEqual">
      <formula>H566</formula>
    </cfRule>
  </conditionalFormatting>
  <conditionalFormatting sqref="O565 M565 G565 K565 S565 U565 W565 I565 Q565">
    <cfRule type="cellIs" dxfId="1911" priority="2660" stopIfTrue="1" operator="notEqual">
      <formula>H565</formula>
    </cfRule>
  </conditionalFormatting>
  <conditionalFormatting sqref="O567 M567 G567 K567 S567 U567 W567 I567 Q567">
    <cfRule type="cellIs" dxfId="1910" priority="2659" stopIfTrue="1" operator="notEqual">
      <formula>H567</formula>
    </cfRule>
  </conditionalFormatting>
  <conditionalFormatting sqref="O568:O569 M568:M569 G568:G569 K568:K569 S568:S569 U568:U569 W568:W569 I568:I569 Q568:Q569">
    <cfRule type="cellIs" dxfId="1909" priority="2658" stopIfTrue="1" operator="notEqual">
      <formula>H568</formula>
    </cfRule>
  </conditionalFormatting>
  <conditionalFormatting sqref="O569 M569 G569 K569 S569 U569 W569 I569 Q569">
    <cfRule type="cellIs" dxfId="1908" priority="2657" stopIfTrue="1" operator="notEqual">
      <formula>H569</formula>
    </cfRule>
  </conditionalFormatting>
  <conditionalFormatting sqref="O570 M570 G570 K570 S570 U570 W570 I570 Q570">
    <cfRule type="cellIs" dxfId="1907" priority="2656" stopIfTrue="1" operator="notEqual">
      <formula>H570</formula>
    </cfRule>
  </conditionalFormatting>
  <conditionalFormatting sqref="G559">
    <cfRule type="cellIs" dxfId="1906" priority="2655" stopIfTrue="1" operator="notEqual">
      <formula>H559</formula>
    </cfRule>
  </conditionalFormatting>
  <conditionalFormatting sqref="G560">
    <cfRule type="cellIs" dxfId="1905" priority="2654" stopIfTrue="1" operator="notEqual">
      <formula>H560</formula>
    </cfRule>
  </conditionalFormatting>
  <conditionalFormatting sqref="G561">
    <cfRule type="cellIs" dxfId="1904" priority="2653" stopIfTrue="1" operator="notEqual">
      <formula>H561</formula>
    </cfRule>
  </conditionalFormatting>
  <conditionalFormatting sqref="G562">
    <cfRule type="cellIs" dxfId="1903" priority="2652" stopIfTrue="1" operator="notEqual">
      <formula>H562</formula>
    </cfRule>
  </conditionalFormatting>
  <conditionalFormatting sqref="G563">
    <cfRule type="cellIs" dxfId="1902" priority="2651" stopIfTrue="1" operator="notEqual">
      <formula>H563</formula>
    </cfRule>
  </conditionalFormatting>
  <conditionalFormatting sqref="G564">
    <cfRule type="cellIs" dxfId="1901" priority="2650" stopIfTrue="1" operator="notEqual">
      <formula>H564</formula>
    </cfRule>
  </conditionalFormatting>
  <conditionalFormatting sqref="G565">
    <cfRule type="cellIs" dxfId="1900" priority="2649" stopIfTrue="1" operator="notEqual">
      <formula>H565</formula>
    </cfRule>
  </conditionalFormatting>
  <conditionalFormatting sqref="G566:G567">
    <cfRule type="cellIs" dxfId="1899" priority="2648" stopIfTrue="1" operator="notEqual">
      <formula>H566</formula>
    </cfRule>
  </conditionalFormatting>
  <conditionalFormatting sqref="G559">
    <cfRule type="cellIs" dxfId="1898" priority="2647" stopIfTrue="1" operator="notEqual">
      <formula>H559</formula>
    </cfRule>
  </conditionalFormatting>
  <conditionalFormatting sqref="G559">
    <cfRule type="cellIs" dxfId="1897" priority="2646" stopIfTrue="1" operator="notEqual">
      <formula>H559</formula>
    </cfRule>
  </conditionalFormatting>
  <conditionalFormatting sqref="G559">
    <cfRule type="cellIs" dxfId="1896" priority="2645" stopIfTrue="1" operator="notEqual">
      <formula>H559</formula>
    </cfRule>
  </conditionalFormatting>
  <conditionalFormatting sqref="G559">
    <cfRule type="cellIs" dxfId="1895" priority="2644" stopIfTrue="1" operator="notEqual">
      <formula>H559</formula>
    </cfRule>
  </conditionalFormatting>
  <conditionalFormatting sqref="G559">
    <cfRule type="cellIs" dxfId="1894" priority="2643" stopIfTrue="1" operator="notEqual">
      <formula>H559</formula>
    </cfRule>
  </conditionalFormatting>
  <conditionalFormatting sqref="G559">
    <cfRule type="cellIs" dxfId="1893" priority="2642" stopIfTrue="1" operator="notEqual">
      <formula>H559</formula>
    </cfRule>
  </conditionalFormatting>
  <conditionalFormatting sqref="G568:G569">
    <cfRule type="cellIs" dxfId="1892" priority="2641" stopIfTrue="1" operator="notEqual">
      <formula>H568</formula>
    </cfRule>
  </conditionalFormatting>
  <conditionalFormatting sqref="G569">
    <cfRule type="cellIs" dxfId="1891" priority="2640" stopIfTrue="1" operator="notEqual">
      <formula>H569</formula>
    </cfRule>
  </conditionalFormatting>
  <conditionalFormatting sqref="G569">
    <cfRule type="cellIs" dxfId="1890" priority="2639" stopIfTrue="1" operator="notEqual">
      <formula>H569</formula>
    </cfRule>
  </conditionalFormatting>
  <conditionalFormatting sqref="G570">
    <cfRule type="cellIs" dxfId="1889" priority="2638" stopIfTrue="1" operator="notEqual">
      <formula>H570</formula>
    </cfRule>
  </conditionalFormatting>
  <conditionalFormatting sqref="O559 M559 G559 K559 S559 U559 W559 I559 Q559">
    <cfRule type="cellIs" dxfId="1888" priority="2637" stopIfTrue="1" operator="notEqual">
      <formula>H559</formula>
    </cfRule>
  </conditionalFormatting>
  <conditionalFormatting sqref="O560 M560 G560 K560 S560 U560 W560 I560 Q560">
    <cfRule type="cellIs" dxfId="1887" priority="2636" stopIfTrue="1" operator="notEqual">
      <formula>H560</formula>
    </cfRule>
  </conditionalFormatting>
  <conditionalFormatting sqref="O561 M561 G561 K561 S561 U561 W561 I561 Q561">
    <cfRule type="cellIs" dxfId="1886" priority="2635" stopIfTrue="1" operator="notEqual">
      <formula>H561</formula>
    </cfRule>
  </conditionalFormatting>
  <conditionalFormatting sqref="O562 M562 G562 K562 S562 U562 W562 I562 Q562">
    <cfRule type="cellIs" dxfId="1885" priority="2634" stopIfTrue="1" operator="notEqual">
      <formula>H562</formula>
    </cfRule>
  </conditionalFormatting>
  <conditionalFormatting sqref="O563 M563 G563 K563 S563 U563 W563 I563 Q563">
    <cfRule type="cellIs" dxfId="1884" priority="2633" stopIfTrue="1" operator="notEqual">
      <formula>H563</formula>
    </cfRule>
  </conditionalFormatting>
  <conditionalFormatting sqref="O564 M564 G564 K564 S564 U564 W564 I564 Q564">
    <cfRule type="cellIs" dxfId="1883" priority="2632" stopIfTrue="1" operator="notEqual">
      <formula>H564</formula>
    </cfRule>
  </conditionalFormatting>
  <conditionalFormatting sqref="O566:O567 M566:M567 G566:G567 K566:K567 S566:S567 U566:U567 W566:W567 I566:I567 Q566:Q567">
    <cfRule type="cellIs" dxfId="1882" priority="2631" stopIfTrue="1" operator="notEqual">
      <formula>H566</formula>
    </cfRule>
  </conditionalFormatting>
  <conditionalFormatting sqref="O565 M565 G565 K565 S565 U565 W565 I565 Q565">
    <cfRule type="cellIs" dxfId="1881" priority="2630" stopIfTrue="1" operator="notEqual">
      <formula>H565</formula>
    </cfRule>
  </conditionalFormatting>
  <conditionalFormatting sqref="O568:O569 M568:M569 G568:G569 K568:K569 S568:S569 U568:U569 W568:W569 I568:I569 Q568:Q569">
    <cfRule type="cellIs" dxfId="1880" priority="2629" stopIfTrue="1" operator="notEqual">
      <formula>H568</formula>
    </cfRule>
  </conditionalFormatting>
  <conditionalFormatting sqref="O569 M569 G569 K569 S569 U569 W569 I569 Q569">
    <cfRule type="cellIs" dxfId="1879" priority="2628" stopIfTrue="1" operator="notEqual">
      <formula>H569</formula>
    </cfRule>
  </conditionalFormatting>
  <conditionalFormatting sqref="O570 M570 G570 K570 S570 U570 W570 I570 Q570">
    <cfRule type="cellIs" dxfId="1878" priority="2627" stopIfTrue="1" operator="notEqual">
      <formula>H570</formula>
    </cfRule>
  </conditionalFormatting>
  <conditionalFormatting sqref="O559 M559 G559 K559 S559 U559 W559 I559 Q559">
    <cfRule type="cellIs" dxfId="1877" priority="2626" stopIfTrue="1" operator="notEqual">
      <formula>H559</formula>
    </cfRule>
  </conditionalFormatting>
  <conditionalFormatting sqref="O560 M560 G560 K560 S560 U560 W560 I560 Q560">
    <cfRule type="cellIs" dxfId="1876" priority="2625" stopIfTrue="1" operator="notEqual">
      <formula>H560</formula>
    </cfRule>
  </conditionalFormatting>
  <conditionalFormatting sqref="O561 M561 G561 K561 S561 U561 W561 I561 Q561">
    <cfRule type="cellIs" dxfId="1875" priority="2624" stopIfTrue="1" operator="notEqual">
      <formula>H561</formula>
    </cfRule>
  </conditionalFormatting>
  <conditionalFormatting sqref="O559 M559 G559 K559 S559 U559 W559 I559 Q559">
    <cfRule type="cellIs" dxfId="1874" priority="2623" stopIfTrue="1" operator="notEqual">
      <formula>H559</formula>
    </cfRule>
  </conditionalFormatting>
  <conditionalFormatting sqref="O562 M562 G562 K562 S562 U562 W562 I562 Q562">
    <cfRule type="cellIs" dxfId="1873" priority="2622" stopIfTrue="1" operator="notEqual">
      <formula>H562</formula>
    </cfRule>
  </conditionalFormatting>
  <conditionalFormatting sqref="O563 M563 G563 K563 S563 U563 W563 I563 Q563">
    <cfRule type="cellIs" dxfId="1872" priority="2621" stopIfTrue="1" operator="notEqual">
      <formula>H563</formula>
    </cfRule>
  </conditionalFormatting>
  <conditionalFormatting sqref="O564 M564 G564 K564 S564 U564 W564 I564 Q564">
    <cfRule type="cellIs" dxfId="1871" priority="2620" stopIfTrue="1" operator="notEqual">
      <formula>H564</formula>
    </cfRule>
  </conditionalFormatting>
  <conditionalFormatting sqref="O565 M565 G565 K565 S565 U565 W565 I565 Q565">
    <cfRule type="cellIs" dxfId="1870" priority="2619" stopIfTrue="1" operator="notEqual">
      <formula>H565</formula>
    </cfRule>
  </conditionalFormatting>
  <conditionalFormatting sqref="O566:O567 M566:M567 G566:G567 K566:K567 S566:S567 U566:U567 W566:W567 I566:I567 Q566:Q567">
    <cfRule type="cellIs" dxfId="1869" priority="2618" stopIfTrue="1" operator="notEqual">
      <formula>H566</formula>
    </cfRule>
  </conditionalFormatting>
  <conditionalFormatting sqref="O567 M567 G567 K567 S567 U567 W567 I567 Q567">
    <cfRule type="cellIs" dxfId="1868" priority="2617" stopIfTrue="1" operator="notEqual">
      <formula>H567</formula>
    </cfRule>
  </conditionalFormatting>
  <conditionalFormatting sqref="G568:G569">
    <cfRule type="cellIs" dxfId="1867" priority="2616" stopIfTrue="1" operator="notEqual">
      <formula>H568</formula>
    </cfRule>
  </conditionalFormatting>
  <conditionalFormatting sqref="G569">
    <cfRule type="cellIs" dxfId="1866" priority="2615" stopIfTrue="1" operator="notEqual">
      <formula>H569</formula>
    </cfRule>
  </conditionalFormatting>
  <conditionalFormatting sqref="G570">
    <cfRule type="cellIs" dxfId="1865" priority="2614" stopIfTrue="1" operator="notEqual">
      <formula>H570</formula>
    </cfRule>
  </conditionalFormatting>
  <conditionalFormatting sqref="G568:G569">
    <cfRule type="cellIs" dxfId="1864" priority="2613" stopIfTrue="1" operator="notEqual">
      <formula>H568</formula>
    </cfRule>
  </conditionalFormatting>
  <conditionalFormatting sqref="G568:G569">
    <cfRule type="cellIs" dxfId="1863" priority="2612" stopIfTrue="1" operator="notEqual">
      <formula>H568</formula>
    </cfRule>
  </conditionalFormatting>
  <conditionalFormatting sqref="G568:G569">
    <cfRule type="cellIs" dxfId="1862" priority="2611" stopIfTrue="1" operator="notEqual">
      <formula>H568</formula>
    </cfRule>
  </conditionalFormatting>
  <conditionalFormatting sqref="G568:G569">
    <cfRule type="cellIs" dxfId="1861" priority="2610" stopIfTrue="1" operator="notEqual">
      <formula>H568</formula>
    </cfRule>
  </conditionalFormatting>
  <conditionalFormatting sqref="G568:G569">
    <cfRule type="cellIs" dxfId="1860" priority="2609" stopIfTrue="1" operator="notEqual">
      <formula>H568</formula>
    </cfRule>
  </conditionalFormatting>
  <conditionalFormatting sqref="G568:G569">
    <cfRule type="cellIs" dxfId="1859" priority="2608" stopIfTrue="1" operator="notEqual">
      <formula>H568</formula>
    </cfRule>
  </conditionalFormatting>
  <conditionalFormatting sqref="O568:O569 M568:M569 G568:G569 K568:K569 S568:S569 U568:U569 W568:W569 I568:I569 Q568:Q569">
    <cfRule type="cellIs" dxfId="1858" priority="2607" stopIfTrue="1" operator="notEqual">
      <formula>H568</formula>
    </cfRule>
  </conditionalFormatting>
  <conditionalFormatting sqref="O569 M569 G569 K569 S569 U569 W569 I569 Q569">
    <cfRule type="cellIs" dxfId="1857" priority="2606" stopIfTrue="1" operator="notEqual">
      <formula>H569</formula>
    </cfRule>
  </conditionalFormatting>
  <conditionalFormatting sqref="O570 M570 G570 K570 S570 U570 W570 I570 Q570">
    <cfRule type="cellIs" dxfId="1856" priority="2605" stopIfTrue="1" operator="notEqual">
      <formula>H570</formula>
    </cfRule>
  </conditionalFormatting>
  <conditionalFormatting sqref="O568:O569 M568:M569 G568:G569 K568:K569 S568:S569 U568:U569 W568:W569 I568:I569 Q568:Q569">
    <cfRule type="cellIs" dxfId="1855" priority="2604" stopIfTrue="1" operator="notEqual">
      <formula>H568</formula>
    </cfRule>
  </conditionalFormatting>
  <conditionalFormatting sqref="O569 M569 G569 K569 S569 U569 W569 I569 Q569">
    <cfRule type="cellIs" dxfId="1854" priority="2603" stopIfTrue="1" operator="notEqual">
      <formula>H569</formula>
    </cfRule>
  </conditionalFormatting>
  <conditionalFormatting sqref="O568:O569 M568:M569 G568:G569 K568:K569 S568:S569 U568:U569 W568:W569 I568:I569 Q568:Q569">
    <cfRule type="cellIs" dxfId="1853" priority="2602" stopIfTrue="1" operator="notEqual">
      <formula>H568</formula>
    </cfRule>
  </conditionalFormatting>
  <conditionalFormatting sqref="O570 M570 G570 K570 S570 U570 W570 I570 Q570">
    <cfRule type="cellIs" dxfId="1852" priority="2601" stopIfTrue="1" operator="notEqual">
      <formula>H570</formula>
    </cfRule>
  </conditionalFormatting>
  <conditionalFormatting sqref="O560 M560 G560 K560 S560 U560 W560 I560 Q560">
    <cfRule type="cellIs" dxfId="1851" priority="2600" stopIfTrue="1" operator="notEqual">
      <formula>H560</formula>
    </cfRule>
  </conditionalFormatting>
  <conditionalFormatting sqref="O561 M561 G561 K561 S561 U561 W561 I561 Q561">
    <cfRule type="cellIs" dxfId="1850" priority="2599" stopIfTrue="1" operator="notEqual">
      <formula>H561</formula>
    </cfRule>
  </conditionalFormatting>
  <conditionalFormatting sqref="O561 M561 G561 K561 S561 U561 W561 I561 Q561">
    <cfRule type="cellIs" dxfId="1849" priority="2598" stopIfTrue="1" operator="notEqual">
      <formula>H561</formula>
    </cfRule>
  </conditionalFormatting>
  <conditionalFormatting sqref="O559 M559 G559 K559 S559 U559 W559 I559 Q559">
    <cfRule type="cellIs" dxfId="1848" priority="2597" stopIfTrue="1" operator="notEqual">
      <formula>H559</formula>
    </cfRule>
  </conditionalFormatting>
  <conditionalFormatting sqref="O562 M562 G562 K562 S562 U562 W562 I562 Q562">
    <cfRule type="cellIs" dxfId="1847" priority="2596" stopIfTrue="1" operator="notEqual">
      <formula>H562</formula>
    </cfRule>
  </conditionalFormatting>
  <conditionalFormatting sqref="O563 M563 G563 K563 S563 U563 W563 I563 Q563">
    <cfRule type="cellIs" dxfId="1846" priority="2595" stopIfTrue="1" operator="notEqual">
      <formula>H563</formula>
    </cfRule>
  </conditionalFormatting>
  <conditionalFormatting sqref="O564 M564 G564 K564 S564 U564 W564 I564 Q564">
    <cfRule type="cellIs" dxfId="1845" priority="2594" stopIfTrue="1" operator="notEqual">
      <formula>H564</formula>
    </cfRule>
  </conditionalFormatting>
  <conditionalFormatting sqref="O565 M565 G565 K565 S565 U565 W565 I565 Q565">
    <cfRule type="cellIs" dxfId="1844" priority="2593" stopIfTrue="1" operator="notEqual">
      <formula>H565</formula>
    </cfRule>
  </conditionalFormatting>
  <conditionalFormatting sqref="O566:O567 M566:M567 G566:G567 K566:K567 S566:S567 U566:U567 W566:W567 I566:I567 Q566:Q567">
    <cfRule type="cellIs" dxfId="1843" priority="2592" stopIfTrue="1" operator="notEqual">
      <formula>H566</formula>
    </cfRule>
  </conditionalFormatting>
  <conditionalFormatting sqref="O567 M567 G567 K567 S567 U567 W567 I567 Q567">
    <cfRule type="cellIs" dxfId="1842" priority="2591" stopIfTrue="1" operator="notEqual">
      <formula>H567</formula>
    </cfRule>
  </conditionalFormatting>
  <conditionalFormatting sqref="O568:O569 M568:M569 G568:G569 K568:K569 S568:S569 U568:U569 W568:W569 I568:I569 Q568:Q569">
    <cfRule type="cellIs" dxfId="1841" priority="2590" stopIfTrue="1" operator="notEqual">
      <formula>H568</formula>
    </cfRule>
  </conditionalFormatting>
  <conditionalFormatting sqref="O569 M569 G569 K569 S569 U569 W569 I569 Q569">
    <cfRule type="cellIs" dxfId="1840" priority="2589" stopIfTrue="1" operator="notEqual">
      <formula>H569</formula>
    </cfRule>
  </conditionalFormatting>
  <conditionalFormatting sqref="O570 M570 G570 K570 S570 U570 W570 I570 Q570">
    <cfRule type="cellIs" dxfId="1839" priority="2588" stopIfTrue="1" operator="notEqual">
      <formula>H570</formula>
    </cfRule>
  </conditionalFormatting>
  <conditionalFormatting sqref="G567">
    <cfRule type="cellIs" dxfId="1838" priority="2587" stopIfTrue="1" operator="notEqual">
      <formula>H567</formula>
    </cfRule>
  </conditionalFormatting>
  <conditionalFormatting sqref="G567">
    <cfRule type="cellIs" dxfId="1837" priority="2586" stopIfTrue="1" operator="notEqual">
      <formula>H567</formula>
    </cfRule>
  </conditionalFormatting>
  <conditionalFormatting sqref="G567">
    <cfRule type="cellIs" dxfId="1836" priority="2585" stopIfTrue="1" operator="notEqual">
      <formula>H567</formula>
    </cfRule>
  </conditionalFormatting>
  <conditionalFormatting sqref="G567">
    <cfRule type="cellIs" dxfId="1835" priority="2584" stopIfTrue="1" operator="notEqual">
      <formula>H567</formula>
    </cfRule>
  </conditionalFormatting>
  <conditionalFormatting sqref="G569">
    <cfRule type="cellIs" dxfId="1834" priority="2581" stopIfTrue="1" operator="notEqual">
      <formula>H569</formula>
    </cfRule>
  </conditionalFormatting>
  <conditionalFormatting sqref="G569">
    <cfRule type="cellIs" dxfId="1833" priority="2580" stopIfTrue="1" operator="notEqual">
      <formula>H569</formula>
    </cfRule>
  </conditionalFormatting>
  <conditionalFormatting sqref="G569">
    <cfRule type="cellIs" dxfId="1832" priority="2579" stopIfTrue="1" operator="notEqual">
      <formula>H569</formula>
    </cfRule>
  </conditionalFormatting>
  <conditionalFormatting sqref="G569">
    <cfRule type="cellIs" dxfId="1831" priority="2578" stopIfTrue="1" operator="notEqual">
      <formula>H569</formula>
    </cfRule>
  </conditionalFormatting>
  <conditionalFormatting sqref="G569">
    <cfRule type="cellIs" dxfId="1830" priority="2577" stopIfTrue="1" operator="notEqual">
      <formula>H569</formula>
    </cfRule>
  </conditionalFormatting>
  <conditionalFormatting sqref="G569">
    <cfRule type="cellIs" dxfId="1829" priority="2576" stopIfTrue="1" operator="notEqual">
      <formula>H569</formula>
    </cfRule>
  </conditionalFormatting>
  <conditionalFormatting sqref="G565">
    <cfRule type="cellIs" dxfId="1828" priority="2575" stopIfTrue="1" operator="notEqual">
      <formula>H565</formula>
    </cfRule>
  </conditionalFormatting>
  <conditionalFormatting sqref="G562">
    <cfRule type="cellIs" dxfId="1827" priority="2574" stopIfTrue="1" operator="notEqual">
      <formula>H562</formula>
    </cfRule>
  </conditionalFormatting>
  <conditionalFormatting sqref="G563">
    <cfRule type="cellIs" dxfId="1826" priority="2573" stopIfTrue="1" operator="notEqual">
      <formula>H563</formula>
    </cfRule>
  </conditionalFormatting>
  <conditionalFormatting sqref="G564">
    <cfRule type="cellIs" dxfId="1825" priority="2572" stopIfTrue="1" operator="notEqual">
      <formula>H564</formula>
    </cfRule>
  </conditionalFormatting>
  <conditionalFormatting sqref="G562">
    <cfRule type="cellIs" dxfId="1824" priority="2571" stopIfTrue="1" operator="notEqual">
      <formula>H562</formula>
    </cfRule>
  </conditionalFormatting>
  <conditionalFormatting sqref="G563">
    <cfRule type="cellIs" dxfId="1823" priority="2570" stopIfTrue="1" operator="notEqual">
      <formula>H563</formula>
    </cfRule>
  </conditionalFormatting>
  <conditionalFormatting sqref="G564">
    <cfRule type="cellIs" dxfId="1822" priority="2569" stopIfTrue="1" operator="notEqual">
      <formula>H564</formula>
    </cfRule>
  </conditionalFormatting>
  <conditionalFormatting sqref="O562 M562 G562 K562 S562 U562 W562 I562 Q562">
    <cfRule type="cellIs" dxfId="1821" priority="2568" stopIfTrue="1" operator="notEqual">
      <formula>H562</formula>
    </cfRule>
  </conditionalFormatting>
  <conditionalFormatting sqref="O563 M563 G563 K563 S563 U563 W563 I563 Q563">
    <cfRule type="cellIs" dxfId="1820" priority="2567" stopIfTrue="1" operator="notEqual">
      <formula>H563</formula>
    </cfRule>
  </conditionalFormatting>
  <conditionalFormatting sqref="O564 M564 G564 K564 S564 U564 W564 I564 Q564">
    <cfRule type="cellIs" dxfId="1819" priority="2566" stopIfTrue="1" operator="notEqual">
      <formula>H564</formula>
    </cfRule>
  </conditionalFormatting>
  <conditionalFormatting sqref="G562">
    <cfRule type="cellIs" dxfId="1818" priority="2565" stopIfTrue="1" operator="notEqual">
      <formula>H562</formula>
    </cfRule>
  </conditionalFormatting>
  <conditionalFormatting sqref="G563">
    <cfRule type="cellIs" dxfId="1817" priority="2564" stopIfTrue="1" operator="notEqual">
      <formula>H563</formula>
    </cfRule>
  </conditionalFormatting>
  <conditionalFormatting sqref="O562 M562 G562 K562 S562 U562 W562 I562 Q562">
    <cfRule type="cellIs" dxfId="1816" priority="2563" stopIfTrue="1" operator="notEqual">
      <formula>H562</formula>
    </cfRule>
  </conditionalFormatting>
  <conditionalFormatting sqref="O563 M563 G563 K563 S563 U563 W563 I563 Q563">
    <cfRule type="cellIs" dxfId="1815" priority="2562" stopIfTrue="1" operator="notEqual">
      <formula>H563</formula>
    </cfRule>
  </conditionalFormatting>
  <conditionalFormatting sqref="O563 M563 G563 K563 S563 U563 W563 I563 Q563">
    <cfRule type="cellIs" dxfId="1814" priority="2561" stopIfTrue="1" operator="notEqual">
      <formula>H563</formula>
    </cfRule>
  </conditionalFormatting>
  <conditionalFormatting sqref="O562 M562 G562 K562 S562 U562 W562 I562 Q562">
    <cfRule type="cellIs" dxfId="1813" priority="2560" stopIfTrue="1" operator="notEqual">
      <formula>H562</formula>
    </cfRule>
  </conditionalFormatting>
  <conditionalFormatting sqref="O563 M563 G563 K563 S563 U563 W563 I563 Q563">
    <cfRule type="cellIs" dxfId="1812" priority="2559" stopIfTrue="1" operator="notEqual">
      <formula>H563</formula>
    </cfRule>
  </conditionalFormatting>
  <conditionalFormatting sqref="O564 M564 G564 K564 S564 U564 W564 I564 Q564">
    <cfRule type="cellIs" dxfId="1811" priority="2558" stopIfTrue="1" operator="notEqual">
      <formula>H564</formula>
    </cfRule>
  </conditionalFormatting>
  <conditionalFormatting sqref="G562">
    <cfRule type="cellIs" dxfId="1810" priority="2557" stopIfTrue="1" operator="notEqual">
      <formula>H562</formula>
    </cfRule>
  </conditionalFormatting>
  <conditionalFormatting sqref="G563">
    <cfRule type="cellIs" dxfId="1809" priority="2556" stopIfTrue="1" operator="notEqual">
      <formula>H563</formula>
    </cfRule>
  </conditionalFormatting>
  <conditionalFormatting sqref="G564">
    <cfRule type="cellIs" dxfId="1808" priority="2555" stopIfTrue="1" operator="notEqual">
      <formula>H564</formula>
    </cfRule>
  </conditionalFormatting>
  <conditionalFormatting sqref="G565">
    <cfRule type="cellIs" dxfId="1807" priority="2554" stopIfTrue="1" operator="notEqual">
      <formula>H565</formula>
    </cfRule>
  </conditionalFormatting>
  <conditionalFormatting sqref="G566:G567">
    <cfRule type="cellIs" dxfId="1806" priority="2553" stopIfTrue="1" operator="notEqual">
      <formula>H566</formula>
    </cfRule>
  </conditionalFormatting>
  <conditionalFormatting sqref="G567">
    <cfRule type="cellIs" dxfId="1805" priority="2552" stopIfTrue="1" operator="notEqual">
      <formula>H567</formula>
    </cfRule>
  </conditionalFormatting>
  <conditionalFormatting sqref="G568:G569">
    <cfRule type="cellIs" dxfId="1804" priority="2551" stopIfTrue="1" operator="notEqual">
      <formula>H568</formula>
    </cfRule>
  </conditionalFormatting>
  <conditionalFormatting sqref="G569">
    <cfRule type="cellIs" dxfId="1803" priority="2550" stopIfTrue="1" operator="notEqual">
      <formula>H569</formula>
    </cfRule>
  </conditionalFormatting>
  <conditionalFormatting sqref="G570">
    <cfRule type="cellIs" dxfId="1802" priority="2549" stopIfTrue="1" operator="notEqual">
      <formula>H570</formula>
    </cfRule>
  </conditionalFormatting>
  <conditionalFormatting sqref="G572">
    <cfRule type="cellIs" dxfId="1801" priority="2547" stopIfTrue="1" operator="notEqual">
      <formula>H572</formula>
    </cfRule>
  </conditionalFormatting>
  <conditionalFormatting sqref="O562 M562 G562 K562 S562 U562 W562 I562 Q562">
    <cfRule type="cellIs" dxfId="1800" priority="2545" stopIfTrue="1" operator="notEqual">
      <formula>H562</formula>
    </cfRule>
  </conditionalFormatting>
  <conditionalFormatting sqref="O563 M563 G563 K563 S563 U563 W563 I563 Q563">
    <cfRule type="cellIs" dxfId="1799" priority="2544" stopIfTrue="1" operator="notEqual">
      <formula>H563</formula>
    </cfRule>
  </conditionalFormatting>
  <conditionalFormatting sqref="O564 M564 G564 K564 S564 U564 W564 I564 Q564">
    <cfRule type="cellIs" dxfId="1798" priority="2543" stopIfTrue="1" operator="notEqual">
      <formula>H564</formula>
    </cfRule>
  </conditionalFormatting>
  <conditionalFormatting sqref="O565 M565 G565 K565 S565 U565 W565 I565 Q565">
    <cfRule type="cellIs" dxfId="1797" priority="2542" stopIfTrue="1" operator="notEqual">
      <formula>H565</formula>
    </cfRule>
  </conditionalFormatting>
  <conditionalFormatting sqref="O566:O567 M566:M567 G566:G567 K566:K567 S566:S567 U566:U567 W566:W567 I566:I567 Q566:Q567">
    <cfRule type="cellIs" dxfId="1796" priority="2541" stopIfTrue="1" operator="notEqual">
      <formula>H566</formula>
    </cfRule>
  </conditionalFormatting>
  <conditionalFormatting sqref="O567 M567 G567 K567 S567 U567 W567 I567 Q567">
    <cfRule type="cellIs" dxfId="1795" priority="2540" stopIfTrue="1" operator="notEqual">
      <formula>H567</formula>
    </cfRule>
  </conditionalFormatting>
  <conditionalFormatting sqref="G562">
    <cfRule type="cellIs" dxfId="1794" priority="2539" stopIfTrue="1" operator="notEqual">
      <formula>H562</formula>
    </cfRule>
  </conditionalFormatting>
  <conditionalFormatting sqref="G563">
    <cfRule type="cellIs" dxfId="1793" priority="2538" stopIfTrue="1" operator="notEqual">
      <formula>H563</formula>
    </cfRule>
  </conditionalFormatting>
  <conditionalFormatting sqref="G564">
    <cfRule type="cellIs" dxfId="1792" priority="2537" stopIfTrue="1" operator="notEqual">
      <formula>H564</formula>
    </cfRule>
  </conditionalFormatting>
  <conditionalFormatting sqref="G565">
    <cfRule type="cellIs" dxfId="1791" priority="2536" stopIfTrue="1" operator="notEqual">
      <formula>H565</formula>
    </cfRule>
  </conditionalFormatting>
  <conditionalFormatting sqref="G566:G567">
    <cfRule type="cellIs" dxfId="1790" priority="2535" stopIfTrue="1" operator="notEqual">
      <formula>H566</formula>
    </cfRule>
  </conditionalFormatting>
  <conditionalFormatting sqref="O562 M562 G562 K562 S562 U562 W562 I562 Q562">
    <cfRule type="cellIs" dxfId="1789" priority="2534" stopIfTrue="1" operator="notEqual">
      <formula>H562</formula>
    </cfRule>
  </conditionalFormatting>
  <conditionalFormatting sqref="O563 M563 G563 K563 S563 U563 W563 I563 Q563">
    <cfRule type="cellIs" dxfId="1788" priority="2533" stopIfTrue="1" operator="notEqual">
      <formula>H563</formula>
    </cfRule>
  </conditionalFormatting>
  <conditionalFormatting sqref="O564 M564 G564 K564 S564 U564 W564 I564 Q564">
    <cfRule type="cellIs" dxfId="1787" priority="2532" stopIfTrue="1" operator="notEqual">
      <formula>H564</formula>
    </cfRule>
  </conditionalFormatting>
  <conditionalFormatting sqref="O566:O567 M566:M567 G566:G567 K566:K567 S566:S567 U566:U567 W566:W567 I566:I567 Q566:Q567">
    <cfRule type="cellIs" dxfId="1786" priority="2531" stopIfTrue="1" operator="notEqual">
      <formula>H566</formula>
    </cfRule>
  </conditionalFormatting>
  <conditionalFormatting sqref="O565 M565 G565 K565 S565 U565 W565 I565 Q565">
    <cfRule type="cellIs" dxfId="1785" priority="2530" stopIfTrue="1" operator="notEqual">
      <formula>H565</formula>
    </cfRule>
  </conditionalFormatting>
  <conditionalFormatting sqref="O562 M562 G562 K562 S562 U562 W562 I562 Q562">
    <cfRule type="cellIs" dxfId="1784" priority="2529" stopIfTrue="1" operator="notEqual">
      <formula>H562</formula>
    </cfRule>
  </conditionalFormatting>
  <conditionalFormatting sqref="O563 M563 G563 K563 S563 U563 W563 I563 Q563">
    <cfRule type="cellIs" dxfId="1783" priority="2528" stopIfTrue="1" operator="notEqual">
      <formula>H563</formula>
    </cfRule>
  </conditionalFormatting>
  <conditionalFormatting sqref="O564 M564 G564 K564 S564 U564 W564 I564 Q564">
    <cfRule type="cellIs" dxfId="1782" priority="2527" stopIfTrue="1" operator="notEqual">
      <formula>H564</formula>
    </cfRule>
  </conditionalFormatting>
  <conditionalFormatting sqref="O565 M565 G565 K565 S565 U565 W565 I565 Q565">
    <cfRule type="cellIs" dxfId="1781" priority="2526" stopIfTrue="1" operator="notEqual">
      <formula>H565</formula>
    </cfRule>
  </conditionalFormatting>
  <conditionalFormatting sqref="O566:O567 M566:M567 G566:G567 K566:K567 S566:S567 U566:U567 W566:W567 I566:I567 Q566:Q567">
    <cfRule type="cellIs" dxfId="1780" priority="2525" stopIfTrue="1" operator="notEqual">
      <formula>H566</formula>
    </cfRule>
  </conditionalFormatting>
  <conditionalFormatting sqref="O567 M567 G567 K567 S567 U567 W567 I567 Q567">
    <cfRule type="cellIs" dxfId="1779" priority="2524" stopIfTrue="1" operator="notEqual">
      <formula>H567</formula>
    </cfRule>
  </conditionalFormatting>
  <conditionalFormatting sqref="G568:G569">
    <cfRule type="cellIs" dxfId="1778" priority="2523" stopIfTrue="1" operator="notEqual">
      <formula>H568</formula>
    </cfRule>
  </conditionalFormatting>
  <conditionalFormatting sqref="G568:G569">
    <cfRule type="cellIs" dxfId="1777" priority="2522" stopIfTrue="1" operator="notEqual">
      <formula>H568</formula>
    </cfRule>
  </conditionalFormatting>
  <conditionalFormatting sqref="G570">
    <cfRule type="cellIs" dxfId="1776" priority="2521" stopIfTrue="1" operator="notEqual">
      <formula>H570</formula>
    </cfRule>
  </conditionalFormatting>
  <conditionalFormatting sqref="G572">
    <cfRule type="cellIs" dxfId="1775" priority="2519" stopIfTrue="1" operator="notEqual">
      <formula>H572</formula>
    </cfRule>
  </conditionalFormatting>
  <conditionalFormatting sqref="O568:O569 M568:M569 G568:G569 K568:K569 S568:S569 U568:U569 W568:W569 I568:I569 Q568:Q569">
    <cfRule type="cellIs" dxfId="1774" priority="2517" stopIfTrue="1" operator="notEqual">
      <formula>H568</formula>
    </cfRule>
  </conditionalFormatting>
  <conditionalFormatting sqref="O569 M569 G569 K569 S569 U569 W569 I569 Q569">
    <cfRule type="cellIs" dxfId="1773" priority="2516" stopIfTrue="1" operator="notEqual">
      <formula>H569</formula>
    </cfRule>
  </conditionalFormatting>
  <conditionalFormatting sqref="O570 M570 G570 K570 S570 U570 W570 I570 Q570">
    <cfRule type="cellIs" dxfId="1772" priority="2515" stopIfTrue="1" operator="notEqual">
      <formula>H570</formula>
    </cfRule>
  </conditionalFormatting>
  <conditionalFormatting sqref="O572 M572 G572 K572 S572 U572 W572 I572 Q572">
    <cfRule type="cellIs" dxfId="1771" priority="2513" stopIfTrue="1" operator="notEqual">
      <formula>H572</formula>
    </cfRule>
  </conditionalFormatting>
  <conditionalFormatting sqref="G568:G569">
    <cfRule type="cellIs" dxfId="1770" priority="2511" stopIfTrue="1" operator="notEqual">
      <formula>H568</formula>
    </cfRule>
  </conditionalFormatting>
  <conditionalFormatting sqref="G569">
    <cfRule type="cellIs" dxfId="1769" priority="2510" stopIfTrue="1" operator="notEqual">
      <formula>H569</formula>
    </cfRule>
  </conditionalFormatting>
  <conditionalFormatting sqref="G570">
    <cfRule type="cellIs" dxfId="1768" priority="2509" stopIfTrue="1" operator="notEqual">
      <formula>H570</formula>
    </cfRule>
  </conditionalFormatting>
  <conditionalFormatting sqref="G572">
    <cfRule type="cellIs" dxfId="1767" priority="2507" stopIfTrue="1" operator="notEqual">
      <formula>H572</formula>
    </cfRule>
  </conditionalFormatting>
  <conditionalFormatting sqref="O568:O569 M568:M569 G568:G569 K568:K569 S568:S569 U568:U569 W568:W569 I568:I569 Q568:Q569">
    <cfRule type="cellIs" dxfId="1766" priority="2505" stopIfTrue="1" operator="notEqual">
      <formula>H568</formula>
    </cfRule>
  </conditionalFormatting>
  <conditionalFormatting sqref="O569 M569 G569 K569 S569 U569 W569 I569 Q569">
    <cfRule type="cellIs" dxfId="1765" priority="2504" stopIfTrue="1" operator="notEqual">
      <formula>H569</formula>
    </cfRule>
  </conditionalFormatting>
  <conditionalFormatting sqref="O570 M570 G570 K570 S570 U570 W570 I570 Q570">
    <cfRule type="cellIs" dxfId="1764" priority="2503" stopIfTrue="1" operator="notEqual">
      <formula>H570</formula>
    </cfRule>
  </conditionalFormatting>
  <conditionalFormatting sqref="O572 M572 G572 K572 S572 U572 W572 I572 Q572">
    <cfRule type="cellIs" dxfId="1763" priority="2501" stopIfTrue="1" operator="notEqual">
      <formula>H572</formula>
    </cfRule>
  </conditionalFormatting>
  <conditionalFormatting sqref="O568:O569 M568:M569 G568:G569 K568:K569 S568:S569 U568:U569 W568:W569 I568:I569 Q568:Q569">
    <cfRule type="cellIs" dxfId="1762" priority="2499" stopIfTrue="1" operator="notEqual">
      <formula>H568</formula>
    </cfRule>
  </conditionalFormatting>
  <conditionalFormatting sqref="O569 M569 G569 K569 S569 U569 W569 I569 Q569">
    <cfRule type="cellIs" dxfId="1761" priority="2498" stopIfTrue="1" operator="notEqual">
      <formula>H569</formula>
    </cfRule>
  </conditionalFormatting>
  <conditionalFormatting sqref="O570 M570 G570 K570 S570 U570 W570 I570 Q570">
    <cfRule type="cellIs" dxfId="1760" priority="2497" stopIfTrue="1" operator="notEqual">
      <formula>H570</formula>
    </cfRule>
  </conditionalFormatting>
  <conditionalFormatting sqref="O572 M572 G572 K572 S572 U572 W572 I572 Q572">
    <cfRule type="cellIs" dxfId="1759" priority="2495" stopIfTrue="1" operator="notEqual">
      <formula>H572</formula>
    </cfRule>
  </conditionalFormatting>
  <conditionalFormatting sqref="G562">
    <cfRule type="cellIs" dxfId="1758" priority="2493" stopIfTrue="1" operator="notEqual">
      <formula>H562</formula>
    </cfRule>
  </conditionalFormatting>
  <conditionalFormatting sqref="G563">
    <cfRule type="cellIs" dxfId="1757" priority="2492" stopIfTrue="1" operator="notEqual">
      <formula>H563</formula>
    </cfRule>
  </conditionalFormatting>
  <conditionalFormatting sqref="G564">
    <cfRule type="cellIs" dxfId="1756" priority="2491" stopIfTrue="1" operator="notEqual">
      <formula>H564</formula>
    </cfRule>
  </conditionalFormatting>
  <conditionalFormatting sqref="G565">
    <cfRule type="cellIs" dxfId="1755" priority="2490" stopIfTrue="1" operator="notEqual">
      <formula>H565</formula>
    </cfRule>
  </conditionalFormatting>
  <conditionalFormatting sqref="G566:G567">
    <cfRule type="cellIs" dxfId="1754" priority="2489" stopIfTrue="1" operator="notEqual">
      <formula>H566</formula>
    </cfRule>
  </conditionalFormatting>
  <conditionalFormatting sqref="G567">
    <cfRule type="cellIs" dxfId="1753" priority="2488" stopIfTrue="1" operator="notEqual">
      <formula>H567</formula>
    </cfRule>
  </conditionalFormatting>
  <conditionalFormatting sqref="G568:G569">
    <cfRule type="cellIs" dxfId="1752" priority="2487" stopIfTrue="1" operator="notEqual">
      <formula>H568</formula>
    </cfRule>
  </conditionalFormatting>
  <conditionalFormatting sqref="G569">
    <cfRule type="cellIs" dxfId="1751" priority="2486" stopIfTrue="1" operator="notEqual">
      <formula>H569</formula>
    </cfRule>
  </conditionalFormatting>
  <conditionalFormatting sqref="G570">
    <cfRule type="cellIs" dxfId="1750" priority="2483" stopIfTrue="1" operator="notEqual">
      <formula>H570</formula>
    </cfRule>
  </conditionalFormatting>
  <conditionalFormatting sqref="O562 M562 G562 K562 S562 U562 W562 I562 Q562">
    <cfRule type="cellIs" dxfId="1749" priority="2481" stopIfTrue="1" operator="notEqual">
      <formula>H562</formula>
    </cfRule>
  </conditionalFormatting>
  <conditionalFormatting sqref="O563 M563 G563 K563 S563 U563 W563 I563 Q563">
    <cfRule type="cellIs" dxfId="1748" priority="2480" stopIfTrue="1" operator="notEqual">
      <formula>H563</formula>
    </cfRule>
  </conditionalFormatting>
  <conditionalFormatting sqref="O564 M564 G564 K564 S564 U564 W564 I564 Q564">
    <cfRule type="cellIs" dxfId="1747" priority="2479" stopIfTrue="1" operator="notEqual">
      <formula>H564</formula>
    </cfRule>
  </conditionalFormatting>
  <conditionalFormatting sqref="O565 M565 G565 K565 S565 U565 W565 I565 Q565">
    <cfRule type="cellIs" dxfId="1746" priority="2478" stopIfTrue="1" operator="notEqual">
      <formula>H565</formula>
    </cfRule>
  </conditionalFormatting>
  <conditionalFormatting sqref="O566:O567 M566:M567 G566:G567 K566:K567 S566:S567 U566:U567 W566:W567 I566:I567 Q566:Q567">
    <cfRule type="cellIs" dxfId="1745" priority="2477" stopIfTrue="1" operator="notEqual">
      <formula>H566</formula>
    </cfRule>
  </conditionalFormatting>
  <conditionalFormatting sqref="O568:O569 M568:M569 G568:G569 K568:K569 S568:S569 U568:U569 W568:W569 I568:I569 Q568:Q569">
    <cfRule type="cellIs" dxfId="1744" priority="2476" stopIfTrue="1" operator="notEqual">
      <formula>H568</formula>
    </cfRule>
  </conditionalFormatting>
  <conditionalFormatting sqref="O569 M569 G569 K569 S569 U569 W569 I569 Q569">
    <cfRule type="cellIs" dxfId="1743" priority="2475" stopIfTrue="1" operator="notEqual">
      <formula>H569</formula>
    </cfRule>
  </conditionalFormatting>
  <conditionalFormatting sqref="O569 M569 G569 K569 S569 U569 W569 I569 Q569">
    <cfRule type="cellIs" dxfId="1742" priority="2474" stopIfTrue="1" operator="notEqual">
      <formula>H569</formula>
    </cfRule>
  </conditionalFormatting>
  <conditionalFormatting sqref="O570 M570 G570 K570 S570 U570 W570 I570 Q570">
    <cfRule type="cellIs" dxfId="1741" priority="2472" stopIfTrue="1" operator="notEqual">
      <formula>H570</formula>
    </cfRule>
  </conditionalFormatting>
  <conditionalFormatting sqref="O572 M572 G572 K572 S572 U572 W572 I572 Q572">
    <cfRule type="cellIs" dxfId="1740" priority="2471" stopIfTrue="1" operator="notEqual">
      <formula>H572</formula>
    </cfRule>
  </conditionalFormatting>
  <conditionalFormatting sqref="O562 M562 G562 K562 S562 U562 W562 I562 Q562">
    <cfRule type="cellIs" dxfId="1739" priority="2469" stopIfTrue="1" operator="notEqual">
      <formula>H562</formula>
    </cfRule>
  </conditionalFormatting>
  <conditionalFormatting sqref="O563 M563 G563 K563 S563 U563 W563 I563 Q563">
    <cfRule type="cellIs" dxfId="1738" priority="2468" stopIfTrue="1" operator="notEqual">
      <formula>H563</formula>
    </cfRule>
  </conditionalFormatting>
  <conditionalFormatting sqref="O564 M564 G564 K564 S564 U564 W564 I564 Q564">
    <cfRule type="cellIs" dxfId="1737" priority="2467" stopIfTrue="1" operator="notEqual">
      <formula>H564</formula>
    </cfRule>
  </conditionalFormatting>
  <conditionalFormatting sqref="O565 M565 G565 K565 S565 U565 W565 I565 Q565">
    <cfRule type="cellIs" dxfId="1736" priority="2466" stopIfTrue="1" operator="notEqual">
      <formula>H565</formula>
    </cfRule>
  </conditionalFormatting>
  <conditionalFormatting sqref="O566:O567 M566:M567 G566:G567 K566:K567 S566:S567 U566:U567 W566:W567 I566:I567 Q566:Q567">
    <cfRule type="cellIs" dxfId="1735" priority="2465" stopIfTrue="1" operator="notEqual">
      <formula>H566</formula>
    </cfRule>
  </conditionalFormatting>
  <conditionalFormatting sqref="O567 M567 G567 K567 S567 U567 W567 I567 Q567">
    <cfRule type="cellIs" dxfId="1734" priority="2464" stopIfTrue="1" operator="notEqual">
      <formula>H567</formula>
    </cfRule>
  </conditionalFormatting>
  <conditionalFormatting sqref="O568:O569 M568:M569 G568:G569 K568:K569 S568:S569 U568:U569 W568:W569 I568:I569 Q568:Q569">
    <cfRule type="cellIs" dxfId="1733" priority="2463" stopIfTrue="1" operator="notEqual">
      <formula>H568</formula>
    </cfRule>
  </conditionalFormatting>
  <conditionalFormatting sqref="O569 M569 G569 K569 S569 U569 W569 I569 Q569">
    <cfRule type="cellIs" dxfId="1732" priority="2462" stopIfTrue="1" operator="notEqual">
      <formula>H569</formula>
    </cfRule>
  </conditionalFormatting>
  <conditionalFormatting sqref="O570 M570 G570 K570 S570 U570 W570 I570 Q570">
    <cfRule type="cellIs" dxfId="1731" priority="2461" stopIfTrue="1" operator="notEqual">
      <formula>H570</formula>
    </cfRule>
  </conditionalFormatting>
  <conditionalFormatting sqref="G572">
    <cfRule type="cellIs" dxfId="1730" priority="2459" stopIfTrue="1" operator="notEqual">
      <formula>H572</formula>
    </cfRule>
  </conditionalFormatting>
  <conditionalFormatting sqref="O572 M572 G572 K572 S572 U572 W572 I572 Q572">
    <cfRule type="cellIs" dxfId="1729" priority="2456" stopIfTrue="1" operator="notEqual">
      <formula>H572</formula>
    </cfRule>
  </conditionalFormatting>
  <conditionalFormatting sqref="O572 M572 G572 K572 S572 U572 W572 I572 Q572">
    <cfRule type="cellIs" dxfId="1728" priority="2453" stopIfTrue="1" operator="notEqual">
      <formula>H572</formula>
    </cfRule>
  </conditionalFormatting>
  <conditionalFormatting sqref="O564 M564 G564 K564 S564 U564 W564 I564 Q564">
    <cfRule type="cellIs" dxfId="1727" priority="2451" stopIfTrue="1" operator="notEqual">
      <formula>H564</formula>
    </cfRule>
  </conditionalFormatting>
  <conditionalFormatting sqref="O563 M563 G563 K563 S563 U563 W563 I563 Q563">
    <cfRule type="cellIs" dxfId="1726" priority="2450" stopIfTrue="1" operator="notEqual">
      <formula>H563</formula>
    </cfRule>
  </conditionalFormatting>
  <conditionalFormatting sqref="O565 M565 G565 K565 S565 U565 W565 I565 Q565">
    <cfRule type="cellIs" dxfId="1725" priority="2449" stopIfTrue="1" operator="notEqual">
      <formula>H565</formula>
    </cfRule>
  </conditionalFormatting>
  <conditionalFormatting sqref="O566:O567 M566:M567 G566:G567 K566:K567 S566:S567 U566:U567 W566:W567 I566:I567 Q566:Q567">
    <cfRule type="cellIs" dxfId="1724" priority="2448" stopIfTrue="1" operator="notEqual">
      <formula>H566</formula>
    </cfRule>
  </conditionalFormatting>
  <conditionalFormatting sqref="O567 M567 G567 K567 S567 U567 W567 I567 Q567">
    <cfRule type="cellIs" dxfId="1723" priority="2447" stopIfTrue="1" operator="notEqual">
      <formula>H567</formula>
    </cfRule>
  </conditionalFormatting>
  <conditionalFormatting sqref="O568:O569 M568:M569 G568:G569 K568:K569 S568:S569 U568:U569 W568:W569 I568:I569 Q568:Q569">
    <cfRule type="cellIs" dxfId="1722" priority="2446" stopIfTrue="1" operator="notEqual">
      <formula>H568</formula>
    </cfRule>
  </conditionalFormatting>
  <conditionalFormatting sqref="O569 M569 G569 K569 S569 U569 W569 I569 Q569">
    <cfRule type="cellIs" dxfId="1721" priority="2445" stopIfTrue="1" operator="notEqual">
      <formula>H569</formula>
    </cfRule>
  </conditionalFormatting>
  <conditionalFormatting sqref="O570 M570 G570 K570 S570 U570 W570 I570 Q570">
    <cfRule type="cellIs" dxfId="1720" priority="2444" stopIfTrue="1" operator="notEqual">
      <formula>H570</formula>
    </cfRule>
  </conditionalFormatting>
  <conditionalFormatting sqref="O572 M572 G572 K572 S572 U572 W572 I572 Q572">
    <cfRule type="cellIs" dxfId="1719" priority="2442" stopIfTrue="1" operator="notEqual">
      <formula>H572</formula>
    </cfRule>
  </conditionalFormatting>
  <conditionalFormatting sqref="G98:G99 I98:I99 Q98:Q99 O98:O99 M98:M99 U98:U99 W98:W99 K98:K99 S98:S99">
    <cfRule type="cellIs" dxfId="1718" priority="2440" stopIfTrue="1" operator="notEqual">
      <formula>H98</formula>
    </cfRule>
  </conditionalFormatting>
  <conditionalFormatting sqref="Q98:Q99 O98:O99 M98:M99 G98:G99 K98:K99 S98:S99 U98:U99 W98:W99 I98:I99">
    <cfRule type="cellIs" dxfId="1717" priority="2439" stopIfTrue="1" operator="notEqual">
      <formula>H98</formula>
    </cfRule>
  </conditionalFormatting>
  <conditionalFormatting sqref="G98:G99 I98:I99 K98:K99 Q98:Q99 O98:O99 M98:M99 U98:U99 W98:W99 S98:S99">
    <cfRule type="cellIs" dxfId="1716" priority="2438" stopIfTrue="1" operator="notEqual">
      <formula>H98</formula>
    </cfRule>
  </conditionalFormatting>
  <conditionalFormatting sqref="Q98:Q99 O98:O99 M98:M99 G98:G99 K98:K99 S98:S99 U98:U99 W98:W99 I98:I99">
    <cfRule type="cellIs" dxfId="1715" priority="2437" stopIfTrue="1" operator="notEqual">
      <formula>H98</formula>
    </cfRule>
  </conditionalFormatting>
  <conditionalFormatting sqref="G98:G99 I98:I99 K98:K99 Q98:Q99 O98:O99 M98:M99 U98:U99 W98:W99 S98:S99">
    <cfRule type="cellIs" dxfId="1714" priority="2436" stopIfTrue="1" operator="notEqual">
      <formula>H98</formula>
    </cfRule>
  </conditionalFormatting>
  <conditionalFormatting sqref="Q98:Q99 O98:O99 M98:M99 G98:G99 K98:K99 S98:S99 U98:U99 W98:W99 I98:I99">
    <cfRule type="cellIs" dxfId="1713" priority="2435" stopIfTrue="1" operator="notEqual">
      <formula>H98</formula>
    </cfRule>
  </conditionalFormatting>
  <conditionalFormatting sqref="Q135:Q150 O135:O150 M135:M150 G135:G150 K135:K150 S135:S150 U135:U150 W135:W150 I135:I150">
    <cfRule type="cellIs" dxfId="1712" priority="2428" stopIfTrue="1" operator="notEqual">
      <formula>H135</formula>
    </cfRule>
  </conditionalFormatting>
  <conditionalFormatting sqref="Q135:Q150 O135:O150 M135:M150 G135:G150 K135:K150 S135:S150 U135:U150 W135:W150 I135:I150">
    <cfRule type="cellIs" dxfId="1711" priority="2427" stopIfTrue="1" operator="notEqual">
      <formula>H135</formula>
    </cfRule>
  </conditionalFormatting>
  <conditionalFormatting sqref="O135:O150 M135:M150 G135:G150 K135:K150 S135:S150 U135:U150 W135:W150 I135:I150 Q135:Q150">
    <cfRule type="cellIs" dxfId="1710" priority="2426" stopIfTrue="1" operator="notEqual">
      <formula>H135</formula>
    </cfRule>
  </conditionalFormatting>
  <conditionalFormatting sqref="Q135:Q150 O135:O150 M135:M150 G135:G150 K135:K150 S135:S150 U135:U150 W135:W150 I135:I150">
    <cfRule type="cellIs" dxfId="1709" priority="2425" stopIfTrue="1" operator="notEqual">
      <formula>H135</formula>
    </cfRule>
  </conditionalFormatting>
  <conditionalFormatting sqref="G135:G150 I135:I150 Q135:Q150 O135:O150 M135:M150 U135:U150 W135:W150 K135:K150 S135:S150">
    <cfRule type="cellIs" dxfId="1708" priority="2424" stopIfTrue="1" operator="notEqual">
      <formula>H135</formula>
    </cfRule>
  </conditionalFormatting>
  <conditionalFormatting sqref="G135:G150 I135:I150 K135:K150 Q135:Q150 O135:O150 M135:M150 U135:U150 W135:W150 S135:S150">
    <cfRule type="cellIs" dxfId="1707" priority="2423" stopIfTrue="1" operator="notEqual">
      <formula>H135</formula>
    </cfRule>
  </conditionalFormatting>
  <conditionalFormatting sqref="G135:G150 I135:I150 K135:K150 Q135:Q150 O135:O150 M135:M150 U135:U150 W135:W150 S135:S150">
    <cfRule type="cellIs" dxfId="1706" priority="2422" stopIfTrue="1" operator="notEqual">
      <formula>H135</formula>
    </cfRule>
  </conditionalFormatting>
  <conditionalFormatting sqref="G135:G150 I135:I150 Q135:Q150 O135:O150 M135:M150 U135:U150 W135:W150 K135:K150 S135:S150">
    <cfRule type="cellIs" dxfId="1705" priority="2421" stopIfTrue="1" operator="notEqual">
      <formula>H135</formula>
    </cfRule>
  </conditionalFormatting>
  <conditionalFormatting sqref="G135:G150 I135:I150 K135:K150 Q135:Q150 O135:O150 M135:M150 U135:U150 W135:W150 S135:S150">
    <cfRule type="cellIs" dxfId="1704" priority="2420" stopIfTrue="1" operator="notEqual">
      <formula>H135</formula>
    </cfRule>
  </conditionalFormatting>
  <conditionalFormatting sqref="G135:G150 I135:I150 K135:K150 Q135:Q150 O135:O150 M135:M150 U135:U150 W135:W150 S135:S150">
    <cfRule type="cellIs" dxfId="1703" priority="2419" stopIfTrue="1" operator="notEqual">
      <formula>H135</formula>
    </cfRule>
  </conditionalFormatting>
  <conditionalFormatting sqref="Q151:Q159 O151:O159 M151:M159 G151:G159 K151:K159 S151:S159 U151:U159 W151:W159 I151:I159">
    <cfRule type="cellIs" dxfId="1702" priority="2418" stopIfTrue="1" operator="notEqual">
      <formula>H151</formula>
    </cfRule>
  </conditionalFormatting>
  <conditionalFormatting sqref="Q151:Q159 O151:O159 M151:M159 G151:G159 K151:K159 S151:S159 U151:U159 W151:W159 I151:I159">
    <cfRule type="cellIs" dxfId="1701" priority="2417" stopIfTrue="1" operator="notEqual">
      <formula>H151</formula>
    </cfRule>
  </conditionalFormatting>
  <conditionalFormatting sqref="Q151:Q159 O151:O159 M151:M159 G151:G159 K151:K159 S151:S159 U151:U159 W151:W159 I151:I159">
    <cfRule type="cellIs" dxfId="1700" priority="2416" stopIfTrue="1" operator="notEqual">
      <formula>H151</formula>
    </cfRule>
  </conditionalFormatting>
  <conditionalFormatting sqref="G151:G159 I151:I159 Q151:Q159 O151:O159 M151:M159 U151:U159 W151:W159 K151:K159 S151:S159">
    <cfRule type="cellIs" dxfId="1699" priority="2415" stopIfTrue="1" operator="notEqual">
      <formula>H151</formula>
    </cfRule>
  </conditionalFormatting>
  <conditionalFormatting sqref="Q151:Q159 O151:O159 M151:M159 G151:G159 K151:K159 S151:S159 U151:U159 W151:W159 I151:I159">
    <cfRule type="cellIs" dxfId="1698" priority="2414" stopIfTrue="1" operator="notEqual">
      <formula>H151</formula>
    </cfRule>
  </conditionalFormatting>
  <conditionalFormatting sqref="G151:G159 I151:I159 K151:K159 Q151:Q159 O151:O159 M151:M159 U151:U159 W151:W159 S151:S159">
    <cfRule type="cellIs" dxfId="1697" priority="2413" stopIfTrue="1" operator="notEqual">
      <formula>H151</formula>
    </cfRule>
  </conditionalFormatting>
  <conditionalFormatting sqref="Q151:Q159 O151:O159 M151:M159 G151:G159 K151:K159 S151:S159 U151:U159 W151:W159 I151:I159">
    <cfRule type="cellIs" dxfId="1696" priority="2412" stopIfTrue="1" operator="notEqual">
      <formula>H151</formula>
    </cfRule>
  </conditionalFormatting>
  <conditionalFormatting sqref="G151:G159 I151:I159 K151:K159 Q151:Q159 O151:O159 M151:M159 U151:U159 W151:W159 S151:S159">
    <cfRule type="cellIs" dxfId="1695" priority="2411" stopIfTrue="1" operator="notEqual">
      <formula>H151</formula>
    </cfRule>
  </conditionalFormatting>
  <conditionalFormatting sqref="Q151:Q159 O151:O159 M151:M159 G151:G159 K151:K159 S151:S159 U151:U159 W151:W159 I151:I159">
    <cfRule type="cellIs" dxfId="1694" priority="2410" stopIfTrue="1" operator="notEqual">
      <formula>H151</formula>
    </cfRule>
  </conditionalFormatting>
  <conditionalFormatting sqref="Q179:Q180 O179:O180 M179:M180 G179:G180 K179:K180 S179:S180 U179:U180 W179:W180 I179:I180">
    <cfRule type="cellIs" dxfId="1693" priority="2409" stopIfTrue="1" operator="notEqual">
      <formula>H179</formula>
    </cfRule>
  </conditionalFormatting>
  <conditionalFormatting sqref="Q179:Q180 O179:O180 M179:M180 G179:G180 K179:K180 S179:S180 U179:U180 W179:W180 I179:I180">
    <cfRule type="cellIs" dxfId="1692" priority="2408" stopIfTrue="1" operator="notEqual">
      <formula>H179</formula>
    </cfRule>
  </conditionalFormatting>
  <conditionalFormatting sqref="Q179:Q180 O179:O180 M179:M180 G179:G180 K179:K180 S179:S180 U179:U180 W179:W180 I179:I180">
    <cfRule type="cellIs" dxfId="1691" priority="2407" stopIfTrue="1" operator="notEqual">
      <formula>H179</formula>
    </cfRule>
  </conditionalFormatting>
  <conditionalFormatting sqref="G179:G180 I179:I180 Q179:Q180 O179:O180 M179:M180 U179:U180 W179:W180 K179:K180 S179:S180">
    <cfRule type="cellIs" dxfId="1690" priority="2406" stopIfTrue="1" operator="notEqual">
      <formula>H179</formula>
    </cfRule>
  </conditionalFormatting>
  <conditionalFormatting sqref="Q179:Q180 O179:O180 M179:M180 G179:G180 K179:K180 S179:S180 U179:U180 W179:W180 I179:I180">
    <cfRule type="cellIs" dxfId="1689" priority="2405" stopIfTrue="1" operator="notEqual">
      <formula>H179</formula>
    </cfRule>
  </conditionalFormatting>
  <conditionalFormatting sqref="G179:G180 I179:I180 K179:K180 Q179:Q180 O179:O180 M179:M180 U179:U180 W179:W180 S179:S180">
    <cfRule type="cellIs" dxfId="1688" priority="2404" stopIfTrue="1" operator="notEqual">
      <formula>H179</formula>
    </cfRule>
  </conditionalFormatting>
  <conditionalFormatting sqref="Q179:Q180 O179:O180 M179:M180 G179:G180 K179:K180 S179:S180 U179:U180 W179:W180 I179:I180">
    <cfRule type="cellIs" dxfId="1687" priority="2403" stopIfTrue="1" operator="notEqual">
      <formula>H179</formula>
    </cfRule>
  </conditionalFormatting>
  <conditionalFormatting sqref="G179:G180 I179:I180 K179:K180 Q179:Q180 O179:O180 M179:M180 U179:U180 W179:W180 S179:S180">
    <cfRule type="cellIs" dxfId="1686" priority="2402" stopIfTrue="1" operator="notEqual">
      <formula>H179</formula>
    </cfRule>
  </conditionalFormatting>
  <conditionalFormatting sqref="Q179:Q180 O179:O180 M179:M180 G179:G180 K179:K180 S179:S180 U179:U180 W179:W180 I179:I180">
    <cfRule type="cellIs" dxfId="1685" priority="2401" stopIfTrue="1" operator="notEqual">
      <formula>H179</formula>
    </cfRule>
  </conditionalFormatting>
  <conditionalFormatting sqref="Q199:Q202 O199:O202 M199:M202 G199:G202 K199:K202 S199:S202 U199:U202 W199:W202 I199:I202">
    <cfRule type="cellIs" dxfId="1684" priority="2400" stopIfTrue="1" operator="notEqual">
      <formula>H199</formula>
    </cfRule>
  </conditionalFormatting>
  <conditionalFormatting sqref="Q199:Q202 O199:O202 M199:M202 G199:G202 K199:K202 S199:S202 U199:U202 W199:W202 I199:I202">
    <cfRule type="cellIs" dxfId="1683" priority="2399" stopIfTrue="1" operator="notEqual">
      <formula>H199</formula>
    </cfRule>
  </conditionalFormatting>
  <conditionalFormatting sqref="Q199:Q202 O199:O202 M199:M202 G199:G202 K199:K202 S199:S202 U199:U202 W199:W202 I199:I202">
    <cfRule type="cellIs" dxfId="1682" priority="2398" stopIfTrue="1" operator="notEqual">
      <formula>H199</formula>
    </cfRule>
  </conditionalFormatting>
  <conditionalFormatting sqref="G199:G202 I199:I202 Q199:Q202 O199:O202 M199:M202 U199:U202 W199:W202 K199:K202 S199:S202">
    <cfRule type="cellIs" dxfId="1681" priority="2397" stopIfTrue="1" operator="notEqual">
      <formula>H199</formula>
    </cfRule>
  </conditionalFormatting>
  <conditionalFormatting sqref="Q199:Q202 O199:O202 M199:M202 G199:G202 K199:K202 S199:S202 U199:U202 W199:W202 I199:I202">
    <cfRule type="cellIs" dxfId="1680" priority="2396" stopIfTrue="1" operator="notEqual">
      <formula>H199</formula>
    </cfRule>
  </conditionalFormatting>
  <conditionalFormatting sqref="G199:G202 I199:I202 K199:K202 Q199:Q202 O199:O202 M199:M202 U199:U202 W199:W202 S199:S202">
    <cfRule type="cellIs" dxfId="1679" priority="2395" stopIfTrue="1" operator="notEqual">
      <formula>H199</formula>
    </cfRule>
  </conditionalFormatting>
  <conditionalFormatting sqref="Q199:Q202 O199:O202 M199:M202 G199:G202 K199:K202 S199:S202 U199:U202 W199:W202 I199:I202">
    <cfRule type="cellIs" dxfId="1678" priority="2394" stopIfTrue="1" operator="notEqual">
      <formula>H199</formula>
    </cfRule>
  </conditionalFormatting>
  <conditionalFormatting sqref="G199:G202 I199:I202 K199:K202 Q199:Q202 O199:O202 M199:M202 U199:U202 W199:W202 S199:S202">
    <cfRule type="cellIs" dxfId="1677" priority="2393" stopIfTrue="1" operator="notEqual">
      <formula>H199</formula>
    </cfRule>
  </conditionalFormatting>
  <conditionalFormatting sqref="Q199:Q202 O199:O202 M199:M202 G199:G202 K199:K202 S199:S202 U199:U202 W199:W202 I199:I202">
    <cfRule type="cellIs" dxfId="1676" priority="2392" stopIfTrue="1" operator="notEqual">
      <formula>H199</formula>
    </cfRule>
  </conditionalFormatting>
  <conditionalFormatting sqref="Q203:Q204 O203:O204 M203:M204 G203:G204 K203:K204 S203:S204 U203:U204 W203:W204 I203:I204">
    <cfRule type="cellIs" dxfId="1675" priority="2391" stopIfTrue="1" operator="notEqual">
      <formula>H203</formula>
    </cfRule>
  </conditionalFormatting>
  <conditionalFormatting sqref="Q203:Q204 O203:O204 M203:M204 G203:G204 K203:K204 S203:S204 U203:U204 W203:W204 I203:I204">
    <cfRule type="cellIs" dxfId="1674" priority="2390" stopIfTrue="1" operator="notEqual">
      <formula>H203</formula>
    </cfRule>
  </conditionalFormatting>
  <conditionalFormatting sqref="Q203:Q204 O203:O204 M203:M204 G203:G204 K203:K204 S203:S204 U203:U204 W203:W204 I203:I204">
    <cfRule type="cellIs" dxfId="1673" priority="2389" stopIfTrue="1" operator="notEqual">
      <formula>H203</formula>
    </cfRule>
  </conditionalFormatting>
  <conditionalFormatting sqref="G203:G204 I203:I204 Q203:Q204 O203:O204 M203:M204 U203:U204 W203:W204 K203:K204 S203:S204">
    <cfRule type="cellIs" dxfId="1672" priority="2388" stopIfTrue="1" operator="notEqual">
      <formula>H203</formula>
    </cfRule>
  </conditionalFormatting>
  <conditionalFormatting sqref="Q203:Q204 O203:O204 M203:M204 G203:G204 K203:K204 S203:S204 U203:U204 W203:W204 I203:I204">
    <cfRule type="cellIs" dxfId="1671" priority="2387" stopIfTrue="1" operator="notEqual">
      <formula>H203</formula>
    </cfRule>
  </conditionalFormatting>
  <conditionalFormatting sqref="G203:G204 I203:I204 K203:K204 Q203:Q204 O203:O204 M203:M204 U203:U204 W203:W204 S203:S204">
    <cfRule type="cellIs" dxfId="1670" priority="2386" stopIfTrue="1" operator="notEqual">
      <formula>H203</formula>
    </cfRule>
  </conditionalFormatting>
  <conditionalFormatting sqref="Q203:Q204 O203:O204 M203:M204 G203:G204 K203:K204 S203:S204 U203:U204 W203:W204 I203:I204">
    <cfRule type="cellIs" dxfId="1669" priority="2385" stopIfTrue="1" operator="notEqual">
      <formula>H203</formula>
    </cfRule>
  </conditionalFormatting>
  <conditionalFormatting sqref="G203:G204 I203:I204 K203:K204 Q203:Q204 O203:O204 M203:M204 U203:U204 W203:W204 S203:S204">
    <cfRule type="cellIs" dxfId="1668" priority="2384" stopIfTrue="1" operator="notEqual">
      <formula>H203</formula>
    </cfRule>
  </conditionalFormatting>
  <conditionalFormatting sqref="Q203:Q204 O203:O204 M203:M204 G203:G204 K203:K204 S203:S204 U203:U204 W203:W204 I203:I204">
    <cfRule type="cellIs" dxfId="1667" priority="2383" stopIfTrue="1" operator="notEqual">
      <formula>H203</formula>
    </cfRule>
  </conditionalFormatting>
  <conditionalFormatting sqref="Q206:Q207 O206:O207 M206:M207 G206:G207 K206:K207 S206:S207 U206:U207 W206:W207 I206:I207">
    <cfRule type="cellIs" dxfId="1666" priority="2382" stopIfTrue="1" operator="notEqual">
      <formula>H206</formula>
    </cfRule>
  </conditionalFormatting>
  <conditionalFormatting sqref="Q206:Q207 O206:O207 M206:M207 G206:G207 K206:K207 S206:S207 U206:U207 W206:W207 I206:I207">
    <cfRule type="cellIs" dxfId="1665" priority="2381" stopIfTrue="1" operator="notEqual">
      <formula>H206</formula>
    </cfRule>
  </conditionalFormatting>
  <conditionalFormatting sqref="Q206:Q207 O206:O207 M206:M207 G206:G207 K206:K207 S206:S207 U206:U207 W206:W207 I206:I207">
    <cfRule type="cellIs" dxfId="1664" priority="2380" stopIfTrue="1" operator="notEqual">
      <formula>H206</formula>
    </cfRule>
  </conditionalFormatting>
  <conditionalFormatting sqref="G206:G207 I206:I207 Q206:Q207 O206:O207 M206:M207 U206:U207 W206:W207 K206:K207 S206:S207">
    <cfRule type="cellIs" dxfId="1663" priority="2379" stopIfTrue="1" operator="notEqual">
      <formula>H206</formula>
    </cfRule>
  </conditionalFormatting>
  <conditionalFormatting sqref="Q206:Q207 O206:O207 M206:M207 G206:G207 K206:K207 S206:S207 U206:U207 W206:W207 I206:I207">
    <cfRule type="cellIs" dxfId="1662" priority="2378" stopIfTrue="1" operator="notEqual">
      <formula>H206</formula>
    </cfRule>
  </conditionalFormatting>
  <conditionalFormatting sqref="G206:G207 I206:I207 K206:K207 Q206:Q207 O206:O207 M206:M207 U206:U207 W206:W207 S206:S207">
    <cfRule type="cellIs" dxfId="1661" priority="2377" stopIfTrue="1" operator="notEqual">
      <formula>H206</formula>
    </cfRule>
  </conditionalFormatting>
  <conditionalFormatting sqref="Q206:Q207 O206:O207 M206:M207 G206:G207 K206:K207 S206:S207 U206:U207 W206:W207 I206:I207">
    <cfRule type="cellIs" dxfId="1660" priority="2376" stopIfTrue="1" operator="notEqual">
      <formula>H206</formula>
    </cfRule>
  </conditionalFormatting>
  <conditionalFormatting sqref="G206:G207 I206:I207 K206:K207 Q206:Q207 O206:O207 M206:M207 U206:U207 W206:W207 S206:S207">
    <cfRule type="cellIs" dxfId="1659" priority="2375" stopIfTrue="1" operator="notEqual">
      <formula>H206</formula>
    </cfRule>
  </conditionalFormatting>
  <conditionalFormatting sqref="Q206:Q207 O206:O207 M206:M207 G206:G207 K206:K207 S206:S207 U206:U207 W206:W207 I206:I207">
    <cfRule type="cellIs" dxfId="1658" priority="2374" stopIfTrue="1" operator="notEqual">
      <formula>H206</formula>
    </cfRule>
  </conditionalFormatting>
  <conditionalFormatting sqref="Q236:Q239 O236:O239 M236:M239 G236:G239 K236:K239 S236:S239 U236:U239 W236:W239 I236:I239">
    <cfRule type="cellIs" dxfId="1657" priority="2373" stopIfTrue="1" operator="notEqual">
      <formula>H236</formula>
    </cfRule>
  </conditionalFormatting>
  <conditionalFormatting sqref="Q236:Q239 O236:O239 M236:M239 G236:G239 K236:K239 S236:S239 U236:U239 W236:W239 I236:I239">
    <cfRule type="cellIs" dxfId="1656" priority="2372" stopIfTrue="1" operator="notEqual">
      <formula>H236</formula>
    </cfRule>
  </conditionalFormatting>
  <conditionalFormatting sqref="Q236:Q239 O236:O239 M236:M239 G236:G239 K236:K239 S236:S239 U236:U239 W236:W239 I236:I239">
    <cfRule type="cellIs" dxfId="1655" priority="2371" stopIfTrue="1" operator="notEqual">
      <formula>H236</formula>
    </cfRule>
  </conditionalFormatting>
  <conditionalFormatting sqref="G236:G239 I236:I239 Q236:Q239 O236:O239 M236:M239 U236:U239 W236:W239 K236:K239 S236:S239">
    <cfRule type="cellIs" dxfId="1654" priority="2370" stopIfTrue="1" operator="notEqual">
      <formula>H236</formula>
    </cfRule>
  </conditionalFormatting>
  <conditionalFormatting sqref="Q236:Q239 O236:O239 M236:M239 G236:G239 K236:K239 S236:S239 U236:U239 W236:W239 I236:I239">
    <cfRule type="cellIs" dxfId="1653" priority="2369" stopIfTrue="1" operator="notEqual">
      <formula>H236</formula>
    </cfRule>
  </conditionalFormatting>
  <conditionalFormatting sqref="G236:G239 I236:I239 K236:K239 Q236:Q239 O236:O239 M236:M239 U236:U239 W236:W239 S236:S239">
    <cfRule type="cellIs" dxfId="1652" priority="2368" stopIfTrue="1" operator="notEqual">
      <formula>H236</formula>
    </cfRule>
  </conditionalFormatting>
  <conditionalFormatting sqref="Q236:Q239 O236:O239 M236:M239 G236:G239 K236:K239 S236:S239 U236:U239 W236:W239 I236:I239">
    <cfRule type="cellIs" dxfId="1651" priority="2367" stopIfTrue="1" operator="notEqual">
      <formula>H236</formula>
    </cfRule>
  </conditionalFormatting>
  <conditionalFormatting sqref="G236:G239 I236:I239 K236:K239 Q236:Q239 O236:O239 M236:M239 U236:U239 W236:W239 S236:S239">
    <cfRule type="cellIs" dxfId="1650" priority="2366" stopIfTrue="1" operator="notEqual">
      <formula>H236</formula>
    </cfRule>
  </conditionalFormatting>
  <conditionalFormatting sqref="Q236:Q239 O236:O239 M236:M239 G236:G239 K236:K239 S236:S239 U236:U239 W236:W239 I236:I239">
    <cfRule type="cellIs" dxfId="1649" priority="2365" stopIfTrue="1" operator="notEqual">
      <formula>H236</formula>
    </cfRule>
  </conditionalFormatting>
  <conditionalFormatting sqref="Q299:Q300 O299:O300 M299:M300 G299:G300 K299:K300 S299:S300 U299:U300 W299:W300 I299:I300">
    <cfRule type="cellIs" dxfId="1648" priority="2364" stopIfTrue="1" operator="notEqual">
      <formula>H299</formula>
    </cfRule>
  </conditionalFormatting>
  <conditionalFormatting sqref="Q299:Q300 O299:O300 M299:M300 G299:G300 K299:K300 S299:S300 U299:U300 W299:W300 I299:I300">
    <cfRule type="cellIs" dxfId="1647" priority="2363" stopIfTrue="1" operator="notEqual">
      <formula>H299</formula>
    </cfRule>
  </conditionalFormatting>
  <conditionalFormatting sqref="Q299:Q300 O299:O300 M299:M300 G299:G300 K299:K300 S299:S300 U299:U300 W299:W300 I299:I300">
    <cfRule type="cellIs" dxfId="1646" priority="2362" stopIfTrue="1" operator="notEqual">
      <formula>H299</formula>
    </cfRule>
  </conditionalFormatting>
  <conditionalFormatting sqref="G299:G300 I299:I300 Q299:Q300 O299:O300 M299:M300 U299:U300 W299:W300 K299:K300 S299:S300">
    <cfRule type="cellIs" dxfId="1645" priority="2361" stopIfTrue="1" operator="notEqual">
      <formula>H299</formula>
    </cfRule>
  </conditionalFormatting>
  <conditionalFormatting sqref="Q299:Q300 O299:O300 M299:M300 G299:G300 K299:K300 S299:S300 U299:U300 W299:W300 I299:I300">
    <cfRule type="cellIs" dxfId="1644" priority="2360" stopIfTrue="1" operator="notEqual">
      <formula>H299</formula>
    </cfRule>
  </conditionalFormatting>
  <conditionalFormatting sqref="G299:G300 I299:I300 K299:K300 Q299:Q300 O299:O300 M299:M300 U299:U300 W299:W300 S299:S300">
    <cfRule type="cellIs" dxfId="1643" priority="2359" stopIfTrue="1" operator="notEqual">
      <formula>H299</formula>
    </cfRule>
  </conditionalFormatting>
  <conditionalFormatting sqref="Q299:Q300 O299:O300 M299:M300 G299:G300 K299:K300 S299:S300 U299:U300 W299:W300 I299:I300">
    <cfRule type="cellIs" dxfId="1642" priority="2358" stopIfTrue="1" operator="notEqual">
      <formula>H299</formula>
    </cfRule>
  </conditionalFormatting>
  <conditionalFormatting sqref="G299:G300 I299:I300 K299:K300 Q299:Q300 O299:O300 M299:M300 U299:U300 W299:W300 S299:S300">
    <cfRule type="cellIs" dxfId="1641" priority="2357" stopIfTrue="1" operator="notEqual">
      <formula>H299</formula>
    </cfRule>
  </conditionalFormatting>
  <conditionalFormatting sqref="Q299:Q300 O299:O300 M299:M300 G299:G300 K299:K300 S299:S300 U299:U300 W299:W300 I299:I300">
    <cfRule type="cellIs" dxfId="1640" priority="2356" stopIfTrue="1" operator="notEqual">
      <formula>H299</formula>
    </cfRule>
  </conditionalFormatting>
  <conditionalFormatting sqref="Q305 O305 M305 G305 K305 S305 U305 W305 I305">
    <cfRule type="cellIs" dxfId="1639" priority="2355" stopIfTrue="1" operator="notEqual">
      <formula>H305</formula>
    </cfRule>
  </conditionalFormatting>
  <conditionalFormatting sqref="Q305 O305 M305 G305 K305 S305 U305 W305 I305">
    <cfRule type="cellIs" dxfId="1638" priority="2354" stopIfTrue="1" operator="notEqual">
      <formula>H305</formula>
    </cfRule>
  </conditionalFormatting>
  <conditionalFormatting sqref="Q305 O305 M305 G305 K305 S305 U305 W305 I305">
    <cfRule type="cellIs" dxfId="1637" priority="2353" stopIfTrue="1" operator="notEqual">
      <formula>H305</formula>
    </cfRule>
  </conditionalFormatting>
  <conditionalFormatting sqref="G305 I305 Q305 O305 M305 U305 W305 K305 S305">
    <cfRule type="cellIs" dxfId="1636" priority="2352" stopIfTrue="1" operator="notEqual">
      <formula>H305</formula>
    </cfRule>
  </conditionalFormatting>
  <conditionalFormatting sqref="Q305 O305 M305 G305 K305 S305 U305 W305 I305">
    <cfRule type="cellIs" dxfId="1635" priority="2351" stopIfTrue="1" operator="notEqual">
      <formula>H305</formula>
    </cfRule>
  </conditionalFormatting>
  <conditionalFormatting sqref="G305 I305 K305 Q305 O305 M305 U305 W305 S305">
    <cfRule type="cellIs" dxfId="1634" priority="2350" stopIfTrue="1" operator="notEqual">
      <formula>H305</formula>
    </cfRule>
  </conditionalFormatting>
  <conditionalFormatting sqref="Q305 O305 M305 G305 K305 S305 U305 W305 I305">
    <cfRule type="cellIs" dxfId="1633" priority="2349" stopIfTrue="1" operator="notEqual">
      <formula>H305</formula>
    </cfRule>
  </conditionalFormatting>
  <conditionalFormatting sqref="G305 I305 K305 Q305 O305 M305 U305 W305 S305">
    <cfRule type="cellIs" dxfId="1632" priority="2348" stopIfTrue="1" operator="notEqual">
      <formula>H305</formula>
    </cfRule>
  </conditionalFormatting>
  <conditionalFormatting sqref="Q305 O305 M305 G305 K305 S305 U305 W305 I305">
    <cfRule type="cellIs" dxfId="1631" priority="2347" stopIfTrue="1" operator="notEqual">
      <formula>H305</formula>
    </cfRule>
  </conditionalFormatting>
  <conditionalFormatting sqref="Q307 O307 M307 G307 K307 S307 U307 W307 I307">
    <cfRule type="cellIs" dxfId="1630" priority="2346" stopIfTrue="1" operator="notEqual">
      <formula>H307</formula>
    </cfRule>
  </conditionalFormatting>
  <conditionalFormatting sqref="Q307 O307 M307 G307 K307 S307 U307 W307 I307">
    <cfRule type="cellIs" dxfId="1629" priority="2345" stopIfTrue="1" operator="notEqual">
      <formula>H307</formula>
    </cfRule>
  </conditionalFormatting>
  <conditionalFormatting sqref="Q307 O307 M307 G307 K307 S307 U307 W307 I307">
    <cfRule type="cellIs" dxfId="1628" priority="2344" stopIfTrue="1" operator="notEqual">
      <formula>H307</formula>
    </cfRule>
  </conditionalFormatting>
  <conditionalFormatting sqref="G307 I307 Q307 O307 M307 U307 W307 K307 S307">
    <cfRule type="cellIs" dxfId="1627" priority="2343" stopIfTrue="1" operator="notEqual">
      <formula>H307</formula>
    </cfRule>
  </conditionalFormatting>
  <conditionalFormatting sqref="Q307 O307 M307 G307 K307 S307 U307 W307 I307">
    <cfRule type="cellIs" dxfId="1626" priority="2342" stopIfTrue="1" operator="notEqual">
      <formula>H307</formula>
    </cfRule>
  </conditionalFormatting>
  <conditionalFormatting sqref="G307 I307 K307 Q307 O307 M307 U307 W307 S307">
    <cfRule type="cellIs" dxfId="1625" priority="2341" stopIfTrue="1" operator="notEqual">
      <formula>H307</formula>
    </cfRule>
  </conditionalFormatting>
  <conditionalFormatting sqref="Q307 O307 M307 G307 K307 S307 U307 W307 I307">
    <cfRule type="cellIs" dxfId="1624" priority="2340" stopIfTrue="1" operator="notEqual">
      <formula>H307</formula>
    </cfRule>
  </conditionalFormatting>
  <conditionalFormatting sqref="G307 I307 K307 Q307 O307 M307 U307 W307 S307">
    <cfRule type="cellIs" dxfId="1623" priority="2339" stopIfTrue="1" operator="notEqual">
      <formula>H307</formula>
    </cfRule>
  </conditionalFormatting>
  <conditionalFormatting sqref="Q307 O307 M307 G307 K307 S307 U307 W307 I307">
    <cfRule type="cellIs" dxfId="1622" priority="2338" stopIfTrue="1" operator="notEqual">
      <formula>H307</formula>
    </cfRule>
  </conditionalFormatting>
  <conditionalFormatting sqref="Q313 O313 M313 G313 K313 S313 U313 W313 I313">
    <cfRule type="cellIs" dxfId="1621" priority="2337" stopIfTrue="1" operator="notEqual">
      <formula>H313</formula>
    </cfRule>
  </conditionalFormatting>
  <conditionalFormatting sqref="Q313 O313 M313 G313 K313 S313 U313 W313 I313">
    <cfRule type="cellIs" dxfId="1620" priority="2336" stopIfTrue="1" operator="notEqual">
      <formula>H313</formula>
    </cfRule>
  </conditionalFormatting>
  <conditionalFormatting sqref="Q313 O313 M313 G313 K313 S313 U313 W313 I313">
    <cfRule type="cellIs" dxfId="1619" priority="2335" stopIfTrue="1" operator="notEqual">
      <formula>H313</formula>
    </cfRule>
  </conditionalFormatting>
  <conditionalFormatting sqref="G313 I313 Q313 O313 M313 U313 W313 K313 S313">
    <cfRule type="cellIs" dxfId="1618" priority="2334" stopIfTrue="1" operator="notEqual">
      <formula>H313</formula>
    </cfRule>
  </conditionalFormatting>
  <conditionalFormatting sqref="Q313 O313 M313 G313 K313 S313 U313 W313 I313">
    <cfRule type="cellIs" dxfId="1617" priority="2333" stopIfTrue="1" operator="notEqual">
      <formula>H313</formula>
    </cfRule>
  </conditionalFormatting>
  <conditionalFormatting sqref="G313 I313 K313 Q313 O313 M313 U313 W313 S313">
    <cfRule type="cellIs" dxfId="1616" priority="2332" stopIfTrue="1" operator="notEqual">
      <formula>H313</formula>
    </cfRule>
  </conditionalFormatting>
  <conditionalFormatting sqref="Q313 O313 M313 G313 K313 S313 U313 W313 I313">
    <cfRule type="cellIs" dxfId="1615" priority="2331" stopIfTrue="1" operator="notEqual">
      <formula>H313</formula>
    </cfRule>
  </conditionalFormatting>
  <conditionalFormatting sqref="G313 I313 K313 Q313 O313 M313 U313 W313 S313">
    <cfRule type="cellIs" dxfId="1614" priority="2330" stopIfTrue="1" operator="notEqual">
      <formula>H313</formula>
    </cfRule>
  </conditionalFormatting>
  <conditionalFormatting sqref="Q313 O313 M313 G313 K313 S313 U313 W313 I313">
    <cfRule type="cellIs" dxfId="1613" priority="2329" stopIfTrue="1" operator="notEqual">
      <formula>H313</formula>
    </cfRule>
  </conditionalFormatting>
  <conditionalFormatting sqref="Q314 O314 M314 G314 K314 S314 U314 W314 I314">
    <cfRule type="cellIs" dxfId="1612" priority="2328" stopIfTrue="1" operator="notEqual">
      <formula>H314</formula>
    </cfRule>
  </conditionalFormatting>
  <conditionalFormatting sqref="Q314 O314 M314 G314 K314 S314 U314 W314 I314">
    <cfRule type="cellIs" dxfId="1611" priority="2327" stopIfTrue="1" operator="notEqual">
      <formula>H314</formula>
    </cfRule>
  </conditionalFormatting>
  <conditionalFormatting sqref="Q314 O314 M314 G314 K314 S314 U314 W314 I314">
    <cfRule type="cellIs" dxfId="1610" priority="2326" stopIfTrue="1" operator="notEqual">
      <formula>H314</formula>
    </cfRule>
  </conditionalFormatting>
  <conditionalFormatting sqref="G314 I314 Q314 O314 M314 U314 W314 K314 S314">
    <cfRule type="cellIs" dxfId="1609" priority="2325" stopIfTrue="1" operator="notEqual">
      <formula>H314</formula>
    </cfRule>
  </conditionalFormatting>
  <conditionalFormatting sqref="Q314 O314 M314 G314 K314 S314 U314 W314 I314">
    <cfRule type="cellIs" dxfId="1608" priority="2324" stopIfTrue="1" operator="notEqual">
      <formula>H314</formula>
    </cfRule>
  </conditionalFormatting>
  <conditionalFormatting sqref="G314 I314 K314 Q314 O314 M314 U314 W314 S314">
    <cfRule type="cellIs" dxfId="1607" priority="2323" stopIfTrue="1" operator="notEqual">
      <formula>H314</formula>
    </cfRule>
  </conditionalFormatting>
  <conditionalFormatting sqref="Q314 O314 M314 G314 K314 S314 U314 W314 I314">
    <cfRule type="cellIs" dxfId="1606" priority="2322" stopIfTrue="1" operator="notEqual">
      <formula>H314</formula>
    </cfRule>
  </conditionalFormatting>
  <conditionalFormatting sqref="G314 I314 K314 Q314 O314 M314 U314 W314 S314">
    <cfRule type="cellIs" dxfId="1605" priority="2321" stopIfTrue="1" operator="notEqual">
      <formula>H314</formula>
    </cfRule>
  </conditionalFormatting>
  <conditionalFormatting sqref="Q314 O314 M314 G314 K314 S314 U314 W314 I314">
    <cfRule type="cellIs" dxfId="1604" priority="2320" stopIfTrue="1" operator="notEqual">
      <formula>H314</formula>
    </cfRule>
  </conditionalFormatting>
  <conditionalFormatting sqref="Q325 O325 M325 G325 K325 S325 U325 W325 I325">
    <cfRule type="cellIs" dxfId="1603" priority="2319" stopIfTrue="1" operator="notEqual">
      <formula>H325</formula>
    </cfRule>
  </conditionalFormatting>
  <conditionalFormatting sqref="Q325 O325 M325 G325 K325 S325 U325 W325 I325">
    <cfRule type="cellIs" dxfId="1602" priority="2318" stopIfTrue="1" operator="notEqual">
      <formula>H325</formula>
    </cfRule>
  </conditionalFormatting>
  <conditionalFormatting sqref="Q325 O325 M325 G325 K325 S325 U325 W325 I325">
    <cfRule type="cellIs" dxfId="1601" priority="2317" stopIfTrue="1" operator="notEqual">
      <formula>H325</formula>
    </cfRule>
  </conditionalFormatting>
  <conditionalFormatting sqref="G325 I325 Q325 O325 M325 U325 W325 K325 S325">
    <cfRule type="cellIs" dxfId="1600" priority="2316" stopIfTrue="1" operator="notEqual">
      <formula>H325</formula>
    </cfRule>
  </conditionalFormatting>
  <conditionalFormatting sqref="Q325 O325 M325 G325 K325 S325 U325 W325 I325">
    <cfRule type="cellIs" dxfId="1599" priority="2315" stopIfTrue="1" operator="notEqual">
      <formula>H325</formula>
    </cfRule>
  </conditionalFormatting>
  <conditionalFormatting sqref="G325 I325 K325 Q325 O325 M325 U325 W325 S325">
    <cfRule type="cellIs" dxfId="1598" priority="2314" stopIfTrue="1" operator="notEqual">
      <formula>H325</formula>
    </cfRule>
  </conditionalFormatting>
  <conditionalFormatting sqref="Q325 O325 M325 G325 K325 S325 U325 W325 I325">
    <cfRule type="cellIs" dxfId="1597" priority="2313" stopIfTrue="1" operator="notEqual">
      <formula>H325</formula>
    </cfRule>
  </conditionalFormatting>
  <conditionalFormatting sqref="G325 I325 K325 Q325 O325 M325 U325 W325 S325">
    <cfRule type="cellIs" dxfId="1596" priority="2312" stopIfTrue="1" operator="notEqual">
      <formula>H325</formula>
    </cfRule>
  </conditionalFormatting>
  <conditionalFormatting sqref="Q325 O325 M325 G325 K325 S325 U325 W325 I325">
    <cfRule type="cellIs" dxfId="1595" priority="2311" stopIfTrue="1" operator="notEqual">
      <formula>H325</formula>
    </cfRule>
  </conditionalFormatting>
  <conditionalFormatting sqref="Q356 O356 M356 G356 K356 S356 U356 W356 I356">
    <cfRule type="cellIs" dxfId="1594" priority="2310" stopIfTrue="1" operator="notEqual">
      <formula>H356</formula>
    </cfRule>
  </conditionalFormatting>
  <conditionalFormatting sqref="Q356 O356 M356 G356 K356 S356 U356 W356 I356">
    <cfRule type="cellIs" dxfId="1593" priority="2309" stopIfTrue="1" operator="notEqual">
      <formula>H356</formula>
    </cfRule>
  </conditionalFormatting>
  <conditionalFormatting sqref="Q356 O356 M356 G356 K356 S356 U356 W356 I356">
    <cfRule type="cellIs" dxfId="1592" priority="2308" stopIfTrue="1" operator="notEqual">
      <formula>H356</formula>
    </cfRule>
  </conditionalFormatting>
  <conditionalFormatting sqref="G356 I356 Q356 O356 M356 U356 W356 K356 S356">
    <cfRule type="cellIs" dxfId="1591" priority="2307" stopIfTrue="1" operator="notEqual">
      <formula>H356</formula>
    </cfRule>
  </conditionalFormatting>
  <conditionalFormatting sqref="Q356 O356 M356 G356 K356 S356 U356 W356 I356">
    <cfRule type="cellIs" dxfId="1590" priority="2306" stopIfTrue="1" operator="notEqual">
      <formula>H356</formula>
    </cfRule>
  </conditionalFormatting>
  <conditionalFormatting sqref="G356 I356 K356 Q356 O356 M356 U356 W356 S356">
    <cfRule type="cellIs" dxfId="1589" priority="2305" stopIfTrue="1" operator="notEqual">
      <formula>H356</formula>
    </cfRule>
  </conditionalFormatting>
  <conditionalFormatting sqref="Q356 O356 M356 G356 K356 S356 U356 W356 I356">
    <cfRule type="cellIs" dxfId="1588" priority="2304" stopIfTrue="1" operator="notEqual">
      <formula>H356</formula>
    </cfRule>
  </conditionalFormatting>
  <conditionalFormatting sqref="G356 I356 K356 Q356 O356 M356 U356 W356 S356">
    <cfRule type="cellIs" dxfId="1587" priority="2303" stopIfTrue="1" operator="notEqual">
      <formula>H356</formula>
    </cfRule>
  </conditionalFormatting>
  <conditionalFormatting sqref="Q356 O356 M356 G356 K356 S356 U356 W356 I356">
    <cfRule type="cellIs" dxfId="1586" priority="2302" stopIfTrue="1" operator="notEqual">
      <formula>H356</formula>
    </cfRule>
  </conditionalFormatting>
  <conditionalFormatting sqref="Q384:Q388 O384:O388 M384:M388 G384:G388 K384:K388 S384:S388 U384:U388 W384:W388 I384:I388">
    <cfRule type="cellIs" dxfId="1585" priority="2301" stopIfTrue="1" operator="notEqual">
      <formula>H384</formula>
    </cfRule>
  </conditionalFormatting>
  <conditionalFormatting sqref="Q384:Q388 O384:O388 M384:M388 G384:G388 K384:K388 S384:S388 U384:U388 W384:W388 I384:I388">
    <cfRule type="cellIs" dxfId="1584" priority="2300" stopIfTrue="1" operator="notEqual">
      <formula>H384</formula>
    </cfRule>
  </conditionalFormatting>
  <conditionalFormatting sqref="Q384:Q388 O384:O388 M384:M388 G384:G388 K384:K388 S384:S388 U384:U388 W384:W388 I384:I388">
    <cfRule type="cellIs" dxfId="1583" priority="2299" stopIfTrue="1" operator="notEqual">
      <formula>H384</formula>
    </cfRule>
  </conditionalFormatting>
  <conditionalFormatting sqref="G384:G388 I384:I388 Q384:Q388 O384:O388 M384:M388 U384:U388 W384:W388 K384:K388 S384:S388">
    <cfRule type="cellIs" dxfId="1582" priority="2298" stopIfTrue="1" operator="notEqual">
      <formula>H384</formula>
    </cfRule>
  </conditionalFormatting>
  <conditionalFormatting sqref="Q384:Q388 O384:O388 M384:M388 G384:G388 K384:K388 S384:S388 U384:U388 W384:W388 I384:I388">
    <cfRule type="cellIs" dxfId="1581" priority="2297" stopIfTrue="1" operator="notEqual">
      <formula>H384</formula>
    </cfRule>
  </conditionalFormatting>
  <conditionalFormatting sqref="G384:G388 I384:I388 K384:K388 Q384:Q388 O384:O388 M384:M388 U384:U388 W384:W388 S384:S388">
    <cfRule type="cellIs" dxfId="1580" priority="2296" stopIfTrue="1" operator="notEqual">
      <formula>H384</formula>
    </cfRule>
  </conditionalFormatting>
  <conditionalFormatting sqref="Q384:Q388 O384:O388 M384:M388 G384:G388 K384:K388 S384:S388 U384:U388 W384:W388 I384:I388">
    <cfRule type="cellIs" dxfId="1579" priority="2295" stopIfTrue="1" operator="notEqual">
      <formula>H384</formula>
    </cfRule>
  </conditionalFormatting>
  <conditionalFormatting sqref="G384:G388 I384:I388 K384:K388 Q384:Q388 O384:O388 M384:M388 U384:U388 W384:W388 S384:S388">
    <cfRule type="cellIs" dxfId="1578" priority="2294" stopIfTrue="1" operator="notEqual">
      <formula>H384</formula>
    </cfRule>
  </conditionalFormatting>
  <conditionalFormatting sqref="Q384:Q388 O384:O388 M384:M388 G384:G388 K384:K388 S384:S388 U384:U388 W384:W388 I384:I388">
    <cfRule type="cellIs" dxfId="1577" priority="2293" stopIfTrue="1" operator="notEqual">
      <formula>H384</formula>
    </cfRule>
  </conditionalFormatting>
  <conditionalFormatting sqref="Q418:Q419 O418:O419 M418:M419 G418:G419 K418:K419 S418:S419 U418:U419 W418:W419 I418:I419">
    <cfRule type="cellIs" dxfId="1576" priority="2292" stopIfTrue="1" operator="notEqual">
      <formula>H418</formula>
    </cfRule>
  </conditionalFormatting>
  <conditionalFormatting sqref="Q418:Q419 O418:O419 M418:M419 G418:G419 K418:K419 S418:S419 U418:U419 W418:W419 I418:I419">
    <cfRule type="cellIs" dxfId="1575" priority="2291" stopIfTrue="1" operator="notEqual">
      <formula>H418</formula>
    </cfRule>
  </conditionalFormatting>
  <conditionalFormatting sqref="Q418:Q419 O418:O419 M418:M419 G418:G419 K418:K419 S418:S419 U418:U419 W418:W419 I418:I419">
    <cfRule type="cellIs" dxfId="1574" priority="2290" stopIfTrue="1" operator="notEqual">
      <formula>H418</formula>
    </cfRule>
  </conditionalFormatting>
  <conditionalFormatting sqref="G418:G419 I418:I419 Q418:Q419 O418:O419 M418:M419 U418:U419 W418:W419 K418:K419 S418:S419">
    <cfRule type="cellIs" dxfId="1573" priority="2289" stopIfTrue="1" operator="notEqual">
      <formula>H418</formula>
    </cfRule>
  </conditionalFormatting>
  <conditionalFormatting sqref="Q418:Q419 O418:O419 M418:M419 G418:G419 K418:K419 S418:S419 U418:U419 W418:W419 I418:I419">
    <cfRule type="cellIs" dxfId="1572" priority="2288" stopIfTrue="1" operator="notEqual">
      <formula>H418</formula>
    </cfRule>
  </conditionalFormatting>
  <conditionalFormatting sqref="G418:G419 I418:I419 K418:K419 Q418:Q419 O418:O419 M418:M419 U418:U419 W418:W419 S418:S419">
    <cfRule type="cellIs" dxfId="1571" priority="2287" stopIfTrue="1" operator="notEqual">
      <formula>H418</formula>
    </cfRule>
  </conditionalFormatting>
  <conditionalFormatting sqref="Q418:Q419 O418:O419 M418:M419 G418:G419 K418:K419 S418:S419 U418:U419 W418:W419 I418:I419">
    <cfRule type="cellIs" dxfId="1570" priority="2286" stopIfTrue="1" operator="notEqual">
      <formula>H418</formula>
    </cfRule>
  </conditionalFormatting>
  <conditionalFormatting sqref="G418:G419 I418:I419 K418:K419 Q418:Q419 O418:O419 M418:M419 U418:U419 W418:W419 S418:S419">
    <cfRule type="cellIs" dxfId="1569" priority="2285" stopIfTrue="1" operator="notEqual">
      <formula>H418</formula>
    </cfRule>
  </conditionalFormatting>
  <conditionalFormatting sqref="Q418:Q419 O418:O419 M418:M419 G418:G419 K418:K419 S418:S419 U418:U419 W418:W419 I418:I419">
    <cfRule type="cellIs" dxfId="1568" priority="2284" stopIfTrue="1" operator="notEqual">
      <formula>H418</formula>
    </cfRule>
  </conditionalFormatting>
  <conditionalFormatting sqref="Q446 O446 M446 G446 K446 S446 U446 W446 I446">
    <cfRule type="cellIs" dxfId="1567" priority="2283" stopIfTrue="1" operator="notEqual">
      <formula>H446</formula>
    </cfRule>
  </conditionalFormatting>
  <conditionalFormatting sqref="Q446 O446 M446 G446 K446 S446 U446 W446 I446">
    <cfRule type="cellIs" dxfId="1566" priority="2282" stopIfTrue="1" operator="notEqual">
      <formula>H446</formula>
    </cfRule>
  </conditionalFormatting>
  <conditionalFormatting sqref="Q446 O446 M446 G446 K446 S446 U446 W446 I446">
    <cfRule type="cellIs" dxfId="1565" priority="2281" stopIfTrue="1" operator="notEqual">
      <formula>H446</formula>
    </cfRule>
  </conditionalFormatting>
  <conditionalFormatting sqref="G446 I446 Q446 O446 M446 U446 W446 K446 S446">
    <cfRule type="cellIs" dxfId="1564" priority="2280" stopIfTrue="1" operator="notEqual">
      <formula>H446</formula>
    </cfRule>
  </conditionalFormatting>
  <conditionalFormatting sqref="Q446 O446 M446 G446 K446 S446 U446 W446 I446">
    <cfRule type="cellIs" dxfId="1563" priority="2279" stopIfTrue="1" operator="notEqual">
      <formula>H446</formula>
    </cfRule>
  </conditionalFormatting>
  <conditionalFormatting sqref="G446 I446 K446 Q446 O446 M446 U446 W446 S446">
    <cfRule type="cellIs" dxfId="1562" priority="2278" stopIfTrue="1" operator="notEqual">
      <formula>H446</formula>
    </cfRule>
  </conditionalFormatting>
  <conditionalFormatting sqref="Q446 O446 M446 G446 K446 S446 U446 W446 I446">
    <cfRule type="cellIs" dxfId="1561" priority="2277" stopIfTrue="1" operator="notEqual">
      <formula>H446</formula>
    </cfRule>
  </conditionalFormatting>
  <conditionalFormatting sqref="G446 I446 K446 Q446 O446 M446 U446 W446 S446">
    <cfRule type="cellIs" dxfId="1560" priority="2276" stopIfTrue="1" operator="notEqual">
      <formula>H446</formula>
    </cfRule>
  </conditionalFormatting>
  <conditionalFormatting sqref="Q446 O446 M446 G446 K446 S446 U446 W446 I446">
    <cfRule type="cellIs" dxfId="1559" priority="2275" stopIfTrue="1" operator="notEqual">
      <formula>H446</formula>
    </cfRule>
  </conditionalFormatting>
  <conditionalFormatting sqref="Q469:Q476 O469:O476 M469:M476 G469:G476 K469:K476 S469:S476 U469:U476 W469:W476 I469:I476">
    <cfRule type="cellIs" dxfId="1558" priority="2274" stopIfTrue="1" operator="notEqual">
      <formula>H469</formula>
    </cfRule>
  </conditionalFormatting>
  <conditionalFormatting sqref="Q469:Q476 O469:O476 M469:M476 G469:G476 K469:K476 S469:S476 U469:U476 W469:W476 I469:I476">
    <cfRule type="cellIs" dxfId="1557" priority="2273" stopIfTrue="1" operator="notEqual">
      <formula>H469</formula>
    </cfRule>
  </conditionalFormatting>
  <conditionalFormatting sqref="Q469:Q476 O469:O476 M469:M476 G469:G476 K469:K476 S469:S476 U469:U476 W469:W476 I469:I476">
    <cfRule type="cellIs" dxfId="1556" priority="2272" stopIfTrue="1" operator="notEqual">
      <formula>H469</formula>
    </cfRule>
  </conditionalFormatting>
  <conditionalFormatting sqref="G469:G476 I469:I476 Q469:Q476 O469:O476 M469:M476 U469:U476 W469:W476 K469:K476 S469:S476">
    <cfRule type="cellIs" dxfId="1555" priority="2271" stopIfTrue="1" operator="notEqual">
      <formula>H469</formula>
    </cfRule>
  </conditionalFormatting>
  <conditionalFormatting sqref="Q469:Q476 O469:O476 M469:M476 G469:G476 K469:K476 S469:S476 U469:U476 W469:W476 I469:I476">
    <cfRule type="cellIs" dxfId="1554" priority="2270" stopIfTrue="1" operator="notEqual">
      <formula>H469</formula>
    </cfRule>
  </conditionalFormatting>
  <conditionalFormatting sqref="G469:G476 I469:I476 K469:K476 Q469:Q476 O469:O476 M469:M476 U469:U476 W469:W476 S469:S476">
    <cfRule type="cellIs" dxfId="1553" priority="2269" stopIfTrue="1" operator="notEqual">
      <formula>H469</formula>
    </cfRule>
  </conditionalFormatting>
  <conditionalFormatting sqref="Q469:Q476 O469:O476 M469:M476 G469:G476 K469:K476 S469:S476 U469:U476 W469:W476 I469:I476">
    <cfRule type="cellIs" dxfId="1552" priority="2268" stopIfTrue="1" operator="notEqual">
      <formula>H469</formula>
    </cfRule>
  </conditionalFormatting>
  <conditionalFormatting sqref="G469:G476 I469:I476 K469:K476 Q469:Q476 O469:O476 M469:M476 U469:U476 W469:W476 S469:S476">
    <cfRule type="cellIs" dxfId="1551" priority="2267" stopIfTrue="1" operator="notEqual">
      <formula>H469</formula>
    </cfRule>
  </conditionalFormatting>
  <conditionalFormatting sqref="Q469:Q476 O469:O476 M469:M476 G469:G476 K469:K476 S469:S476 U469:U476 W469:W476 I469:I476">
    <cfRule type="cellIs" dxfId="1550" priority="2266" stopIfTrue="1" operator="notEqual">
      <formula>H469</formula>
    </cfRule>
  </conditionalFormatting>
  <conditionalFormatting sqref="Q543 O543 M543 G543 K543 S543 U543 W543 I543">
    <cfRule type="cellIs" dxfId="1549" priority="2265" stopIfTrue="1" operator="notEqual">
      <formula>H543</formula>
    </cfRule>
  </conditionalFormatting>
  <conditionalFormatting sqref="Q543 O543 M543 G543 K543 S543 U543 W543 I543">
    <cfRule type="cellIs" dxfId="1548" priority="2264" stopIfTrue="1" operator="notEqual">
      <formula>H543</formula>
    </cfRule>
  </conditionalFormatting>
  <conditionalFormatting sqref="Q543 O543 M543 G543 K543 S543 U543 W543 I543">
    <cfRule type="cellIs" dxfId="1547" priority="2263" stopIfTrue="1" operator="notEqual">
      <formula>H543</formula>
    </cfRule>
  </conditionalFormatting>
  <conditionalFormatting sqref="G543 I543 Q543 O543 M543 U543 W543 K543 S543">
    <cfRule type="cellIs" dxfId="1546" priority="2262" stopIfTrue="1" operator="notEqual">
      <formula>H543</formula>
    </cfRule>
  </conditionalFormatting>
  <conditionalFormatting sqref="Q543 O543 M543 G543 K543 S543 U543 W543 I543">
    <cfRule type="cellIs" dxfId="1545" priority="2261" stopIfTrue="1" operator="notEqual">
      <formula>H543</formula>
    </cfRule>
  </conditionalFormatting>
  <conditionalFormatting sqref="G543 I543 K543 Q543 O543 M543 U543 W543 S543">
    <cfRule type="cellIs" dxfId="1544" priority="2260" stopIfTrue="1" operator="notEqual">
      <formula>H543</formula>
    </cfRule>
  </conditionalFormatting>
  <conditionalFormatting sqref="Q543 O543 M543 G543 K543 S543 U543 W543 I543">
    <cfRule type="cellIs" dxfId="1543" priority="2259" stopIfTrue="1" operator="notEqual">
      <formula>H543</formula>
    </cfRule>
  </conditionalFormatting>
  <conditionalFormatting sqref="G543 I543 K543 Q543 O543 M543 U543 W543 S543">
    <cfRule type="cellIs" dxfId="1542" priority="2258" stopIfTrue="1" operator="notEqual">
      <formula>H543</formula>
    </cfRule>
  </conditionalFormatting>
  <conditionalFormatting sqref="Q543 O543 M543 G543 K543 S543 U543 W543 I543">
    <cfRule type="cellIs" dxfId="1541" priority="2257" stopIfTrue="1" operator="notEqual">
      <formula>H543</formula>
    </cfRule>
  </conditionalFormatting>
  <conditionalFormatting sqref="Q566:Q567 O566:O567 M566:M567 G566:G567 K566:K567 S566:S567 U566:U567 W566:W567 I566:I567">
    <cfRule type="cellIs" dxfId="1540" priority="2256" stopIfTrue="1" operator="notEqual">
      <formula>H566</formula>
    </cfRule>
  </conditionalFormatting>
  <conditionalFormatting sqref="Q566:Q567 O566:O567 M566:M567 G566:G567 K566:K567 S566:S567 U566:U567 W566:W567 I566:I567">
    <cfRule type="cellIs" dxfId="1539" priority="2255" stopIfTrue="1" operator="notEqual">
      <formula>H566</formula>
    </cfRule>
  </conditionalFormatting>
  <conditionalFormatting sqref="Q566:Q567 O566:O567 M566:M567 G566:G567 K566:K567 S566:S567 U566:U567 W566:W567 I566:I567">
    <cfRule type="cellIs" dxfId="1538" priority="2254" stopIfTrue="1" operator="notEqual">
      <formula>H566</formula>
    </cfRule>
  </conditionalFormatting>
  <conditionalFormatting sqref="G566:G567 I566:I567 Q566:Q567 O566:O567 M566:M567 U566:U567 W566:W567 K566:K567 S566:S567">
    <cfRule type="cellIs" dxfId="1537" priority="2253" stopIfTrue="1" operator="notEqual">
      <formula>H566</formula>
    </cfRule>
  </conditionalFormatting>
  <conditionalFormatting sqref="Q566:Q567 O566:O567 M566:M567 G566:G567 K566:K567 S566:S567 U566:U567 W566:W567 I566:I567">
    <cfRule type="cellIs" dxfId="1536" priority="2252" stopIfTrue="1" operator="notEqual">
      <formula>H566</formula>
    </cfRule>
  </conditionalFormatting>
  <conditionalFormatting sqref="G566:G567 I566:I567 K566:K567 Q566:Q567 O566:O567 M566:M567 U566:U567 W566:W567 S566:S567">
    <cfRule type="cellIs" dxfId="1535" priority="2251" stopIfTrue="1" operator="notEqual">
      <formula>H566</formula>
    </cfRule>
  </conditionalFormatting>
  <conditionalFormatting sqref="Q566:Q567 O566:O567 M566:M567 G566:G567 K566:K567 S566:S567 U566:U567 W566:W567 I566:I567">
    <cfRule type="cellIs" dxfId="1534" priority="2250" stopIfTrue="1" operator="notEqual">
      <formula>H566</formula>
    </cfRule>
  </conditionalFormatting>
  <conditionalFormatting sqref="G566:G567 I566:I567 K566:K567 Q566:Q567 O566:O567 M566:M567 U566:U567 W566:W567 S566:S567">
    <cfRule type="cellIs" dxfId="1533" priority="2249" stopIfTrue="1" operator="notEqual">
      <formula>H566</formula>
    </cfRule>
  </conditionalFormatting>
  <conditionalFormatting sqref="Q566:Q567 O566:O567 M566:M567 G566:G567 K566:K567 S566:S567 U566:U567 W566:W567 I566:I567">
    <cfRule type="cellIs" dxfId="1532" priority="2248" stopIfTrue="1" operator="notEqual">
      <formula>H566</formula>
    </cfRule>
  </conditionalFormatting>
  <conditionalFormatting sqref="G161:G178 I161:I178 Q161:Q178 O161:O178 M161:M178 U161:U178 W161:W178 K161:K178 S161:S178">
    <cfRule type="cellIs" dxfId="1531" priority="2247" stopIfTrue="1" operator="notEqual">
      <formula>H161</formula>
    </cfRule>
  </conditionalFormatting>
  <conditionalFormatting sqref="G161:G178 I161:I178 K161:K178 Q161:Q178 O161:O178 M161:M178 U161:U178 W161:W178 S161:S178">
    <cfRule type="cellIs" dxfId="1530" priority="2246" stopIfTrue="1" operator="notEqual">
      <formula>H161</formula>
    </cfRule>
  </conditionalFormatting>
  <conditionalFormatting sqref="G161:G178 I161:I178 K161:K178 Q161:Q178 O161:O178 M161:M178 U161:U178 W161:W178 S161:S178">
    <cfRule type="cellIs" dxfId="1529" priority="2245" stopIfTrue="1" operator="notEqual">
      <formula>H161</formula>
    </cfRule>
  </conditionalFormatting>
  <conditionalFormatting sqref="G184:G194 I184:I194 Q184:Q194 O184:O194 M184:M194 U184:U194 W184:W194 K184:K194 S184:S194">
    <cfRule type="cellIs" dxfId="1528" priority="2244" stopIfTrue="1" operator="notEqual">
      <formula>H184</formula>
    </cfRule>
  </conditionalFormatting>
  <conditionalFormatting sqref="G184:G194 I184:I194 K184:K194 Q184:Q194 O184:O194 M184:M194 U184:U194 W184:W194 S184:S194">
    <cfRule type="cellIs" dxfId="1527" priority="2243" stopIfTrue="1" operator="notEqual">
      <formula>H184</formula>
    </cfRule>
  </conditionalFormatting>
  <conditionalFormatting sqref="G184:G194 I184:I194 K184:K194 Q184:Q194 O184:O194 M184:M194 U184:U194 W184:W194 S184:S194">
    <cfRule type="cellIs" dxfId="1526" priority="2242" stopIfTrue="1" operator="notEqual">
      <formula>H184</formula>
    </cfRule>
  </conditionalFormatting>
  <conditionalFormatting sqref="G198 I198 Q198 O198 M198 U198 W198 K198 S198">
    <cfRule type="cellIs" dxfId="1525" priority="2241" stopIfTrue="1" operator="notEqual">
      <formula>H198</formula>
    </cfRule>
  </conditionalFormatting>
  <conditionalFormatting sqref="G198 I198 K198 Q198 O198 M198 U198 W198 S198">
    <cfRule type="cellIs" dxfId="1524" priority="2240" stopIfTrue="1" operator="notEqual">
      <formula>H198</formula>
    </cfRule>
  </conditionalFormatting>
  <conditionalFormatting sqref="G198 I198 K198 Q198 O198 M198 U198 W198 S198">
    <cfRule type="cellIs" dxfId="1523" priority="2239" stopIfTrue="1" operator="notEqual">
      <formula>H198</formula>
    </cfRule>
  </conditionalFormatting>
  <conditionalFormatting sqref="G208 I208 Q208 O208 M208 U208 W208 K208 S208">
    <cfRule type="cellIs" dxfId="1522" priority="2238" stopIfTrue="1" operator="notEqual">
      <formula>H208</formula>
    </cfRule>
  </conditionalFormatting>
  <conditionalFormatting sqref="G208 I208 K208 Q208 O208 M208 U208 W208 S208">
    <cfRule type="cellIs" dxfId="1521" priority="2237" stopIfTrue="1" operator="notEqual">
      <formula>H208</formula>
    </cfRule>
  </conditionalFormatting>
  <conditionalFormatting sqref="G208 I208 K208 Q208 O208 M208 U208 W208 S208">
    <cfRule type="cellIs" dxfId="1520" priority="2236" stopIfTrue="1" operator="notEqual">
      <formula>H208</formula>
    </cfRule>
  </conditionalFormatting>
  <conditionalFormatting sqref="G240:G247 I240:I247 K240:K247 Q240:Q247 O240:O247 M240:M247 U240:U247 W240:W247 S240:S247">
    <cfRule type="cellIs" dxfId="1519" priority="2235" stopIfTrue="1" operator="notEqual">
      <formula>H240</formula>
    </cfRule>
  </conditionalFormatting>
  <conditionalFormatting sqref="G256:G258 I256:I258 Q256:Q258 O256:O258 M256:M258 U256:U258 W256:W258 K256:K258 S256:S258">
    <cfRule type="cellIs" dxfId="1518" priority="2234" stopIfTrue="1" operator="notEqual">
      <formula>H256</formula>
    </cfRule>
  </conditionalFormatting>
  <conditionalFormatting sqref="G256:G258 I256:I258 K256:K258 Q256:Q258 O256:O258 M256:M258 U256:U258 W256:W258 S256:S258">
    <cfRule type="cellIs" dxfId="1517" priority="2233" stopIfTrue="1" operator="notEqual">
      <formula>H256</formula>
    </cfRule>
  </conditionalFormatting>
  <conditionalFormatting sqref="G256:G258 I256:I258 K256:K258 Q256:Q258 O256:O258 M256:M258 U256:U258 W256:W258 S256:S258">
    <cfRule type="cellIs" dxfId="1516" priority="2232" stopIfTrue="1" operator="notEqual">
      <formula>H256</formula>
    </cfRule>
  </conditionalFormatting>
  <conditionalFormatting sqref="G268:G279 I268:I279 Q268:Q279 O268:O279 M268:M279 U268:U279 W268:W279 K268:K279 S268:S279">
    <cfRule type="cellIs" dxfId="1515" priority="2231" stopIfTrue="1" operator="notEqual">
      <formula>H268</formula>
    </cfRule>
  </conditionalFormatting>
  <conditionalFormatting sqref="G268:G279 I268:I279 K268:K279 Q268:Q279 O268:O279 M268:M279 U268:U279 W268:W279 S268:S279">
    <cfRule type="cellIs" dxfId="1514" priority="2230" stopIfTrue="1" operator="notEqual">
      <formula>H268</formula>
    </cfRule>
  </conditionalFormatting>
  <conditionalFormatting sqref="G268:G279 I268:I279 K268:K279 Q268:Q279 O268:O279 M268:M279 U268:U279 W268:W279 S268:S279">
    <cfRule type="cellIs" dxfId="1513" priority="2229" stopIfTrue="1" operator="notEqual">
      <formula>H268</formula>
    </cfRule>
  </conditionalFormatting>
  <conditionalFormatting sqref="G289:G294 I289:I294 Q289:Q294 O289:O294 M289:M294 U289:U294 W289:W294 K289:K294 S289:S294">
    <cfRule type="cellIs" dxfId="1512" priority="2228" stopIfTrue="1" operator="notEqual">
      <formula>H289</formula>
    </cfRule>
  </conditionalFormatting>
  <conditionalFormatting sqref="G289:G294 I289:I294 K289:K294 Q289:Q294 O289:O294 M289:M294 U289:U294 W289:W294 S289:S294">
    <cfRule type="cellIs" dxfId="1511" priority="2227" stopIfTrue="1" operator="notEqual">
      <formula>H289</formula>
    </cfRule>
  </conditionalFormatting>
  <conditionalFormatting sqref="G289:G294 I289:I294 K289:K294 Q289:Q294 O289:O294 M289:M294 U289:U294 W289:W294 S289:S294">
    <cfRule type="cellIs" dxfId="1510" priority="2226" stopIfTrue="1" operator="notEqual">
      <formula>H289</formula>
    </cfRule>
  </conditionalFormatting>
  <conditionalFormatting sqref="G308:G312 I308:I312 Q308:Q312 O308:O312 M308:M312 U308:U312 W308:W312 K308:K312 S308:S312">
    <cfRule type="cellIs" dxfId="1509" priority="2225" stopIfTrue="1" operator="notEqual">
      <formula>H308</formula>
    </cfRule>
  </conditionalFormatting>
  <conditionalFormatting sqref="G308:G312 I308:I312 K308:K312 Q308:Q312 O308:O312 M308:M312 U308:U312 W308:W312 S308:S312">
    <cfRule type="cellIs" dxfId="1508" priority="2224" stopIfTrue="1" operator="notEqual">
      <formula>H308</formula>
    </cfRule>
  </conditionalFormatting>
  <conditionalFormatting sqref="G308:G312 I308:I312 K308:K312 Q308:Q312 O308:O312 M308:M312 U308:U312 W308:W312 S308:S312">
    <cfRule type="cellIs" dxfId="1507" priority="2223" stopIfTrue="1" operator="notEqual">
      <formula>H308</formula>
    </cfRule>
  </conditionalFormatting>
  <conditionalFormatting sqref="G315:G324 I315:I324 Q315:Q324 O315:O324 M315:M324 U315:U324 W315:W324 K315:K324 S315:S324">
    <cfRule type="cellIs" dxfId="1506" priority="2222" stopIfTrue="1" operator="notEqual">
      <formula>H315</formula>
    </cfRule>
  </conditionalFormatting>
  <conditionalFormatting sqref="G315:G324 I315:I324 K315:K324 Q315:Q324 O315:O324 M315:M324 U315:U324 W315:W324 S315:S324">
    <cfRule type="cellIs" dxfId="1505" priority="2221" stopIfTrue="1" operator="notEqual">
      <formula>H315</formula>
    </cfRule>
  </conditionalFormatting>
  <conditionalFormatting sqref="G315:G324 I315:I324 K315:K324 Q315:Q324 O315:O324 M315:M324 U315:U324 W315:W324 S315:S324">
    <cfRule type="cellIs" dxfId="1504" priority="2220" stopIfTrue="1" operator="notEqual">
      <formula>H315</formula>
    </cfRule>
  </conditionalFormatting>
  <conditionalFormatting sqref="G326:G354 I326:I354 Q326:Q354 O326:O354 M326:M354 U326:U354 W326:W354 K326:K354 S326:S354">
    <cfRule type="cellIs" dxfId="1503" priority="2219" stopIfTrue="1" operator="notEqual">
      <formula>H326</formula>
    </cfRule>
  </conditionalFormatting>
  <conditionalFormatting sqref="G326:G354 I326:I354 K326:K354 Q326:Q354 O326:O354 M326:M354 U326:U354 W326:W354 S326:S354">
    <cfRule type="cellIs" dxfId="1502" priority="2218" stopIfTrue="1" operator="notEqual">
      <formula>H326</formula>
    </cfRule>
  </conditionalFormatting>
  <conditionalFormatting sqref="G326:G354 I326:I354 K326:K354 Q326:Q354 O326:O354 M326:M354 U326:U354 W326:W354 S326:S354">
    <cfRule type="cellIs" dxfId="1501" priority="2217" stopIfTrue="1" operator="notEqual">
      <formula>H326</formula>
    </cfRule>
  </conditionalFormatting>
  <conditionalFormatting sqref="G355 I355 Q355 O355 M355 U355 W355 K355 S355">
    <cfRule type="cellIs" dxfId="1500" priority="2216" stopIfTrue="1" operator="notEqual">
      <formula>H355</formula>
    </cfRule>
  </conditionalFormatting>
  <conditionalFormatting sqref="G355 I355 K355 Q355 O355 M355 U355 W355 S355">
    <cfRule type="cellIs" dxfId="1499" priority="2215" stopIfTrue="1" operator="notEqual">
      <formula>H355</formula>
    </cfRule>
  </conditionalFormatting>
  <conditionalFormatting sqref="G355 I355 K355 Q355 O355 M355 U355 W355 S355">
    <cfRule type="cellIs" dxfId="1498" priority="2214" stopIfTrue="1" operator="notEqual">
      <formula>H355</formula>
    </cfRule>
  </conditionalFormatting>
  <conditionalFormatting sqref="G357:G360 I357:I360 Q357:Q360 O357:O360 M357:M360 U357:U360 W357:W360 K357:K360 S357:S360">
    <cfRule type="cellIs" dxfId="1497" priority="2213" stopIfTrue="1" operator="notEqual">
      <formula>H357</formula>
    </cfRule>
  </conditionalFormatting>
  <conditionalFormatting sqref="G357:G360 I357:I360 K357:K360 Q357:Q360 O357:O360 M357:M360 U357:U360 W357:W360 S357:S360">
    <cfRule type="cellIs" dxfId="1496" priority="2212" stopIfTrue="1" operator="notEqual">
      <formula>H357</formula>
    </cfRule>
  </conditionalFormatting>
  <conditionalFormatting sqref="G357:G360 I357:I360 K357:K360 Q357:Q360 O357:O360 M357:M360 U357:U360 W357:W360 S357:S360">
    <cfRule type="cellIs" dxfId="1495" priority="2211" stopIfTrue="1" operator="notEqual">
      <formula>H357</formula>
    </cfRule>
  </conditionalFormatting>
  <conditionalFormatting sqref="G371:G383 I371:I383 Q371:Q383 O371:O383 M371:M383 U371:U383 W371:W383 K371:K383 S371:S383">
    <cfRule type="cellIs" dxfId="1494" priority="2210" stopIfTrue="1" operator="notEqual">
      <formula>H371</formula>
    </cfRule>
  </conditionalFormatting>
  <conditionalFormatting sqref="G371:G383 I371:I383 K371:K383 Q371:Q383 O371:O383 M371:M383 U371:U383 W371:W383 S371:S383">
    <cfRule type="cellIs" dxfId="1493" priority="2209" stopIfTrue="1" operator="notEqual">
      <formula>H371</formula>
    </cfRule>
  </conditionalFormatting>
  <conditionalFormatting sqref="G371:G383 I371:I383 K371:K383 Q371:Q383 O371:O383 M371:M383 U371:U383 W371:W383 S371:S383">
    <cfRule type="cellIs" dxfId="1492" priority="2208" stopIfTrue="1" operator="notEqual">
      <formula>H371</formula>
    </cfRule>
  </conditionalFormatting>
  <conditionalFormatting sqref="G402:G411 I402:I411 Q402:Q411 O402:O411 M402:M411 U402:U411 W402:W411 K402:K411 S402:S411">
    <cfRule type="cellIs" dxfId="1491" priority="2207" stopIfTrue="1" operator="notEqual">
      <formula>H402</formula>
    </cfRule>
  </conditionalFormatting>
  <conditionalFormatting sqref="G402:G411 I402:I411 K402:K411 Q402:Q411 O402:O411 M402:M411 U402:U411 W402:W411 S402:S411">
    <cfRule type="cellIs" dxfId="1490" priority="2206" stopIfTrue="1" operator="notEqual">
      <formula>H402</formula>
    </cfRule>
  </conditionalFormatting>
  <conditionalFormatting sqref="G402:G411 I402:I411 K402:K411 Q402:Q411 O402:O411 M402:M411 U402:U411 W402:W411 S402:S411">
    <cfRule type="cellIs" dxfId="1489" priority="2205" stopIfTrue="1" operator="notEqual">
      <formula>H402</formula>
    </cfRule>
  </conditionalFormatting>
  <conditionalFormatting sqref="G422:G430 I422:I430 Q422:Q430 O422:O430 M422:M430 U422:U430 W422:W430 K422:K430 S422:S430">
    <cfRule type="cellIs" dxfId="1488" priority="2204" stopIfTrue="1" operator="notEqual">
      <formula>H422</formula>
    </cfRule>
  </conditionalFormatting>
  <conditionalFormatting sqref="G422:G430 I422:I430 K422:K430 Q422:Q430 O422:O430 M422:M430 U422:U430 W422:W430 S422:S430">
    <cfRule type="cellIs" dxfId="1487" priority="2203" stopIfTrue="1" operator="notEqual">
      <formula>H422</formula>
    </cfRule>
  </conditionalFormatting>
  <conditionalFormatting sqref="G422:G430 I422:I430 K422:K430 Q422:Q430 O422:O430 M422:M430 U422:U430 W422:W430 S422:S430">
    <cfRule type="cellIs" dxfId="1486" priority="2202" stopIfTrue="1" operator="notEqual">
      <formula>H422</formula>
    </cfRule>
  </conditionalFormatting>
  <conditionalFormatting sqref="G447:G464 I447:I464 Q447:Q464 O447:O464 M447:M464 U447:U464 W447:W464 K447:K464 S447:S464">
    <cfRule type="cellIs" dxfId="1485" priority="2201" stopIfTrue="1" operator="notEqual">
      <formula>H447</formula>
    </cfRule>
  </conditionalFormatting>
  <conditionalFormatting sqref="G447:G464 I447:I464 K447:K464 Q447:Q464 O447:O464 M447:M464 U447:U464 W447:W464 S447:S464">
    <cfRule type="cellIs" dxfId="1484" priority="2200" stopIfTrue="1" operator="notEqual">
      <formula>H447</formula>
    </cfRule>
  </conditionalFormatting>
  <conditionalFormatting sqref="G447:G464 I447:I464 K447:K464 Q447:Q464 O447:O464 M447:M464 U447:U464 W447:W464 S447:S464">
    <cfRule type="cellIs" dxfId="1483" priority="2199" stopIfTrue="1" operator="notEqual">
      <formula>H447</formula>
    </cfRule>
  </conditionalFormatting>
  <conditionalFormatting sqref="G507:G526 I507:I526 Q507:Q526 O507:O526 M507:M526 U507:U526 W507:W526 K507:K526 S507:S526">
    <cfRule type="cellIs" dxfId="1482" priority="2195" stopIfTrue="1" operator="notEqual">
      <formula>H507</formula>
    </cfRule>
  </conditionalFormatting>
  <conditionalFormatting sqref="G507:G526 I507:I526 K507:K526 Q507:Q526 O507:O526 M507:M526 U507:U526 W507:W526 S507:S526">
    <cfRule type="cellIs" dxfId="1481" priority="2194" stopIfTrue="1" operator="notEqual">
      <formula>H507</formula>
    </cfRule>
  </conditionalFormatting>
  <conditionalFormatting sqref="G507:G526 I507:I526 K507:K526 Q507:Q526 O507:O526 M507:M526 U507:U526 W507:W526 S507:S526">
    <cfRule type="cellIs" dxfId="1480" priority="2193" stopIfTrue="1" operator="notEqual">
      <formula>H507</formula>
    </cfRule>
  </conditionalFormatting>
  <conditionalFormatting sqref="G532:G541 I532:I541 Q532:Q541 O532:O541 M532:M541 U532:U541 W532:W541 K532:K541 S532:S541">
    <cfRule type="cellIs" dxfId="1479" priority="2192" stopIfTrue="1" operator="notEqual">
      <formula>H532</formula>
    </cfRule>
  </conditionalFormatting>
  <conditionalFormatting sqref="G532:G541 I532:I541 K532:K541 Q532:Q541 O532:O541 M532:M541 U532:U541 W532:W541 S532:S541">
    <cfRule type="cellIs" dxfId="1478" priority="2191" stopIfTrue="1" operator="notEqual">
      <formula>H532</formula>
    </cfRule>
  </conditionalFormatting>
  <conditionalFormatting sqref="G532:G541 I532:I541 K532:K541 Q532:Q541 O532:O541 M532:M541 U532:U541 W532:W541 S532:S541">
    <cfRule type="cellIs" dxfId="1477" priority="2190" stopIfTrue="1" operator="notEqual">
      <formula>H532</formula>
    </cfRule>
  </conditionalFormatting>
  <conditionalFormatting sqref="G544:G550 I544:I550 Q544:Q550 O544:O550 M544:M550 U544:U550 W544:W550 K544:K550 S544:S550">
    <cfRule type="cellIs" dxfId="1476" priority="2189" stopIfTrue="1" operator="notEqual">
      <formula>H544</formula>
    </cfRule>
  </conditionalFormatting>
  <conditionalFormatting sqref="G544:G550 I544:I550 K544:K550 Q544:Q550 O544:O550 M544:M550 U544:U550 W544:W550 S544:S550">
    <cfRule type="cellIs" dxfId="1475" priority="2188" stopIfTrue="1" operator="notEqual">
      <formula>H544</formula>
    </cfRule>
  </conditionalFormatting>
  <conditionalFormatting sqref="G544:G550 I544:I550 K544:K550 Q544:Q550 O544:O550 M544:M550 U544:U550 W544:W550 S544:S550">
    <cfRule type="cellIs" dxfId="1474" priority="2187" stopIfTrue="1" operator="notEqual">
      <formula>H544</formula>
    </cfRule>
  </conditionalFormatting>
  <conditionalFormatting sqref="G555:G563 I555:I563 Q555:Q563 O555:O563 M555:M563 U555:U563 W555:W563 K555:K563 S555:S563">
    <cfRule type="cellIs" dxfId="1473" priority="2186" stopIfTrue="1" operator="notEqual">
      <formula>H555</formula>
    </cfRule>
  </conditionalFormatting>
  <conditionalFormatting sqref="G555:G563 I555:I563 K555:K563 Q555:Q563 O555:O563 M555:M563 U555:U563 W555:W563 S555:S563">
    <cfRule type="cellIs" dxfId="1472" priority="2185" stopIfTrue="1" operator="notEqual">
      <formula>H555</formula>
    </cfRule>
  </conditionalFormatting>
  <conditionalFormatting sqref="G555:G563 I555:I563 K555:K563 Q555:Q563 O555:O563 M555:M563 U555:U563 W555:W563 S555:S563">
    <cfRule type="cellIs" dxfId="1471" priority="2184" stopIfTrue="1" operator="notEqual">
      <formula>H555</formula>
    </cfRule>
  </conditionalFormatting>
  <conditionalFormatting sqref="G568:G569 I568:I569 Q568:Q569 O568:O569 M568:M569 U568:U569 W568:W569 K568:K569 S568:S569">
    <cfRule type="cellIs" dxfId="1470" priority="2183" stopIfTrue="1" operator="notEqual">
      <formula>H568</formula>
    </cfRule>
  </conditionalFormatting>
  <conditionalFormatting sqref="G568:G569 I568:I569 K568:K569 Q568:Q569 O568:O569 M568:M569 U568:U569 W568:W569 S568:S569">
    <cfRule type="cellIs" dxfId="1469" priority="2182" stopIfTrue="1" operator="notEqual">
      <formula>H568</formula>
    </cfRule>
  </conditionalFormatting>
  <conditionalFormatting sqref="G568:G569 I568:I569 K568:K569 Q568:Q569 O568:O569 M568:M569 U568:U569 W568:W569 S568:S569">
    <cfRule type="cellIs" dxfId="1468" priority="2181" stopIfTrue="1" operator="notEqual">
      <formula>H568</formula>
    </cfRule>
  </conditionalFormatting>
  <conditionalFormatting sqref="G302">
    <cfRule type="cellIs" dxfId="1467" priority="2177" stopIfTrue="1" operator="notEqual">
      <formula>H302</formula>
    </cfRule>
  </conditionalFormatting>
  <conditionalFormatting sqref="G302">
    <cfRule type="cellIs" dxfId="1466" priority="2176" stopIfTrue="1" operator="notEqual">
      <formula>H302</formula>
    </cfRule>
  </conditionalFormatting>
  <conditionalFormatting sqref="O302 M302 G302 K302 S302 U302 W302 I302 Q302">
    <cfRule type="cellIs" dxfId="1465" priority="2175" stopIfTrue="1" operator="notEqual">
      <formula>H302</formula>
    </cfRule>
  </conditionalFormatting>
  <conditionalFormatting sqref="G302">
    <cfRule type="cellIs" dxfId="1464" priority="2174" stopIfTrue="1" operator="notEqual">
      <formula>H302</formula>
    </cfRule>
  </conditionalFormatting>
  <conditionalFormatting sqref="O302 M302 G302 K302 S302 U302 W302 I302 Q302">
    <cfRule type="cellIs" dxfId="1463" priority="2173" stopIfTrue="1" operator="notEqual">
      <formula>H302</formula>
    </cfRule>
  </conditionalFormatting>
  <conditionalFormatting sqref="O302 M302 G302 K302 S302 U302 W302 I302 Q302">
    <cfRule type="cellIs" dxfId="1462" priority="2172" stopIfTrue="1" operator="notEqual">
      <formula>H302</formula>
    </cfRule>
  </conditionalFormatting>
  <conditionalFormatting sqref="G302">
    <cfRule type="cellIs" dxfId="1461" priority="2171" stopIfTrue="1" operator="notEqual">
      <formula>H302</formula>
    </cfRule>
  </conditionalFormatting>
  <conditionalFormatting sqref="O302 M302 G302 K302 S302 U302 W302 I302 Q302">
    <cfRule type="cellIs" dxfId="1460" priority="2170" stopIfTrue="1" operator="notEqual">
      <formula>H302</formula>
    </cfRule>
  </conditionalFormatting>
  <conditionalFormatting sqref="G302">
    <cfRule type="cellIs" dxfId="1459" priority="2169" stopIfTrue="1" operator="notEqual">
      <formula>H302</formula>
    </cfRule>
  </conditionalFormatting>
  <conditionalFormatting sqref="O302 M302 G302 K302 S302 U302 W302 I302 Q302">
    <cfRule type="cellIs" dxfId="1458" priority="2168" stopIfTrue="1" operator="notEqual">
      <formula>H302</formula>
    </cfRule>
  </conditionalFormatting>
  <conditionalFormatting sqref="O302 M302 G302 K302 S302 U302 W302 I302 Q302">
    <cfRule type="cellIs" dxfId="1457" priority="2167" stopIfTrue="1" operator="notEqual">
      <formula>H302</formula>
    </cfRule>
  </conditionalFormatting>
  <conditionalFormatting sqref="G302">
    <cfRule type="cellIs" dxfId="1456" priority="2166" stopIfTrue="1" operator="notEqual">
      <formula>H302</formula>
    </cfRule>
  </conditionalFormatting>
  <conditionalFormatting sqref="O302 M302 G302 K302 S302 U302 W302 I302 Q302">
    <cfRule type="cellIs" dxfId="1455" priority="2165" stopIfTrue="1" operator="notEqual">
      <formula>H302</formula>
    </cfRule>
  </conditionalFormatting>
  <conditionalFormatting sqref="O302 M302 G302 K302 S302 U302 W302 I302 Q302">
    <cfRule type="cellIs" dxfId="1454" priority="2164" stopIfTrue="1" operator="notEqual">
      <formula>H302</formula>
    </cfRule>
  </conditionalFormatting>
  <conditionalFormatting sqref="O302 M302 G302 K302 S302 U302 W302 I302 Q302">
    <cfRule type="cellIs" dxfId="1453" priority="2163" stopIfTrue="1" operator="notEqual">
      <formula>H302</formula>
    </cfRule>
  </conditionalFormatting>
  <conditionalFormatting sqref="G302">
    <cfRule type="cellIs" dxfId="1452" priority="2162" stopIfTrue="1" operator="notEqual">
      <formula>H302</formula>
    </cfRule>
  </conditionalFormatting>
  <conditionalFormatting sqref="G302">
    <cfRule type="cellIs" dxfId="1451" priority="2161" stopIfTrue="1" operator="notEqual">
      <formula>H302</formula>
    </cfRule>
  </conditionalFormatting>
  <conditionalFormatting sqref="O302 M302 G302 K302 S302 U302 W302 I302 Q302">
    <cfRule type="cellIs" dxfId="1450" priority="2160" stopIfTrue="1" operator="notEqual">
      <formula>H302</formula>
    </cfRule>
  </conditionalFormatting>
  <conditionalFormatting sqref="G302">
    <cfRule type="cellIs" dxfId="1449" priority="2159" stopIfTrue="1" operator="notEqual">
      <formula>H302</formula>
    </cfRule>
  </conditionalFormatting>
  <conditionalFormatting sqref="O302 M302 G302 K302 S302 U302 W302 I302 Q302">
    <cfRule type="cellIs" dxfId="1448" priority="2158" stopIfTrue="1" operator="notEqual">
      <formula>H302</formula>
    </cfRule>
  </conditionalFormatting>
  <conditionalFormatting sqref="O302 M302 G302 K302 S302 U302 W302 I302 Q302">
    <cfRule type="cellIs" dxfId="1447" priority="2157" stopIfTrue="1" operator="notEqual">
      <formula>H302</formula>
    </cfRule>
  </conditionalFormatting>
  <conditionalFormatting sqref="G302">
    <cfRule type="cellIs" dxfId="1446" priority="2156" stopIfTrue="1" operator="notEqual">
      <formula>H302</formula>
    </cfRule>
  </conditionalFormatting>
  <conditionalFormatting sqref="O302 M302 G302 K302 S302 U302 W302 I302 Q302">
    <cfRule type="cellIs" dxfId="1445" priority="2155" stopIfTrue="1" operator="notEqual">
      <formula>H302</formula>
    </cfRule>
  </conditionalFormatting>
  <conditionalFormatting sqref="G302">
    <cfRule type="cellIs" dxfId="1444" priority="2154" stopIfTrue="1" operator="notEqual">
      <formula>H302</formula>
    </cfRule>
  </conditionalFormatting>
  <conditionalFormatting sqref="O302 M302 G302 K302 S302 U302 W302 I302 Q302">
    <cfRule type="cellIs" dxfId="1443" priority="2153" stopIfTrue="1" operator="notEqual">
      <formula>H302</formula>
    </cfRule>
  </conditionalFormatting>
  <conditionalFormatting sqref="O302 M302 G302 K302 S302 U302 W302 I302 Q302">
    <cfRule type="cellIs" dxfId="1442" priority="2152" stopIfTrue="1" operator="notEqual">
      <formula>H302</formula>
    </cfRule>
  </conditionalFormatting>
  <conditionalFormatting sqref="G302">
    <cfRule type="cellIs" dxfId="1441" priority="2151" stopIfTrue="1" operator="notEqual">
      <formula>H302</formula>
    </cfRule>
  </conditionalFormatting>
  <conditionalFormatting sqref="O302 M302 G302 K302 S302 U302 W302 I302 Q302">
    <cfRule type="cellIs" dxfId="1440" priority="2150" stopIfTrue="1" operator="notEqual">
      <formula>H302</formula>
    </cfRule>
  </conditionalFormatting>
  <conditionalFormatting sqref="O302 M302 G302 K302 S302 U302 W302 I302 Q302">
    <cfRule type="cellIs" dxfId="1439" priority="2149" stopIfTrue="1" operator="notEqual">
      <formula>H302</formula>
    </cfRule>
  </conditionalFormatting>
  <conditionalFormatting sqref="O302 M302 G302 K302 S302 U302 W302 I302 Q302">
    <cfRule type="cellIs" dxfId="1438" priority="2148" stopIfTrue="1" operator="notEqual">
      <formula>H302</formula>
    </cfRule>
  </conditionalFormatting>
  <conditionalFormatting sqref="Q302 O302 M302 G302 K302 S302 U302 W302 I302">
    <cfRule type="cellIs" dxfId="1437" priority="2147" stopIfTrue="1" operator="notEqual">
      <formula>H302</formula>
    </cfRule>
  </conditionalFormatting>
  <conditionalFormatting sqref="Q302 O302 M302 G302 K302 S302 U302 W302 I302">
    <cfRule type="cellIs" dxfId="1436" priority="2146" stopIfTrue="1" operator="notEqual">
      <formula>H302</formula>
    </cfRule>
  </conditionalFormatting>
  <conditionalFormatting sqref="Q302 O302 M302 G302 K302 S302 U302 W302 I302">
    <cfRule type="cellIs" dxfId="1435" priority="2145" stopIfTrue="1" operator="notEqual">
      <formula>H302</formula>
    </cfRule>
  </conditionalFormatting>
  <conditionalFormatting sqref="G302 I302 Q302 O302 M302 U302 W302 K302 S302">
    <cfRule type="cellIs" dxfId="1434" priority="2144" stopIfTrue="1" operator="notEqual">
      <formula>H302</formula>
    </cfRule>
  </conditionalFormatting>
  <conditionalFormatting sqref="Q302 O302 M302 G302 K302 S302 U302 W302 I302">
    <cfRule type="cellIs" dxfId="1433" priority="2143" stopIfTrue="1" operator="notEqual">
      <formula>H302</formula>
    </cfRule>
  </conditionalFormatting>
  <conditionalFormatting sqref="G302 I302 K302 Q302 O302 M302 U302 W302 S302">
    <cfRule type="cellIs" dxfId="1432" priority="2142" stopIfTrue="1" operator="notEqual">
      <formula>H302</formula>
    </cfRule>
  </conditionalFormatting>
  <conditionalFormatting sqref="Q302 O302 M302 G302 K302 S302 U302 W302 I302">
    <cfRule type="cellIs" dxfId="1431" priority="2141" stopIfTrue="1" operator="notEqual">
      <formula>H302</formula>
    </cfRule>
  </conditionalFormatting>
  <conditionalFormatting sqref="G302 I302 K302 Q302 O302 M302 U302 W302 S302">
    <cfRule type="cellIs" dxfId="1430" priority="2140" stopIfTrue="1" operator="notEqual">
      <formula>H302</formula>
    </cfRule>
  </conditionalFormatting>
  <conditionalFormatting sqref="Q302 O302 M302 G302 K302 S302 U302 W302 I302">
    <cfRule type="cellIs" dxfId="1429" priority="2139" stopIfTrue="1" operator="notEqual">
      <formula>H302</formula>
    </cfRule>
  </conditionalFormatting>
  <conditionalFormatting sqref="G303">
    <cfRule type="cellIs" dxfId="1428" priority="2138" stopIfTrue="1" operator="notEqual">
      <formula>H303</formula>
    </cfRule>
  </conditionalFormatting>
  <conditionalFormatting sqref="G303">
    <cfRule type="cellIs" dxfId="1427" priority="2137" stopIfTrue="1" operator="notEqual">
      <formula>H303</formula>
    </cfRule>
  </conditionalFormatting>
  <conditionalFormatting sqref="O303 M303 G303 K303 S303 U303 W303 I303 Q303">
    <cfRule type="cellIs" dxfId="1426" priority="2136" stopIfTrue="1" operator="notEqual">
      <formula>H303</formula>
    </cfRule>
  </conditionalFormatting>
  <conditionalFormatting sqref="G303">
    <cfRule type="cellIs" dxfId="1425" priority="2135" stopIfTrue="1" operator="notEqual">
      <formula>H303</formula>
    </cfRule>
  </conditionalFormatting>
  <conditionalFormatting sqref="O303 M303 G303 K303 S303 U303 W303 I303 Q303">
    <cfRule type="cellIs" dxfId="1424" priority="2134" stopIfTrue="1" operator="notEqual">
      <formula>H303</formula>
    </cfRule>
  </conditionalFormatting>
  <conditionalFormatting sqref="O303 M303 G303 K303 S303 U303 W303 I303 Q303">
    <cfRule type="cellIs" dxfId="1423" priority="2133" stopIfTrue="1" operator="notEqual">
      <formula>H303</formula>
    </cfRule>
  </conditionalFormatting>
  <conditionalFormatting sqref="O303 M303 G303 K303 S303 U303 W303 I303 Q303">
    <cfRule type="cellIs" dxfId="1422" priority="2132" stopIfTrue="1" operator="notEqual">
      <formula>H303</formula>
    </cfRule>
  </conditionalFormatting>
  <conditionalFormatting sqref="G303">
    <cfRule type="cellIs" dxfId="1421" priority="2131" stopIfTrue="1" operator="notEqual">
      <formula>H303</formula>
    </cfRule>
  </conditionalFormatting>
  <conditionalFormatting sqref="O303 M303 G303 K303 S303 U303 W303 I303 Q303">
    <cfRule type="cellIs" dxfId="1420" priority="2130" stopIfTrue="1" operator="notEqual">
      <formula>H303</formula>
    </cfRule>
  </conditionalFormatting>
  <conditionalFormatting sqref="G303">
    <cfRule type="cellIs" dxfId="1419" priority="2129" stopIfTrue="1" operator="notEqual">
      <formula>H303</formula>
    </cfRule>
  </conditionalFormatting>
  <conditionalFormatting sqref="O303 M303 G303 K303 S303 U303 W303 I303 Q303">
    <cfRule type="cellIs" dxfId="1418" priority="2128" stopIfTrue="1" operator="notEqual">
      <formula>H303</formula>
    </cfRule>
  </conditionalFormatting>
  <conditionalFormatting sqref="O303 M303 G303 K303 S303 U303 W303 I303 Q303">
    <cfRule type="cellIs" dxfId="1417" priority="2127" stopIfTrue="1" operator="notEqual">
      <formula>H303</formula>
    </cfRule>
  </conditionalFormatting>
  <conditionalFormatting sqref="G303">
    <cfRule type="cellIs" dxfId="1416" priority="2126" stopIfTrue="1" operator="notEqual">
      <formula>H303</formula>
    </cfRule>
  </conditionalFormatting>
  <conditionalFormatting sqref="O303 M303 G303 K303 S303 U303 W303 I303 Q303">
    <cfRule type="cellIs" dxfId="1415" priority="2125" stopIfTrue="1" operator="notEqual">
      <formula>H303</formula>
    </cfRule>
  </conditionalFormatting>
  <conditionalFormatting sqref="O303 M303 G303 K303 S303 U303 W303 I303 Q303">
    <cfRule type="cellIs" dxfId="1414" priority="2124" stopIfTrue="1" operator="notEqual">
      <formula>H303</formula>
    </cfRule>
  </conditionalFormatting>
  <conditionalFormatting sqref="O303 M303 G303 K303 S303 U303 W303 I303 Q303">
    <cfRule type="cellIs" dxfId="1413" priority="2123" stopIfTrue="1" operator="notEqual">
      <formula>H303</formula>
    </cfRule>
  </conditionalFormatting>
  <conditionalFormatting sqref="G303">
    <cfRule type="cellIs" dxfId="1412" priority="2122" stopIfTrue="1" operator="notEqual">
      <formula>H303</formula>
    </cfRule>
  </conditionalFormatting>
  <conditionalFormatting sqref="G303">
    <cfRule type="cellIs" dxfId="1411" priority="2121" stopIfTrue="1" operator="notEqual">
      <formula>H303</formula>
    </cfRule>
  </conditionalFormatting>
  <conditionalFormatting sqref="O303 M303 G303 K303 S303 U303 W303 I303 Q303">
    <cfRule type="cellIs" dxfId="1410" priority="2120" stopIfTrue="1" operator="notEqual">
      <formula>H303</formula>
    </cfRule>
  </conditionalFormatting>
  <conditionalFormatting sqref="G303">
    <cfRule type="cellIs" dxfId="1409" priority="2119" stopIfTrue="1" operator="notEqual">
      <formula>H303</formula>
    </cfRule>
  </conditionalFormatting>
  <conditionalFormatting sqref="O303 M303 G303 K303 S303 U303 W303 I303 Q303">
    <cfRule type="cellIs" dxfId="1408" priority="2118" stopIfTrue="1" operator="notEqual">
      <formula>H303</formula>
    </cfRule>
  </conditionalFormatting>
  <conditionalFormatting sqref="O303 M303 G303 K303 S303 U303 W303 I303 Q303">
    <cfRule type="cellIs" dxfId="1407" priority="2117" stopIfTrue="1" operator="notEqual">
      <formula>H303</formula>
    </cfRule>
  </conditionalFormatting>
  <conditionalFormatting sqref="O303 M303 G303 K303 S303 U303 W303 I303 Q303">
    <cfRule type="cellIs" dxfId="1406" priority="2116" stopIfTrue="1" operator="notEqual">
      <formula>H303</formula>
    </cfRule>
  </conditionalFormatting>
  <conditionalFormatting sqref="G303">
    <cfRule type="cellIs" dxfId="1405" priority="2115" stopIfTrue="1" operator="notEqual">
      <formula>H303</formula>
    </cfRule>
  </conditionalFormatting>
  <conditionalFormatting sqref="O303 M303 G303 K303 S303 U303 W303 I303 Q303">
    <cfRule type="cellIs" dxfId="1404" priority="2114" stopIfTrue="1" operator="notEqual">
      <formula>H303</formula>
    </cfRule>
  </conditionalFormatting>
  <conditionalFormatting sqref="G303">
    <cfRule type="cellIs" dxfId="1403" priority="2113" stopIfTrue="1" operator="notEqual">
      <formula>H303</formula>
    </cfRule>
  </conditionalFormatting>
  <conditionalFormatting sqref="O303 M303 G303 K303 S303 U303 W303 I303 Q303">
    <cfRule type="cellIs" dxfId="1402" priority="2112" stopIfTrue="1" operator="notEqual">
      <formula>H303</formula>
    </cfRule>
  </conditionalFormatting>
  <conditionalFormatting sqref="O303 M303 G303 K303 S303 U303 W303 I303 Q303">
    <cfRule type="cellIs" dxfId="1401" priority="2111" stopIfTrue="1" operator="notEqual">
      <formula>H303</formula>
    </cfRule>
  </conditionalFormatting>
  <conditionalFormatting sqref="G303">
    <cfRule type="cellIs" dxfId="1400" priority="2110" stopIfTrue="1" operator="notEqual">
      <formula>H303</formula>
    </cfRule>
  </conditionalFormatting>
  <conditionalFormatting sqref="O303 M303 G303 K303 S303 U303 W303 I303 Q303">
    <cfRule type="cellIs" dxfId="1399" priority="2109" stopIfTrue="1" operator="notEqual">
      <formula>H303</formula>
    </cfRule>
  </conditionalFormatting>
  <conditionalFormatting sqref="O303 M303 G303 K303 S303 U303 W303 I303 Q303">
    <cfRule type="cellIs" dxfId="1398" priority="2108" stopIfTrue="1" operator="notEqual">
      <formula>H303</formula>
    </cfRule>
  </conditionalFormatting>
  <conditionalFormatting sqref="O303 M303 G303 K303 S303 U303 W303 I303 Q303">
    <cfRule type="cellIs" dxfId="1397" priority="2107" stopIfTrue="1" operator="notEqual">
      <formula>H303</formula>
    </cfRule>
  </conditionalFormatting>
  <conditionalFormatting sqref="Q303 O303 M303 G303 K303 S303 U303 W303 I303">
    <cfRule type="cellIs" dxfId="1396" priority="2106" stopIfTrue="1" operator="notEqual">
      <formula>H303</formula>
    </cfRule>
  </conditionalFormatting>
  <conditionalFormatting sqref="Q303 O303 M303 G303 K303 S303 U303 W303 I303">
    <cfRule type="cellIs" dxfId="1395" priority="2105" stopIfTrue="1" operator="notEqual">
      <formula>H303</formula>
    </cfRule>
  </conditionalFormatting>
  <conditionalFormatting sqref="Q303 O303 M303 G303 K303 S303 U303 W303 I303">
    <cfRule type="cellIs" dxfId="1394" priority="2104" stopIfTrue="1" operator="notEqual">
      <formula>H303</formula>
    </cfRule>
  </conditionalFormatting>
  <conditionalFormatting sqref="G303 I303 Q303 O303 M303 U303 W303 K303 S303">
    <cfRule type="cellIs" dxfId="1393" priority="2103" stopIfTrue="1" operator="notEqual">
      <formula>H303</formula>
    </cfRule>
  </conditionalFormatting>
  <conditionalFormatting sqref="Q303 O303 M303 G303 K303 S303 U303 W303 I303">
    <cfRule type="cellIs" dxfId="1392" priority="2102" stopIfTrue="1" operator="notEqual">
      <formula>H303</formula>
    </cfRule>
  </conditionalFormatting>
  <conditionalFormatting sqref="G303 I303 K303 Q303 O303 M303 U303 W303 S303">
    <cfRule type="cellIs" dxfId="1391" priority="2101" stopIfTrue="1" operator="notEqual">
      <formula>H303</formula>
    </cfRule>
  </conditionalFormatting>
  <conditionalFormatting sqref="Q303 O303 M303 G303 K303 S303 U303 W303 I303">
    <cfRule type="cellIs" dxfId="1390" priority="2100" stopIfTrue="1" operator="notEqual">
      <formula>H303</formula>
    </cfRule>
  </conditionalFormatting>
  <conditionalFormatting sqref="G303 I303 K303 Q303 O303 M303 U303 W303 S303">
    <cfRule type="cellIs" dxfId="1389" priority="2099" stopIfTrue="1" operator="notEqual">
      <formula>H303</formula>
    </cfRule>
  </conditionalFormatting>
  <conditionalFormatting sqref="Q303 O303 M303 G303 K303 S303 U303 W303 I303">
    <cfRule type="cellIs" dxfId="1388" priority="2098" stopIfTrue="1" operator="notEqual">
      <formula>H303</formula>
    </cfRule>
  </conditionalFormatting>
  <conditionalFormatting sqref="G301">
    <cfRule type="cellIs" dxfId="1387" priority="2097" stopIfTrue="1" operator="notEqual">
      <formula>H301</formula>
    </cfRule>
  </conditionalFormatting>
  <conditionalFormatting sqref="G301">
    <cfRule type="cellIs" dxfId="1386" priority="2096" stopIfTrue="1" operator="notEqual">
      <formula>H301</formula>
    </cfRule>
  </conditionalFormatting>
  <conditionalFormatting sqref="G301">
    <cfRule type="cellIs" dxfId="1385" priority="2095" stopIfTrue="1" operator="notEqual">
      <formula>H301</formula>
    </cfRule>
  </conditionalFormatting>
  <conditionalFormatting sqref="G301">
    <cfRule type="cellIs" dxfId="1384" priority="2094" stopIfTrue="1" operator="notEqual">
      <formula>H301</formula>
    </cfRule>
  </conditionalFormatting>
  <conditionalFormatting sqref="O301 M301 G301 K301 S301 U301 W301 I301 Q301">
    <cfRule type="cellIs" dxfId="1383" priority="2093" stopIfTrue="1" operator="notEqual">
      <formula>H301</formula>
    </cfRule>
  </conditionalFormatting>
  <conditionalFormatting sqref="O301 M301 G301 K301 S301 U301 W301 I301 Q301">
    <cfRule type="cellIs" dxfId="1382" priority="2092" stopIfTrue="1" operator="notEqual">
      <formula>H301</formula>
    </cfRule>
  </conditionalFormatting>
  <conditionalFormatting sqref="G301">
    <cfRule type="cellIs" dxfId="1381" priority="2091" stopIfTrue="1" operator="notEqual">
      <formula>H301</formula>
    </cfRule>
  </conditionalFormatting>
  <conditionalFormatting sqref="G301">
    <cfRule type="cellIs" dxfId="1380" priority="2090" stopIfTrue="1" operator="notEqual">
      <formula>H301</formula>
    </cfRule>
  </conditionalFormatting>
  <conditionalFormatting sqref="O301 M301 G301 K301 S301 U301 W301 I301 Q301">
    <cfRule type="cellIs" dxfId="1379" priority="2089" stopIfTrue="1" operator="notEqual">
      <formula>H301</formula>
    </cfRule>
  </conditionalFormatting>
  <conditionalFormatting sqref="O301 M301 G301 K301 S301 U301 W301 I301 Q301">
    <cfRule type="cellIs" dxfId="1378" priority="2088" stopIfTrue="1" operator="notEqual">
      <formula>H301</formula>
    </cfRule>
  </conditionalFormatting>
  <conditionalFormatting sqref="O301 M301 G301 K301 S301 U301 W301 I301 Q301">
    <cfRule type="cellIs" dxfId="1377" priority="2087" stopIfTrue="1" operator="notEqual">
      <formula>H301</formula>
    </cfRule>
  </conditionalFormatting>
  <conditionalFormatting sqref="O301 M301 G301 K301 S301 U301 W301 I301 Q301">
    <cfRule type="cellIs" dxfId="1376" priority="2086" stopIfTrue="1" operator="notEqual">
      <formula>H301</formula>
    </cfRule>
  </conditionalFormatting>
  <conditionalFormatting sqref="G301">
    <cfRule type="cellIs" dxfId="1375" priority="2085" stopIfTrue="1" operator="notEqual">
      <formula>H301</formula>
    </cfRule>
  </conditionalFormatting>
  <conditionalFormatting sqref="G301">
    <cfRule type="cellIs" dxfId="1374" priority="2084" stopIfTrue="1" operator="notEqual">
      <formula>H301</formula>
    </cfRule>
  </conditionalFormatting>
  <conditionalFormatting sqref="G301">
    <cfRule type="cellIs" dxfId="1373" priority="2083" stopIfTrue="1" operator="notEqual">
      <formula>H301</formula>
    </cfRule>
  </conditionalFormatting>
  <conditionalFormatting sqref="O301 M301 G301 K301 S301 U301 W301 I301 Q301">
    <cfRule type="cellIs" dxfId="1372" priority="2082" stopIfTrue="1" operator="notEqual">
      <formula>H301</formula>
    </cfRule>
  </conditionalFormatting>
  <conditionalFormatting sqref="O301 M301 G301 K301 S301 U301 W301 I301 Q301">
    <cfRule type="cellIs" dxfId="1371" priority="2081" stopIfTrue="1" operator="notEqual">
      <formula>H301</formula>
    </cfRule>
  </conditionalFormatting>
  <conditionalFormatting sqref="O301 M301 G301 K301 S301 U301 W301 I301 Q301">
    <cfRule type="cellIs" dxfId="1370" priority="2080" stopIfTrue="1" operator="notEqual">
      <formula>H301</formula>
    </cfRule>
  </conditionalFormatting>
  <conditionalFormatting sqref="O301 M301 G301 K301 S301 U301 W301 I301 Q301">
    <cfRule type="cellIs" dxfId="1369" priority="2079" stopIfTrue="1" operator="notEqual">
      <formula>H301</formula>
    </cfRule>
  </conditionalFormatting>
  <conditionalFormatting sqref="O301 M301 G301 K301 S301 U301 W301 I301 Q301">
    <cfRule type="cellIs" dxfId="1368" priority="2078" stopIfTrue="1" operator="notEqual">
      <formula>H301</formula>
    </cfRule>
  </conditionalFormatting>
  <conditionalFormatting sqref="G301">
    <cfRule type="cellIs" dxfId="1367" priority="2077" stopIfTrue="1" operator="notEqual">
      <formula>H301</formula>
    </cfRule>
  </conditionalFormatting>
  <conditionalFormatting sqref="G301">
    <cfRule type="cellIs" dxfId="1366" priority="2076" stopIfTrue="1" operator="notEqual">
      <formula>H301</formula>
    </cfRule>
  </conditionalFormatting>
  <conditionalFormatting sqref="G301">
    <cfRule type="cellIs" dxfId="1365" priority="2075" stopIfTrue="1" operator="notEqual">
      <formula>H301</formula>
    </cfRule>
  </conditionalFormatting>
  <conditionalFormatting sqref="G301">
    <cfRule type="cellIs" dxfId="1364" priority="2074" stopIfTrue="1" operator="notEqual">
      <formula>H301</formula>
    </cfRule>
  </conditionalFormatting>
  <conditionalFormatting sqref="G301">
    <cfRule type="cellIs" dxfId="1363" priority="2073" stopIfTrue="1" operator="notEqual">
      <formula>H301</formula>
    </cfRule>
  </conditionalFormatting>
  <conditionalFormatting sqref="G301">
    <cfRule type="cellIs" dxfId="1362" priority="2072" stopIfTrue="1" operator="notEqual">
      <formula>H301</formula>
    </cfRule>
  </conditionalFormatting>
  <conditionalFormatting sqref="G301">
    <cfRule type="cellIs" dxfId="1361" priority="2071" stopIfTrue="1" operator="notEqual">
      <formula>H301</formula>
    </cfRule>
  </conditionalFormatting>
  <conditionalFormatting sqref="O301 M301 G301 K301 S301 U301 W301 I301 Q301">
    <cfRule type="cellIs" dxfId="1360" priority="2070" stopIfTrue="1" operator="notEqual">
      <formula>H301</formula>
    </cfRule>
  </conditionalFormatting>
  <conditionalFormatting sqref="O301 M301 G301 K301 S301 U301 W301 I301 Q301">
    <cfRule type="cellIs" dxfId="1359" priority="2069" stopIfTrue="1" operator="notEqual">
      <formula>H301</formula>
    </cfRule>
  </conditionalFormatting>
  <conditionalFormatting sqref="O301 M301 G301 K301 S301 U301 W301 I301 Q301">
    <cfRule type="cellIs" dxfId="1358" priority="2068" stopIfTrue="1" operator="notEqual">
      <formula>H301</formula>
    </cfRule>
  </conditionalFormatting>
  <conditionalFormatting sqref="O301 M301 G301 K301 S301 U301 W301 I301 Q301">
    <cfRule type="cellIs" dxfId="1357" priority="2067" stopIfTrue="1" operator="notEqual">
      <formula>H301</formula>
    </cfRule>
  </conditionalFormatting>
  <conditionalFormatting sqref="O301 M301 G301 K301 S301 U301 W301 I301 Q301">
    <cfRule type="cellIs" dxfId="1356" priority="2066" stopIfTrue="1" operator="notEqual">
      <formula>H301</formula>
    </cfRule>
  </conditionalFormatting>
  <conditionalFormatting sqref="G301">
    <cfRule type="cellIs" dxfId="1355" priority="2065" stopIfTrue="1" operator="notEqual">
      <formula>H301</formula>
    </cfRule>
  </conditionalFormatting>
  <conditionalFormatting sqref="G301">
    <cfRule type="cellIs" dxfId="1354" priority="2064" stopIfTrue="1" operator="notEqual">
      <formula>H301</formula>
    </cfRule>
  </conditionalFormatting>
  <conditionalFormatting sqref="G301">
    <cfRule type="cellIs" dxfId="1353" priority="2063" stopIfTrue="1" operator="notEqual">
      <formula>H301</formula>
    </cfRule>
  </conditionalFormatting>
  <conditionalFormatting sqref="G301">
    <cfRule type="cellIs" dxfId="1352" priority="2062" stopIfTrue="1" operator="notEqual">
      <formula>H301</formula>
    </cfRule>
  </conditionalFormatting>
  <conditionalFormatting sqref="O301 M301 G301 K301 S301 U301 W301 I301 Q301">
    <cfRule type="cellIs" dxfId="1351" priority="2061" stopIfTrue="1" operator="notEqual">
      <formula>H301</formula>
    </cfRule>
  </conditionalFormatting>
  <conditionalFormatting sqref="O301 M301 G301 K301 S301 U301 W301 I301 Q301">
    <cfRule type="cellIs" dxfId="1350" priority="2060" stopIfTrue="1" operator="notEqual">
      <formula>H301</formula>
    </cfRule>
  </conditionalFormatting>
  <conditionalFormatting sqref="G301">
    <cfRule type="cellIs" dxfId="1349" priority="2059" stopIfTrue="1" operator="notEqual">
      <formula>H301</formula>
    </cfRule>
  </conditionalFormatting>
  <conditionalFormatting sqref="G301">
    <cfRule type="cellIs" dxfId="1348" priority="2058" stopIfTrue="1" operator="notEqual">
      <formula>H301</formula>
    </cfRule>
  </conditionalFormatting>
  <conditionalFormatting sqref="O301 M301 G301 K301 S301 U301 W301 I301 Q301">
    <cfRule type="cellIs" dxfId="1347" priority="2057" stopIfTrue="1" operator="notEqual">
      <formula>H301</formula>
    </cfRule>
  </conditionalFormatting>
  <conditionalFormatting sqref="O301 M301 G301 K301 S301 U301 W301 I301 Q301">
    <cfRule type="cellIs" dxfId="1346" priority="2056" stopIfTrue="1" operator="notEqual">
      <formula>H301</formula>
    </cfRule>
  </conditionalFormatting>
  <conditionalFormatting sqref="O301 M301 G301 K301 S301 U301 W301 I301 Q301">
    <cfRule type="cellIs" dxfId="1345" priority="2055" stopIfTrue="1" operator="notEqual">
      <formula>H301</formula>
    </cfRule>
  </conditionalFormatting>
  <conditionalFormatting sqref="O301 M301 G301 K301 S301 U301 W301 I301 Q301">
    <cfRule type="cellIs" dxfId="1344" priority="2054" stopIfTrue="1" operator="notEqual">
      <formula>H301</formula>
    </cfRule>
  </conditionalFormatting>
  <conditionalFormatting sqref="G301">
    <cfRule type="cellIs" dxfId="1343" priority="2053" stopIfTrue="1" operator="notEqual">
      <formula>H301</formula>
    </cfRule>
  </conditionalFormatting>
  <conditionalFormatting sqref="G301">
    <cfRule type="cellIs" dxfId="1342" priority="2052" stopIfTrue="1" operator="notEqual">
      <formula>H301</formula>
    </cfRule>
  </conditionalFormatting>
  <conditionalFormatting sqref="G301">
    <cfRule type="cellIs" dxfId="1341" priority="2051" stopIfTrue="1" operator="notEqual">
      <formula>H301</formula>
    </cfRule>
  </conditionalFormatting>
  <conditionalFormatting sqref="O301 M301 G301 K301 S301 U301 W301 I301 Q301">
    <cfRule type="cellIs" dxfId="1340" priority="2050" stopIfTrue="1" operator="notEqual">
      <formula>H301</formula>
    </cfRule>
  </conditionalFormatting>
  <conditionalFormatting sqref="O301 M301 G301 K301 S301 U301 W301 I301 Q301">
    <cfRule type="cellIs" dxfId="1339" priority="2049" stopIfTrue="1" operator="notEqual">
      <formula>H301</formula>
    </cfRule>
  </conditionalFormatting>
  <conditionalFormatting sqref="O301 M301 G301 K301 S301 U301 W301 I301 Q301">
    <cfRule type="cellIs" dxfId="1338" priority="2048" stopIfTrue="1" operator="notEqual">
      <formula>H301</formula>
    </cfRule>
  </conditionalFormatting>
  <conditionalFormatting sqref="O301 M301 G301 K301 S301 U301 W301 I301 Q301">
    <cfRule type="cellIs" dxfId="1337" priority="2047" stopIfTrue="1" operator="notEqual">
      <formula>H301</formula>
    </cfRule>
  </conditionalFormatting>
  <conditionalFormatting sqref="O301 M301 G301 K301 S301 U301 W301 I301 Q301">
    <cfRule type="cellIs" dxfId="1336" priority="2046" stopIfTrue="1" operator="notEqual">
      <formula>H301</formula>
    </cfRule>
  </conditionalFormatting>
  <conditionalFormatting sqref="G301">
    <cfRule type="cellIs" dxfId="1335" priority="2045" stopIfTrue="1" operator="notEqual">
      <formula>H301</formula>
    </cfRule>
  </conditionalFormatting>
  <conditionalFormatting sqref="G301">
    <cfRule type="cellIs" dxfId="1334" priority="2044" stopIfTrue="1" operator="notEqual">
      <formula>H301</formula>
    </cfRule>
  </conditionalFormatting>
  <conditionalFormatting sqref="G301">
    <cfRule type="cellIs" dxfId="1333" priority="2043" stopIfTrue="1" operator="notEqual">
      <formula>H301</formula>
    </cfRule>
  </conditionalFormatting>
  <conditionalFormatting sqref="G301">
    <cfRule type="cellIs" dxfId="1332" priority="2042" stopIfTrue="1" operator="notEqual">
      <formula>H301</formula>
    </cfRule>
  </conditionalFormatting>
  <conditionalFormatting sqref="G301">
    <cfRule type="cellIs" dxfId="1331" priority="2041" stopIfTrue="1" operator="notEqual">
      <formula>H301</formula>
    </cfRule>
  </conditionalFormatting>
  <conditionalFormatting sqref="G301">
    <cfRule type="cellIs" dxfId="1330" priority="2040" stopIfTrue="1" operator="notEqual">
      <formula>H301</formula>
    </cfRule>
  </conditionalFormatting>
  <conditionalFormatting sqref="G301">
    <cfRule type="cellIs" dxfId="1329" priority="2039" stopIfTrue="1" operator="notEqual">
      <formula>H301</formula>
    </cfRule>
  </conditionalFormatting>
  <conditionalFormatting sqref="O301 M301 G301 K301 S301 U301 W301 I301 Q301">
    <cfRule type="cellIs" dxfId="1328" priority="2038" stopIfTrue="1" operator="notEqual">
      <formula>H301</formula>
    </cfRule>
  </conditionalFormatting>
  <conditionalFormatting sqref="O301 M301 G301 K301 S301 U301 W301 I301 Q301">
    <cfRule type="cellIs" dxfId="1327" priority="2037" stopIfTrue="1" operator="notEqual">
      <formula>H301</formula>
    </cfRule>
  </conditionalFormatting>
  <conditionalFormatting sqref="O301 M301 G301 K301 S301 U301 W301 I301 Q301">
    <cfRule type="cellIs" dxfId="1326" priority="2036" stopIfTrue="1" operator="notEqual">
      <formula>H301</formula>
    </cfRule>
  </conditionalFormatting>
  <conditionalFormatting sqref="O301 M301 G301 K301 S301 U301 W301 I301 Q301">
    <cfRule type="cellIs" dxfId="1325" priority="2035" stopIfTrue="1" operator="notEqual">
      <formula>H301</formula>
    </cfRule>
  </conditionalFormatting>
  <conditionalFormatting sqref="O301 M301 G301 K301 S301 U301 W301 I301 Q301">
    <cfRule type="cellIs" dxfId="1324" priority="2034" stopIfTrue="1" operator="notEqual">
      <formula>H301</formula>
    </cfRule>
  </conditionalFormatting>
  <conditionalFormatting sqref="G301 I301 Q301 O301 M301 U301 W301 K301 S301">
    <cfRule type="cellIs" dxfId="1323" priority="2033" stopIfTrue="1" operator="notEqual">
      <formula>H301</formula>
    </cfRule>
  </conditionalFormatting>
  <conditionalFormatting sqref="G301 I301 K301 Q301 O301 M301 U301 W301 S301">
    <cfRule type="cellIs" dxfId="1322" priority="2032" stopIfTrue="1" operator="notEqual">
      <formula>H301</formula>
    </cfRule>
  </conditionalFormatting>
  <conditionalFormatting sqref="G301 I301 K301 Q301 O301 M301 U301 W301 S301">
    <cfRule type="cellIs" dxfId="1321" priority="2031" stopIfTrue="1" operator="notEqual">
      <formula>H301</formula>
    </cfRule>
  </conditionalFormatting>
  <conditionalFormatting sqref="G354">
    <cfRule type="cellIs" dxfId="1320" priority="2030" stopIfTrue="1" operator="notEqual">
      <formula>H354</formula>
    </cfRule>
  </conditionalFormatting>
  <conditionalFormatting sqref="O354 M354 G354 K354 S354 U354 W354 I354 Q354">
    <cfRule type="cellIs" dxfId="1319" priority="2029" stopIfTrue="1" operator="notEqual">
      <formula>H354</formula>
    </cfRule>
  </conditionalFormatting>
  <conditionalFormatting sqref="G354">
    <cfRule type="cellIs" dxfId="1318" priority="2028" stopIfTrue="1" operator="notEqual">
      <formula>H354</formula>
    </cfRule>
  </conditionalFormatting>
  <conditionalFormatting sqref="O354 M354 G354 K354 S354 U354 W354 I354 Q354">
    <cfRule type="cellIs" dxfId="1317" priority="2027" stopIfTrue="1" operator="notEqual">
      <formula>H354</formula>
    </cfRule>
  </conditionalFormatting>
  <conditionalFormatting sqref="O354 M354 G354 K354 S354 U354 W354 I354 Q354">
    <cfRule type="cellIs" dxfId="1316" priority="2026" stopIfTrue="1" operator="notEqual">
      <formula>H354</formula>
    </cfRule>
  </conditionalFormatting>
  <conditionalFormatting sqref="O354 M354 G354 K354 S354 U354 W354 I354 Q354">
    <cfRule type="cellIs" dxfId="1315" priority="2025" stopIfTrue="1" operator="notEqual">
      <formula>H354</formula>
    </cfRule>
  </conditionalFormatting>
  <conditionalFormatting sqref="G354">
    <cfRule type="cellIs" dxfId="1314" priority="2024" stopIfTrue="1" operator="notEqual">
      <formula>H354</formula>
    </cfRule>
  </conditionalFormatting>
  <conditionalFormatting sqref="O354 M354 G354 K354 S354 U354 W354 I354 Q354">
    <cfRule type="cellIs" dxfId="1313" priority="2023" stopIfTrue="1" operator="notEqual">
      <formula>H354</formula>
    </cfRule>
  </conditionalFormatting>
  <conditionalFormatting sqref="O354 M354 G354 K354 S354 U354 W354 I354 Q354">
    <cfRule type="cellIs" dxfId="1312" priority="2022" stopIfTrue="1" operator="notEqual">
      <formula>H354</formula>
    </cfRule>
  </conditionalFormatting>
  <conditionalFormatting sqref="O354 M354 G354 K354 S354 U354 W354 I354 Q354">
    <cfRule type="cellIs" dxfId="1311" priority="2021" stopIfTrue="1" operator="notEqual">
      <formula>H354</formula>
    </cfRule>
  </conditionalFormatting>
  <conditionalFormatting sqref="G354">
    <cfRule type="cellIs" dxfId="1310" priority="2020" stopIfTrue="1" operator="notEqual">
      <formula>H354</formula>
    </cfRule>
  </conditionalFormatting>
  <conditionalFormatting sqref="O354 M354 G354 K354 S354 U354 W354 I354 Q354">
    <cfRule type="cellIs" dxfId="1309" priority="2019" stopIfTrue="1" operator="notEqual">
      <formula>H354</formula>
    </cfRule>
  </conditionalFormatting>
  <conditionalFormatting sqref="G354">
    <cfRule type="cellIs" dxfId="1308" priority="2018" stopIfTrue="1" operator="notEqual">
      <formula>H354</formula>
    </cfRule>
  </conditionalFormatting>
  <conditionalFormatting sqref="O354 M354 G354 K354 S354 U354 W354 I354 Q354">
    <cfRule type="cellIs" dxfId="1307" priority="2017" stopIfTrue="1" operator="notEqual">
      <formula>H354</formula>
    </cfRule>
  </conditionalFormatting>
  <conditionalFormatting sqref="O354 M354 G354 K354 S354 U354 W354 I354 Q354">
    <cfRule type="cellIs" dxfId="1306" priority="2016" stopIfTrue="1" operator="notEqual">
      <formula>H354</formula>
    </cfRule>
  </conditionalFormatting>
  <conditionalFormatting sqref="O354 M354 G354 K354 S354 U354 W354 I354 Q354">
    <cfRule type="cellIs" dxfId="1305" priority="2015" stopIfTrue="1" operator="notEqual">
      <formula>H354</formula>
    </cfRule>
  </conditionalFormatting>
  <conditionalFormatting sqref="G354">
    <cfRule type="cellIs" dxfId="1304" priority="2014" stopIfTrue="1" operator="notEqual">
      <formula>H354</formula>
    </cfRule>
  </conditionalFormatting>
  <conditionalFormatting sqref="O354 M354 G354 K354 S354 U354 W354 I354 Q354">
    <cfRule type="cellIs" dxfId="1303" priority="2013" stopIfTrue="1" operator="notEqual">
      <formula>H354</formula>
    </cfRule>
  </conditionalFormatting>
  <conditionalFormatting sqref="O354 M354 G354 K354 S354 U354 W354 I354 Q354">
    <cfRule type="cellIs" dxfId="1302" priority="2012" stopIfTrue="1" operator="notEqual">
      <formula>H354</formula>
    </cfRule>
  </conditionalFormatting>
  <conditionalFormatting sqref="O354 M354 G354 K354 S354 U354 W354 I354 Q354">
    <cfRule type="cellIs" dxfId="1301" priority="2011" stopIfTrue="1" operator="notEqual">
      <formula>H354</formula>
    </cfRule>
  </conditionalFormatting>
  <conditionalFormatting sqref="Q354 O354 M354 G354 K354 S354 U354 W354 I354">
    <cfRule type="cellIs" dxfId="1300" priority="2010" stopIfTrue="1" operator="notEqual">
      <formula>H354</formula>
    </cfRule>
  </conditionalFormatting>
  <conditionalFormatting sqref="Q354 O354 M354 G354 K354 S354 U354 W354 I354">
    <cfRule type="cellIs" dxfId="1299" priority="2009" stopIfTrue="1" operator="notEqual">
      <formula>H354</formula>
    </cfRule>
  </conditionalFormatting>
  <conditionalFormatting sqref="Q354 O354 M354 G354 K354 S354 U354 W354 I354">
    <cfRule type="cellIs" dxfId="1298" priority="2008" stopIfTrue="1" operator="notEqual">
      <formula>H354</formula>
    </cfRule>
  </conditionalFormatting>
  <conditionalFormatting sqref="G354 I354 Q354 O354 M354 U354 W354 K354 S354">
    <cfRule type="cellIs" dxfId="1297" priority="2007" stopIfTrue="1" operator="notEqual">
      <formula>H354</formula>
    </cfRule>
  </conditionalFormatting>
  <conditionalFormatting sqref="Q354 O354 M354 G354 K354 S354 U354 W354 I354">
    <cfRule type="cellIs" dxfId="1296" priority="2006" stopIfTrue="1" operator="notEqual">
      <formula>H354</formula>
    </cfRule>
  </conditionalFormatting>
  <conditionalFormatting sqref="G354 I354 K354 Q354 O354 M354 U354 W354 S354">
    <cfRule type="cellIs" dxfId="1295" priority="2005" stopIfTrue="1" operator="notEqual">
      <formula>H354</formula>
    </cfRule>
  </conditionalFormatting>
  <conditionalFormatting sqref="Q354 O354 M354 G354 K354 S354 U354 W354 I354">
    <cfRule type="cellIs" dxfId="1294" priority="2004" stopIfTrue="1" operator="notEqual">
      <formula>H354</formula>
    </cfRule>
  </conditionalFormatting>
  <conditionalFormatting sqref="G354 I354 K354 Q354 O354 M354 U354 W354 S354">
    <cfRule type="cellIs" dxfId="1293" priority="2003" stopIfTrue="1" operator="notEqual">
      <formula>H354</formula>
    </cfRule>
  </conditionalFormatting>
  <conditionalFormatting sqref="Q354 O354 M354 G354 K354 S354 U354 W354 I354">
    <cfRule type="cellIs" dxfId="1292" priority="2002" stopIfTrue="1" operator="notEqual">
      <formula>H354</formula>
    </cfRule>
  </conditionalFormatting>
  <conditionalFormatting sqref="G159 I159 Q159 O159 M159 U159 W159 K159 S159">
    <cfRule type="cellIs" dxfId="1291" priority="2001" stopIfTrue="1" operator="notEqual">
      <formula>H159</formula>
    </cfRule>
  </conditionalFormatting>
  <conditionalFormatting sqref="G159 I159 K159 Q159 O159 M159 U159 W159 S159">
    <cfRule type="cellIs" dxfId="1290" priority="2000" stopIfTrue="1" operator="notEqual">
      <formula>H159</formula>
    </cfRule>
  </conditionalFormatting>
  <conditionalFormatting sqref="G159 I159 K159 Q159 O159 M159 U159 W159 S159">
    <cfRule type="cellIs" dxfId="1289" priority="1999" stopIfTrue="1" operator="notEqual">
      <formula>H159</formula>
    </cfRule>
  </conditionalFormatting>
  <conditionalFormatting sqref="O202 M202 K202 S202 U202 W202 Q202">
    <cfRule type="cellIs" dxfId="1288" priority="1998" stopIfTrue="1" operator="notEqual">
      <formula>L202</formula>
    </cfRule>
  </conditionalFormatting>
  <conditionalFormatting sqref="Y5:Y13">
    <cfRule type="cellIs" dxfId="1287" priority="1978" stopIfTrue="1" operator="notEqual">
      <formula>Z5</formula>
    </cfRule>
  </conditionalFormatting>
  <conditionalFormatting sqref="Y5:Y13">
    <cfRule type="cellIs" dxfId="1286" priority="1977" stopIfTrue="1" operator="notEqual">
      <formula>Z5</formula>
    </cfRule>
  </conditionalFormatting>
  <conditionalFormatting sqref="Y5">
    <cfRule type="cellIs" dxfId="1285" priority="1953" stopIfTrue="1" operator="notEqual">
      <formula>Z5</formula>
    </cfRule>
  </conditionalFormatting>
  <conditionalFormatting sqref="Y5">
    <cfRule type="cellIs" dxfId="1284" priority="1945" stopIfTrue="1" operator="notEqual">
      <formula>Z5</formula>
    </cfRule>
  </conditionalFormatting>
  <conditionalFormatting sqref="Y5">
    <cfRule type="cellIs" dxfId="1283" priority="1944" stopIfTrue="1" operator="notEqual">
      <formula>Z5</formula>
    </cfRule>
  </conditionalFormatting>
  <conditionalFormatting sqref="Y6">
    <cfRule type="cellIs" dxfId="1282" priority="1943" stopIfTrue="1" operator="notEqual">
      <formula>Z6</formula>
    </cfRule>
  </conditionalFormatting>
  <conditionalFormatting sqref="Y7">
    <cfRule type="cellIs" dxfId="1281" priority="1942" stopIfTrue="1" operator="notEqual">
      <formula>Z7</formula>
    </cfRule>
  </conditionalFormatting>
  <conditionalFormatting sqref="Y8">
    <cfRule type="cellIs" dxfId="1280" priority="1941" stopIfTrue="1" operator="notEqual">
      <formula>Z8</formula>
    </cfRule>
  </conditionalFormatting>
  <conditionalFormatting sqref="Y9">
    <cfRule type="cellIs" dxfId="1279" priority="1940" stopIfTrue="1" operator="notEqual">
      <formula>Z9</formula>
    </cfRule>
  </conditionalFormatting>
  <conditionalFormatting sqref="Y10">
    <cfRule type="cellIs" dxfId="1278" priority="1939" stopIfTrue="1" operator="notEqual">
      <formula>Z10</formula>
    </cfRule>
  </conditionalFormatting>
  <conditionalFormatting sqref="Y11">
    <cfRule type="cellIs" dxfId="1277" priority="1938" stopIfTrue="1" operator="notEqual">
      <formula>Z11</formula>
    </cfRule>
  </conditionalFormatting>
  <conditionalFormatting sqref="Y12">
    <cfRule type="cellIs" dxfId="1276" priority="1937" stopIfTrue="1" operator="notEqual">
      <formula>Z12</formula>
    </cfRule>
  </conditionalFormatting>
  <conditionalFormatting sqref="Y13">
    <cfRule type="cellIs" dxfId="1275" priority="1936" stopIfTrue="1" operator="notEqual">
      <formula>Z13</formula>
    </cfRule>
  </conditionalFormatting>
  <conditionalFormatting sqref="Y5">
    <cfRule type="cellIs" dxfId="1274" priority="1935" stopIfTrue="1" operator="notEqual">
      <formula>Z5</formula>
    </cfRule>
  </conditionalFormatting>
  <conditionalFormatting sqref="Y6">
    <cfRule type="cellIs" dxfId="1273" priority="1934" stopIfTrue="1" operator="notEqual">
      <formula>Z6</formula>
    </cfRule>
  </conditionalFormatting>
  <conditionalFormatting sqref="Y7">
    <cfRule type="cellIs" dxfId="1272" priority="1933" stopIfTrue="1" operator="notEqual">
      <formula>Z7</formula>
    </cfRule>
  </conditionalFormatting>
  <conditionalFormatting sqref="Y8">
    <cfRule type="cellIs" dxfId="1271" priority="1932" stopIfTrue="1" operator="notEqual">
      <formula>Z8</formula>
    </cfRule>
  </conditionalFormatting>
  <conditionalFormatting sqref="Y9">
    <cfRule type="cellIs" dxfId="1270" priority="1931" stopIfTrue="1" operator="notEqual">
      <formula>Z9</formula>
    </cfRule>
  </conditionalFormatting>
  <conditionalFormatting sqref="Y10">
    <cfRule type="cellIs" dxfId="1269" priority="1930" stopIfTrue="1" operator="notEqual">
      <formula>Z10</formula>
    </cfRule>
  </conditionalFormatting>
  <conditionalFormatting sqref="Y11">
    <cfRule type="cellIs" dxfId="1268" priority="1929" stopIfTrue="1" operator="notEqual">
      <formula>Z11</formula>
    </cfRule>
  </conditionalFormatting>
  <conditionalFormatting sqref="Y12">
    <cfRule type="cellIs" dxfId="1267" priority="1928" stopIfTrue="1" operator="notEqual">
      <formula>Z12</formula>
    </cfRule>
  </conditionalFormatting>
  <conditionalFormatting sqref="Y13">
    <cfRule type="cellIs" dxfId="1266" priority="1927" stopIfTrue="1" operator="notEqual">
      <formula>Z13</formula>
    </cfRule>
  </conditionalFormatting>
  <conditionalFormatting sqref="Y5">
    <cfRule type="cellIs" dxfId="1265" priority="1926" stopIfTrue="1" operator="notEqual">
      <formula>Z5</formula>
    </cfRule>
  </conditionalFormatting>
  <conditionalFormatting sqref="Y6">
    <cfRule type="cellIs" dxfId="1264" priority="1925" stopIfTrue="1" operator="notEqual">
      <formula>Z6</formula>
    </cfRule>
  </conditionalFormatting>
  <conditionalFormatting sqref="Y7">
    <cfRule type="cellIs" dxfId="1263" priority="1924" stopIfTrue="1" operator="notEqual">
      <formula>Z7</formula>
    </cfRule>
  </conditionalFormatting>
  <conditionalFormatting sqref="Y5">
    <cfRule type="cellIs" dxfId="1262" priority="1923" stopIfTrue="1" operator="notEqual">
      <formula>Z5</formula>
    </cfRule>
  </conditionalFormatting>
  <conditionalFormatting sqref="Y8">
    <cfRule type="cellIs" dxfId="1261" priority="1922" stopIfTrue="1" operator="notEqual">
      <formula>Z8</formula>
    </cfRule>
  </conditionalFormatting>
  <conditionalFormatting sqref="Y9">
    <cfRule type="cellIs" dxfId="1260" priority="1921" stopIfTrue="1" operator="notEqual">
      <formula>Z9</formula>
    </cfRule>
  </conditionalFormatting>
  <conditionalFormatting sqref="Y10">
    <cfRule type="cellIs" dxfId="1259" priority="1920" stopIfTrue="1" operator="notEqual">
      <formula>Z10</formula>
    </cfRule>
  </conditionalFormatting>
  <conditionalFormatting sqref="Y11">
    <cfRule type="cellIs" dxfId="1258" priority="1919" stopIfTrue="1" operator="notEqual">
      <formula>Z11</formula>
    </cfRule>
  </conditionalFormatting>
  <conditionalFormatting sqref="Y12">
    <cfRule type="cellIs" dxfId="1257" priority="1918" stopIfTrue="1" operator="notEqual">
      <formula>Z12</formula>
    </cfRule>
  </conditionalFormatting>
  <conditionalFormatting sqref="Y13">
    <cfRule type="cellIs" dxfId="1256" priority="1917" stopIfTrue="1" operator="notEqual">
      <formula>Z13</formula>
    </cfRule>
  </conditionalFormatting>
  <conditionalFormatting sqref="Y6">
    <cfRule type="cellIs" dxfId="1255" priority="1909" stopIfTrue="1" operator="notEqual">
      <formula>Z6</formula>
    </cfRule>
  </conditionalFormatting>
  <conditionalFormatting sqref="Y7">
    <cfRule type="cellIs" dxfId="1254" priority="1908" stopIfTrue="1" operator="notEqual">
      <formula>Z7</formula>
    </cfRule>
  </conditionalFormatting>
  <conditionalFormatting sqref="Y7">
    <cfRule type="cellIs" dxfId="1253" priority="1907" stopIfTrue="1" operator="notEqual">
      <formula>Z7</formula>
    </cfRule>
  </conditionalFormatting>
  <conditionalFormatting sqref="Y5">
    <cfRule type="cellIs" dxfId="1252" priority="1906" stopIfTrue="1" operator="notEqual">
      <formula>Z5</formula>
    </cfRule>
  </conditionalFormatting>
  <conditionalFormatting sqref="Y10">
    <cfRule type="cellIs" dxfId="1251" priority="1905" stopIfTrue="1" operator="notEqual">
      <formula>Z10</formula>
    </cfRule>
  </conditionalFormatting>
  <conditionalFormatting sqref="Y11">
    <cfRule type="cellIs" dxfId="1250" priority="1904" stopIfTrue="1" operator="notEqual">
      <formula>Z11</formula>
    </cfRule>
  </conditionalFormatting>
  <conditionalFormatting sqref="Y9">
    <cfRule type="cellIs" dxfId="1249" priority="1903" stopIfTrue="1" operator="notEqual">
      <formula>Z9</formula>
    </cfRule>
  </conditionalFormatting>
  <conditionalFormatting sqref="Y12">
    <cfRule type="cellIs" dxfId="1248" priority="1902" stopIfTrue="1" operator="notEqual">
      <formula>Z12</formula>
    </cfRule>
  </conditionalFormatting>
  <conditionalFormatting sqref="Y13">
    <cfRule type="cellIs" dxfId="1247" priority="1901" stopIfTrue="1" operator="notEqual">
      <formula>Z13</formula>
    </cfRule>
  </conditionalFormatting>
  <conditionalFormatting sqref="Y5">
    <cfRule type="cellIs" dxfId="1246" priority="1893" stopIfTrue="1" operator="notEqual">
      <formula>Z5</formula>
    </cfRule>
  </conditionalFormatting>
  <conditionalFormatting sqref="Y6">
    <cfRule type="cellIs" dxfId="1245" priority="1892" stopIfTrue="1" operator="notEqual">
      <formula>Z6</formula>
    </cfRule>
  </conditionalFormatting>
  <conditionalFormatting sqref="Y7">
    <cfRule type="cellIs" dxfId="1244" priority="1891" stopIfTrue="1" operator="notEqual">
      <formula>Z7</formula>
    </cfRule>
  </conditionalFormatting>
  <conditionalFormatting sqref="Y8">
    <cfRule type="cellIs" dxfId="1243" priority="1890" stopIfTrue="1" operator="notEqual">
      <formula>Z8</formula>
    </cfRule>
  </conditionalFormatting>
  <conditionalFormatting sqref="Y9">
    <cfRule type="cellIs" dxfId="1242" priority="1889" stopIfTrue="1" operator="notEqual">
      <formula>Z9</formula>
    </cfRule>
  </conditionalFormatting>
  <conditionalFormatting sqref="Y10">
    <cfRule type="cellIs" dxfId="1241" priority="1888" stopIfTrue="1" operator="notEqual">
      <formula>Z10</formula>
    </cfRule>
  </conditionalFormatting>
  <conditionalFormatting sqref="Y11">
    <cfRule type="cellIs" dxfId="1240" priority="1887" stopIfTrue="1" operator="notEqual">
      <formula>Z11</formula>
    </cfRule>
  </conditionalFormatting>
  <conditionalFormatting sqref="Y12">
    <cfRule type="cellIs" dxfId="1239" priority="1886" stopIfTrue="1" operator="notEqual">
      <formula>Z12</formula>
    </cfRule>
  </conditionalFormatting>
  <conditionalFormatting sqref="Y13">
    <cfRule type="cellIs" dxfId="1238" priority="1885" stopIfTrue="1" operator="notEqual">
      <formula>Z13</formula>
    </cfRule>
  </conditionalFormatting>
  <conditionalFormatting sqref="Y10">
    <cfRule type="cellIs" dxfId="1237" priority="1884" stopIfTrue="1" operator="notEqual">
      <formula>Z10</formula>
    </cfRule>
  </conditionalFormatting>
  <conditionalFormatting sqref="Y11">
    <cfRule type="cellIs" dxfId="1236" priority="1883" stopIfTrue="1" operator="notEqual">
      <formula>Z11</formula>
    </cfRule>
  </conditionalFormatting>
  <conditionalFormatting sqref="Y12">
    <cfRule type="cellIs" dxfId="1235" priority="1882" stopIfTrue="1" operator="notEqual">
      <formula>Z12</formula>
    </cfRule>
  </conditionalFormatting>
  <conditionalFormatting sqref="Y10">
    <cfRule type="cellIs" dxfId="1234" priority="1881" stopIfTrue="1" operator="notEqual">
      <formula>Z10</formula>
    </cfRule>
  </conditionalFormatting>
  <conditionalFormatting sqref="Y13">
    <cfRule type="cellIs" dxfId="1233" priority="1880" stopIfTrue="1" operator="notEqual">
      <formula>Z13</formula>
    </cfRule>
  </conditionalFormatting>
  <conditionalFormatting sqref="Y5">
    <cfRule type="cellIs" dxfId="1232" priority="1871" stopIfTrue="1" operator="notEqual">
      <formula>Z5</formula>
    </cfRule>
  </conditionalFormatting>
  <conditionalFormatting sqref="Y6">
    <cfRule type="cellIs" dxfId="1231" priority="1870" stopIfTrue="1" operator="notEqual">
      <formula>Z6</formula>
    </cfRule>
  </conditionalFormatting>
  <conditionalFormatting sqref="Y7">
    <cfRule type="cellIs" dxfId="1230" priority="1869" stopIfTrue="1" operator="notEqual">
      <formula>Z7</formula>
    </cfRule>
  </conditionalFormatting>
  <conditionalFormatting sqref="Y8">
    <cfRule type="cellIs" dxfId="1229" priority="1868" stopIfTrue="1" operator="notEqual">
      <formula>Z8</formula>
    </cfRule>
  </conditionalFormatting>
  <conditionalFormatting sqref="Y9">
    <cfRule type="cellIs" dxfId="1228" priority="1867" stopIfTrue="1" operator="notEqual">
      <formula>Z9</formula>
    </cfRule>
  </conditionalFormatting>
  <conditionalFormatting sqref="Y10">
    <cfRule type="cellIs" dxfId="1227" priority="1866" stopIfTrue="1" operator="notEqual">
      <formula>Z10</formula>
    </cfRule>
  </conditionalFormatting>
  <conditionalFormatting sqref="Y11">
    <cfRule type="cellIs" dxfId="1226" priority="1865" stopIfTrue="1" operator="notEqual">
      <formula>Z11</formula>
    </cfRule>
  </conditionalFormatting>
  <conditionalFormatting sqref="Y12">
    <cfRule type="cellIs" dxfId="1225" priority="1864" stopIfTrue="1" operator="notEqual">
      <formula>Z12</formula>
    </cfRule>
  </conditionalFormatting>
  <conditionalFormatting sqref="Y13">
    <cfRule type="cellIs" dxfId="1224" priority="1863" stopIfTrue="1" operator="notEqual">
      <formula>Z13</formula>
    </cfRule>
  </conditionalFormatting>
  <conditionalFormatting sqref="Y25:Y26">
    <cfRule type="cellIs" dxfId="1223" priority="1862" stopIfTrue="1" operator="notEqual">
      <formula>Z25</formula>
    </cfRule>
  </conditionalFormatting>
  <conditionalFormatting sqref="Y25:Y26">
    <cfRule type="cellIs" dxfId="1222" priority="1861" stopIfTrue="1" operator="notEqual">
      <formula>Z25</formula>
    </cfRule>
  </conditionalFormatting>
  <conditionalFormatting sqref="Y14">
    <cfRule type="cellIs" dxfId="1221" priority="1860" stopIfTrue="1" operator="notEqual">
      <formula>Z14</formula>
    </cfRule>
  </conditionalFormatting>
  <conditionalFormatting sqref="Y15:Y16">
    <cfRule type="cellIs" dxfId="1220" priority="1859" stopIfTrue="1" operator="notEqual">
      <formula>Z15</formula>
    </cfRule>
  </conditionalFormatting>
  <conditionalFormatting sqref="Y16">
    <cfRule type="cellIs" dxfId="1219" priority="1858" stopIfTrue="1" operator="notEqual">
      <formula>Z16</formula>
    </cfRule>
  </conditionalFormatting>
  <conditionalFormatting sqref="Y17:Y18">
    <cfRule type="cellIs" dxfId="1218" priority="1857" stopIfTrue="1" operator="notEqual">
      <formula>Z17</formula>
    </cfRule>
  </conditionalFormatting>
  <conditionalFormatting sqref="Y18">
    <cfRule type="cellIs" dxfId="1217" priority="1856" stopIfTrue="1" operator="notEqual">
      <formula>Z18</formula>
    </cfRule>
  </conditionalFormatting>
  <conditionalFormatting sqref="Y19">
    <cfRule type="cellIs" dxfId="1216" priority="1855" stopIfTrue="1" operator="notEqual">
      <formula>Z19</formula>
    </cfRule>
  </conditionalFormatting>
  <conditionalFormatting sqref="Y14">
    <cfRule type="cellIs" dxfId="1215" priority="1854" stopIfTrue="1" operator="notEqual">
      <formula>Z14</formula>
    </cfRule>
  </conditionalFormatting>
  <conditionalFormatting sqref="Y17:Y18">
    <cfRule type="cellIs" dxfId="1214" priority="1853" stopIfTrue="1" operator="notEqual">
      <formula>Z17</formula>
    </cfRule>
  </conditionalFormatting>
  <conditionalFormatting sqref="Y18">
    <cfRule type="cellIs" dxfId="1213" priority="1852" stopIfTrue="1" operator="notEqual">
      <formula>Z18</formula>
    </cfRule>
  </conditionalFormatting>
  <conditionalFormatting sqref="Y18">
    <cfRule type="cellIs" dxfId="1212" priority="1851" stopIfTrue="1" operator="notEqual">
      <formula>Z18</formula>
    </cfRule>
  </conditionalFormatting>
  <conditionalFormatting sqref="Y16">
    <cfRule type="cellIs" dxfId="1211" priority="1850" stopIfTrue="1" operator="notEqual">
      <formula>Z16</formula>
    </cfRule>
  </conditionalFormatting>
  <conditionalFormatting sqref="Y14">
    <cfRule type="cellIs" dxfId="1210" priority="1849" stopIfTrue="1" operator="notEqual">
      <formula>Z14</formula>
    </cfRule>
  </conditionalFormatting>
  <conditionalFormatting sqref="Y15:Y16">
    <cfRule type="cellIs" dxfId="1209" priority="1848" stopIfTrue="1" operator="notEqual">
      <formula>Z15</formula>
    </cfRule>
  </conditionalFormatting>
  <conditionalFormatting sqref="Y16">
    <cfRule type="cellIs" dxfId="1208" priority="1847" stopIfTrue="1" operator="notEqual">
      <formula>Z16</formula>
    </cfRule>
  </conditionalFormatting>
  <conditionalFormatting sqref="Y17:Y18">
    <cfRule type="cellIs" dxfId="1207" priority="1846" stopIfTrue="1" operator="notEqual">
      <formula>Z17</formula>
    </cfRule>
  </conditionalFormatting>
  <conditionalFormatting sqref="Y18">
    <cfRule type="cellIs" dxfId="1206" priority="1845" stopIfTrue="1" operator="notEqual">
      <formula>Z18</formula>
    </cfRule>
  </conditionalFormatting>
  <conditionalFormatting sqref="Y19">
    <cfRule type="cellIs" dxfId="1205" priority="1844" stopIfTrue="1" operator="notEqual">
      <formula>Z19</formula>
    </cfRule>
  </conditionalFormatting>
  <conditionalFormatting sqref="Y14">
    <cfRule type="cellIs" dxfId="1204" priority="1843" stopIfTrue="1" operator="notEqual">
      <formula>Z14</formula>
    </cfRule>
  </conditionalFormatting>
  <conditionalFormatting sqref="Y15:Y16">
    <cfRule type="cellIs" dxfId="1203" priority="1842" stopIfTrue="1" operator="notEqual">
      <formula>Z15</formula>
    </cfRule>
  </conditionalFormatting>
  <conditionalFormatting sqref="Y16">
    <cfRule type="cellIs" dxfId="1202" priority="1841" stopIfTrue="1" operator="notEqual">
      <formula>Z16</formula>
    </cfRule>
  </conditionalFormatting>
  <conditionalFormatting sqref="Y17:Y18">
    <cfRule type="cellIs" dxfId="1201" priority="1840" stopIfTrue="1" operator="notEqual">
      <formula>Z17</formula>
    </cfRule>
  </conditionalFormatting>
  <conditionalFormatting sqref="Y18">
    <cfRule type="cellIs" dxfId="1200" priority="1839" stopIfTrue="1" operator="notEqual">
      <formula>Z18</formula>
    </cfRule>
  </conditionalFormatting>
  <conditionalFormatting sqref="Y19">
    <cfRule type="cellIs" dxfId="1199" priority="1838" stopIfTrue="1" operator="notEqual">
      <formula>Z19</formula>
    </cfRule>
  </conditionalFormatting>
  <conditionalFormatting sqref="Y21">
    <cfRule type="cellIs" dxfId="1198" priority="1837" stopIfTrue="1" operator="notEqual">
      <formula>Z21</formula>
    </cfRule>
  </conditionalFormatting>
  <conditionalFormatting sqref="Y23">
    <cfRule type="cellIs" dxfId="1197" priority="1836" stopIfTrue="1" operator="notEqual">
      <formula>Z23</formula>
    </cfRule>
  </conditionalFormatting>
  <conditionalFormatting sqref="Y24">
    <cfRule type="cellIs" dxfId="1196" priority="1835" stopIfTrue="1" operator="notEqual">
      <formula>Z24</formula>
    </cfRule>
  </conditionalFormatting>
  <conditionalFormatting sqref="Y14">
    <cfRule type="cellIs" dxfId="1195" priority="1834" stopIfTrue="1" operator="notEqual">
      <formula>Z14</formula>
    </cfRule>
  </conditionalFormatting>
  <conditionalFormatting sqref="Y15:Y16">
    <cfRule type="cellIs" dxfId="1194" priority="1833" stopIfTrue="1" operator="notEqual">
      <formula>Z15</formula>
    </cfRule>
  </conditionalFormatting>
  <conditionalFormatting sqref="Y16">
    <cfRule type="cellIs" dxfId="1193" priority="1832" stopIfTrue="1" operator="notEqual">
      <formula>Z16</formula>
    </cfRule>
  </conditionalFormatting>
  <conditionalFormatting sqref="Y17:Y18">
    <cfRule type="cellIs" dxfId="1192" priority="1831" stopIfTrue="1" operator="notEqual">
      <formula>Z17</formula>
    </cfRule>
  </conditionalFormatting>
  <conditionalFormatting sqref="Y18">
    <cfRule type="cellIs" dxfId="1191" priority="1830" stopIfTrue="1" operator="notEqual">
      <formula>Z18</formula>
    </cfRule>
  </conditionalFormatting>
  <conditionalFormatting sqref="Y19">
    <cfRule type="cellIs" dxfId="1190" priority="1829" stopIfTrue="1" operator="notEqual">
      <formula>Z19</formula>
    </cfRule>
  </conditionalFormatting>
  <conditionalFormatting sqref="Y23">
    <cfRule type="cellIs" dxfId="1189" priority="1828" stopIfTrue="1" operator="notEqual">
      <formula>Z23</formula>
    </cfRule>
  </conditionalFormatting>
  <conditionalFormatting sqref="Y23">
    <cfRule type="cellIs" dxfId="1188" priority="1827" stopIfTrue="1" operator="notEqual">
      <formula>Z23</formula>
    </cfRule>
  </conditionalFormatting>
  <conditionalFormatting sqref="Y21">
    <cfRule type="cellIs" dxfId="1187" priority="1826" stopIfTrue="1" operator="notEqual">
      <formula>Z21</formula>
    </cfRule>
  </conditionalFormatting>
  <conditionalFormatting sqref="Y25">
    <cfRule type="cellIs" dxfId="1186" priority="1825" stopIfTrue="1" operator="notEqual">
      <formula>Z25</formula>
    </cfRule>
  </conditionalFormatting>
  <conditionalFormatting sqref="Y14">
    <cfRule type="cellIs" dxfId="1185" priority="1824" stopIfTrue="1" operator="notEqual">
      <formula>Z14</formula>
    </cfRule>
  </conditionalFormatting>
  <conditionalFormatting sqref="Y15:Y16">
    <cfRule type="cellIs" dxfId="1184" priority="1823" stopIfTrue="1" operator="notEqual">
      <formula>Z15</formula>
    </cfRule>
  </conditionalFormatting>
  <conditionalFormatting sqref="Y16">
    <cfRule type="cellIs" dxfId="1183" priority="1822" stopIfTrue="1" operator="notEqual">
      <formula>Z16</formula>
    </cfRule>
  </conditionalFormatting>
  <conditionalFormatting sqref="Y17:Y18">
    <cfRule type="cellIs" dxfId="1182" priority="1821" stopIfTrue="1" operator="notEqual">
      <formula>Z17</formula>
    </cfRule>
  </conditionalFormatting>
  <conditionalFormatting sqref="Y18">
    <cfRule type="cellIs" dxfId="1181" priority="1820" stopIfTrue="1" operator="notEqual">
      <formula>Z18</formula>
    </cfRule>
  </conditionalFormatting>
  <conditionalFormatting sqref="Y19">
    <cfRule type="cellIs" dxfId="1180" priority="1819" stopIfTrue="1" operator="notEqual">
      <formula>Z19</formula>
    </cfRule>
  </conditionalFormatting>
  <conditionalFormatting sqref="Y21">
    <cfRule type="cellIs" dxfId="1179" priority="1818" stopIfTrue="1" operator="notEqual">
      <formula>Z21</formula>
    </cfRule>
  </conditionalFormatting>
  <conditionalFormatting sqref="Y23">
    <cfRule type="cellIs" dxfId="1178" priority="1817" stopIfTrue="1" operator="notEqual">
      <formula>Z23</formula>
    </cfRule>
  </conditionalFormatting>
  <conditionalFormatting sqref="Y24">
    <cfRule type="cellIs" dxfId="1177" priority="1816" stopIfTrue="1" operator="notEqual">
      <formula>Z24</formula>
    </cfRule>
  </conditionalFormatting>
  <conditionalFormatting sqref="Y25">
    <cfRule type="cellIs" dxfId="1176" priority="1815" stopIfTrue="1" operator="notEqual">
      <formula>Z25</formula>
    </cfRule>
  </conditionalFormatting>
  <conditionalFormatting sqref="Y25">
    <cfRule type="cellIs" dxfId="1175" priority="1814" stopIfTrue="1" operator="notEqual">
      <formula>Z25</formula>
    </cfRule>
  </conditionalFormatting>
  <conditionalFormatting sqref="Y26">
    <cfRule type="cellIs" dxfId="1174" priority="1813" stopIfTrue="1" operator="notEqual">
      <formula>Z26</formula>
    </cfRule>
  </conditionalFormatting>
  <conditionalFormatting sqref="Y25">
    <cfRule type="cellIs" dxfId="1173" priority="1812" stopIfTrue="1" operator="notEqual">
      <formula>Z25</formula>
    </cfRule>
  </conditionalFormatting>
  <conditionalFormatting sqref="Y26">
    <cfRule type="cellIs" dxfId="1172" priority="1811" stopIfTrue="1" operator="notEqual">
      <formula>Z26</formula>
    </cfRule>
  </conditionalFormatting>
  <conditionalFormatting sqref="Y25">
    <cfRule type="cellIs" dxfId="1171" priority="1810" stopIfTrue="1" operator="notEqual">
      <formula>Z25</formula>
    </cfRule>
  </conditionalFormatting>
  <conditionalFormatting sqref="Y26">
    <cfRule type="cellIs" dxfId="1170" priority="1809" stopIfTrue="1" operator="notEqual">
      <formula>Z26</formula>
    </cfRule>
  </conditionalFormatting>
  <conditionalFormatting sqref="Y25">
    <cfRule type="cellIs" dxfId="1169" priority="1808" stopIfTrue="1" operator="notEqual">
      <formula>Z25</formula>
    </cfRule>
  </conditionalFormatting>
  <conditionalFormatting sqref="Y24:Y26">
    <cfRule type="cellIs" dxfId="1168" priority="1807" stopIfTrue="1" operator="notEqual">
      <formula>Z24</formula>
    </cfRule>
  </conditionalFormatting>
  <conditionalFormatting sqref="Y14">
    <cfRule type="cellIs" dxfId="1167" priority="1806" stopIfTrue="1" operator="notEqual">
      <formula>Z14</formula>
    </cfRule>
  </conditionalFormatting>
  <conditionalFormatting sqref="Y15:Y16">
    <cfRule type="cellIs" dxfId="1166" priority="1805" stopIfTrue="1" operator="notEqual">
      <formula>Z15</formula>
    </cfRule>
  </conditionalFormatting>
  <conditionalFormatting sqref="Y16">
    <cfRule type="cellIs" dxfId="1165" priority="1804" stopIfTrue="1" operator="notEqual">
      <formula>Z16</formula>
    </cfRule>
  </conditionalFormatting>
  <conditionalFormatting sqref="Y17:Y18">
    <cfRule type="cellIs" dxfId="1164" priority="1803" stopIfTrue="1" operator="notEqual">
      <formula>Z17</formula>
    </cfRule>
  </conditionalFormatting>
  <conditionalFormatting sqref="Y18">
    <cfRule type="cellIs" dxfId="1163" priority="1802" stopIfTrue="1" operator="notEqual">
      <formula>Z18</formula>
    </cfRule>
  </conditionalFormatting>
  <conditionalFormatting sqref="Y19">
    <cfRule type="cellIs" dxfId="1162" priority="1801" stopIfTrue="1" operator="notEqual">
      <formula>Z19</formula>
    </cfRule>
  </conditionalFormatting>
  <conditionalFormatting sqref="Y21">
    <cfRule type="cellIs" dxfId="1161" priority="1800" stopIfTrue="1" operator="notEqual">
      <formula>Z21</formula>
    </cfRule>
  </conditionalFormatting>
  <conditionalFormatting sqref="Y23">
    <cfRule type="cellIs" dxfId="1160" priority="1799" stopIfTrue="1" operator="notEqual">
      <formula>Z23</formula>
    </cfRule>
  </conditionalFormatting>
  <conditionalFormatting sqref="Y26">
    <cfRule type="cellIs" dxfId="1159" priority="1798" stopIfTrue="1" operator="notEqual">
      <formula>Z26</formula>
    </cfRule>
  </conditionalFormatting>
  <conditionalFormatting sqref="Y25">
    <cfRule type="cellIs" dxfId="1158" priority="1797" stopIfTrue="1" operator="notEqual">
      <formula>Z25</formula>
    </cfRule>
  </conditionalFormatting>
  <conditionalFormatting sqref="Y14">
    <cfRule type="cellIs" dxfId="1157" priority="1796" stopIfTrue="1" operator="notEqual">
      <formula>Z14</formula>
    </cfRule>
  </conditionalFormatting>
  <conditionalFormatting sqref="Y15:Y16">
    <cfRule type="cellIs" dxfId="1156" priority="1795" stopIfTrue="1" operator="notEqual">
      <formula>Z15</formula>
    </cfRule>
  </conditionalFormatting>
  <conditionalFormatting sqref="Y16">
    <cfRule type="cellIs" dxfId="1155" priority="1794" stopIfTrue="1" operator="notEqual">
      <formula>Z16</formula>
    </cfRule>
  </conditionalFormatting>
  <conditionalFormatting sqref="Y14">
    <cfRule type="cellIs" dxfId="1154" priority="1793" stopIfTrue="1" operator="notEqual">
      <formula>Z14</formula>
    </cfRule>
  </conditionalFormatting>
  <conditionalFormatting sqref="Y17:Y18">
    <cfRule type="cellIs" dxfId="1153" priority="1792" stopIfTrue="1" operator="notEqual">
      <formula>Z17</formula>
    </cfRule>
  </conditionalFormatting>
  <conditionalFormatting sqref="Y18">
    <cfRule type="cellIs" dxfId="1152" priority="1791" stopIfTrue="1" operator="notEqual">
      <formula>Z18</formula>
    </cfRule>
  </conditionalFormatting>
  <conditionalFormatting sqref="Y19">
    <cfRule type="cellIs" dxfId="1151" priority="1790" stopIfTrue="1" operator="notEqual">
      <formula>Z19</formula>
    </cfRule>
  </conditionalFormatting>
  <conditionalFormatting sqref="Y21">
    <cfRule type="cellIs" dxfId="1150" priority="1789" stopIfTrue="1" operator="notEqual">
      <formula>Z21</formula>
    </cfRule>
  </conditionalFormatting>
  <conditionalFormatting sqref="Y23">
    <cfRule type="cellIs" dxfId="1149" priority="1788" stopIfTrue="1" operator="notEqual">
      <formula>Z23</formula>
    </cfRule>
  </conditionalFormatting>
  <conditionalFormatting sqref="Y24">
    <cfRule type="cellIs" dxfId="1148" priority="1787" stopIfTrue="1" operator="notEqual">
      <formula>Z24</formula>
    </cfRule>
  </conditionalFormatting>
  <conditionalFormatting sqref="Y25">
    <cfRule type="cellIs" dxfId="1147" priority="1786" stopIfTrue="1" operator="notEqual">
      <formula>Z25</formula>
    </cfRule>
  </conditionalFormatting>
  <conditionalFormatting sqref="Y26">
    <cfRule type="cellIs" dxfId="1146" priority="1785" stopIfTrue="1" operator="notEqual">
      <formula>Z26</formula>
    </cfRule>
  </conditionalFormatting>
  <conditionalFormatting sqref="Y15:Y16">
    <cfRule type="cellIs" dxfId="1145" priority="1784" stopIfTrue="1" operator="notEqual">
      <formula>Z15</formula>
    </cfRule>
  </conditionalFormatting>
  <conditionalFormatting sqref="Y16">
    <cfRule type="cellIs" dxfId="1144" priority="1783" stopIfTrue="1" operator="notEqual">
      <formula>Z16</formula>
    </cfRule>
  </conditionalFormatting>
  <conditionalFormatting sqref="Y16">
    <cfRule type="cellIs" dxfId="1143" priority="1782" stopIfTrue="1" operator="notEqual">
      <formula>Z16</formula>
    </cfRule>
  </conditionalFormatting>
  <conditionalFormatting sqref="Y14">
    <cfRule type="cellIs" dxfId="1142" priority="1781" stopIfTrue="1" operator="notEqual">
      <formula>Z14</formula>
    </cfRule>
  </conditionalFormatting>
  <conditionalFormatting sqref="Y19">
    <cfRule type="cellIs" dxfId="1141" priority="1780" stopIfTrue="1" operator="notEqual">
      <formula>Z19</formula>
    </cfRule>
  </conditionalFormatting>
  <conditionalFormatting sqref="Y18">
    <cfRule type="cellIs" dxfId="1140" priority="1779" stopIfTrue="1" operator="notEqual">
      <formula>Z18</formula>
    </cfRule>
  </conditionalFormatting>
  <conditionalFormatting sqref="Y21">
    <cfRule type="cellIs" dxfId="1139" priority="1778" stopIfTrue="1" operator="notEqual">
      <formula>Z21</formula>
    </cfRule>
  </conditionalFormatting>
  <conditionalFormatting sqref="Y23">
    <cfRule type="cellIs" dxfId="1138" priority="1777" stopIfTrue="1" operator="notEqual">
      <formula>Z23</formula>
    </cfRule>
  </conditionalFormatting>
  <conditionalFormatting sqref="Y24">
    <cfRule type="cellIs" dxfId="1137" priority="1776" stopIfTrue="1" operator="notEqual">
      <formula>Z24</formula>
    </cfRule>
  </conditionalFormatting>
  <conditionalFormatting sqref="Y25">
    <cfRule type="cellIs" dxfId="1136" priority="1775" stopIfTrue="1" operator="notEqual">
      <formula>Z25</formula>
    </cfRule>
  </conditionalFormatting>
  <conditionalFormatting sqref="Y26">
    <cfRule type="cellIs" dxfId="1135" priority="1774" stopIfTrue="1" operator="notEqual">
      <formula>Z26</formula>
    </cfRule>
  </conditionalFormatting>
  <conditionalFormatting sqref="Y18">
    <cfRule type="cellIs" dxfId="1134" priority="1773" stopIfTrue="1" operator="notEqual">
      <formula>Z18</formula>
    </cfRule>
  </conditionalFormatting>
  <conditionalFormatting sqref="Y19">
    <cfRule type="cellIs" dxfId="1133" priority="1772" stopIfTrue="1" operator="notEqual">
      <formula>Z19</formula>
    </cfRule>
  </conditionalFormatting>
  <conditionalFormatting sqref="Y21">
    <cfRule type="cellIs" dxfId="1132" priority="1771" stopIfTrue="1" operator="notEqual">
      <formula>Z21</formula>
    </cfRule>
  </conditionalFormatting>
  <conditionalFormatting sqref="Y23">
    <cfRule type="cellIs" dxfId="1131" priority="1770" stopIfTrue="1" operator="notEqual">
      <formula>Z23</formula>
    </cfRule>
  </conditionalFormatting>
  <conditionalFormatting sqref="Y18">
    <cfRule type="cellIs" dxfId="1130" priority="1769" stopIfTrue="1" operator="notEqual">
      <formula>Z18</formula>
    </cfRule>
  </conditionalFormatting>
  <conditionalFormatting sqref="Y21">
    <cfRule type="cellIs" dxfId="1129" priority="1768" stopIfTrue="1" operator="notEqual">
      <formula>Z21</formula>
    </cfRule>
  </conditionalFormatting>
  <conditionalFormatting sqref="Y24">
    <cfRule type="cellIs" dxfId="1128" priority="1767" stopIfTrue="1" operator="notEqual">
      <formula>Z24</formula>
    </cfRule>
  </conditionalFormatting>
  <conditionalFormatting sqref="Y18">
    <cfRule type="cellIs" dxfId="1127" priority="1766" stopIfTrue="1" operator="notEqual">
      <formula>Z18</formula>
    </cfRule>
  </conditionalFormatting>
  <conditionalFormatting sqref="Y19">
    <cfRule type="cellIs" dxfId="1126" priority="1765" stopIfTrue="1" operator="notEqual">
      <formula>Z19</formula>
    </cfRule>
  </conditionalFormatting>
  <conditionalFormatting sqref="Y21">
    <cfRule type="cellIs" dxfId="1125" priority="1764" stopIfTrue="1" operator="notEqual">
      <formula>Z21</formula>
    </cfRule>
  </conditionalFormatting>
  <conditionalFormatting sqref="Y23">
    <cfRule type="cellIs" dxfId="1124" priority="1763" stopIfTrue="1" operator="notEqual">
      <formula>Z23</formula>
    </cfRule>
  </conditionalFormatting>
  <conditionalFormatting sqref="Y24">
    <cfRule type="cellIs" dxfId="1123" priority="1762" stopIfTrue="1" operator="notEqual">
      <formula>Z24</formula>
    </cfRule>
  </conditionalFormatting>
  <conditionalFormatting sqref="Y18">
    <cfRule type="cellIs" dxfId="1122" priority="1761" stopIfTrue="1" operator="notEqual">
      <formula>Z18</formula>
    </cfRule>
  </conditionalFormatting>
  <conditionalFormatting sqref="Y19">
    <cfRule type="cellIs" dxfId="1121" priority="1760" stopIfTrue="1" operator="notEqual">
      <formula>Z19</formula>
    </cfRule>
  </conditionalFormatting>
  <conditionalFormatting sqref="Y21">
    <cfRule type="cellIs" dxfId="1120" priority="1759" stopIfTrue="1" operator="notEqual">
      <formula>Z21</formula>
    </cfRule>
  </conditionalFormatting>
  <conditionalFormatting sqref="Y23">
    <cfRule type="cellIs" dxfId="1119" priority="1758" stopIfTrue="1" operator="notEqual">
      <formula>Z23</formula>
    </cfRule>
  </conditionalFormatting>
  <conditionalFormatting sqref="Y24">
    <cfRule type="cellIs" dxfId="1118" priority="1757" stopIfTrue="1" operator="notEqual">
      <formula>Z24</formula>
    </cfRule>
  </conditionalFormatting>
  <conditionalFormatting sqref="Y25">
    <cfRule type="cellIs" dxfId="1117" priority="1756" stopIfTrue="1" operator="notEqual">
      <formula>Z25</formula>
    </cfRule>
  </conditionalFormatting>
  <conditionalFormatting sqref="Y26">
    <cfRule type="cellIs" dxfId="1116" priority="1755" stopIfTrue="1" operator="notEqual">
      <formula>Z26</formula>
    </cfRule>
  </conditionalFormatting>
  <conditionalFormatting sqref="Y18">
    <cfRule type="cellIs" dxfId="1115" priority="1754" stopIfTrue="1" operator="notEqual">
      <formula>Z18</formula>
    </cfRule>
  </conditionalFormatting>
  <conditionalFormatting sqref="Y19">
    <cfRule type="cellIs" dxfId="1114" priority="1753" stopIfTrue="1" operator="notEqual">
      <formula>Z19</formula>
    </cfRule>
  </conditionalFormatting>
  <conditionalFormatting sqref="Y21">
    <cfRule type="cellIs" dxfId="1113" priority="1752" stopIfTrue="1" operator="notEqual">
      <formula>Z21</formula>
    </cfRule>
  </conditionalFormatting>
  <conditionalFormatting sqref="Y23">
    <cfRule type="cellIs" dxfId="1112" priority="1751" stopIfTrue="1" operator="notEqual">
      <formula>Z23</formula>
    </cfRule>
  </conditionalFormatting>
  <conditionalFormatting sqref="Y26">
    <cfRule type="cellIs" dxfId="1111" priority="1750" stopIfTrue="1" operator="notEqual">
      <formula>Z26</formula>
    </cfRule>
  </conditionalFormatting>
  <conditionalFormatting sqref="Y25">
    <cfRule type="cellIs" dxfId="1110" priority="1749" stopIfTrue="1" operator="notEqual">
      <formula>Z25</formula>
    </cfRule>
  </conditionalFormatting>
  <conditionalFormatting sqref="Y18">
    <cfRule type="cellIs" dxfId="1109" priority="1748" stopIfTrue="1" operator="notEqual">
      <formula>Z18</formula>
    </cfRule>
  </conditionalFormatting>
  <conditionalFormatting sqref="Y19">
    <cfRule type="cellIs" dxfId="1108" priority="1747" stopIfTrue="1" operator="notEqual">
      <formula>Z19</formula>
    </cfRule>
  </conditionalFormatting>
  <conditionalFormatting sqref="Y21">
    <cfRule type="cellIs" dxfId="1107" priority="1746" stopIfTrue="1" operator="notEqual">
      <formula>Z21</formula>
    </cfRule>
  </conditionalFormatting>
  <conditionalFormatting sqref="Y23">
    <cfRule type="cellIs" dxfId="1106" priority="1745" stopIfTrue="1" operator="notEqual">
      <formula>Z23</formula>
    </cfRule>
  </conditionalFormatting>
  <conditionalFormatting sqref="Y24">
    <cfRule type="cellIs" dxfId="1105" priority="1744" stopIfTrue="1" operator="notEqual">
      <formula>Z24</formula>
    </cfRule>
  </conditionalFormatting>
  <conditionalFormatting sqref="Y25">
    <cfRule type="cellIs" dxfId="1104" priority="1743" stopIfTrue="1" operator="notEqual">
      <formula>Z25</formula>
    </cfRule>
  </conditionalFormatting>
  <conditionalFormatting sqref="Y26">
    <cfRule type="cellIs" dxfId="1103" priority="1742" stopIfTrue="1" operator="notEqual">
      <formula>Z26</formula>
    </cfRule>
  </conditionalFormatting>
  <conditionalFormatting sqref="Y18">
    <cfRule type="cellIs" dxfId="1102" priority="1741" stopIfTrue="1" operator="notEqual">
      <formula>Z18</formula>
    </cfRule>
  </conditionalFormatting>
  <conditionalFormatting sqref="Y19">
    <cfRule type="cellIs" dxfId="1101" priority="1740" stopIfTrue="1" operator="notEqual">
      <formula>Z19</formula>
    </cfRule>
  </conditionalFormatting>
  <conditionalFormatting sqref="Y21">
    <cfRule type="cellIs" dxfId="1100" priority="1739" stopIfTrue="1" operator="notEqual">
      <formula>Z21</formula>
    </cfRule>
  </conditionalFormatting>
  <conditionalFormatting sqref="Y23">
    <cfRule type="cellIs" dxfId="1099" priority="1738" stopIfTrue="1" operator="notEqual">
      <formula>Z23</formula>
    </cfRule>
  </conditionalFormatting>
  <conditionalFormatting sqref="Y24">
    <cfRule type="cellIs" dxfId="1098" priority="1737" stopIfTrue="1" operator="notEqual">
      <formula>Z24</formula>
    </cfRule>
  </conditionalFormatting>
  <conditionalFormatting sqref="Y25">
    <cfRule type="cellIs" dxfId="1097" priority="1736" stopIfTrue="1" operator="notEqual">
      <formula>Z25</formula>
    </cfRule>
  </conditionalFormatting>
  <conditionalFormatting sqref="Y26">
    <cfRule type="cellIs" dxfId="1096" priority="1735" stopIfTrue="1" operator="notEqual">
      <formula>Z26</formula>
    </cfRule>
  </conditionalFormatting>
  <conditionalFormatting sqref="Y18">
    <cfRule type="cellIs" dxfId="1095" priority="1734" stopIfTrue="1" operator="notEqual">
      <formula>Z18</formula>
    </cfRule>
  </conditionalFormatting>
  <conditionalFormatting sqref="Y19">
    <cfRule type="cellIs" dxfId="1094" priority="1733" stopIfTrue="1" operator="notEqual">
      <formula>Z19</formula>
    </cfRule>
  </conditionalFormatting>
  <conditionalFormatting sqref="Y18">
    <cfRule type="cellIs" dxfId="1093" priority="1732" stopIfTrue="1" operator="notEqual">
      <formula>Z18</formula>
    </cfRule>
  </conditionalFormatting>
  <conditionalFormatting sqref="Y21">
    <cfRule type="cellIs" dxfId="1092" priority="1731" stopIfTrue="1" operator="notEqual">
      <formula>Z21</formula>
    </cfRule>
  </conditionalFormatting>
  <conditionalFormatting sqref="Y23">
    <cfRule type="cellIs" dxfId="1091" priority="1730" stopIfTrue="1" operator="notEqual">
      <formula>Z23</formula>
    </cfRule>
  </conditionalFormatting>
  <conditionalFormatting sqref="Y24">
    <cfRule type="cellIs" dxfId="1090" priority="1729" stopIfTrue="1" operator="notEqual">
      <formula>Z24</formula>
    </cfRule>
  </conditionalFormatting>
  <conditionalFormatting sqref="Y25">
    <cfRule type="cellIs" dxfId="1089" priority="1728" stopIfTrue="1" operator="notEqual">
      <formula>Z25</formula>
    </cfRule>
  </conditionalFormatting>
  <conditionalFormatting sqref="Y26">
    <cfRule type="cellIs" dxfId="1088" priority="1727" stopIfTrue="1" operator="notEqual">
      <formula>Z26</formula>
    </cfRule>
  </conditionalFormatting>
  <conditionalFormatting sqref="Y19">
    <cfRule type="cellIs" dxfId="1087" priority="1726" stopIfTrue="1" operator="notEqual">
      <formula>Z19</formula>
    </cfRule>
  </conditionalFormatting>
  <conditionalFormatting sqref="Y18">
    <cfRule type="cellIs" dxfId="1086" priority="1725" stopIfTrue="1" operator="notEqual">
      <formula>Z18</formula>
    </cfRule>
  </conditionalFormatting>
  <conditionalFormatting sqref="Y23">
    <cfRule type="cellIs" dxfId="1085" priority="1724" stopIfTrue="1" operator="notEqual">
      <formula>Z23</formula>
    </cfRule>
  </conditionalFormatting>
  <conditionalFormatting sqref="Y24">
    <cfRule type="cellIs" dxfId="1084" priority="1723" stopIfTrue="1" operator="notEqual">
      <formula>Z24</formula>
    </cfRule>
  </conditionalFormatting>
  <conditionalFormatting sqref="Y25">
    <cfRule type="cellIs" dxfId="1083" priority="1722" stopIfTrue="1" operator="notEqual">
      <formula>Z25</formula>
    </cfRule>
  </conditionalFormatting>
  <conditionalFormatting sqref="Y26">
    <cfRule type="cellIs" dxfId="1082" priority="1721" stopIfTrue="1" operator="notEqual">
      <formula>Z26</formula>
    </cfRule>
  </conditionalFormatting>
  <conditionalFormatting sqref="Y5">
    <cfRule type="cellIs" dxfId="1081" priority="1687" stopIfTrue="1" operator="notEqual">
      <formula>Z5</formula>
    </cfRule>
  </conditionalFormatting>
  <conditionalFormatting sqref="Y6">
    <cfRule type="cellIs" dxfId="1080" priority="1686" stopIfTrue="1" operator="notEqual">
      <formula>Z6</formula>
    </cfRule>
  </conditionalFormatting>
  <conditionalFormatting sqref="Y7">
    <cfRule type="cellIs" dxfId="1079" priority="1685" stopIfTrue="1" operator="notEqual">
      <formula>Z7</formula>
    </cfRule>
  </conditionalFormatting>
  <conditionalFormatting sqref="Y5">
    <cfRule type="cellIs" dxfId="1078" priority="1679" stopIfTrue="1" operator="notEqual">
      <formula>Z5</formula>
    </cfRule>
  </conditionalFormatting>
  <conditionalFormatting sqref="Y6">
    <cfRule type="cellIs" dxfId="1077" priority="1678" stopIfTrue="1" operator="notEqual">
      <formula>Z6</formula>
    </cfRule>
  </conditionalFormatting>
  <conditionalFormatting sqref="Y7">
    <cfRule type="cellIs" dxfId="1076" priority="1677" stopIfTrue="1" operator="notEqual">
      <formula>Z7</formula>
    </cfRule>
  </conditionalFormatting>
  <conditionalFormatting sqref="Y5">
    <cfRule type="cellIs" dxfId="1075" priority="1671" stopIfTrue="1" operator="notEqual">
      <formula>Z5</formula>
    </cfRule>
  </conditionalFormatting>
  <conditionalFormatting sqref="Y6">
    <cfRule type="cellIs" dxfId="1074" priority="1670" stopIfTrue="1" operator="notEqual">
      <formula>Z6</formula>
    </cfRule>
  </conditionalFormatting>
  <conditionalFormatting sqref="Y7">
    <cfRule type="cellIs" dxfId="1073" priority="1669" stopIfTrue="1" operator="notEqual">
      <formula>Z7</formula>
    </cfRule>
  </conditionalFormatting>
  <conditionalFormatting sqref="Y5">
    <cfRule type="cellIs" dxfId="1072" priority="1663" stopIfTrue="1" operator="notEqual">
      <formula>Z5</formula>
    </cfRule>
  </conditionalFormatting>
  <conditionalFormatting sqref="Y6">
    <cfRule type="cellIs" dxfId="1071" priority="1661" stopIfTrue="1" operator="notEqual">
      <formula>Z6</formula>
    </cfRule>
  </conditionalFormatting>
  <conditionalFormatting sqref="Y7">
    <cfRule type="cellIs" dxfId="1070" priority="1660" stopIfTrue="1" operator="notEqual">
      <formula>Z7</formula>
    </cfRule>
  </conditionalFormatting>
  <conditionalFormatting sqref="Y5">
    <cfRule type="cellIs" dxfId="1069" priority="1654" stopIfTrue="1" operator="notEqual">
      <formula>Z5</formula>
    </cfRule>
  </conditionalFormatting>
  <conditionalFormatting sqref="Y6">
    <cfRule type="cellIs" dxfId="1068" priority="1653" stopIfTrue="1" operator="notEqual">
      <formula>Z6</formula>
    </cfRule>
  </conditionalFormatting>
  <conditionalFormatting sqref="Y7">
    <cfRule type="cellIs" dxfId="1067" priority="1652" stopIfTrue="1" operator="notEqual">
      <formula>Z7</formula>
    </cfRule>
  </conditionalFormatting>
  <conditionalFormatting sqref="Y5">
    <cfRule type="cellIs" dxfId="1066" priority="1650" stopIfTrue="1" operator="notEqual">
      <formula>Z5</formula>
    </cfRule>
  </conditionalFormatting>
  <conditionalFormatting sqref="Y6">
    <cfRule type="cellIs" dxfId="1065" priority="1649" stopIfTrue="1" operator="notEqual">
      <formula>Z6</formula>
    </cfRule>
  </conditionalFormatting>
  <conditionalFormatting sqref="Y7">
    <cfRule type="cellIs" dxfId="1064" priority="1647" stopIfTrue="1" operator="notEqual">
      <formula>Z7</formula>
    </cfRule>
  </conditionalFormatting>
  <conditionalFormatting sqref="Y5">
    <cfRule type="cellIs" dxfId="1063" priority="1641" stopIfTrue="1" operator="notEqual">
      <formula>Z5</formula>
    </cfRule>
  </conditionalFormatting>
  <conditionalFormatting sqref="Y6">
    <cfRule type="cellIs" dxfId="1062" priority="1640" stopIfTrue="1" operator="notEqual">
      <formula>Z6</formula>
    </cfRule>
  </conditionalFormatting>
  <conditionalFormatting sqref="Y7">
    <cfRule type="cellIs" dxfId="1061" priority="1639" stopIfTrue="1" operator="notEqual">
      <formula>Z7</formula>
    </cfRule>
  </conditionalFormatting>
  <conditionalFormatting sqref="Y8">
    <cfRule type="cellIs" dxfId="1060" priority="1638" stopIfTrue="1" operator="notEqual">
      <formula>Z8</formula>
    </cfRule>
  </conditionalFormatting>
  <conditionalFormatting sqref="Y9">
    <cfRule type="cellIs" dxfId="1059" priority="1637" stopIfTrue="1" operator="notEqual">
      <formula>Z9</formula>
    </cfRule>
  </conditionalFormatting>
  <conditionalFormatting sqref="Y10">
    <cfRule type="cellIs" dxfId="1058" priority="1636" stopIfTrue="1" operator="notEqual">
      <formula>Z10</formula>
    </cfRule>
  </conditionalFormatting>
  <conditionalFormatting sqref="Y8">
    <cfRule type="cellIs" dxfId="1057" priority="1635" stopIfTrue="1" operator="notEqual">
      <formula>Z8</formula>
    </cfRule>
  </conditionalFormatting>
  <conditionalFormatting sqref="Y10">
    <cfRule type="cellIs" dxfId="1056" priority="1634" stopIfTrue="1" operator="notEqual">
      <formula>Z10</formula>
    </cfRule>
  </conditionalFormatting>
  <conditionalFormatting sqref="Y8">
    <cfRule type="cellIs" dxfId="1055" priority="1633" stopIfTrue="1" operator="notEqual">
      <formula>Z8</formula>
    </cfRule>
  </conditionalFormatting>
  <conditionalFormatting sqref="Y9">
    <cfRule type="cellIs" dxfId="1054" priority="1632" stopIfTrue="1" operator="notEqual">
      <formula>Z9</formula>
    </cfRule>
  </conditionalFormatting>
  <conditionalFormatting sqref="Y10">
    <cfRule type="cellIs" dxfId="1053" priority="1631" stopIfTrue="1" operator="notEqual">
      <formula>Z10</formula>
    </cfRule>
  </conditionalFormatting>
  <conditionalFormatting sqref="Y8">
    <cfRule type="cellIs" dxfId="1052" priority="1630" stopIfTrue="1" operator="notEqual">
      <formula>Z8</formula>
    </cfRule>
  </conditionalFormatting>
  <conditionalFormatting sqref="Y9">
    <cfRule type="cellIs" dxfId="1051" priority="1629" stopIfTrue="1" operator="notEqual">
      <formula>Z9</formula>
    </cfRule>
  </conditionalFormatting>
  <conditionalFormatting sqref="Y10">
    <cfRule type="cellIs" dxfId="1050" priority="1628" stopIfTrue="1" operator="notEqual">
      <formula>Z10</formula>
    </cfRule>
  </conditionalFormatting>
  <conditionalFormatting sqref="Y11">
    <cfRule type="cellIs" dxfId="1049" priority="1627" stopIfTrue="1" operator="notEqual">
      <formula>Z11</formula>
    </cfRule>
  </conditionalFormatting>
  <conditionalFormatting sqref="Y12">
    <cfRule type="cellIs" dxfId="1048" priority="1626" stopIfTrue="1" operator="notEqual">
      <formula>Z12</formula>
    </cfRule>
  </conditionalFormatting>
  <conditionalFormatting sqref="Y13">
    <cfRule type="cellIs" dxfId="1047" priority="1625" stopIfTrue="1" operator="notEqual">
      <formula>Z13</formula>
    </cfRule>
  </conditionalFormatting>
  <conditionalFormatting sqref="Y8">
    <cfRule type="cellIs" dxfId="1046" priority="1624" stopIfTrue="1" operator="notEqual">
      <formula>Z8</formula>
    </cfRule>
  </conditionalFormatting>
  <conditionalFormatting sqref="Y9">
    <cfRule type="cellIs" dxfId="1045" priority="1623" stopIfTrue="1" operator="notEqual">
      <formula>Z9</formula>
    </cfRule>
  </conditionalFormatting>
  <conditionalFormatting sqref="Y10">
    <cfRule type="cellIs" dxfId="1044" priority="1622" stopIfTrue="1" operator="notEqual">
      <formula>Z10</formula>
    </cfRule>
  </conditionalFormatting>
  <conditionalFormatting sqref="Y12">
    <cfRule type="cellIs" dxfId="1043" priority="1621" stopIfTrue="1" operator="notEqual">
      <formula>Z12</formula>
    </cfRule>
  </conditionalFormatting>
  <conditionalFormatting sqref="Y13">
    <cfRule type="cellIs" dxfId="1042" priority="1620" stopIfTrue="1" operator="notEqual">
      <formula>Z13</formula>
    </cfRule>
  </conditionalFormatting>
  <conditionalFormatting sqref="Y13">
    <cfRule type="cellIs" dxfId="1041" priority="1619" stopIfTrue="1" operator="notEqual">
      <formula>Z13</formula>
    </cfRule>
  </conditionalFormatting>
  <conditionalFormatting sqref="Y11">
    <cfRule type="cellIs" dxfId="1040" priority="1618" stopIfTrue="1" operator="notEqual">
      <formula>Z11</formula>
    </cfRule>
  </conditionalFormatting>
  <conditionalFormatting sqref="Y14">
    <cfRule type="cellIs" dxfId="1039" priority="1617" stopIfTrue="1" operator="notEqual">
      <formula>Z14</formula>
    </cfRule>
  </conditionalFormatting>
  <conditionalFormatting sqref="Y8">
    <cfRule type="cellIs" dxfId="1038" priority="1616" stopIfTrue="1" operator="notEqual">
      <formula>Z8</formula>
    </cfRule>
  </conditionalFormatting>
  <conditionalFormatting sqref="Y9">
    <cfRule type="cellIs" dxfId="1037" priority="1615" stopIfTrue="1" operator="notEqual">
      <formula>Z9</formula>
    </cfRule>
  </conditionalFormatting>
  <conditionalFormatting sqref="Y10">
    <cfRule type="cellIs" dxfId="1036" priority="1614" stopIfTrue="1" operator="notEqual">
      <formula>Z10</formula>
    </cfRule>
  </conditionalFormatting>
  <conditionalFormatting sqref="Y11">
    <cfRule type="cellIs" dxfId="1035" priority="1613" stopIfTrue="1" operator="notEqual">
      <formula>Z11</formula>
    </cfRule>
  </conditionalFormatting>
  <conditionalFormatting sqref="Y12">
    <cfRule type="cellIs" dxfId="1034" priority="1612" stopIfTrue="1" operator="notEqual">
      <formula>Z12</formula>
    </cfRule>
  </conditionalFormatting>
  <conditionalFormatting sqref="Y13">
    <cfRule type="cellIs" dxfId="1033" priority="1611" stopIfTrue="1" operator="notEqual">
      <formula>Z13</formula>
    </cfRule>
  </conditionalFormatting>
  <conditionalFormatting sqref="Y14">
    <cfRule type="cellIs" dxfId="1032" priority="1610" stopIfTrue="1" operator="notEqual">
      <formula>Z14</formula>
    </cfRule>
  </conditionalFormatting>
  <conditionalFormatting sqref="Y14">
    <cfRule type="cellIs" dxfId="1031" priority="1609" stopIfTrue="1" operator="notEqual">
      <formula>Z14</formula>
    </cfRule>
  </conditionalFormatting>
  <conditionalFormatting sqref="Y15:Y16">
    <cfRule type="cellIs" dxfId="1030" priority="1608" stopIfTrue="1" operator="notEqual">
      <formula>Z15</formula>
    </cfRule>
  </conditionalFormatting>
  <conditionalFormatting sqref="Y16">
    <cfRule type="cellIs" dxfId="1029" priority="1607" stopIfTrue="1" operator="notEqual">
      <formula>Z16</formula>
    </cfRule>
  </conditionalFormatting>
  <conditionalFormatting sqref="Y17:Y18">
    <cfRule type="cellIs" dxfId="1028" priority="1606" stopIfTrue="1" operator="notEqual">
      <formula>Z17</formula>
    </cfRule>
  </conditionalFormatting>
  <conditionalFormatting sqref="Y18">
    <cfRule type="cellIs" dxfId="1027" priority="1605" stopIfTrue="1" operator="notEqual">
      <formula>Z18</formula>
    </cfRule>
  </conditionalFormatting>
  <conditionalFormatting sqref="Y19">
    <cfRule type="cellIs" dxfId="1026" priority="1604" stopIfTrue="1" operator="notEqual">
      <formula>Z19</formula>
    </cfRule>
  </conditionalFormatting>
  <conditionalFormatting sqref="Y14">
    <cfRule type="cellIs" dxfId="1025" priority="1603" stopIfTrue="1" operator="notEqual">
      <formula>Z14</formula>
    </cfRule>
  </conditionalFormatting>
  <conditionalFormatting sqref="Y15:Y16">
    <cfRule type="cellIs" dxfId="1024" priority="1602" stopIfTrue="1" operator="notEqual">
      <formula>Z15</formula>
    </cfRule>
  </conditionalFormatting>
  <conditionalFormatting sqref="Y16">
    <cfRule type="cellIs" dxfId="1023" priority="1601" stopIfTrue="1" operator="notEqual">
      <formula>Z16</formula>
    </cfRule>
  </conditionalFormatting>
  <conditionalFormatting sqref="Y17:Y18">
    <cfRule type="cellIs" dxfId="1022" priority="1600" stopIfTrue="1" operator="notEqual">
      <formula>Z17</formula>
    </cfRule>
  </conditionalFormatting>
  <conditionalFormatting sqref="Y18">
    <cfRule type="cellIs" dxfId="1021" priority="1599" stopIfTrue="1" operator="notEqual">
      <formula>Z18</formula>
    </cfRule>
  </conditionalFormatting>
  <conditionalFormatting sqref="Y19">
    <cfRule type="cellIs" dxfId="1020" priority="1598" stopIfTrue="1" operator="notEqual">
      <formula>Z19</formula>
    </cfRule>
  </conditionalFormatting>
  <conditionalFormatting sqref="Y14">
    <cfRule type="cellIs" dxfId="1019" priority="1597" stopIfTrue="1" operator="notEqual">
      <formula>Z14</formula>
    </cfRule>
  </conditionalFormatting>
  <conditionalFormatting sqref="Y15:Y16">
    <cfRule type="cellIs" dxfId="1018" priority="1596" stopIfTrue="1" operator="notEqual">
      <formula>Z15</formula>
    </cfRule>
  </conditionalFormatting>
  <conditionalFormatting sqref="Y14">
    <cfRule type="cellIs" dxfId="1017" priority="1595" stopIfTrue="1" operator="notEqual">
      <formula>Z14</formula>
    </cfRule>
  </conditionalFormatting>
  <conditionalFormatting sqref="Y16">
    <cfRule type="cellIs" dxfId="1016" priority="1594" stopIfTrue="1" operator="notEqual">
      <formula>Z16</formula>
    </cfRule>
  </conditionalFormatting>
  <conditionalFormatting sqref="Y17:Y18">
    <cfRule type="cellIs" dxfId="1015" priority="1593" stopIfTrue="1" operator="notEqual">
      <formula>Z17</formula>
    </cfRule>
  </conditionalFormatting>
  <conditionalFormatting sqref="Y18">
    <cfRule type="cellIs" dxfId="1014" priority="1592" stopIfTrue="1" operator="notEqual">
      <formula>Z18</formula>
    </cfRule>
  </conditionalFormatting>
  <conditionalFormatting sqref="Y19">
    <cfRule type="cellIs" dxfId="1013" priority="1591" stopIfTrue="1" operator="notEqual">
      <formula>Z19</formula>
    </cfRule>
  </conditionalFormatting>
  <conditionalFormatting sqref="Y8">
    <cfRule type="cellIs" dxfId="1012" priority="1590" stopIfTrue="1" operator="notEqual">
      <formula>Z8</formula>
    </cfRule>
  </conditionalFormatting>
  <conditionalFormatting sqref="Y9">
    <cfRule type="cellIs" dxfId="1011" priority="1589" stopIfTrue="1" operator="notEqual">
      <formula>Z9</formula>
    </cfRule>
  </conditionalFormatting>
  <conditionalFormatting sqref="Y10">
    <cfRule type="cellIs" dxfId="1010" priority="1588" stopIfTrue="1" operator="notEqual">
      <formula>Z10</formula>
    </cfRule>
  </conditionalFormatting>
  <conditionalFormatting sqref="Y11">
    <cfRule type="cellIs" dxfId="1009" priority="1587" stopIfTrue="1" operator="notEqual">
      <formula>Z11</formula>
    </cfRule>
  </conditionalFormatting>
  <conditionalFormatting sqref="Y12">
    <cfRule type="cellIs" dxfId="1008" priority="1586" stopIfTrue="1" operator="notEqual">
      <formula>Z12</formula>
    </cfRule>
  </conditionalFormatting>
  <conditionalFormatting sqref="Y13">
    <cfRule type="cellIs" dxfId="1007" priority="1585" stopIfTrue="1" operator="notEqual">
      <formula>Z13</formula>
    </cfRule>
  </conditionalFormatting>
  <conditionalFormatting sqref="Y15:Y16">
    <cfRule type="cellIs" dxfId="1006" priority="1584" stopIfTrue="1" operator="notEqual">
      <formula>Z15</formula>
    </cfRule>
  </conditionalFormatting>
  <conditionalFormatting sqref="Y14">
    <cfRule type="cellIs" dxfId="1005" priority="1583" stopIfTrue="1" operator="notEqual">
      <formula>Z14</formula>
    </cfRule>
  </conditionalFormatting>
  <conditionalFormatting sqref="Y17:Y18">
    <cfRule type="cellIs" dxfId="1004" priority="1582" stopIfTrue="1" operator="notEqual">
      <formula>Z17</formula>
    </cfRule>
  </conditionalFormatting>
  <conditionalFormatting sqref="Y18">
    <cfRule type="cellIs" dxfId="1003" priority="1581" stopIfTrue="1" operator="notEqual">
      <formula>Z18</formula>
    </cfRule>
  </conditionalFormatting>
  <conditionalFormatting sqref="Y19">
    <cfRule type="cellIs" dxfId="1002" priority="1580" stopIfTrue="1" operator="notEqual">
      <formula>Z19</formula>
    </cfRule>
  </conditionalFormatting>
  <conditionalFormatting sqref="Y8">
    <cfRule type="cellIs" dxfId="1001" priority="1579" stopIfTrue="1" operator="notEqual">
      <formula>Z8</formula>
    </cfRule>
  </conditionalFormatting>
  <conditionalFormatting sqref="Y9">
    <cfRule type="cellIs" dxfId="1000" priority="1578" stopIfTrue="1" operator="notEqual">
      <formula>Z9</formula>
    </cfRule>
  </conditionalFormatting>
  <conditionalFormatting sqref="Y10">
    <cfRule type="cellIs" dxfId="999" priority="1577" stopIfTrue="1" operator="notEqual">
      <formula>Z10</formula>
    </cfRule>
  </conditionalFormatting>
  <conditionalFormatting sqref="Y8">
    <cfRule type="cellIs" dxfId="998" priority="1576" stopIfTrue="1" operator="notEqual">
      <formula>Z8</formula>
    </cfRule>
  </conditionalFormatting>
  <conditionalFormatting sqref="Y11">
    <cfRule type="cellIs" dxfId="997" priority="1575" stopIfTrue="1" operator="notEqual">
      <formula>Z11</formula>
    </cfRule>
  </conditionalFormatting>
  <conditionalFormatting sqref="Y12">
    <cfRule type="cellIs" dxfId="996" priority="1574" stopIfTrue="1" operator="notEqual">
      <formula>Z12</formula>
    </cfRule>
  </conditionalFormatting>
  <conditionalFormatting sqref="Y13">
    <cfRule type="cellIs" dxfId="995" priority="1573" stopIfTrue="1" operator="notEqual">
      <formula>Z13</formula>
    </cfRule>
  </conditionalFormatting>
  <conditionalFormatting sqref="Y14">
    <cfRule type="cellIs" dxfId="994" priority="1572" stopIfTrue="1" operator="notEqual">
      <formula>Z14</formula>
    </cfRule>
  </conditionalFormatting>
  <conditionalFormatting sqref="Y15:Y16">
    <cfRule type="cellIs" dxfId="993" priority="1571" stopIfTrue="1" operator="notEqual">
      <formula>Z15</formula>
    </cfRule>
  </conditionalFormatting>
  <conditionalFormatting sqref="Y16">
    <cfRule type="cellIs" dxfId="992" priority="1570" stopIfTrue="1" operator="notEqual">
      <formula>Z16</formula>
    </cfRule>
  </conditionalFormatting>
  <conditionalFormatting sqref="Y17:Y18">
    <cfRule type="cellIs" dxfId="991" priority="1569" stopIfTrue="1" operator="notEqual">
      <formula>Z17</formula>
    </cfRule>
  </conditionalFormatting>
  <conditionalFormatting sqref="Y18">
    <cfRule type="cellIs" dxfId="990" priority="1568" stopIfTrue="1" operator="notEqual">
      <formula>Z18</formula>
    </cfRule>
  </conditionalFormatting>
  <conditionalFormatting sqref="Y19">
    <cfRule type="cellIs" dxfId="989" priority="1567" stopIfTrue="1" operator="notEqual">
      <formula>Z19</formula>
    </cfRule>
  </conditionalFormatting>
  <conditionalFormatting sqref="Y17:Y18">
    <cfRule type="cellIs" dxfId="988" priority="1566" stopIfTrue="1" operator="notEqual">
      <formula>Z17</formula>
    </cfRule>
  </conditionalFormatting>
  <conditionalFormatting sqref="Y18">
    <cfRule type="cellIs" dxfId="987" priority="1565" stopIfTrue="1" operator="notEqual">
      <formula>Z18</formula>
    </cfRule>
  </conditionalFormatting>
  <conditionalFormatting sqref="Y17:Y18">
    <cfRule type="cellIs" dxfId="986" priority="1564" stopIfTrue="1" operator="notEqual">
      <formula>Z17</formula>
    </cfRule>
  </conditionalFormatting>
  <conditionalFormatting sqref="Y19">
    <cfRule type="cellIs" dxfId="985" priority="1563" stopIfTrue="1" operator="notEqual">
      <formula>Z19</formula>
    </cfRule>
  </conditionalFormatting>
  <conditionalFormatting sqref="Y9">
    <cfRule type="cellIs" dxfId="984" priority="1562" stopIfTrue="1" operator="notEqual">
      <formula>Z9</formula>
    </cfRule>
  </conditionalFormatting>
  <conditionalFormatting sqref="Y10">
    <cfRule type="cellIs" dxfId="983" priority="1561" stopIfTrue="1" operator="notEqual">
      <formula>Z10</formula>
    </cfRule>
  </conditionalFormatting>
  <conditionalFormatting sqref="Y10">
    <cfRule type="cellIs" dxfId="982" priority="1560" stopIfTrue="1" operator="notEqual">
      <formula>Z10</formula>
    </cfRule>
  </conditionalFormatting>
  <conditionalFormatting sqref="Y8">
    <cfRule type="cellIs" dxfId="981" priority="1559" stopIfTrue="1" operator="notEqual">
      <formula>Z8</formula>
    </cfRule>
  </conditionalFormatting>
  <conditionalFormatting sqref="Y11">
    <cfRule type="cellIs" dxfId="980" priority="1558" stopIfTrue="1" operator="notEqual">
      <formula>Z11</formula>
    </cfRule>
  </conditionalFormatting>
  <conditionalFormatting sqref="Y12">
    <cfRule type="cellIs" dxfId="979" priority="1557" stopIfTrue="1" operator="notEqual">
      <formula>Z12</formula>
    </cfRule>
  </conditionalFormatting>
  <conditionalFormatting sqref="Y13">
    <cfRule type="cellIs" dxfId="978" priority="1556" stopIfTrue="1" operator="notEqual">
      <formula>Z13</formula>
    </cfRule>
  </conditionalFormatting>
  <conditionalFormatting sqref="Y14">
    <cfRule type="cellIs" dxfId="977" priority="1555" stopIfTrue="1" operator="notEqual">
      <formula>Z14</formula>
    </cfRule>
  </conditionalFormatting>
  <conditionalFormatting sqref="Y15:Y16">
    <cfRule type="cellIs" dxfId="976" priority="1554" stopIfTrue="1" operator="notEqual">
      <formula>Z15</formula>
    </cfRule>
  </conditionalFormatting>
  <conditionalFormatting sqref="Y16">
    <cfRule type="cellIs" dxfId="975" priority="1553" stopIfTrue="1" operator="notEqual">
      <formula>Z16</formula>
    </cfRule>
  </conditionalFormatting>
  <conditionalFormatting sqref="Y17:Y18">
    <cfRule type="cellIs" dxfId="974" priority="1552" stopIfTrue="1" operator="notEqual">
      <formula>Z17</formula>
    </cfRule>
  </conditionalFormatting>
  <conditionalFormatting sqref="Y18">
    <cfRule type="cellIs" dxfId="973" priority="1551" stopIfTrue="1" operator="notEqual">
      <formula>Z18</formula>
    </cfRule>
  </conditionalFormatting>
  <conditionalFormatting sqref="Y19">
    <cfRule type="cellIs" dxfId="972" priority="1550" stopIfTrue="1" operator="notEqual">
      <formula>Z19</formula>
    </cfRule>
  </conditionalFormatting>
  <conditionalFormatting sqref="Y11">
    <cfRule type="cellIs" dxfId="971" priority="1549" stopIfTrue="1" operator="notEqual">
      <formula>Z11</formula>
    </cfRule>
  </conditionalFormatting>
  <conditionalFormatting sqref="Y12">
    <cfRule type="cellIs" dxfId="970" priority="1548" stopIfTrue="1" operator="notEqual">
      <formula>Z12</formula>
    </cfRule>
  </conditionalFormatting>
  <conditionalFormatting sqref="Y13">
    <cfRule type="cellIs" dxfId="969" priority="1547" stopIfTrue="1" operator="notEqual">
      <formula>Z13</formula>
    </cfRule>
  </conditionalFormatting>
  <conditionalFormatting sqref="Y11">
    <cfRule type="cellIs" dxfId="968" priority="1546" stopIfTrue="1" operator="notEqual">
      <formula>Z11</formula>
    </cfRule>
  </conditionalFormatting>
  <conditionalFormatting sqref="Y12">
    <cfRule type="cellIs" dxfId="967" priority="1545" stopIfTrue="1" operator="notEqual">
      <formula>Z12</formula>
    </cfRule>
  </conditionalFormatting>
  <conditionalFormatting sqref="Y12">
    <cfRule type="cellIs" dxfId="966" priority="1544" stopIfTrue="1" operator="notEqual">
      <formula>Z12</formula>
    </cfRule>
  </conditionalFormatting>
  <conditionalFormatting sqref="Y11">
    <cfRule type="cellIs" dxfId="965" priority="1543" stopIfTrue="1" operator="notEqual">
      <formula>Z11</formula>
    </cfRule>
  </conditionalFormatting>
  <conditionalFormatting sqref="Y12">
    <cfRule type="cellIs" dxfId="964" priority="1542" stopIfTrue="1" operator="notEqual">
      <formula>Z12</formula>
    </cfRule>
  </conditionalFormatting>
  <conditionalFormatting sqref="Y13">
    <cfRule type="cellIs" dxfId="963" priority="1541" stopIfTrue="1" operator="notEqual">
      <formula>Z13</formula>
    </cfRule>
  </conditionalFormatting>
  <conditionalFormatting sqref="Y11">
    <cfRule type="cellIs" dxfId="962" priority="1540" stopIfTrue="1" operator="notEqual">
      <formula>Z11</formula>
    </cfRule>
  </conditionalFormatting>
  <conditionalFormatting sqref="Y12">
    <cfRule type="cellIs" dxfId="961" priority="1539" stopIfTrue="1" operator="notEqual">
      <formula>Z12</formula>
    </cfRule>
  </conditionalFormatting>
  <conditionalFormatting sqref="Y13">
    <cfRule type="cellIs" dxfId="960" priority="1538" stopIfTrue="1" operator="notEqual">
      <formula>Z13</formula>
    </cfRule>
  </conditionalFormatting>
  <conditionalFormatting sqref="Y14">
    <cfRule type="cellIs" dxfId="959" priority="1537" stopIfTrue="1" operator="notEqual">
      <formula>Z14</formula>
    </cfRule>
  </conditionalFormatting>
  <conditionalFormatting sqref="Y15:Y16">
    <cfRule type="cellIs" dxfId="958" priority="1536" stopIfTrue="1" operator="notEqual">
      <formula>Z15</formula>
    </cfRule>
  </conditionalFormatting>
  <conditionalFormatting sqref="Y16">
    <cfRule type="cellIs" dxfId="957" priority="1535" stopIfTrue="1" operator="notEqual">
      <formula>Z16</formula>
    </cfRule>
  </conditionalFormatting>
  <conditionalFormatting sqref="Y11">
    <cfRule type="cellIs" dxfId="956" priority="1534" stopIfTrue="1" operator="notEqual">
      <formula>Z11</formula>
    </cfRule>
  </conditionalFormatting>
  <conditionalFormatting sqref="Y12">
    <cfRule type="cellIs" dxfId="955" priority="1533" stopIfTrue="1" operator="notEqual">
      <formula>Z12</formula>
    </cfRule>
  </conditionalFormatting>
  <conditionalFormatting sqref="Y13">
    <cfRule type="cellIs" dxfId="954" priority="1532" stopIfTrue="1" operator="notEqual">
      <formula>Z13</formula>
    </cfRule>
  </conditionalFormatting>
  <conditionalFormatting sqref="Y15:Y16">
    <cfRule type="cellIs" dxfId="953" priority="1531" stopIfTrue="1" operator="notEqual">
      <formula>Z15</formula>
    </cfRule>
  </conditionalFormatting>
  <conditionalFormatting sqref="Y14">
    <cfRule type="cellIs" dxfId="952" priority="1530" stopIfTrue="1" operator="notEqual">
      <formula>Z14</formula>
    </cfRule>
  </conditionalFormatting>
  <conditionalFormatting sqref="Y11">
    <cfRule type="cellIs" dxfId="951" priority="1529" stopIfTrue="1" operator="notEqual">
      <formula>Z11</formula>
    </cfRule>
  </conditionalFormatting>
  <conditionalFormatting sqref="Y12">
    <cfRule type="cellIs" dxfId="950" priority="1528" stopIfTrue="1" operator="notEqual">
      <formula>Z12</formula>
    </cfRule>
  </conditionalFormatting>
  <conditionalFormatting sqref="Y13">
    <cfRule type="cellIs" dxfId="949" priority="1527" stopIfTrue="1" operator="notEqual">
      <formula>Z13</formula>
    </cfRule>
  </conditionalFormatting>
  <conditionalFormatting sqref="Y14">
    <cfRule type="cellIs" dxfId="948" priority="1526" stopIfTrue="1" operator="notEqual">
      <formula>Z14</formula>
    </cfRule>
  </conditionalFormatting>
  <conditionalFormatting sqref="Y15:Y16">
    <cfRule type="cellIs" dxfId="947" priority="1525" stopIfTrue="1" operator="notEqual">
      <formula>Z15</formula>
    </cfRule>
  </conditionalFormatting>
  <conditionalFormatting sqref="Y16">
    <cfRule type="cellIs" dxfId="946" priority="1524" stopIfTrue="1" operator="notEqual">
      <formula>Z16</formula>
    </cfRule>
  </conditionalFormatting>
  <conditionalFormatting sqref="Y17:Y18">
    <cfRule type="cellIs" dxfId="945" priority="1523" stopIfTrue="1" operator="notEqual">
      <formula>Z17</formula>
    </cfRule>
  </conditionalFormatting>
  <conditionalFormatting sqref="Y18">
    <cfRule type="cellIs" dxfId="944" priority="1522" stopIfTrue="1" operator="notEqual">
      <formula>Z18</formula>
    </cfRule>
  </conditionalFormatting>
  <conditionalFormatting sqref="Y19">
    <cfRule type="cellIs" dxfId="943" priority="1521" stopIfTrue="1" operator="notEqual">
      <formula>Z19</formula>
    </cfRule>
  </conditionalFormatting>
  <conditionalFormatting sqref="Y21">
    <cfRule type="cellIs" dxfId="942" priority="1520" stopIfTrue="1" operator="notEqual">
      <formula>Z21</formula>
    </cfRule>
  </conditionalFormatting>
  <conditionalFormatting sqref="Y17:Y18">
    <cfRule type="cellIs" dxfId="941" priority="1519" stopIfTrue="1" operator="notEqual">
      <formula>Z17</formula>
    </cfRule>
  </conditionalFormatting>
  <conditionalFormatting sqref="Y18">
    <cfRule type="cellIs" dxfId="940" priority="1518" stopIfTrue="1" operator="notEqual">
      <formula>Z18</formula>
    </cfRule>
  </conditionalFormatting>
  <conditionalFormatting sqref="Y19">
    <cfRule type="cellIs" dxfId="939" priority="1517" stopIfTrue="1" operator="notEqual">
      <formula>Z19</formula>
    </cfRule>
  </conditionalFormatting>
  <conditionalFormatting sqref="Y21">
    <cfRule type="cellIs" dxfId="938" priority="1516" stopIfTrue="1" operator="notEqual">
      <formula>Z21</formula>
    </cfRule>
  </conditionalFormatting>
  <conditionalFormatting sqref="Y17:Y18">
    <cfRule type="cellIs" dxfId="937" priority="1515" stopIfTrue="1" operator="notEqual">
      <formula>Z17</formula>
    </cfRule>
  </conditionalFormatting>
  <conditionalFormatting sqref="Y18">
    <cfRule type="cellIs" dxfId="936" priority="1514" stopIfTrue="1" operator="notEqual">
      <formula>Z18</formula>
    </cfRule>
  </conditionalFormatting>
  <conditionalFormatting sqref="Y19">
    <cfRule type="cellIs" dxfId="935" priority="1513" stopIfTrue="1" operator="notEqual">
      <formula>Z19</formula>
    </cfRule>
  </conditionalFormatting>
  <conditionalFormatting sqref="Y21">
    <cfRule type="cellIs" dxfId="934" priority="1512" stopIfTrue="1" operator="notEqual">
      <formula>Z21</formula>
    </cfRule>
  </conditionalFormatting>
  <conditionalFormatting sqref="Y11">
    <cfRule type="cellIs" dxfId="933" priority="1511" stopIfTrue="1" operator="notEqual">
      <formula>Z11</formula>
    </cfRule>
  </conditionalFormatting>
  <conditionalFormatting sqref="Y12">
    <cfRule type="cellIs" dxfId="932" priority="1510" stopIfTrue="1" operator="notEqual">
      <formula>Z12</formula>
    </cfRule>
  </conditionalFormatting>
  <conditionalFormatting sqref="Y13">
    <cfRule type="cellIs" dxfId="931" priority="1509" stopIfTrue="1" operator="notEqual">
      <formula>Z13</formula>
    </cfRule>
  </conditionalFormatting>
  <conditionalFormatting sqref="Y14">
    <cfRule type="cellIs" dxfId="930" priority="1508" stopIfTrue="1" operator="notEqual">
      <formula>Z14</formula>
    </cfRule>
  </conditionalFormatting>
  <conditionalFormatting sqref="Y15:Y16">
    <cfRule type="cellIs" dxfId="929" priority="1507" stopIfTrue="1" operator="notEqual">
      <formula>Z15</formula>
    </cfRule>
  </conditionalFormatting>
  <conditionalFormatting sqref="Y17:Y18">
    <cfRule type="cellIs" dxfId="928" priority="1506" stopIfTrue="1" operator="notEqual">
      <formula>Z17</formula>
    </cfRule>
  </conditionalFormatting>
  <conditionalFormatting sqref="Y18">
    <cfRule type="cellIs" dxfId="927" priority="1505" stopIfTrue="1" operator="notEqual">
      <formula>Z18</formula>
    </cfRule>
  </conditionalFormatting>
  <conditionalFormatting sqref="Y18">
    <cfRule type="cellIs" dxfId="926" priority="1504" stopIfTrue="1" operator="notEqual">
      <formula>Z18</formula>
    </cfRule>
  </conditionalFormatting>
  <conditionalFormatting sqref="Y19">
    <cfRule type="cellIs" dxfId="925" priority="1503" stopIfTrue="1" operator="notEqual">
      <formula>Z19</formula>
    </cfRule>
  </conditionalFormatting>
  <conditionalFormatting sqref="Y21">
    <cfRule type="cellIs" dxfId="924" priority="1502" stopIfTrue="1" operator="notEqual">
      <formula>Z21</formula>
    </cfRule>
  </conditionalFormatting>
  <conditionalFormatting sqref="Y11">
    <cfRule type="cellIs" dxfId="923" priority="1501" stopIfTrue="1" operator="notEqual">
      <formula>Z11</formula>
    </cfRule>
  </conditionalFormatting>
  <conditionalFormatting sqref="Y12">
    <cfRule type="cellIs" dxfId="922" priority="1500" stopIfTrue="1" operator="notEqual">
      <formula>Z12</formula>
    </cfRule>
  </conditionalFormatting>
  <conditionalFormatting sqref="Y13">
    <cfRule type="cellIs" dxfId="921" priority="1499" stopIfTrue="1" operator="notEqual">
      <formula>Z13</formula>
    </cfRule>
  </conditionalFormatting>
  <conditionalFormatting sqref="Y14">
    <cfRule type="cellIs" dxfId="920" priority="1498" stopIfTrue="1" operator="notEqual">
      <formula>Z14</formula>
    </cfRule>
  </conditionalFormatting>
  <conditionalFormatting sqref="Y15:Y16">
    <cfRule type="cellIs" dxfId="919" priority="1497" stopIfTrue="1" operator="notEqual">
      <formula>Z15</formula>
    </cfRule>
  </conditionalFormatting>
  <conditionalFormatting sqref="Y16">
    <cfRule type="cellIs" dxfId="918" priority="1496" stopIfTrue="1" operator="notEqual">
      <formula>Z16</formula>
    </cfRule>
  </conditionalFormatting>
  <conditionalFormatting sqref="Y17:Y18">
    <cfRule type="cellIs" dxfId="917" priority="1495" stopIfTrue="1" operator="notEqual">
      <formula>Z17</formula>
    </cfRule>
  </conditionalFormatting>
  <conditionalFormatting sqref="Y18">
    <cfRule type="cellIs" dxfId="916" priority="1494" stopIfTrue="1" operator="notEqual">
      <formula>Z18</formula>
    </cfRule>
  </conditionalFormatting>
  <conditionalFormatting sqref="Y19">
    <cfRule type="cellIs" dxfId="915" priority="1493" stopIfTrue="1" operator="notEqual">
      <formula>Z19</formula>
    </cfRule>
  </conditionalFormatting>
  <conditionalFormatting sqref="Y21">
    <cfRule type="cellIs" dxfId="914" priority="1492" stopIfTrue="1" operator="notEqual">
      <formula>Z21</formula>
    </cfRule>
  </conditionalFormatting>
  <conditionalFormatting sqref="Y21">
    <cfRule type="cellIs" dxfId="913" priority="1491" stopIfTrue="1" operator="notEqual">
      <formula>Z21</formula>
    </cfRule>
  </conditionalFormatting>
  <conditionalFormatting sqref="Y13">
    <cfRule type="cellIs" dxfId="912" priority="1490" stopIfTrue="1" operator="notEqual">
      <formula>Z13</formula>
    </cfRule>
  </conditionalFormatting>
  <conditionalFormatting sqref="Y12">
    <cfRule type="cellIs" dxfId="911" priority="1489" stopIfTrue="1" operator="notEqual">
      <formula>Z12</formula>
    </cfRule>
  </conditionalFormatting>
  <conditionalFormatting sqref="Y14">
    <cfRule type="cellIs" dxfId="910" priority="1488" stopIfTrue="1" operator="notEqual">
      <formula>Z14</formula>
    </cfRule>
  </conditionalFormatting>
  <conditionalFormatting sqref="Y15:Y16">
    <cfRule type="cellIs" dxfId="909" priority="1487" stopIfTrue="1" operator="notEqual">
      <formula>Z15</formula>
    </cfRule>
  </conditionalFormatting>
  <conditionalFormatting sqref="Y16">
    <cfRule type="cellIs" dxfId="908" priority="1486" stopIfTrue="1" operator="notEqual">
      <formula>Z16</formula>
    </cfRule>
  </conditionalFormatting>
  <conditionalFormatting sqref="Y17:Y18">
    <cfRule type="cellIs" dxfId="907" priority="1485" stopIfTrue="1" operator="notEqual">
      <formula>Z17</formula>
    </cfRule>
  </conditionalFormatting>
  <conditionalFormatting sqref="Y18">
    <cfRule type="cellIs" dxfId="906" priority="1484" stopIfTrue="1" operator="notEqual">
      <formula>Z18</formula>
    </cfRule>
  </conditionalFormatting>
  <conditionalFormatting sqref="Y19">
    <cfRule type="cellIs" dxfId="905" priority="1483" stopIfTrue="1" operator="notEqual">
      <formula>Z19</formula>
    </cfRule>
  </conditionalFormatting>
  <conditionalFormatting sqref="Y21">
    <cfRule type="cellIs" dxfId="904" priority="1482" stopIfTrue="1" operator="notEqual">
      <formula>Z21</formula>
    </cfRule>
  </conditionalFormatting>
  <conditionalFormatting sqref="Y15:Y16">
    <cfRule type="cellIs" dxfId="903" priority="1481" stopIfTrue="1" operator="notEqual">
      <formula>Z15</formula>
    </cfRule>
  </conditionalFormatting>
  <conditionalFormatting sqref="Y15:Y16">
    <cfRule type="cellIs" dxfId="902" priority="1480" stopIfTrue="1" operator="notEqual">
      <formula>Z15</formula>
    </cfRule>
  </conditionalFormatting>
  <conditionalFormatting sqref="Y15:Y16">
    <cfRule type="cellIs" dxfId="901" priority="1479" stopIfTrue="1" operator="notEqual">
      <formula>Z15</formula>
    </cfRule>
  </conditionalFormatting>
  <conditionalFormatting sqref="Y15:Y16">
    <cfRule type="cellIs" dxfId="900" priority="1478" stopIfTrue="1" operator="notEqual">
      <formula>Z15</formula>
    </cfRule>
  </conditionalFormatting>
  <conditionalFormatting sqref="Y15:Y16">
    <cfRule type="cellIs" dxfId="899" priority="1477" stopIfTrue="1" operator="notEqual">
      <formula>Z15</formula>
    </cfRule>
  </conditionalFormatting>
  <conditionalFormatting sqref="Y15:Y16">
    <cfRule type="cellIs" dxfId="898" priority="1476" stopIfTrue="1" operator="notEqual">
      <formula>Z15</formula>
    </cfRule>
  </conditionalFormatting>
  <conditionalFormatting sqref="Y15:Y16">
    <cfRule type="cellIs" dxfId="897" priority="1475" stopIfTrue="1" operator="notEqual">
      <formula>Z15</formula>
    </cfRule>
  </conditionalFormatting>
  <conditionalFormatting sqref="Y15:Y16">
    <cfRule type="cellIs" dxfId="896" priority="1474" stopIfTrue="1" operator="notEqual">
      <formula>Z15</formula>
    </cfRule>
  </conditionalFormatting>
  <conditionalFormatting sqref="Y15:Y16">
    <cfRule type="cellIs" dxfId="895" priority="1473" stopIfTrue="1" operator="notEqual">
      <formula>Z15</formula>
    </cfRule>
  </conditionalFormatting>
  <conditionalFormatting sqref="Y17:Y18">
    <cfRule type="cellIs" dxfId="894" priority="1466" stopIfTrue="1" operator="notEqual">
      <formula>Z17</formula>
    </cfRule>
  </conditionalFormatting>
  <conditionalFormatting sqref="Y17:Y18">
    <cfRule type="cellIs" dxfId="893" priority="1465" stopIfTrue="1" operator="notEqual">
      <formula>Z17</formula>
    </cfRule>
  </conditionalFormatting>
  <conditionalFormatting sqref="Y17:Y18">
    <cfRule type="cellIs" dxfId="892" priority="1464" stopIfTrue="1" operator="notEqual">
      <formula>Z17</formula>
    </cfRule>
  </conditionalFormatting>
  <conditionalFormatting sqref="Y29 Y32 Y35">
    <cfRule type="cellIs" dxfId="891" priority="1463" stopIfTrue="1" operator="notEqual">
      <formula>Z29</formula>
    </cfRule>
  </conditionalFormatting>
  <conditionalFormatting sqref="Y29 Y32 Y35">
    <cfRule type="cellIs" dxfId="890" priority="1462" stopIfTrue="1" operator="notEqual">
      <formula>Z29</formula>
    </cfRule>
  </conditionalFormatting>
  <conditionalFormatting sqref="Y27 Y30 Y33">
    <cfRule type="cellIs" dxfId="889" priority="1461" stopIfTrue="1" operator="notEqual">
      <formula>Z27</formula>
    </cfRule>
  </conditionalFormatting>
  <conditionalFormatting sqref="Y28 Y31 Y34">
    <cfRule type="cellIs" dxfId="888" priority="1460" stopIfTrue="1" operator="notEqual">
      <formula>Z28</formula>
    </cfRule>
  </conditionalFormatting>
  <conditionalFormatting sqref="Y27 Y30 Y33">
    <cfRule type="cellIs" dxfId="887" priority="1459" stopIfTrue="1" operator="notEqual">
      <formula>Z27</formula>
    </cfRule>
  </conditionalFormatting>
  <conditionalFormatting sqref="Y27 Y30 Y33">
    <cfRule type="cellIs" dxfId="886" priority="1458" stopIfTrue="1" operator="notEqual">
      <formula>Z27</formula>
    </cfRule>
  </conditionalFormatting>
  <conditionalFormatting sqref="Y29 Y32 Y35">
    <cfRule type="cellIs" dxfId="885" priority="1457" stopIfTrue="1" operator="notEqual">
      <formula>Z29</formula>
    </cfRule>
  </conditionalFormatting>
  <conditionalFormatting sqref="Y27 Y30 Y33">
    <cfRule type="cellIs" dxfId="884" priority="1456" stopIfTrue="1" operator="notEqual">
      <formula>Z27</formula>
    </cfRule>
  </conditionalFormatting>
  <conditionalFormatting sqref="Y28 Y31 Y34">
    <cfRule type="cellIs" dxfId="883" priority="1455" stopIfTrue="1" operator="notEqual">
      <formula>Z28</formula>
    </cfRule>
  </conditionalFormatting>
  <conditionalFormatting sqref="Y29 Y32 Y35">
    <cfRule type="cellIs" dxfId="882" priority="1454" stopIfTrue="1" operator="notEqual">
      <formula>Z29</formula>
    </cfRule>
  </conditionalFormatting>
  <conditionalFormatting sqref="Y29 Y32 Y35">
    <cfRule type="cellIs" dxfId="881" priority="1453" stopIfTrue="1" operator="notEqual">
      <formula>Z29</formula>
    </cfRule>
  </conditionalFormatting>
  <conditionalFormatting sqref="Y29 Y32 Y35">
    <cfRule type="cellIs" dxfId="880" priority="1452" stopIfTrue="1" operator="notEqual">
      <formula>Z29</formula>
    </cfRule>
  </conditionalFormatting>
  <conditionalFormatting sqref="Y29 Y32 Y35">
    <cfRule type="cellIs" dxfId="879" priority="1451" stopIfTrue="1" operator="notEqual">
      <formula>Z29</formula>
    </cfRule>
  </conditionalFormatting>
  <conditionalFormatting sqref="Y29 Y32 Y35">
    <cfRule type="cellIs" dxfId="878" priority="1450" stopIfTrue="1" operator="notEqual">
      <formula>Z29</formula>
    </cfRule>
  </conditionalFormatting>
  <conditionalFormatting sqref="Y28:Y29 Y31:Y32 Y34:Y66">
    <cfRule type="cellIs" dxfId="877" priority="1449" stopIfTrue="1" operator="notEqual">
      <formula>Z28</formula>
    </cfRule>
  </conditionalFormatting>
  <conditionalFormatting sqref="Y27 Y30 Y33">
    <cfRule type="cellIs" dxfId="876" priority="1448" stopIfTrue="1" operator="notEqual">
      <formula>Z27</formula>
    </cfRule>
  </conditionalFormatting>
  <conditionalFormatting sqref="Y29 Y32 Y35">
    <cfRule type="cellIs" dxfId="875" priority="1447" stopIfTrue="1" operator="notEqual">
      <formula>Z29</formula>
    </cfRule>
  </conditionalFormatting>
  <conditionalFormatting sqref="Y27 Y30 Y33">
    <cfRule type="cellIs" dxfId="874" priority="1446" stopIfTrue="1" operator="notEqual">
      <formula>Z27</formula>
    </cfRule>
  </conditionalFormatting>
  <conditionalFormatting sqref="Y28 Y31 Y34">
    <cfRule type="cellIs" dxfId="873" priority="1445" stopIfTrue="1" operator="notEqual">
      <formula>Z28</formula>
    </cfRule>
  </conditionalFormatting>
  <conditionalFormatting sqref="Y29 Y32 Y35">
    <cfRule type="cellIs" dxfId="872" priority="1444" stopIfTrue="1" operator="notEqual">
      <formula>Z29</formula>
    </cfRule>
  </conditionalFormatting>
  <conditionalFormatting sqref="Y27 Y30 Y33">
    <cfRule type="cellIs" dxfId="871" priority="1443" stopIfTrue="1" operator="notEqual">
      <formula>Z27</formula>
    </cfRule>
  </conditionalFormatting>
  <conditionalFormatting sqref="Y28 Y31 Y34">
    <cfRule type="cellIs" dxfId="870" priority="1442" stopIfTrue="1" operator="notEqual">
      <formula>Z28</formula>
    </cfRule>
  </conditionalFormatting>
  <conditionalFormatting sqref="Y29 Y32 Y35">
    <cfRule type="cellIs" dxfId="869" priority="1441" stopIfTrue="1" operator="notEqual">
      <formula>Z29</formula>
    </cfRule>
  </conditionalFormatting>
  <conditionalFormatting sqref="Y27 Y30 Y33">
    <cfRule type="cellIs" dxfId="868" priority="1440" stopIfTrue="1" operator="notEqual">
      <formula>Z27</formula>
    </cfRule>
  </conditionalFormatting>
  <conditionalFormatting sqref="Y28 Y31 Y34">
    <cfRule type="cellIs" dxfId="867" priority="1439" stopIfTrue="1" operator="notEqual">
      <formula>Z28</formula>
    </cfRule>
  </conditionalFormatting>
  <conditionalFormatting sqref="Y27 Y30 Y33">
    <cfRule type="cellIs" dxfId="866" priority="1438" stopIfTrue="1" operator="notEqual">
      <formula>Z27</formula>
    </cfRule>
  </conditionalFormatting>
  <conditionalFormatting sqref="Y28 Y31 Y34">
    <cfRule type="cellIs" dxfId="865" priority="1437" stopIfTrue="1" operator="notEqual">
      <formula>Z28</formula>
    </cfRule>
  </conditionalFormatting>
  <conditionalFormatting sqref="Y27 Y30 Y33">
    <cfRule type="cellIs" dxfId="864" priority="1436" stopIfTrue="1" operator="notEqual">
      <formula>Z27</formula>
    </cfRule>
  </conditionalFormatting>
  <conditionalFormatting sqref="Y28 Y31 Y34">
    <cfRule type="cellIs" dxfId="863" priority="1435" stopIfTrue="1" operator="notEqual">
      <formula>Z28</formula>
    </cfRule>
  </conditionalFormatting>
  <conditionalFormatting sqref="Y29 Y32 Y35">
    <cfRule type="cellIs" dxfId="862" priority="1434" stopIfTrue="1" operator="notEqual">
      <formula>Z29</formula>
    </cfRule>
  </conditionalFormatting>
  <conditionalFormatting sqref="Y27 Y30 Y33">
    <cfRule type="cellIs" dxfId="861" priority="1433" stopIfTrue="1" operator="notEqual">
      <formula>Z27</formula>
    </cfRule>
  </conditionalFormatting>
  <conditionalFormatting sqref="Y29 Y32 Y35">
    <cfRule type="cellIs" dxfId="860" priority="1432" stopIfTrue="1" operator="notEqual">
      <formula>Z29</formula>
    </cfRule>
  </conditionalFormatting>
  <conditionalFormatting sqref="Y27 Y30 Y33">
    <cfRule type="cellIs" dxfId="859" priority="1431" stopIfTrue="1" operator="notEqual">
      <formula>Z27</formula>
    </cfRule>
  </conditionalFormatting>
  <conditionalFormatting sqref="Y28 Y31 Y34">
    <cfRule type="cellIs" dxfId="858" priority="1430" stopIfTrue="1" operator="notEqual">
      <formula>Z28</formula>
    </cfRule>
  </conditionalFormatting>
  <conditionalFormatting sqref="Y29 Y32 Y35">
    <cfRule type="cellIs" dxfId="857" priority="1429" stopIfTrue="1" operator="notEqual">
      <formula>Z29</formula>
    </cfRule>
  </conditionalFormatting>
  <conditionalFormatting sqref="Y27 Y30 Y33">
    <cfRule type="cellIs" dxfId="856" priority="1428" stopIfTrue="1" operator="notEqual">
      <formula>Z27</formula>
    </cfRule>
  </conditionalFormatting>
  <conditionalFormatting sqref="Y28 Y31 Y34">
    <cfRule type="cellIs" dxfId="855" priority="1427" stopIfTrue="1" operator="notEqual">
      <formula>Z28</formula>
    </cfRule>
  </conditionalFormatting>
  <conditionalFormatting sqref="Y29 Y32 Y35">
    <cfRule type="cellIs" dxfId="854" priority="1426" stopIfTrue="1" operator="notEqual">
      <formula>Z29</formula>
    </cfRule>
  </conditionalFormatting>
  <conditionalFormatting sqref="Y27 Y30 Y33">
    <cfRule type="cellIs" dxfId="853" priority="1425" stopIfTrue="1" operator="notEqual">
      <formula>Z27</formula>
    </cfRule>
  </conditionalFormatting>
  <conditionalFormatting sqref="Y28 Y31 Y34">
    <cfRule type="cellIs" dxfId="852" priority="1424" stopIfTrue="1" operator="notEqual">
      <formula>Z28</formula>
    </cfRule>
  </conditionalFormatting>
  <conditionalFormatting sqref="Y29 Y32 Y35">
    <cfRule type="cellIs" dxfId="851" priority="1423" stopIfTrue="1" operator="notEqual">
      <formula>Z29</formula>
    </cfRule>
  </conditionalFormatting>
  <conditionalFormatting sqref="Y27 Y30 Y33">
    <cfRule type="cellIs" dxfId="850" priority="1422" stopIfTrue="1" operator="notEqual">
      <formula>Z27</formula>
    </cfRule>
  </conditionalFormatting>
  <conditionalFormatting sqref="Y28 Y31 Y34">
    <cfRule type="cellIs" dxfId="849" priority="1421" stopIfTrue="1" operator="notEqual">
      <formula>Z28</formula>
    </cfRule>
  </conditionalFormatting>
  <conditionalFormatting sqref="Y29 Y32 Y35">
    <cfRule type="cellIs" dxfId="848" priority="1420" stopIfTrue="1" operator="notEqual">
      <formula>Z29</formula>
    </cfRule>
  </conditionalFormatting>
  <conditionalFormatting sqref="Y37 Y40 Y43 Y46 Y49 Y52">
    <cfRule type="cellIs" dxfId="847" priority="1419" stopIfTrue="1" operator="notEqual">
      <formula>Z37</formula>
    </cfRule>
  </conditionalFormatting>
  <conditionalFormatting sqref="Y37 Y40 Y43 Y46 Y49 Y52">
    <cfRule type="cellIs" dxfId="846" priority="1418" stopIfTrue="1" operator="notEqual">
      <formula>Z37</formula>
    </cfRule>
  </conditionalFormatting>
  <conditionalFormatting sqref="Y35 Y38 Y41 Y44 Y47 Y50 Y53">
    <cfRule type="cellIs" dxfId="845" priority="1417" stopIfTrue="1" operator="notEqual">
      <formula>Z35</formula>
    </cfRule>
  </conditionalFormatting>
  <conditionalFormatting sqref="Y36 Y39 Y42 Y45 Y48 Y51">
    <cfRule type="cellIs" dxfId="844" priority="1416" stopIfTrue="1" operator="notEqual">
      <formula>Z36</formula>
    </cfRule>
  </conditionalFormatting>
  <conditionalFormatting sqref="Y35 Y38 Y41 Y44 Y47 Y50 Y53">
    <cfRule type="cellIs" dxfId="843" priority="1415" stopIfTrue="1" operator="notEqual">
      <formula>Z35</formula>
    </cfRule>
  </conditionalFormatting>
  <conditionalFormatting sqref="Y35 Y38 Y41 Y44 Y47 Y50 Y53">
    <cfRule type="cellIs" dxfId="842" priority="1414" stopIfTrue="1" operator="notEqual">
      <formula>Z35</formula>
    </cfRule>
  </conditionalFormatting>
  <conditionalFormatting sqref="Y37 Y40 Y43 Y46 Y49 Y52">
    <cfRule type="cellIs" dxfId="841" priority="1413" stopIfTrue="1" operator="notEqual">
      <formula>Z37</formula>
    </cfRule>
  </conditionalFormatting>
  <conditionalFormatting sqref="Y35 Y38 Y41 Y44 Y47 Y50 Y53">
    <cfRule type="cellIs" dxfId="840" priority="1412" stopIfTrue="1" operator="notEqual">
      <formula>Z35</formula>
    </cfRule>
  </conditionalFormatting>
  <conditionalFormatting sqref="Y36 Y39 Y42 Y45 Y48 Y51">
    <cfRule type="cellIs" dxfId="839" priority="1411" stopIfTrue="1" operator="notEqual">
      <formula>Z36</formula>
    </cfRule>
  </conditionalFormatting>
  <conditionalFormatting sqref="Y37 Y40 Y43 Y46 Y49 Y52">
    <cfRule type="cellIs" dxfId="838" priority="1410" stopIfTrue="1" operator="notEqual">
      <formula>Z37</formula>
    </cfRule>
  </conditionalFormatting>
  <conditionalFormatting sqref="Y37 Y40 Y43 Y46 Y49 Y52">
    <cfRule type="cellIs" dxfId="837" priority="1409" stopIfTrue="1" operator="notEqual">
      <formula>Z37</formula>
    </cfRule>
  </conditionalFormatting>
  <conditionalFormatting sqref="Y37 Y40 Y43 Y46 Y49 Y52">
    <cfRule type="cellIs" dxfId="836" priority="1408" stopIfTrue="1" operator="notEqual">
      <formula>Z37</formula>
    </cfRule>
  </conditionalFormatting>
  <conditionalFormatting sqref="Y37 Y40 Y43 Y46 Y49 Y52">
    <cfRule type="cellIs" dxfId="835" priority="1407" stopIfTrue="1" operator="notEqual">
      <formula>Z37</formula>
    </cfRule>
  </conditionalFormatting>
  <conditionalFormatting sqref="Y37 Y40 Y43 Y46 Y49 Y52">
    <cfRule type="cellIs" dxfId="834" priority="1406" stopIfTrue="1" operator="notEqual">
      <formula>Z37</formula>
    </cfRule>
  </conditionalFormatting>
  <conditionalFormatting sqref="Y36:Y37 Y39:Y40 Y42:Y43 Y45:Y46 Y48:Y49 Y51:Y52">
    <cfRule type="cellIs" dxfId="833" priority="1405" stopIfTrue="1" operator="notEqual">
      <formula>Z36</formula>
    </cfRule>
  </conditionalFormatting>
  <conditionalFormatting sqref="Y35 Y38 Y41 Y44 Y47 Y50 Y53">
    <cfRule type="cellIs" dxfId="832" priority="1404" stopIfTrue="1" operator="notEqual">
      <formula>Z35</formula>
    </cfRule>
  </conditionalFormatting>
  <conditionalFormatting sqref="Y37 Y40 Y43 Y46 Y49 Y52">
    <cfRule type="cellIs" dxfId="831" priority="1403" stopIfTrue="1" operator="notEqual">
      <formula>Z37</formula>
    </cfRule>
  </conditionalFormatting>
  <conditionalFormatting sqref="Y35 Y38 Y41 Y44 Y47 Y50 Y53">
    <cfRule type="cellIs" dxfId="830" priority="1402" stopIfTrue="1" operator="notEqual">
      <formula>Z35</formula>
    </cfRule>
  </conditionalFormatting>
  <conditionalFormatting sqref="Y36 Y39 Y42 Y45 Y48 Y51">
    <cfRule type="cellIs" dxfId="829" priority="1401" stopIfTrue="1" operator="notEqual">
      <formula>Z36</formula>
    </cfRule>
  </conditionalFormatting>
  <conditionalFormatting sqref="Y37 Y40 Y43 Y46 Y49 Y52">
    <cfRule type="cellIs" dxfId="828" priority="1400" stopIfTrue="1" operator="notEqual">
      <formula>Z37</formula>
    </cfRule>
  </conditionalFormatting>
  <conditionalFormatting sqref="Y35 Y38 Y41 Y44 Y47 Y50 Y53">
    <cfRule type="cellIs" dxfId="827" priority="1399" stopIfTrue="1" operator="notEqual">
      <formula>Z35</formula>
    </cfRule>
  </conditionalFormatting>
  <conditionalFormatting sqref="Y36 Y39 Y42 Y45 Y48 Y51">
    <cfRule type="cellIs" dxfId="826" priority="1398" stopIfTrue="1" operator="notEqual">
      <formula>Z36</formula>
    </cfRule>
  </conditionalFormatting>
  <conditionalFormatting sqref="Y37 Y40 Y43 Y46 Y49 Y52">
    <cfRule type="cellIs" dxfId="825" priority="1397" stopIfTrue="1" operator="notEqual">
      <formula>Z37</formula>
    </cfRule>
  </conditionalFormatting>
  <conditionalFormatting sqref="Y35 Y38 Y41 Y44 Y47 Y50 Y53">
    <cfRule type="cellIs" dxfId="824" priority="1396" stopIfTrue="1" operator="notEqual">
      <formula>Z35</formula>
    </cfRule>
  </conditionalFormatting>
  <conditionalFormatting sqref="Y36 Y39 Y42 Y45 Y48 Y51">
    <cfRule type="cellIs" dxfId="823" priority="1395" stopIfTrue="1" operator="notEqual">
      <formula>Z36</formula>
    </cfRule>
  </conditionalFormatting>
  <conditionalFormatting sqref="Y35 Y38 Y41 Y44 Y47 Y50 Y53">
    <cfRule type="cellIs" dxfId="822" priority="1394" stopIfTrue="1" operator="notEqual">
      <formula>Z35</formula>
    </cfRule>
  </conditionalFormatting>
  <conditionalFormatting sqref="Y36 Y39 Y42 Y45 Y48 Y51">
    <cfRule type="cellIs" dxfId="821" priority="1393" stopIfTrue="1" operator="notEqual">
      <formula>Z36</formula>
    </cfRule>
  </conditionalFormatting>
  <conditionalFormatting sqref="Y35 Y38 Y41 Y44 Y47 Y50 Y53">
    <cfRule type="cellIs" dxfId="820" priority="1392" stopIfTrue="1" operator="notEqual">
      <formula>Z35</formula>
    </cfRule>
  </conditionalFormatting>
  <conditionalFormatting sqref="Y36 Y39 Y42 Y45 Y48 Y51">
    <cfRule type="cellIs" dxfId="819" priority="1391" stopIfTrue="1" operator="notEqual">
      <formula>Z36</formula>
    </cfRule>
  </conditionalFormatting>
  <conditionalFormatting sqref="Y37 Y40 Y43 Y46 Y49 Y52">
    <cfRule type="cellIs" dxfId="818" priority="1390" stopIfTrue="1" operator="notEqual">
      <formula>Z37</formula>
    </cfRule>
  </conditionalFormatting>
  <conditionalFormatting sqref="Y35 Y38 Y41 Y44 Y47 Y50 Y53">
    <cfRule type="cellIs" dxfId="817" priority="1389" stopIfTrue="1" operator="notEqual">
      <formula>Z35</formula>
    </cfRule>
  </conditionalFormatting>
  <conditionalFormatting sqref="Y37 Y40 Y43 Y46 Y49 Y52">
    <cfRule type="cellIs" dxfId="816" priority="1388" stopIfTrue="1" operator="notEqual">
      <formula>Z37</formula>
    </cfRule>
  </conditionalFormatting>
  <conditionalFormatting sqref="Y35 Y38 Y41 Y44 Y47 Y50 Y53">
    <cfRule type="cellIs" dxfId="815" priority="1387" stopIfTrue="1" operator="notEqual">
      <formula>Z35</formula>
    </cfRule>
  </conditionalFormatting>
  <conditionalFormatting sqref="Y36 Y39 Y42 Y45 Y48 Y51">
    <cfRule type="cellIs" dxfId="814" priority="1386" stopIfTrue="1" operator="notEqual">
      <formula>Z36</formula>
    </cfRule>
  </conditionalFormatting>
  <conditionalFormatting sqref="Y37 Y40 Y43 Y46 Y49 Y52">
    <cfRule type="cellIs" dxfId="813" priority="1385" stopIfTrue="1" operator="notEqual">
      <formula>Z37</formula>
    </cfRule>
  </conditionalFormatting>
  <conditionalFormatting sqref="Y35 Y38 Y41 Y44 Y47 Y50 Y53">
    <cfRule type="cellIs" dxfId="812" priority="1384" stopIfTrue="1" operator="notEqual">
      <formula>Z35</formula>
    </cfRule>
  </conditionalFormatting>
  <conditionalFormatting sqref="Y36 Y39 Y42 Y45 Y48 Y51">
    <cfRule type="cellIs" dxfId="811" priority="1383" stopIfTrue="1" operator="notEqual">
      <formula>Z36</formula>
    </cfRule>
  </conditionalFormatting>
  <conditionalFormatting sqref="Y37 Y40 Y43 Y46 Y49 Y52">
    <cfRule type="cellIs" dxfId="810" priority="1382" stopIfTrue="1" operator="notEqual">
      <formula>Z37</formula>
    </cfRule>
  </conditionalFormatting>
  <conditionalFormatting sqref="Y35 Y38 Y41 Y44 Y47 Y50 Y53">
    <cfRule type="cellIs" dxfId="809" priority="1381" stopIfTrue="1" operator="notEqual">
      <formula>Z35</formula>
    </cfRule>
  </conditionalFormatting>
  <conditionalFormatting sqref="Y36 Y39 Y42 Y45 Y48 Y51">
    <cfRule type="cellIs" dxfId="808" priority="1380" stopIfTrue="1" operator="notEqual">
      <formula>Z36</formula>
    </cfRule>
  </conditionalFormatting>
  <conditionalFormatting sqref="Y37 Y40 Y43 Y46 Y49 Y52">
    <cfRule type="cellIs" dxfId="807" priority="1379" stopIfTrue="1" operator="notEqual">
      <formula>Z37</formula>
    </cfRule>
  </conditionalFormatting>
  <conditionalFormatting sqref="Y35 Y38 Y41 Y44 Y47 Y50 Y53">
    <cfRule type="cellIs" dxfId="806" priority="1378" stopIfTrue="1" operator="notEqual">
      <formula>Z35</formula>
    </cfRule>
  </conditionalFormatting>
  <conditionalFormatting sqref="Y36 Y39 Y42 Y45 Y48 Y51">
    <cfRule type="cellIs" dxfId="805" priority="1377" stopIfTrue="1" operator="notEqual">
      <formula>Z36</formula>
    </cfRule>
  </conditionalFormatting>
  <conditionalFormatting sqref="Y37 Y40 Y43 Y46 Y49 Y52">
    <cfRule type="cellIs" dxfId="804" priority="1376" stopIfTrue="1" operator="notEqual">
      <formula>Z37</formula>
    </cfRule>
  </conditionalFormatting>
  <conditionalFormatting sqref="Y55 Y58 Y61 Y64 Y67 Y70 Y73 Y76 Y79 Y82 Y85 Y88 Y91 Y94 Y97">
    <cfRule type="cellIs" dxfId="803" priority="1375" stopIfTrue="1" operator="notEqual">
      <formula>Z55</formula>
    </cfRule>
  </conditionalFormatting>
  <conditionalFormatting sqref="Y55 Y58 Y61 Y64 Y67 Y70 Y73 Y76 Y79 Y82 Y85 Y88 Y91 Y94 Y97">
    <cfRule type="cellIs" dxfId="802" priority="1374" stopIfTrue="1" operator="notEqual">
      <formula>Z55</formula>
    </cfRule>
  </conditionalFormatting>
  <conditionalFormatting sqref="Y53 Y56 Y59 Y62 Y65 Y68 Y71 Y74 Y77 Y80 Y83 Y86 Y89 Y92 Y95 Y98">
    <cfRule type="cellIs" dxfId="801" priority="1373" stopIfTrue="1" operator="notEqual">
      <formula>Z53</formula>
    </cfRule>
  </conditionalFormatting>
  <conditionalFormatting sqref="Y54 Y57 Y60 Y63 Y66 Y69 Y72 Y75 Y78 Y81 Y84">
    <cfRule type="cellIs" dxfId="800" priority="1372" stopIfTrue="1" operator="notEqual">
      <formula>Z54</formula>
    </cfRule>
  </conditionalFormatting>
  <conditionalFormatting sqref="Y53 Y56 Y59 Y62 Y65 Y68 Y71 Y74 Y77 Y80 Y83 Y86 Y89 Y92 Y95 Y98">
    <cfRule type="cellIs" dxfId="799" priority="1371" stopIfTrue="1" operator="notEqual">
      <formula>Z53</formula>
    </cfRule>
  </conditionalFormatting>
  <conditionalFormatting sqref="Y53 Y56 Y59 Y62 Y65 Y68 Y71 Y74 Y77 Y80 Y83 Y86 Y89 Y92 Y95 Y98">
    <cfRule type="cellIs" dxfId="798" priority="1370" stopIfTrue="1" operator="notEqual">
      <formula>Z53</formula>
    </cfRule>
  </conditionalFormatting>
  <conditionalFormatting sqref="Y55 Y58 Y61 Y64 Y67 Y70 Y73 Y76 Y79 Y82 Y85 Y88 Y91 Y94 Y97">
    <cfRule type="cellIs" dxfId="797" priority="1369" stopIfTrue="1" operator="notEqual">
      <formula>Z55</formula>
    </cfRule>
  </conditionalFormatting>
  <conditionalFormatting sqref="Y53 Y56 Y59 Y62 Y65 Y68 Y71 Y74 Y77 Y80 Y83 Y86 Y89 Y92 Y95 Y98">
    <cfRule type="cellIs" dxfId="796" priority="1368" stopIfTrue="1" operator="notEqual">
      <formula>Z53</formula>
    </cfRule>
  </conditionalFormatting>
  <conditionalFormatting sqref="Y54 Y57 Y60 Y63 Y66 Y69 Y72 Y75 Y78 Y81 Y84">
    <cfRule type="cellIs" dxfId="795" priority="1367" stopIfTrue="1" operator="notEqual">
      <formula>Z54</formula>
    </cfRule>
  </conditionalFormatting>
  <conditionalFormatting sqref="Y55 Y58 Y61 Y64 Y67 Y70 Y73 Y76 Y79 Y82 Y85 Y88 Y91 Y94 Y97">
    <cfRule type="cellIs" dxfId="794" priority="1366" stopIfTrue="1" operator="notEqual">
      <formula>Z55</formula>
    </cfRule>
  </conditionalFormatting>
  <conditionalFormatting sqref="Y55 Y58 Y61 Y64 Y67 Y70 Y73 Y76 Y79 Y82 Y85 Y88 Y91 Y94 Y97">
    <cfRule type="cellIs" dxfId="793" priority="1365" stopIfTrue="1" operator="notEqual">
      <formula>Z55</formula>
    </cfRule>
  </conditionalFormatting>
  <conditionalFormatting sqref="Y55 Y58 Y61 Y64 Y67 Y70 Y73 Y76 Y79 Y82 Y85 Y88 Y91 Y94 Y97">
    <cfRule type="cellIs" dxfId="792" priority="1364" stopIfTrue="1" operator="notEqual">
      <formula>Z55</formula>
    </cfRule>
  </conditionalFormatting>
  <conditionalFormatting sqref="Y55 Y58 Y61 Y64 Y67 Y70 Y73 Y76 Y79 Y82 Y85 Y88 Y91 Y94 Y97">
    <cfRule type="cellIs" dxfId="791" priority="1363" stopIfTrue="1" operator="notEqual">
      <formula>Z55</formula>
    </cfRule>
  </conditionalFormatting>
  <conditionalFormatting sqref="Y55 Y58 Y61 Y64 Y67 Y70 Y73 Y76 Y79 Y82 Y85 Y88 Y91 Y94 Y97">
    <cfRule type="cellIs" dxfId="790" priority="1362" stopIfTrue="1" operator="notEqual">
      <formula>Z55</formula>
    </cfRule>
  </conditionalFormatting>
  <conditionalFormatting sqref="Y54:Y55 Y57:Y58 Y60:Y61 Y63:Y64 Y66:Y67 Y69:Y70 Y72:Y73 Y75:Y76 Y78:Y79 Y81:Y82">
    <cfRule type="cellIs" dxfId="789" priority="1361" stopIfTrue="1" operator="notEqual">
      <formula>Z54</formula>
    </cfRule>
  </conditionalFormatting>
  <conditionalFormatting sqref="Y53 Y56 Y59 Y62 Y65 Y68 Y71 Y74 Y77 Y80 Y83 Y86 Y89 Y92 Y95 Y98">
    <cfRule type="cellIs" dxfId="788" priority="1360" stopIfTrue="1" operator="notEqual">
      <formula>Z53</formula>
    </cfRule>
  </conditionalFormatting>
  <conditionalFormatting sqref="Y55 Y58 Y61 Y64 Y67 Y70 Y73 Y76 Y79 Y82 Y85 Y88 Y91 Y94 Y97">
    <cfRule type="cellIs" dxfId="787" priority="1359" stopIfTrue="1" operator="notEqual">
      <formula>Z55</formula>
    </cfRule>
  </conditionalFormatting>
  <conditionalFormatting sqref="Y53 Y56 Y59 Y62 Y65 Y68 Y71 Y74 Y77 Y80 Y83 Y86 Y89 Y92 Y95 Y98">
    <cfRule type="cellIs" dxfId="786" priority="1358" stopIfTrue="1" operator="notEqual">
      <formula>Z53</formula>
    </cfRule>
  </conditionalFormatting>
  <conditionalFormatting sqref="Y54 Y57 Y60 Y63 Y66 Y69 Y72 Y75 Y78 Y81 Y84">
    <cfRule type="cellIs" dxfId="785" priority="1357" stopIfTrue="1" operator="notEqual">
      <formula>Z54</formula>
    </cfRule>
  </conditionalFormatting>
  <conditionalFormatting sqref="Y55 Y58 Y61 Y64 Y67 Y70 Y73 Y76 Y79 Y82 Y85 Y88 Y91 Y94 Y97">
    <cfRule type="cellIs" dxfId="784" priority="1356" stopIfTrue="1" operator="notEqual">
      <formula>Z55</formula>
    </cfRule>
  </conditionalFormatting>
  <conditionalFormatting sqref="Y53 Y56 Y59 Y62 Y65 Y68 Y71 Y74 Y77 Y80 Y83 Y86 Y89 Y92 Y95 Y98">
    <cfRule type="cellIs" dxfId="783" priority="1355" stopIfTrue="1" operator="notEqual">
      <formula>Z53</formula>
    </cfRule>
  </conditionalFormatting>
  <conditionalFormatting sqref="Y54 Y57 Y60 Y63 Y66 Y69 Y72 Y75 Y78 Y81 Y84">
    <cfRule type="cellIs" dxfId="782" priority="1354" stopIfTrue="1" operator="notEqual">
      <formula>Z54</formula>
    </cfRule>
  </conditionalFormatting>
  <conditionalFormatting sqref="Y55 Y58 Y61 Y64 Y67 Y70 Y73 Y76 Y79 Y82 Y85 Y88 Y91 Y94 Y97">
    <cfRule type="cellIs" dxfId="781" priority="1353" stopIfTrue="1" operator="notEqual">
      <formula>Z55</formula>
    </cfRule>
  </conditionalFormatting>
  <conditionalFormatting sqref="Y53 Y56 Y59 Y62 Y65 Y68 Y71 Y74 Y77 Y80 Y83 Y86 Y89 Y92 Y95 Y98">
    <cfRule type="cellIs" dxfId="780" priority="1352" stopIfTrue="1" operator="notEqual">
      <formula>Z53</formula>
    </cfRule>
  </conditionalFormatting>
  <conditionalFormatting sqref="Y54 Y57 Y60 Y63 Y66 Y69 Y72 Y75 Y78 Y81 Y84">
    <cfRule type="cellIs" dxfId="779" priority="1351" stopIfTrue="1" operator="notEqual">
      <formula>Z54</formula>
    </cfRule>
  </conditionalFormatting>
  <conditionalFormatting sqref="Y53 Y56 Y59 Y62 Y65 Y68 Y71 Y74 Y77 Y80 Y83 Y86 Y89 Y92 Y95 Y98">
    <cfRule type="cellIs" dxfId="778" priority="1350" stopIfTrue="1" operator="notEqual">
      <formula>Z53</formula>
    </cfRule>
  </conditionalFormatting>
  <conditionalFormatting sqref="Y54 Y57 Y60 Y63 Y66 Y69 Y72 Y75 Y78 Y81 Y84">
    <cfRule type="cellIs" dxfId="777" priority="1349" stopIfTrue="1" operator="notEqual">
      <formula>Z54</formula>
    </cfRule>
  </conditionalFormatting>
  <conditionalFormatting sqref="Y53 Y56 Y59 Y62 Y65 Y68 Y71 Y74 Y77 Y80 Y83 Y86 Y89 Y92 Y95 Y98">
    <cfRule type="cellIs" dxfId="776" priority="1348" stopIfTrue="1" operator="notEqual">
      <formula>Z53</formula>
    </cfRule>
  </conditionalFormatting>
  <conditionalFormatting sqref="Y54 Y57 Y60 Y63 Y66 Y69 Y72 Y75 Y78 Y81 Y84">
    <cfRule type="cellIs" dxfId="775" priority="1347" stopIfTrue="1" operator="notEqual">
      <formula>Z54</formula>
    </cfRule>
  </conditionalFormatting>
  <conditionalFormatting sqref="Y55 Y58 Y61 Y64 Y67 Y70 Y73 Y76 Y79 Y82 Y85 Y88 Y91 Y94 Y97">
    <cfRule type="cellIs" dxfId="774" priority="1346" stopIfTrue="1" operator="notEqual">
      <formula>Z55</formula>
    </cfRule>
  </conditionalFormatting>
  <conditionalFormatting sqref="Y53 Y56 Y59 Y62 Y65 Y68 Y71 Y74 Y77 Y80 Y83 Y86 Y89 Y92 Y95 Y98">
    <cfRule type="cellIs" dxfId="773" priority="1345" stopIfTrue="1" operator="notEqual">
      <formula>Z53</formula>
    </cfRule>
  </conditionalFormatting>
  <conditionalFormatting sqref="Y55 Y58 Y61 Y64 Y67 Y70 Y73 Y76 Y79 Y82 Y85 Y88 Y91 Y94 Y97">
    <cfRule type="cellIs" dxfId="772" priority="1344" stopIfTrue="1" operator="notEqual">
      <formula>Z55</formula>
    </cfRule>
  </conditionalFormatting>
  <conditionalFormatting sqref="Y53 Y56 Y59 Y62 Y65 Y68 Y71 Y74 Y77 Y80 Y83 Y86 Y89 Y92 Y95 Y98">
    <cfRule type="cellIs" dxfId="771" priority="1343" stopIfTrue="1" operator="notEqual">
      <formula>Z53</formula>
    </cfRule>
  </conditionalFormatting>
  <conditionalFormatting sqref="Y54 Y57 Y60 Y63 Y66 Y69 Y72 Y75 Y78 Y81 Y84">
    <cfRule type="cellIs" dxfId="770" priority="1342" stopIfTrue="1" operator="notEqual">
      <formula>Z54</formula>
    </cfRule>
  </conditionalFormatting>
  <conditionalFormatting sqref="Y55 Y58 Y61 Y64 Y67 Y70 Y73 Y76 Y79 Y82 Y85 Y88 Y91 Y94 Y97">
    <cfRule type="cellIs" dxfId="769" priority="1341" stopIfTrue="1" operator="notEqual">
      <formula>Z55</formula>
    </cfRule>
  </conditionalFormatting>
  <conditionalFormatting sqref="Y53 Y56 Y59 Y62 Y65 Y68 Y71 Y74 Y77 Y80 Y83 Y86 Y89 Y92 Y95 Y98">
    <cfRule type="cellIs" dxfId="768" priority="1340" stopIfTrue="1" operator="notEqual">
      <formula>Z53</formula>
    </cfRule>
  </conditionalFormatting>
  <conditionalFormatting sqref="Y54 Y57 Y60 Y63 Y66 Y69 Y72 Y75 Y78 Y81 Y84">
    <cfRule type="cellIs" dxfId="767" priority="1339" stopIfTrue="1" operator="notEqual">
      <formula>Z54</formula>
    </cfRule>
  </conditionalFormatting>
  <conditionalFormatting sqref="Y55 Y58 Y61 Y64 Y67 Y70 Y73 Y76 Y79 Y82 Y85 Y88 Y91 Y94 Y97">
    <cfRule type="cellIs" dxfId="766" priority="1338" stopIfTrue="1" operator="notEqual">
      <formula>Z55</formula>
    </cfRule>
  </conditionalFormatting>
  <conditionalFormatting sqref="Y53 Y56 Y59 Y62 Y65 Y68 Y71 Y74 Y77 Y80 Y83 Y86 Y89 Y92 Y95 Y98">
    <cfRule type="cellIs" dxfId="765" priority="1337" stopIfTrue="1" operator="notEqual">
      <formula>Z53</formula>
    </cfRule>
  </conditionalFormatting>
  <conditionalFormatting sqref="Y54 Y57 Y60 Y63 Y66 Y69 Y72 Y75 Y78 Y81 Y84">
    <cfRule type="cellIs" dxfId="764" priority="1336" stopIfTrue="1" operator="notEqual">
      <formula>Z54</formula>
    </cfRule>
  </conditionalFormatting>
  <conditionalFormatting sqref="Y55 Y58 Y61 Y64 Y67 Y70 Y73 Y76 Y79 Y82 Y85 Y88 Y91 Y94 Y97">
    <cfRule type="cellIs" dxfId="763" priority="1335" stopIfTrue="1" operator="notEqual">
      <formula>Z55</formula>
    </cfRule>
  </conditionalFormatting>
  <conditionalFormatting sqref="Y53 Y56 Y59 Y62 Y65 Y68 Y71 Y74 Y77 Y80 Y83 Y86 Y89 Y92 Y95 Y98">
    <cfRule type="cellIs" dxfId="762" priority="1334" stopIfTrue="1" operator="notEqual">
      <formula>Z53</formula>
    </cfRule>
  </conditionalFormatting>
  <conditionalFormatting sqref="Y54 Y57 Y60 Y63 Y66 Y69 Y72 Y75 Y78 Y81 Y84">
    <cfRule type="cellIs" dxfId="761" priority="1333" stopIfTrue="1" operator="notEqual">
      <formula>Z54</formula>
    </cfRule>
  </conditionalFormatting>
  <conditionalFormatting sqref="Y55 Y58 Y61 Y64 Y67 Y70 Y73 Y76 Y79 Y82 Y85 Y88 Y91 Y94 Y97">
    <cfRule type="cellIs" dxfId="760" priority="1332" stopIfTrue="1" operator="notEqual">
      <formula>Z55</formula>
    </cfRule>
  </conditionalFormatting>
  <conditionalFormatting sqref="Y101 Y104 Y107 Y110 Y113 Y116 Y119 Y122 Y125 Y128">
    <cfRule type="cellIs" dxfId="759" priority="1331" stopIfTrue="1" operator="notEqual">
      <formula>Z101</formula>
    </cfRule>
  </conditionalFormatting>
  <conditionalFormatting sqref="Y101 Y104 Y107 Y110 Y113 Y116 Y119 Y122 Y125 Y128">
    <cfRule type="cellIs" dxfId="758" priority="1330" stopIfTrue="1" operator="notEqual">
      <formula>Z101</formula>
    </cfRule>
  </conditionalFormatting>
  <conditionalFormatting sqref="Y99 Y102 Y105 Y108 Y111 Y114 Y117 Y120 Y123 Y126">
    <cfRule type="cellIs" dxfId="757" priority="1329" stopIfTrue="1" operator="notEqual">
      <formula>Z99</formula>
    </cfRule>
  </conditionalFormatting>
  <conditionalFormatting sqref="Y100:Y139">
    <cfRule type="cellIs" dxfId="756" priority="1328" stopIfTrue="1" operator="notEqual">
      <formula>Z100</formula>
    </cfRule>
  </conditionalFormatting>
  <conditionalFormatting sqref="Y99 Y102 Y105 Y108 Y111 Y114 Y117 Y120 Y123 Y126">
    <cfRule type="cellIs" dxfId="755" priority="1327" stopIfTrue="1" operator="notEqual">
      <formula>Z99</formula>
    </cfRule>
  </conditionalFormatting>
  <conditionalFormatting sqref="Y99 Y102 Y105 Y108 Y111 Y114 Y117 Y120 Y123 Y126">
    <cfRule type="cellIs" dxfId="754" priority="1326" stopIfTrue="1" operator="notEqual">
      <formula>Z99</formula>
    </cfRule>
  </conditionalFormatting>
  <conditionalFormatting sqref="Y101 Y104 Y107 Y110 Y113 Y116 Y119 Y122 Y125 Y128">
    <cfRule type="cellIs" dxfId="753" priority="1325" stopIfTrue="1" operator="notEqual">
      <formula>Z101</formula>
    </cfRule>
  </conditionalFormatting>
  <conditionalFormatting sqref="Y99 Y102 Y105 Y108 Y111 Y114 Y117 Y120 Y123 Y126">
    <cfRule type="cellIs" dxfId="752" priority="1324" stopIfTrue="1" operator="notEqual">
      <formula>Z99</formula>
    </cfRule>
  </conditionalFormatting>
  <conditionalFormatting sqref="Y100:Y139">
    <cfRule type="cellIs" dxfId="751" priority="1323" stopIfTrue="1" operator="notEqual">
      <formula>Z100</formula>
    </cfRule>
  </conditionalFormatting>
  <conditionalFormatting sqref="Y101 Y104 Y107 Y110 Y113 Y116 Y119 Y122 Y125 Y128">
    <cfRule type="cellIs" dxfId="750" priority="1322" stopIfTrue="1" operator="notEqual">
      <formula>Z101</formula>
    </cfRule>
  </conditionalFormatting>
  <conditionalFormatting sqref="Y101 Y104 Y107 Y110 Y113 Y116 Y119 Y122 Y125 Y128">
    <cfRule type="cellIs" dxfId="749" priority="1321" stopIfTrue="1" operator="notEqual">
      <formula>Z101</formula>
    </cfRule>
  </conditionalFormatting>
  <conditionalFormatting sqref="Y101 Y104 Y107 Y110 Y113 Y116 Y119 Y122 Y125 Y128">
    <cfRule type="cellIs" dxfId="748" priority="1320" stopIfTrue="1" operator="notEqual">
      <formula>Z101</formula>
    </cfRule>
  </conditionalFormatting>
  <conditionalFormatting sqref="Y101 Y104 Y107 Y110 Y113 Y116 Y119 Y122 Y125 Y128">
    <cfRule type="cellIs" dxfId="747" priority="1319" stopIfTrue="1" operator="notEqual">
      <formula>Z101</formula>
    </cfRule>
  </conditionalFormatting>
  <conditionalFormatting sqref="Y101 Y104 Y107 Y110 Y113 Y116 Y119 Y122 Y125 Y128">
    <cfRule type="cellIs" dxfId="746" priority="1318" stopIfTrue="1" operator="notEqual">
      <formula>Z101</formula>
    </cfRule>
  </conditionalFormatting>
  <conditionalFormatting sqref="Y100:Y139">
    <cfRule type="cellIs" dxfId="745" priority="1317" stopIfTrue="1" operator="notEqual">
      <formula>Z100</formula>
    </cfRule>
  </conditionalFormatting>
  <conditionalFormatting sqref="Y99 Y102 Y105 Y108 Y111 Y114 Y117 Y120 Y123 Y126">
    <cfRule type="cellIs" dxfId="744" priority="1316" stopIfTrue="1" operator="notEqual">
      <formula>Z99</formula>
    </cfRule>
  </conditionalFormatting>
  <conditionalFormatting sqref="Y101 Y104 Y107 Y110 Y113 Y116 Y119 Y122 Y125 Y128">
    <cfRule type="cellIs" dxfId="743" priority="1315" stopIfTrue="1" operator="notEqual">
      <formula>Z101</formula>
    </cfRule>
  </conditionalFormatting>
  <conditionalFormatting sqref="Y99 Y102 Y105 Y108 Y111 Y114 Y117 Y120 Y123 Y126">
    <cfRule type="cellIs" dxfId="742" priority="1314" stopIfTrue="1" operator="notEqual">
      <formula>Z99</formula>
    </cfRule>
  </conditionalFormatting>
  <conditionalFormatting sqref="Y100:Y139">
    <cfRule type="cellIs" dxfId="741" priority="1313" stopIfTrue="1" operator="notEqual">
      <formula>Z100</formula>
    </cfRule>
  </conditionalFormatting>
  <conditionalFormatting sqref="Y101 Y104 Y107 Y110 Y113 Y116 Y119 Y122 Y125 Y128">
    <cfRule type="cellIs" dxfId="740" priority="1312" stopIfTrue="1" operator="notEqual">
      <formula>Z101</formula>
    </cfRule>
  </conditionalFormatting>
  <conditionalFormatting sqref="Y99 Y102 Y105 Y108 Y111 Y114 Y117 Y120 Y123 Y126">
    <cfRule type="cellIs" dxfId="739" priority="1311" stopIfTrue="1" operator="notEqual">
      <formula>Z99</formula>
    </cfRule>
  </conditionalFormatting>
  <conditionalFormatting sqref="Y100:Y139">
    <cfRule type="cellIs" dxfId="738" priority="1310" stopIfTrue="1" operator="notEqual">
      <formula>Z100</formula>
    </cfRule>
  </conditionalFormatting>
  <conditionalFormatting sqref="Y101 Y104 Y107 Y110 Y113 Y116 Y119 Y122 Y125 Y128">
    <cfRule type="cellIs" dxfId="737" priority="1309" stopIfTrue="1" operator="notEqual">
      <formula>Z101</formula>
    </cfRule>
  </conditionalFormatting>
  <conditionalFormatting sqref="Y99 Y102 Y105 Y108 Y111 Y114 Y117 Y120 Y123 Y126">
    <cfRule type="cellIs" dxfId="736" priority="1308" stopIfTrue="1" operator="notEqual">
      <formula>Z99</formula>
    </cfRule>
  </conditionalFormatting>
  <conditionalFormatting sqref="Y100:Y139">
    <cfRule type="cellIs" dxfId="735" priority="1307" stopIfTrue="1" operator="notEqual">
      <formula>Z100</formula>
    </cfRule>
  </conditionalFormatting>
  <conditionalFormatting sqref="Y99 Y102 Y105 Y108 Y111 Y114 Y117 Y120 Y123 Y126">
    <cfRule type="cellIs" dxfId="734" priority="1306" stopIfTrue="1" operator="notEqual">
      <formula>Z99</formula>
    </cfRule>
  </conditionalFormatting>
  <conditionalFormatting sqref="Y100:Y139">
    <cfRule type="cellIs" dxfId="733" priority="1305" stopIfTrue="1" operator="notEqual">
      <formula>Z100</formula>
    </cfRule>
  </conditionalFormatting>
  <conditionalFormatting sqref="Y99 Y102 Y105 Y108 Y111 Y114 Y117 Y120 Y123 Y126">
    <cfRule type="cellIs" dxfId="732" priority="1304" stopIfTrue="1" operator="notEqual">
      <formula>Z99</formula>
    </cfRule>
  </conditionalFormatting>
  <conditionalFormatting sqref="Y100:Y139">
    <cfRule type="cellIs" dxfId="731" priority="1303" stopIfTrue="1" operator="notEqual">
      <formula>Z100</formula>
    </cfRule>
  </conditionalFormatting>
  <conditionalFormatting sqref="Y101 Y104 Y107 Y110 Y113 Y116 Y119 Y122 Y125 Y128">
    <cfRule type="cellIs" dxfId="730" priority="1302" stopIfTrue="1" operator="notEqual">
      <formula>Z101</formula>
    </cfRule>
  </conditionalFormatting>
  <conditionalFormatting sqref="Y99 Y102 Y105 Y108 Y111 Y114 Y117 Y120 Y123 Y126">
    <cfRule type="cellIs" dxfId="729" priority="1301" stopIfTrue="1" operator="notEqual">
      <formula>Z99</formula>
    </cfRule>
  </conditionalFormatting>
  <conditionalFormatting sqref="Y101 Y104 Y107 Y110 Y113 Y116 Y119 Y122 Y125 Y128">
    <cfRule type="cellIs" dxfId="728" priority="1300" stopIfTrue="1" operator="notEqual">
      <formula>Z101</formula>
    </cfRule>
  </conditionalFormatting>
  <conditionalFormatting sqref="Y99 Y102 Y105 Y108 Y111 Y114 Y117 Y120 Y123 Y126">
    <cfRule type="cellIs" dxfId="727" priority="1299" stopIfTrue="1" operator="notEqual">
      <formula>Z99</formula>
    </cfRule>
  </conditionalFormatting>
  <conditionalFormatting sqref="Y100:Y139">
    <cfRule type="cellIs" dxfId="726" priority="1298" stopIfTrue="1" operator="notEqual">
      <formula>Z100</formula>
    </cfRule>
  </conditionalFormatting>
  <conditionalFormatting sqref="Y101 Y104 Y107 Y110 Y113 Y116 Y119 Y122 Y125 Y128">
    <cfRule type="cellIs" dxfId="725" priority="1297" stopIfTrue="1" operator="notEqual">
      <formula>Z101</formula>
    </cfRule>
  </conditionalFormatting>
  <conditionalFormatting sqref="Y99 Y102 Y105 Y108 Y111 Y114 Y117 Y120 Y123 Y126">
    <cfRule type="cellIs" dxfId="724" priority="1296" stopIfTrue="1" operator="notEqual">
      <formula>Z99</formula>
    </cfRule>
  </conditionalFormatting>
  <conditionalFormatting sqref="Y100:Y139">
    <cfRule type="cellIs" dxfId="723" priority="1295" stopIfTrue="1" operator="notEqual">
      <formula>Z100</formula>
    </cfRule>
  </conditionalFormatting>
  <conditionalFormatting sqref="Y101 Y104 Y107 Y110 Y113 Y116 Y119 Y122 Y125 Y128">
    <cfRule type="cellIs" dxfId="722" priority="1294" stopIfTrue="1" operator="notEqual">
      <formula>Z101</formula>
    </cfRule>
  </conditionalFormatting>
  <conditionalFormatting sqref="Y99 Y102 Y105 Y108 Y111 Y114 Y117 Y120 Y123 Y126">
    <cfRule type="cellIs" dxfId="721" priority="1293" stopIfTrue="1" operator="notEqual">
      <formula>Z99</formula>
    </cfRule>
  </conditionalFormatting>
  <conditionalFormatting sqref="Y100:Y139">
    <cfRule type="cellIs" dxfId="720" priority="1292" stopIfTrue="1" operator="notEqual">
      <formula>Z100</formula>
    </cfRule>
  </conditionalFormatting>
  <conditionalFormatting sqref="Y101 Y104 Y107 Y110 Y113 Y116 Y119 Y122 Y125 Y128">
    <cfRule type="cellIs" dxfId="719" priority="1291" stopIfTrue="1" operator="notEqual">
      <formula>Z101</formula>
    </cfRule>
  </conditionalFormatting>
  <conditionalFormatting sqref="Y99 Y102 Y105 Y108 Y111 Y114 Y117 Y120 Y123 Y126">
    <cfRule type="cellIs" dxfId="718" priority="1290" stopIfTrue="1" operator="notEqual">
      <formula>Z99</formula>
    </cfRule>
  </conditionalFormatting>
  <conditionalFormatting sqref="Y100:Y139">
    <cfRule type="cellIs" dxfId="717" priority="1289" stopIfTrue="1" operator="notEqual">
      <formula>Z100</formula>
    </cfRule>
  </conditionalFormatting>
  <conditionalFormatting sqref="Y101 Y104 Y107 Y110 Y113 Y116 Y119 Y122 Y125 Y128">
    <cfRule type="cellIs" dxfId="716" priority="1288" stopIfTrue="1" operator="notEqual">
      <formula>Z101</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715" priority="1287" stopIfTrue="1" operator="notEqual">
      <formula>Z128</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714" priority="1286" stopIfTrue="1" operator="notEqual">
      <formula>Z128</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713" priority="1285" stopIfTrue="1" operator="notEqual">
      <formula>Z126</formula>
    </cfRule>
  </conditionalFormatting>
  <conditionalFormatting sqref="Y127 Y130 Y133 Y136 Y139 Y142 Y145 Y148 Y151 Y154 Y157 Y160 Y163 Y166 Y169 Y172 Y175 Y178 Y181 Y184 Y187 Y190 Y193 Y196 Y199 Y202 Y205 Y208 Y211 Y214 Y217 Y220 Y223 Y226 Y229 Y232 Y235 Y238 Y241 Y244 Y247 Y250 Y253 Y256 Y259 Y262 Y265 Y268 Y271 Y274 Y277 Y280 Y283 Y286 Y289 Y292">
    <cfRule type="cellIs" dxfId="712" priority="1284" stopIfTrue="1" operator="notEqual">
      <formula>Z127</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711" priority="1283" stopIfTrue="1" operator="notEqual">
      <formula>Z126</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710" priority="1282" stopIfTrue="1" operator="notEqual">
      <formula>Z126</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709" priority="1281" stopIfTrue="1" operator="notEqual">
      <formula>Z128</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708" priority="1280" stopIfTrue="1" operator="notEqual">
      <formula>Z126</formula>
    </cfRule>
  </conditionalFormatting>
  <conditionalFormatting sqref="Y127 Y130 Y133 Y136 Y139 Y142 Y145 Y148 Y151 Y154 Y157 Y160 Y163 Y166 Y169 Y172 Y175 Y178 Y181 Y184 Y187 Y190 Y193 Y196 Y199 Y202 Y205 Y208 Y211 Y214 Y217 Y220 Y223 Y226 Y229 Y232 Y235 Y238 Y241 Y244 Y247 Y250 Y253 Y256 Y259 Y262 Y265 Y268 Y271 Y274 Y277 Y280 Y283 Y286 Y289 Y292">
    <cfRule type="cellIs" dxfId="707" priority="1279" stopIfTrue="1" operator="notEqual">
      <formula>Z127</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706" priority="1278" stopIfTrue="1" operator="notEqual">
      <formula>Z128</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705" priority="1277" stopIfTrue="1" operator="notEqual">
      <formula>Z128</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704" priority="1276" stopIfTrue="1" operator="notEqual">
      <formula>Z128</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703" priority="1275" stopIfTrue="1" operator="notEqual">
      <formula>Z128</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702" priority="1274" stopIfTrue="1" operator="notEqual">
      <formula>Z128</formula>
    </cfRule>
  </conditionalFormatting>
  <conditionalFormatting sqref="Y127:Y128 Y130:Y131 Y133:Y134 Y136:Y137 Y139:Y140 Y142:Y143 Y145:Y146 Y148:Y149 Y151:Y152 Y154:Y155 Y157:Y158 Y160:Y161 Y163:Y164 Y166:Y167 Y169:Y170 Y172:Y173 Y175:Y176 Y178:Y179 Y181:Y182 Y184:Y185 Y187:Y188 Y190:Y191 Y193:Y194 Y196:Y197 Y199:Y200 Y202:Y203 Y205:Y206 Y208:Y209 Y211:Y212 Y214:Y215 Y217:Y218 Y220:Y221 Y223:Y224 Y226:Y227 Y229:Y230 Y232:Y233 Y235:Y236 Y238:Y239 Y241:Y242 Y244:Y245 Y247:Y248 Y250:Y251 Y253:Y254 Y256:Y257 Y259:Y260 Y262:Y263 Y265:Y266 Y268:Y269 Y271:Y272 Y274:Y275 Y277:Y278 Y280:Y281 Y283:Y284 Y286:Y287 Y289:Y290 Y292:Y293">
    <cfRule type="cellIs" dxfId="701" priority="1273" stopIfTrue="1" operator="notEqual">
      <formula>Z127</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700" priority="1272" stopIfTrue="1" operator="notEqual">
      <formula>Z126</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699" priority="1271" stopIfTrue="1" operator="notEqual">
      <formula>Z128</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698" priority="1270" stopIfTrue="1" operator="notEqual">
      <formula>Z126</formula>
    </cfRule>
  </conditionalFormatting>
  <conditionalFormatting sqref="Y127 Y130 Y133 Y136 Y139 Y142 Y145 Y148 Y151 Y154 Y157 Y160 Y163 Y166 Y169 Y172 Y175 Y178 Y181 Y184 Y187 Y190 Y193 Y196 Y199 Y202 Y205 Y208 Y211 Y214 Y217 Y220 Y223 Y226 Y229 Y232 Y235 Y238 Y241 Y244 Y247 Y250 Y253 Y256 Y259 Y262 Y265 Y268 Y271 Y274 Y277 Y280 Y283 Y286 Y289 Y292">
    <cfRule type="cellIs" dxfId="697" priority="1269" stopIfTrue="1" operator="notEqual">
      <formula>Z127</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696" priority="1268" stopIfTrue="1" operator="notEqual">
      <formula>Z128</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695" priority="1267" stopIfTrue="1" operator="notEqual">
      <formula>Z126</formula>
    </cfRule>
  </conditionalFormatting>
  <conditionalFormatting sqref="Y127 Y130 Y133 Y136 Y139 Y142 Y145 Y148 Y151 Y154 Y157 Y160 Y163 Y166 Y169 Y172 Y175 Y178 Y181 Y184 Y187 Y190 Y193 Y196 Y199 Y202 Y205 Y208 Y211 Y214 Y217 Y220 Y223 Y226 Y229 Y232 Y235 Y238 Y241 Y244 Y247 Y250 Y253 Y256 Y259 Y262 Y265 Y268 Y271 Y274 Y277 Y280 Y283 Y286 Y289 Y292">
    <cfRule type="cellIs" dxfId="694" priority="1266" stopIfTrue="1" operator="notEqual">
      <formula>Z127</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693" priority="1265" stopIfTrue="1" operator="notEqual">
      <formula>Z128</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692" priority="1264" stopIfTrue="1" operator="notEqual">
      <formula>Z126</formula>
    </cfRule>
  </conditionalFormatting>
  <conditionalFormatting sqref="Y127 Y130 Y133 Y136 Y139 Y142 Y145 Y148 Y151 Y154 Y157 Y160 Y163 Y166 Y169 Y172 Y175 Y178 Y181 Y184 Y187 Y190 Y193 Y196 Y199 Y202 Y205 Y208 Y211 Y214 Y217 Y220 Y223 Y226 Y229 Y232 Y235 Y238 Y241 Y244 Y247 Y250 Y253 Y256 Y259 Y262 Y265 Y268 Y271 Y274 Y277 Y280 Y283 Y286 Y289 Y292">
    <cfRule type="cellIs" dxfId="691" priority="1263" stopIfTrue="1" operator="notEqual">
      <formula>Z127</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690" priority="1262" stopIfTrue="1" operator="notEqual">
      <formula>Z126</formula>
    </cfRule>
  </conditionalFormatting>
  <conditionalFormatting sqref="Y127 Y130 Y133 Y136 Y139 Y142 Y145 Y148 Y151 Y154 Y157 Y160 Y163 Y166 Y169 Y172 Y175 Y178 Y181 Y184 Y187 Y190 Y193 Y196 Y199 Y202 Y205 Y208 Y211 Y214 Y217 Y220 Y223 Y226 Y229 Y232 Y235 Y238 Y241 Y244 Y247 Y250 Y253 Y256 Y259 Y262 Y265 Y268 Y271 Y274 Y277 Y280 Y283 Y286 Y289 Y292">
    <cfRule type="cellIs" dxfId="689" priority="1261" stopIfTrue="1" operator="notEqual">
      <formula>Z127</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688" priority="1260" stopIfTrue="1" operator="notEqual">
      <formula>Z126</formula>
    </cfRule>
  </conditionalFormatting>
  <conditionalFormatting sqref="Y127 Y130 Y133 Y136 Y139 Y142 Y145 Y148 Y151 Y154 Y157 Y160 Y163 Y166 Y169 Y172 Y175 Y178 Y181 Y184 Y187 Y190 Y193 Y196 Y199 Y202 Y205 Y208 Y211 Y214 Y217 Y220 Y223 Y226 Y229 Y232 Y235 Y238 Y241 Y244 Y247 Y250 Y253 Y256 Y259 Y262 Y265 Y268 Y271 Y274 Y277 Y280 Y283 Y286 Y289 Y292">
    <cfRule type="cellIs" dxfId="687" priority="1259" stopIfTrue="1" operator="notEqual">
      <formula>Z127</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686" priority="1258" stopIfTrue="1" operator="notEqual">
      <formula>Z128</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685" priority="1257" stopIfTrue="1" operator="notEqual">
      <formula>Z126</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684" priority="1256" stopIfTrue="1" operator="notEqual">
      <formula>Z128</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683" priority="1255" stopIfTrue="1" operator="notEqual">
      <formula>Z126</formula>
    </cfRule>
  </conditionalFormatting>
  <conditionalFormatting sqref="Y127 Y130 Y133 Y136 Y139 Y142 Y145 Y148 Y151 Y154 Y157 Y160 Y163 Y166 Y169 Y172 Y175 Y178 Y181 Y184 Y187 Y190 Y193 Y196 Y199 Y202 Y205 Y208 Y211 Y214 Y217 Y220 Y223 Y226 Y229 Y232 Y235 Y238 Y241 Y244 Y247 Y250 Y253 Y256 Y259 Y262 Y265 Y268 Y271 Y274 Y277 Y280 Y283 Y286 Y289 Y292">
    <cfRule type="cellIs" dxfId="682" priority="1254" stopIfTrue="1" operator="notEqual">
      <formula>Z127</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681" priority="1253" stopIfTrue="1" operator="notEqual">
      <formula>Z128</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680" priority="1252" stopIfTrue="1" operator="notEqual">
      <formula>Z126</formula>
    </cfRule>
  </conditionalFormatting>
  <conditionalFormatting sqref="Y127 Y130 Y133 Y136 Y139 Y142 Y145 Y148 Y151 Y154 Y157 Y160 Y163 Y166 Y169 Y172 Y175 Y178 Y181 Y184 Y187 Y190 Y193 Y196 Y199 Y202 Y205 Y208 Y211 Y214 Y217 Y220 Y223 Y226 Y229 Y232 Y235 Y238 Y241 Y244 Y247 Y250 Y253 Y256 Y259 Y262 Y265 Y268 Y271 Y274 Y277 Y280 Y283 Y286 Y289 Y292">
    <cfRule type="cellIs" dxfId="679" priority="1251" stopIfTrue="1" operator="notEqual">
      <formula>Z127</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678" priority="1250" stopIfTrue="1" operator="notEqual">
      <formula>Z128</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677" priority="1249" stopIfTrue="1" operator="notEqual">
      <formula>Z126</formula>
    </cfRule>
  </conditionalFormatting>
  <conditionalFormatting sqref="Y127 Y130 Y133 Y136 Y139 Y142 Y145 Y148 Y151 Y154 Y157 Y160 Y163 Y166 Y169 Y172 Y175 Y178 Y181 Y184 Y187 Y190 Y193 Y196 Y199 Y202 Y205 Y208 Y211 Y214 Y217 Y220 Y223 Y226 Y229 Y232 Y235 Y238 Y241 Y244 Y247 Y250 Y253 Y256 Y259 Y262 Y265 Y268 Y271 Y274 Y277 Y280 Y283 Y286 Y289 Y292">
    <cfRule type="cellIs" dxfId="676" priority="1248" stopIfTrue="1" operator="notEqual">
      <formula>Z127</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675" priority="1247" stopIfTrue="1" operator="notEqual">
      <formula>Z128</formula>
    </cfRule>
  </conditionalFormatting>
  <conditionalFormatting sqref="Y126 Y129 Y132 Y135 Y138 Y141 Y144 Y147 Y150 Y153 Y156 Y159 Y162 Y165 Y168 Y171 Y174 Y177 Y180 Y183 Y186 Y189 Y192 Y195 Y198 Y201 Y204 Y207 Y210 Y213 Y216 Y219 Y222 Y225 Y228 Y231 Y234 Y237 Y240 Y243 Y246 Y249 Y252 Y255 Y258 Y261 Y264 Y267 Y270 Y273 Y276 Y279 Y282 Y285 Y288 Y291">
    <cfRule type="cellIs" dxfId="674" priority="1246" stopIfTrue="1" operator="notEqual">
      <formula>Z126</formula>
    </cfRule>
  </conditionalFormatting>
  <conditionalFormatting sqref="Y127 Y130 Y133 Y136 Y139 Y142 Y145 Y148 Y151 Y154 Y157 Y160 Y163 Y166 Y169 Y172 Y175 Y178 Y181 Y184 Y187 Y190 Y193 Y196 Y199 Y202 Y205 Y208 Y211 Y214 Y217 Y220 Y223 Y226 Y229 Y232 Y235 Y238 Y241 Y244 Y247 Y250 Y253 Y256 Y259 Y262 Y265 Y268 Y271 Y274 Y277 Y280 Y283 Y286 Y289 Y292">
    <cfRule type="cellIs" dxfId="673" priority="1245" stopIfTrue="1" operator="notEqual">
      <formula>Z127</formula>
    </cfRule>
  </conditionalFormatting>
  <conditionalFormatting sqref="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cfRule type="cellIs" dxfId="672" priority="1244" stopIfTrue="1" operator="notEqual">
      <formula>Z128</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71" priority="1243" stopIfTrue="1" operator="notEqual">
      <formula>Z295</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70" priority="1242" stopIfTrue="1" operator="notEqual">
      <formula>Z295</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69" priority="1241" stopIfTrue="1" operator="notEqual">
      <formula>Z293</formula>
    </cfRule>
  </conditionalFormatting>
  <conditionalFormatting sqref="Y294 Y297 Y300 Y303 Y306 Y309 Y312 Y315 Y318 Y321 Y324 Y327 Y330 Y333 Y336 Y339 Y342 Y345 Y348 Y351 Y354 Y357 Y360 Y363 Y366 Y369 Y372 Y375 Y378 Y381 Y384 Y387 Y390 Y393 Y397 Y400 Y403 Y406 Y409 Y412 Y415 Y418 Y421 Y424 Y427 Y430 Y432 Y434 Y437 Y440 Y443 Y446 Y449 Y452 Y455 Y458 Y461 Y464 Y467 Y470 Y473 Y476 Y479 Y482 Y485 Y488 Y491 Y493 Y496 Y499 Y502 Y505 Y508 Y511 Y514 Y517 Y520 Y523 Y526 Y529 Y532 Y535 Y538 Y541 Y544 Y547 Y550 Y553">
    <cfRule type="cellIs" dxfId="668" priority="1240" stopIfTrue="1" operator="notEqual">
      <formula>Z294</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67" priority="1239" stopIfTrue="1" operator="notEqual">
      <formula>Z293</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66" priority="1238" stopIfTrue="1" operator="notEqual">
      <formula>Z293</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65" priority="1237" stopIfTrue="1" operator="notEqual">
      <formula>Z295</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64" priority="1236" stopIfTrue="1" operator="notEqual">
      <formula>Z293</formula>
    </cfRule>
  </conditionalFormatting>
  <conditionalFormatting sqref="Y294 Y297 Y300 Y303 Y306 Y309 Y312 Y315 Y318 Y321 Y324 Y327 Y330 Y333 Y336 Y339 Y342 Y345 Y348 Y351 Y354 Y357 Y360 Y363 Y366 Y369 Y372 Y375 Y378 Y381 Y384 Y387 Y390 Y393 Y397 Y400 Y403 Y406 Y409 Y412 Y415 Y418 Y421 Y424 Y427 Y430 Y432 Y434 Y437 Y440 Y443 Y446 Y449 Y452 Y455 Y458 Y461 Y464 Y467 Y470 Y473 Y476 Y479 Y482 Y485 Y488 Y491 Y493 Y496 Y499 Y502 Y505 Y508 Y511 Y514 Y517 Y520 Y523 Y526 Y529 Y532 Y535 Y538 Y541 Y544 Y547 Y550 Y553">
    <cfRule type="cellIs" dxfId="663" priority="1235" stopIfTrue="1" operator="notEqual">
      <formula>Z294</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62" priority="1234" stopIfTrue="1" operator="notEqual">
      <formula>Z295</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61" priority="1233" stopIfTrue="1" operator="notEqual">
      <formula>Z295</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60" priority="1232" stopIfTrue="1" operator="notEqual">
      <formula>Z295</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59" priority="1231" stopIfTrue="1" operator="notEqual">
      <formula>Z295</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58" priority="1230" stopIfTrue="1" operator="notEqual">
      <formula>Z295</formula>
    </cfRule>
  </conditionalFormatting>
  <conditionalFormatting sqref="Y294:Y295 Y297:Y298 Y300:Y301 Y303:Y304 Y306:Y307 Y309:Y310 Y312:Y313 Y315:Y316 Y318:Y319 Y321:Y322 Y324:Y325 Y327:Y328 Y330:Y331 Y333:Y334 Y336:Y337 Y339:Y340 Y342:Y343 Y345:Y346 Y348:Y349 Y351:Y352 Y354:Y355 Y357:Y358 Y360:Y361 Y363:Y364 Y366:Y367 Y369:Y370 Y372:Y373 Y375:Y376 Y378:Y379 Y381:Y382 Y384:Y385 Y387:Y388 Y390:Y391 Y397:Y398 Y400:Y401 Y403:Y404 Y406:Y407 Y409:Y410 Y412:Y413 Y415:Y416 Y418:Y419 Y421:Y422 Y424:Y425 Y427:Y428 Y430:Y435 Y437:Y438 Y443:Y444 Y446:Y447 Y449:Y450 Y452:Y453 Y455:Y456 Y458:Y459 Y461:Y462 Y464:Y465 Y467:Y468 Y470:Y471 Y473:Y474 Y476:Y477 Y479:Y480 Y482:Y483 Y485:Y486 Y488:Y489 Y491:Y494 Y496:Y497 Y499:Y500 Y502:Y503 Y505:Y506 Y508:Y509 Y511:Y512 Y514:Y515 Y517:Y518 Y520:Y521 Y523:Y524 Y526:Y527 Y529:Y530 Y532:Y533 Y535:Y536 Y538:Y539 Y541:Y542 Y544:Y545 Y547:Y548 Y550:Y551 Y553:Y554 Y393:Y395">
    <cfRule type="cellIs" dxfId="657" priority="1229" stopIfTrue="1" operator="notEqual">
      <formula>Z294</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56" priority="1228" stopIfTrue="1" operator="notEqual">
      <formula>Z293</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55" priority="1227" stopIfTrue="1" operator="notEqual">
      <formula>Z295</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54" priority="1226" stopIfTrue="1" operator="notEqual">
      <formula>Z293</formula>
    </cfRule>
  </conditionalFormatting>
  <conditionalFormatting sqref="Y294 Y297 Y300 Y303 Y306 Y309 Y312 Y315 Y318 Y321 Y324 Y327 Y330 Y333 Y336 Y339 Y342 Y345 Y348 Y351 Y354 Y357 Y360 Y363 Y366 Y369 Y372 Y375 Y378 Y381 Y384 Y387 Y390 Y393 Y397 Y400 Y403 Y406 Y409 Y412 Y415 Y418 Y421 Y424 Y427 Y430 Y432 Y434 Y437 Y440 Y443 Y446 Y449 Y452 Y455 Y458 Y461 Y464 Y467 Y470 Y473 Y476 Y479 Y482 Y485 Y488 Y491 Y493 Y496 Y499 Y502 Y505 Y508 Y511 Y514 Y517 Y520 Y523 Y526 Y529 Y532 Y535 Y538 Y541 Y544 Y547 Y550 Y553">
    <cfRule type="cellIs" dxfId="653" priority="1225" stopIfTrue="1" operator="notEqual">
      <formula>Z294</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52" priority="1224" stopIfTrue="1" operator="notEqual">
      <formula>Z295</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51" priority="1223" stopIfTrue="1" operator="notEqual">
      <formula>Z293</formula>
    </cfRule>
  </conditionalFormatting>
  <conditionalFormatting sqref="Y294 Y297 Y300 Y303 Y306 Y309 Y312 Y315 Y318 Y321 Y324 Y327 Y330 Y333 Y336 Y339 Y342 Y345 Y348 Y351 Y354 Y357 Y360 Y363 Y366 Y369 Y372 Y375 Y378 Y381 Y384 Y387 Y390 Y393 Y397 Y400 Y403 Y406 Y409 Y412 Y415 Y418 Y421 Y424 Y427 Y430 Y432 Y434 Y437 Y440 Y443 Y446 Y449 Y452 Y455 Y458 Y461 Y464 Y467 Y470 Y473 Y476 Y479 Y482 Y485 Y488 Y491 Y493 Y496 Y499 Y502 Y505 Y508 Y511 Y514 Y517 Y520 Y523 Y526 Y529 Y532 Y535 Y538 Y541 Y544 Y547 Y550 Y553">
    <cfRule type="cellIs" dxfId="650" priority="1222" stopIfTrue="1" operator="notEqual">
      <formula>Z294</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49" priority="1221" stopIfTrue="1" operator="notEqual">
      <formula>Z295</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48" priority="1220" stopIfTrue="1" operator="notEqual">
      <formula>Z293</formula>
    </cfRule>
  </conditionalFormatting>
  <conditionalFormatting sqref="Y294 Y297 Y300 Y303 Y306 Y309 Y312 Y315 Y318 Y321 Y324 Y327 Y330 Y333 Y336 Y339 Y342 Y345 Y348 Y351 Y354 Y357 Y360 Y363 Y366 Y369 Y372 Y375 Y378 Y381 Y384 Y387 Y390 Y393 Y397 Y400 Y403 Y406 Y409 Y412 Y415 Y418 Y421 Y424 Y427 Y430 Y432 Y434 Y437 Y440 Y443 Y446 Y449 Y452 Y455 Y458 Y461 Y464 Y467 Y470 Y473 Y476 Y479 Y482 Y485 Y488 Y491 Y493 Y496 Y499 Y502 Y505 Y508 Y511 Y514 Y517 Y520 Y523 Y526 Y529 Y532 Y535 Y538 Y541 Y544 Y547 Y550 Y553">
    <cfRule type="cellIs" dxfId="647" priority="1219" stopIfTrue="1" operator="notEqual">
      <formula>Z294</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46" priority="1218" stopIfTrue="1" operator="notEqual">
      <formula>Z293</formula>
    </cfRule>
  </conditionalFormatting>
  <conditionalFormatting sqref="Y294 Y297 Y300 Y303 Y306 Y309 Y312 Y315 Y318 Y321 Y324 Y327 Y330 Y333 Y336 Y339 Y342 Y345 Y348 Y351 Y354 Y357 Y360 Y363 Y366 Y369 Y372 Y375 Y378 Y381 Y384 Y387 Y390 Y393 Y397 Y400 Y403 Y406 Y409 Y412 Y415 Y418 Y421 Y424 Y427 Y430 Y432 Y434 Y437 Y440 Y443 Y446 Y449 Y452 Y455 Y458 Y461 Y464 Y467 Y470 Y473 Y476 Y479 Y482 Y485 Y488 Y491 Y493 Y496 Y499 Y502 Y505 Y508 Y511 Y514 Y517 Y520 Y523 Y526 Y529 Y532 Y535 Y538 Y541 Y544 Y547 Y550 Y553">
    <cfRule type="cellIs" dxfId="645" priority="1217" stopIfTrue="1" operator="notEqual">
      <formula>Z294</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44" priority="1216" stopIfTrue="1" operator="notEqual">
      <formula>Z293</formula>
    </cfRule>
  </conditionalFormatting>
  <conditionalFormatting sqref="Y294 Y297 Y300 Y303 Y306 Y309 Y312 Y315 Y318 Y321 Y324 Y327 Y330 Y333 Y336 Y339 Y342 Y345 Y348 Y351 Y354 Y357 Y360 Y363 Y366 Y369 Y372 Y375 Y378 Y381 Y384 Y387 Y390 Y393 Y397 Y400 Y403 Y406 Y409 Y412 Y415 Y418 Y421 Y424 Y427 Y430 Y432 Y434 Y437 Y440 Y443 Y446 Y449 Y452 Y455 Y458 Y461 Y464 Y467 Y470 Y473 Y476 Y479 Y482 Y485 Y488 Y491 Y493 Y496 Y499 Y502 Y505 Y508 Y511 Y514 Y517 Y520 Y523 Y526 Y529 Y532 Y535 Y538 Y541 Y544 Y547 Y550 Y553">
    <cfRule type="cellIs" dxfId="643" priority="1215" stopIfTrue="1" operator="notEqual">
      <formula>Z294</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42" priority="1214" stopIfTrue="1" operator="notEqual">
      <formula>Z295</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41" priority="1213" stopIfTrue="1" operator="notEqual">
      <formula>Z293</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40" priority="1212" stopIfTrue="1" operator="notEqual">
      <formula>Z295</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39" priority="1211" stopIfTrue="1" operator="notEqual">
      <formula>Z293</formula>
    </cfRule>
  </conditionalFormatting>
  <conditionalFormatting sqref="Y294 Y297 Y300 Y303 Y306 Y309 Y312 Y315 Y318 Y321 Y324 Y327 Y330 Y333 Y336 Y339 Y342 Y345 Y348 Y351 Y354 Y357 Y360 Y363 Y366 Y369 Y372 Y375 Y378 Y381 Y384 Y387 Y390 Y393 Y397 Y400 Y403 Y406 Y409 Y412 Y415 Y418 Y421 Y424 Y427 Y430 Y432 Y434 Y437 Y440 Y443 Y446 Y449 Y452 Y455 Y458 Y461 Y464 Y467 Y470 Y473 Y476 Y479 Y482 Y485 Y488 Y491 Y493 Y496 Y499 Y502 Y505 Y508 Y511 Y514 Y517 Y520 Y523 Y526 Y529 Y532 Y535 Y538 Y541 Y544 Y547 Y550 Y553">
    <cfRule type="cellIs" dxfId="638" priority="1210" stopIfTrue="1" operator="notEqual">
      <formula>Z294</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37" priority="1209" stopIfTrue="1" operator="notEqual">
      <formula>Z295</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36" priority="1208" stopIfTrue="1" operator="notEqual">
      <formula>Z293</formula>
    </cfRule>
  </conditionalFormatting>
  <conditionalFormatting sqref="Y294 Y297 Y300 Y303 Y306 Y309 Y312 Y315 Y318 Y321 Y324 Y327 Y330 Y333 Y336 Y339 Y342 Y345 Y348 Y351 Y354 Y357 Y360 Y363 Y366 Y369 Y372 Y375 Y378 Y381 Y384 Y387 Y390 Y393 Y397 Y400 Y403 Y406 Y409 Y412 Y415 Y418 Y421 Y424 Y427 Y430 Y432 Y434 Y437 Y440 Y443 Y446 Y449 Y452 Y455 Y458 Y461 Y464 Y467 Y470 Y473 Y476 Y479 Y482 Y485 Y488 Y491 Y493 Y496 Y499 Y502 Y505 Y508 Y511 Y514 Y517 Y520 Y523 Y526 Y529 Y532 Y535 Y538 Y541 Y544 Y547 Y550 Y553">
    <cfRule type="cellIs" dxfId="635" priority="1207" stopIfTrue="1" operator="notEqual">
      <formula>Z294</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34" priority="1206" stopIfTrue="1" operator="notEqual">
      <formula>Z295</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33" priority="1205" stopIfTrue="1" operator="notEqual">
      <formula>Z293</formula>
    </cfRule>
  </conditionalFormatting>
  <conditionalFormatting sqref="Y294 Y297 Y300 Y303 Y306 Y309 Y312 Y315 Y318 Y321 Y324 Y327 Y330 Y333 Y336 Y339 Y342 Y345 Y348 Y351 Y354 Y357 Y360 Y363 Y366 Y369 Y372 Y375 Y378 Y381 Y384 Y387 Y390 Y393 Y397 Y400 Y403 Y406 Y409 Y412 Y415 Y418 Y421 Y424 Y427 Y430 Y432 Y434 Y437 Y440 Y443 Y446 Y449 Y452 Y455 Y458 Y461 Y464 Y467 Y470 Y473 Y476 Y479 Y482 Y485 Y488 Y491 Y493 Y496 Y499 Y502 Y505 Y508 Y511 Y514 Y517 Y520 Y523 Y526 Y529 Y532 Y535 Y538 Y541 Y544 Y547 Y550 Y553">
    <cfRule type="cellIs" dxfId="632" priority="1204" stopIfTrue="1" operator="notEqual">
      <formula>Z294</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31" priority="1203" stopIfTrue="1" operator="notEqual">
      <formula>Z295</formula>
    </cfRule>
  </conditionalFormatting>
  <conditionalFormatting sqref="Y293 Y296 Y299 Y302 Y305 Y308 Y311 Y314 Y317 Y320 Y323 Y326 Y329 Y332 Y335 Y338 Y341 Y344 Y347 Y350 Y353 Y356 Y359 Y362 Y365 Y368 Y371 Y374 Y377 Y380 Y383 Y386 Y389 Y392 Y396 Y399 Y402 Y405 Y408 Y411 Y414 Y417 Y420 Y423 Y426 Y429 Y436 Y439 Y442 Y445 Y448 Y451 Y454 Y457 Y460 Y463 Y466 Y469 Y472 Y475 Y478 Y481 Y484 Y487 Y490 Y495 Y498 Y501 Y504 Y507 Y510 Y513 Y516 Y519 Y522 Y525 Y528 Y531 Y534 Y537 Y540 Y543 Y546 Y549 Y552 Y555">
    <cfRule type="cellIs" dxfId="630" priority="1202" stopIfTrue="1" operator="notEqual">
      <formula>Z293</formula>
    </cfRule>
  </conditionalFormatting>
  <conditionalFormatting sqref="Y294 Y297 Y300 Y303 Y306 Y309 Y312 Y315 Y318 Y321 Y324 Y327 Y330 Y333 Y336 Y339 Y342 Y345 Y348 Y351 Y354 Y357 Y360 Y363 Y366 Y369 Y372 Y375 Y378 Y381 Y384 Y387 Y390 Y393 Y397 Y400 Y403 Y406 Y409 Y412 Y415 Y418 Y421 Y424 Y427 Y430 Y432 Y434 Y437 Y440 Y443 Y446 Y449 Y452 Y455 Y458 Y461 Y464 Y467 Y470 Y473 Y476 Y479 Y482 Y485 Y488 Y491 Y493 Y496 Y499 Y502 Y505 Y508 Y511 Y514 Y517 Y520 Y523 Y526 Y529 Y532 Y535 Y538 Y541 Y544 Y547 Y550 Y553">
    <cfRule type="cellIs" dxfId="629" priority="1201" stopIfTrue="1" operator="notEqual">
      <formula>Z294</formula>
    </cfRule>
  </conditionalFormatting>
  <conditionalFormatting sqref="Y295 Y298 Y301 Y304 Y307 Y310 Y313 Y316 Y319 Y322 Y325 Y328 Y331 Y334 Y337 Y340 Y343 Y346 Y349 Y352 Y355 Y358 Y361 Y364 Y367 Y370 Y373 Y376 Y379 Y382 Y385 Y388 Y391 Y398 Y401 Y404 Y407 Y410 Y413 Y416 Y419 Y422 Y425 Y428 Y431 Y433 Y435 Y438 Y444 Y447 Y450 Y453 Y456 Y459 Y462 Y465 Y468 Y471 Y474 Y477 Y480 Y483 Y486 Y489 Y492 Y494 Y497 Y500 Y503 Y506 Y509 Y512 Y515 Y518 Y521 Y524 Y527 Y530 Y533 Y536 Y539 Y542 Y545 Y548 Y551 Y554 Y394:Y395">
    <cfRule type="cellIs" dxfId="628" priority="1200" stopIfTrue="1" operator="notEqual">
      <formula>Z295</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627" priority="1199" stopIfTrue="1" operator="notEqual">
      <formula>Z554</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626" priority="1198" stopIfTrue="1" operator="notEqual">
      <formula>Z554</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625" priority="1197" stopIfTrue="1" operator="notEqual">
      <formula>Z552</formula>
    </cfRule>
  </conditionalFormatting>
  <conditionalFormatting sqref="Y553 Y556 Y559 Y562 Y565 Y568 Y571 Y574">
    <cfRule type="cellIs" dxfId="624" priority="1196" stopIfTrue="1" operator="notEqual">
      <formula>Z553</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623" priority="1195" stopIfTrue="1" operator="notEqual">
      <formula>Z552</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622" priority="1194" stopIfTrue="1" operator="notEqual">
      <formula>Z552</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621" priority="1193" stopIfTrue="1" operator="notEqual">
      <formula>Z554</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620" priority="1192" stopIfTrue="1" operator="notEqual">
      <formula>Z552</formula>
    </cfRule>
  </conditionalFormatting>
  <conditionalFormatting sqref="Y553 Y556 Y559 Y562 Y565 Y568 Y571 Y574">
    <cfRule type="cellIs" dxfId="619" priority="1191" stopIfTrue="1" operator="notEqual">
      <formula>Z553</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618" priority="1190" stopIfTrue="1" operator="notEqual">
      <formula>Z554</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617" priority="1189" stopIfTrue="1" operator="notEqual">
      <formula>Z554</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616" priority="1188" stopIfTrue="1" operator="notEqual">
      <formula>Z554</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615" priority="1187" stopIfTrue="1" operator="notEqual">
      <formula>Z554</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614" priority="1186" stopIfTrue="1" operator="notEqual">
      <formula>Z554</formula>
    </cfRule>
  </conditionalFormatting>
  <conditionalFormatting sqref="Y553:Y554 Y556:Y557 Y559:Y560 Y562:Y563 Y565:Y566 Y568:Y569 Y571:Y572 Y586:Y587 Y589:Y590 Y594:Y595 Y597:Y598 Y600:Y601 Y603:Y604 Y606:Y607 Y609:Y610 Y612:Y613 Y615:Y616 Y623:Y624 Y626:Y627 Y629:Y630 Y632:Y633 Y635:Y636 Y638:Y639 Y641:Y642 Y644:Y645 Y647:Y648 Y656:Y657 Y659:Y660 Y662:Y663 Y665:Y666 Y668:Y671 Y673:Y674 Y676:Y677 Y679:Y680 Y682:Y683 Y685:Y686 Y688:Y689 Y691:Y692 Y698:Y699 Y701:Y702 Y694:Y696 Y580:Y584">
    <cfRule type="cellIs" dxfId="613" priority="1185" stopIfTrue="1" operator="notEqual">
      <formula>Z553</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612" priority="1184" stopIfTrue="1" operator="notEqual">
      <formula>Z552</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611" priority="1183" stopIfTrue="1" operator="notEqual">
      <formula>Z554</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610" priority="1182" stopIfTrue="1" operator="notEqual">
      <formula>Z552</formula>
    </cfRule>
  </conditionalFormatting>
  <conditionalFormatting sqref="Y553 Y556 Y559 Y562 Y565 Y568 Y571 Y574">
    <cfRule type="cellIs" dxfId="609" priority="1181" stopIfTrue="1" operator="notEqual">
      <formula>Z553</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608" priority="1180" stopIfTrue="1" operator="notEqual">
      <formula>Z554</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607" priority="1179" stopIfTrue="1" operator="notEqual">
      <formula>Z552</formula>
    </cfRule>
  </conditionalFormatting>
  <conditionalFormatting sqref="Y553 Y556 Y559 Y562 Y565 Y568 Y571 Y574">
    <cfRule type="cellIs" dxfId="606" priority="1178" stopIfTrue="1" operator="notEqual">
      <formula>Z553</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605" priority="1177" stopIfTrue="1" operator="notEqual">
      <formula>Z554</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604" priority="1176" stopIfTrue="1" operator="notEqual">
      <formula>Z552</formula>
    </cfRule>
  </conditionalFormatting>
  <conditionalFormatting sqref="Y553 Y556 Y559 Y562 Y565 Y568 Y571 Y574">
    <cfRule type="cellIs" dxfId="603" priority="1175" stopIfTrue="1" operator="notEqual">
      <formula>Z553</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602" priority="1174" stopIfTrue="1" operator="notEqual">
      <formula>Z552</formula>
    </cfRule>
  </conditionalFormatting>
  <conditionalFormatting sqref="Y553 Y556 Y559 Y562 Y565 Y568 Y571 Y574">
    <cfRule type="cellIs" dxfId="601" priority="1173" stopIfTrue="1" operator="notEqual">
      <formula>Z553</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600" priority="1172" stopIfTrue="1" operator="notEqual">
      <formula>Z552</formula>
    </cfRule>
  </conditionalFormatting>
  <conditionalFormatting sqref="Y553 Y556 Y559 Y562 Y565 Y568 Y571 Y574">
    <cfRule type="cellIs" dxfId="599" priority="1171" stopIfTrue="1" operator="notEqual">
      <formula>Z553</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598" priority="1170" stopIfTrue="1" operator="notEqual">
      <formula>Z554</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597" priority="1169" stopIfTrue="1" operator="notEqual">
      <formula>Z552</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596" priority="1168" stopIfTrue="1" operator="notEqual">
      <formula>Z554</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595" priority="1167" stopIfTrue="1" operator="notEqual">
      <formula>Z552</formula>
    </cfRule>
  </conditionalFormatting>
  <conditionalFormatting sqref="Y553 Y556 Y559 Y562 Y565 Y568 Y571 Y574">
    <cfRule type="cellIs" dxfId="594" priority="1166" stopIfTrue="1" operator="notEqual">
      <formula>Z553</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593" priority="1165" stopIfTrue="1" operator="notEqual">
      <formula>Z554</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592" priority="1164" stopIfTrue="1" operator="notEqual">
      <formula>Z552</formula>
    </cfRule>
  </conditionalFormatting>
  <conditionalFormatting sqref="Y553 Y556 Y559 Y562 Y565 Y568 Y571 Y574">
    <cfRule type="cellIs" dxfId="591" priority="1163" stopIfTrue="1" operator="notEqual">
      <formula>Z553</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590" priority="1162" stopIfTrue="1" operator="notEqual">
      <formula>Z554</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589" priority="1161" stopIfTrue="1" operator="notEqual">
      <formula>Z552</formula>
    </cfRule>
  </conditionalFormatting>
  <conditionalFormatting sqref="Y553 Y556 Y559 Y562 Y565 Y568 Y571 Y574">
    <cfRule type="cellIs" dxfId="588" priority="1160" stopIfTrue="1" operator="notEqual">
      <formula>Z553</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587" priority="1159" stopIfTrue="1" operator="notEqual">
      <formula>Z554</formula>
    </cfRule>
  </conditionalFormatting>
  <conditionalFormatting sqref="Y552 Y555 Y558 Y561 Y564 Y567 Y570 Y573 Y576 Y579 Y582 Y585 Y588 Y591 Y593 Y596 Y602 Y617 Y620 Y622 Y625 Y628 Y631 Y634 Y637 Y640 Y643 Y646 Y649 Y661 Y664 Y667 Y672 Y675 Y678 Y681 Y684 Y687 Y690 Y693 Y697 Y700 Y703 Y599 Y605:Y614">
    <cfRule type="cellIs" dxfId="586" priority="1158" stopIfTrue="1" operator="notEqual">
      <formula>Z552</formula>
    </cfRule>
  </conditionalFormatting>
  <conditionalFormatting sqref="Y553 Y556 Y559 Y562 Y565 Y568 Y571 Y574">
    <cfRule type="cellIs" dxfId="585" priority="1157" stopIfTrue="1" operator="notEqual">
      <formula>Z553</formula>
    </cfRule>
  </conditionalFormatting>
  <conditionalFormatting sqref="Y554 Y557 Y560 Y563 Y566 Y569 Y572 Y575 Y581 Y584 Y587 Y590 Y592 Y595 Y598 Y601 Y604 Y607 Y610 Y613 Y616 Y624 Y627 Y630 Y633 Y636 Y639 Y642 Y645 Y648 Y651 Y653 Y657 Y660 Y663 Y666 Y669 Y671 Y674 Y677 Y680 Y683 Y686 Y689 Y692 Y699 Y702 Y695:Y696">
    <cfRule type="cellIs" dxfId="584" priority="1156" stopIfTrue="1" operator="notEqual">
      <formula>Z554</formula>
    </cfRule>
  </conditionalFormatting>
  <conditionalFormatting sqref="G605:G613">
    <cfRule type="cellIs" dxfId="583" priority="1155" stopIfTrue="1" operator="notEqual">
      <formula>H605</formula>
    </cfRule>
  </conditionalFormatting>
  <conditionalFormatting sqref="G605:G613">
    <cfRule type="cellIs" dxfId="582" priority="1154" stopIfTrue="1" operator="notEqual">
      <formula>H605</formula>
    </cfRule>
  </conditionalFormatting>
  <conditionalFormatting sqref="G605:G613">
    <cfRule type="cellIs" dxfId="581" priority="1153" stopIfTrue="1" operator="notEqual">
      <formula>H605</formula>
    </cfRule>
  </conditionalFormatting>
  <conditionalFormatting sqref="G605:G613">
    <cfRule type="cellIs" dxfId="580" priority="1152" stopIfTrue="1" operator="notEqual">
      <formula>H605</formula>
    </cfRule>
  </conditionalFormatting>
  <conditionalFormatting sqref="O605:O613 M605:M613 G605:G613 K605:K613 S605:S613 U605:U613 W605:W613 I605:I613 Q605:Q613">
    <cfRule type="cellIs" dxfId="579" priority="1151" stopIfTrue="1" operator="notEqual">
      <formula>H605</formula>
    </cfRule>
  </conditionalFormatting>
  <conditionalFormatting sqref="O605:O613 M605:M613 G605:G613 K605:K613 S605:S613 U605:U613 W605:W613 I605:I613 Q605:Q613">
    <cfRule type="cellIs" dxfId="578" priority="1150" stopIfTrue="1" operator="notEqual">
      <formula>H605</formula>
    </cfRule>
  </conditionalFormatting>
  <conditionalFormatting sqref="G605:G613">
    <cfRule type="cellIs" dxfId="577" priority="1149" stopIfTrue="1" operator="notEqual">
      <formula>H605</formula>
    </cfRule>
  </conditionalFormatting>
  <conditionalFormatting sqref="G605:G613">
    <cfRule type="cellIs" dxfId="576" priority="1148" stopIfTrue="1" operator="notEqual">
      <formula>H605</formula>
    </cfRule>
  </conditionalFormatting>
  <conditionalFormatting sqref="O605:O613 M605:M613 G605:G613 K605:K613 S605:S613 U605:U613 W605:W613 I605:I613 Q605:Q613">
    <cfRule type="cellIs" dxfId="575" priority="1147" stopIfTrue="1" operator="notEqual">
      <formula>H605</formula>
    </cfRule>
  </conditionalFormatting>
  <conditionalFormatting sqref="O605:O613 M605:M613 G605:G613 K605:K613 S605:S613 U605:U613 W605:W613 I605:I613 Q605:Q613">
    <cfRule type="cellIs" dxfId="574" priority="1146" stopIfTrue="1" operator="notEqual">
      <formula>H605</formula>
    </cfRule>
  </conditionalFormatting>
  <conditionalFormatting sqref="O605:O613 M605:M613 G605:G613 K605:K613 S605:S613 U605:U613 W605:W613 I605:I613 Q605:Q613">
    <cfRule type="cellIs" dxfId="573" priority="1145" stopIfTrue="1" operator="notEqual">
      <formula>H605</formula>
    </cfRule>
  </conditionalFormatting>
  <conditionalFormatting sqref="O605:O613 M605:M613 G605:G613 K605:K613 S605:S613 U605:U613 W605:W613 I605:I613 Q605:Q613">
    <cfRule type="cellIs" dxfId="572" priority="1144" stopIfTrue="1" operator="notEqual">
      <formula>H605</formula>
    </cfRule>
  </conditionalFormatting>
  <conditionalFormatting sqref="O605:O613 M605:M613 G605:G613 K605:K613 S605:S613 U605:U613 W605:W613 I605:I613 Q605:Q613">
    <cfRule type="cellIs" dxfId="571" priority="1143" stopIfTrue="1" operator="notEqual">
      <formula>H605</formula>
    </cfRule>
  </conditionalFormatting>
  <conditionalFormatting sqref="O605:O613 M605:M613 G605:G613 K605:K613 S605:S613 U605:U613 W605:W613 I605:I613 Q605:Q613">
    <cfRule type="cellIs" dxfId="570" priority="1142" stopIfTrue="1" operator="notEqual">
      <formula>H605</formula>
    </cfRule>
  </conditionalFormatting>
  <conditionalFormatting sqref="G605:G613">
    <cfRule type="cellIs" dxfId="569" priority="1141" stopIfTrue="1" operator="notEqual">
      <formula>H605</formula>
    </cfRule>
  </conditionalFormatting>
  <conditionalFormatting sqref="G605:G613">
    <cfRule type="cellIs" dxfId="568" priority="1140" stopIfTrue="1" operator="notEqual">
      <formula>H605</formula>
    </cfRule>
  </conditionalFormatting>
  <conditionalFormatting sqref="O605:O613 M605:M613 G605:G613 K605:K613 S605:S613 U605:U613 W605:W613 I605:I613 Q605:Q613">
    <cfRule type="cellIs" dxfId="567" priority="1139" stopIfTrue="1" operator="notEqual">
      <formula>H605</formula>
    </cfRule>
  </conditionalFormatting>
  <conditionalFormatting sqref="O605:O613 M605:M613 G605:G613 K605:K613 S605:S613 U605:U613 W605:W613 I605:I613 Q605:Q613">
    <cfRule type="cellIs" dxfId="566" priority="1138" stopIfTrue="1" operator="notEqual">
      <formula>H605</formula>
    </cfRule>
  </conditionalFormatting>
  <conditionalFormatting sqref="G605:G613">
    <cfRule type="cellIs" dxfId="565" priority="1137" stopIfTrue="1" operator="notEqual">
      <formula>H605</formula>
    </cfRule>
  </conditionalFormatting>
  <conditionalFormatting sqref="G605:G613">
    <cfRule type="cellIs" dxfId="564" priority="1136" stopIfTrue="1" operator="notEqual">
      <formula>H605</formula>
    </cfRule>
  </conditionalFormatting>
  <conditionalFormatting sqref="O605:O613 M605:M613 G605:G613 K605:K613 S605:S613 U605:U613 W605:W613 I605:I613 Q605:Q613">
    <cfRule type="cellIs" dxfId="563" priority="1135" stopIfTrue="1" operator="notEqual">
      <formula>H605</formula>
    </cfRule>
  </conditionalFormatting>
  <conditionalFormatting sqref="O605:O613 M605:M613 G605:G613 K605:K613 S605:S613 U605:U613 W605:W613 I605:I613 Q605:Q613">
    <cfRule type="cellIs" dxfId="562" priority="1134" stopIfTrue="1" operator="notEqual">
      <formula>H605</formula>
    </cfRule>
  </conditionalFormatting>
  <conditionalFormatting sqref="O605:O613 M605:M613 G605:G613 K605:K613 S605:S613 U605:U613 W605:W613 I605:I613 Q605:Q613">
    <cfRule type="cellIs" dxfId="561" priority="1133" stopIfTrue="1" operator="notEqual">
      <formula>H605</formula>
    </cfRule>
  </conditionalFormatting>
  <conditionalFormatting sqref="O605:O613 M605:M613 G605:G613 K605:K613 S605:S613 U605:U613 W605:W613 I605:I613 Q605:Q613">
    <cfRule type="cellIs" dxfId="560" priority="1132" stopIfTrue="1" operator="notEqual">
      <formula>H605</formula>
    </cfRule>
  </conditionalFormatting>
  <conditionalFormatting sqref="G605:G613">
    <cfRule type="cellIs" dxfId="559" priority="1131" stopIfTrue="1" operator="notEqual">
      <formula>H605</formula>
    </cfRule>
  </conditionalFormatting>
  <conditionalFormatting sqref="G605:G613">
    <cfRule type="cellIs" dxfId="558" priority="1130" stopIfTrue="1" operator="notEqual">
      <formula>H605</formula>
    </cfRule>
  </conditionalFormatting>
  <conditionalFormatting sqref="O605:O613 M605:M613 G605:G613 K605:K613 S605:S613 U605:U613 W605:W613 I605:I613 Q605:Q613">
    <cfRule type="cellIs" dxfId="557" priority="1129" stopIfTrue="1" operator="notEqual">
      <formula>H605</formula>
    </cfRule>
  </conditionalFormatting>
  <conditionalFormatting sqref="O605:O613 M605:M613 G605:G613 K605:K613 S605:S613 U605:U613 W605:W613 I605:I613 Q605:Q613">
    <cfRule type="cellIs" dxfId="556" priority="1128" stopIfTrue="1" operator="notEqual">
      <formula>H605</formula>
    </cfRule>
  </conditionalFormatting>
  <conditionalFormatting sqref="O605:O613 M605:M613 G605:G613 K605:K613 S605:S613 U605:U613 W605:W613 I605:I613 Q605:Q613">
    <cfRule type="cellIs" dxfId="555" priority="1127" stopIfTrue="1" operator="notEqual">
      <formula>H605</formula>
    </cfRule>
  </conditionalFormatting>
  <conditionalFormatting sqref="O605:O613 M605:M613 G605:G613 K605:K613 S605:S613 U605:U613 W605:W613 I605:I613 Q605:Q613">
    <cfRule type="cellIs" dxfId="554" priority="1126" stopIfTrue="1" operator="notEqual">
      <formula>H605</formula>
    </cfRule>
  </conditionalFormatting>
  <conditionalFormatting sqref="O605:O613 M605:M613 G605:G613 K605:K613 S605:S613 U605:U613 W605:W613 I605:I613 Q605:Q613">
    <cfRule type="cellIs" dxfId="553" priority="1125" stopIfTrue="1" operator="notEqual">
      <formula>H605</formula>
    </cfRule>
  </conditionalFormatting>
  <conditionalFormatting sqref="O605:O613 M605:M613 G605:G613 K605:K613 S605:S613 U605:U613 W605:W613 I605:I613 Q605:Q613">
    <cfRule type="cellIs" dxfId="552" priority="1124" stopIfTrue="1" operator="notEqual">
      <formula>H605</formula>
    </cfRule>
  </conditionalFormatting>
  <conditionalFormatting sqref="G605:G613">
    <cfRule type="cellIs" dxfId="551" priority="1123" stopIfTrue="1" operator="notEqual">
      <formula>H605</formula>
    </cfRule>
  </conditionalFormatting>
  <conditionalFormatting sqref="G605:G613">
    <cfRule type="cellIs" dxfId="550" priority="1122" stopIfTrue="1" operator="notEqual">
      <formula>H605</formula>
    </cfRule>
  </conditionalFormatting>
  <conditionalFormatting sqref="G605:G613">
    <cfRule type="cellIs" dxfId="549" priority="1121" stopIfTrue="1" operator="notEqual">
      <formula>H605</formula>
    </cfRule>
  </conditionalFormatting>
  <conditionalFormatting sqref="G605:G613">
    <cfRule type="cellIs" dxfId="548" priority="1120" stopIfTrue="1" operator="notEqual">
      <formula>H605</formula>
    </cfRule>
  </conditionalFormatting>
  <conditionalFormatting sqref="O605:O613 M605:M613 G605:G613 K605:K613 S605:S613 U605:U613 W605:W613 I605:I613 Q605:Q613">
    <cfRule type="cellIs" dxfId="547" priority="1119" stopIfTrue="1" operator="notEqual">
      <formula>H605</formula>
    </cfRule>
  </conditionalFormatting>
  <conditionalFormatting sqref="O605:O613 M605:M613 G605:G613 K605:K613 S605:S613 U605:U613 W605:W613 I605:I613 Q605:Q613">
    <cfRule type="cellIs" dxfId="546" priority="1118" stopIfTrue="1" operator="notEqual">
      <formula>H605</formula>
    </cfRule>
  </conditionalFormatting>
  <conditionalFormatting sqref="G605:G613">
    <cfRule type="cellIs" dxfId="545" priority="1117" stopIfTrue="1" operator="notEqual">
      <formula>H605</formula>
    </cfRule>
  </conditionalFormatting>
  <conditionalFormatting sqref="G605:G613">
    <cfRule type="cellIs" dxfId="544" priority="1116" stopIfTrue="1" operator="notEqual">
      <formula>H605</formula>
    </cfRule>
  </conditionalFormatting>
  <conditionalFormatting sqref="O605:O613 M605:M613 G605:G613 K605:K613 S605:S613 U605:U613 W605:W613 I605:I613 Q605:Q613">
    <cfRule type="cellIs" dxfId="543" priority="1115" stopIfTrue="1" operator="notEqual">
      <formula>H605</formula>
    </cfRule>
  </conditionalFormatting>
  <conditionalFormatting sqref="O605:O613 M605:M613 G605:G613 K605:K613 S605:S613 U605:U613 W605:W613 I605:I613 Q605:Q613">
    <cfRule type="cellIs" dxfId="542" priority="1114" stopIfTrue="1" operator="notEqual">
      <formula>H605</formula>
    </cfRule>
  </conditionalFormatting>
  <conditionalFormatting sqref="O605:O613 M605:M613 G605:G613 K605:K613 S605:S613 U605:U613 W605:W613 I605:I613 Q605:Q613">
    <cfRule type="cellIs" dxfId="541" priority="1113" stopIfTrue="1" operator="notEqual">
      <formula>H605</formula>
    </cfRule>
  </conditionalFormatting>
  <conditionalFormatting sqref="O605:O613 M605:M613 G605:G613 K605:K613 S605:S613 U605:U613 W605:W613 I605:I613 Q605:Q613">
    <cfRule type="cellIs" dxfId="540" priority="1112" stopIfTrue="1" operator="notEqual">
      <formula>H605</formula>
    </cfRule>
  </conditionalFormatting>
  <conditionalFormatting sqref="O605:O613 M605:M613 G605:G613 K605:K613 S605:S613 U605:U613 W605:W613 I605:I613 Q605:Q613">
    <cfRule type="cellIs" dxfId="539" priority="1111" stopIfTrue="1" operator="notEqual">
      <formula>H605</formula>
    </cfRule>
  </conditionalFormatting>
  <conditionalFormatting sqref="O605:O613 M605:M613 G605:G613 K605:K613 S605:S613 U605:U613 W605:W613 I605:I613 Q605:Q613">
    <cfRule type="cellIs" dxfId="538" priority="1110" stopIfTrue="1" operator="notEqual">
      <formula>H605</formula>
    </cfRule>
  </conditionalFormatting>
  <conditionalFormatting sqref="G605:G613">
    <cfRule type="cellIs" dxfId="537" priority="1109" stopIfTrue="1" operator="notEqual">
      <formula>H605</formula>
    </cfRule>
  </conditionalFormatting>
  <conditionalFormatting sqref="G605:G613">
    <cfRule type="cellIs" dxfId="536" priority="1108" stopIfTrue="1" operator="notEqual">
      <formula>H605</formula>
    </cfRule>
  </conditionalFormatting>
  <conditionalFormatting sqref="O605:O613 M605:M613 G605:G613 K605:K613 S605:S613 U605:U613 W605:W613 I605:I613 Q605:Q613">
    <cfRule type="cellIs" dxfId="535" priority="1107" stopIfTrue="1" operator="notEqual">
      <formula>H605</formula>
    </cfRule>
  </conditionalFormatting>
  <conditionalFormatting sqref="O605:O613 M605:M613 G605:G613 K605:K613 S605:S613 U605:U613 W605:W613 I605:I613 Q605:Q613">
    <cfRule type="cellIs" dxfId="534" priority="1106" stopIfTrue="1" operator="notEqual">
      <formula>H605</formula>
    </cfRule>
  </conditionalFormatting>
  <conditionalFormatting sqref="G605:G613">
    <cfRule type="cellIs" dxfId="533" priority="1105" stopIfTrue="1" operator="notEqual">
      <formula>H605</formula>
    </cfRule>
  </conditionalFormatting>
  <conditionalFormatting sqref="G605:G613">
    <cfRule type="cellIs" dxfId="532" priority="1104" stopIfTrue="1" operator="notEqual">
      <formula>H605</formula>
    </cfRule>
  </conditionalFormatting>
  <conditionalFormatting sqref="O605:O613 M605:M613 G605:G613 K605:K613 S605:S613 U605:U613 W605:W613 I605:I613 Q605:Q613">
    <cfRule type="cellIs" dxfId="531" priority="1103" stopIfTrue="1" operator="notEqual">
      <formula>H605</formula>
    </cfRule>
  </conditionalFormatting>
  <conditionalFormatting sqref="O605:O613 M605:M613 G605:G613 K605:K613 S605:S613 U605:U613 W605:W613 I605:I613 Q605:Q613">
    <cfRule type="cellIs" dxfId="530" priority="1102" stopIfTrue="1" operator="notEqual">
      <formula>H605</formula>
    </cfRule>
  </conditionalFormatting>
  <conditionalFormatting sqref="O605:O613 M605:M613 G605:G613 K605:K613 S605:S613 U605:U613 W605:W613 I605:I613 Q605:Q613">
    <cfRule type="cellIs" dxfId="529" priority="1101" stopIfTrue="1" operator="notEqual">
      <formula>H605</formula>
    </cfRule>
  </conditionalFormatting>
  <conditionalFormatting sqref="O605:O613 M605:M613 G605:G613 K605:K613 S605:S613 U605:U613 W605:W613 I605:I613 Q605:Q613">
    <cfRule type="cellIs" dxfId="528" priority="1100" stopIfTrue="1" operator="notEqual">
      <formula>H605</formula>
    </cfRule>
  </conditionalFormatting>
  <conditionalFormatting sqref="G605:G613">
    <cfRule type="cellIs" dxfId="527" priority="1099" stopIfTrue="1" operator="notEqual">
      <formula>H605</formula>
    </cfRule>
  </conditionalFormatting>
  <conditionalFormatting sqref="G605:G613">
    <cfRule type="cellIs" dxfId="526" priority="1098" stopIfTrue="1" operator="notEqual">
      <formula>H605</formula>
    </cfRule>
  </conditionalFormatting>
  <conditionalFormatting sqref="O605:O613 M605:M613 G605:G613 K605:K613 S605:S613 U605:U613 W605:W613 I605:I613 Q605:Q613">
    <cfRule type="cellIs" dxfId="525" priority="1097" stopIfTrue="1" operator="notEqual">
      <formula>H605</formula>
    </cfRule>
  </conditionalFormatting>
  <conditionalFormatting sqref="O605:O613 M605:M613 G605:G613 K605:K613 S605:S613 U605:U613 W605:W613 I605:I613 Q605:Q613">
    <cfRule type="cellIs" dxfId="524" priority="1096" stopIfTrue="1" operator="notEqual">
      <formula>H605</formula>
    </cfRule>
  </conditionalFormatting>
  <conditionalFormatting sqref="O605:O613 M605:M613 G605:G613 K605:K613 S605:S613 U605:U613 W605:W613 I605:I613 Q605:Q613">
    <cfRule type="cellIs" dxfId="523" priority="1095" stopIfTrue="1" operator="notEqual">
      <formula>H605</formula>
    </cfRule>
  </conditionalFormatting>
  <conditionalFormatting sqref="O605:O613 M605:M613 G605:G613 K605:K613 S605:S613 U605:U613 W605:W613 I605:I613 Q605:Q613">
    <cfRule type="cellIs" dxfId="522" priority="1094" stopIfTrue="1" operator="notEqual">
      <formula>H605</formula>
    </cfRule>
  </conditionalFormatting>
  <conditionalFormatting sqref="O605:O613 M605:M613 G605:G613 K605:K613 S605:S613 U605:U613 W605:W613 I605:I613 Q605:Q613">
    <cfRule type="cellIs" dxfId="521" priority="1093" stopIfTrue="1" operator="notEqual">
      <formula>H605</formula>
    </cfRule>
  </conditionalFormatting>
  <conditionalFormatting sqref="O605:O613 M605:M613 G605:G613 K605:K613 S605:S613 U605:U613 W605:W613 I605:I613 Q605:Q613">
    <cfRule type="cellIs" dxfId="520" priority="1092" stopIfTrue="1" operator="notEqual">
      <formula>H605</formula>
    </cfRule>
  </conditionalFormatting>
  <conditionalFormatting sqref="Q605:Q613 O605:O613 M605:M613 G605:G613 K605:K613 S605:S613 U605:U613 W605:W613 I605:I613">
    <cfRule type="cellIs" dxfId="519" priority="1091" stopIfTrue="1" operator="notEqual">
      <formula>H605</formula>
    </cfRule>
  </conditionalFormatting>
  <conditionalFormatting sqref="Q605:Q613 O605:O613 M605:M613 G605:G613 K605:K613 S605:S613 U605:U613 W605:W613 I605:I613">
    <cfRule type="cellIs" dxfId="518" priority="1090" stopIfTrue="1" operator="notEqual">
      <formula>H605</formula>
    </cfRule>
  </conditionalFormatting>
  <conditionalFormatting sqref="Q605:Q613 O605:O613 M605:M613 G605:G613 K605:K613 S605:S613 U605:U613 W605:W613 I605:I613">
    <cfRule type="cellIs" dxfId="517" priority="1089" stopIfTrue="1" operator="notEqual">
      <formula>H605</formula>
    </cfRule>
  </conditionalFormatting>
  <conditionalFormatting sqref="G605:G613 I605:I613 Q605:Q613 O605:O613 M605:M613 U605:U613 W605:W613 K605:K613 S605:S613">
    <cfRule type="cellIs" dxfId="516" priority="1088" stopIfTrue="1" operator="notEqual">
      <formula>H605</formula>
    </cfRule>
  </conditionalFormatting>
  <conditionalFormatting sqref="Q605:Q613 O605:O613 M605:M613 G605:G613 K605:K613 S605:S613 U605:U613 W605:W613 I605:I613">
    <cfRule type="cellIs" dxfId="515" priority="1087" stopIfTrue="1" operator="notEqual">
      <formula>H605</formula>
    </cfRule>
  </conditionalFormatting>
  <conditionalFormatting sqref="G605:G613 I605:I613 K605:K613 Q605:Q613 O605:O613 M605:M613 U605:U613 W605:W613 S605:S613">
    <cfRule type="cellIs" dxfId="514" priority="1086" stopIfTrue="1" operator="notEqual">
      <formula>H605</formula>
    </cfRule>
  </conditionalFormatting>
  <conditionalFormatting sqref="Q605:Q613 O605:O613 M605:M613 G605:G613 K605:K613 S605:S613 U605:U613 W605:W613 I605:I613">
    <cfRule type="cellIs" dxfId="513" priority="1085" stopIfTrue="1" operator="notEqual">
      <formula>H605</formula>
    </cfRule>
  </conditionalFormatting>
  <conditionalFormatting sqref="G605:G613 I605:I613 K605:K613 Q605:Q613 O605:O613 M605:M613 U605:U613 W605:W613 S605:S613">
    <cfRule type="cellIs" dxfId="512" priority="1084" stopIfTrue="1" operator="notEqual">
      <formula>H605</formula>
    </cfRule>
  </conditionalFormatting>
  <conditionalFormatting sqref="Q605:Q613 O605:O613 M605:M613 G605:G613 K605:K613 S605:S613 U605:U613 W605:W613 I605:I613">
    <cfRule type="cellIs" dxfId="511" priority="1083" stopIfTrue="1" operator="notEqual">
      <formula>H605</formula>
    </cfRule>
  </conditionalFormatting>
  <conditionalFormatting sqref="Y605:Y613">
    <cfRule type="cellIs" dxfId="510" priority="1082" stopIfTrue="1" operator="notEqual">
      <formula>Z605</formula>
    </cfRule>
  </conditionalFormatting>
  <conditionalFormatting sqref="Y605:Y613">
    <cfRule type="cellIs" dxfId="509" priority="1081" stopIfTrue="1" operator="notEqual">
      <formula>Z605</formula>
    </cfRule>
  </conditionalFormatting>
  <conditionalFormatting sqref="Y605:Y613">
    <cfRule type="cellIs" dxfId="508" priority="1080" stopIfTrue="1" operator="notEqual">
      <formula>Z605</formula>
    </cfRule>
  </conditionalFormatting>
  <conditionalFormatting sqref="Y605:Y613">
    <cfRule type="cellIs" dxfId="507" priority="1079" stopIfTrue="1" operator="notEqual">
      <formula>Z605</formula>
    </cfRule>
  </conditionalFormatting>
  <conditionalFormatting sqref="Y605:Y613">
    <cfRule type="cellIs" dxfId="506" priority="1078" stopIfTrue="1" operator="notEqual">
      <formula>Z605</formula>
    </cfRule>
  </conditionalFormatting>
  <conditionalFormatting sqref="Y605:Y613">
    <cfRule type="cellIs" dxfId="505" priority="1077" stopIfTrue="1" operator="notEqual">
      <formula>Z605</formula>
    </cfRule>
  </conditionalFormatting>
  <conditionalFormatting sqref="Y605:Y613">
    <cfRule type="cellIs" dxfId="504" priority="1076" stopIfTrue="1" operator="notEqual">
      <formula>Z605</formula>
    </cfRule>
  </conditionalFormatting>
  <conditionalFormatting sqref="Y605:Y613">
    <cfRule type="cellIs" dxfId="503" priority="1075" stopIfTrue="1" operator="notEqual">
      <formula>Z605</formula>
    </cfRule>
  </conditionalFormatting>
  <conditionalFormatting sqref="Y605:Y613">
    <cfRule type="cellIs" dxfId="502" priority="1074" stopIfTrue="1" operator="notEqual">
      <formula>Z605</formula>
    </cfRule>
  </conditionalFormatting>
  <conditionalFormatting sqref="Y605:Y613">
    <cfRule type="cellIs" dxfId="501" priority="1073" stopIfTrue="1" operator="notEqual">
      <formula>Z605</formula>
    </cfRule>
  </conditionalFormatting>
  <conditionalFormatting sqref="Y605:Y613">
    <cfRule type="cellIs" dxfId="500" priority="1072" stopIfTrue="1" operator="notEqual">
      <formula>Z605</formula>
    </cfRule>
  </conditionalFormatting>
  <conditionalFormatting sqref="Y605:Y613">
    <cfRule type="cellIs" dxfId="499" priority="1071" stopIfTrue="1" operator="notEqual">
      <formula>Z605</formula>
    </cfRule>
  </conditionalFormatting>
  <conditionalFormatting sqref="G605:G613">
    <cfRule type="cellIs" dxfId="498" priority="1070" stopIfTrue="1" operator="notEqual">
      <formula>H605</formula>
    </cfRule>
  </conditionalFormatting>
  <conditionalFormatting sqref="G605:G613">
    <cfRule type="cellIs" dxfId="497" priority="1069" stopIfTrue="1" operator="notEqual">
      <formula>H605</formula>
    </cfRule>
  </conditionalFormatting>
  <conditionalFormatting sqref="O605:O613 M605:M613 G605:G613 K605:K613 S605:S613 U605:U613 W605:W613 I605:I613 Q605:Q613">
    <cfRule type="cellIs" dxfId="496" priority="1068" stopIfTrue="1" operator="notEqual">
      <formula>H605</formula>
    </cfRule>
  </conditionalFormatting>
  <conditionalFormatting sqref="G605:G613">
    <cfRule type="cellIs" dxfId="495" priority="1067" stopIfTrue="1" operator="notEqual">
      <formula>H605</formula>
    </cfRule>
  </conditionalFormatting>
  <conditionalFormatting sqref="O605:O613 M605:M613 G605:G613 K605:K613 S605:S613 U605:U613 W605:W613 I605:I613 Q605:Q613">
    <cfRule type="cellIs" dxfId="494" priority="1066" stopIfTrue="1" operator="notEqual">
      <formula>H605</formula>
    </cfRule>
  </conditionalFormatting>
  <conditionalFormatting sqref="G605:G613">
    <cfRule type="cellIs" dxfId="493" priority="1065" stopIfTrue="1" operator="notEqual">
      <formula>H605</formula>
    </cfRule>
  </conditionalFormatting>
  <conditionalFormatting sqref="O605:O613 M605:M613 G605:G613 K605:K613 S605:S613 U605:U613 W605:W613 I605:I613 Q605:Q613">
    <cfRule type="cellIs" dxfId="492" priority="1064" stopIfTrue="1" operator="notEqual">
      <formula>H605</formula>
    </cfRule>
  </conditionalFormatting>
  <conditionalFormatting sqref="G605:G613">
    <cfRule type="cellIs" dxfId="491" priority="1063" stopIfTrue="1" operator="notEqual">
      <formula>H605</formula>
    </cfRule>
  </conditionalFormatting>
  <conditionalFormatting sqref="O605:O613 M605:M613 G605:G613 K605:K613 S605:S613 U605:U613 W605:W613 I605:I613 Q605:Q613">
    <cfRule type="cellIs" dxfId="490" priority="1062" stopIfTrue="1" operator="notEqual">
      <formula>H605</formula>
    </cfRule>
  </conditionalFormatting>
  <conditionalFormatting sqref="O605:O613 M605:M613 G605:G613 K605:K613 S605:S613 U605:U613 W605:W613 I605:I613 Q605:Q613">
    <cfRule type="cellIs" dxfId="489" priority="1061" stopIfTrue="1" operator="notEqual">
      <formula>H605</formula>
    </cfRule>
  </conditionalFormatting>
  <conditionalFormatting sqref="G605:G613">
    <cfRule type="cellIs" dxfId="488" priority="1060" stopIfTrue="1" operator="notEqual">
      <formula>H605</formula>
    </cfRule>
  </conditionalFormatting>
  <conditionalFormatting sqref="O605:O613 M605:M613 G605:G613 K605:K613 S605:S613 U605:U613 W605:W613 I605:I613 Q605:Q613">
    <cfRule type="cellIs" dxfId="487" priority="1059" stopIfTrue="1" operator="notEqual">
      <formula>H605</formula>
    </cfRule>
  </conditionalFormatting>
  <conditionalFormatting sqref="O605:O613 M605:M613 G605:G613 K605:K613 S605:S613 U605:U613 W605:W613 I605:I613 Q605:Q613">
    <cfRule type="cellIs" dxfId="486" priority="1058" stopIfTrue="1" operator="notEqual">
      <formula>H605</formula>
    </cfRule>
  </conditionalFormatting>
  <conditionalFormatting sqref="O605:O613 M605:M613 G605:G613 K605:K613 S605:S613 U605:U613 W605:W613 I605:I613 Q605:Q613">
    <cfRule type="cellIs" dxfId="485" priority="1057" stopIfTrue="1" operator="notEqual">
      <formula>H605</formula>
    </cfRule>
  </conditionalFormatting>
  <conditionalFormatting sqref="G605:G613">
    <cfRule type="cellIs" dxfId="484" priority="1056" stopIfTrue="1" operator="notEqual">
      <formula>H605</formula>
    </cfRule>
  </conditionalFormatting>
  <conditionalFormatting sqref="G605:G613">
    <cfRule type="cellIs" dxfId="483" priority="1055" stopIfTrue="1" operator="notEqual">
      <formula>H605</formula>
    </cfRule>
  </conditionalFormatting>
  <conditionalFormatting sqref="G605:G613">
    <cfRule type="cellIs" dxfId="482" priority="1054" stopIfTrue="1" operator="notEqual">
      <formula>H605</formula>
    </cfRule>
  </conditionalFormatting>
  <conditionalFormatting sqref="O605:O613 M605:M613 G605:G613 K605:K613 S605:S613 U605:U613 W605:W613 I605:I613 Q605:Q613">
    <cfRule type="cellIs" dxfId="481" priority="1053" stopIfTrue="1" operator="notEqual">
      <formula>H605</formula>
    </cfRule>
  </conditionalFormatting>
  <conditionalFormatting sqref="G605:G613">
    <cfRule type="cellIs" dxfId="480" priority="1052" stopIfTrue="1" operator="notEqual">
      <formula>H605</formula>
    </cfRule>
  </conditionalFormatting>
  <conditionalFormatting sqref="O605:O613 M605:M613 G605:G613 K605:K613 S605:S613 U605:U613 W605:W613 I605:I613 Q605:Q613">
    <cfRule type="cellIs" dxfId="479" priority="1051" stopIfTrue="1" operator="notEqual">
      <formula>H605</formula>
    </cfRule>
  </conditionalFormatting>
  <conditionalFormatting sqref="O605:O613 M605:M613 G605:G613 K605:K613 S605:S613 U605:U613 W605:W613 I605:I613 Q605:Q613">
    <cfRule type="cellIs" dxfId="478" priority="1050" stopIfTrue="1" operator="notEqual">
      <formula>H605</formula>
    </cfRule>
  </conditionalFormatting>
  <conditionalFormatting sqref="G605:G613">
    <cfRule type="cellIs" dxfId="477" priority="1049" stopIfTrue="1" operator="notEqual">
      <formula>H605</formula>
    </cfRule>
  </conditionalFormatting>
  <conditionalFormatting sqref="O605:O613 M605:M613 G605:G613 K605:K613 S605:S613 U605:U613 W605:W613 I605:I613 Q605:Q613">
    <cfRule type="cellIs" dxfId="476" priority="1048" stopIfTrue="1" operator="notEqual">
      <formula>H605</formula>
    </cfRule>
  </conditionalFormatting>
  <conditionalFormatting sqref="O605:O613 M605:M613 G605:G613 K605:K613 S605:S613 U605:U613 W605:W613 I605:I613 Q605:Q613">
    <cfRule type="cellIs" dxfId="475" priority="1047" stopIfTrue="1" operator="notEqual">
      <formula>H605</formula>
    </cfRule>
  </conditionalFormatting>
  <conditionalFormatting sqref="O605:O613 M605:M613 G605:G613 K605:K613 S605:S613 U605:U613 W605:W613 I605:I613 Q605:Q613">
    <cfRule type="cellIs" dxfId="474" priority="1046" stopIfTrue="1" operator="notEqual">
      <formula>H605</formula>
    </cfRule>
  </conditionalFormatting>
  <conditionalFormatting sqref="G605:G613">
    <cfRule type="cellIs" dxfId="473" priority="1045" stopIfTrue="1" operator="notEqual">
      <formula>H605</formula>
    </cfRule>
  </conditionalFormatting>
  <conditionalFormatting sqref="O605:O613 M605:M613 G605:G613 K605:K613 S605:S613 U605:U613 W605:W613 I605:I613 Q605:Q613">
    <cfRule type="cellIs" dxfId="472" priority="1044" stopIfTrue="1" operator="notEqual">
      <formula>H605</formula>
    </cfRule>
  </conditionalFormatting>
  <conditionalFormatting sqref="G605:G613">
    <cfRule type="cellIs" dxfId="471" priority="1043" stopIfTrue="1" operator="notEqual">
      <formula>H605</formula>
    </cfRule>
  </conditionalFormatting>
  <conditionalFormatting sqref="O605:O613 M605:M613 G605:G613 K605:K613 S605:S613 U605:U613 W605:W613 I605:I613 Q605:Q613">
    <cfRule type="cellIs" dxfId="470" priority="1042" stopIfTrue="1" operator="notEqual">
      <formula>H605</formula>
    </cfRule>
  </conditionalFormatting>
  <conditionalFormatting sqref="O605:O613 M605:M613 G605:G613 K605:K613 S605:S613 U605:U613 W605:W613 I605:I613 Q605:Q613">
    <cfRule type="cellIs" dxfId="469" priority="1041" stopIfTrue="1" operator="notEqual">
      <formula>H605</formula>
    </cfRule>
  </conditionalFormatting>
  <conditionalFormatting sqref="G605:G613">
    <cfRule type="cellIs" dxfId="468" priority="1040" stopIfTrue="1" operator="notEqual">
      <formula>H605</formula>
    </cfRule>
  </conditionalFormatting>
  <conditionalFormatting sqref="O605:O613 M605:M613 G605:G613 K605:K613 S605:S613 U605:U613 W605:W613 I605:I613 Q605:Q613">
    <cfRule type="cellIs" dxfId="467" priority="1039" stopIfTrue="1" operator="notEqual">
      <formula>H605</formula>
    </cfRule>
  </conditionalFormatting>
  <conditionalFormatting sqref="O605:O613 M605:M613 G605:G613 K605:K613 S605:S613 U605:U613 W605:W613 I605:I613 Q605:Q613">
    <cfRule type="cellIs" dxfId="466" priority="1038" stopIfTrue="1" operator="notEqual">
      <formula>H605</formula>
    </cfRule>
  </conditionalFormatting>
  <conditionalFormatting sqref="O605:O613 M605:M613 G605:G613 K605:K613 S605:S613 U605:U613 W605:W613 I605:I613 Q605:Q613">
    <cfRule type="cellIs" dxfId="465" priority="1037" stopIfTrue="1" operator="notEqual">
      <formula>H605</formula>
    </cfRule>
  </conditionalFormatting>
  <conditionalFormatting sqref="Q605:Q613 O605:O613 M605:M613 G605:G613 K605:K613 S605:S613 U605:U613 W605:W613 I605:I613">
    <cfRule type="cellIs" dxfId="464" priority="1036" stopIfTrue="1" operator="notEqual">
      <formula>H605</formula>
    </cfRule>
  </conditionalFormatting>
  <conditionalFormatting sqref="Q605:Q613 O605:O613 M605:M613 G605:G613 K605:K613 S605:S613 U605:U613 W605:W613 I605:I613">
    <cfRule type="cellIs" dxfId="463" priority="1035" stopIfTrue="1" operator="notEqual">
      <formula>H605</formula>
    </cfRule>
  </conditionalFormatting>
  <conditionalFormatting sqref="Q605:Q613 O605:O613 M605:M613 G605:G613 K605:K613 S605:S613 U605:U613 W605:W613 I605:I613">
    <cfRule type="cellIs" dxfId="462" priority="1034" stopIfTrue="1" operator="notEqual">
      <formula>H605</formula>
    </cfRule>
  </conditionalFormatting>
  <conditionalFormatting sqref="G605:G613 I605:I613 Q605:Q613 O605:O613 M605:M613 U605:U613 W605:W613 K605:K613 S605:S613">
    <cfRule type="cellIs" dxfId="461" priority="1033" stopIfTrue="1" operator="notEqual">
      <formula>H605</formula>
    </cfRule>
  </conditionalFormatting>
  <conditionalFormatting sqref="Q605:Q613 O605:O613 M605:M613 G605:G613 K605:K613 S605:S613 U605:U613 W605:W613 I605:I613">
    <cfRule type="cellIs" dxfId="460" priority="1032" stopIfTrue="1" operator="notEqual">
      <formula>H605</formula>
    </cfRule>
  </conditionalFormatting>
  <conditionalFormatting sqref="G605:G613 I605:I613 K605:K613 Q605:Q613 O605:O613 M605:M613 U605:U613 W605:W613 S605:S613">
    <cfRule type="cellIs" dxfId="459" priority="1031" stopIfTrue="1" operator="notEqual">
      <formula>H605</formula>
    </cfRule>
  </conditionalFormatting>
  <conditionalFormatting sqref="Q605:Q613 O605:O613 M605:M613 G605:G613 K605:K613 S605:S613 U605:U613 W605:W613 I605:I613">
    <cfRule type="cellIs" dxfId="458" priority="1030" stopIfTrue="1" operator="notEqual">
      <formula>H605</formula>
    </cfRule>
  </conditionalFormatting>
  <conditionalFormatting sqref="G605:G613 I605:I613 K605:K613 Q605:Q613 O605:O613 M605:M613 U605:U613 W605:W613 S605:S613">
    <cfRule type="cellIs" dxfId="457" priority="1029" stopIfTrue="1" operator="notEqual">
      <formula>H605</formula>
    </cfRule>
  </conditionalFormatting>
  <conditionalFormatting sqref="Q605:Q613 O605:O613 M605:M613 G605:G613 K605:K613 S605:S613 U605:U613 W605:W613 I605:I613">
    <cfRule type="cellIs" dxfId="456" priority="1028" stopIfTrue="1" operator="notEqual">
      <formula>H605</formula>
    </cfRule>
  </conditionalFormatting>
  <conditionalFormatting sqref="Y605:Y613">
    <cfRule type="cellIs" dxfId="455" priority="1027" stopIfTrue="1" operator="notEqual">
      <formula>Z605</formula>
    </cfRule>
  </conditionalFormatting>
  <conditionalFormatting sqref="Y605:Y613">
    <cfRule type="cellIs" dxfId="454" priority="1026" stopIfTrue="1" operator="notEqual">
      <formula>Z605</formula>
    </cfRule>
  </conditionalFormatting>
  <conditionalFormatting sqref="Y605:Y613">
    <cfRule type="cellIs" dxfId="453" priority="1025" stopIfTrue="1" operator="notEqual">
      <formula>Z605</formula>
    </cfRule>
  </conditionalFormatting>
  <conditionalFormatting sqref="Y605:Y613">
    <cfRule type="cellIs" dxfId="452" priority="1024" stopIfTrue="1" operator="notEqual">
      <formula>Z605</formula>
    </cfRule>
  </conditionalFormatting>
  <conditionalFormatting sqref="Y605:Y613">
    <cfRule type="cellIs" dxfId="451" priority="1023" stopIfTrue="1" operator="notEqual">
      <formula>Z605</formula>
    </cfRule>
  </conditionalFormatting>
  <conditionalFormatting sqref="Y605:Y613">
    <cfRule type="cellIs" dxfId="450" priority="1022" stopIfTrue="1" operator="notEqual">
      <formula>Z605</formula>
    </cfRule>
  </conditionalFormatting>
  <conditionalFormatting sqref="Y605:Y613">
    <cfRule type="cellIs" dxfId="449" priority="1021" stopIfTrue="1" operator="notEqual">
      <formula>Z605</formula>
    </cfRule>
  </conditionalFormatting>
  <conditionalFormatting sqref="Y605:Y613">
    <cfRule type="cellIs" dxfId="448" priority="1020" stopIfTrue="1" operator="notEqual">
      <formula>Z605</formula>
    </cfRule>
  </conditionalFormatting>
  <conditionalFormatting sqref="Y605:Y613">
    <cfRule type="cellIs" dxfId="447" priority="1019" stopIfTrue="1" operator="notEqual">
      <formula>Z605</formula>
    </cfRule>
  </conditionalFormatting>
  <conditionalFormatting sqref="Y605:Y613">
    <cfRule type="cellIs" dxfId="446" priority="1018" stopIfTrue="1" operator="notEqual">
      <formula>Z605</formula>
    </cfRule>
  </conditionalFormatting>
  <conditionalFormatting sqref="Y605:Y613">
    <cfRule type="cellIs" dxfId="445" priority="1017" stopIfTrue="1" operator="notEqual">
      <formula>Z605</formula>
    </cfRule>
  </conditionalFormatting>
  <conditionalFormatting sqref="Y605:Y613">
    <cfRule type="cellIs" dxfId="444" priority="1016" stopIfTrue="1" operator="notEqual">
      <formula>Z605</formula>
    </cfRule>
  </conditionalFormatting>
  <conditionalFormatting sqref="Y605:Y613">
    <cfRule type="cellIs" dxfId="443" priority="1015" stopIfTrue="1" operator="notEqual">
      <formula>Z605</formula>
    </cfRule>
  </conditionalFormatting>
  <conditionalFormatting sqref="Y605:Y613">
    <cfRule type="cellIs" dxfId="442" priority="1014" stopIfTrue="1" operator="notEqual">
      <formula>Z605</formula>
    </cfRule>
  </conditionalFormatting>
  <conditionalFormatting sqref="Y605:Y613">
    <cfRule type="cellIs" dxfId="441" priority="1013" stopIfTrue="1" operator="notEqual">
      <formula>Z605</formula>
    </cfRule>
  </conditionalFormatting>
  <conditionalFormatting sqref="Y605:Y613">
    <cfRule type="cellIs" dxfId="440" priority="1012" stopIfTrue="1" operator="notEqual">
      <formula>Z605</formula>
    </cfRule>
  </conditionalFormatting>
  <conditionalFormatting sqref="Y605:Y613">
    <cfRule type="cellIs" dxfId="439" priority="1011" stopIfTrue="1" operator="notEqual">
      <formula>Z605</formula>
    </cfRule>
  </conditionalFormatting>
  <conditionalFormatting sqref="Y605:Y613">
    <cfRule type="cellIs" dxfId="438" priority="1010" stopIfTrue="1" operator="notEqual">
      <formula>Z605</formula>
    </cfRule>
  </conditionalFormatting>
  <conditionalFormatting sqref="G579 W579 U579 Q579 O579 M579 K579 I579 S579">
    <cfRule type="cellIs" dxfId="437" priority="1009" stopIfTrue="1" operator="notEqual">
      <formula>H579</formula>
    </cfRule>
  </conditionalFormatting>
  <conditionalFormatting sqref="I579 K579 M579 O579 Q579 U579 W579 G579 S579">
    <cfRule type="cellIs" dxfId="436" priority="1008" stopIfTrue="1" operator="notEqual">
      <formula>H579</formula>
    </cfRule>
  </conditionalFormatting>
  <conditionalFormatting sqref="G579 W579 S579 Q579 O579 M579 K579 U579">
    <cfRule type="cellIs" dxfId="435" priority="1007" stopIfTrue="1" operator="notEqual">
      <formula>H579</formula>
    </cfRule>
  </conditionalFormatting>
  <conditionalFormatting sqref="K579 M579 O579 Q579 S579 W579 G579 U579">
    <cfRule type="cellIs" dxfId="434" priority="1006" stopIfTrue="1" operator="notEqual">
      <formula>H579</formula>
    </cfRule>
  </conditionalFormatting>
  <conditionalFormatting sqref="I579">
    <cfRule type="cellIs" dxfId="433" priority="1005" stopIfTrue="1" operator="notEqual">
      <formula>J579</formula>
    </cfRule>
  </conditionalFormatting>
  <conditionalFormatting sqref="I579">
    <cfRule type="cellIs" dxfId="432" priority="1004" stopIfTrue="1" operator="notEqual">
      <formula>J579</formula>
    </cfRule>
  </conditionalFormatting>
  <conditionalFormatting sqref="Q579 U579 W579 G579 K579 M579 O579 S579 I579">
    <cfRule type="cellIs" dxfId="431" priority="1003" stopIfTrue="1" operator="notEqual">
      <formula>H579</formula>
    </cfRule>
  </conditionalFormatting>
  <conditionalFormatting sqref="S579 W579 G579 M579 O579 Q579 U579 K579">
    <cfRule type="cellIs" dxfId="430" priority="1002" stopIfTrue="1" operator="notEqual">
      <formula>H579</formula>
    </cfRule>
  </conditionalFormatting>
  <conditionalFormatting sqref="I579">
    <cfRule type="cellIs" dxfId="429" priority="1001" stopIfTrue="1" operator="notEqual">
      <formula>J579</formula>
    </cfRule>
  </conditionalFormatting>
  <conditionalFormatting sqref="G579">
    <cfRule type="cellIs" dxfId="428" priority="1000" stopIfTrue="1" operator="notEqual">
      <formula>H579</formula>
    </cfRule>
  </conditionalFormatting>
  <conditionalFormatting sqref="G579">
    <cfRule type="cellIs" dxfId="427" priority="999" stopIfTrue="1" operator="notEqual">
      <formula>H579</formula>
    </cfRule>
  </conditionalFormatting>
  <conditionalFormatting sqref="O579 M579 G579 K579 S579 U579 W579 I579 Q579">
    <cfRule type="cellIs" dxfId="426" priority="998" stopIfTrue="1" operator="notEqual">
      <formula>H579</formula>
    </cfRule>
  </conditionalFormatting>
  <conditionalFormatting sqref="G579">
    <cfRule type="cellIs" dxfId="425" priority="997" stopIfTrue="1" operator="notEqual">
      <formula>H579</formula>
    </cfRule>
  </conditionalFormatting>
  <conditionalFormatting sqref="O579 M579 G579 K579 S579 U579 W579 I579 Q579">
    <cfRule type="cellIs" dxfId="424" priority="996" stopIfTrue="1" operator="notEqual">
      <formula>H579</formula>
    </cfRule>
  </conditionalFormatting>
  <conditionalFormatting sqref="O579 M579 G579 K579 S579 U579 W579 I579 Q579">
    <cfRule type="cellIs" dxfId="423" priority="995" stopIfTrue="1" operator="notEqual">
      <formula>H579</formula>
    </cfRule>
  </conditionalFormatting>
  <conditionalFormatting sqref="G579">
    <cfRule type="cellIs" dxfId="422" priority="994" stopIfTrue="1" operator="notEqual">
      <formula>H579</formula>
    </cfRule>
  </conditionalFormatting>
  <conditionalFormatting sqref="O579 M579 G579 K579 S579 U579 W579 I579 Q579">
    <cfRule type="cellIs" dxfId="421" priority="993" stopIfTrue="1" operator="notEqual">
      <formula>H579</formula>
    </cfRule>
  </conditionalFormatting>
  <conditionalFormatting sqref="G579">
    <cfRule type="cellIs" dxfId="420" priority="992" stopIfTrue="1" operator="notEqual">
      <formula>H579</formula>
    </cfRule>
  </conditionalFormatting>
  <conditionalFormatting sqref="O579 M579 G579 K579 S579 U579 W579 I579 Q579">
    <cfRule type="cellIs" dxfId="419" priority="991" stopIfTrue="1" operator="notEqual">
      <formula>H579</formula>
    </cfRule>
  </conditionalFormatting>
  <conditionalFormatting sqref="O579 M579 G579 K579 S579 U579 W579 I579 Q579">
    <cfRule type="cellIs" dxfId="418" priority="990" stopIfTrue="1" operator="notEqual">
      <formula>H579</formula>
    </cfRule>
  </conditionalFormatting>
  <conditionalFormatting sqref="O579 M579 G579 K579 S579 U579 W579 I579 Q579">
    <cfRule type="cellIs" dxfId="417" priority="989" stopIfTrue="1" operator="notEqual">
      <formula>H579</formula>
    </cfRule>
  </conditionalFormatting>
  <conditionalFormatting sqref="S579 W579 M579 O579 Q579 U579 K579 I579 G579">
    <cfRule type="cellIs" dxfId="416" priority="988" stopIfTrue="1" operator="notEqual">
      <formula>H579</formula>
    </cfRule>
  </conditionalFormatting>
  <conditionalFormatting sqref="G579">
    <cfRule type="cellIs" dxfId="415" priority="987" stopIfTrue="1" operator="notEqual">
      <formula>H579</formula>
    </cfRule>
  </conditionalFormatting>
  <conditionalFormatting sqref="G579">
    <cfRule type="cellIs" dxfId="414" priority="986" stopIfTrue="1" operator="notEqual">
      <formula>H579</formula>
    </cfRule>
  </conditionalFormatting>
  <conditionalFormatting sqref="O579 M579 G579 K579 S579 U579 W579 I579 Q579">
    <cfRule type="cellIs" dxfId="413" priority="985" stopIfTrue="1" operator="notEqual">
      <formula>H579</formula>
    </cfRule>
  </conditionalFormatting>
  <conditionalFormatting sqref="G579">
    <cfRule type="cellIs" dxfId="412" priority="984" stopIfTrue="1" operator="notEqual">
      <formula>H579</formula>
    </cfRule>
  </conditionalFormatting>
  <conditionalFormatting sqref="O579 M579 G579 K579 S579 U579 W579 I579 Q579">
    <cfRule type="cellIs" dxfId="411" priority="983" stopIfTrue="1" operator="notEqual">
      <formula>H579</formula>
    </cfRule>
  </conditionalFormatting>
  <conditionalFormatting sqref="O579 M579 G579 K579 S579 U579 W579 I579 Q579">
    <cfRule type="cellIs" dxfId="410" priority="982" stopIfTrue="1" operator="notEqual">
      <formula>H579</formula>
    </cfRule>
  </conditionalFormatting>
  <conditionalFormatting sqref="O579 M579 G579 K579 S579 U579 W579 I579 Q579">
    <cfRule type="cellIs" dxfId="409" priority="981" stopIfTrue="1" operator="notEqual">
      <formula>H579</formula>
    </cfRule>
  </conditionalFormatting>
  <conditionalFormatting sqref="G579">
    <cfRule type="cellIs" dxfId="408" priority="980" stopIfTrue="1" operator="notEqual">
      <formula>H579</formula>
    </cfRule>
  </conditionalFormatting>
  <conditionalFormatting sqref="O579 M579 G579 K579 S579 U579 W579 I579 Q579">
    <cfRule type="cellIs" dxfId="407" priority="979" stopIfTrue="1" operator="notEqual">
      <formula>H579</formula>
    </cfRule>
  </conditionalFormatting>
  <conditionalFormatting sqref="O579 M579 G579 K579 S579 U579 W579 I579 Q579">
    <cfRule type="cellIs" dxfId="406" priority="978" stopIfTrue="1" operator="notEqual">
      <formula>H579</formula>
    </cfRule>
  </conditionalFormatting>
  <conditionalFormatting sqref="O579 M579 G579 K579 S579 U579 W579 I579 Q579">
    <cfRule type="cellIs" dxfId="405" priority="977" stopIfTrue="1" operator="notEqual">
      <formula>H579</formula>
    </cfRule>
  </conditionalFormatting>
  <conditionalFormatting sqref="Q579 O579 M579 G579 K579 S579 U579 W579 I579">
    <cfRule type="cellIs" dxfId="404" priority="976" stopIfTrue="1" operator="notEqual">
      <formula>H579</formula>
    </cfRule>
  </conditionalFormatting>
  <conditionalFormatting sqref="Q579 O579 M579 G579 K579 S579 U579 W579 I579">
    <cfRule type="cellIs" dxfId="403" priority="975" stopIfTrue="1" operator="notEqual">
      <formula>H579</formula>
    </cfRule>
  </conditionalFormatting>
  <conditionalFormatting sqref="Q579 O579 M579 G579 K579 S579 U579 W579 I579">
    <cfRule type="cellIs" dxfId="402" priority="974" stopIfTrue="1" operator="notEqual">
      <formula>H579</formula>
    </cfRule>
  </conditionalFormatting>
  <conditionalFormatting sqref="G579 I579 Q579 O579 M579 U579 W579 K579 S579">
    <cfRule type="cellIs" dxfId="401" priority="973" stopIfTrue="1" operator="notEqual">
      <formula>H579</formula>
    </cfRule>
  </conditionalFormatting>
  <conditionalFormatting sqref="Q579 O579 M579 G579 K579 S579 U579 W579 I579">
    <cfRule type="cellIs" dxfId="400" priority="972" stopIfTrue="1" operator="notEqual">
      <formula>H579</formula>
    </cfRule>
  </conditionalFormatting>
  <conditionalFormatting sqref="G579 I579 K579 Q579 O579 M579 U579 W579 S579">
    <cfRule type="cellIs" dxfId="399" priority="971" stopIfTrue="1" operator="notEqual">
      <formula>H579</formula>
    </cfRule>
  </conditionalFormatting>
  <conditionalFormatting sqref="Q579 O579 M579 G579 K579 S579 U579 W579 I579">
    <cfRule type="cellIs" dxfId="398" priority="970" stopIfTrue="1" operator="notEqual">
      <formula>H579</formula>
    </cfRule>
  </conditionalFormatting>
  <conditionalFormatting sqref="G579 I579 K579 Q579 O579 M579 U579 W579 S579">
    <cfRule type="cellIs" dxfId="397" priority="969" stopIfTrue="1" operator="notEqual">
      <formula>H579</formula>
    </cfRule>
  </conditionalFormatting>
  <conditionalFormatting sqref="Q579 O579 M579 G579 K579 S579 U579 W579 I579">
    <cfRule type="cellIs" dxfId="396" priority="968" stopIfTrue="1" operator="notEqual">
      <formula>H579</formula>
    </cfRule>
  </conditionalFormatting>
  <conditionalFormatting sqref="Y579">
    <cfRule type="cellIs" dxfId="395" priority="967" stopIfTrue="1" operator="notEqual">
      <formula>Z579</formula>
    </cfRule>
  </conditionalFormatting>
  <conditionalFormatting sqref="Y579">
    <cfRule type="cellIs" dxfId="394" priority="966" stopIfTrue="1" operator="notEqual">
      <formula>Z579</formula>
    </cfRule>
  </conditionalFormatting>
  <conditionalFormatting sqref="Y579">
    <cfRule type="cellIs" dxfId="393" priority="965" stopIfTrue="1" operator="notEqual">
      <formula>Z579</formula>
    </cfRule>
  </conditionalFormatting>
  <conditionalFormatting sqref="Y579">
    <cfRule type="cellIs" dxfId="392" priority="964" stopIfTrue="1" operator="notEqual">
      <formula>Z579</formula>
    </cfRule>
  </conditionalFormatting>
  <conditionalFormatting sqref="Y579">
    <cfRule type="cellIs" dxfId="391" priority="963" stopIfTrue="1" operator="notEqual">
      <formula>Z579</formula>
    </cfRule>
  </conditionalFormatting>
  <conditionalFormatting sqref="Y579">
    <cfRule type="cellIs" dxfId="390" priority="962" stopIfTrue="1" operator="notEqual">
      <formula>Z579</formula>
    </cfRule>
  </conditionalFormatting>
  <conditionalFormatting sqref="Y579">
    <cfRule type="cellIs" dxfId="389" priority="961" stopIfTrue="1" operator="notEqual">
      <formula>Z579</formula>
    </cfRule>
  </conditionalFormatting>
  <conditionalFormatting sqref="Y579">
    <cfRule type="cellIs" dxfId="388" priority="960" stopIfTrue="1" operator="notEqual">
      <formula>Z579</formula>
    </cfRule>
  </conditionalFormatting>
  <conditionalFormatting sqref="Y579">
    <cfRule type="cellIs" dxfId="387" priority="959" stopIfTrue="1" operator="notEqual">
      <formula>Z579</formula>
    </cfRule>
  </conditionalFormatting>
  <conditionalFormatting sqref="Y579">
    <cfRule type="cellIs" dxfId="386" priority="958" stopIfTrue="1" operator="notEqual">
      <formula>Z579</formula>
    </cfRule>
  </conditionalFormatting>
  <conditionalFormatting sqref="Y579">
    <cfRule type="cellIs" dxfId="385" priority="957" stopIfTrue="1" operator="notEqual">
      <formula>Z579</formula>
    </cfRule>
  </conditionalFormatting>
  <conditionalFormatting sqref="Y579">
    <cfRule type="cellIs" dxfId="384" priority="956" stopIfTrue="1" operator="notEqual">
      <formula>Z579</formula>
    </cfRule>
  </conditionalFormatting>
  <conditionalFormatting sqref="Y579">
    <cfRule type="cellIs" dxfId="383" priority="955" stopIfTrue="1" operator="notEqual">
      <formula>Z579</formula>
    </cfRule>
  </conditionalFormatting>
  <conditionalFormatting sqref="Y579">
    <cfRule type="cellIs" dxfId="382" priority="954" stopIfTrue="1" operator="notEqual">
      <formula>Z579</formula>
    </cfRule>
  </conditionalFormatting>
  <conditionalFormatting sqref="Y579">
    <cfRule type="cellIs" dxfId="381" priority="953" stopIfTrue="1" operator="notEqual">
      <formula>Z579</formula>
    </cfRule>
  </conditionalFormatting>
  <conditionalFormatting sqref="G580:G583 W580:W583 U580:U583 Q580:Q583 O580:O583 M580:M583 K580:K583 I580:I583 S580:S583">
    <cfRule type="cellIs" dxfId="380" priority="952" stopIfTrue="1" operator="notEqual">
      <formula>H580</formula>
    </cfRule>
  </conditionalFormatting>
  <conditionalFormatting sqref="I580:I583 K580:K583 M580:M583 O580:O583 Q580:Q583 U580:U583 W580:W583 G580:G583 S580:S583">
    <cfRule type="cellIs" dxfId="379" priority="951" stopIfTrue="1" operator="notEqual">
      <formula>H580</formula>
    </cfRule>
  </conditionalFormatting>
  <conditionalFormatting sqref="G580:G583 W580:W583 S580:S583 Q580:Q583 O580:O583 M580:M583 K580:K583 U580:U583">
    <cfRule type="cellIs" dxfId="378" priority="950" stopIfTrue="1" operator="notEqual">
      <formula>H580</formula>
    </cfRule>
  </conditionalFormatting>
  <conditionalFormatting sqref="K580:K583 M580:M583 O580:O583 Q580:Q583 S580:S583 W580:W583 G580:G583 U580:U583">
    <cfRule type="cellIs" dxfId="377" priority="949" stopIfTrue="1" operator="notEqual">
      <formula>H580</formula>
    </cfRule>
  </conditionalFormatting>
  <conditionalFormatting sqref="I580:I583">
    <cfRule type="cellIs" dxfId="376" priority="948" stopIfTrue="1" operator="notEqual">
      <formula>J580</formula>
    </cfRule>
  </conditionalFormatting>
  <conditionalFormatting sqref="I580:I583">
    <cfRule type="cellIs" dxfId="375" priority="947" stopIfTrue="1" operator="notEqual">
      <formula>J580</formula>
    </cfRule>
  </conditionalFormatting>
  <conditionalFormatting sqref="Q580:Q583 U580:U583 W580:W583 G580:G583 K580:K583 M580:M583 O580:O583 S580:S583 I580:I583">
    <cfRule type="cellIs" dxfId="374" priority="946" stopIfTrue="1" operator="notEqual">
      <formula>H580</formula>
    </cfRule>
  </conditionalFormatting>
  <conditionalFormatting sqref="S580:S583 W580:W583 G580:G583 M580:M583 O580:O583 Q580:Q583 U580:U583 K580:K583">
    <cfRule type="cellIs" dxfId="373" priority="945" stopIfTrue="1" operator="notEqual">
      <formula>H580</formula>
    </cfRule>
  </conditionalFormatting>
  <conditionalFormatting sqref="I580:I583">
    <cfRule type="cellIs" dxfId="372" priority="944" stopIfTrue="1" operator="notEqual">
      <formula>J580</formula>
    </cfRule>
  </conditionalFormatting>
  <conditionalFormatting sqref="G580:G583">
    <cfRule type="cellIs" dxfId="371" priority="943" stopIfTrue="1" operator="notEqual">
      <formula>H580</formula>
    </cfRule>
  </conditionalFormatting>
  <conditionalFormatting sqref="G580:G583">
    <cfRule type="cellIs" dxfId="370" priority="942" stopIfTrue="1" operator="notEqual">
      <formula>H580</formula>
    </cfRule>
  </conditionalFormatting>
  <conditionalFormatting sqref="O580:O583 M580:M583 G580:G583 K580:K583 S580:S583 U580:U583 W580:W583 I580:I583 Q580:Q583">
    <cfRule type="cellIs" dxfId="369" priority="941" stopIfTrue="1" operator="notEqual">
      <formula>H580</formula>
    </cfRule>
  </conditionalFormatting>
  <conditionalFormatting sqref="G580:G583">
    <cfRule type="cellIs" dxfId="368" priority="940" stopIfTrue="1" operator="notEqual">
      <formula>H580</formula>
    </cfRule>
  </conditionalFormatting>
  <conditionalFormatting sqref="O580:O583 M580:M583 G580:G583 K580:K583 S580:S583 U580:U583 W580:W583 I580:I583 Q580:Q583">
    <cfRule type="cellIs" dxfId="367" priority="939" stopIfTrue="1" operator="notEqual">
      <formula>H580</formula>
    </cfRule>
  </conditionalFormatting>
  <conditionalFormatting sqref="O580:O583 M580:M583 G580:G583 K580:K583 S580:S583 U580:U583 W580:W583 I580:I583 Q580:Q583">
    <cfRule type="cellIs" dxfId="366" priority="938" stopIfTrue="1" operator="notEqual">
      <formula>H580</formula>
    </cfRule>
  </conditionalFormatting>
  <conditionalFormatting sqref="G580:G583">
    <cfRule type="cellIs" dxfId="365" priority="937" stopIfTrue="1" operator="notEqual">
      <formula>H580</formula>
    </cfRule>
  </conditionalFormatting>
  <conditionalFormatting sqref="O580:O583 M580:M583 G580:G583 K580:K583 S580:S583 U580:U583 W580:W583 I580:I583 Q580:Q583">
    <cfRule type="cellIs" dxfId="364" priority="936" stopIfTrue="1" operator="notEqual">
      <formula>H580</formula>
    </cfRule>
  </conditionalFormatting>
  <conditionalFormatting sqref="G580:G583">
    <cfRule type="cellIs" dxfId="363" priority="935" stopIfTrue="1" operator="notEqual">
      <formula>H580</formula>
    </cfRule>
  </conditionalFormatting>
  <conditionalFormatting sqref="O580:O583 M580:M583 G580:G583 K580:K583 S580:S583 U580:U583 W580:W583 I580:I583 Q580:Q583">
    <cfRule type="cellIs" dxfId="362" priority="934" stopIfTrue="1" operator="notEqual">
      <formula>H580</formula>
    </cfRule>
  </conditionalFormatting>
  <conditionalFormatting sqref="O580:O583 M580:M583 G580:G583 K580:K583 S580:S583 U580:U583 W580:W583 I580:I583 Q580:Q583">
    <cfRule type="cellIs" dxfId="361" priority="933" stopIfTrue="1" operator="notEqual">
      <formula>H580</formula>
    </cfRule>
  </conditionalFormatting>
  <conditionalFormatting sqref="O580:O583 M580:M583 G580:G583 K580:K583 S580:S583 U580:U583 W580:W583 I580:I583 Q580:Q583">
    <cfRule type="cellIs" dxfId="360" priority="932" stopIfTrue="1" operator="notEqual">
      <formula>H580</formula>
    </cfRule>
  </conditionalFormatting>
  <conditionalFormatting sqref="S580:S583 W580:W583 M580:M583 O580:O583 Q580:Q583 U580:U583 K580:K583 I580:I583 G580:G583">
    <cfRule type="cellIs" dxfId="359" priority="931" stopIfTrue="1" operator="notEqual">
      <formula>H580</formula>
    </cfRule>
  </conditionalFormatting>
  <conditionalFormatting sqref="G580:G583">
    <cfRule type="cellIs" dxfId="358" priority="930" stopIfTrue="1" operator="notEqual">
      <formula>H580</formula>
    </cfRule>
  </conditionalFormatting>
  <conditionalFormatting sqref="G580:G583">
    <cfRule type="cellIs" dxfId="357" priority="929" stopIfTrue="1" operator="notEqual">
      <formula>H580</formula>
    </cfRule>
  </conditionalFormatting>
  <conditionalFormatting sqref="O580:O583 M580:M583 G580:G583 K580:K583 S580:S583 U580:U583 W580:W583 I580:I583 Q580:Q583">
    <cfRule type="cellIs" dxfId="356" priority="928" stopIfTrue="1" operator="notEqual">
      <formula>H580</formula>
    </cfRule>
  </conditionalFormatting>
  <conditionalFormatting sqref="G580:G583">
    <cfRule type="cellIs" dxfId="355" priority="927" stopIfTrue="1" operator="notEqual">
      <formula>H580</formula>
    </cfRule>
  </conditionalFormatting>
  <conditionalFormatting sqref="O580:O583 M580:M583 G580:G583 K580:K583 S580:S583 U580:U583 W580:W583 I580:I583 Q580:Q583">
    <cfRule type="cellIs" dxfId="354" priority="926" stopIfTrue="1" operator="notEqual">
      <formula>H580</formula>
    </cfRule>
  </conditionalFormatting>
  <conditionalFormatting sqref="O580:O583 M580:M583 G580:G583 K580:K583 S580:S583 U580:U583 W580:W583 I580:I583 Q580:Q583">
    <cfRule type="cellIs" dxfId="353" priority="925" stopIfTrue="1" operator="notEqual">
      <formula>H580</formula>
    </cfRule>
  </conditionalFormatting>
  <conditionalFormatting sqref="O580:O583 M580:M583 G580:G583 K580:K583 S580:S583 U580:U583 W580:W583 I580:I583 Q580:Q583">
    <cfRule type="cellIs" dxfId="352" priority="924" stopIfTrue="1" operator="notEqual">
      <formula>H580</formula>
    </cfRule>
  </conditionalFormatting>
  <conditionalFormatting sqref="G580:G583">
    <cfRule type="cellIs" dxfId="351" priority="923" stopIfTrue="1" operator="notEqual">
      <formula>H580</formula>
    </cfRule>
  </conditionalFormatting>
  <conditionalFormatting sqref="O580:O583 M580:M583 G580:G583 K580:K583 S580:S583 U580:U583 W580:W583 I580:I583 Q580:Q583">
    <cfRule type="cellIs" dxfId="350" priority="922" stopIfTrue="1" operator="notEqual">
      <formula>H580</formula>
    </cfRule>
  </conditionalFormatting>
  <conditionalFormatting sqref="O580:O583 M580:M583 G580:G583 K580:K583 S580:S583 U580:U583 W580:W583 I580:I583 Q580:Q583">
    <cfRule type="cellIs" dxfId="349" priority="921" stopIfTrue="1" operator="notEqual">
      <formula>H580</formula>
    </cfRule>
  </conditionalFormatting>
  <conditionalFormatting sqref="O580:O583 M580:M583 G580:G583 K580:K583 S580:S583 U580:U583 W580:W583 I580:I583 Q580:Q583">
    <cfRule type="cellIs" dxfId="348" priority="920" stopIfTrue="1" operator="notEqual">
      <formula>H580</formula>
    </cfRule>
  </conditionalFormatting>
  <conditionalFormatting sqref="Q580:Q583 O580:O583 M580:M583 G580:G583 K580:K583 S580:S583 U580:U583 W580:W583 I580:I583">
    <cfRule type="cellIs" dxfId="347" priority="919" stopIfTrue="1" operator="notEqual">
      <formula>H580</formula>
    </cfRule>
  </conditionalFormatting>
  <conditionalFormatting sqref="Q580:Q583 O580:O583 M580:M583 G580:G583 K580:K583 S580:S583 U580:U583 W580:W583 I580:I583">
    <cfRule type="cellIs" dxfId="346" priority="918" stopIfTrue="1" operator="notEqual">
      <formula>H580</formula>
    </cfRule>
  </conditionalFormatting>
  <conditionalFormatting sqref="Q580:Q583 O580:O583 M580:M583 G580:G583 K580:K583 S580:S583 U580:U583 W580:W583 I580:I583">
    <cfRule type="cellIs" dxfId="345" priority="917" stopIfTrue="1" operator="notEqual">
      <formula>H580</formula>
    </cfRule>
  </conditionalFormatting>
  <conditionalFormatting sqref="G580:G583 I580:I583 Q580:Q583 O580:O583 M580:M583 U580:U583 W580:W583 K580:K583 S580:S583">
    <cfRule type="cellIs" dxfId="344" priority="916" stopIfTrue="1" operator="notEqual">
      <formula>H580</formula>
    </cfRule>
  </conditionalFormatting>
  <conditionalFormatting sqref="Q580:Q583 O580:O583 M580:M583 G580:G583 K580:K583 S580:S583 U580:U583 W580:W583 I580:I583">
    <cfRule type="cellIs" dxfId="343" priority="915" stopIfTrue="1" operator="notEqual">
      <formula>H580</formula>
    </cfRule>
  </conditionalFormatting>
  <conditionalFormatting sqref="G580:G583 I580:I583 K580:K583 Q580:Q583 O580:O583 M580:M583 U580:U583 W580:W583 S580:S583">
    <cfRule type="cellIs" dxfId="342" priority="914" stopIfTrue="1" operator="notEqual">
      <formula>H580</formula>
    </cfRule>
  </conditionalFormatting>
  <conditionalFormatting sqref="Q580:Q583 O580:O583 M580:M583 G580:G583 K580:K583 S580:S583 U580:U583 W580:W583 I580:I583">
    <cfRule type="cellIs" dxfId="341" priority="913" stopIfTrue="1" operator="notEqual">
      <formula>H580</formula>
    </cfRule>
  </conditionalFormatting>
  <conditionalFormatting sqref="G580:G583 I580:I583 K580:K583 Q580:Q583 O580:O583 M580:M583 U580:U583 W580:W583 S580:S583">
    <cfRule type="cellIs" dxfId="340" priority="912" stopIfTrue="1" operator="notEqual">
      <formula>H580</formula>
    </cfRule>
  </conditionalFormatting>
  <conditionalFormatting sqref="Q580:Q583 O580:O583 M580:M583 G580:G583 K580:K583 S580:S583 U580:U583 W580:W583 I580:I583">
    <cfRule type="cellIs" dxfId="339" priority="911" stopIfTrue="1" operator="notEqual">
      <formula>H580</formula>
    </cfRule>
  </conditionalFormatting>
  <conditionalFormatting sqref="Y580:Y583">
    <cfRule type="cellIs" dxfId="338" priority="910" stopIfTrue="1" operator="notEqual">
      <formula>Z580</formula>
    </cfRule>
  </conditionalFormatting>
  <conditionalFormatting sqref="Y580:Y583">
    <cfRule type="cellIs" dxfId="337" priority="909" stopIfTrue="1" operator="notEqual">
      <formula>Z580</formula>
    </cfRule>
  </conditionalFormatting>
  <conditionalFormatting sqref="Y580:Y583">
    <cfRule type="cellIs" dxfId="336" priority="908" stopIfTrue="1" operator="notEqual">
      <formula>Z580</formula>
    </cfRule>
  </conditionalFormatting>
  <conditionalFormatting sqref="Y580:Y583">
    <cfRule type="cellIs" dxfId="335" priority="907" stopIfTrue="1" operator="notEqual">
      <formula>Z580</formula>
    </cfRule>
  </conditionalFormatting>
  <conditionalFormatting sqref="Y580:Y583">
    <cfRule type="cellIs" dxfId="334" priority="906" stopIfTrue="1" operator="notEqual">
      <formula>Z580</formula>
    </cfRule>
  </conditionalFormatting>
  <conditionalFormatting sqref="Y580:Y583">
    <cfRule type="cellIs" dxfId="333" priority="905" stopIfTrue="1" operator="notEqual">
      <formula>Z580</formula>
    </cfRule>
  </conditionalFormatting>
  <conditionalFormatting sqref="Y580:Y583">
    <cfRule type="cellIs" dxfId="332" priority="904" stopIfTrue="1" operator="notEqual">
      <formula>Z580</formula>
    </cfRule>
  </conditionalFormatting>
  <conditionalFormatting sqref="Y580:Y583">
    <cfRule type="cellIs" dxfId="331" priority="903" stopIfTrue="1" operator="notEqual">
      <formula>Z580</formula>
    </cfRule>
  </conditionalFormatting>
  <conditionalFormatting sqref="Y580:Y583">
    <cfRule type="cellIs" dxfId="330" priority="902" stopIfTrue="1" operator="notEqual">
      <formula>Z580</formula>
    </cfRule>
  </conditionalFormatting>
  <conditionalFormatting sqref="Y580:Y583">
    <cfRule type="cellIs" dxfId="329" priority="901" stopIfTrue="1" operator="notEqual">
      <formula>Z580</formula>
    </cfRule>
  </conditionalFormatting>
  <conditionalFormatting sqref="Y580:Y583">
    <cfRule type="cellIs" dxfId="328" priority="900" stopIfTrue="1" operator="notEqual">
      <formula>Z580</formula>
    </cfRule>
  </conditionalFormatting>
  <conditionalFormatting sqref="Y580:Y583">
    <cfRule type="cellIs" dxfId="327" priority="899" stopIfTrue="1" operator="notEqual">
      <formula>Z580</formula>
    </cfRule>
  </conditionalFormatting>
  <conditionalFormatting sqref="Y580:Y583">
    <cfRule type="cellIs" dxfId="326" priority="898" stopIfTrue="1" operator="notEqual">
      <formula>Z580</formula>
    </cfRule>
  </conditionalFormatting>
  <conditionalFormatting sqref="Y580:Y583">
    <cfRule type="cellIs" dxfId="325" priority="897" stopIfTrue="1" operator="notEqual">
      <formula>Z580</formula>
    </cfRule>
  </conditionalFormatting>
  <conditionalFormatting sqref="Y580:Y583">
    <cfRule type="cellIs" dxfId="324" priority="896" stopIfTrue="1" operator="notEqual">
      <formula>Z580</formula>
    </cfRule>
  </conditionalFormatting>
  <conditionalFormatting sqref="S599">
    <cfRule type="cellIs" dxfId="323" priority="895" stopIfTrue="1" operator="notEqual">
      <formula>T599</formula>
    </cfRule>
  </conditionalFormatting>
  <conditionalFormatting sqref="U599">
    <cfRule type="cellIs" dxfId="322" priority="894" stopIfTrue="1" operator="notEqual">
      <formula>V599</formula>
    </cfRule>
  </conditionalFormatting>
  <conditionalFormatting sqref="G599">
    <cfRule type="cellIs" dxfId="321" priority="893" stopIfTrue="1" operator="notEqual">
      <formula>H599</formula>
    </cfRule>
  </conditionalFormatting>
  <conditionalFormatting sqref="G599">
    <cfRule type="cellIs" dxfId="320" priority="892" stopIfTrue="1" operator="notEqual">
      <formula>H599</formula>
    </cfRule>
  </conditionalFormatting>
  <conditionalFormatting sqref="G599">
    <cfRule type="cellIs" dxfId="319" priority="891" stopIfTrue="1" operator="notEqual">
      <formula>H599</formula>
    </cfRule>
  </conditionalFormatting>
  <conditionalFormatting sqref="G599">
    <cfRule type="cellIs" dxfId="318" priority="890" stopIfTrue="1" operator="notEqual">
      <formula>H599</formula>
    </cfRule>
  </conditionalFormatting>
  <conditionalFormatting sqref="O599 M599 G599 K599 S599 U599 W599 I599 Q599">
    <cfRule type="cellIs" dxfId="317" priority="889" stopIfTrue="1" operator="notEqual">
      <formula>H599</formula>
    </cfRule>
  </conditionalFormatting>
  <conditionalFormatting sqref="O599 M599 G599 K599 S599 U599 W599 I599 Q599">
    <cfRule type="cellIs" dxfId="316" priority="888" stopIfTrue="1" operator="notEqual">
      <formula>H599</formula>
    </cfRule>
  </conditionalFormatting>
  <conditionalFormatting sqref="G599">
    <cfRule type="cellIs" dxfId="315" priority="887" stopIfTrue="1" operator="notEqual">
      <formula>H599</formula>
    </cfRule>
  </conditionalFormatting>
  <conditionalFormatting sqref="G599">
    <cfRule type="cellIs" dxfId="314" priority="886" stopIfTrue="1" operator="notEqual">
      <formula>H599</formula>
    </cfRule>
  </conditionalFormatting>
  <conditionalFormatting sqref="O599 M599 G599 K599 S599 U599 W599 I599 Q599">
    <cfRule type="cellIs" dxfId="313" priority="885" stopIfTrue="1" operator="notEqual">
      <formula>H599</formula>
    </cfRule>
  </conditionalFormatting>
  <conditionalFormatting sqref="O599 M599 G599 K599 S599 U599 W599 I599 Q599">
    <cfRule type="cellIs" dxfId="312" priority="884" stopIfTrue="1" operator="notEqual">
      <formula>H599</formula>
    </cfRule>
  </conditionalFormatting>
  <conditionalFormatting sqref="O599 M599 G599 K599 S599 U599 W599 I599 Q599">
    <cfRule type="cellIs" dxfId="311" priority="883" stopIfTrue="1" operator="notEqual">
      <formula>H599</formula>
    </cfRule>
  </conditionalFormatting>
  <conditionalFormatting sqref="G599">
    <cfRule type="cellIs" dxfId="310" priority="882" stopIfTrue="1" operator="notEqual">
      <formula>H599</formula>
    </cfRule>
  </conditionalFormatting>
  <conditionalFormatting sqref="G599">
    <cfRule type="cellIs" dxfId="309" priority="881" stopIfTrue="1" operator="notEqual">
      <formula>H599</formula>
    </cfRule>
  </conditionalFormatting>
  <conditionalFormatting sqref="O599 M599 G599 K599 S599 U599 W599 I599 Q599">
    <cfRule type="cellIs" dxfId="308" priority="880" stopIfTrue="1" operator="notEqual">
      <formula>H599</formula>
    </cfRule>
  </conditionalFormatting>
  <conditionalFormatting sqref="O599 M599 G599 K599 S599 U599 W599 I599 Q599">
    <cfRule type="cellIs" dxfId="307" priority="879" stopIfTrue="1" operator="notEqual">
      <formula>H599</formula>
    </cfRule>
  </conditionalFormatting>
  <conditionalFormatting sqref="G599">
    <cfRule type="cellIs" dxfId="306" priority="878" stopIfTrue="1" operator="notEqual">
      <formula>H599</formula>
    </cfRule>
  </conditionalFormatting>
  <conditionalFormatting sqref="G599">
    <cfRule type="cellIs" dxfId="305" priority="877" stopIfTrue="1" operator="notEqual">
      <formula>H599</formula>
    </cfRule>
  </conditionalFormatting>
  <conditionalFormatting sqref="O599 M599 G599 K599 S599 U599 W599 I599 Q599">
    <cfRule type="cellIs" dxfId="304" priority="876" stopIfTrue="1" operator="notEqual">
      <formula>H599</formula>
    </cfRule>
  </conditionalFormatting>
  <conditionalFormatting sqref="O599 M599 G599 K599 S599 U599 W599 I599 Q599">
    <cfRule type="cellIs" dxfId="303" priority="875" stopIfTrue="1" operator="notEqual">
      <formula>H599</formula>
    </cfRule>
  </conditionalFormatting>
  <conditionalFormatting sqref="O599 M599 G599 K599 S599 U599 W599 I599 Q599">
    <cfRule type="cellIs" dxfId="302" priority="874" stopIfTrue="1" operator="notEqual">
      <formula>H599</formula>
    </cfRule>
  </conditionalFormatting>
  <conditionalFormatting sqref="O599 M599 G599 K599 S599 U599 W599 I599 Q599">
    <cfRule type="cellIs" dxfId="301" priority="873" stopIfTrue="1" operator="notEqual">
      <formula>H599</formula>
    </cfRule>
  </conditionalFormatting>
  <conditionalFormatting sqref="G599">
    <cfRule type="cellIs" dxfId="300" priority="872" stopIfTrue="1" operator="notEqual">
      <formula>H599</formula>
    </cfRule>
  </conditionalFormatting>
  <conditionalFormatting sqref="G599">
    <cfRule type="cellIs" dxfId="299" priority="871" stopIfTrue="1" operator="notEqual">
      <formula>H599</formula>
    </cfRule>
  </conditionalFormatting>
  <conditionalFormatting sqref="O599 M599 G599 K599 S599 U599 W599 I599 Q599">
    <cfRule type="cellIs" dxfId="298" priority="870" stopIfTrue="1" operator="notEqual">
      <formula>H599</formula>
    </cfRule>
  </conditionalFormatting>
  <conditionalFormatting sqref="O599 M599 G599 K599 S599 U599 W599 I599 Q599">
    <cfRule type="cellIs" dxfId="297" priority="869" stopIfTrue="1" operator="notEqual">
      <formula>H599</formula>
    </cfRule>
  </conditionalFormatting>
  <conditionalFormatting sqref="O599 M599 G599 K599 S599 U599 W599 I599 Q599">
    <cfRule type="cellIs" dxfId="296" priority="868" stopIfTrue="1" operator="notEqual">
      <formula>H599</formula>
    </cfRule>
  </conditionalFormatting>
  <conditionalFormatting sqref="O599 M599 G599 K599 S599 U599 W599 I599 Q599">
    <cfRule type="cellIs" dxfId="295" priority="867" stopIfTrue="1" operator="notEqual">
      <formula>H599</formula>
    </cfRule>
  </conditionalFormatting>
  <conditionalFormatting sqref="O599 M599 G599 K599 S599 U599 W599 I599 Q599">
    <cfRule type="cellIs" dxfId="294" priority="866" stopIfTrue="1" operator="notEqual">
      <formula>H599</formula>
    </cfRule>
  </conditionalFormatting>
  <conditionalFormatting sqref="O599 M599 G599 K599 S599 U599 W599 I599 Q599">
    <cfRule type="cellIs" dxfId="293" priority="865" stopIfTrue="1" operator="notEqual">
      <formula>H599</formula>
    </cfRule>
  </conditionalFormatting>
  <conditionalFormatting sqref="O599 M599 G599 K599 S599 U599 W599 I599 Q599">
    <cfRule type="cellIs" dxfId="292" priority="864" stopIfTrue="1" operator="notEqual">
      <formula>H599</formula>
    </cfRule>
  </conditionalFormatting>
  <conditionalFormatting sqref="G599">
    <cfRule type="cellIs" dxfId="291" priority="863" stopIfTrue="1" operator="notEqual">
      <formula>H599</formula>
    </cfRule>
  </conditionalFormatting>
  <conditionalFormatting sqref="G599">
    <cfRule type="cellIs" dxfId="290" priority="862" stopIfTrue="1" operator="notEqual">
      <formula>H599</formula>
    </cfRule>
  </conditionalFormatting>
  <conditionalFormatting sqref="G599">
    <cfRule type="cellIs" dxfId="289" priority="861" stopIfTrue="1" operator="notEqual">
      <formula>H599</formula>
    </cfRule>
  </conditionalFormatting>
  <conditionalFormatting sqref="G599">
    <cfRule type="cellIs" dxfId="288" priority="860" stopIfTrue="1" operator="notEqual">
      <formula>H599</formula>
    </cfRule>
  </conditionalFormatting>
  <conditionalFormatting sqref="G599">
    <cfRule type="cellIs" dxfId="287" priority="859" stopIfTrue="1" operator="notEqual">
      <formula>H599</formula>
    </cfRule>
  </conditionalFormatting>
  <conditionalFormatting sqref="O599 M599 G599 K599 S599 U599 W599 I599 Q599">
    <cfRule type="cellIs" dxfId="286" priority="858" stopIfTrue="1" operator="notEqual">
      <formula>H599</formula>
    </cfRule>
  </conditionalFormatting>
  <conditionalFormatting sqref="O599 M599 G599 K599 S599 U599 W599 I599 Q599">
    <cfRule type="cellIs" dxfId="285" priority="857" stopIfTrue="1" operator="notEqual">
      <formula>H599</formula>
    </cfRule>
  </conditionalFormatting>
  <conditionalFormatting sqref="G599">
    <cfRule type="cellIs" dxfId="284" priority="856" stopIfTrue="1" operator="notEqual">
      <formula>H599</formula>
    </cfRule>
  </conditionalFormatting>
  <conditionalFormatting sqref="G599">
    <cfRule type="cellIs" dxfId="283" priority="855" stopIfTrue="1" operator="notEqual">
      <formula>H599</formula>
    </cfRule>
  </conditionalFormatting>
  <conditionalFormatting sqref="O599 M599 G599 K599 S599 U599 W599 I599 Q599">
    <cfRule type="cellIs" dxfId="282" priority="854" stopIfTrue="1" operator="notEqual">
      <formula>H599</formula>
    </cfRule>
  </conditionalFormatting>
  <conditionalFormatting sqref="O599 M599 G599 K599 S599 U599 W599 I599 Q599">
    <cfRule type="cellIs" dxfId="281" priority="853" stopIfTrue="1" operator="notEqual">
      <formula>H599</formula>
    </cfRule>
  </conditionalFormatting>
  <conditionalFormatting sqref="O599 M599 G599 K599 S599 U599 W599 I599 Q599">
    <cfRule type="cellIs" dxfId="280" priority="852" stopIfTrue="1" operator="notEqual">
      <formula>H599</formula>
    </cfRule>
  </conditionalFormatting>
  <conditionalFormatting sqref="O599 M599 G599 K599 S599 U599 W599 I599 Q599">
    <cfRule type="cellIs" dxfId="279" priority="851" stopIfTrue="1" operator="notEqual">
      <formula>H599</formula>
    </cfRule>
  </conditionalFormatting>
  <conditionalFormatting sqref="G599">
    <cfRule type="cellIs" dxfId="278" priority="850" stopIfTrue="1" operator="notEqual">
      <formula>H599</formula>
    </cfRule>
  </conditionalFormatting>
  <conditionalFormatting sqref="O599 M599 G599 K599 S599 U599 W599 I599 Q599">
    <cfRule type="cellIs" dxfId="277" priority="849" stopIfTrue="1" operator="notEqual">
      <formula>H599</formula>
    </cfRule>
  </conditionalFormatting>
  <conditionalFormatting sqref="O599 M599 G599 K599 S599 U599 W599 I599 Q599">
    <cfRule type="cellIs" dxfId="276" priority="848" stopIfTrue="1" operator="notEqual">
      <formula>H599</formula>
    </cfRule>
  </conditionalFormatting>
  <conditionalFormatting sqref="O599 M599 G599 K599 S599 U599 W599 I599 Q599">
    <cfRule type="cellIs" dxfId="275" priority="847" stopIfTrue="1" operator="notEqual">
      <formula>H599</formula>
    </cfRule>
  </conditionalFormatting>
  <conditionalFormatting sqref="O599 M599 G599 K599 S599 U599 W599 I599 Q599">
    <cfRule type="cellIs" dxfId="274" priority="846" stopIfTrue="1" operator="notEqual">
      <formula>H599</formula>
    </cfRule>
  </conditionalFormatting>
  <conditionalFormatting sqref="O599 M599 G599 K599 S599 U599 W599 I599 Q599">
    <cfRule type="cellIs" dxfId="273" priority="845" stopIfTrue="1" operator="notEqual">
      <formula>H599</formula>
    </cfRule>
  </conditionalFormatting>
  <conditionalFormatting sqref="G599">
    <cfRule type="cellIs" dxfId="272" priority="844" stopIfTrue="1" operator="notEqual">
      <formula>H599</formula>
    </cfRule>
  </conditionalFormatting>
  <conditionalFormatting sqref="G599">
    <cfRule type="cellIs" dxfId="271" priority="843" stopIfTrue="1" operator="notEqual">
      <formula>H599</formula>
    </cfRule>
  </conditionalFormatting>
  <conditionalFormatting sqref="G599">
    <cfRule type="cellIs" dxfId="270" priority="842" stopIfTrue="1" operator="notEqual">
      <formula>H599</formula>
    </cfRule>
  </conditionalFormatting>
  <conditionalFormatting sqref="G599">
    <cfRule type="cellIs" dxfId="269" priority="841" stopIfTrue="1" operator="notEqual">
      <formula>H599</formula>
    </cfRule>
  </conditionalFormatting>
  <conditionalFormatting sqref="G599">
    <cfRule type="cellIs" dxfId="268" priority="840" stopIfTrue="1" operator="notEqual">
      <formula>H599</formula>
    </cfRule>
  </conditionalFormatting>
  <conditionalFormatting sqref="G599">
    <cfRule type="cellIs" dxfId="267" priority="839" stopIfTrue="1" operator="notEqual">
      <formula>H599</formula>
    </cfRule>
  </conditionalFormatting>
  <conditionalFormatting sqref="O599 M599 G599 K599 S599 U599 W599 I599 Q599">
    <cfRule type="cellIs" dxfId="266" priority="838" stopIfTrue="1" operator="notEqual">
      <formula>H599</formula>
    </cfRule>
  </conditionalFormatting>
  <conditionalFormatting sqref="O599 M599 G599 K599 S599 U599 W599 I599 Q599">
    <cfRule type="cellIs" dxfId="265" priority="837" stopIfTrue="1" operator="notEqual">
      <formula>H599</formula>
    </cfRule>
  </conditionalFormatting>
  <conditionalFormatting sqref="G599">
    <cfRule type="cellIs" dxfId="264" priority="836" stopIfTrue="1" operator="notEqual">
      <formula>H599</formula>
    </cfRule>
  </conditionalFormatting>
  <conditionalFormatting sqref="O599 M599 G599 K599 S599 U599 W599 I599 Q599">
    <cfRule type="cellIs" dxfId="263" priority="835" stopIfTrue="1" operator="notEqual">
      <formula>H599</formula>
    </cfRule>
  </conditionalFormatting>
  <conditionalFormatting sqref="O599 M599 G599 K599 S599 U599 W599 I599 Q599">
    <cfRule type="cellIs" dxfId="262" priority="834" stopIfTrue="1" operator="notEqual">
      <formula>H599</formula>
    </cfRule>
  </conditionalFormatting>
  <conditionalFormatting sqref="O599 M599 G599 K599 S599 U599 W599 I599 Q599">
    <cfRule type="cellIs" dxfId="261" priority="833" stopIfTrue="1" operator="notEqual">
      <formula>H599</formula>
    </cfRule>
  </conditionalFormatting>
  <conditionalFormatting sqref="G599">
    <cfRule type="cellIs" dxfId="260" priority="832" stopIfTrue="1" operator="notEqual">
      <formula>H599</formula>
    </cfRule>
  </conditionalFormatting>
  <conditionalFormatting sqref="G599">
    <cfRule type="cellIs" dxfId="259" priority="831" stopIfTrue="1" operator="notEqual">
      <formula>H599</formula>
    </cfRule>
  </conditionalFormatting>
  <conditionalFormatting sqref="O599 M599 G599 K599 S599 U599 W599 I599 Q599">
    <cfRule type="cellIs" dxfId="258" priority="830" stopIfTrue="1" operator="notEqual">
      <formula>H599</formula>
    </cfRule>
  </conditionalFormatting>
  <conditionalFormatting sqref="O599 M599 G599 K599 S599 U599 W599 I599 Q599">
    <cfRule type="cellIs" dxfId="257" priority="829" stopIfTrue="1" operator="notEqual">
      <formula>H599</formula>
    </cfRule>
  </conditionalFormatting>
  <conditionalFormatting sqref="O599 M599 G599 K599 S599 U599 W599 I599 Q599">
    <cfRule type="cellIs" dxfId="256" priority="828" stopIfTrue="1" operator="notEqual">
      <formula>H599</formula>
    </cfRule>
  </conditionalFormatting>
  <conditionalFormatting sqref="O599 M599 G599 K599 S599 U599 W599 I599 Q599">
    <cfRule type="cellIs" dxfId="255" priority="827" stopIfTrue="1" operator="notEqual">
      <formula>H599</formula>
    </cfRule>
  </conditionalFormatting>
  <conditionalFormatting sqref="O599 M599 G599 K599 S599 U599 W599 I599 Q599">
    <cfRule type="cellIs" dxfId="254" priority="826" stopIfTrue="1" operator="notEqual">
      <formula>H599</formula>
    </cfRule>
  </conditionalFormatting>
  <conditionalFormatting sqref="Q599 O599 M599 G599 K599 S599 U599 W599 I599">
    <cfRule type="cellIs" dxfId="253" priority="825" stopIfTrue="1" operator="notEqual">
      <formula>H599</formula>
    </cfRule>
  </conditionalFormatting>
  <conditionalFormatting sqref="Q599 O599 M599 G599 K599 S599 U599 W599 I599">
    <cfRule type="cellIs" dxfId="252" priority="824" stopIfTrue="1" operator="notEqual">
      <formula>H599</formula>
    </cfRule>
  </conditionalFormatting>
  <conditionalFormatting sqref="Q599 O599 M599 G599 K599 S599 U599 W599 I599">
    <cfRule type="cellIs" dxfId="251" priority="823" stopIfTrue="1" operator="notEqual">
      <formula>H599</formula>
    </cfRule>
  </conditionalFormatting>
  <conditionalFormatting sqref="G599 I599 Q599 O599 M599 U599 W599 K599 S599">
    <cfRule type="cellIs" dxfId="250" priority="822" stopIfTrue="1" operator="notEqual">
      <formula>H599</formula>
    </cfRule>
  </conditionalFormatting>
  <conditionalFormatting sqref="Q599 O599 M599 G599 K599 S599 U599 W599 I599">
    <cfRule type="cellIs" dxfId="249" priority="821" stopIfTrue="1" operator="notEqual">
      <formula>H599</formula>
    </cfRule>
  </conditionalFormatting>
  <conditionalFormatting sqref="G599 I599 K599 Q599 O599 M599 U599 W599 S599">
    <cfRule type="cellIs" dxfId="248" priority="820" stopIfTrue="1" operator="notEqual">
      <formula>H599</formula>
    </cfRule>
  </conditionalFormatting>
  <conditionalFormatting sqref="Q599 O599 M599 G599 K599 S599 U599 W599 I599">
    <cfRule type="cellIs" dxfId="247" priority="819" stopIfTrue="1" operator="notEqual">
      <formula>H599</formula>
    </cfRule>
  </conditionalFormatting>
  <conditionalFormatting sqref="G599 I599 K599 Q599 O599 M599 U599 W599 S599">
    <cfRule type="cellIs" dxfId="246" priority="818" stopIfTrue="1" operator="notEqual">
      <formula>H599</formula>
    </cfRule>
  </conditionalFormatting>
  <conditionalFormatting sqref="Q599 O599 M599 G599 K599 S599 U599 W599 I599">
    <cfRule type="cellIs" dxfId="245" priority="817" stopIfTrue="1" operator="notEqual">
      <formula>H599</formula>
    </cfRule>
  </conditionalFormatting>
  <conditionalFormatting sqref="S605:S613">
    <cfRule type="cellIs" dxfId="244" priority="816" stopIfTrue="1" operator="notEqual">
      <formula>T605</formula>
    </cfRule>
  </conditionalFormatting>
  <conditionalFormatting sqref="U605:U613">
    <cfRule type="cellIs" dxfId="243" priority="815" stopIfTrue="1" operator="notEqual">
      <formula>V605</formula>
    </cfRule>
  </conditionalFormatting>
  <conditionalFormatting sqref="G605:G613">
    <cfRule type="cellIs" dxfId="242" priority="814" stopIfTrue="1" operator="notEqual">
      <formula>H605</formula>
    </cfRule>
  </conditionalFormatting>
  <conditionalFormatting sqref="G605:G613">
    <cfRule type="cellIs" dxfId="241" priority="813" stopIfTrue="1" operator="notEqual">
      <formula>H605</formula>
    </cfRule>
  </conditionalFormatting>
  <conditionalFormatting sqref="G605:G613">
    <cfRule type="cellIs" dxfId="240" priority="812" stopIfTrue="1" operator="notEqual">
      <formula>H605</formula>
    </cfRule>
  </conditionalFormatting>
  <conditionalFormatting sqref="G605:G613">
    <cfRule type="cellIs" dxfId="239" priority="811" stopIfTrue="1" operator="notEqual">
      <formula>H605</formula>
    </cfRule>
  </conditionalFormatting>
  <conditionalFormatting sqref="O605:O613 M605:M613 G605:G613 K605:K613 S605:S613 U605:U613 W605:W613 I605:I613 Q605:Q613">
    <cfRule type="cellIs" dxfId="238" priority="810" stopIfTrue="1" operator="notEqual">
      <formula>H605</formula>
    </cfRule>
  </conditionalFormatting>
  <conditionalFormatting sqref="O605:O613 M605:M613 G605:G613 K605:K613 S605:S613 U605:U613 W605:W613 I605:I613 Q605:Q613">
    <cfRule type="cellIs" dxfId="237" priority="809" stopIfTrue="1" operator="notEqual">
      <formula>H605</formula>
    </cfRule>
  </conditionalFormatting>
  <conditionalFormatting sqref="G605:G613">
    <cfRule type="cellIs" dxfId="236" priority="808" stopIfTrue="1" operator="notEqual">
      <formula>H605</formula>
    </cfRule>
  </conditionalFormatting>
  <conditionalFormatting sqref="G605:G613">
    <cfRule type="cellIs" dxfId="235" priority="807" stopIfTrue="1" operator="notEqual">
      <formula>H605</formula>
    </cfRule>
  </conditionalFormatting>
  <conditionalFormatting sqref="O605:O613 M605:M613 G605:G613 K605:K613 S605:S613 U605:U613 W605:W613 I605:I613 Q605:Q613">
    <cfRule type="cellIs" dxfId="234" priority="806" stopIfTrue="1" operator="notEqual">
      <formula>H605</formula>
    </cfRule>
  </conditionalFormatting>
  <conditionalFormatting sqref="O605:O613 M605:M613 G605:G613 K605:K613 S605:S613 U605:U613 W605:W613 I605:I613 Q605:Q613">
    <cfRule type="cellIs" dxfId="233" priority="805" stopIfTrue="1" operator="notEqual">
      <formula>H605</formula>
    </cfRule>
  </conditionalFormatting>
  <conditionalFormatting sqref="O605:O613 M605:M613 G605:G613 K605:K613 S605:S613 U605:U613 W605:W613 I605:I613 Q605:Q613">
    <cfRule type="cellIs" dxfId="232" priority="804" stopIfTrue="1" operator="notEqual">
      <formula>H605</formula>
    </cfRule>
  </conditionalFormatting>
  <conditionalFormatting sqref="G605:G613">
    <cfRule type="cellIs" dxfId="231" priority="803" stopIfTrue="1" operator="notEqual">
      <formula>H605</formula>
    </cfRule>
  </conditionalFormatting>
  <conditionalFormatting sqref="G605:G613">
    <cfRule type="cellIs" dxfId="230" priority="802" stopIfTrue="1" operator="notEqual">
      <formula>H605</formula>
    </cfRule>
  </conditionalFormatting>
  <conditionalFormatting sqref="O605:O613 M605:M613 G605:G613 K605:K613 S605:S613 U605:U613 W605:W613 I605:I613 Q605:Q613">
    <cfRule type="cellIs" dxfId="229" priority="801" stopIfTrue="1" operator="notEqual">
      <formula>H605</formula>
    </cfRule>
  </conditionalFormatting>
  <conditionalFormatting sqref="O605:O613 M605:M613 G605:G613 K605:K613 S605:S613 U605:U613 W605:W613 I605:I613 Q605:Q613">
    <cfRule type="cellIs" dxfId="228" priority="800" stopIfTrue="1" operator="notEqual">
      <formula>H605</formula>
    </cfRule>
  </conditionalFormatting>
  <conditionalFormatting sqref="G605:G613">
    <cfRule type="cellIs" dxfId="227" priority="799" stopIfTrue="1" operator="notEqual">
      <formula>H605</formula>
    </cfRule>
  </conditionalFormatting>
  <conditionalFormatting sqref="G605:G613">
    <cfRule type="cellIs" dxfId="226" priority="798" stopIfTrue="1" operator="notEqual">
      <formula>H605</formula>
    </cfRule>
  </conditionalFormatting>
  <conditionalFormatting sqref="O605:O613 M605:M613 G605:G613 K605:K613 S605:S613 U605:U613 W605:W613 I605:I613 Q605:Q613">
    <cfRule type="cellIs" dxfId="225" priority="797" stopIfTrue="1" operator="notEqual">
      <formula>H605</formula>
    </cfRule>
  </conditionalFormatting>
  <conditionalFormatting sqref="O605:O613 M605:M613 G605:G613 K605:K613 S605:S613 U605:U613 W605:W613 I605:I613 Q605:Q613">
    <cfRule type="cellIs" dxfId="224" priority="796" stopIfTrue="1" operator="notEqual">
      <formula>H605</formula>
    </cfRule>
  </conditionalFormatting>
  <conditionalFormatting sqref="O605:O613 M605:M613 G605:G613 K605:K613 S605:S613 U605:U613 W605:W613 I605:I613 Q605:Q613">
    <cfRule type="cellIs" dxfId="223" priority="795" stopIfTrue="1" operator="notEqual">
      <formula>H605</formula>
    </cfRule>
  </conditionalFormatting>
  <conditionalFormatting sqref="O605:O613 M605:M613 G605:G613 K605:K613 S605:S613 U605:U613 W605:W613 I605:I613 Q605:Q613">
    <cfRule type="cellIs" dxfId="222" priority="794" stopIfTrue="1" operator="notEqual">
      <formula>H605</formula>
    </cfRule>
  </conditionalFormatting>
  <conditionalFormatting sqref="G605:G613">
    <cfRule type="cellIs" dxfId="221" priority="793" stopIfTrue="1" operator="notEqual">
      <formula>H605</formula>
    </cfRule>
  </conditionalFormatting>
  <conditionalFormatting sqref="G605:G613">
    <cfRule type="cellIs" dxfId="220" priority="792" stopIfTrue="1" operator="notEqual">
      <formula>H605</formula>
    </cfRule>
  </conditionalFormatting>
  <conditionalFormatting sqref="O605:O613 M605:M613 G605:G613 K605:K613 S605:S613 U605:U613 W605:W613 I605:I613 Q605:Q613">
    <cfRule type="cellIs" dxfId="219" priority="791" stopIfTrue="1" operator="notEqual">
      <formula>H605</formula>
    </cfRule>
  </conditionalFormatting>
  <conditionalFormatting sqref="O605:O613 M605:M613 G605:G613 K605:K613 S605:S613 U605:U613 W605:W613 I605:I613 Q605:Q613">
    <cfRule type="cellIs" dxfId="218" priority="790" stopIfTrue="1" operator="notEqual">
      <formula>H605</formula>
    </cfRule>
  </conditionalFormatting>
  <conditionalFormatting sqref="O605:O613 M605:M613 G605:G613 K605:K613 S605:S613 U605:U613 W605:W613 I605:I613 Q605:Q613">
    <cfRule type="cellIs" dxfId="217" priority="789" stopIfTrue="1" operator="notEqual">
      <formula>H605</formula>
    </cfRule>
  </conditionalFormatting>
  <conditionalFormatting sqref="O605:O613 M605:M613 G605:G613 K605:K613 S605:S613 U605:U613 W605:W613 I605:I613 Q605:Q613">
    <cfRule type="cellIs" dxfId="216" priority="788" stopIfTrue="1" operator="notEqual">
      <formula>H605</formula>
    </cfRule>
  </conditionalFormatting>
  <conditionalFormatting sqref="O605:O613 M605:M613 G605:G613 K605:K613 S605:S613 U605:U613 W605:W613 I605:I613 Q605:Q613">
    <cfRule type="cellIs" dxfId="215" priority="787" stopIfTrue="1" operator="notEqual">
      <formula>H605</formula>
    </cfRule>
  </conditionalFormatting>
  <conditionalFormatting sqref="O605:O613 M605:M613 G605:G613 K605:K613 S605:S613 U605:U613 W605:W613 I605:I613 Q605:Q613">
    <cfRule type="cellIs" dxfId="214" priority="786" stopIfTrue="1" operator="notEqual">
      <formula>H605</formula>
    </cfRule>
  </conditionalFormatting>
  <conditionalFormatting sqref="O605:O613 M605:M613 G605:G613 K605:K613 S605:S613 U605:U613 W605:W613 I605:I613 Q605:Q613">
    <cfRule type="cellIs" dxfId="213" priority="785" stopIfTrue="1" operator="notEqual">
      <formula>H605</formula>
    </cfRule>
  </conditionalFormatting>
  <conditionalFormatting sqref="G605:G613">
    <cfRule type="cellIs" dxfId="212" priority="784" stopIfTrue="1" operator="notEqual">
      <formula>H605</formula>
    </cfRule>
  </conditionalFormatting>
  <conditionalFormatting sqref="G605:G613">
    <cfRule type="cellIs" dxfId="211" priority="783" stopIfTrue="1" operator="notEqual">
      <formula>H605</formula>
    </cfRule>
  </conditionalFormatting>
  <conditionalFormatting sqref="G605:G613">
    <cfRule type="cellIs" dxfId="210" priority="782" stopIfTrue="1" operator="notEqual">
      <formula>H605</formula>
    </cfRule>
  </conditionalFormatting>
  <conditionalFormatting sqref="G605:G613">
    <cfRule type="cellIs" dxfId="209" priority="781" stopIfTrue="1" operator="notEqual">
      <formula>H605</formula>
    </cfRule>
  </conditionalFormatting>
  <conditionalFormatting sqref="G605:G613">
    <cfRule type="cellIs" dxfId="208" priority="780" stopIfTrue="1" operator="notEqual">
      <formula>H605</formula>
    </cfRule>
  </conditionalFormatting>
  <conditionalFormatting sqref="O605:O613 M605:M613 G605:G613 K605:K613 S605:S613 U605:U613 W605:W613 I605:I613 Q605:Q613">
    <cfRule type="cellIs" dxfId="207" priority="779" stopIfTrue="1" operator="notEqual">
      <formula>H605</formula>
    </cfRule>
  </conditionalFormatting>
  <conditionalFormatting sqref="O605:O613 M605:M613 G605:G613 K605:K613 S605:S613 U605:U613 W605:W613 I605:I613 Q605:Q613">
    <cfRule type="cellIs" dxfId="206" priority="778" stopIfTrue="1" operator="notEqual">
      <formula>H605</formula>
    </cfRule>
  </conditionalFormatting>
  <conditionalFormatting sqref="G605:G613">
    <cfRule type="cellIs" dxfId="205" priority="777" stopIfTrue="1" operator="notEqual">
      <formula>H605</formula>
    </cfRule>
  </conditionalFormatting>
  <conditionalFormatting sqref="G605:G613">
    <cfRule type="cellIs" dxfId="204" priority="776" stopIfTrue="1" operator="notEqual">
      <formula>H605</formula>
    </cfRule>
  </conditionalFormatting>
  <conditionalFormatting sqref="O605:O613 M605:M613 G605:G613 K605:K613 S605:S613 U605:U613 W605:W613 I605:I613 Q605:Q613">
    <cfRule type="cellIs" dxfId="203" priority="775" stopIfTrue="1" operator="notEqual">
      <formula>H605</formula>
    </cfRule>
  </conditionalFormatting>
  <conditionalFormatting sqref="O605:O613 M605:M613 G605:G613 K605:K613 S605:S613 U605:U613 W605:W613 I605:I613 Q605:Q613">
    <cfRule type="cellIs" dxfId="202" priority="774" stopIfTrue="1" operator="notEqual">
      <formula>H605</formula>
    </cfRule>
  </conditionalFormatting>
  <conditionalFormatting sqref="O605:O613 M605:M613 G605:G613 K605:K613 S605:S613 U605:U613 W605:W613 I605:I613 Q605:Q613">
    <cfRule type="cellIs" dxfId="201" priority="773" stopIfTrue="1" operator="notEqual">
      <formula>H605</formula>
    </cfRule>
  </conditionalFormatting>
  <conditionalFormatting sqref="O605:O613 M605:M613 G605:G613 K605:K613 S605:S613 U605:U613 W605:W613 I605:I613 Q605:Q613">
    <cfRule type="cellIs" dxfId="200" priority="772" stopIfTrue="1" operator="notEqual">
      <formula>H605</formula>
    </cfRule>
  </conditionalFormatting>
  <conditionalFormatting sqref="G605:G613">
    <cfRule type="cellIs" dxfId="199" priority="771" stopIfTrue="1" operator="notEqual">
      <formula>H605</formula>
    </cfRule>
  </conditionalFormatting>
  <conditionalFormatting sqref="O605:O613 M605:M613 G605:G613 K605:K613 S605:S613 U605:U613 W605:W613 I605:I613 Q605:Q613">
    <cfRule type="cellIs" dxfId="198" priority="770" stopIfTrue="1" operator="notEqual">
      <formula>H605</formula>
    </cfRule>
  </conditionalFormatting>
  <conditionalFormatting sqref="O605:O613 M605:M613 G605:G613 K605:K613 S605:S613 U605:U613 W605:W613 I605:I613 Q605:Q613">
    <cfRule type="cellIs" dxfId="197" priority="769" stopIfTrue="1" operator="notEqual">
      <formula>H605</formula>
    </cfRule>
  </conditionalFormatting>
  <conditionalFormatting sqref="O605:O613 M605:M613 G605:G613 K605:K613 S605:S613 U605:U613 W605:W613 I605:I613 Q605:Q613">
    <cfRule type="cellIs" dxfId="196" priority="768" stopIfTrue="1" operator="notEqual">
      <formula>H605</formula>
    </cfRule>
  </conditionalFormatting>
  <conditionalFormatting sqref="O605:O613 M605:M613 G605:G613 K605:K613 S605:S613 U605:U613 W605:W613 I605:I613 Q605:Q613">
    <cfRule type="cellIs" dxfId="195" priority="767" stopIfTrue="1" operator="notEqual">
      <formula>H605</formula>
    </cfRule>
  </conditionalFormatting>
  <conditionalFormatting sqref="O605:O613 M605:M613 G605:G613 K605:K613 S605:S613 U605:U613 W605:W613 I605:I613 Q605:Q613">
    <cfRule type="cellIs" dxfId="194" priority="766" stopIfTrue="1" operator="notEqual">
      <formula>H605</formula>
    </cfRule>
  </conditionalFormatting>
  <conditionalFormatting sqref="G605:G613">
    <cfRule type="cellIs" dxfId="193" priority="765" stopIfTrue="1" operator="notEqual">
      <formula>H605</formula>
    </cfRule>
  </conditionalFormatting>
  <conditionalFormatting sqref="G605:G613">
    <cfRule type="cellIs" dxfId="192" priority="764" stopIfTrue="1" operator="notEqual">
      <formula>H605</formula>
    </cfRule>
  </conditionalFormatting>
  <conditionalFormatting sqref="G605:G613">
    <cfRule type="cellIs" dxfId="191" priority="763" stopIfTrue="1" operator="notEqual">
      <formula>H605</formula>
    </cfRule>
  </conditionalFormatting>
  <conditionalFormatting sqref="G605:G613">
    <cfRule type="cellIs" dxfId="190" priority="762" stopIfTrue="1" operator="notEqual">
      <formula>H605</formula>
    </cfRule>
  </conditionalFormatting>
  <conditionalFormatting sqref="G605:G613">
    <cfRule type="cellIs" dxfId="189" priority="761" stopIfTrue="1" operator="notEqual">
      <formula>H605</formula>
    </cfRule>
  </conditionalFormatting>
  <conditionalFormatting sqref="G605:G613">
    <cfRule type="cellIs" dxfId="188" priority="760" stopIfTrue="1" operator="notEqual">
      <formula>H605</formula>
    </cfRule>
  </conditionalFormatting>
  <conditionalFormatting sqref="O605:O613 M605:M613 G605:G613 K605:K613 S605:S613 U605:U613 W605:W613 I605:I613 Q605:Q613">
    <cfRule type="cellIs" dxfId="187" priority="759" stopIfTrue="1" operator="notEqual">
      <formula>H605</formula>
    </cfRule>
  </conditionalFormatting>
  <conditionalFormatting sqref="O605:O613 M605:M613 G605:G613 K605:K613 S605:S613 U605:U613 W605:W613 I605:I613 Q605:Q613">
    <cfRule type="cellIs" dxfId="186" priority="758" stopIfTrue="1" operator="notEqual">
      <formula>H605</formula>
    </cfRule>
  </conditionalFormatting>
  <conditionalFormatting sqref="G605:G613">
    <cfRule type="cellIs" dxfId="185" priority="757" stopIfTrue="1" operator="notEqual">
      <formula>H605</formula>
    </cfRule>
  </conditionalFormatting>
  <conditionalFormatting sqref="O605:O613 M605:M613 G605:G613 K605:K613 S605:S613 U605:U613 W605:W613 I605:I613 Q605:Q613">
    <cfRule type="cellIs" dxfId="184" priority="756" stopIfTrue="1" operator="notEqual">
      <formula>H605</formula>
    </cfRule>
  </conditionalFormatting>
  <conditionalFormatting sqref="O605:O613 M605:M613 G605:G613 K605:K613 S605:S613 U605:U613 W605:W613 I605:I613 Q605:Q613">
    <cfRule type="cellIs" dxfId="183" priority="755" stopIfTrue="1" operator="notEqual">
      <formula>H605</formula>
    </cfRule>
  </conditionalFormatting>
  <conditionalFormatting sqref="O605:O613 M605:M613 G605:G613 K605:K613 S605:S613 U605:U613 W605:W613 I605:I613 Q605:Q613">
    <cfRule type="cellIs" dxfId="182" priority="754" stopIfTrue="1" operator="notEqual">
      <formula>H605</formula>
    </cfRule>
  </conditionalFormatting>
  <conditionalFormatting sqref="G605:G613">
    <cfRule type="cellIs" dxfId="181" priority="753" stopIfTrue="1" operator="notEqual">
      <formula>H605</formula>
    </cfRule>
  </conditionalFormatting>
  <conditionalFormatting sqref="G605:G613">
    <cfRule type="cellIs" dxfId="180" priority="752" stopIfTrue="1" operator="notEqual">
      <formula>H605</formula>
    </cfRule>
  </conditionalFormatting>
  <conditionalFormatting sqref="O605:O613 M605:M613 G605:G613 K605:K613 S605:S613 U605:U613 W605:W613 I605:I613 Q605:Q613">
    <cfRule type="cellIs" dxfId="179" priority="751" stopIfTrue="1" operator="notEqual">
      <formula>H605</formula>
    </cfRule>
  </conditionalFormatting>
  <conditionalFormatting sqref="O605:O613 M605:M613 G605:G613 K605:K613 S605:S613 U605:U613 W605:W613 I605:I613 Q605:Q613">
    <cfRule type="cellIs" dxfId="178" priority="750" stopIfTrue="1" operator="notEqual">
      <formula>H605</formula>
    </cfRule>
  </conditionalFormatting>
  <conditionalFormatting sqref="O605:O613 M605:M613 G605:G613 K605:K613 S605:S613 U605:U613 W605:W613 I605:I613 Q605:Q613">
    <cfRule type="cellIs" dxfId="177" priority="749" stopIfTrue="1" operator="notEqual">
      <formula>H605</formula>
    </cfRule>
  </conditionalFormatting>
  <conditionalFormatting sqref="O605:O613 M605:M613 G605:G613 K605:K613 S605:S613 U605:U613 W605:W613 I605:I613 Q605:Q613">
    <cfRule type="cellIs" dxfId="176" priority="748" stopIfTrue="1" operator="notEqual">
      <formula>H605</formula>
    </cfRule>
  </conditionalFormatting>
  <conditionalFormatting sqref="O605:O613 M605:M613 G605:G613 K605:K613 S605:S613 U605:U613 W605:W613 I605:I613 Q605:Q613">
    <cfRule type="cellIs" dxfId="175" priority="747" stopIfTrue="1" operator="notEqual">
      <formula>H605</formula>
    </cfRule>
  </conditionalFormatting>
  <conditionalFormatting sqref="Q605:Q613 O605:O613 M605:M613 G605:G613 K605:K613 S605:S613 U605:U613 W605:W613 I605:I613">
    <cfRule type="cellIs" dxfId="174" priority="746" stopIfTrue="1" operator="notEqual">
      <formula>H605</formula>
    </cfRule>
  </conditionalFormatting>
  <conditionalFormatting sqref="Q605:Q613 O605:O613 M605:M613 G605:G613 K605:K613 S605:S613 U605:U613 W605:W613 I605:I613">
    <cfRule type="cellIs" dxfId="173" priority="745" stopIfTrue="1" operator="notEqual">
      <formula>H605</formula>
    </cfRule>
  </conditionalFormatting>
  <conditionalFormatting sqref="Q605:Q613 O605:O613 M605:M613 G605:G613 K605:K613 S605:S613 U605:U613 W605:W613 I605:I613">
    <cfRule type="cellIs" dxfId="172" priority="744" stopIfTrue="1" operator="notEqual">
      <formula>H605</formula>
    </cfRule>
  </conditionalFormatting>
  <conditionalFormatting sqref="G605:G613 I605:I613 Q605:Q613 O605:O613 M605:M613 U605:U613 W605:W613 K605:K613 S605:S613">
    <cfRule type="cellIs" dxfId="171" priority="743" stopIfTrue="1" operator="notEqual">
      <formula>H605</formula>
    </cfRule>
  </conditionalFormatting>
  <conditionalFormatting sqref="Q605:Q613 O605:O613 M605:M613 G605:G613 K605:K613 S605:S613 U605:U613 W605:W613 I605:I613">
    <cfRule type="cellIs" dxfId="170" priority="742" stopIfTrue="1" operator="notEqual">
      <formula>H605</formula>
    </cfRule>
  </conditionalFormatting>
  <conditionalFormatting sqref="G605:G613 I605:I613 K605:K613 Q605:Q613 O605:O613 M605:M613 U605:U613 W605:W613 S605:S613">
    <cfRule type="cellIs" dxfId="169" priority="741" stopIfTrue="1" operator="notEqual">
      <formula>H605</formula>
    </cfRule>
  </conditionalFormatting>
  <conditionalFormatting sqref="Q605:Q613 O605:O613 M605:M613 G605:G613 K605:K613 S605:S613 U605:U613 W605:W613 I605:I613">
    <cfRule type="cellIs" dxfId="168" priority="740" stopIfTrue="1" operator="notEqual">
      <formula>H605</formula>
    </cfRule>
  </conditionalFormatting>
  <conditionalFormatting sqref="G605:G613 I605:I613 K605:K613 Q605:Q613 O605:O613 M605:M613 U605:U613 W605:W613 S605:S613">
    <cfRule type="cellIs" dxfId="167" priority="739" stopIfTrue="1" operator="notEqual">
      <formula>H605</formula>
    </cfRule>
  </conditionalFormatting>
  <conditionalFormatting sqref="Q605:Q613 O605:O613 M605:M613 G605:G613 K605:K613 S605:S613 U605:U613 W605:W613 I605:I613">
    <cfRule type="cellIs" dxfId="166" priority="738" stopIfTrue="1" operator="notEqual">
      <formula>H605</formula>
    </cfRule>
  </conditionalFormatting>
  <conditionalFormatting sqref="Y35:Y66">
    <cfRule type="cellIs" dxfId="165" priority="239" stopIfTrue="1" operator="notEqual">
      <formula>Z35</formula>
    </cfRule>
  </conditionalFormatting>
  <conditionalFormatting sqref="Y35:Y66">
    <cfRule type="cellIs" dxfId="164" priority="238" stopIfTrue="1" operator="notEqual">
      <formula>Z35</formula>
    </cfRule>
  </conditionalFormatting>
  <conditionalFormatting sqref="Y35:Y66">
    <cfRule type="cellIs" dxfId="163" priority="237" stopIfTrue="1" operator="notEqual">
      <formula>Z35</formula>
    </cfRule>
  </conditionalFormatting>
  <conditionalFormatting sqref="Y35:Y66">
    <cfRule type="cellIs" dxfId="162" priority="236" stopIfTrue="1" operator="notEqual">
      <formula>Z35</formula>
    </cfRule>
  </conditionalFormatting>
  <conditionalFormatting sqref="Y35:Y66">
    <cfRule type="cellIs" dxfId="161" priority="235" stopIfTrue="1" operator="notEqual">
      <formula>Z35</formula>
    </cfRule>
  </conditionalFormatting>
  <conditionalFormatting sqref="Y35:Y66">
    <cfRule type="cellIs" dxfId="160" priority="234" stopIfTrue="1" operator="notEqual">
      <formula>Z35</formula>
    </cfRule>
  </conditionalFormatting>
  <conditionalFormatting sqref="Y35:Y66">
    <cfRule type="cellIs" dxfId="159" priority="233" stopIfTrue="1" operator="notEqual">
      <formula>Z35</formula>
    </cfRule>
  </conditionalFormatting>
  <conditionalFormatting sqref="Y35:Y66">
    <cfRule type="cellIs" dxfId="158" priority="232" stopIfTrue="1" operator="notEqual">
      <formula>Z35</formula>
    </cfRule>
  </conditionalFormatting>
  <conditionalFormatting sqref="Y35:Y66">
    <cfRule type="cellIs" dxfId="157" priority="231" stopIfTrue="1" operator="notEqual">
      <formula>Z35</formula>
    </cfRule>
  </conditionalFormatting>
  <conditionalFormatting sqref="Y35:Y66">
    <cfRule type="cellIs" dxfId="156" priority="230" stopIfTrue="1" operator="notEqual">
      <formula>Z35</formula>
    </cfRule>
  </conditionalFormatting>
  <conditionalFormatting sqref="Y35:Y66">
    <cfRule type="cellIs" dxfId="155" priority="229" stopIfTrue="1" operator="notEqual">
      <formula>Z35</formula>
    </cfRule>
  </conditionalFormatting>
  <conditionalFormatting sqref="Y140:Y226">
    <cfRule type="cellIs" dxfId="154" priority="228" stopIfTrue="1" operator="notEqual">
      <formula>Z140</formula>
    </cfRule>
  </conditionalFormatting>
  <conditionalFormatting sqref="Y140:Y226">
    <cfRule type="cellIs" dxfId="153" priority="227" stopIfTrue="1" operator="notEqual">
      <formula>Z140</formula>
    </cfRule>
  </conditionalFormatting>
  <conditionalFormatting sqref="Y140:Y226">
    <cfRule type="cellIs" dxfId="152" priority="226" stopIfTrue="1" operator="notEqual">
      <formula>Z140</formula>
    </cfRule>
  </conditionalFormatting>
  <conditionalFormatting sqref="Y140:Y226">
    <cfRule type="cellIs" dxfId="151" priority="225" stopIfTrue="1" operator="notEqual">
      <formula>Z140</formula>
    </cfRule>
  </conditionalFormatting>
  <conditionalFormatting sqref="Y140:Y226">
    <cfRule type="cellIs" dxfId="150" priority="224" stopIfTrue="1" operator="notEqual">
      <formula>Z140</formula>
    </cfRule>
  </conditionalFormatting>
  <conditionalFormatting sqref="Y140:Y226">
    <cfRule type="cellIs" dxfId="149" priority="223" stopIfTrue="1" operator="notEqual">
      <formula>Z140</formula>
    </cfRule>
  </conditionalFormatting>
  <conditionalFormatting sqref="Y140:Y226">
    <cfRule type="cellIs" dxfId="148" priority="222" stopIfTrue="1" operator="notEqual">
      <formula>Z140</formula>
    </cfRule>
  </conditionalFormatting>
  <conditionalFormatting sqref="Y140:Y226">
    <cfRule type="cellIs" dxfId="147" priority="221" stopIfTrue="1" operator="notEqual">
      <formula>Z140</formula>
    </cfRule>
  </conditionalFormatting>
  <conditionalFormatting sqref="Y140:Y226">
    <cfRule type="cellIs" dxfId="146" priority="220" stopIfTrue="1" operator="notEqual">
      <formula>Z140</formula>
    </cfRule>
  </conditionalFormatting>
  <conditionalFormatting sqref="Y140:Y226">
    <cfRule type="cellIs" dxfId="145" priority="219" stopIfTrue="1" operator="notEqual">
      <formula>Z140</formula>
    </cfRule>
  </conditionalFormatting>
  <conditionalFormatting sqref="Y140:Y226">
    <cfRule type="cellIs" dxfId="144" priority="218" stopIfTrue="1" operator="notEqual">
      <formula>Z140</formula>
    </cfRule>
  </conditionalFormatting>
  <conditionalFormatting sqref="Y140:Y226">
    <cfRule type="cellIs" dxfId="143" priority="217" stopIfTrue="1" operator="notEqual">
      <formula>Z140</formula>
    </cfRule>
  </conditionalFormatting>
  <conditionalFormatting sqref="Y232:Y254">
    <cfRule type="cellIs" dxfId="142" priority="216" stopIfTrue="1" operator="notEqual">
      <formula>Z232</formula>
    </cfRule>
  </conditionalFormatting>
  <conditionalFormatting sqref="Y232:Y254">
    <cfRule type="cellIs" dxfId="141" priority="215" stopIfTrue="1" operator="notEqual">
      <formula>Z232</formula>
    </cfRule>
  </conditionalFormatting>
  <conditionalFormatting sqref="Y232:Y254">
    <cfRule type="cellIs" dxfId="140" priority="214" stopIfTrue="1" operator="notEqual">
      <formula>Z232</formula>
    </cfRule>
  </conditionalFormatting>
  <conditionalFormatting sqref="Y232:Y254">
    <cfRule type="cellIs" dxfId="139" priority="213" stopIfTrue="1" operator="notEqual">
      <formula>Z232</formula>
    </cfRule>
  </conditionalFormatting>
  <conditionalFormatting sqref="Y232:Y254">
    <cfRule type="cellIs" dxfId="138" priority="212" stopIfTrue="1" operator="notEqual">
      <formula>Z232</formula>
    </cfRule>
  </conditionalFormatting>
  <conditionalFormatting sqref="Y232:Y254">
    <cfRule type="cellIs" dxfId="137" priority="211" stopIfTrue="1" operator="notEqual">
      <formula>Z232</formula>
    </cfRule>
  </conditionalFormatting>
  <conditionalFormatting sqref="Y232:Y254">
    <cfRule type="cellIs" dxfId="136" priority="210" stopIfTrue="1" operator="notEqual">
      <formula>Z232</formula>
    </cfRule>
  </conditionalFormatting>
  <conditionalFormatting sqref="Y232:Y254">
    <cfRule type="cellIs" dxfId="135" priority="209" stopIfTrue="1" operator="notEqual">
      <formula>Z232</formula>
    </cfRule>
  </conditionalFormatting>
  <conditionalFormatting sqref="Y232:Y254">
    <cfRule type="cellIs" dxfId="134" priority="208" stopIfTrue="1" operator="notEqual">
      <formula>Z232</formula>
    </cfRule>
  </conditionalFormatting>
  <conditionalFormatting sqref="Y232:Y254">
    <cfRule type="cellIs" dxfId="133" priority="207" stopIfTrue="1" operator="notEqual">
      <formula>Z232</formula>
    </cfRule>
  </conditionalFormatting>
  <conditionalFormatting sqref="Y232:Y254">
    <cfRule type="cellIs" dxfId="132" priority="206" stopIfTrue="1" operator="notEqual">
      <formula>Z232</formula>
    </cfRule>
  </conditionalFormatting>
  <conditionalFormatting sqref="Y232:Y254">
    <cfRule type="cellIs" dxfId="131" priority="205" stopIfTrue="1" operator="notEqual">
      <formula>Z232</formula>
    </cfRule>
  </conditionalFormatting>
  <conditionalFormatting sqref="Y293:Y335">
    <cfRule type="cellIs" dxfId="130" priority="204" stopIfTrue="1" operator="notEqual">
      <formula>Z293</formula>
    </cfRule>
  </conditionalFormatting>
  <conditionalFormatting sqref="Y293:Y335">
    <cfRule type="cellIs" dxfId="129" priority="203" stopIfTrue="1" operator="notEqual">
      <formula>Z293</formula>
    </cfRule>
  </conditionalFormatting>
  <conditionalFormatting sqref="Y293:Y335">
    <cfRule type="cellIs" dxfId="128" priority="202" stopIfTrue="1" operator="notEqual">
      <formula>Z293</formula>
    </cfRule>
  </conditionalFormatting>
  <conditionalFormatting sqref="Y293:Y335">
    <cfRule type="cellIs" dxfId="127" priority="201" stopIfTrue="1" operator="notEqual">
      <formula>Z293</formula>
    </cfRule>
  </conditionalFormatting>
  <conditionalFormatting sqref="Y293:Y335">
    <cfRule type="cellIs" dxfId="126" priority="200" stopIfTrue="1" operator="notEqual">
      <formula>Z293</formula>
    </cfRule>
  </conditionalFormatting>
  <conditionalFormatting sqref="Y293:Y335">
    <cfRule type="cellIs" dxfId="125" priority="199" stopIfTrue="1" operator="notEqual">
      <formula>Z293</formula>
    </cfRule>
  </conditionalFormatting>
  <conditionalFormatting sqref="Y293:Y335">
    <cfRule type="cellIs" dxfId="124" priority="198" stopIfTrue="1" operator="notEqual">
      <formula>Z293</formula>
    </cfRule>
  </conditionalFormatting>
  <conditionalFormatting sqref="Y293:Y335">
    <cfRule type="cellIs" dxfId="123" priority="197" stopIfTrue="1" operator="notEqual">
      <formula>Z293</formula>
    </cfRule>
  </conditionalFormatting>
  <conditionalFormatting sqref="Y293:Y335">
    <cfRule type="cellIs" dxfId="122" priority="196" stopIfTrue="1" operator="notEqual">
      <formula>Z293</formula>
    </cfRule>
  </conditionalFormatting>
  <conditionalFormatting sqref="Y293:Y335">
    <cfRule type="cellIs" dxfId="121" priority="195" stopIfTrue="1" operator="notEqual">
      <formula>Z293</formula>
    </cfRule>
  </conditionalFormatting>
  <conditionalFormatting sqref="Y293:Y335">
    <cfRule type="cellIs" dxfId="120" priority="194" stopIfTrue="1" operator="notEqual">
      <formula>Z293</formula>
    </cfRule>
  </conditionalFormatting>
  <conditionalFormatting sqref="Y293:Y335">
    <cfRule type="cellIs" dxfId="119" priority="193" stopIfTrue="1" operator="notEqual">
      <formula>Z293</formula>
    </cfRule>
  </conditionalFormatting>
  <conditionalFormatting sqref="Y488:Y680">
    <cfRule type="cellIs" dxfId="118" priority="180" stopIfTrue="1" operator="notEqual">
      <formula>Z488</formula>
    </cfRule>
  </conditionalFormatting>
  <conditionalFormatting sqref="Y488:Y680">
    <cfRule type="cellIs" dxfId="117" priority="179" stopIfTrue="1" operator="notEqual">
      <formula>Z488</formula>
    </cfRule>
  </conditionalFormatting>
  <conditionalFormatting sqref="Y488:Y680">
    <cfRule type="cellIs" dxfId="116" priority="178" stopIfTrue="1" operator="notEqual">
      <formula>Z488</formula>
    </cfRule>
  </conditionalFormatting>
  <conditionalFormatting sqref="Y488:Y680">
    <cfRule type="cellIs" dxfId="115" priority="177" stopIfTrue="1" operator="notEqual">
      <formula>Z488</formula>
    </cfRule>
  </conditionalFormatting>
  <conditionalFormatting sqref="Y488:Y680">
    <cfRule type="cellIs" dxfId="114" priority="176" stopIfTrue="1" operator="notEqual">
      <formula>Z488</formula>
    </cfRule>
  </conditionalFormatting>
  <conditionalFormatting sqref="Y488:Y680">
    <cfRule type="cellIs" dxfId="113" priority="175" stopIfTrue="1" operator="notEqual">
      <formula>Z488</formula>
    </cfRule>
  </conditionalFormatting>
  <conditionalFormatting sqref="Y488:Y680">
    <cfRule type="cellIs" dxfId="112" priority="174" stopIfTrue="1" operator="notEqual">
      <formula>Z488</formula>
    </cfRule>
  </conditionalFormatting>
  <conditionalFormatting sqref="Y488:Y680">
    <cfRule type="cellIs" dxfId="111" priority="173" stopIfTrue="1" operator="notEqual">
      <formula>Z488</formula>
    </cfRule>
  </conditionalFormatting>
  <conditionalFormatting sqref="Y488:Y680">
    <cfRule type="cellIs" dxfId="110" priority="172" stopIfTrue="1" operator="notEqual">
      <formula>Z488</formula>
    </cfRule>
  </conditionalFormatting>
  <conditionalFormatting sqref="Y488:Y680">
    <cfRule type="cellIs" dxfId="109" priority="171" stopIfTrue="1" operator="notEqual">
      <formula>Z488</formula>
    </cfRule>
  </conditionalFormatting>
  <conditionalFormatting sqref="Y488:Y680">
    <cfRule type="cellIs" dxfId="108" priority="170" stopIfTrue="1" operator="notEqual">
      <formula>Z488</formula>
    </cfRule>
  </conditionalFormatting>
  <conditionalFormatting sqref="Y488:Y680">
    <cfRule type="cellIs" dxfId="107" priority="169" stopIfTrue="1" operator="notEqual">
      <formula>Z488</formula>
    </cfRule>
  </conditionalFormatting>
  <conditionalFormatting sqref="Y684:Y695">
    <cfRule type="cellIs" dxfId="106" priority="168" stopIfTrue="1" operator="notEqual">
      <formula>Z684</formula>
    </cfRule>
  </conditionalFormatting>
  <conditionalFormatting sqref="Y684:Y695">
    <cfRule type="cellIs" dxfId="105" priority="167" stopIfTrue="1" operator="notEqual">
      <formula>Z684</formula>
    </cfRule>
  </conditionalFormatting>
  <conditionalFormatting sqref="Y684:Y695">
    <cfRule type="cellIs" dxfId="104" priority="166" stopIfTrue="1" operator="notEqual">
      <formula>Z684</formula>
    </cfRule>
  </conditionalFormatting>
  <conditionalFormatting sqref="Y684:Y695">
    <cfRule type="cellIs" dxfId="103" priority="165" stopIfTrue="1" operator="notEqual">
      <formula>Z684</formula>
    </cfRule>
  </conditionalFormatting>
  <conditionalFormatting sqref="Y684:Y695">
    <cfRule type="cellIs" dxfId="102" priority="164" stopIfTrue="1" operator="notEqual">
      <formula>Z684</formula>
    </cfRule>
  </conditionalFormatting>
  <conditionalFormatting sqref="Y684:Y695">
    <cfRule type="cellIs" dxfId="101" priority="163" stopIfTrue="1" operator="notEqual">
      <formula>Z684</formula>
    </cfRule>
  </conditionalFormatting>
  <conditionalFormatting sqref="Y684:Y695">
    <cfRule type="cellIs" dxfId="100" priority="162" stopIfTrue="1" operator="notEqual">
      <formula>Z684</formula>
    </cfRule>
  </conditionalFormatting>
  <conditionalFormatting sqref="Y684:Y695">
    <cfRule type="cellIs" dxfId="99" priority="161" stopIfTrue="1" operator="notEqual">
      <formula>Z684</formula>
    </cfRule>
  </conditionalFormatting>
  <conditionalFormatting sqref="Y684:Y695">
    <cfRule type="cellIs" dxfId="98" priority="160" stopIfTrue="1" operator="notEqual">
      <formula>Z684</formula>
    </cfRule>
  </conditionalFormatting>
  <conditionalFormatting sqref="Y684:Y695">
    <cfRule type="cellIs" dxfId="97" priority="159" stopIfTrue="1" operator="notEqual">
      <formula>Z684</formula>
    </cfRule>
  </conditionalFormatting>
  <conditionalFormatting sqref="Y684:Y695">
    <cfRule type="cellIs" dxfId="96" priority="158" stopIfTrue="1" operator="notEqual">
      <formula>Z684</formula>
    </cfRule>
  </conditionalFormatting>
  <conditionalFormatting sqref="Y684:Y695">
    <cfRule type="cellIs" dxfId="95" priority="157" stopIfTrue="1" operator="notEqual">
      <formula>Z684</formula>
    </cfRule>
  </conditionalFormatting>
  <conditionalFormatting sqref="M251">
    <cfRule type="cellIs" dxfId="94" priority="11786" stopIfTrue="1" operator="notEqual">
      <formula>N263</formula>
    </cfRule>
  </conditionalFormatting>
  <conditionalFormatting sqref="M263">
    <cfRule type="cellIs" dxfId="93" priority="11789" stopIfTrue="1" operator="notEqual">
      <formula>#REF!</formula>
    </cfRule>
  </conditionalFormatting>
  <conditionalFormatting sqref="U579">
    <cfRule type="cellIs" dxfId="92" priority="16" stopIfTrue="1" operator="notEqual">
      <formula>V579</formula>
    </cfRule>
  </conditionalFormatting>
  <conditionalFormatting sqref="U579">
    <cfRule type="cellIs" dxfId="91" priority="15" stopIfTrue="1" operator="notEqual">
      <formula>V579</formula>
    </cfRule>
  </conditionalFormatting>
  <conditionalFormatting sqref="U579">
    <cfRule type="cellIs" dxfId="90" priority="14" stopIfTrue="1" operator="notEqual">
      <formula>V579</formula>
    </cfRule>
  </conditionalFormatting>
  <conditionalFormatting sqref="U579">
    <cfRule type="cellIs" dxfId="89" priority="13" stopIfTrue="1" operator="notEqual">
      <formula>V579</formula>
    </cfRule>
  </conditionalFormatting>
  <conditionalFormatting sqref="U579">
    <cfRule type="cellIs" dxfId="88" priority="12" stopIfTrue="1" operator="notEqual">
      <formula>V579</formula>
    </cfRule>
  </conditionalFormatting>
  <conditionalFormatting sqref="U579">
    <cfRule type="cellIs" dxfId="87" priority="11" stopIfTrue="1" operator="notEqual">
      <formula>V579</formula>
    </cfRule>
  </conditionalFormatting>
  <conditionalFormatting sqref="U579">
    <cfRule type="cellIs" dxfId="86" priority="10" stopIfTrue="1" operator="notEqual">
      <formula>V579</formula>
    </cfRule>
  </conditionalFormatting>
  <conditionalFormatting sqref="U579">
    <cfRule type="cellIs" dxfId="85" priority="9" stopIfTrue="1" operator="notEqual">
      <formula>V579</formula>
    </cfRule>
  </conditionalFormatting>
  <conditionalFormatting sqref="U579">
    <cfRule type="cellIs" dxfId="84" priority="8" stopIfTrue="1" operator="notEqual">
      <formula>V579</formula>
    </cfRule>
  </conditionalFormatting>
  <conditionalFormatting sqref="U579">
    <cfRule type="cellIs" dxfId="83" priority="7" stopIfTrue="1" operator="notEqual">
      <formula>V579</formula>
    </cfRule>
  </conditionalFormatting>
  <conditionalFormatting sqref="U579">
    <cfRule type="cellIs" dxfId="82" priority="6" stopIfTrue="1" operator="notEqual">
      <formula>V579</formula>
    </cfRule>
  </conditionalFormatting>
  <conditionalFormatting sqref="U579">
    <cfRule type="cellIs" dxfId="81" priority="5" stopIfTrue="1" operator="notEqual">
      <formula>V579</formula>
    </cfRule>
  </conditionalFormatting>
  <conditionalFormatting sqref="U579">
    <cfRule type="cellIs" dxfId="80" priority="4" stopIfTrue="1" operator="notEqual">
      <formula>V579</formula>
    </cfRule>
  </conditionalFormatting>
  <conditionalFormatting sqref="U579">
    <cfRule type="cellIs" dxfId="79" priority="3" stopIfTrue="1" operator="notEqual">
      <formula>V579</formula>
    </cfRule>
  </conditionalFormatting>
  <conditionalFormatting sqref="U579">
    <cfRule type="cellIs" dxfId="78" priority="2" stopIfTrue="1" operator="notEqual">
      <formula>V579</formula>
    </cfRule>
  </conditionalFormatting>
  <conditionalFormatting sqref="U579">
    <cfRule type="cellIs" dxfId="77" priority="1" stopIfTrue="1" operator="notEqual">
      <formula>V579</formula>
    </cfRule>
  </conditionalFormatting>
  <dataValidations count="1">
    <dataValidation type="list" allowBlank="1" showInputMessage="1" showErrorMessage="1" sqref="G1 K1 M1 O1 Q1 S1 U1 W1 Y1">
      <formula1>TransmitterVariablesList</formula1>
    </dataValidation>
  </dataValidations>
  <pageMargins left="0.74803149606299213" right="0.74803149606299213" top="0.98425196850393704" bottom="0.98425196850393704" header="0.51181102362204722" footer="0.51181102362204722"/>
  <pageSetup paperSize="9" scale="45" orientation="landscape" r:id="rId1"/>
  <headerFooter alignWithMargins="0"/>
</worksheet>
</file>

<file path=xl/worksheets/sheet32.xml><?xml version="1.0" encoding="utf-8"?>
<worksheet xmlns="http://schemas.openxmlformats.org/spreadsheetml/2006/main" xmlns:r="http://schemas.openxmlformats.org/officeDocument/2006/relationships">
  <sheetPr codeName="Sheet53">
    <tabColor rgb="FF92D050"/>
  </sheetPr>
  <dimension ref="A1:AB166"/>
  <sheetViews>
    <sheetView showGridLines="0" zoomScale="80" zoomScaleNormal="80" workbookViewId="0">
      <pane xSplit="6" ySplit="4" topLeftCell="G5" activePane="bottomRight" state="frozenSplit"/>
      <selection activeCell="I58" sqref="I58"/>
      <selection pane="topRight" activeCell="I58" sqref="I58"/>
      <selection pane="bottomLeft" activeCell="I58" sqref="I58"/>
      <selection pane="bottomRight" activeCell="F1" sqref="F1"/>
    </sheetView>
  </sheetViews>
  <sheetFormatPr defaultRowHeight="12.75"/>
  <cols>
    <col min="1" max="1" width="18" style="28" customWidth="1"/>
    <col min="2" max="2" width="8.625" style="28" customWidth="1"/>
    <col min="3" max="3" width="8.625" style="29" customWidth="1"/>
    <col min="4" max="4" width="16.625" style="28" customWidth="1"/>
    <col min="5" max="5" width="11.5" style="28" customWidth="1"/>
    <col min="6" max="6" width="16.625" style="30" customWidth="1"/>
    <col min="7" max="7" width="24.625" style="31" customWidth="1"/>
    <col min="8" max="8" width="24.625" style="32" customWidth="1"/>
    <col min="9" max="9" width="24.625" style="189" customWidth="1"/>
    <col min="10" max="10" width="18.25" style="190" customWidth="1"/>
    <col min="11" max="11" width="9.75" style="31" customWidth="1"/>
    <col min="12" max="12" width="9.75" style="32" customWidth="1"/>
    <col min="13" max="13" width="9.75" style="31" customWidth="1"/>
    <col min="14" max="14" width="9.75" style="32" customWidth="1"/>
    <col min="15" max="15" width="9.75" style="31" customWidth="1"/>
    <col min="16" max="16" width="9.75" style="32" customWidth="1"/>
    <col min="17" max="17" width="9.75" style="31" customWidth="1"/>
    <col min="18" max="18" width="9.75" style="32" customWidth="1"/>
    <col min="19" max="19" width="9.75" style="856" customWidth="1"/>
    <col min="20" max="20" width="9.75" style="857" customWidth="1"/>
    <col min="21" max="21" width="9.75" style="856" customWidth="1"/>
    <col min="22" max="22" width="9.75" style="857" customWidth="1"/>
    <col min="23" max="23" width="9.75" style="856" customWidth="1"/>
    <col min="24" max="24" width="9.75" style="857" customWidth="1"/>
    <col min="25" max="25" width="9.75" style="856" customWidth="1"/>
    <col min="26" max="26" width="9.75" style="857" customWidth="1"/>
    <col min="27" max="27" width="4" style="6" customWidth="1"/>
    <col min="28" max="28" width="21.375" style="6" customWidth="1"/>
    <col min="29" max="274" width="9" style="6"/>
    <col min="275" max="275" width="12" style="6" customWidth="1"/>
    <col min="276" max="276" width="7.125" style="6" customWidth="1"/>
    <col min="277" max="277" width="9" style="6"/>
    <col min="278" max="278" width="16" style="6" customWidth="1"/>
    <col min="279" max="279" width="13.75" style="6" customWidth="1"/>
    <col min="280" max="281" width="9.75" style="6" customWidth="1"/>
    <col min="282" max="530" width="9" style="6"/>
    <col min="531" max="531" width="12" style="6" customWidth="1"/>
    <col min="532" max="532" width="7.125" style="6" customWidth="1"/>
    <col min="533" max="533" width="9" style="6"/>
    <col min="534" max="534" width="16" style="6" customWidth="1"/>
    <col min="535" max="535" width="13.75" style="6" customWidth="1"/>
    <col min="536" max="537" width="9.75" style="6" customWidth="1"/>
    <col min="538" max="786" width="9" style="6"/>
    <col min="787" max="787" width="12" style="6" customWidth="1"/>
    <col min="788" max="788" width="7.125" style="6" customWidth="1"/>
    <col min="789" max="789" width="9" style="6"/>
    <col min="790" max="790" width="16" style="6" customWidth="1"/>
    <col min="791" max="791" width="13.75" style="6" customWidth="1"/>
    <col min="792" max="793" width="9.75" style="6" customWidth="1"/>
    <col min="794" max="1042" width="9" style="6"/>
    <col min="1043" max="1043" width="12" style="6" customWidth="1"/>
    <col min="1044" max="1044" width="7.125" style="6" customWidth="1"/>
    <col min="1045" max="1045" width="9" style="6"/>
    <col min="1046" max="1046" width="16" style="6" customWidth="1"/>
    <col min="1047" max="1047" width="13.75" style="6" customWidth="1"/>
    <col min="1048" max="1049" width="9.75" style="6" customWidth="1"/>
    <col min="1050" max="1298" width="9" style="6"/>
    <col min="1299" max="1299" width="12" style="6" customWidth="1"/>
    <col min="1300" max="1300" width="7.125" style="6" customWidth="1"/>
    <col min="1301" max="1301" width="9" style="6"/>
    <col min="1302" max="1302" width="16" style="6" customWidth="1"/>
    <col min="1303" max="1303" width="13.75" style="6" customWidth="1"/>
    <col min="1304" max="1305" width="9.75" style="6" customWidth="1"/>
    <col min="1306" max="1554" width="9" style="6"/>
    <col min="1555" max="1555" width="12" style="6" customWidth="1"/>
    <col min="1556" max="1556" width="7.125" style="6" customWidth="1"/>
    <col min="1557" max="1557" width="9" style="6"/>
    <col min="1558" max="1558" width="16" style="6" customWidth="1"/>
    <col min="1559" max="1559" width="13.75" style="6" customWidth="1"/>
    <col min="1560" max="1561" width="9.75" style="6" customWidth="1"/>
    <col min="1562" max="1810" width="9" style="6"/>
    <col min="1811" max="1811" width="12" style="6" customWidth="1"/>
    <col min="1812" max="1812" width="7.125" style="6" customWidth="1"/>
    <col min="1813" max="1813" width="9" style="6"/>
    <col min="1814" max="1814" width="16" style="6" customWidth="1"/>
    <col min="1815" max="1815" width="13.75" style="6" customWidth="1"/>
    <col min="1816" max="1817" width="9.75" style="6" customWidth="1"/>
    <col min="1818" max="2066" width="9" style="6"/>
    <col min="2067" max="2067" width="12" style="6" customWidth="1"/>
    <col min="2068" max="2068" width="7.125" style="6" customWidth="1"/>
    <col min="2069" max="2069" width="9" style="6"/>
    <col min="2070" max="2070" width="16" style="6" customWidth="1"/>
    <col min="2071" max="2071" width="13.75" style="6" customWidth="1"/>
    <col min="2072" max="2073" width="9.75" style="6" customWidth="1"/>
    <col min="2074" max="2322" width="9" style="6"/>
    <col min="2323" max="2323" width="12" style="6" customWidth="1"/>
    <col min="2324" max="2324" width="7.125" style="6" customWidth="1"/>
    <col min="2325" max="2325" width="9" style="6"/>
    <col min="2326" max="2326" width="16" style="6" customWidth="1"/>
    <col min="2327" max="2327" width="13.75" style="6" customWidth="1"/>
    <col min="2328" max="2329" width="9.75" style="6" customWidth="1"/>
    <col min="2330" max="2578" width="9" style="6"/>
    <col min="2579" max="2579" width="12" style="6" customWidth="1"/>
    <col min="2580" max="2580" width="7.125" style="6" customWidth="1"/>
    <col min="2581" max="2581" width="9" style="6"/>
    <col min="2582" max="2582" width="16" style="6" customWidth="1"/>
    <col min="2583" max="2583" width="13.75" style="6" customWidth="1"/>
    <col min="2584" max="2585" width="9.75" style="6" customWidth="1"/>
    <col min="2586" max="2834" width="9" style="6"/>
    <col min="2835" max="2835" width="12" style="6" customWidth="1"/>
    <col min="2836" max="2836" width="7.125" style="6" customWidth="1"/>
    <col min="2837" max="2837" width="9" style="6"/>
    <col min="2838" max="2838" width="16" style="6" customWidth="1"/>
    <col min="2839" max="2839" width="13.75" style="6" customWidth="1"/>
    <col min="2840" max="2841" width="9.75" style="6" customWidth="1"/>
    <col min="2842" max="3090" width="9" style="6"/>
    <col min="3091" max="3091" width="12" style="6" customWidth="1"/>
    <col min="3092" max="3092" width="7.125" style="6" customWidth="1"/>
    <col min="3093" max="3093" width="9" style="6"/>
    <col min="3094" max="3094" width="16" style="6" customWidth="1"/>
    <col min="3095" max="3095" width="13.75" style="6" customWidth="1"/>
    <col min="3096" max="3097" width="9.75" style="6" customWidth="1"/>
    <col min="3098" max="3346" width="9" style="6"/>
    <col min="3347" max="3347" width="12" style="6" customWidth="1"/>
    <col min="3348" max="3348" width="7.125" style="6" customWidth="1"/>
    <col min="3349" max="3349" width="9" style="6"/>
    <col min="3350" max="3350" width="16" style="6" customWidth="1"/>
    <col min="3351" max="3351" width="13.75" style="6" customWidth="1"/>
    <col min="3352" max="3353" width="9.75" style="6" customWidth="1"/>
    <col min="3354" max="3602" width="9" style="6"/>
    <col min="3603" max="3603" width="12" style="6" customWidth="1"/>
    <col min="3604" max="3604" width="7.125" style="6" customWidth="1"/>
    <col min="3605" max="3605" width="9" style="6"/>
    <col min="3606" max="3606" width="16" style="6" customWidth="1"/>
    <col min="3607" max="3607" width="13.75" style="6" customWidth="1"/>
    <col min="3608" max="3609" width="9.75" style="6" customWidth="1"/>
    <col min="3610" max="3858" width="9" style="6"/>
    <col min="3859" max="3859" width="12" style="6" customWidth="1"/>
    <col min="3860" max="3860" width="7.125" style="6" customWidth="1"/>
    <col min="3861" max="3861" width="9" style="6"/>
    <col min="3862" max="3862" width="16" style="6" customWidth="1"/>
    <col min="3863" max="3863" width="13.75" style="6" customWidth="1"/>
    <col min="3864" max="3865" width="9.75" style="6" customWidth="1"/>
    <col min="3866" max="4114" width="9" style="6"/>
    <col min="4115" max="4115" width="12" style="6" customWidth="1"/>
    <col min="4116" max="4116" width="7.125" style="6" customWidth="1"/>
    <col min="4117" max="4117" width="9" style="6"/>
    <col min="4118" max="4118" width="16" style="6" customWidth="1"/>
    <col min="4119" max="4119" width="13.75" style="6" customWidth="1"/>
    <col min="4120" max="4121" width="9.75" style="6" customWidth="1"/>
    <col min="4122" max="4370" width="9" style="6"/>
    <col min="4371" max="4371" width="12" style="6" customWidth="1"/>
    <col min="4372" max="4372" width="7.125" style="6" customWidth="1"/>
    <col min="4373" max="4373" width="9" style="6"/>
    <col min="4374" max="4374" width="16" style="6" customWidth="1"/>
    <col min="4375" max="4375" width="13.75" style="6" customWidth="1"/>
    <col min="4376" max="4377" width="9.75" style="6" customWidth="1"/>
    <col min="4378" max="4626" width="9" style="6"/>
    <col min="4627" max="4627" width="12" style="6" customWidth="1"/>
    <col min="4628" max="4628" width="7.125" style="6" customWidth="1"/>
    <col min="4629" max="4629" width="9" style="6"/>
    <col min="4630" max="4630" width="16" style="6" customWidth="1"/>
    <col min="4631" max="4631" width="13.75" style="6" customWidth="1"/>
    <col min="4632" max="4633" width="9.75" style="6" customWidth="1"/>
    <col min="4634" max="4882" width="9" style="6"/>
    <col min="4883" max="4883" width="12" style="6" customWidth="1"/>
    <col min="4884" max="4884" width="7.125" style="6" customWidth="1"/>
    <col min="4885" max="4885" width="9" style="6"/>
    <col min="4886" max="4886" width="16" style="6" customWidth="1"/>
    <col min="4887" max="4887" width="13.75" style="6" customWidth="1"/>
    <col min="4888" max="4889" width="9.75" style="6" customWidth="1"/>
    <col min="4890" max="5138" width="9" style="6"/>
    <col min="5139" max="5139" width="12" style="6" customWidth="1"/>
    <col min="5140" max="5140" width="7.125" style="6" customWidth="1"/>
    <col min="5141" max="5141" width="9" style="6"/>
    <col min="5142" max="5142" width="16" style="6" customWidth="1"/>
    <col min="5143" max="5143" width="13.75" style="6" customWidth="1"/>
    <col min="5144" max="5145" width="9.75" style="6" customWidth="1"/>
    <col min="5146" max="5394" width="9" style="6"/>
    <col min="5395" max="5395" width="12" style="6" customWidth="1"/>
    <col min="5396" max="5396" width="7.125" style="6" customWidth="1"/>
    <col min="5397" max="5397" width="9" style="6"/>
    <col min="5398" max="5398" width="16" style="6" customWidth="1"/>
    <col min="5399" max="5399" width="13.75" style="6" customWidth="1"/>
    <col min="5400" max="5401" width="9.75" style="6" customWidth="1"/>
    <col min="5402" max="5650" width="9" style="6"/>
    <col min="5651" max="5651" width="12" style="6" customWidth="1"/>
    <col min="5652" max="5652" width="7.125" style="6" customWidth="1"/>
    <col min="5653" max="5653" width="9" style="6"/>
    <col min="5654" max="5654" width="16" style="6" customWidth="1"/>
    <col min="5655" max="5655" width="13.75" style="6" customWidth="1"/>
    <col min="5656" max="5657" width="9.75" style="6" customWidth="1"/>
    <col min="5658" max="5906" width="9" style="6"/>
    <col min="5907" max="5907" width="12" style="6" customWidth="1"/>
    <col min="5908" max="5908" width="7.125" style="6" customWidth="1"/>
    <col min="5909" max="5909" width="9" style="6"/>
    <col min="5910" max="5910" width="16" style="6" customWidth="1"/>
    <col min="5911" max="5911" width="13.75" style="6" customWidth="1"/>
    <col min="5912" max="5913" width="9.75" style="6" customWidth="1"/>
    <col min="5914" max="6162" width="9" style="6"/>
    <col min="6163" max="6163" width="12" style="6" customWidth="1"/>
    <col min="6164" max="6164" width="7.125" style="6" customWidth="1"/>
    <col min="6165" max="6165" width="9" style="6"/>
    <col min="6166" max="6166" width="16" style="6" customWidth="1"/>
    <col min="6167" max="6167" width="13.75" style="6" customWidth="1"/>
    <col min="6168" max="6169" width="9.75" style="6" customWidth="1"/>
    <col min="6170" max="6418" width="9" style="6"/>
    <col min="6419" max="6419" width="12" style="6" customWidth="1"/>
    <col min="6420" max="6420" width="7.125" style="6" customWidth="1"/>
    <col min="6421" max="6421" width="9" style="6"/>
    <col min="6422" max="6422" width="16" style="6" customWidth="1"/>
    <col min="6423" max="6423" width="13.75" style="6" customWidth="1"/>
    <col min="6424" max="6425" width="9.75" style="6" customWidth="1"/>
    <col min="6426" max="6674" width="9" style="6"/>
    <col min="6675" max="6675" width="12" style="6" customWidth="1"/>
    <col min="6676" max="6676" width="7.125" style="6" customWidth="1"/>
    <col min="6677" max="6677" width="9" style="6"/>
    <col min="6678" max="6678" width="16" style="6" customWidth="1"/>
    <col min="6679" max="6679" width="13.75" style="6" customWidth="1"/>
    <col min="6680" max="6681" width="9.75" style="6" customWidth="1"/>
    <col min="6682" max="6930" width="9" style="6"/>
    <col min="6931" max="6931" width="12" style="6" customWidth="1"/>
    <col min="6932" max="6932" width="7.125" style="6" customWidth="1"/>
    <col min="6933" max="6933" width="9" style="6"/>
    <col min="6934" max="6934" width="16" style="6" customWidth="1"/>
    <col min="6935" max="6935" width="13.75" style="6" customWidth="1"/>
    <col min="6936" max="6937" width="9.75" style="6" customWidth="1"/>
    <col min="6938" max="7186" width="9" style="6"/>
    <col min="7187" max="7187" width="12" style="6" customWidth="1"/>
    <col min="7188" max="7188" width="7.125" style="6" customWidth="1"/>
    <col min="7189" max="7189" width="9" style="6"/>
    <col min="7190" max="7190" width="16" style="6" customWidth="1"/>
    <col min="7191" max="7191" width="13.75" style="6" customWidth="1"/>
    <col min="7192" max="7193" width="9.75" style="6" customWidth="1"/>
    <col min="7194" max="7442" width="9" style="6"/>
    <col min="7443" max="7443" width="12" style="6" customWidth="1"/>
    <col min="7444" max="7444" width="7.125" style="6" customWidth="1"/>
    <col min="7445" max="7445" width="9" style="6"/>
    <col min="7446" max="7446" width="16" style="6" customWidth="1"/>
    <col min="7447" max="7447" width="13.75" style="6" customWidth="1"/>
    <col min="7448" max="7449" width="9.75" style="6" customWidth="1"/>
    <col min="7450" max="7698" width="9" style="6"/>
    <col min="7699" max="7699" width="12" style="6" customWidth="1"/>
    <col min="7700" max="7700" width="7.125" style="6" customWidth="1"/>
    <col min="7701" max="7701" width="9" style="6"/>
    <col min="7702" max="7702" width="16" style="6" customWidth="1"/>
    <col min="7703" max="7703" width="13.75" style="6" customWidth="1"/>
    <col min="7704" max="7705" width="9.75" style="6" customWidth="1"/>
    <col min="7706" max="7954" width="9" style="6"/>
    <col min="7955" max="7955" width="12" style="6" customWidth="1"/>
    <col min="7956" max="7956" width="7.125" style="6" customWidth="1"/>
    <col min="7957" max="7957" width="9" style="6"/>
    <col min="7958" max="7958" width="16" style="6" customWidth="1"/>
    <col min="7959" max="7959" width="13.75" style="6" customWidth="1"/>
    <col min="7960" max="7961" width="9.75" style="6" customWidth="1"/>
    <col min="7962" max="8210" width="9" style="6"/>
    <col min="8211" max="8211" width="12" style="6" customWidth="1"/>
    <col min="8212" max="8212" width="7.125" style="6" customWidth="1"/>
    <col min="8213" max="8213" width="9" style="6"/>
    <col min="8214" max="8214" width="16" style="6" customWidth="1"/>
    <col min="8215" max="8215" width="13.75" style="6" customWidth="1"/>
    <col min="8216" max="8217" width="9.75" style="6" customWidth="1"/>
    <col min="8218" max="8466" width="9" style="6"/>
    <col min="8467" max="8467" width="12" style="6" customWidth="1"/>
    <col min="8468" max="8468" width="7.125" style="6" customWidth="1"/>
    <col min="8469" max="8469" width="9" style="6"/>
    <col min="8470" max="8470" width="16" style="6" customWidth="1"/>
    <col min="8471" max="8471" width="13.75" style="6" customWidth="1"/>
    <col min="8472" max="8473" width="9.75" style="6" customWidth="1"/>
    <col min="8474" max="8722" width="9" style="6"/>
    <col min="8723" max="8723" width="12" style="6" customWidth="1"/>
    <col min="8724" max="8724" width="7.125" style="6" customWidth="1"/>
    <col min="8725" max="8725" width="9" style="6"/>
    <col min="8726" max="8726" width="16" style="6" customWidth="1"/>
    <col min="8727" max="8727" width="13.75" style="6" customWidth="1"/>
    <col min="8728" max="8729" width="9.75" style="6" customWidth="1"/>
    <col min="8730" max="8978" width="9" style="6"/>
    <col min="8979" max="8979" width="12" style="6" customWidth="1"/>
    <col min="8980" max="8980" width="7.125" style="6" customWidth="1"/>
    <col min="8981" max="8981" width="9" style="6"/>
    <col min="8982" max="8982" width="16" style="6" customWidth="1"/>
    <col min="8983" max="8983" width="13.75" style="6" customWidth="1"/>
    <col min="8984" max="8985" width="9.75" style="6" customWidth="1"/>
    <col min="8986" max="9234" width="9" style="6"/>
    <col min="9235" max="9235" width="12" style="6" customWidth="1"/>
    <col min="9236" max="9236" width="7.125" style="6" customWidth="1"/>
    <col min="9237" max="9237" width="9" style="6"/>
    <col min="9238" max="9238" width="16" style="6" customWidth="1"/>
    <col min="9239" max="9239" width="13.75" style="6" customWidth="1"/>
    <col min="9240" max="9241" width="9.75" style="6" customWidth="1"/>
    <col min="9242" max="9490" width="9" style="6"/>
    <col min="9491" max="9491" width="12" style="6" customWidth="1"/>
    <col min="9492" max="9492" width="7.125" style="6" customWidth="1"/>
    <col min="9493" max="9493" width="9" style="6"/>
    <col min="9494" max="9494" width="16" style="6" customWidth="1"/>
    <col min="9495" max="9495" width="13.75" style="6" customWidth="1"/>
    <col min="9496" max="9497" width="9.75" style="6" customWidth="1"/>
    <col min="9498" max="9746" width="9" style="6"/>
    <col min="9747" max="9747" width="12" style="6" customWidth="1"/>
    <col min="9748" max="9748" width="7.125" style="6" customWidth="1"/>
    <col min="9749" max="9749" width="9" style="6"/>
    <col min="9750" max="9750" width="16" style="6" customWidth="1"/>
    <col min="9751" max="9751" width="13.75" style="6" customWidth="1"/>
    <col min="9752" max="9753" width="9.75" style="6" customWidth="1"/>
    <col min="9754" max="10002" width="9" style="6"/>
    <col min="10003" max="10003" width="12" style="6" customWidth="1"/>
    <col min="10004" max="10004" width="7.125" style="6" customWidth="1"/>
    <col min="10005" max="10005" width="9" style="6"/>
    <col min="10006" max="10006" width="16" style="6" customWidth="1"/>
    <col min="10007" max="10007" width="13.75" style="6" customWidth="1"/>
    <col min="10008" max="10009" width="9.75" style="6" customWidth="1"/>
    <col min="10010" max="10258" width="9" style="6"/>
    <col min="10259" max="10259" width="12" style="6" customWidth="1"/>
    <col min="10260" max="10260" width="7.125" style="6" customWidth="1"/>
    <col min="10261" max="10261" width="9" style="6"/>
    <col min="10262" max="10262" width="16" style="6" customWidth="1"/>
    <col min="10263" max="10263" width="13.75" style="6" customWidth="1"/>
    <col min="10264" max="10265" width="9.75" style="6" customWidth="1"/>
    <col min="10266" max="10514" width="9" style="6"/>
    <col min="10515" max="10515" width="12" style="6" customWidth="1"/>
    <col min="10516" max="10516" width="7.125" style="6" customWidth="1"/>
    <col min="10517" max="10517" width="9" style="6"/>
    <col min="10518" max="10518" width="16" style="6" customWidth="1"/>
    <col min="10519" max="10519" width="13.75" style="6" customWidth="1"/>
    <col min="10520" max="10521" width="9.75" style="6" customWidth="1"/>
    <col min="10522" max="10770" width="9" style="6"/>
    <col min="10771" max="10771" width="12" style="6" customWidth="1"/>
    <col min="10772" max="10772" width="7.125" style="6" customWidth="1"/>
    <col min="10773" max="10773" width="9" style="6"/>
    <col min="10774" max="10774" width="16" style="6" customWidth="1"/>
    <col min="10775" max="10775" width="13.75" style="6" customWidth="1"/>
    <col min="10776" max="10777" width="9.75" style="6" customWidth="1"/>
    <col min="10778" max="11026" width="9" style="6"/>
    <col min="11027" max="11027" width="12" style="6" customWidth="1"/>
    <col min="11028" max="11028" width="7.125" style="6" customWidth="1"/>
    <col min="11029" max="11029" width="9" style="6"/>
    <col min="11030" max="11030" width="16" style="6" customWidth="1"/>
    <col min="11031" max="11031" width="13.75" style="6" customWidth="1"/>
    <col min="11032" max="11033" width="9.75" style="6" customWidth="1"/>
    <col min="11034" max="11282" width="9" style="6"/>
    <col min="11283" max="11283" width="12" style="6" customWidth="1"/>
    <col min="11284" max="11284" width="7.125" style="6" customWidth="1"/>
    <col min="11285" max="11285" width="9" style="6"/>
    <col min="11286" max="11286" width="16" style="6" customWidth="1"/>
    <col min="11287" max="11287" width="13.75" style="6" customWidth="1"/>
    <col min="11288" max="11289" width="9.75" style="6" customWidth="1"/>
    <col min="11290" max="11538" width="9" style="6"/>
    <col min="11539" max="11539" width="12" style="6" customWidth="1"/>
    <col min="11540" max="11540" width="7.125" style="6" customWidth="1"/>
    <col min="11541" max="11541" width="9" style="6"/>
    <col min="11542" max="11542" width="16" style="6" customWidth="1"/>
    <col min="11543" max="11543" width="13.75" style="6" customWidth="1"/>
    <col min="11544" max="11545" width="9.75" style="6" customWidth="1"/>
    <col min="11546" max="11794" width="9" style="6"/>
    <col min="11795" max="11795" width="12" style="6" customWidth="1"/>
    <col min="11796" max="11796" width="7.125" style="6" customWidth="1"/>
    <col min="11797" max="11797" width="9" style="6"/>
    <col min="11798" max="11798" width="16" style="6" customWidth="1"/>
    <col min="11799" max="11799" width="13.75" style="6" customWidth="1"/>
    <col min="11800" max="11801" width="9.75" style="6" customWidth="1"/>
    <col min="11802" max="12050" width="9" style="6"/>
    <col min="12051" max="12051" width="12" style="6" customWidth="1"/>
    <col min="12052" max="12052" width="7.125" style="6" customWidth="1"/>
    <col min="12053" max="12053" width="9" style="6"/>
    <col min="12054" max="12054" width="16" style="6" customWidth="1"/>
    <col min="12055" max="12055" width="13.75" style="6" customWidth="1"/>
    <col min="12056" max="12057" width="9.75" style="6" customWidth="1"/>
    <col min="12058" max="12306" width="9" style="6"/>
    <col min="12307" max="12307" width="12" style="6" customWidth="1"/>
    <col min="12308" max="12308" width="7.125" style="6" customWidth="1"/>
    <col min="12309" max="12309" width="9" style="6"/>
    <col min="12310" max="12310" width="16" style="6" customWidth="1"/>
    <col min="12311" max="12311" width="13.75" style="6" customWidth="1"/>
    <col min="12312" max="12313" width="9.75" style="6" customWidth="1"/>
    <col min="12314" max="12562" width="9" style="6"/>
    <col min="12563" max="12563" width="12" style="6" customWidth="1"/>
    <col min="12564" max="12564" width="7.125" style="6" customWidth="1"/>
    <col min="12565" max="12565" width="9" style="6"/>
    <col min="12566" max="12566" width="16" style="6" customWidth="1"/>
    <col min="12567" max="12567" width="13.75" style="6" customWidth="1"/>
    <col min="12568" max="12569" width="9.75" style="6" customWidth="1"/>
    <col min="12570" max="12818" width="9" style="6"/>
    <col min="12819" max="12819" width="12" style="6" customWidth="1"/>
    <col min="12820" max="12820" width="7.125" style="6" customWidth="1"/>
    <col min="12821" max="12821" width="9" style="6"/>
    <col min="12822" max="12822" width="16" style="6" customWidth="1"/>
    <col min="12823" max="12823" width="13.75" style="6" customWidth="1"/>
    <col min="12824" max="12825" width="9.75" style="6" customWidth="1"/>
    <col min="12826" max="13074" width="9" style="6"/>
    <col min="13075" max="13075" width="12" style="6" customWidth="1"/>
    <col min="13076" max="13076" width="7.125" style="6" customWidth="1"/>
    <col min="13077" max="13077" width="9" style="6"/>
    <col min="13078" max="13078" width="16" style="6" customWidth="1"/>
    <col min="13079" max="13079" width="13.75" style="6" customWidth="1"/>
    <col min="13080" max="13081" width="9.75" style="6" customWidth="1"/>
    <col min="13082" max="13330" width="9" style="6"/>
    <col min="13331" max="13331" width="12" style="6" customWidth="1"/>
    <col min="13332" max="13332" width="7.125" style="6" customWidth="1"/>
    <col min="13333" max="13333" width="9" style="6"/>
    <col min="13334" max="13334" width="16" style="6" customWidth="1"/>
    <col min="13335" max="13335" width="13.75" style="6" customWidth="1"/>
    <col min="13336" max="13337" width="9.75" style="6" customWidth="1"/>
    <col min="13338" max="13586" width="9" style="6"/>
    <col min="13587" max="13587" width="12" style="6" customWidth="1"/>
    <col min="13588" max="13588" width="7.125" style="6" customWidth="1"/>
    <col min="13589" max="13589" width="9" style="6"/>
    <col min="13590" max="13590" width="16" style="6" customWidth="1"/>
    <col min="13591" max="13591" width="13.75" style="6" customWidth="1"/>
    <col min="13592" max="13593" width="9.75" style="6" customWidth="1"/>
    <col min="13594" max="13842" width="9" style="6"/>
    <col min="13843" max="13843" width="12" style="6" customWidth="1"/>
    <col min="13844" max="13844" width="7.125" style="6" customWidth="1"/>
    <col min="13845" max="13845" width="9" style="6"/>
    <col min="13846" max="13846" width="16" style="6" customWidth="1"/>
    <col min="13847" max="13847" width="13.75" style="6" customWidth="1"/>
    <col min="13848" max="13849" width="9.75" style="6" customWidth="1"/>
    <col min="13850" max="14098" width="9" style="6"/>
    <col min="14099" max="14099" width="12" style="6" customWidth="1"/>
    <col min="14100" max="14100" width="7.125" style="6" customWidth="1"/>
    <col min="14101" max="14101" width="9" style="6"/>
    <col min="14102" max="14102" width="16" style="6" customWidth="1"/>
    <col min="14103" max="14103" width="13.75" style="6" customWidth="1"/>
    <col min="14104" max="14105" width="9.75" style="6" customWidth="1"/>
    <col min="14106" max="14354" width="9" style="6"/>
    <col min="14355" max="14355" width="12" style="6" customWidth="1"/>
    <col min="14356" max="14356" width="7.125" style="6" customWidth="1"/>
    <col min="14357" max="14357" width="9" style="6"/>
    <col min="14358" max="14358" width="16" style="6" customWidth="1"/>
    <col min="14359" max="14359" width="13.75" style="6" customWidth="1"/>
    <col min="14360" max="14361" width="9.75" style="6" customWidth="1"/>
    <col min="14362" max="14610" width="9" style="6"/>
    <col min="14611" max="14611" width="12" style="6" customWidth="1"/>
    <col min="14612" max="14612" width="7.125" style="6" customWidth="1"/>
    <col min="14613" max="14613" width="9" style="6"/>
    <col min="14614" max="14614" width="16" style="6" customWidth="1"/>
    <col min="14615" max="14615" width="13.75" style="6" customWidth="1"/>
    <col min="14616" max="14617" width="9.75" style="6" customWidth="1"/>
    <col min="14618" max="14866" width="9" style="6"/>
    <col min="14867" max="14867" width="12" style="6" customWidth="1"/>
    <col min="14868" max="14868" width="7.125" style="6" customWidth="1"/>
    <col min="14869" max="14869" width="9" style="6"/>
    <col min="14870" max="14870" width="16" style="6" customWidth="1"/>
    <col min="14871" max="14871" width="13.75" style="6" customWidth="1"/>
    <col min="14872" max="14873" width="9.75" style="6" customWidth="1"/>
    <col min="14874" max="15122" width="9" style="6"/>
    <col min="15123" max="15123" width="12" style="6" customWidth="1"/>
    <col min="15124" max="15124" width="7.125" style="6" customWidth="1"/>
    <col min="15125" max="15125" width="9" style="6"/>
    <col min="15126" max="15126" width="16" style="6" customWidth="1"/>
    <col min="15127" max="15127" width="13.75" style="6" customWidth="1"/>
    <col min="15128" max="15129" width="9.75" style="6" customWidth="1"/>
    <col min="15130" max="15378" width="9" style="6"/>
    <col min="15379" max="15379" width="12" style="6" customWidth="1"/>
    <col min="15380" max="15380" width="7.125" style="6" customWidth="1"/>
    <col min="15381" max="15381" width="9" style="6"/>
    <col min="15382" max="15382" width="16" style="6" customWidth="1"/>
    <col min="15383" max="15383" width="13.75" style="6" customWidth="1"/>
    <col min="15384" max="15385" width="9.75" style="6" customWidth="1"/>
    <col min="15386" max="15634" width="9" style="6"/>
    <col min="15635" max="15635" width="12" style="6" customWidth="1"/>
    <col min="15636" max="15636" width="7.125" style="6" customWidth="1"/>
    <col min="15637" max="15637" width="9" style="6"/>
    <col min="15638" max="15638" width="16" style="6" customWidth="1"/>
    <col min="15639" max="15639" width="13.75" style="6" customWidth="1"/>
    <col min="15640" max="15641" width="9.75" style="6" customWidth="1"/>
    <col min="15642" max="15890" width="9" style="6"/>
    <col min="15891" max="15891" width="12" style="6" customWidth="1"/>
    <col min="15892" max="15892" width="7.125" style="6" customWidth="1"/>
    <col min="15893" max="15893" width="9" style="6"/>
    <col min="15894" max="15894" width="16" style="6" customWidth="1"/>
    <col min="15895" max="15895" width="13.75" style="6" customWidth="1"/>
    <col min="15896" max="15897" width="9.75" style="6" customWidth="1"/>
    <col min="15898" max="16146" width="9" style="6"/>
    <col min="16147" max="16147" width="12" style="6" customWidth="1"/>
    <col min="16148" max="16148" width="7.125" style="6" customWidth="1"/>
    <col min="16149" max="16149" width="9" style="6"/>
    <col min="16150" max="16150" width="16" style="6" customWidth="1"/>
    <col min="16151" max="16151" width="13.75" style="6" customWidth="1"/>
    <col min="16152" max="16153" width="9.75" style="6" customWidth="1"/>
    <col min="16154" max="16380" width="9" style="6"/>
    <col min="16381" max="16384" width="9" style="6" customWidth="1"/>
  </cols>
  <sheetData>
    <row r="1" spans="1:28" s="2" customFormat="1" ht="23.25" customHeight="1" thickBot="1">
      <c r="A1" s="1" t="e">
        <f>IF(SUM(2:2)=0,"OK","NOK")</f>
        <v>#DIV/0!</v>
      </c>
      <c r="F1" s="43" t="s">
        <v>81</v>
      </c>
      <c r="G1" s="1085" t="s">
        <v>82</v>
      </c>
      <c r="H1" s="1086"/>
      <c r="I1" s="1085" t="s">
        <v>7890</v>
      </c>
      <c r="J1" s="1086"/>
      <c r="K1" s="1085" t="s">
        <v>84</v>
      </c>
      <c r="L1" s="1086"/>
      <c r="M1" s="1085" t="s">
        <v>128</v>
      </c>
      <c r="N1" s="1086"/>
      <c r="O1" s="1085" t="s">
        <v>129</v>
      </c>
      <c r="P1" s="1086"/>
      <c r="Q1" s="1085" t="s">
        <v>10458</v>
      </c>
      <c r="R1" s="1086"/>
      <c r="S1" s="1085" t="s">
        <v>10644</v>
      </c>
      <c r="T1" s="1086"/>
      <c r="U1" s="1085" t="s">
        <v>10645</v>
      </c>
      <c r="V1" s="1086"/>
      <c r="W1" s="1085" t="s">
        <v>10613</v>
      </c>
      <c r="X1" s="1086"/>
      <c r="Y1" s="1085" t="s">
        <v>10614</v>
      </c>
      <c r="Z1" s="1086"/>
      <c r="AA1" s="44"/>
      <c r="AB1" s="48" t="s">
        <v>10</v>
      </c>
    </row>
    <row r="2" spans="1:28" ht="13.5" thickBot="1">
      <c r="A2" s="3"/>
      <c r="B2" s="3"/>
      <c r="C2" s="3"/>
      <c r="D2" s="3"/>
      <c r="E2" s="3"/>
      <c r="F2" s="2"/>
      <c r="G2" s="4" t="s">
        <v>0</v>
      </c>
      <c r="H2" s="5" t="e">
        <f>SUMX2MY2(G5:G4460,H5:H4460)</f>
        <v>#DIV/0!</v>
      </c>
      <c r="I2" s="182" t="s">
        <v>0</v>
      </c>
      <c r="J2" s="183" t="e">
        <f>SUMX2MY2(I5:I4460,J5:J4460)</f>
        <v>#DIV/0!</v>
      </c>
      <c r="K2" s="4" t="s">
        <v>0</v>
      </c>
      <c r="L2" s="5" t="e">
        <f>SUMX2MY2(K5:K4460,L5:L4460)</f>
        <v>#DIV/0!</v>
      </c>
      <c r="M2" s="4" t="s">
        <v>0</v>
      </c>
      <c r="N2" s="5">
        <f>SUMX2MY2(M5:M4460,N5:N4460)</f>
        <v>0</v>
      </c>
      <c r="O2" s="4" t="s">
        <v>0</v>
      </c>
      <c r="P2" s="5">
        <f>SUMX2MY2(O5:O4460,P5:P4460)</f>
        <v>0</v>
      </c>
      <c r="Q2" s="4" t="s">
        <v>0</v>
      </c>
      <c r="R2" s="5" t="e">
        <f>SUMX2MY2(Q5:Q4474,R5:R4474)</f>
        <v>#DIV/0!</v>
      </c>
      <c r="S2" s="850" t="s">
        <v>0</v>
      </c>
      <c r="T2" s="183">
        <f>SUMX2MY2(S5:S4651,T5:T4651)</f>
        <v>0</v>
      </c>
      <c r="U2" s="850" t="s">
        <v>0</v>
      </c>
      <c r="V2" s="183">
        <f>SUMX2MY2(U5:U4651,V5:V4651)</f>
        <v>0</v>
      </c>
      <c r="W2" s="850" t="s">
        <v>0</v>
      </c>
      <c r="X2" s="183">
        <f>SUMX2MY2(W5:W4460,X5:X4460)</f>
        <v>2045075</v>
      </c>
      <c r="Y2" s="850" t="s">
        <v>0</v>
      </c>
      <c r="Z2" s="183">
        <f>SUMX2MY2(Y5:Y4474,Z5:Z4474)</f>
        <v>-5654.6469249489992</v>
      </c>
    </row>
    <row r="3" spans="1:28" ht="27.75" customHeight="1">
      <c r="A3" s="35" t="s">
        <v>1</v>
      </c>
      <c r="B3" s="36" t="s">
        <v>2</v>
      </c>
      <c r="C3" s="36" t="s">
        <v>3</v>
      </c>
      <c r="D3" s="36" t="s">
        <v>4</v>
      </c>
      <c r="E3" s="1087" t="s">
        <v>7</v>
      </c>
      <c r="F3" s="1088"/>
      <c r="G3" s="7" t="s">
        <v>5</v>
      </c>
      <c r="H3" s="8" t="s">
        <v>6</v>
      </c>
      <c r="I3" s="185" t="s">
        <v>5</v>
      </c>
      <c r="J3" s="186" t="s">
        <v>6</v>
      </c>
      <c r="K3" s="7" t="s">
        <v>5</v>
      </c>
      <c r="L3" s="8" t="s">
        <v>6</v>
      </c>
      <c r="M3" s="7" t="s">
        <v>5</v>
      </c>
      <c r="N3" s="8" t="s">
        <v>6</v>
      </c>
      <c r="O3" s="7" t="s">
        <v>5</v>
      </c>
      <c r="P3" s="8" t="s">
        <v>6</v>
      </c>
      <c r="Q3" s="7" t="s">
        <v>5</v>
      </c>
      <c r="R3" s="8" t="s">
        <v>6</v>
      </c>
      <c r="S3" s="851" t="s">
        <v>5</v>
      </c>
      <c r="T3" s="852" t="s">
        <v>6</v>
      </c>
      <c r="U3" s="851" t="s">
        <v>5</v>
      </c>
      <c r="V3" s="852" t="s">
        <v>6</v>
      </c>
      <c r="W3" s="851" t="s">
        <v>5</v>
      </c>
      <c r="X3" s="852" t="s">
        <v>6</v>
      </c>
      <c r="Y3" s="851" t="s">
        <v>5</v>
      </c>
      <c r="Z3" s="852" t="s">
        <v>6</v>
      </c>
    </row>
    <row r="4" spans="1:28" ht="15.75" customHeight="1" thickBot="1">
      <c r="A4" s="34"/>
      <c r="B4" s="33"/>
      <c r="C4" s="33"/>
      <c r="D4" s="33"/>
      <c r="E4" s="41" t="s">
        <v>9</v>
      </c>
      <c r="F4" s="42" t="s">
        <v>8</v>
      </c>
      <c r="G4" s="38">
        <v>0</v>
      </c>
      <c r="H4" s="39">
        <v>0</v>
      </c>
      <c r="I4" s="191">
        <v>0</v>
      </c>
      <c r="J4" s="192">
        <v>0</v>
      </c>
      <c r="K4" s="38">
        <v>0</v>
      </c>
      <c r="L4" s="39">
        <v>0</v>
      </c>
      <c r="M4" s="38">
        <v>0</v>
      </c>
      <c r="N4" s="39">
        <v>0</v>
      </c>
      <c r="O4" s="38">
        <v>0</v>
      </c>
      <c r="P4" s="39">
        <v>0</v>
      </c>
      <c r="Q4" s="38">
        <v>0</v>
      </c>
      <c r="R4" s="39">
        <v>0</v>
      </c>
      <c r="S4" s="858">
        <v>0</v>
      </c>
      <c r="T4" s="859">
        <v>0</v>
      </c>
      <c r="U4" s="858">
        <v>0</v>
      </c>
      <c r="V4" s="859">
        <v>0</v>
      </c>
      <c r="W4" s="858">
        <v>0</v>
      </c>
      <c r="X4" s="859">
        <v>0</v>
      </c>
      <c r="Y4" s="858">
        <v>0</v>
      </c>
      <c r="Z4" s="859">
        <v>0</v>
      </c>
    </row>
    <row r="5" spans="1:28" s="514" customFormat="1">
      <c r="A5" s="519" t="s">
        <v>4579</v>
      </c>
      <c r="B5" s="520"/>
      <c r="C5" s="909"/>
      <c r="D5" s="522" t="s">
        <v>3648</v>
      </c>
      <c r="E5" s="609"/>
      <c r="F5" s="556" t="s">
        <v>8705</v>
      </c>
      <c r="G5" s="981" t="s">
        <v>10409</v>
      </c>
      <c r="H5" s="555" t="str">
        <f>VLOOKUP($D5,transmitter_from_BP!$B:$F,2,0)</f>
        <v>DFU SPLITTER REBOIL.OUTLET</v>
      </c>
      <c r="I5" s="981" t="s">
        <v>10908</v>
      </c>
      <c r="J5" s="765" t="str">
        <f>VLOOKUP($D5,transmitter_from_BP!$B:$F,2,0)</f>
        <v>DFU SPLITTER REBOIL.OUTLET</v>
      </c>
      <c r="K5" s="981" t="s">
        <v>10980</v>
      </c>
      <c r="L5" s="555" t="str">
        <f>VLOOKUP($F5,transmitter_from_BP!$B:$F,5,0)</f>
        <v>DEGC</v>
      </c>
      <c r="M5" s="570">
        <v>250</v>
      </c>
      <c r="N5" s="555">
        <f>VLOOKUP($F5,transmitter_from_BP!$B:$F,3,0)</f>
        <v>250</v>
      </c>
      <c r="O5" s="570">
        <v>0</v>
      </c>
      <c r="P5" s="555">
        <f>VLOOKUP($D5,transmitter_from_BP!$B:$F,4,0)</f>
        <v>0</v>
      </c>
      <c r="Q5" s="570">
        <v>209.14591081455799</v>
      </c>
      <c r="R5" s="555"/>
      <c r="S5" s="853">
        <v>1</v>
      </c>
      <c r="T5" s="460">
        <v>1</v>
      </c>
      <c r="U5" s="853">
        <v>1</v>
      </c>
      <c r="V5" s="460">
        <v>1</v>
      </c>
      <c r="W5" s="853">
        <v>25</v>
      </c>
      <c r="X5" s="772"/>
      <c r="Y5" s="853">
        <v>3</v>
      </c>
      <c r="Z5" s="772"/>
    </row>
    <row r="6" spans="1:28" s="514" customFormat="1">
      <c r="A6" s="519" t="s">
        <v>4579</v>
      </c>
      <c r="B6" s="520"/>
      <c r="C6" s="909"/>
      <c r="D6" s="522" t="s">
        <v>9201</v>
      </c>
      <c r="E6" s="609"/>
      <c r="F6" s="556" t="s">
        <v>9201</v>
      </c>
      <c r="G6" s="981" t="s">
        <v>10883</v>
      </c>
      <c r="H6" s="610" t="str">
        <f>VLOOKUP($D6,transmitter_from_BP!$B:$F,2,0)</f>
        <v>STRIPPED WATER FROM 1700</v>
      </c>
      <c r="I6" s="981" t="s">
        <v>10883</v>
      </c>
      <c r="J6" s="765" t="str">
        <f>VLOOKUP($D6,transmitter_from_BP!$B:$F,2,0)</f>
        <v>STRIPPED WATER FROM 1700</v>
      </c>
      <c r="K6" s="981" t="s">
        <v>10983</v>
      </c>
      <c r="L6" s="610" t="str">
        <f>VLOOKUP($F6,transmitter_from_BP!$B:$F,5,0)</f>
        <v>M3/H</v>
      </c>
      <c r="M6" s="614">
        <v>30</v>
      </c>
      <c r="N6" s="610">
        <f>VLOOKUP($F6,transmitter_from_BP!$B:$F,3,0)</f>
        <v>30</v>
      </c>
      <c r="O6" s="614">
        <v>0</v>
      </c>
      <c r="P6" s="610">
        <f>VLOOKUP($D6,transmitter_from_BP!$B:$F,4,0)</f>
        <v>0</v>
      </c>
      <c r="Q6" s="570">
        <v>14.1000049360171</v>
      </c>
      <c r="R6" s="555"/>
      <c r="S6" s="853">
        <v>1</v>
      </c>
      <c r="T6" s="460">
        <v>1</v>
      </c>
      <c r="U6" s="853">
        <v>1</v>
      </c>
      <c r="V6" s="460">
        <v>1</v>
      </c>
      <c r="W6" s="853">
        <v>300</v>
      </c>
      <c r="X6" s="772"/>
      <c r="Y6" s="853">
        <v>0.5</v>
      </c>
      <c r="Z6" s="772"/>
    </row>
    <row r="7" spans="1:28" s="796" customFormat="1">
      <c r="A7" s="789" t="s">
        <v>4579</v>
      </c>
      <c r="B7" s="790"/>
      <c r="C7" s="792"/>
      <c r="D7" s="792" t="s">
        <v>10448</v>
      </c>
      <c r="E7" s="798"/>
      <c r="F7" s="794" t="s">
        <v>3934</v>
      </c>
      <c r="G7" s="932" t="s">
        <v>10899</v>
      </c>
      <c r="H7" s="795" t="str">
        <f>VLOOKUP($F7,transmitter_from_BP!$B:$F,2,0)</f>
        <v>K.O. DRUM DZ3004</v>
      </c>
      <c r="I7" s="932" t="s">
        <v>10899</v>
      </c>
      <c r="J7" s="795" t="str">
        <f>VLOOKUP($F7,transmitter_from_BP!$B:$F,2,0)</f>
        <v>K.O. DRUM DZ3004</v>
      </c>
      <c r="K7" s="932" t="s">
        <v>10981</v>
      </c>
      <c r="L7" s="795" t="str">
        <f>VLOOKUP($F7,transmitter_from_BP!$B:$F,5,0)</f>
        <v>PCT</v>
      </c>
      <c r="M7" s="787">
        <v>188</v>
      </c>
      <c r="N7" s="795">
        <f>VLOOKUP($F7,transmitter_from_BP!$B:$F,3,0)</f>
        <v>188</v>
      </c>
      <c r="O7" s="787">
        <v>0</v>
      </c>
      <c r="P7" s="795">
        <f>VLOOKUP($F7,transmitter_from_BP!$B:$F,4,0)</f>
        <v>0</v>
      </c>
      <c r="Q7" s="787">
        <v>9.1344625061605491</v>
      </c>
      <c r="R7" s="795"/>
      <c r="S7" s="853">
        <v>1</v>
      </c>
      <c r="T7" s="460">
        <v>1</v>
      </c>
      <c r="U7" s="853">
        <v>1</v>
      </c>
      <c r="V7" s="460">
        <v>1</v>
      </c>
      <c r="W7" s="787">
        <v>100</v>
      </c>
      <c r="X7" s="772"/>
      <c r="Y7" s="787">
        <v>0.5</v>
      </c>
      <c r="Z7" s="772"/>
    </row>
    <row r="8" spans="1:28" s="514" customFormat="1">
      <c r="A8" s="519" t="s">
        <v>4579</v>
      </c>
      <c r="B8" s="520"/>
      <c r="C8" s="909"/>
      <c r="D8" s="522" t="s">
        <v>9019</v>
      </c>
      <c r="E8" s="609"/>
      <c r="F8" s="556" t="s">
        <v>9344</v>
      </c>
      <c r="G8" s="981" t="s">
        <v>10871</v>
      </c>
      <c r="H8" s="610" t="str">
        <f>VLOOKUP($D8,transmitter_from_BP!$B:$F,2,0)</f>
        <v>TEMPERED WATER RECIRCULATION</v>
      </c>
      <c r="I8" s="981" t="s">
        <v>10871</v>
      </c>
      <c r="J8" s="765" t="str">
        <f>VLOOKUP($D8,transmitter_from_BP!$B:$F,2,0)</f>
        <v>TEMPERED WATER RECIRCULATION</v>
      </c>
      <c r="K8" s="981" t="s">
        <v>10983</v>
      </c>
      <c r="L8" s="610" t="str">
        <f>VLOOKUP($D8,transmitter_from_BP!$B:$F,5,0)</f>
        <v>M3/H</v>
      </c>
      <c r="M8" s="614">
        <v>500</v>
      </c>
      <c r="N8" s="610">
        <f>VLOOKUP($D8,transmitter_from_BP!$B:$I,3,0)</f>
        <v>500</v>
      </c>
      <c r="O8" s="614">
        <v>0</v>
      </c>
      <c r="P8" s="610">
        <f>VLOOKUP($D8,transmitter_from_BP!$B:$F,4,0)</f>
        <v>0</v>
      </c>
      <c r="Q8" s="570">
        <v>164.99995558523</v>
      </c>
      <c r="R8" s="555"/>
      <c r="S8" s="853">
        <v>1</v>
      </c>
      <c r="T8" s="460">
        <v>1</v>
      </c>
      <c r="U8" s="853">
        <v>1</v>
      </c>
      <c r="V8" s="460">
        <v>1</v>
      </c>
      <c r="W8" s="853">
        <v>300</v>
      </c>
      <c r="X8" s="772"/>
      <c r="Y8" s="853">
        <v>0.2</v>
      </c>
      <c r="Z8" s="772"/>
    </row>
    <row r="9" spans="1:28" s="514" customFormat="1">
      <c r="A9" s="519" t="s">
        <v>4579</v>
      </c>
      <c r="B9" s="520"/>
      <c r="C9" s="909"/>
      <c r="D9" s="522" t="s">
        <v>5984</v>
      </c>
      <c r="E9" s="609"/>
      <c r="F9" s="556" t="s">
        <v>9341</v>
      </c>
      <c r="G9" s="981" t="s">
        <v>10887</v>
      </c>
      <c r="H9" s="610" t="str">
        <f>VLOOKUP($D9,transmitter_from_BP!$B:$F,2,0)</f>
        <v>CDU4 CRUDE O/H OFFGAS TO HZ2201</v>
      </c>
      <c r="I9" s="981" t="s">
        <v>10887</v>
      </c>
      <c r="J9" s="765" t="str">
        <f>VLOOKUP($D9,transmitter_from_BP!$B:$F,2,0)</f>
        <v>CDU4 CRUDE O/H OFFGAS TO HZ2201</v>
      </c>
      <c r="K9" s="981" t="s">
        <v>10985</v>
      </c>
      <c r="L9" s="610" t="str">
        <f>VLOOKUP($D9,transmitter_from_BP!$B:$F,5,0)</f>
        <v>NM3/H</v>
      </c>
      <c r="M9" s="614">
        <v>2116</v>
      </c>
      <c r="N9" s="610">
        <f>VLOOKUP($D9,transmitter_from_BP!$B:$I,3,0)</f>
        <v>2116</v>
      </c>
      <c r="O9" s="614">
        <v>0</v>
      </c>
      <c r="P9" s="610">
        <f>VLOOKUP($D9,transmitter_from_BP!$B:$F,4,0)</f>
        <v>0</v>
      </c>
      <c r="Q9" s="570">
        <v>956.679746426576</v>
      </c>
      <c r="R9" s="555"/>
      <c r="S9" s="853">
        <v>1</v>
      </c>
      <c r="T9" s="460">
        <v>1</v>
      </c>
      <c r="U9" s="853">
        <v>1</v>
      </c>
      <c r="V9" s="460">
        <v>1</v>
      </c>
      <c r="W9" s="853">
        <v>300</v>
      </c>
      <c r="X9" s="772"/>
      <c r="Y9" s="853">
        <v>0.5</v>
      </c>
      <c r="Z9" s="772"/>
    </row>
    <row r="10" spans="1:28" s="514" customFormat="1">
      <c r="A10" s="519" t="s">
        <v>4579</v>
      </c>
      <c r="B10" s="520"/>
      <c r="C10" s="909"/>
      <c r="D10" s="522" t="s">
        <v>9462</v>
      </c>
      <c r="E10" s="609"/>
      <c r="F10" s="556" t="s">
        <v>9342</v>
      </c>
      <c r="G10" s="981" t="s">
        <v>10870</v>
      </c>
      <c r="H10" s="610" t="str">
        <f>VLOOKUP($D10,transmitter_from_BP!$B:$F,2,0)</f>
        <v>STRIPPED WATER FROM FCCU</v>
      </c>
      <c r="I10" s="981" t="s">
        <v>10870</v>
      </c>
      <c r="J10" s="765" t="str">
        <f>VLOOKUP($D10,transmitter_from_BP!$B:$F,2,0)</f>
        <v>STRIPPED WATER FROM FCCU</v>
      </c>
      <c r="K10" s="981" t="s">
        <v>10983</v>
      </c>
      <c r="L10" s="610" t="str">
        <f>VLOOKUP($D10,transmitter_from_BP!$B:$F,5,0)</f>
        <v>M3/H</v>
      </c>
      <c r="M10" s="614">
        <v>36.51</v>
      </c>
      <c r="N10" s="610">
        <f>VLOOKUP($D10,transmitter_from_BP!$B:$I,3,0)</f>
        <v>36.51</v>
      </c>
      <c r="O10" s="614">
        <v>0</v>
      </c>
      <c r="P10" s="610">
        <f>VLOOKUP($D10,transmitter_from_BP!$B:$F,4,0)</f>
        <v>0</v>
      </c>
      <c r="Q10" s="570">
        <v>24.0000017118005</v>
      </c>
      <c r="R10" s="555"/>
      <c r="S10" s="853">
        <v>1</v>
      </c>
      <c r="T10" s="460">
        <v>1</v>
      </c>
      <c r="U10" s="853">
        <v>1</v>
      </c>
      <c r="V10" s="460">
        <v>1</v>
      </c>
      <c r="W10" s="853">
        <v>300</v>
      </c>
      <c r="X10" s="772"/>
      <c r="Y10" s="853">
        <v>0.2</v>
      </c>
      <c r="Z10" s="772"/>
    </row>
    <row r="11" spans="1:28" s="514" customFormat="1">
      <c r="A11" s="519" t="s">
        <v>4579</v>
      </c>
      <c r="B11" s="520"/>
      <c r="C11" s="909"/>
      <c r="D11" s="522" t="s">
        <v>8670</v>
      </c>
      <c r="E11" s="609"/>
      <c r="F11" s="556" t="s">
        <v>9343</v>
      </c>
      <c r="G11" s="981" t="s">
        <v>10902</v>
      </c>
      <c r="H11" s="610" t="str">
        <f>VLOOKUP($D11,transmitter_from_BP!$B:$F,2,0)</f>
        <v>CDU TOWER OVERH. DRUM</v>
      </c>
      <c r="I11" s="981" t="s">
        <v>10902</v>
      </c>
      <c r="J11" s="765" t="str">
        <f>VLOOKUP($D11,transmitter_from_BP!$B:$F,2,0)</f>
        <v>CDU TOWER OVERH. DRUM</v>
      </c>
      <c r="K11" s="981" t="s">
        <v>10988</v>
      </c>
      <c r="L11" s="610" t="str">
        <f>VLOOKUP($D11,transmitter_from_BP!$B:$F,5,0)</f>
        <v>BARG</v>
      </c>
      <c r="M11" s="614">
        <v>3</v>
      </c>
      <c r="N11" s="610">
        <f>VLOOKUP($D11,transmitter_from_BP!$B:$I,3,0)</f>
        <v>3</v>
      </c>
      <c r="O11" s="614">
        <v>0</v>
      </c>
      <c r="P11" s="610">
        <f>VLOOKUP($D11,transmitter_from_BP!$B:$F,4,0)</f>
        <v>0</v>
      </c>
      <c r="Q11" s="570">
        <v>0.68998858798926999</v>
      </c>
      <c r="R11" s="555"/>
      <c r="S11" s="853">
        <v>1</v>
      </c>
      <c r="T11" s="460">
        <v>1</v>
      </c>
      <c r="U11" s="853">
        <v>1</v>
      </c>
      <c r="V11" s="460">
        <v>1</v>
      </c>
      <c r="W11" s="853">
        <v>100</v>
      </c>
      <c r="X11" s="772"/>
      <c r="Y11" s="853">
        <v>0.1</v>
      </c>
      <c r="Z11" s="772"/>
    </row>
    <row r="12" spans="1:28" s="514" customFormat="1">
      <c r="A12" s="519" t="s">
        <v>5377</v>
      </c>
      <c r="B12" s="520"/>
      <c r="C12" s="909"/>
      <c r="D12" s="522" t="s">
        <v>5080</v>
      </c>
      <c r="E12" s="609"/>
      <c r="F12" s="556" t="s">
        <v>5080</v>
      </c>
      <c r="G12" s="981" t="s">
        <v>10919</v>
      </c>
      <c r="H12" s="610" t="str">
        <f>VLOOKUP($D12,PID_from_BP!$B:$I,2,0)</f>
        <v>CDU HEATER O2 FLUE GAS</v>
      </c>
      <c r="I12" s="981" t="s">
        <v>10919</v>
      </c>
      <c r="J12" s="765" t="str">
        <f>VLOOKUP($D12,PID_from_BP!$B:$I,2,0)</f>
        <v>CDU HEATER O2 FLUE GAS</v>
      </c>
      <c r="K12" s="981" t="s">
        <v>10979</v>
      </c>
      <c r="L12" s="610" t="str">
        <f>VLOOKUP($D12,PID_from_BP!$B:$I,5,0)</f>
        <v>%</v>
      </c>
      <c r="M12" s="614">
        <v>10</v>
      </c>
      <c r="N12" s="610">
        <f>VLOOKUP($D12,PID_from_BP!$B:$I,3,0)</f>
        <v>10</v>
      </c>
      <c r="O12" s="614">
        <v>0</v>
      </c>
      <c r="P12" s="610">
        <f>VLOOKUP($D12,PID_from_BP!$B:$I,4,0)</f>
        <v>0</v>
      </c>
      <c r="Q12" s="570">
        <v>2.8006330350002799</v>
      </c>
      <c r="R12" s="555"/>
      <c r="S12" s="853">
        <v>1</v>
      </c>
      <c r="T12" s="460">
        <v>1</v>
      </c>
      <c r="U12" s="853">
        <v>1</v>
      </c>
      <c r="V12" s="460">
        <v>1</v>
      </c>
      <c r="W12" s="853">
        <v>600</v>
      </c>
      <c r="X12" s="772">
        <f>VLOOKUP($D12,PID_TUNING_from_BP!$D:$T,9,0)</f>
        <v>600</v>
      </c>
      <c r="Y12" s="853">
        <v>20</v>
      </c>
      <c r="Z12" s="772">
        <f>VLOOKUP($D12,PID_TUNING_from_BP!$D:$T,10,0)</f>
        <v>20</v>
      </c>
    </row>
    <row r="13" spans="1:28" s="514" customFormat="1">
      <c r="A13" s="519" t="s">
        <v>5377</v>
      </c>
      <c r="B13" s="520"/>
      <c r="C13" s="909"/>
      <c r="D13" s="522" t="s">
        <v>5213</v>
      </c>
      <c r="E13" s="517"/>
      <c r="F13" s="556" t="s">
        <v>5213</v>
      </c>
      <c r="G13" s="981" t="s">
        <v>10892</v>
      </c>
      <c r="H13" s="610" t="str">
        <f>VLOOKUP($D13,PID_from_BP!$B:$I,2,0)</f>
        <v>CDU OVHD WTR BOOT DZ2103</v>
      </c>
      <c r="I13" s="981" t="s">
        <v>10892</v>
      </c>
      <c r="J13" s="765" t="str">
        <f>VLOOKUP($D13,PID_from_BP!$B:$I,2,0)</f>
        <v>CDU OVHD WTR BOOT DZ2103</v>
      </c>
      <c r="K13" s="981" t="s">
        <v>10979</v>
      </c>
      <c r="L13" s="610" t="str">
        <f>VLOOKUP($D13,PID_from_BP!$B:$I,5,0)</f>
        <v>%</v>
      </c>
      <c r="M13" s="614">
        <v>100</v>
      </c>
      <c r="N13" s="610">
        <f>VLOOKUP($D13,PID_from_BP!$B:$I,3,0)</f>
        <v>100</v>
      </c>
      <c r="O13" s="614">
        <v>0</v>
      </c>
      <c r="P13" s="610">
        <f>VLOOKUP($D13,PID_from_BP!$B:$I,4,0)</f>
        <v>0</v>
      </c>
      <c r="Q13" s="570">
        <v>49.999902622152398</v>
      </c>
      <c r="R13" s="555"/>
      <c r="S13" s="853">
        <v>1</v>
      </c>
      <c r="T13" s="460">
        <v>1</v>
      </c>
      <c r="U13" s="853">
        <v>1</v>
      </c>
      <c r="V13" s="460">
        <v>1</v>
      </c>
      <c r="W13" s="853">
        <v>50</v>
      </c>
      <c r="X13" s="772">
        <f>VLOOKUP($D13,PID_TUNING_from_BP!$D:$T,9,0)</f>
        <v>50</v>
      </c>
      <c r="Y13" s="853">
        <v>10</v>
      </c>
      <c r="Z13" s="772">
        <f>VLOOKUP($D13,PID_TUNING_from_BP!$D:$T,10,0)</f>
        <v>10</v>
      </c>
    </row>
    <row r="14" spans="1:28" s="514" customFormat="1">
      <c r="A14" s="519" t="s">
        <v>5377</v>
      </c>
      <c r="B14" s="520"/>
      <c r="C14" s="909"/>
      <c r="D14" s="522" t="s">
        <v>5094</v>
      </c>
      <c r="E14" s="517"/>
      <c r="F14" s="556" t="s">
        <v>5094</v>
      </c>
      <c r="G14" s="981" t="s">
        <v>10946</v>
      </c>
      <c r="H14" s="610" t="str">
        <f>VLOOKUP($D14,PID_from_BP!$B:$I,2,0)</f>
        <v>HGO/LGO COND DRUM DZ2105 VAC WAT</v>
      </c>
      <c r="I14" s="981" t="s">
        <v>10946</v>
      </c>
      <c r="J14" s="765" t="str">
        <f>VLOOKUP($D14,PID_from_BP!$B:$I,2,0)</f>
        <v>HGO/LGO COND DRUM DZ2105 VAC WAT</v>
      </c>
      <c r="K14" s="981" t="s">
        <v>10979</v>
      </c>
      <c r="L14" s="610" t="str">
        <f>VLOOKUP($D14,PID_from_BP!$B:$I,5,0)</f>
        <v>%</v>
      </c>
      <c r="M14" s="614">
        <v>100</v>
      </c>
      <c r="N14" s="610">
        <f>VLOOKUP($D14,PID_from_BP!$B:$I,3,0)</f>
        <v>100</v>
      </c>
      <c r="O14" s="614">
        <v>0</v>
      </c>
      <c r="P14" s="610">
        <f>VLOOKUP($D14,PID_from_BP!$B:$I,4,0)</f>
        <v>0</v>
      </c>
      <c r="Q14" s="570">
        <v>49.953265000502398</v>
      </c>
      <c r="R14" s="555"/>
      <c r="S14" s="853">
        <v>1</v>
      </c>
      <c r="T14" s="460">
        <v>1</v>
      </c>
      <c r="U14" s="853">
        <v>1</v>
      </c>
      <c r="V14" s="460">
        <v>1</v>
      </c>
      <c r="W14" s="853">
        <v>100</v>
      </c>
      <c r="X14" s="772">
        <f>VLOOKUP($D14,PID_TUNING_from_BP!$D:$T,9,0)</f>
        <v>100</v>
      </c>
      <c r="Y14" s="853">
        <v>30</v>
      </c>
      <c r="Z14" s="772">
        <f>VLOOKUP($D14,PID_TUNING_from_BP!$D:$T,10,0)</f>
        <v>30</v>
      </c>
    </row>
    <row r="15" spans="1:28" s="514" customFormat="1">
      <c r="A15" s="519" t="s">
        <v>5377</v>
      </c>
      <c r="B15" s="520"/>
      <c r="C15" s="909"/>
      <c r="D15" s="522" t="s">
        <v>904</v>
      </c>
      <c r="E15" s="517"/>
      <c r="F15" s="556" t="s">
        <v>904</v>
      </c>
      <c r="G15" s="981" t="s">
        <v>10947</v>
      </c>
      <c r="H15" s="610" t="str">
        <f>VLOOKUP($D15,PID_from_BP!$B:$I,2,0)</f>
        <v>HGO/LGO COND DRUM DZ2105 VAC OIL</v>
      </c>
      <c r="I15" s="981" t="s">
        <v>10947</v>
      </c>
      <c r="J15" s="765" t="str">
        <f>VLOOKUP($D15,PID_from_BP!$B:$I,2,0)</f>
        <v>HGO/LGO COND DRUM DZ2105 VAC OIL</v>
      </c>
      <c r="K15" s="981" t="s">
        <v>10979</v>
      </c>
      <c r="L15" s="610" t="str">
        <f>VLOOKUP($D15,PID_from_BP!$B:$I,5,0)</f>
        <v>%</v>
      </c>
      <c r="M15" s="614">
        <v>100</v>
      </c>
      <c r="N15" s="610">
        <f>VLOOKUP($D15,PID_from_BP!$B:$I,3,0)</f>
        <v>100</v>
      </c>
      <c r="O15" s="614">
        <v>0</v>
      </c>
      <c r="P15" s="610">
        <f>VLOOKUP($D15,PID_from_BP!$B:$I,4,0)</f>
        <v>0</v>
      </c>
      <c r="Q15" s="570">
        <v>50.0010648458912</v>
      </c>
      <c r="R15" s="555"/>
      <c r="S15" s="853">
        <v>1</v>
      </c>
      <c r="T15" s="460">
        <v>1</v>
      </c>
      <c r="U15" s="853">
        <v>1</v>
      </c>
      <c r="V15" s="460">
        <v>1</v>
      </c>
      <c r="W15" s="853">
        <v>50</v>
      </c>
      <c r="X15" s="772">
        <f>VLOOKUP($D15,PID_TUNING_from_BP!$D:$T,9,0)</f>
        <v>50</v>
      </c>
      <c r="Y15" s="853">
        <v>10</v>
      </c>
      <c r="Z15" s="772">
        <f>VLOOKUP($D15,PID_TUNING_from_BP!$D:$T,10,0)</f>
        <v>10</v>
      </c>
    </row>
    <row r="16" spans="1:28" s="514" customFormat="1">
      <c r="A16" s="519" t="s">
        <v>5377</v>
      </c>
      <c r="B16" s="520"/>
      <c r="C16" s="909"/>
      <c r="D16" s="522" t="s">
        <v>5215</v>
      </c>
      <c r="E16" s="517"/>
      <c r="F16" s="556" t="s">
        <v>5215</v>
      </c>
      <c r="G16" s="981" t="s">
        <v>10948</v>
      </c>
      <c r="H16" s="610" t="str">
        <f>VLOOKUP($D16,PID_from_BP!$B:$I,2,0)</f>
        <v>INTERFACE LEVEL DZ2101C</v>
      </c>
      <c r="I16" s="981" t="s">
        <v>10948</v>
      </c>
      <c r="J16" s="765" t="str">
        <f>VLOOKUP($D16,PID_from_BP!$B:$I,2,0)</f>
        <v>INTERFACE LEVEL DZ2101C</v>
      </c>
      <c r="K16" s="981" t="s">
        <v>10979</v>
      </c>
      <c r="L16" s="610" t="str">
        <f>VLOOKUP($D16,PID_from_BP!$B:$I,5,0)</f>
        <v>%</v>
      </c>
      <c r="M16" s="614">
        <v>100</v>
      </c>
      <c r="N16" s="610">
        <f>VLOOKUP($D16,PID_from_BP!$B:$I,3,0)</f>
        <v>100</v>
      </c>
      <c r="O16" s="614">
        <v>0</v>
      </c>
      <c r="P16" s="610">
        <f>VLOOKUP($D16,PID_from_BP!$B:$I,4,0)</f>
        <v>0</v>
      </c>
      <c r="Q16" s="570">
        <v>45.000145157759498</v>
      </c>
      <c r="R16" s="555"/>
      <c r="S16" s="853">
        <v>1</v>
      </c>
      <c r="T16" s="460">
        <v>1</v>
      </c>
      <c r="U16" s="853">
        <v>1</v>
      </c>
      <c r="V16" s="460">
        <v>1</v>
      </c>
      <c r="W16" s="853">
        <v>75</v>
      </c>
      <c r="X16" s="772">
        <f>VLOOKUP($D16,PID_TUNING_from_BP!$D:$T,9,0)</f>
        <v>75</v>
      </c>
      <c r="Y16" s="853">
        <v>35</v>
      </c>
      <c r="Z16" s="772">
        <f>VLOOKUP($D16,PID_TUNING_from_BP!$D:$T,10,0)</f>
        <v>35</v>
      </c>
    </row>
    <row r="17" spans="1:26" s="514" customFormat="1">
      <c r="A17" s="519" t="s">
        <v>5377</v>
      </c>
      <c r="B17" s="520"/>
      <c r="C17" s="909"/>
      <c r="D17" s="522" t="s">
        <v>4955</v>
      </c>
      <c r="E17" s="517"/>
      <c r="F17" s="556" t="s">
        <v>4955</v>
      </c>
      <c r="G17" s="981" t="s">
        <v>10949</v>
      </c>
      <c r="H17" s="610" t="str">
        <f>VLOOKUP($D17,PID_from_BP!$B:$I,2,0)</f>
        <v>DHT COMPR SUCT DRUM DZ2153</v>
      </c>
      <c r="I17" s="981" t="s">
        <v>10949</v>
      </c>
      <c r="J17" s="765" t="str">
        <f>VLOOKUP($D17,PID_from_BP!$B:$I,2,0)</f>
        <v>DHT COMPR SUCT DRUM DZ2153</v>
      </c>
      <c r="K17" s="981" t="s">
        <v>10979</v>
      </c>
      <c r="L17" s="610" t="str">
        <f>VLOOKUP($D17,PID_from_BP!$B:$I,5,0)</f>
        <v>%</v>
      </c>
      <c r="M17" s="614">
        <v>100</v>
      </c>
      <c r="N17" s="610">
        <f>VLOOKUP($D17,PID_from_BP!$B:$I,3,0)</f>
        <v>100</v>
      </c>
      <c r="O17" s="614">
        <v>0</v>
      </c>
      <c r="P17" s="610">
        <f>VLOOKUP($D17,PID_from_BP!$B:$I,4,0)</f>
        <v>0</v>
      </c>
      <c r="Q17" s="570">
        <v>10.000000336128499</v>
      </c>
      <c r="R17" s="555"/>
      <c r="S17" s="853">
        <v>1</v>
      </c>
      <c r="T17" s="460">
        <v>1</v>
      </c>
      <c r="U17" s="853">
        <v>1</v>
      </c>
      <c r="V17" s="460">
        <v>1</v>
      </c>
      <c r="W17" s="853">
        <v>50</v>
      </c>
      <c r="X17" s="772">
        <f>VLOOKUP($D17,PID_TUNING_from_BP!$D:$T,9,0)</f>
        <v>50</v>
      </c>
      <c r="Y17" s="853">
        <v>10</v>
      </c>
      <c r="Z17" s="772">
        <f>VLOOKUP($D17,PID_TUNING_from_BP!$D:$T,10,0)</f>
        <v>10</v>
      </c>
    </row>
    <row r="18" spans="1:26" s="514" customFormat="1">
      <c r="A18" s="519" t="s">
        <v>5377</v>
      </c>
      <c r="B18" s="520"/>
      <c r="C18" s="909"/>
      <c r="D18" s="522" t="s">
        <v>4954</v>
      </c>
      <c r="E18" s="517"/>
      <c r="F18" s="556" t="s">
        <v>4954</v>
      </c>
      <c r="G18" s="981" t="s">
        <v>10950</v>
      </c>
      <c r="H18" s="610" t="str">
        <f>VLOOKUP($D18,PID_from_BP!$B:$I,2,0)</f>
        <v>DHT HP WATER BOOT</v>
      </c>
      <c r="I18" s="981" t="s">
        <v>10950</v>
      </c>
      <c r="J18" s="765" t="str">
        <f>VLOOKUP($D18,PID_from_BP!$B:$I,2,0)</f>
        <v>DHT HP WATER BOOT</v>
      </c>
      <c r="K18" s="981" t="s">
        <v>10979</v>
      </c>
      <c r="L18" s="610" t="str">
        <f>VLOOKUP($D18,PID_from_BP!$B:$I,5,0)</f>
        <v>%</v>
      </c>
      <c r="M18" s="614">
        <v>100</v>
      </c>
      <c r="N18" s="610">
        <f>VLOOKUP($D18,PID_from_BP!$B:$I,3,0)</f>
        <v>100</v>
      </c>
      <c r="O18" s="614">
        <v>0</v>
      </c>
      <c r="P18" s="610">
        <f>VLOOKUP($D18,PID_from_BP!$B:$I,4,0)</f>
        <v>0</v>
      </c>
      <c r="Q18" s="570">
        <v>50.000041326741602</v>
      </c>
      <c r="R18" s="555"/>
      <c r="S18" s="853">
        <v>1</v>
      </c>
      <c r="T18" s="460">
        <v>1</v>
      </c>
      <c r="U18" s="853">
        <v>1</v>
      </c>
      <c r="V18" s="460">
        <v>1</v>
      </c>
      <c r="W18" s="853">
        <v>60</v>
      </c>
      <c r="X18" s="772">
        <f>VLOOKUP($D18,PID_TUNING_from_BP!$D:$T,9,0)</f>
        <v>60</v>
      </c>
      <c r="Y18" s="853">
        <v>20</v>
      </c>
      <c r="Z18" s="772">
        <f>VLOOKUP($D18,PID_TUNING_from_BP!$D:$T,10,0)</f>
        <v>20</v>
      </c>
    </row>
    <row r="19" spans="1:26" s="514" customFormat="1">
      <c r="A19" s="519" t="s">
        <v>5377</v>
      </c>
      <c r="B19" s="520"/>
      <c r="C19" s="909"/>
      <c r="D19" s="522" t="s">
        <v>8709</v>
      </c>
      <c r="E19" s="517"/>
      <c r="F19" s="556" t="s">
        <v>5334</v>
      </c>
      <c r="G19" s="981" t="s">
        <v>10916</v>
      </c>
      <c r="H19" s="610" t="str">
        <f>VLOOKUP($D19,PID_from_BP!$B:$I,2,0)</f>
        <v>DFU SPLITTER BOTTOM</v>
      </c>
      <c r="I19" s="981" t="s">
        <v>10916</v>
      </c>
      <c r="J19" s="765" t="str">
        <f>VLOOKUP($D19,PID_from_BP!$B:$I,2,0)</f>
        <v>DFU SPLITTER BOTTOM</v>
      </c>
      <c r="K19" s="981" t="s">
        <v>10979</v>
      </c>
      <c r="L19" s="610" t="str">
        <f>VLOOKUP($D19,PID_from_BP!$B:$I,5,0)</f>
        <v>%</v>
      </c>
      <c r="M19" s="614">
        <v>100</v>
      </c>
      <c r="N19" s="610">
        <f>VLOOKUP($D19,PID_from_BP!$B:$I,3,0)</f>
        <v>100</v>
      </c>
      <c r="O19" s="614">
        <v>0</v>
      </c>
      <c r="P19" s="610">
        <f>VLOOKUP($D19,PID_from_BP!$B:$I,4,0)</f>
        <v>0</v>
      </c>
      <c r="Q19" s="570">
        <v>50.021897800789901</v>
      </c>
      <c r="R19" s="555"/>
      <c r="S19" s="853">
        <v>1</v>
      </c>
      <c r="T19" s="460">
        <v>1</v>
      </c>
      <c r="U19" s="853">
        <v>1</v>
      </c>
      <c r="V19" s="460">
        <v>1</v>
      </c>
      <c r="W19" s="853">
        <v>35</v>
      </c>
      <c r="X19" s="772">
        <f>VLOOKUP($D19,PID_TUNING_from_BP!$D:$T,9,0)</f>
        <v>35</v>
      </c>
      <c r="Y19" s="853">
        <v>40</v>
      </c>
      <c r="Z19" s="772">
        <f>VLOOKUP($D19,PID_TUNING_from_BP!$D:$T,10,0)</f>
        <v>40</v>
      </c>
    </row>
    <row r="20" spans="1:26" s="514" customFormat="1">
      <c r="A20" s="519" t="s">
        <v>5377</v>
      </c>
      <c r="B20" s="520"/>
      <c r="C20" s="909"/>
      <c r="D20" s="522" t="s">
        <v>8710</v>
      </c>
      <c r="E20" s="609"/>
      <c r="F20" s="760" t="s">
        <v>5336</v>
      </c>
      <c r="G20" s="981" t="s">
        <v>10951</v>
      </c>
      <c r="H20" s="755" t="str">
        <f>VLOOKUP($D20,PID_from_BP!$B:$I,2,0)</f>
        <v>DFU STRIPPER BOTTOM</v>
      </c>
      <c r="I20" s="981" t="s">
        <v>10951</v>
      </c>
      <c r="J20" s="765" t="str">
        <f>VLOOKUP($D20,PID_from_BP!$B:$I,2,0)</f>
        <v>DFU STRIPPER BOTTOM</v>
      </c>
      <c r="K20" s="981" t="s">
        <v>10979</v>
      </c>
      <c r="L20" s="555" t="str">
        <f>VLOOKUP($D20,PID_from_BP!$B:$I,5,0)</f>
        <v>%</v>
      </c>
      <c r="M20" s="614">
        <v>100</v>
      </c>
      <c r="N20" s="555">
        <f>VLOOKUP($D20,PID_from_BP!$B:$I,3,0)</f>
        <v>100</v>
      </c>
      <c r="O20" s="614">
        <v>0</v>
      </c>
      <c r="P20" s="555">
        <f>VLOOKUP($D20,PID_from_BP!$B:$I,4,0)</f>
        <v>0</v>
      </c>
      <c r="Q20" s="570">
        <v>50.039743325580197</v>
      </c>
      <c r="R20" s="555"/>
      <c r="S20" s="853">
        <v>1</v>
      </c>
      <c r="T20" s="460">
        <v>1</v>
      </c>
      <c r="U20" s="853">
        <v>1</v>
      </c>
      <c r="V20" s="460">
        <v>1</v>
      </c>
      <c r="W20" s="853">
        <v>400</v>
      </c>
      <c r="X20" s="772">
        <f>VLOOKUP($D20,PID_TUNING_from_BP!$D:$T,9,0)</f>
        <v>400</v>
      </c>
      <c r="Y20" s="853">
        <v>20</v>
      </c>
      <c r="Z20" s="772">
        <f>VLOOKUP($D20,PID_TUNING_from_BP!$D:$T,10,0)</f>
        <v>20</v>
      </c>
    </row>
    <row r="21" spans="1:26" s="514" customFormat="1">
      <c r="A21" s="519" t="s">
        <v>5377</v>
      </c>
      <c r="B21" s="520"/>
      <c r="C21" s="909"/>
      <c r="D21" s="522" t="s">
        <v>6228</v>
      </c>
      <c r="E21" s="609"/>
      <c r="F21" s="556" t="s">
        <v>5338</v>
      </c>
      <c r="G21" s="930" t="s">
        <v>10952</v>
      </c>
      <c r="H21" s="755" t="str">
        <f>VLOOKUP($D21,PID_from_BP!$B:$I,2,0)</f>
        <v>DFU SPLITTER OVERHEAD DRUM</v>
      </c>
      <c r="I21" s="981" t="s">
        <v>10952</v>
      </c>
      <c r="J21" s="765" t="str">
        <f>VLOOKUP($D21,PID_from_BP!$B:$I,2,0)</f>
        <v>DFU SPLITTER OVERHEAD DRUM</v>
      </c>
      <c r="K21" s="981" t="s">
        <v>10979</v>
      </c>
      <c r="L21" s="555" t="str">
        <f>VLOOKUP($D21,PID_from_BP!$B:$I,5,0)</f>
        <v>%</v>
      </c>
      <c r="M21" s="614">
        <v>100</v>
      </c>
      <c r="N21" s="555">
        <f>VLOOKUP($D21,PID_from_BP!$B:$I,3,0)</f>
        <v>100</v>
      </c>
      <c r="O21" s="614">
        <v>0</v>
      </c>
      <c r="P21" s="555">
        <f>VLOOKUP($D21,PID_from_BP!$B:$I,4,0)</f>
        <v>0</v>
      </c>
      <c r="Q21" s="570">
        <v>49.2610481203766</v>
      </c>
      <c r="R21" s="555"/>
      <c r="S21" s="853">
        <v>1</v>
      </c>
      <c r="T21" s="460">
        <v>1</v>
      </c>
      <c r="U21" s="853">
        <v>1</v>
      </c>
      <c r="V21" s="460">
        <v>1</v>
      </c>
      <c r="W21" s="853">
        <v>135</v>
      </c>
      <c r="X21" s="772">
        <f>VLOOKUP($D21,PID_TUNING_from_BP!$D:$T,9,0)</f>
        <v>135</v>
      </c>
      <c r="Y21" s="853">
        <v>60</v>
      </c>
      <c r="Z21" s="772">
        <f>VLOOKUP($D21,PID_TUNING_from_BP!$D:$T,10,0)</f>
        <v>60</v>
      </c>
    </row>
    <row r="22" spans="1:26" s="514" customFormat="1">
      <c r="A22" s="519" t="s">
        <v>5377</v>
      </c>
      <c r="B22" s="520"/>
      <c r="C22" s="909"/>
      <c r="D22" s="522" t="s">
        <v>914</v>
      </c>
      <c r="E22" s="609"/>
      <c r="F22" s="556" t="s">
        <v>914</v>
      </c>
      <c r="G22" s="981" t="s">
        <v>10953</v>
      </c>
      <c r="H22" s="755" t="str">
        <f>VLOOKUP($D22,PID_from_BP!$B:$I,2,0)</f>
        <v>DZ2851 K.O. POT</v>
      </c>
      <c r="I22" s="981" t="s">
        <v>10953</v>
      </c>
      <c r="J22" s="765" t="str">
        <f>VLOOKUP($D22,PID_from_BP!$B:$I,2,0)</f>
        <v>DZ2851 K.O. POT</v>
      </c>
      <c r="K22" s="981" t="s">
        <v>10979</v>
      </c>
      <c r="L22" s="555" t="str">
        <f>VLOOKUP($D22,PID_from_BP!$B:$I,5,0)</f>
        <v>%</v>
      </c>
      <c r="M22" s="614">
        <v>100</v>
      </c>
      <c r="N22" s="555">
        <f>VLOOKUP($D22,PID_from_BP!$B:$I,3,0)</f>
        <v>100</v>
      </c>
      <c r="O22" s="614">
        <v>0</v>
      </c>
      <c r="P22" s="555">
        <f>VLOOKUP($D22,PID_from_BP!$B:$I,4,0)</f>
        <v>0</v>
      </c>
      <c r="Q22" s="570">
        <v>0</v>
      </c>
      <c r="R22" s="555"/>
      <c r="S22" s="853">
        <v>1</v>
      </c>
      <c r="T22" s="460">
        <v>1</v>
      </c>
      <c r="U22" s="853">
        <v>1</v>
      </c>
      <c r="V22" s="460">
        <v>1</v>
      </c>
      <c r="W22" s="853">
        <v>100</v>
      </c>
      <c r="X22" s="772">
        <f>VLOOKUP($D22,PID_TUNING_from_BP!$D:$T,9,0)</f>
        <v>100</v>
      </c>
      <c r="Y22" s="853">
        <v>30</v>
      </c>
      <c r="Z22" s="772">
        <f>VLOOKUP($D22,PID_TUNING_from_BP!$D:$T,10,0)</f>
        <v>30</v>
      </c>
    </row>
    <row r="23" spans="1:26" s="514" customFormat="1">
      <c r="A23" s="611" t="s">
        <v>5377</v>
      </c>
      <c r="B23" s="520"/>
      <c r="C23" s="909"/>
      <c r="D23" s="599" t="s">
        <v>918</v>
      </c>
      <c r="E23" s="609"/>
      <c r="F23" s="556" t="s">
        <v>918</v>
      </c>
      <c r="G23" s="981" t="s">
        <v>10891</v>
      </c>
      <c r="H23" s="723" t="str">
        <f>VLOOKUP($D23,PID_from_BP!$B:$I,2,0)</f>
        <v>AMINE GAS ABSORBER</v>
      </c>
      <c r="I23" s="981" t="s">
        <v>10891</v>
      </c>
      <c r="J23" s="765" t="str">
        <f>VLOOKUP($D23,PID_from_BP!$B:$I,2,0)</f>
        <v>AMINE GAS ABSORBER</v>
      </c>
      <c r="K23" s="981" t="s">
        <v>10979</v>
      </c>
      <c r="L23" s="725" t="str">
        <f>VLOOKUP($D23,PID_from_BP!$B:$I,5,0)</f>
        <v>%</v>
      </c>
      <c r="M23" s="727">
        <v>100</v>
      </c>
      <c r="N23" s="725">
        <f>VLOOKUP($D23,PID_from_BP!$B:$I,3,0)</f>
        <v>100</v>
      </c>
      <c r="O23" s="727">
        <v>0</v>
      </c>
      <c r="P23" s="725">
        <f>VLOOKUP($D23,PID_from_BP!$B:$I,4,0)</f>
        <v>0</v>
      </c>
      <c r="Q23" s="727">
        <v>50.0001108826958</v>
      </c>
      <c r="R23" s="725"/>
      <c r="S23" s="853">
        <v>1</v>
      </c>
      <c r="T23" s="460">
        <v>1</v>
      </c>
      <c r="U23" s="853">
        <v>1</v>
      </c>
      <c r="V23" s="460">
        <v>1</v>
      </c>
      <c r="W23" s="853">
        <v>50</v>
      </c>
      <c r="X23" s="772">
        <f>VLOOKUP($D23,PID_TUNING_from_BP!$D:$T,9,0)</f>
        <v>50</v>
      </c>
      <c r="Y23" s="853">
        <v>35</v>
      </c>
      <c r="Z23" s="772">
        <f>VLOOKUP($D23,PID_TUNING_from_BP!$D:$T,10,0)</f>
        <v>35</v>
      </c>
    </row>
    <row r="24" spans="1:26" s="514" customFormat="1">
      <c r="A24" s="519" t="s">
        <v>5377</v>
      </c>
      <c r="B24" s="520"/>
      <c r="C24" s="909"/>
      <c r="D24" s="522" t="s">
        <v>5204</v>
      </c>
      <c r="E24" s="517"/>
      <c r="F24" s="556" t="s">
        <v>5204</v>
      </c>
      <c r="G24" s="981" t="s">
        <v>10893</v>
      </c>
      <c r="H24" s="755" t="str">
        <f>VLOOKUP($D24,PID_from_BP!$B:$I,2,0)</f>
        <v>WATERINJECTIE DRUM DZ2104</v>
      </c>
      <c r="I24" s="981" t="s">
        <v>10893</v>
      </c>
      <c r="J24" s="765" t="str">
        <f>VLOOKUP($D24,PID_from_BP!$B:$I,2,0)</f>
        <v>WATERINJECTIE DRUM DZ2104</v>
      </c>
      <c r="K24" s="981" t="s">
        <v>10981</v>
      </c>
      <c r="L24" s="555" t="str">
        <f>VLOOKUP($D24,PID_from_BP!$B:$I,5,0)</f>
        <v>PCT</v>
      </c>
      <c r="M24" s="570">
        <v>100</v>
      </c>
      <c r="N24" s="555">
        <f>VLOOKUP($D24,PID_from_BP!$B:$I,3,0)</f>
        <v>100</v>
      </c>
      <c r="O24" s="570">
        <v>0</v>
      </c>
      <c r="P24" s="555">
        <f>VLOOKUP($D24,PID_from_BP!$B:$I,4,0)</f>
        <v>0</v>
      </c>
      <c r="Q24" s="570">
        <v>50.001403111553302</v>
      </c>
      <c r="R24" s="555"/>
      <c r="S24" s="853">
        <v>1</v>
      </c>
      <c r="T24" s="460">
        <v>1</v>
      </c>
      <c r="U24" s="853">
        <v>1</v>
      </c>
      <c r="V24" s="460">
        <v>1</v>
      </c>
      <c r="W24" s="853">
        <v>90</v>
      </c>
      <c r="X24" s="772">
        <f>VLOOKUP($D24,PID_TUNING_from_BP!$D:$T,9,0)</f>
        <v>90</v>
      </c>
      <c r="Y24" s="853">
        <v>40</v>
      </c>
      <c r="Z24" s="772">
        <f>VLOOKUP($D24,PID_TUNING_from_BP!$D:$T,10,0)</f>
        <v>40</v>
      </c>
    </row>
    <row r="25" spans="1:26" s="514" customFormat="1">
      <c r="A25" s="519" t="s">
        <v>5377</v>
      </c>
      <c r="B25" s="520"/>
      <c r="C25" s="909"/>
      <c r="D25" s="522" t="s">
        <v>5186</v>
      </c>
      <c r="E25" s="517"/>
      <c r="F25" s="556" t="s">
        <v>5186</v>
      </c>
      <c r="G25" s="981" t="s">
        <v>10894</v>
      </c>
      <c r="H25" s="755" t="str">
        <f>VLOOKUP($D25,PID_from_BP!$B:$I,2,0)</f>
        <v>CDU OVERHEAD DRUM</v>
      </c>
      <c r="I25" s="981" t="s">
        <v>10894</v>
      </c>
      <c r="J25" s="765" t="str">
        <f>VLOOKUP($D25,PID_from_BP!$B:$I,2,0)</f>
        <v>CDU OVERHEAD DRUM</v>
      </c>
      <c r="K25" s="981" t="s">
        <v>10979</v>
      </c>
      <c r="L25" s="555" t="str">
        <f>VLOOKUP($D25,PID_from_BP!$B:$I,5,0)</f>
        <v>%</v>
      </c>
      <c r="M25" s="570">
        <v>100</v>
      </c>
      <c r="N25" s="555">
        <f>VLOOKUP($D25,PID_from_BP!$B:$I,3,0)</f>
        <v>100</v>
      </c>
      <c r="O25" s="570">
        <v>0</v>
      </c>
      <c r="P25" s="555">
        <f>VLOOKUP($D25,PID_from_BP!$B:$I,4,0)</f>
        <v>0</v>
      </c>
      <c r="Q25" s="570">
        <v>55.698210965184501</v>
      </c>
      <c r="R25" s="555"/>
      <c r="S25" s="853">
        <v>1</v>
      </c>
      <c r="T25" s="460">
        <v>1</v>
      </c>
      <c r="U25" s="853">
        <v>1</v>
      </c>
      <c r="V25" s="460">
        <v>1</v>
      </c>
      <c r="W25" s="853">
        <v>100</v>
      </c>
      <c r="X25" s="772">
        <f>VLOOKUP($D25,PID_TUNING_from_BP!$D:$T,9,0)</f>
        <v>100</v>
      </c>
      <c r="Y25" s="853">
        <v>60</v>
      </c>
      <c r="Z25" s="772">
        <f>VLOOKUP($D25,PID_TUNING_from_BP!$D:$T,10,0)</f>
        <v>60</v>
      </c>
    </row>
    <row r="26" spans="1:26" s="514" customFormat="1">
      <c r="A26" s="519" t="s">
        <v>5377</v>
      </c>
      <c r="B26" s="520"/>
      <c r="C26" s="909"/>
      <c r="D26" s="522" t="s">
        <v>5067</v>
      </c>
      <c r="E26" s="517"/>
      <c r="F26" s="556" t="s">
        <v>5067</v>
      </c>
      <c r="G26" s="981" t="s">
        <v>10954</v>
      </c>
      <c r="H26" s="755" t="str">
        <f>VLOOKUP($D26,PID_from_BP!$B:$I,2,0)</f>
        <v>A DESALTER INTERFACE</v>
      </c>
      <c r="I26" s="981" t="s">
        <v>10954</v>
      </c>
      <c r="J26" s="765" t="str">
        <f>VLOOKUP($D26,PID_from_BP!$B:$I,2,0)</f>
        <v>A DESALTER INTERFACE</v>
      </c>
      <c r="K26" s="981" t="s">
        <v>10979</v>
      </c>
      <c r="L26" s="555" t="str">
        <f>VLOOKUP($D26,PID_from_BP!$B:$I,5,0)</f>
        <v>%</v>
      </c>
      <c r="M26" s="570">
        <v>100</v>
      </c>
      <c r="N26" s="555">
        <f>VLOOKUP($D26,PID_from_BP!$B:$I,3,0)</f>
        <v>100</v>
      </c>
      <c r="O26" s="570">
        <v>0</v>
      </c>
      <c r="P26" s="555">
        <f>VLOOKUP($D26,PID_from_BP!$B:$I,4,0)</f>
        <v>0</v>
      </c>
      <c r="Q26" s="570">
        <v>60.000071711182201</v>
      </c>
      <c r="R26" s="555"/>
      <c r="S26" s="853">
        <v>1</v>
      </c>
      <c r="T26" s="460">
        <v>1</v>
      </c>
      <c r="U26" s="853">
        <v>1</v>
      </c>
      <c r="V26" s="460">
        <v>1</v>
      </c>
      <c r="W26" s="853">
        <v>50</v>
      </c>
      <c r="X26" s="772">
        <f>VLOOKUP($D26,PID_TUNING_from_BP!$D:$T,9,0)</f>
        <v>50</v>
      </c>
      <c r="Y26" s="853">
        <v>25</v>
      </c>
      <c r="Z26" s="772">
        <f>VLOOKUP($D26,PID_TUNING_from_BP!$D:$T,10,0)</f>
        <v>25</v>
      </c>
    </row>
    <row r="27" spans="1:26" s="514" customFormat="1">
      <c r="A27" s="519" t="s">
        <v>5377</v>
      </c>
      <c r="B27" s="520"/>
      <c r="C27" s="909"/>
      <c r="D27" s="522" t="s">
        <v>5069</v>
      </c>
      <c r="E27" s="517"/>
      <c r="F27" s="556" t="s">
        <v>5069</v>
      </c>
      <c r="G27" s="981" t="s">
        <v>10955</v>
      </c>
      <c r="H27" s="755" t="str">
        <f>VLOOKUP($D27,PID_from_BP!$B:$I,2,0)</f>
        <v>B DESALTER INTERFACE</v>
      </c>
      <c r="I27" s="981" t="s">
        <v>10955</v>
      </c>
      <c r="J27" s="765" t="str">
        <f>VLOOKUP($D27,PID_from_BP!$B:$I,2,0)</f>
        <v>B DESALTER INTERFACE</v>
      </c>
      <c r="K27" s="981" t="s">
        <v>10979</v>
      </c>
      <c r="L27" s="555" t="str">
        <f>VLOOKUP($D27,PID_from_BP!$B:$I,5,0)</f>
        <v>%</v>
      </c>
      <c r="M27" s="570">
        <v>100</v>
      </c>
      <c r="N27" s="555">
        <f>VLOOKUP($D27,PID_from_BP!$B:$I,3,0)</f>
        <v>100</v>
      </c>
      <c r="O27" s="570">
        <v>0</v>
      </c>
      <c r="P27" s="555">
        <f>VLOOKUP($D27,PID_from_BP!$B:$I,4,0)</f>
        <v>0</v>
      </c>
      <c r="Q27" s="570">
        <v>60.000017056845699</v>
      </c>
      <c r="R27" s="555"/>
      <c r="S27" s="853">
        <v>1</v>
      </c>
      <c r="T27" s="460">
        <v>1</v>
      </c>
      <c r="U27" s="853">
        <v>1</v>
      </c>
      <c r="V27" s="460">
        <v>1</v>
      </c>
      <c r="W27" s="853">
        <v>50</v>
      </c>
      <c r="X27" s="772">
        <f>VLOOKUP($D27,PID_TUNING_from_BP!$D:$T,9,0)</f>
        <v>50</v>
      </c>
      <c r="Y27" s="853">
        <v>25</v>
      </c>
      <c r="Z27" s="772">
        <f>VLOOKUP($D27,PID_TUNING_from_BP!$D:$T,10,0)</f>
        <v>25</v>
      </c>
    </row>
    <row r="28" spans="1:26" s="514" customFormat="1">
      <c r="A28" s="519" t="s">
        <v>5377</v>
      </c>
      <c r="B28" s="520"/>
      <c r="C28" s="909"/>
      <c r="D28" s="522" t="s">
        <v>10453</v>
      </c>
      <c r="E28" s="517"/>
      <c r="F28" s="556" t="s">
        <v>5141</v>
      </c>
      <c r="G28" s="981" t="s">
        <v>10895</v>
      </c>
      <c r="H28" s="755" t="str">
        <f>VLOOKUP($D28,PID_from_BP!$B:$I,2,0)</f>
        <v>CDU TOWER BOTTOM</v>
      </c>
      <c r="I28" s="981" t="s">
        <v>10895</v>
      </c>
      <c r="J28" s="765" t="str">
        <f>VLOOKUP($D28,PID_from_BP!$B:$I,2,0)</f>
        <v>CDU TOWER BOTTOM</v>
      </c>
      <c r="K28" s="981" t="s">
        <v>10979</v>
      </c>
      <c r="L28" s="555" t="str">
        <f>VLOOKUP($D28,PID_from_BP!$B:$I,5,0)</f>
        <v>%</v>
      </c>
      <c r="M28" s="570">
        <v>100</v>
      </c>
      <c r="N28" s="555">
        <f>VLOOKUP($D28,PID_from_BP!$B:$I,3,0)</f>
        <v>100</v>
      </c>
      <c r="O28" s="570">
        <v>0</v>
      </c>
      <c r="P28" s="555">
        <f>VLOOKUP($D28,PID_from_BP!$B:$I,4,0)</f>
        <v>0</v>
      </c>
      <c r="Q28" s="570">
        <v>50.000181727248602</v>
      </c>
      <c r="R28" s="555"/>
      <c r="S28" s="853">
        <v>1</v>
      </c>
      <c r="T28" s="460">
        <v>1</v>
      </c>
      <c r="U28" s="853">
        <v>1</v>
      </c>
      <c r="V28" s="460">
        <v>1</v>
      </c>
      <c r="W28" s="853">
        <v>100</v>
      </c>
      <c r="X28" s="772">
        <f>VLOOKUP($D28,PID_TUNING_from_BP!$D:$T,9,0)</f>
        <v>100</v>
      </c>
      <c r="Y28" s="853">
        <v>10</v>
      </c>
      <c r="Z28" s="772">
        <f>VLOOKUP($D28,PID_TUNING_from_BP!$D:$T,10,0)</f>
        <v>10</v>
      </c>
    </row>
    <row r="29" spans="1:26" s="514" customFormat="1">
      <c r="A29" s="519" t="s">
        <v>5377</v>
      </c>
      <c r="B29" s="520"/>
      <c r="C29" s="909"/>
      <c r="D29" s="522" t="s">
        <v>955</v>
      </c>
      <c r="E29" s="517"/>
      <c r="F29" s="556" t="s">
        <v>955</v>
      </c>
      <c r="G29" s="981" t="s">
        <v>10991</v>
      </c>
      <c r="H29" s="755" t="str">
        <f>VLOOKUP($D29,PID_from_BP!$B:$I,2,0)</f>
        <v>LGO DRIER TZ2104 (FICZ1085)</v>
      </c>
      <c r="I29" s="981" t="s">
        <v>10991</v>
      </c>
      <c r="J29" s="765" t="str">
        <f>VLOOKUP($D29,PID_from_BP!$B:$I,2,0)</f>
        <v>LGO DRIER TZ2104 (FICZ1085)</v>
      </c>
      <c r="K29" s="981" t="s">
        <v>10979</v>
      </c>
      <c r="L29" s="555" t="str">
        <f>VLOOKUP($D29,PID_from_BP!$B:$I,5,0)</f>
        <v>%</v>
      </c>
      <c r="M29" s="570">
        <v>100</v>
      </c>
      <c r="N29" s="555">
        <f>VLOOKUP($D29,PID_from_BP!$B:$I,3,0)</f>
        <v>100</v>
      </c>
      <c r="O29" s="570">
        <v>0</v>
      </c>
      <c r="P29" s="555">
        <f>VLOOKUP($D29,PID_from_BP!$B:$I,4,0)</f>
        <v>0</v>
      </c>
      <c r="Q29" s="570">
        <v>50.0001534252645</v>
      </c>
      <c r="R29" s="555"/>
      <c r="S29" s="853">
        <v>1</v>
      </c>
      <c r="T29" s="460">
        <v>1</v>
      </c>
      <c r="U29" s="853">
        <v>1</v>
      </c>
      <c r="V29" s="460">
        <v>1</v>
      </c>
      <c r="W29" s="853">
        <v>80</v>
      </c>
      <c r="X29" s="772">
        <f>VLOOKUP($D29,PID_TUNING_from_BP!$D:$T,9,0)</f>
        <v>80</v>
      </c>
      <c r="Y29" s="853">
        <v>35</v>
      </c>
      <c r="Z29" s="772">
        <f>VLOOKUP($D29,PID_TUNING_from_BP!$D:$T,10,0)</f>
        <v>35</v>
      </c>
    </row>
    <row r="30" spans="1:26" s="514" customFormat="1">
      <c r="A30" s="519" t="s">
        <v>5377</v>
      </c>
      <c r="B30" s="520"/>
      <c r="C30" s="909"/>
      <c r="D30" s="522" t="s">
        <v>9523</v>
      </c>
      <c r="E30" s="517"/>
      <c r="F30" s="846" t="s">
        <v>928</v>
      </c>
      <c r="G30" s="981" t="s">
        <v>10956</v>
      </c>
      <c r="H30" s="610" t="str">
        <f>VLOOKUP($D30,PID_from_BP!$B:$I,2,0)</f>
        <v>LGO STRIPR. TZ2102(LVZ1019)</v>
      </c>
      <c r="I30" s="981" t="s">
        <v>10956</v>
      </c>
      <c r="J30" s="765" t="str">
        <f>VLOOKUP($D30,PID_from_BP!$B:$I,2,0)</f>
        <v>LGO STRIPR. TZ2102(LVZ1019)</v>
      </c>
      <c r="K30" s="981" t="s">
        <v>10979</v>
      </c>
      <c r="L30" s="610" t="str">
        <f>VLOOKUP($D30,PID_from_BP!$B:$I,5,0)</f>
        <v>%</v>
      </c>
      <c r="M30" s="614">
        <v>100</v>
      </c>
      <c r="N30" s="610">
        <f>VLOOKUP($D30,PID_from_BP!$B:$I,3,0)</f>
        <v>100</v>
      </c>
      <c r="O30" s="614">
        <v>0</v>
      </c>
      <c r="P30" s="610">
        <f>VLOOKUP($D30,PID_from_BP!$B:$I,4,0)</f>
        <v>0</v>
      </c>
      <c r="Q30" s="570">
        <v>49.9999593248492</v>
      </c>
      <c r="R30" s="555"/>
      <c r="S30" s="853">
        <v>1</v>
      </c>
      <c r="T30" s="460">
        <v>1</v>
      </c>
      <c r="U30" s="853">
        <v>1</v>
      </c>
      <c r="V30" s="460">
        <v>1</v>
      </c>
      <c r="W30" s="853">
        <v>50</v>
      </c>
      <c r="X30" s="772">
        <f>VLOOKUP($D30,PID_TUNING_from_BP!$D:$T,9,0)</f>
        <v>50</v>
      </c>
      <c r="Y30" s="853">
        <v>25</v>
      </c>
      <c r="Z30" s="772">
        <f>VLOOKUP($D30,PID_TUNING_from_BP!$D:$T,10,0)</f>
        <v>25</v>
      </c>
    </row>
    <row r="31" spans="1:26" s="514" customFormat="1">
      <c r="A31" s="519" t="s">
        <v>5377</v>
      </c>
      <c r="B31" s="520"/>
      <c r="C31" s="909"/>
      <c r="D31" s="522" t="s">
        <v>10454</v>
      </c>
      <c r="E31" s="517"/>
      <c r="F31" s="556" t="s">
        <v>5071</v>
      </c>
      <c r="G31" s="981" t="s">
        <v>10896</v>
      </c>
      <c r="H31" s="610" t="str">
        <f>VLOOKUP($D31,PID_from_BP!$B:$I,2,0)</f>
        <v>HGO DRIER TZ2105</v>
      </c>
      <c r="I31" s="981" t="s">
        <v>10896</v>
      </c>
      <c r="J31" s="765" t="str">
        <f>VLOOKUP($D31,PID_from_BP!$B:$I,2,0)</f>
        <v>HGO DRIER TZ2105</v>
      </c>
      <c r="K31" s="981" t="s">
        <v>10979</v>
      </c>
      <c r="L31" s="610" t="str">
        <f>VLOOKUP($D31,PID_from_BP!$B:$I,5,0)</f>
        <v>%</v>
      </c>
      <c r="M31" s="614">
        <v>100</v>
      </c>
      <c r="N31" s="610">
        <f>VLOOKUP($D31,PID_from_BP!$B:$I,3,0)</f>
        <v>100</v>
      </c>
      <c r="O31" s="614">
        <v>0</v>
      </c>
      <c r="P31" s="610">
        <f>VLOOKUP($D31,PID_from_BP!$B:$I,4,0)</f>
        <v>0</v>
      </c>
      <c r="Q31" s="570">
        <v>50.000020762057801</v>
      </c>
      <c r="R31" s="555"/>
      <c r="S31" s="853">
        <v>1</v>
      </c>
      <c r="T31" s="460">
        <v>1</v>
      </c>
      <c r="U31" s="853">
        <v>1</v>
      </c>
      <c r="V31" s="460">
        <v>1</v>
      </c>
      <c r="W31" s="853">
        <v>35</v>
      </c>
      <c r="X31" s="772">
        <f>VLOOKUP($D31,PID_TUNING_from_BP!$D:$T,9,0)</f>
        <v>35</v>
      </c>
      <c r="Y31" s="853">
        <v>15</v>
      </c>
      <c r="Z31" s="772">
        <f>VLOOKUP($D31,PID_TUNING_from_BP!$D:$T,10,0)</f>
        <v>15</v>
      </c>
    </row>
    <row r="32" spans="1:26" s="514" customFormat="1">
      <c r="A32" s="519" t="s">
        <v>5377</v>
      </c>
      <c r="B32" s="520"/>
      <c r="C32" s="909"/>
      <c r="D32" s="522" t="s">
        <v>933</v>
      </c>
      <c r="E32" s="517"/>
      <c r="F32" s="556" t="s">
        <v>933</v>
      </c>
      <c r="G32" s="981" t="s">
        <v>10897</v>
      </c>
      <c r="H32" s="610" t="str">
        <f>VLOOKUP($D32,PID_from_BP!$B:$I,2,0)</f>
        <v>HGO STRIPPER TZ2103</v>
      </c>
      <c r="I32" s="981" t="s">
        <v>10897</v>
      </c>
      <c r="J32" s="765" t="str">
        <f>VLOOKUP($D32,PID_from_BP!$B:$I,2,0)</f>
        <v>HGO STRIPPER TZ2103</v>
      </c>
      <c r="K32" s="981" t="s">
        <v>10979</v>
      </c>
      <c r="L32" s="610" t="str">
        <f>VLOOKUP($D32,PID_from_BP!$B:$I,5,0)</f>
        <v>%</v>
      </c>
      <c r="M32" s="614">
        <v>100</v>
      </c>
      <c r="N32" s="610">
        <f>VLOOKUP($D32,PID_from_BP!$B:$I,3,0)</f>
        <v>100</v>
      </c>
      <c r="O32" s="614">
        <v>0</v>
      </c>
      <c r="P32" s="610">
        <f>VLOOKUP($D32,PID_from_BP!$B:$I,4,0)</f>
        <v>0</v>
      </c>
      <c r="Q32" s="570">
        <v>49.999983434599798</v>
      </c>
      <c r="R32" s="555"/>
      <c r="S32" s="853">
        <v>1</v>
      </c>
      <c r="T32" s="460">
        <v>1</v>
      </c>
      <c r="U32" s="853">
        <v>1</v>
      </c>
      <c r="V32" s="460">
        <v>1</v>
      </c>
      <c r="W32" s="853">
        <v>80</v>
      </c>
      <c r="X32" s="772">
        <f>VLOOKUP($D32,PID_TUNING_from_BP!$D:$T,9,0)</f>
        <v>80</v>
      </c>
      <c r="Y32" s="853">
        <v>7.5</v>
      </c>
      <c r="Z32" s="772">
        <f>VLOOKUP($D32,PID_TUNING_from_BP!$D:$T,10,0)</f>
        <v>75</v>
      </c>
    </row>
    <row r="33" spans="1:26" s="514" customFormat="1">
      <c r="A33" s="519" t="s">
        <v>5377</v>
      </c>
      <c r="B33" s="520"/>
      <c r="C33" s="909"/>
      <c r="D33" s="522" t="s">
        <v>9524</v>
      </c>
      <c r="E33" s="517"/>
      <c r="F33" s="556" t="s">
        <v>936</v>
      </c>
      <c r="G33" s="981" t="s">
        <v>10957</v>
      </c>
      <c r="H33" s="610" t="str">
        <f>VLOOKUP($D33,PID_from_BP!$B:$I,2,0)</f>
        <v>VACUUM COND KO POT A</v>
      </c>
      <c r="I33" s="981" t="s">
        <v>10957</v>
      </c>
      <c r="J33" s="765" t="str">
        <f>VLOOKUP($D33,PID_from_BP!$B:$I,2,0)</f>
        <v>VACUUM COND KO POT A</v>
      </c>
      <c r="K33" s="981" t="s">
        <v>10979</v>
      </c>
      <c r="L33" s="610" t="str">
        <f>VLOOKUP($D33,PID_from_BP!$B:$I,5,0)</f>
        <v>%</v>
      </c>
      <c r="M33" s="614">
        <v>100</v>
      </c>
      <c r="N33" s="610">
        <f>VLOOKUP($D33,PID_from_BP!$B:$I,3,0)</f>
        <v>100</v>
      </c>
      <c r="O33" s="614">
        <v>0</v>
      </c>
      <c r="P33" s="610">
        <f>VLOOKUP($D33,PID_from_BP!$B:$I,4,0)</f>
        <v>0</v>
      </c>
      <c r="Q33" s="570">
        <v>9.9699343512897602</v>
      </c>
      <c r="R33" s="555"/>
      <c r="S33" s="853">
        <v>1</v>
      </c>
      <c r="T33" s="460">
        <v>1</v>
      </c>
      <c r="U33" s="853">
        <v>1</v>
      </c>
      <c r="V33" s="460">
        <v>1</v>
      </c>
      <c r="W33" s="853">
        <v>75</v>
      </c>
      <c r="X33" s="772">
        <f>VLOOKUP($D33,PID_TUNING_from_BP!$D:$T,9,0)</f>
        <v>75</v>
      </c>
      <c r="Y33" s="853">
        <v>20</v>
      </c>
      <c r="Z33" s="772">
        <f>VLOOKUP($D33,PID_TUNING_from_BP!$D:$T,10,0)</f>
        <v>20</v>
      </c>
    </row>
    <row r="34" spans="1:26" s="514" customFormat="1">
      <c r="A34" s="519" t="s">
        <v>5377</v>
      </c>
      <c r="B34" s="520"/>
      <c r="C34" s="909"/>
      <c r="D34" s="522" t="s">
        <v>9525</v>
      </c>
      <c r="E34" s="517"/>
      <c r="F34" s="556" t="s">
        <v>939</v>
      </c>
      <c r="G34" s="981" t="s">
        <v>10958</v>
      </c>
      <c r="H34" s="610" t="str">
        <f>VLOOKUP($D34,PID_from_BP!$B:$I,2,0)</f>
        <v>VACUUM COND KO POT B</v>
      </c>
      <c r="I34" s="981" t="s">
        <v>10958</v>
      </c>
      <c r="J34" s="765" t="str">
        <f>VLOOKUP($D34,PID_from_BP!$B:$I,2,0)</f>
        <v>VACUUM COND KO POT B</v>
      </c>
      <c r="K34" s="981" t="s">
        <v>10979</v>
      </c>
      <c r="L34" s="610" t="str">
        <f>VLOOKUP($D34,PID_from_BP!$B:$I,5,0)</f>
        <v>%</v>
      </c>
      <c r="M34" s="614">
        <v>100</v>
      </c>
      <c r="N34" s="610">
        <f>VLOOKUP($D34,PID_from_BP!$B:$I,3,0)</f>
        <v>100</v>
      </c>
      <c r="O34" s="614">
        <v>0</v>
      </c>
      <c r="P34" s="610">
        <f>VLOOKUP($D34,PID_from_BP!$B:$I,4,0)</f>
        <v>0</v>
      </c>
      <c r="Q34" s="570">
        <v>10.0000049319701</v>
      </c>
      <c r="R34" s="555"/>
      <c r="S34" s="853">
        <v>1</v>
      </c>
      <c r="T34" s="460">
        <v>1</v>
      </c>
      <c r="U34" s="853">
        <v>1</v>
      </c>
      <c r="V34" s="460">
        <v>1</v>
      </c>
      <c r="W34" s="853">
        <v>75</v>
      </c>
      <c r="X34" s="772">
        <f>VLOOKUP($D34,PID_TUNING_from_BP!$D:$T,9,0)</f>
        <v>75</v>
      </c>
      <c r="Y34" s="853">
        <v>20</v>
      </c>
      <c r="Z34" s="772">
        <f>VLOOKUP($D34,PID_TUNING_from_BP!$D:$T,10,0)</f>
        <v>20</v>
      </c>
    </row>
    <row r="35" spans="1:26" s="514" customFormat="1">
      <c r="A35" s="519" t="s">
        <v>5377</v>
      </c>
      <c r="B35" s="520"/>
      <c r="C35" s="909"/>
      <c r="D35" s="522" t="s">
        <v>941</v>
      </c>
      <c r="E35" s="517"/>
      <c r="F35" s="556" t="s">
        <v>941</v>
      </c>
      <c r="G35" s="981" t="s">
        <v>10959</v>
      </c>
      <c r="H35" s="610" t="str">
        <f>VLOOKUP($D35,PID_from_BP!$B:$I,2,0)</f>
        <v>WASTE HEAT BOILER EZ2128</v>
      </c>
      <c r="I35" s="981" t="s">
        <v>10959</v>
      </c>
      <c r="J35" s="765" t="str">
        <f>VLOOKUP($D35,PID_from_BP!$B:$I,2,0)</f>
        <v>WASTE HEAT BOILER EZ2128</v>
      </c>
      <c r="K35" s="981" t="s">
        <v>10979</v>
      </c>
      <c r="L35" s="610" t="str">
        <f>VLOOKUP($D35,PID_from_BP!$B:$I,5,0)</f>
        <v>%</v>
      </c>
      <c r="M35" s="614">
        <v>100</v>
      </c>
      <c r="N35" s="610">
        <f>VLOOKUP($D35,PID_from_BP!$B:$I,3,0)</f>
        <v>100</v>
      </c>
      <c r="O35" s="614">
        <v>0</v>
      </c>
      <c r="P35" s="610">
        <f>VLOOKUP($D35,PID_from_BP!$B:$I,4,0)</f>
        <v>0</v>
      </c>
      <c r="Q35" s="570">
        <v>71.998726143181003</v>
      </c>
      <c r="R35" s="555"/>
      <c r="S35" s="853">
        <v>1</v>
      </c>
      <c r="T35" s="460">
        <v>1</v>
      </c>
      <c r="U35" s="853">
        <v>1</v>
      </c>
      <c r="V35" s="460">
        <v>1</v>
      </c>
      <c r="W35" s="853">
        <v>100</v>
      </c>
      <c r="X35" s="772">
        <f>VLOOKUP($D35,PID_TUNING_from_BP!$D:$T,9,0)</f>
        <v>100</v>
      </c>
      <c r="Y35" s="853">
        <v>15</v>
      </c>
      <c r="Z35" s="772">
        <f>VLOOKUP($D35,PID_TUNING_from_BP!$D:$T,10,0)</f>
        <v>15</v>
      </c>
    </row>
    <row r="36" spans="1:26" s="514" customFormat="1">
      <c r="A36" s="519" t="s">
        <v>5377</v>
      </c>
      <c r="B36" s="520"/>
      <c r="C36" s="909"/>
      <c r="D36" s="522" t="s">
        <v>9528</v>
      </c>
      <c r="E36" s="517"/>
      <c r="F36" s="556" t="s">
        <v>5217</v>
      </c>
      <c r="G36" s="981" t="s">
        <v>10960</v>
      </c>
      <c r="H36" s="610" t="str">
        <f>VLOOKUP($D36,PID_from_BP!$B:$I,2,0)</f>
        <v>TAILGAS KO</v>
      </c>
      <c r="I36" s="981" t="s">
        <v>10960</v>
      </c>
      <c r="J36" s="765" t="str">
        <f>VLOOKUP($D36,PID_from_BP!$B:$I,2,0)</f>
        <v>TAILGAS KO</v>
      </c>
      <c r="K36" s="981" t="s">
        <v>10979</v>
      </c>
      <c r="L36" s="610" t="str">
        <f>VLOOKUP($D36,PID_from_BP!$B:$I,5,0)</f>
        <v>%</v>
      </c>
      <c r="M36" s="614">
        <v>100</v>
      </c>
      <c r="N36" s="610">
        <f>VLOOKUP($D36,PID_from_BP!$B:$I,3,0)</f>
        <v>100</v>
      </c>
      <c r="O36" s="614">
        <v>0</v>
      </c>
      <c r="P36" s="610">
        <f>VLOOKUP($D36,PID_from_BP!$B:$I,4,0)</f>
        <v>0</v>
      </c>
      <c r="Q36" s="570">
        <v>2.4686983850545801</v>
      </c>
      <c r="R36" s="555"/>
      <c r="S36" s="853">
        <v>1</v>
      </c>
      <c r="T36" s="460">
        <v>1</v>
      </c>
      <c r="U36" s="853">
        <v>1</v>
      </c>
      <c r="V36" s="460">
        <v>1</v>
      </c>
      <c r="W36" s="853">
        <v>75</v>
      </c>
      <c r="X36" s="772">
        <f>VLOOKUP($D36,PID_TUNING_from_BP!$D:$T,9,0)</f>
        <v>75</v>
      </c>
      <c r="Y36" s="853">
        <v>35</v>
      </c>
      <c r="Z36" s="772">
        <f>VLOOKUP($D36,PID_TUNING_from_BP!$D:$T,10,0)</f>
        <v>35</v>
      </c>
    </row>
    <row r="37" spans="1:26" s="514" customFormat="1">
      <c r="A37" s="519" t="s">
        <v>5377</v>
      </c>
      <c r="B37" s="520"/>
      <c r="C37" s="909"/>
      <c r="D37" s="522" t="s">
        <v>4958</v>
      </c>
      <c r="E37" s="517"/>
      <c r="F37" s="556" t="s">
        <v>4958</v>
      </c>
      <c r="G37" s="981" t="s">
        <v>10905</v>
      </c>
      <c r="H37" s="610" t="str">
        <f>VLOOKUP($D37,PID_from_BP!$B:$I,2,0)</f>
        <v>DHT LP SEPARATOR</v>
      </c>
      <c r="I37" s="981" t="s">
        <v>10905</v>
      </c>
      <c r="J37" s="765" t="str">
        <f>VLOOKUP($D37,PID_from_BP!$B:$I,2,0)</f>
        <v>DHT LP SEPARATOR</v>
      </c>
      <c r="K37" s="981" t="s">
        <v>10979</v>
      </c>
      <c r="L37" s="610" t="str">
        <f>VLOOKUP($D37,PID_from_BP!$B:$I,5,0)</f>
        <v>%</v>
      </c>
      <c r="M37" s="614">
        <v>100</v>
      </c>
      <c r="N37" s="610">
        <f>VLOOKUP($D37,PID_from_BP!$B:$I,3,0)</f>
        <v>100</v>
      </c>
      <c r="O37" s="614">
        <v>0</v>
      </c>
      <c r="P37" s="610">
        <f>VLOOKUP($D37,PID_from_BP!$B:$I,4,0)</f>
        <v>0</v>
      </c>
      <c r="Q37" s="570">
        <v>49.997865777159802</v>
      </c>
      <c r="R37" s="555"/>
      <c r="S37" s="853">
        <v>1</v>
      </c>
      <c r="T37" s="460">
        <v>1</v>
      </c>
      <c r="U37" s="853">
        <v>1</v>
      </c>
      <c r="V37" s="460">
        <v>1</v>
      </c>
      <c r="W37" s="853">
        <v>150</v>
      </c>
      <c r="X37" s="772">
        <f>VLOOKUP($D37,PID_TUNING_from_BP!$D:$T,9,0)</f>
        <v>150</v>
      </c>
      <c r="Y37" s="853">
        <v>60</v>
      </c>
      <c r="Z37" s="772">
        <f>VLOOKUP($D37,PID_TUNING_from_BP!$D:$T,10,0)</f>
        <v>60</v>
      </c>
    </row>
    <row r="38" spans="1:26" s="514" customFormat="1">
      <c r="A38" s="519" t="s">
        <v>5377</v>
      </c>
      <c r="B38" s="520"/>
      <c r="C38" s="909"/>
      <c r="D38" s="522" t="s">
        <v>5058</v>
      </c>
      <c r="E38" s="517"/>
      <c r="F38" s="556" t="s">
        <v>6624</v>
      </c>
      <c r="G38" s="981" t="s">
        <v>10898</v>
      </c>
      <c r="H38" s="610" t="str">
        <f>VLOOKUP($D38,PID_from_BP!$B:$I,2,0)</f>
        <v>DHT HP SEPARATOR</v>
      </c>
      <c r="I38" s="981" t="s">
        <v>10898</v>
      </c>
      <c r="J38" s="765" t="str">
        <f>VLOOKUP($D38,PID_from_BP!$B:$I,2,0)</f>
        <v>DHT HP SEPARATOR</v>
      </c>
      <c r="K38" s="981" t="s">
        <v>10979</v>
      </c>
      <c r="L38" s="610" t="str">
        <f>VLOOKUP($D38,PID_from_BP!$B:$I,5,0)</f>
        <v>%</v>
      </c>
      <c r="M38" s="614">
        <v>100</v>
      </c>
      <c r="N38" s="610">
        <f>VLOOKUP($D38,PID_from_BP!$B:$I,3,0)</f>
        <v>100</v>
      </c>
      <c r="O38" s="614">
        <v>0</v>
      </c>
      <c r="P38" s="610">
        <f>VLOOKUP($D38,PID_from_BP!$B:$I,4,0)</f>
        <v>0</v>
      </c>
      <c r="Q38" s="570">
        <v>49.999611921794603</v>
      </c>
      <c r="R38" s="555"/>
      <c r="S38" s="853">
        <v>1</v>
      </c>
      <c r="T38" s="460">
        <v>1</v>
      </c>
      <c r="U38" s="853">
        <v>1</v>
      </c>
      <c r="V38" s="460">
        <v>1</v>
      </c>
      <c r="W38" s="853">
        <v>120</v>
      </c>
      <c r="X38" s="772">
        <f>VLOOKUP($D38,PID_TUNING_from_BP!$D:$T,9,0)</f>
        <v>120</v>
      </c>
      <c r="Y38" s="853">
        <v>60</v>
      </c>
      <c r="Z38" s="772">
        <f>VLOOKUP($D38,PID_TUNING_from_BP!$D:$T,10,0)</f>
        <v>60</v>
      </c>
    </row>
    <row r="39" spans="1:26" s="514" customFormat="1">
      <c r="A39" s="519" t="s">
        <v>5377</v>
      </c>
      <c r="B39" s="520"/>
      <c r="C39" s="909"/>
      <c r="D39" s="522" t="s">
        <v>5272</v>
      </c>
      <c r="E39" s="517"/>
      <c r="F39" s="556" t="s">
        <v>5272</v>
      </c>
      <c r="G39" s="981" t="s">
        <v>10913</v>
      </c>
      <c r="H39" s="610" t="str">
        <f>VLOOKUP($D39,PID_from_BP!$B:$I,2,0)</f>
        <v>DFU STABILISER BOTTOM</v>
      </c>
      <c r="I39" s="981" t="s">
        <v>10913</v>
      </c>
      <c r="J39" s="765" t="str">
        <f>VLOOKUP($D39,PID_from_BP!$B:$I,2,0)</f>
        <v>DFU STABILISER BOTTOM</v>
      </c>
      <c r="K39" s="981" t="s">
        <v>10979</v>
      </c>
      <c r="L39" s="610" t="str">
        <f>VLOOKUP($D39,PID_from_BP!$B:$I,5,0)</f>
        <v>%</v>
      </c>
      <c r="M39" s="614">
        <v>100</v>
      </c>
      <c r="N39" s="610">
        <f>VLOOKUP($D39,PID_from_BP!$B:$I,3,0)</f>
        <v>100</v>
      </c>
      <c r="O39" s="614">
        <v>0</v>
      </c>
      <c r="P39" s="610">
        <f>VLOOKUP($D39,PID_from_BP!$B:$I,4,0)</f>
        <v>0</v>
      </c>
      <c r="Q39" s="570">
        <v>50.001344461548697</v>
      </c>
      <c r="R39" s="555"/>
      <c r="S39" s="853">
        <v>1</v>
      </c>
      <c r="T39" s="460">
        <v>1</v>
      </c>
      <c r="U39" s="853">
        <v>1</v>
      </c>
      <c r="V39" s="460">
        <v>1</v>
      </c>
      <c r="W39" s="853">
        <v>50</v>
      </c>
      <c r="X39" s="772">
        <f>VLOOKUP($D39,PID_TUNING_from_BP!$D:$T,9,0)</f>
        <v>50</v>
      </c>
      <c r="Y39" s="853">
        <v>40</v>
      </c>
      <c r="Z39" s="772">
        <f>VLOOKUP($D39,PID_TUNING_from_BP!$D:$T,10,0)</f>
        <v>40</v>
      </c>
    </row>
    <row r="40" spans="1:26" s="514" customFormat="1">
      <c r="A40" s="519" t="s">
        <v>5377</v>
      </c>
      <c r="B40" s="520"/>
      <c r="C40" s="909"/>
      <c r="D40" s="522" t="s">
        <v>5274</v>
      </c>
      <c r="E40" s="517"/>
      <c r="F40" s="556" t="s">
        <v>5274</v>
      </c>
      <c r="G40" s="981" t="s">
        <v>10914</v>
      </c>
      <c r="H40" s="610" t="str">
        <f>VLOOKUP($D40,PID_from_BP!$B:$I,2,0)</f>
        <v>DFU STABILISER OVERHEAD DRUM</v>
      </c>
      <c r="I40" s="981" t="s">
        <v>10914</v>
      </c>
      <c r="J40" s="765" t="str">
        <f>VLOOKUP($D40,PID_from_BP!$B:$I,2,0)</f>
        <v>DFU STABILISER OVERHEAD DRUM</v>
      </c>
      <c r="K40" s="981" t="s">
        <v>10981</v>
      </c>
      <c r="L40" s="610" t="str">
        <f>VLOOKUP($D40,PID_from_BP!$B:$I,5,0)</f>
        <v>PCT</v>
      </c>
      <c r="M40" s="614">
        <v>100</v>
      </c>
      <c r="N40" s="610">
        <f>VLOOKUP($D40,PID_from_BP!$B:$I,3,0)</f>
        <v>100</v>
      </c>
      <c r="O40" s="614">
        <v>0</v>
      </c>
      <c r="P40" s="610">
        <f>VLOOKUP($D40,PID_from_BP!$B:$I,4,0)</f>
        <v>0</v>
      </c>
      <c r="Q40" s="570">
        <v>49.948067406351299</v>
      </c>
      <c r="R40" s="555"/>
      <c r="S40" s="853">
        <v>1</v>
      </c>
      <c r="T40" s="460">
        <v>1</v>
      </c>
      <c r="U40" s="853">
        <v>1</v>
      </c>
      <c r="V40" s="460">
        <v>1</v>
      </c>
      <c r="W40" s="853">
        <v>75</v>
      </c>
      <c r="X40" s="772">
        <f>VLOOKUP($D40,PID_TUNING_from_BP!$D:$T,9,0)</f>
        <v>75</v>
      </c>
      <c r="Y40" s="853">
        <v>60</v>
      </c>
      <c r="Z40" s="772">
        <f>VLOOKUP($D40,PID_TUNING_from_BP!$D:$T,10,0)</f>
        <v>60</v>
      </c>
    </row>
    <row r="41" spans="1:26" s="514" customFormat="1">
      <c r="A41" s="519" t="s">
        <v>5377</v>
      </c>
      <c r="B41" s="520"/>
      <c r="C41" s="909"/>
      <c r="D41" s="522" t="s">
        <v>9568</v>
      </c>
      <c r="E41" s="517"/>
      <c r="F41" s="556" t="s">
        <v>5143</v>
      </c>
      <c r="G41" s="981" t="s">
        <v>10961</v>
      </c>
      <c r="H41" s="610" t="str">
        <f>VLOOKUP($D41,PID_from_BP!$B:$I,2,0)</f>
        <v>DESALTER</v>
      </c>
      <c r="I41" s="981" t="s">
        <v>10961</v>
      </c>
      <c r="J41" s="765" t="str">
        <f>VLOOKUP($D41,PID_from_BP!$B:$I,2,0)</f>
        <v>DESALTER</v>
      </c>
      <c r="K41" s="981" t="s">
        <v>10988</v>
      </c>
      <c r="L41" s="610" t="str">
        <f>VLOOKUP($D41,PID_from_BP!$B:$I,5,0)</f>
        <v>BARG</v>
      </c>
      <c r="M41" s="614">
        <v>16</v>
      </c>
      <c r="N41" s="610">
        <f>VLOOKUP($D41,PID_from_BP!$B:$I,3,0)</f>
        <v>16</v>
      </c>
      <c r="O41" s="614">
        <v>0</v>
      </c>
      <c r="P41" s="610">
        <f>VLOOKUP($D41,PID_from_BP!$B:$I,4,0)</f>
        <v>0</v>
      </c>
      <c r="Q41" s="570">
        <v>8.5699984734107595</v>
      </c>
      <c r="R41" s="555"/>
      <c r="S41" s="853">
        <v>1</v>
      </c>
      <c r="T41" s="460">
        <v>1</v>
      </c>
      <c r="U41" s="853">
        <v>1</v>
      </c>
      <c r="V41" s="460">
        <v>1</v>
      </c>
      <c r="W41" s="853">
        <v>150</v>
      </c>
      <c r="X41" s="772">
        <f>VLOOKUP($D41,PID_TUNING_from_BP!$D:$T,9,0)</f>
        <v>150</v>
      </c>
      <c r="Y41" s="853">
        <v>6</v>
      </c>
      <c r="Z41" s="772">
        <f>VLOOKUP($D41,PID_TUNING_from_BP!$D:$T,10,0)</f>
        <v>6</v>
      </c>
    </row>
    <row r="42" spans="1:26">
      <c r="A42" s="611" t="s">
        <v>5377</v>
      </c>
      <c r="B42" s="462"/>
      <c r="C42" s="909"/>
      <c r="D42" s="464" t="s">
        <v>5220</v>
      </c>
      <c r="E42" s="609"/>
      <c r="F42" s="556" t="s">
        <v>9214</v>
      </c>
      <c r="G42" s="981" t="s">
        <v>10962</v>
      </c>
      <c r="H42" s="610" t="str">
        <f>VLOOKUP($D42,PID_from_BP!$B:$I,2,0)</f>
        <v>DESALTER EFFLUENCE BACK PRESSURE</v>
      </c>
      <c r="I42" s="981" t="s">
        <v>10962</v>
      </c>
      <c r="J42" s="765" t="str">
        <f>VLOOKUP($D42,PID_from_BP!$B:$I,2,0)</f>
        <v>DESALTER EFFLUENCE BACK PRESSURE</v>
      </c>
      <c r="K42" s="981" t="s">
        <v>10982</v>
      </c>
      <c r="L42" s="610" t="str">
        <f>VLOOKUP($D42,PID_from_BP!$B:$I,5,0)</f>
        <v>BAR</v>
      </c>
      <c r="M42" s="614">
        <v>12</v>
      </c>
      <c r="N42" s="610">
        <f>VLOOKUP($D42,PID_from_BP!$B:$I,3,0)</f>
        <v>12</v>
      </c>
      <c r="O42" s="614">
        <v>0</v>
      </c>
      <c r="P42" s="610">
        <f>VLOOKUP($D42,PID_from_BP!$B:$I,4,0)</f>
        <v>0</v>
      </c>
      <c r="Q42" s="19">
        <v>6.7107479597135704</v>
      </c>
      <c r="R42" s="460"/>
      <c r="S42" s="853">
        <v>1</v>
      </c>
      <c r="T42" s="460">
        <v>1</v>
      </c>
      <c r="U42" s="853">
        <v>1</v>
      </c>
      <c r="V42" s="460">
        <v>1</v>
      </c>
      <c r="W42" s="853">
        <v>200</v>
      </c>
      <c r="X42" s="772">
        <f>VLOOKUP($D42,PID_TUNING_from_BP!$D:$T,9,0)</f>
        <v>200</v>
      </c>
      <c r="Y42" s="853">
        <v>0.12</v>
      </c>
      <c r="Z42" s="772">
        <f>VLOOKUP($D42,PID_TUNING_from_BP!$D:$T,10,0)</f>
        <v>0.12</v>
      </c>
    </row>
    <row r="43" spans="1:26">
      <c r="A43" s="611" t="s">
        <v>5377</v>
      </c>
      <c r="B43" s="462"/>
      <c r="C43" s="909"/>
      <c r="D43" s="464" t="s">
        <v>9569</v>
      </c>
      <c r="E43" s="609"/>
      <c r="F43" s="556" t="s">
        <v>5193</v>
      </c>
      <c r="G43" s="981" t="s">
        <v>10902</v>
      </c>
      <c r="H43" s="610" t="str">
        <f>VLOOKUP($D43,PID_from_BP!$B:$I,2,0)</f>
        <v>CDU TOWER OVERH. DRUM</v>
      </c>
      <c r="I43" s="981" t="s">
        <v>10902</v>
      </c>
      <c r="J43" s="765" t="str">
        <f>VLOOKUP($D43,PID_from_BP!$B:$I,2,0)</f>
        <v>CDU TOWER OVERH. DRUM</v>
      </c>
      <c r="K43" s="981" t="s">
        <v>10988</v>
      </c>
      <c r="L43" s="610" t="str">
        <f>VLOOKUP($D43,PID_from_BP!$B:$I,5,0)</f>
        <v>BARG</v>
      </c>
      <c r="M43" s="614">
        <v>3</v>
      </c>
      <c r="N43" s="610">
        <f>VLOOKUP($D43,PID_from_BP!$B:$I,3,0)</f>
        <v>3</v>
      </c>
      <c r="O43" s="614">
        <v>0</v>
      </c>
      <c r="P43" s="610">
        <f>VLOOKUP($D43,PID_from_BP!$B:$I,4,0)</f>
        <v>0</v>
      </c>
      <c r="Q43" s="19">
        <v>0.68998859963310699</v>
      </c>
      <c r="R43" s="460"/>
      <c r="S43" s="853">
        <v>1</v>
      </c>
      <c r="T43" s="460">
        <v>1</v>
      </c>
      <c r="U43" s="853">
        <v>1</v>
      </c>
      <c r="V43" s="460">
        <v>1</v>
      </c>
      <c r="W43" s="853">
        <v>15</v>
      </c>
      <c r="X43" s="772">
        <f>VLOOKUP($D43,PID_TUNING_from_BP!$D:$T,9,0)</f>
        <v>15</v>
      </c>
      <c r="Y43" s="853">
        <v>15</v>
      </c>
      <c r="Z43" s="772">
        <f>VLOOKUP($D43,PID_TUNING_from_BP!$D:$T,10,0)</f>
        <v>15</v>
      </c>
    </row>
    <row r="44" spans="1:26">
      <c r="A44" s="611" t="s">
        <v>5377</v>
      </c>
      <c r="B44" s="462"/>
      <c r="C44" s="909"/>
      <c r="D44" s="464" t="s">
        <v>9570</v>
      </c>
      <c r="E44" s="609"/>
      <c r="F44" s="556" t="s">
        <v>5102</v>
      </c>
      <c r="G44" s="981" t="s">
        <v>10900</v>
      </c>
      <c r="H44" s="610" t="str">
        <f>VLOOKUP($D44,PID_from_BP!$B:$I,2,0)</f>
        <v>HZ2101 INLET PRESSURE</v>
      </c>
      <c r="I44" s="981" t="s">
        <v>10900</v>
      </c>
      <c r="J44" s="765" t="str">
        <f>VLOOKUP($D44,PID_from_BP!$B:$I,2,0)</f>
        <v>HZ2101 INLET PRESSURE</v>
      </c>
      <c r="K44" s="981" t="s">
        <v>10988</v>
      </c>
      <c r="L44" s="610" t="str">
        <f>VLOOKUP($D44,PID_from_BP!$B:$I,5,0)</f>
        <v>BARG</v>
      </c>
      <c r="M44" s="614">
        <v>40</v>
      </c>
      <c r="N44" s="610">
        <f>VLOOKUP($D44,PID_from_BP!$B:$I,3,0)</f>
        <v>40</v>
      </c>
      <c r="O44" s="614">
        <v>0</v>
      </c>
      <c r="P44" s="610">
        <f>VLOOKUP($D44,PID_from_BP!$B:$I,4,0)</f>
        <v>0</v>
      </c>
      <c r="Q44" s="19">
        <v>20.499802690647201</v>
      </c>
      <c r="R44" s="460"/>
      <c r="S44" s="853">
        <v>1</v>
      </c>
      <c r="T44" s="460">
        <v>1</v>
      </c>
      <c r="U44" s="853">
        <v>1</v>
      </c>
      <c r="V44" s="460">
        <v>1</v>
      </c>
      <c r="W44" s="853">
        <v>2500</v>
      </c>
      <c r="X44" s="772">
        <f>VLOOKUP($D44,PID_TUNING_from_BP!$D:$T,9,0)</f>
        <v>2500</v>
      </c>
      <c r="Y44" s="853">
        <v>7</v>
      </c>
      <c r="Z44" s="772">
        <f>VLOOKUP($D44,PID_TUNING_from_BP!$D:$T,10,0)</f>
        <v>7</v>
      </c>
    </row>
    <row r="45" spans="1:26">
      <c r="A45" s="611" t="s">
        <v>5377</v>
      </c>
      <c r="B45" s="462"/>
      <c r="C45" s="909"/>
      <c r="D45" s="464" t="s">
        <v>5198</v>
      </c>
      <c r="E45" s="609"/>
      <c r="F45" s="556" t="s">
        <v>5198</v>
      </c>
      <c r="G45" s="981" t="s">
        <v>10904</v>
      </c>
      <c r="H45" s="610" t="str">
        <f>VLOOKUP($D45,PID_from_BP!$B:$I,2,0)</f>
        <v>LGO DRIER</v>
      </c>
      <c r="I45" s="981" t="s">
        <v>10904</v>
      </c>
      <c r="J45" s="765" t="str">
        <f>VLOOKUP($D45,PID_from_BP!$B:$I,2,0)</f>
        <v>LGO DRIER</v>
      </c>
      <c r="K45" s="981" t="s">
        <v>10989</v>
      </c>
      <c r="L45" s="610" t="str">
        <f>VLOOKUP($D45,PID_from_BP!$B:$I,5,0)</f>
        <v>MBAR</v>
      </c>
      <c r="M45" s="614">
        <v>1020</v>
      </c>
      <c r="N45" s="610">
        <f>VLOOKUP($D45,PID_from_BP!$B:$I,3,0)</f>
        <v>1020</v>
      </c>
      <c r="O45" s="614">
        <v>0</v>
      </c>
      <c r="P45" s="610">
        <f>VLOOKUP($D45,PID_from_BP!$B:$I,4,0)</f>
        <v>0</v>
      </c>
      <c r="Q45" s="19">
        <v>201.80063703988299</v>
      </c>
      <c r="R45" s="460"/>
      <c r="S45" s="853">
        <v>1</v>
      </c>
      <c r="T45" s="460">
        <v>1</v>
      </c>
      <c r="U45" s="853">
        <v>1</v>
      </c>
      <c r="V45" s="460">
        <v>1</v>
      </c>
      <c r="W45" s="853">
        <v>150</v>
      </c>
      <c r="X45" s="772">
        <f>VLOOKUP($D45,PID_TUNING_from_BP!$D:$T,9,0)</f>
        <v>150</v>
      </c>
      <c r="Y45" s="853">
        <v>1.0620000000000001</v>
      </c>
      <c r="Z45" s="772">
        <f>VLOOKUP($D45,PID_TUNING_from_BP!$D:$T,10,0)</f>
        <v>1.0620000000000001</v>
      </c>
    </row>
    <row r="46" spans="1:26">
      <c r="A46" s="611" t="s">
        <v>5377</v>
      </c>
      <c r="B46" s="462"/>
      <c r="C46" s="909"/>
      <c r="D46" s="464" t="s">
        <v>5104</v>
      </c>
      <c r="E46" s="609"/>
      <c r="F46" s="556" t="s">
        <v>5104</v>
      </c>
      <c r="G46" s="981" t="s">
        <v>10890</v>
      </c>
      <c r="H46" s="610" t="str">
        <f>VLOOKUP($D46,PID_from_BP!$B:$I,2,0)</f>
        <v>CDU HEATER HZ2101 FUEL GAS</v>
      </c>
      <c r="I46" s="981" t="s">
        <v>10890</v>
      </c>
      <c r="J46" s="765" t="str">
        <f>VLOOKUP($D46,PID_from_BP!$B:$I,2,0)</f>
        <v>CDU HEATER HZ2101 FUEL GAS</v>
      </c>
      <c r="K46" s="981" t="s">
        <v>10982</v>
      </c>
      <c r="L46" s="610" t="str">
        <f>VLOOKUP($D46,PID_from_BP!$B:$I,5,0)</f>
        <v>BAR</v>
      </c>
      <c r="M46" s="614">
        <v>2</v>
      </c>
      <c r="N46" s="610">
        <f>VLOOKUP($D46,PID_from_BP!$B:$I,3,0)</f>
        <v>2</v>
      </c>
      <c r="O46" s="614">
        <v>0</v>
      </c>
      <c r="P46" s="610">
        <f>VLOOKUP($D46,PID_from_BP!$B:$I,4,0)</f>
        <v>0</v>
      </c>
      <c r="Q46" s="19">
        <v>0.25333983672750499</v>
      </c>
      <c r="R46" s="460"/>
      <c r="S46" s="853">
        <v>1</v>
      </c>
      <c r="T46" s="460">
        <v>1</v>
      </c>
      <c r="U46" s="853">
        <v>1</v>
      </c>
      <c r="V46" s="460">
        <v>1</v>
      </c>
      <c r="W46" s="853">
        <v>400</v>
      </c>
      <c r="X46" s="772">
        <f>VLOOKUP($D46,PID_TUNING_from_BP!$D:$T,9,0)</f>
        <v>400</v>
      </c>
      <c r="Y46" s="853">
        <v>7.0000000000000007E-2</v>
      </c>
      <c r="Z46" s="772">
        <f>VLOOKUP($D46,PID_TUNING_from_BP!$D:$T,10,0)</f>
        <v>7.0000000000000007E-2</v>
      </c>
    </row>
    <row r="47" spans="1:26">
      <c r="A47" s="611" t="s">
        <v>5377</v>
      </c>
      <c r="B47" s="462"/>
      <c r="C47" s="909"/>
      <c r="D47" s="464" t="s">
        <v>5106</v>
      </c>
      <c r="E47" s="609"/>
      <c r="F47" s="556" t="s">
        <v>5106</v>
      </c>
      <c r="G47" s="981" t="s">
        <v>10963</v>
      </c>
      <c r="H47" s="610" t="str">
        <f>VLOOKUP($D47,PID_from_BP!$B:$I,2,0)</f>
        <v>CDU HEATER RADIANT TOP</v>
      </c>
      <c r="I47" s="981" t="s">
        <v>10963</v>
      </c>
      <c r="J47" s="765" t="str">
        <f>VLOOKUP($D47,PID_from_BP!$B:$I,2,0)</f>
        <v>CDU HEATER RADIANT TOP</v>
      </c>
      <c r="K47" s="981" t="s">
        <v>10990</v>
      </c>
      <c r="L47" s="610" t="str">
        <f>VLOOKUP($D47,PID_from_BP!$B:$I,5,0)</f>
        <v>MMWG</v>
      </c>
      <c r="M47" s="614">
        <v>70</v>
      </c>
      <c r="N47" s="610">
        <f>VLOOKUP($D47,PID_from_BP!$B:$I,3,0)</f>
        <v>70</v>
      </c>
      <c r="O47" s="614">
        <v>-70</v>
      </c>
      <c r="P47" s="610">
        <f>VLOOKUP($D47,PID_from_BP!$B:$I,4,0)</f>
        <v>-70</v>
      </c>
      <c r="Q47" s="19">
        <v>-12.000047915932299</v>
      </c>
      <c r="R47" s="460"/>
      <c r="S47" s="853">
        <v>1</v>
      </c>
      <c r="T47" s="460">
        <v>1</v>
      </c>
      <c r="U47" s="853">
        <v>1</v>
      </c>
      <c r="V47" s="460">
        <v>1</v>
      </c>
      <c r="W47" s="853">
        <v>140</v>
      </c>
      <c r="X47" s="772">
        <f>VLOOKUP($D47,PID_TUNING_from_BP!$D:$T,9,0)</f>
        <v>140</v>
      </c>
      <c r="Y47" s="853">
        <v>0.21299999999999999</v>
      </c>
      <c r="Z47" s="772">
        <f>VLOOKUP($D47,PID_TUNING_from_BP!$D:$T,10,0)</f>
        <v>0.21299999999999999</v>
      </c>
    </row>
    <row r="48" spans="1:26">
      <c r="A48" s="611" t="s">
        <v>5377</v>
      </c>
      <c r="B48" s="462"/>
      <c r="C48" s="909"/>
      <c r="D48" s="464" t="s">
        <v>4956</v>
      </c>
      <c r="E48" s="609"/>
      <c r="F48" s="556" t="s">
        <v>4956</v>
      </c>
      <c r="G48" s="981" t="s">
        <v>10898</v>
      </c>
      <c r="H48" s="610" t="str">
        <f>VLOOKUP($D48,PID_from_BP!$B:$I,2,0)</f>
        <v>DHT HP SEPARATOR</v>
      </c>
      <c r="I48" s="981" t="s">
        <v>10898</v>
      </c>
      <c r="J48" s="765" t="str">
        <f>VLOOKUP($D48,PID_from_BP!$B:$I,2,0)</f>
        <v>DHT HP SEPARATOR</v>
      </c>
      <c r="K48" s="981" t="s">
        <v>10988</v>
      </c>
      <c r="L48" s="610" t="str">
        <f>VLOOKUP($D48,PID_from_BP!$B:$I,5,0)</f>
        <v>BARG</v>
      </c>
      <c r="M48" s="614">
        <v>40</v>
      </c>
      <c r="N48" s="610">
        <f>VLOOKUP($D48,PID_from_BP!$B:$I,3,0)</f>
        <v>40</v>
      </c>
      <c r="O48" s="614">
        <v>0</v>
      </c>
      <c r="P48" s="610">
        <f>VLOOKUP($D48,PID_from_BP!$B:$I,4,0)</f>
        <v>0</v>
      </c>
      <c r="Q48" s="19">
        <v>26.999989684421799</v>
      </c>
      <c r="R48" s="460"/>
      <c r="S48" s="853">
        <v>1</v>
      </c>
      <c r="T48" s="460">
        <v>1</v>
      </c>
      <c r="U48" s="853">
        <v>1</v>
      </c>
      <c r="V48" s="460">
        <v>1</v>
      </c>
      <c r="W48" s="853">
        <v>35</v>
      </c>
      <c r="X48" s="772">
        <f>VLOOKUP($D48,PID_TUNING_from_BP!$D:$T,9,0)</f>
        <v>35</v>
      </c>
      <c r="Y48" s="853">
        <v>10</v>
      </c>
      <c r="Z48" s="772">
        <f>VLOOKUP($D48,PID_TUNING_from_BP!$D:$T,10,0)</f>
        <v>10</v>
      </c>
    </row>
    <row r="49" spans="1:26">
      <c r="A49" s="611" t="s">
        <v>5377</v>
      </c>
      <c r="B49" s="462"/>
      <c r="C49" s="909"/>
      <c r="D49" s="464" t="s">
        <v>4957</v>
      </c>
      <c r="E49" s="609"/>
      <c r="F49" s="556" t="s">
        <v>4957</v>
      </c>
      <c r="G49" s="981" t="s">
        <v>10905</v>
      </c>
      <c r="H49" s="610" t="str">
        <f>VLOOKUP($D49,PID_from_BP!$B:$I,2,0)</f>
        <v>DHT LP SEPARATOR</v>
      </c>
      <c r="I49" s="981" t="s">
        <v>10905</v>
      </c>
      <c r="J49" s="765" t="str">
        <f>VLOOKUP($D49,PID_from_BP!$B:$I,2,0)</f>
        <v>DHT LP SEPARATOR</v>
      </c>
      <c r="K49" s="981" t="s">
        <v>10988</v>
      </c>
      <c r="L49" s="610" t="str">
        <f>VLOOKUP($D49,PID_from_BP!$B:$I,5,0)</f>
        <v>BARG</v>
      </c>
      <c r="M49" s="614">
        <v>10</v>
      </c>
      <c r="N49" s="610">
        <f>VLOOKUP($D49,PID_from_BP!$B:$I,3,0)</f>
        <v>10</v>
      </c>
      <c r="O49" s="614">
        <v>0</v>
      </c>
      <c r="P49" s="610">
        <f>VLOOKUP($D49,PID_from_BP!$B:$I,4,0)</f>
        <v>0</v>
      </c>
      <c r="Q49" s="19">
        <v>6.6400336103526403</v>
      </c>
      <c r="R49" s="460"/>
      <c r="S49" s="853">
        <v>1</v>
      </c>
      <c r="T49" s="460">
        <v>1</v>
      </c>
      <c r="U49" s="853">
        <v>1</v>
      </c>
      <c r="V49" s="460">
        <v>1</v>
      </c>
      <c r="W49" s="853">
        <v>35</v>
      </c>
      <c r="X49" s="772">
        <f>VLOOKUP($D49,PID_TUNING_from_BP!$D:$T,9,0)</f>
        <v>35</v>
      </c>
      <c r="Y49" s="853">
        <v>15</v>
      </c>
      <c r="Z49" s="772">
        <f>VLOOKUP($D49,PID_TUNING_from_BP!$D:$T,10,0)</f>
        <v>15</v>
      </c>
    </row>
    <row r="50" spans="1:26">
      <c r="A50" s="611" t="s">
        <v>5377</v>
      </c>
      <c r="B50" s="462"/>
      <c r="C50" s="909"/>
      <c r="D50" s="464" t="s">
        <v>966</v>
      </c>
      <c r="E50" s="609"/>
      <c r="F50" s="556" t="s">
        <v>966</v>
      </c>
      <c r="G50" s="981" t="s">
        <v>10964</v>
      </c>
      <c r="H50" s="610" t="str">
        <f>VLOOKUP($D50,PID_from_BP!$B:$I,2,0)</f>
        <v>DHT HEATER FUELGAS</v>
      </c>
      <c r="I50" s="981" t="s">
        <v>10964</v>
      </c>
      <c r="J50" s="765" t="str">
        <f>VLOOKUP($D50,PID_from_BP!$B:$I,2,0)</f>
        <v>DHT HEATER FUELGAS</v>
      </c>
      <c r="K50" s="981" t="s">
        <v>10988</v>
      </c>
      <c r="L50" s="610" t="str">
        <f>VLOOKUP($D50,PID_from_BP!$B:$I,5,0)</f>
        <v>BARG</v>
      </c>
      <c r="M50" s="614">
        <v>3</v>
      </c>
      <c r="N50" s="610">
        <f>VLOOKUP($D50,PID_from_BP!$B:$I,3,0)</f>
        <v>3</v>
      </c>
      <c r="O50" s="614">
        <v>0</v>
      </c>
      <c r="P50" s="610">
        <f>VLOOKUP($D50,PID_from_BP!$B:$I,4,0)</f>
        <v>0</v>
      </c>
      <c r="Q50" s="19">
        <v>2.0232179142716702</v>
      </c>
      <c r="R50" s="460"/>
      <c r="S50" s="853">
        <v>1</v>
      </c>
      <c r="T50" s="460">
        <v>1</v>
      </c>
      <c r="U50" s="853">
        <v>1</v>
      </c>
      <c r="V50" s="460">
        <v>1</v>
      </c>
      <c r="W50" s="853">
        <v>250</v>
      </c>
      <c r="X50" s="772">
        <f>VLOOKUP($D50,PID_TUNING_from_BP!$D:$T,9,0)</f>
        <v>250</v>
      </c>
      <c r="Y50" s="853">
        <v>0.12</v>
      </c>
      <c r="Z50" s="772">
        <f>VLOOKUP($D50,PID_TUNING_from_BP!$D:$T,10,0)</f>
        <v>0.12</v>
      </c>
    </row>
    <row r="51" spans="1:26">
      <c r="A51" s="611" t="s">
        <v>5377</v>
      </c>
      <c r="B51" s="462"/>
      <c r="C51" s="909"/>
      <c r="D51" s="464" t="s">
        <v>5258</v>
      </c>
      <c r="E51" s="609"/>
      <c r="F51" s="556" t="s">
        <v>6625</v>
      </c>
      <c r="G51" s="981" t="s">
        <v>10965</v>
      </c>
      <c r="H51" s="610" t="str">
        <f>VLOOKUP($D51,PID_from_BP!$B:$I,2,0)</f>
        <v>DRAUGHT RADIANT HZ2151</v>
      </c>
      <c r="I51" s="981" t="s">
        <v>10965</v>
      </c>
      <c r="J51" s="765" t="str">
        <f>VLOOKUP($D51,PID_from_BP!$B:$I,2,0)</f>
        <v>DRAUGHT RADIANT HZ2151</v>
      </c>
      <c r="K51" s="981" t="s">
        <v>10990</v>
      </c>
      <c r="L51" s="610" t="str">
        <f>VLOOKUP($D51,PID_from_BP!$B:$I,5,0)</f>
        <v>MMWG</v>
      </c>
      <c r="M51" s="614">
        <v>70</v>
      </c>
      <c r="N51" s="610">
        <f>VLOOKUP($D51,PID_from_BP!$B:$I,3,0)</f>
        <v>70</v>
      </c>
      <c r="O51" s="614">
        <v>-70</v>
      </c>
      <c r="P51" s="610">
        <f>VLOOKUP($D51,PID_from_BP!$B:$I,4,0)</f>
        <v>-70</v>
      </c>
      <c r="Q51" s="19">
        <v>-33.999915756964199</v>
      </c>
      <c r="R51" s="460"/>
      <c r="S51" s="853">
        <v>1</v>
      </c>
      <c r="T51" s="460">
        <v>1</v>
      </c>
      <c r="U51" s="853">
        <v>1</v>
      </c>
      <c r="V51" s="460">
        <v>1</v>
      </c>
      <c r="W51" s="853">
        <v>250</v>
      </c>
      <c r="X51" s="772">
        <f>VLOOKUP($D51,PID_TUNING_from_BP!$D:$T,9,0)</f>
        <v>250</v>
      </c>
      <c r="Y51" s="853">
        <v>1</v>
      </c>
      <c r="Z51" s="772">
        <f>VLOOKUP($D51,PID_TUNING_from_BP!$D:$T,10,0)</f>
        <v>1</v>
      </c>
    </row>
    <row r="52" spans="1:26">
      <c r="A52" s="611" t="s">
        <v>5377</v>
      </c>
      <c r="B52" s="462"/>
      <c r="C52" s="909"/>
      <c r="D52" s="464" t="s">
        <v>5276</v>
      </c>
      <c r="E52" s="609"/>
      <c r="F52" s="556" t="s">
        <v>5276</v>
      </c>
      <c r="G52" s="981" t="s">
        <v>10914</v>
      </c>
      <c r="H52" s="610" t="str">
        <f>VLOOKUP($D52,PID_from_BP!$B:$I,2,0)</f>
        <v>DFU STABILISER OVERHEAD DRUM</v>
      </c>
      <c r="I52" s="981" t="s">
        <v>10914</v>
      </c>
      <c r="J52" s="765" t="str">
        <f>VLOOKUP($D52,PID_from_BP!$B:$I,2,0)</f>
        <v>DFU STABILISER OVERHEAD DRUM</v>
      </c>
      <c r="K52" s="981" t="s">
        <v>10988</v>
      </c>
      <c r="L52" s="610" t="str">
        <f>VLOOKUP($D52,PID_from_BP!$B:$I,5,0)</f>
        <v>BARG</v>
      </c>
      <c r="M52" s="614">
        <v>16</v>
      </c>
      <c r="N52" s="610">
        <f>VLOOKUP($D52,PID_from_BP!$B:$I,3,0)</f>
        <v>16</v>
      </c>
      <c r="O52" s="614">
        <v>0</v>
      </c>
      <c r="P52" s="610">
        <f>VLOOKUP($D52,PID_from_BP!$B:$I,4,0)</f>
        <v>0</v>
      </c>
      <c r="Q52" s="19">
        <v>8.1494803451090601</v>
      </c>
      <c r="R52" s="460"/>
      <c r="S52" s="853">
        <v>1</v>
      </c>
      <c r="T52" s="460">
        <v>1</v>
      </c>
      <c r="U52" s="853">
        <v>1</v>
      </c>
      <c r="V52" s="460">
        <v>1</v>
      </c>
      <c r="W52" s="853">
        <v>40</v>
      </c>
      <c r="X52" s="772">
        <f>VLOOKUP($D52,PID_TUNING_from_BP!$D:$T,9,0)</f>
        <v>40</v>
      </c>
      <c r="Y52" s="853">
        <v>3</v>
      </c>
      <c r="Z52" s="772">
        <f>VLOOKUP($D52,PID_TUNING_from_BP!$D:$T,10,0)</f>
        <v>3</v>
      </c>
    </row>
    <row r="53" spans="1:26">
      <c r="A53" s="611" t="s">
        <v>5377</v>
      </c>
      <c r="B53" s="462"/>
      <c r="C53" s="909"/>
      <c r="D53" s="464" t="s">
        <v>5278</v>
      </c>
      <c r="E53" s="609"/>
      <c r="F53" s="556" t="s">
        <v>5278</v>
      </c>
      <c r="G53" s="981" t="s">
        <v>10966</v>
      </c>
      <c r="H53" s="610" t="str">
        <f>VLOOKUP($D53,PID_from_BP!$B:$I,2,0)</f>
        <v>DFU STABILISER TOWER</v>
      </c>
      <c r="I53" s="981" t="s">
        <v>10966</v>
      </c>
      <c r="J53" s="765" t="str">
        <f>VLOOKUP($D53,PID_from_BP!$B:$I,2,0)</f>
        <v>DFU STABILISER TOWER</v>
      </c>
      <c r="K53" s="981" t="s">
        <v>10988</v>
      </c>
      <c r="L53" s="610" t="str">
        <f>VLOOKUP($D53,PID_from_BP!$B:$I,5,0)</f>
        <v>BARG</v>
      </c>
      <c r="M53" s="614">
        <v>16</v>
      </c>
      <c r="N53" s="610">
        <f>VLOOKUP($D53,PID_from_BP!$B:$I,3,0)</f>
        <v>16</v>
      </c>
      <c r="O53" s="614">
        <v>0</v>
      </c>
      <c r="P53" s="610">
        <f>VLOOKUP($D53,PID_from_BP!$B:$I,4,0)</f>
        <v>0</v>
      </c>
      <c r="Q53" s="19">
        <v>8.3018263816724698</v>
      </c>
      <c r="R53" s="460"/>
      <c r="S53" s="853">
        <v>1</v>
      </c>
      <c r="T53" s="460">
        <v>1</v>
      </c>
      <c r="U53" s="853">
        <v>1</v>
      </c>
      <c r="V53" s="460">
        <v>1</v>
      </c>
      <c r="W53" s="853">
        <v>1000</v>
      </c>
      <c r="X53" s="772">
        <f>VLOOKUP($D53,PID_TUNING_from_BP!$D:$T,9,0)</f>
        <v>1000</v>
      </c>
      <c r="Y53" s="853">
        <v>100</v>
      </c>
      <c r="Z53" s="772">
        <f>VLOOKUP($D53,PID_TUNING_from_BP!$D:$T,10,0)</f>
        <v>100</v>
      </c>
    </row>
    <row r="54" spans="1:26">
      <c r="A54" s="611" t="s">
        <v>5377</v>
      </c>
      <c r="B54" s="462"/>
      <c r="C54" s="909"/>
      <c r="D54" s="464" t="s">
        <v>8712</v>
      </c>
      <c r="E54" s="609"/>
      <c r="F54" s="556" t="s">
        <v>1014</v>
      </c>
      <c r="G54" s="981" t="s">
        <v>10952</v>
      </c>
      <c r="H54" s="610" t="str">
        <f>VLOOKUP($D54,PID_from_BP!$B:$I,2,0)</f>
        <v>DFU SPLITTER OVERHEAD DRUM</v>
      </c>
      <c r="I54" s="981" t="s">
        <v>10952</v>
      </c>
      <c r="J54" s="765" t="str">
        <f>VLOOKUP($D54,PID_from_BP!$B:$I,2,0)</f>
        <v>DFU SPLITTER OVERHEAD DRUM</v>
      </c>
      <c r="K54" s="981" t="s">
        <v>10988</v>
      </c>
      <c r="L54" s="610" t="str">
        <f>VLOOKUP($D54,PID_from_BP!$B:$I,5,0)</f>
        <v>BARG</v>
      </c>
      <c r="M54" s="614">
        <v>1.8</v>
      </c>
      <c r="N54" s="610">
        <f>VLOOKUP($D54,PID_from_BP!$B:$I,3,0)</f>
        <v>1.8</v>
      </c>
      <c r="O54" s="614">
        <v>0</v>
      </c>
      <c r="P54" s="610">
        <f>VLOOKUP($D54,PID_from_BP!$B:$I,4,0)</f>
        <v>0</v>
      </c>
      <c r="Q54" s="19">
        <v>0.65108017882680402</v>
      </c>
      <c r="R54" s="460"/>
      <c r="S54" s="853">
        <v>1</v>
      </c>
      <c r="T54" s="460">
        <v>1</v>
      </c>
      <c r="U54" s="853">
        <v>1</v>
      </c>
      <c r="V54" s="460">
        <v>1</v>
      </c>
      <c r="W54" s="853">
        <v>60</v>
      </c>
      <c r="X54" s="772">
        <f>VLOOKUP($D54,PID_TUNING_from_BP!$D:$T,9,0)</f>
        <v>60</v>
      </c>
      <c r="Y54" s="853">
        <v>2</v>
      </c>
      <c r="Z54" s="772">
        <f>VLOOKUP($D54,PID_TUNING_from_BP!$D:$T,10,0)</f>
        <v>2</v>
      </c>
    </row>
    <row r="55" spans="1:26">
      <c r="A55" s="611" t="s">
        <v>5377</v>
      </c>
      <c r="B55" s="462"/>
      <c r="C55" s="909"/>
      <c r="D55" s="464" t="s">
        <v>5341</v>
      </c>
      <c r="E55" s="609"/>
      <c r="F55" s="556" t="s">
        <v>5341</v>
      </c>
      <c r="G55" s="981" t="s">
        <v>10889</v>
      </c>
      <c r="H55" s="610" t="str">
        <f>VLOOKUP($D55,PID_from_BP!$B:$I,2,0)</f>
        <v>SPLITTER HEATER FUEL GAS</v>
      </c>
      <c r="I55" s="981" t="s">
        <v>10889</v>
      </c>
      <c r="J55" s="765" t="str">
        <f>VLOOKUP($D55,PID_from_BP!$B:$I,2,0)</f>
        <v>SPLITTER HEATER FUEL GAS</v>
      </c>
      <c r="K55" s="981" t="s">
        <v>10982</v>
      </c>
      <c r="L55" s="610" t="str">
        <f>VLOOKUP($D55,PID_from_BP!$B:$I,5,0)</f>
        <v>BAR</v>
      </c>
      <c r="M55" s="614">
        <v>2</v>
      </c>
      <c r="N55" s="610">
        <f>VLOOKUP($D55,PID_from_BP!$B:$I,3,0)</f>
        <v>2</v>
      </c>
      <c r="O55" s="614">
        <v>0</v>
      </c>
      <c r="P55" s="610">
        <f>VLOOKUP($D55,PID_from_BP!$B:$I,4,0)</f>
        <v>0</v>
      </c>
      <c r="Q55" s="19">
        <v>0.59958193801847004</v>
      </c>
      <c r="R55" s="460"/>
      <c r="S55" s="853">
        <v>1</v>
      </c>
      <c r="T55" s="460">
        <v>1</v>
      </c>
      <c r="U55" s="853">
        <v>1</v>
      </c>
      <c r="V55" s="460">
        <v>1</v>
      </c>
      <c r="W55" s="853">
        <v>375</v>
      </c>
      <c r="X55" s="772">
        <f>VLOOKUP($D55,PID_TUNING_from_BP!$D:$T,9,0)</f>
        <v>375</v>
      </c>
      <c r="Y55" s="853">
        <v>0.17</v>
      </c>
      <c r="Z55" s="772">
        <f>VLOOKUP($D55,PID_TUNING_from_BP!$D:$T,10,0)</f>
        <v>0.17</v>
      </c>
    </row>
    <row r="56" spans="1:26">
      <c r="A56" s="611" t="s">
        <v>5377</v>
      </c>
      <c r="B56" s="462"/>
      <c r="C56" s="909"/>
      <c r="D56" s="464" t="s">
        <v>5347</v>
      </c>
      <c r="E56" s="609"/>
      <c r="F56" s="556" t="s">
        <v>5347</v>
      </c>
      <c r="G56" s="981" t="s">
        <v>10967</v>
      </c>
      <c r="H56" s="610" t="str">
        <f>VLOOKUP($D56,PID_from_BP!$B:$I,2,0)</f>
        <v>DRAUGHT RADIANT HZ2201</v>
      </c>
      <c r="I56" s="981" t="s">
        <v>10967</v>
      </c>
      <c r="J56" s="765" t="str">
        <f>VLOOKUP($D56,PID_from_BP!$B:$I,2,0)</f>
        <v>DRAUGHT RADIANT HZ2201</v>
      </c>
      <c r="K56" s="981" t="s">
        <v>10990</v>
      </c>
      <c r="L56" s="610" t="str">
        <f>VLOOKUP($D56,PID_from_BP!$B:$I,5,0)</f>
        <v>MMWG</v>
      </c>
      <c r="M56" s="614">
        <v>70</v>
      </c>
      <c r="N56" s="610">
        <f>VLOOKUP($D56,PID_from_BP!$B:$I,3,0)</f>
        <v>70</v>
      </c>
      <c r="O56" s="614">
        <v>-70</v>
      </c>
      <c r="P56" s="610">
        <f>VLOOKUP($D56,PID_from_BP!$B:$I,4,0)</f>
        <v>-70</v>
      </c>
      <c r="Q56" s="19">
        <v>-34.812361763526297</v>
      </c>
      <c r="R56" s="460"/>
      <c r="S56" s="853">
        <v>1</v>
      </c>
      <c r="T56" s="460">
        <v>1</v>
      </c>
      <c r="U56" s="853">
        <v>1</v>
      </c>
      <c r="V56" s="460">
        <v>1</v>
      </c>
      <c r="W56" s="853">
        <v>250</v>
      </c>
      <c r="X56" s="772">
        <f>VLOOKUP($D56,PID_TUNING_from_BP!$D:$T,9,0)</f>
        <v>250</v>
      </c>
      <c r="Y56" s="853">
        <v>1</v>
      </c>
      <c r="Z56" s="772">
        <f>VLOOKUP($D56,PID_TUNING_from_BP!$D:$T,10,0)</f>
        <v>1</v>
      </c>
    </row>
    <row r="57" spans="1:26">
      <c r="A57" s="611" t="s">
        <v>5377</v>
      </c>
      <c r="B57" s="462"/>
      <c r="C57" s="909"/>
      <c r="D57" s="464" t="s">
        <v>1017</v>
      </c>
      <c r="E57" s="609"/>
      <c r="F57" s="556" t="s">
        <v>7891</v>
      </c>
      <c r="G57" s="981" t="s">
        <v>10891</v>
      </c>
      <c r="H57" s="610" t="str">
        <f>VLOOKUP($D57,PID_from_BP!$B:$I,2,0)</f>
        <v>AMINE GAS ABSORBER</v>
      </c>
      <c r="I57" s="981" t="s">
        <v>10891</v>
      </c>
      <c r="J57" s="765" t="str">
        <f>VLOOKUP($D57,PID_from_BP!$B:$I,2,0)</f>
        <v>AMINE GAS ABSORBER</v>
      </c>
      <c r="K57" s="981" t="s">
        <v>10988</v>
      </c>
      <c r="L57" s="610" t="str">
        <f>VLOOKUP($D57,PID_from_BP!$B:$I,5,0)</f>
        <v>BARG</v>
      </c>
      <c r="M57" s="614">
        <v>10</v>
      </c>
      <c r="N57" s="610">
        <f>VLOOKUP($D57,PID_from_BP!$B:$I,3,0)</f>
        <v>10</v>
      </c>
      <c r="O57" s="614">
        <v>0</v>
      </c>
      <c r="P57" s="610">
        <f>VLOOKUP($D57,PID_from_BP!$B:$I,4,0)</f>
        <v>0</v>
      </c>
      <c r="Q57" s="19">
        <v>5.60000783465017</v>
      </c>
      <c r="R57" s="460"/>
      <c r="S57" s="853">
        <v>1</v>
      </c>
      <c r="T57" s="460">
        <v>1</v>
      </c>
      <c r="U57" s="853">
        <v>1</v>
      </c>
      <c r="V57" s="460">
        <v>1</v>
      </c>
      <c r="W57" s="853">
        <v>60</v>
      </c>
      <c r="X57" s="772">
        <f>VLOOKUP($D57,PID_TUNING_from_BP!$D:$T,9,0)</f>
        <v>60</v>
      </c>
      <c r="Y57" s="853">
        <v>0.69999990000000001</v>
      </c>
      <c r="Z57" s="772">
        <f>VLOOKUP($D57,PID_TUNING_from_BP!$D:$T,10,0)</f>
        <v>0.69999990000000001</v>
      </c>
    </row>
    <row r="58" spans="1:26">
      <c r="A58" s="611" t="s">
        <v>5377</v>
      </c>
      <c r="B58" s="462"/>
      <c r="C58" s="909"/>
      <c r="D58" s="464" t="s">
        <v>464</v>
      </c>
      <c r="E58" s="609"/>
      <c r="F58" s="556" t="s">
        <v>464</v>
      </c>
      <c r="G58" s="981" t="s">
        <v>10903</v>
      </c>
      <c r="H58" s="610" t="str">
        <f>VLOOKUP($D58,PID_from_BP!$B:$I,2,0)</f>
        <v>FUEL GAS MIXING DRUM</v>
      </c>
      <c r="I58" s="981" t="s">
        <v>10903</v>
      </c>
      <c r="J58" s="765" t="str">
        <f>VLOOKUP($D58,PID_from_BP!$B:$I,2,0)</f>
        <v>FUEL GAS MIXING DRUM</v>
      </c>
      <c r="K58" s="981" t="s">
        <v>10988</v>
      </c>
      <c r="L58" s="610" t="str">
        <f>VLOOKUP($D58,PID_from_BP!$B:$I,5,0)</f>
        <v>BARG</v>
      </c>
      <c r="M58" s="614">
        <v>5</v>
      </c>
      <c r="N58" s="610">
        <f>VLOOKUP($D58,PID_from_BP!$B:$I,3,0)</f>
        <v>5</v>
      </c>
      <c r="O58" s="614">
        <v>0</v>
      </c>
      <c r="P58" s="610">
        <f>VLOOKUP($D58,PID_from_BP!$B:$I,4,0)</f>
        <v>0</v>
      </c>
      <c r="Q58" s="19">
        <v>3.4885267138203502</v>
      </c>
      <c r="R58" s="460"/>
      <c r="S58" s="853">
        <v>1</v>
      </c>
      <c r="T58" s="460">
        <v>1</v>
      </c>
      <c r="U58" s="853">
        <v>1</v>
      </c>
      <c r="V58" s="460">
        <v>1</v>
      </c>
      <c r="W58" s="853">
        <v>20</v>
      </c>
      <c r="X58" s="772">
        <f>VLOOKUP($D58,PID_TUNING_from_BP!$D:$T,9,0)</f>
        <v>20</v>
      </c>
      <c r="Y58" s="853">
        <v>0.13100000000000001</v>
      </c>
      <c r="Z58" s="772">
        <f>VLOOKUP($D58,PID_TUNING_from_BP!$D:$T,10,0)</f>
        <v>0.13100000000000001</v>
      </c>
    </row>
    <row r="59" spans="1:26">
      <c r="A59" s="611" t="s">
        <v>5377</v>
      </c>
      <c r="B59" s="462"/>
      <c r="C59" s="909"/>
      <c r="D59" s="464" t="s">
        <v>9186</v>
      </c>
      <c r="E59" s="609"/>
      <c r="F59" s="556" t="s">
        <v>9185</v>
      </c>
      <c r="G59" s="981" t="s">
        <v>10968</v>
      </c>
      <c r="H59" s="610" t="str">
        <f>VLOOKUP($D59,PID_from_BP!$B:$I,2,0)</f>
        <v>DHT REACTOR OUTLET</v>
      </c>
      <c r="I59" s="981" t="s">
        <v>10968</v>
      </c>
      <c r="J59" s="765" t="str">
        <f>VLOOKUP($D59,PID_from_BP!$B:$I,2,0)</f>
        <v>DHT REACTOR OUTLET</v>
      </c>
      <c r="K59" s="981" t="s">
        <v>10980</v>
      </c>
      <c r="L59" s="610" t="str">
        <f>VLOOKUP($D59,PID_from_BP!$B:$I,5,0)</f>
        <v>DEGC</v>
      </c>
      <c r="M59" s="614">
        <v>400</v>
      </c>
      <c r="N59" s="610">
        <f>VLOOKUP($D59,PID_from_BP!$B:$I,3,0)</f>
        <v>400</v>
      </c>
      <c r="O59" s="614">
        <v>0</v>
      </c>
      <c r="P59" s="610">
        <f>VLOOKUP($D59,PID_from_BP!$B:$I,4,0)</f>
        <v>0</v>
      </c>
      <c r="Q59" s="19">
        <v>326.67006257954398</v>
      </c>
      <c r="R59" s="460"/>
      <c r="S59" s="853">
        <v>1</v>
      </c>
      <c r="T59" s="460">
        <v>1</v>
      </c>
      <c r="U59" s="853">
        <v>1</v>
      </c>
      <c r="V59" s="460">
        <v>1</v>
      </c>
      <c r="W59" s="853">
        <v>15</v>
      </c>
      <c r="X59" s="772">
        <f>VLOOKUP($D59,PID_TUNING_from_BP!$D:$T,9,0)</f>
        <v>15</v>
      </c>
      <c r="Y59" s="853">
        <v>8</v>
      </c>
      <c r="Z59" s="772">
        <f>VLOOKUP($D59,PID_TUNING_from_BP!$D:$T,10,0)</f>
        <v>8</v>
      </c>
    </row>
    <row r="60" spans="1:26">
      <c r="A60" s="611" t="s">
        <v>5377</v>
      </c>
      <c r="B60" s="462"/>
      <c r="C60" s="909"/>
      <c r="D60" s="464" t="s">
        <v>5145</v>
      </c>
      <c r="E60" s="609"/>
      <c r="F60" s="556" t="s">
        <v>5145</v>
      </c>
      <c r="G60" s="981" t="s">
        <v>10872</v>
      </c>
      <c r="H60" s="610" t="str">
        <f>VLOOKUP($D60,PID_from_BP!$B:$I,2,0)</f>
        <v>RESIDUE RUNDOWN</v>
      </c>
      <c r="I60" s="981" t="s">
        <v>10872</v>
      </c>
      <c r="J60" s="765" t="str">
        <f>VLOOKUP($D60,PID_from_BP!$B:$I,2,0)</f>
        <v>RESIDUE RUNDOWN</v>
      </c>
      <c r="K60" s="981" t="s">
        <v>10980</v>
      </c>
      <c r="L60" s="610" t="str">
        <f>VLOOKUP($D60,PID_from_BP!$B:$I,5,0)</f>
        <v>DEGC</v>
      </c>
      <c r="M60" s="614">
        <v>100</v>
      </c>
      <c r="N60" s="610">
        <f>VLOOKUP($D60,PID_from_BP!$B:$I,3,0)</f>
        <v>100</v>
      </c>
      <c r="O60" s="614">
        <v>0</v>
      </c>
      <c r="P60" s="610">
        <f>VLOOKUP($D60,PID_from_BP!$B:$I,4,0)</f>
        <v>0</v>
      </c>
      <c r="Q60" s="19">
        <v>83.902678012697095</v>
      </c>
      <c r="R60" s="460"/>
      <c r="S60" s="853">
        <v>1</v>
      </c>
      <c r="T60" s="460">
        <v>1</v>
      </c>
      <c r="U60" s="853">
        <v>1</v>
      </c>
      <c r="V60" s="460">
        <v>1</v>
      </c>
      <c r="W60" s="853">
        <v>35</v>
      </c>
      <c r="X60" s="772">
        <f>VLOOKUP($D60,PID_TUNING_from_BP!$D:$T,9,0)</f>
        <v>35</v>
      </c>
      <c r="Y60" s="853">
        <v>7.5</v>
      </c>
      <c r="Z60" s="772">
        <f>VLOOKUP($D60,PID_TUNING_from_BP!$D:$T,10,0)</f>
        <v>7.5</v>
      </c>
    </row>
    <row r="61" spans="1:26">
      <c r="A61" s="611" t="s">
        <v>5377</v>
      </c>
      <c r="B61" s="462"/>
      <c r="C61" s="909"/>
      <c r="D61" s="464" t="s">
        <v>5147</v>
      </c>
      <c r="E61" s="609"/>
      <c r="F61" s="556" t="s">
        <v>5147</v>
      </c>
      <c r="G61" s="981" t="s">
        <v>10969</v>
      </c>
      <c r="H61" s="610" t="str">
        <f>VLOOKUP($D61,PID_from_BP!$B:$I,2,0)</f>
        <v>TEMP.WATER EZ2120</v>
      </c>
      <c r="I61" s="981" t="s">
        <v>10969</v>
      </c>
      <c r="J61" s="765" t="str">
        <f>VLOOKUP($D61,PID_from_BP!$B:$I,2,0)</f>
        <v>TEMP.WATER EZ2120</v>
      </c>
      <c r="K61" s="981" t="s">
        <v>10980</v>
      </c>
      <c r="L61" s="610" t="str">
        <f>VLOOKUP($D61,PID_from_BP!$B:$I,5,0)</f>
        <v>DEGC</v>
      </c>
      <c r="M61" s="614">
        <v>100</v>
      </c>
      <c r="N61" s="610">
        <f>VLOOKUP($D61,PID_from_BP!$B:$I,3,0)</f>
        <v>100</v>
      </c>
      <c r="O61" s="614">
        <v>0</v>
      </c>
      <c r="P61" s="610">
        <f>VLOOKUP($D61,PID_from_BP!$B:$I,4,0)</f>
        <v>0</v>
      </c>
      <c r="Q61" s="19">
        <v>73.866410259486102</v>
      </c>
      <c r="R61" s="460"/>
      <c r="S61" s="853">
        <v>1</v>
      </c>
      <c r="T61" s="460">
        <v>1</v>
      </c>
      <c r="U61" s="853">
        <v>1</v>
      </c>
      <c r="V61" s="460">
        <v>1</v>
      </c>
      <c r="W61" s="853">
        <v>100</v>
      </c>
      <c r="X61" s="772">
        <f>VLOOKUP($D61,PID_TUNING_from_BP!$D:$T,9,0)</f>
        <v>100</v>
      </c>
      <c r="Y61" s="853">
        <v>5</v>
      </c>
      <c r="Z61" s="772">
        <f>VLOOKUP($D61,PID_TUNING_from_BP!$D:$T,10,0)</f>
        <v>5</v>
      </c>
    </row>
    <row r="62" spans="1:26">
      <c r="A62" s="611" t="s">
        <v>5377</v>
      </c>
      <c r="B62" s="462"/>
      <c r="C62" s="909"/>
      <c r="D62" s="464" t="s">
        <v>5149</v>
      </c>
      <c r="E62" s="609"/>
      <c r="F62" s="556" t="s">
        <v>5149</v>
      </c>
      <c r="G62" s="981" t="s">
        <v>10970</v>
      </c>
      <c r="H62" s="610" t="str">
        <f>VLOOKUP($D62,PID_from_BP!$B:$I,2,0)</f>
        <v>TPA COOLER PITCH EZ2113</v>
      </c>
      <c r="I62" s="981" t="s">
        <v>10970</v>
      </c>
      <c r="J62" s="765" t="str">
        <f>VLOOKUP($D62,PID_from_BP!$B:$I,2,0)</f>
        <v>TPA COOLER PITCH EZ2113</v>
      </c>
      <c r="K62" s="981" t="s">
        <v>10980</v>
      </c>
      <c r="L62" s="610" t="str">
        <f>VLOOKUP($D62,PID_from_BP!$B:$I,5,0)</f>
        <v>DEGC</v>
      </c>
      <c r="M62" s="614">
        <v>200</v>
      </c>
      <c r="N62" s="610">
        <f>VLOOKUP($D62,PID_from_BP!$B:$I,3,0)</f>
        <v>200</v>
      </c>
      <c r="O62" s="614">
        <v>0</v>
      </c>
      <c r="P62" s="610">
        <f>VLOOKUP($D62,PID_from_BP!$B:$I,4,0)</f>
        <v>0</v>
      </c>
      <c r="Q62" s="19">
        <v>162.40089262450701</v>
      </c>
      <c r="R62" s="460"/>
      <c r="S62" s="853">
        <v>1</v>
      </c>
      <c r="T62" s="460">
        <v>1</v>
      </c>
      <c r="U62" s="853">
        <v>1</v>
      </c>
      <c r="V62" s="460">
        <v>1</v>
      </c>
      <c r="W62" s="853">
        <v>35</v>
      </c>
      <c r="X62" s="772">
        <f>VLOOKUP($D62,PID_TUNING_from_BP!$D:$T,9,0)</f>
        <v>35</v>
      </c>
      <c r="Y62" s="853">
        <v>2</v>
      </c>
      <c r="Z62" s="772">
        <f>VLOOKUP($D62,PID_TUNING_from_BP!$D:$T,10,0)</f>
        <v>2</v>
      </c>
    </row>
    <row r="63" spans="1:26">
      <c r="A63" s="611" t="s">
        <v>5377</v>
      </c>
      <c r="B63" s="462"/>
      <c r="C63" s="909"/>
      <c r="D63" s="464" t="s">
        <v>8701</v>
      </c>
      <c r="E63" s="609"/>
      <c r="F63" s="556" t="s">
        <v>5151</v>
      </c>
      <c r="G63" s="981" t="s">
        <v>10971</v>
      </c>
      <c r="H63" s="610" t="str">
        <f>VLOOKUP($D63,PID_from_BP!$B:$I,2,0)</f>
        <v>SUPER HEATED STM. HZ2101</v>
      </c>
      <c r="I63" s="981" t="s">
        <v>10971</v>
      </c>
      <c r="J63" s="765" t="str">
        <f>VLOOKUP($D63,PID_from_BP!$B:$I,2,0)</f>
        <v>SUPER HEATED STM. HZ2101</v>
      </c>
      <c r="K63" s="981" t="s">
        <v>10980</v>
      </c>
      <c r="L63" s="610" t="str">
        <f>VLOOKUP($D63,PID_from_BP!$B:$I,5,0)</f>
        <v>DEGC</v>
      </c>
      <c r="M63" s="614">
        <v>500</v>
      </c>
      <c r="N63" s="610">
        <f>VLOOKUP($D63,PID_from_BP!$B:$I,3,0)</f>
        <v>500</v>
      </c>
      <c r="O63" s="614">
        <v>0</v>
      </c>
      <c r="P63" s="610">
        <f>VLOOKUP($D63,PID_from_BP!$B:$I,4,0)</f>
        <v>0</v>
      </c>
      <c r="Q63" s="19">
        <v>376.00051600504702</v>
      </c>
      <c r="R63" s="460"/>
      <c r="S63" s="853">
        <v>1</v>
      </c>
      <c r="T63" s="460">
        <v>1</v>
      </c>
      <c r="U63" s="853">
        <v>1</v>
      </c>
      <c r="V63" s="460">
        <v>1</v>
      </c>
      <c r="W63" s="853">
        <v>50</v>
      </c>
      <c r="X63" s="772">
        <f>VLOOKUP($D63,PID_TUNING_from_BP!$D:$T,9,0)</f>
        <v>50</v>
      </c>
      <c r="Y63" s="853">
        <v>30</v>
      </c>
      <c r="Z63" s="772">
        <f>VLOOKUP($D63,PID_TUNING_from_BP!$D:$T,10,0)</f>
        <v>30</v>
      </c>
    </row>
    <row r="64" spans="1:26">
      <c r="A64" s="611" t="s">
        <v>5377</v>
      </c>
      <c r="B64" s="15"/>
      <c r="C64" s="909"/>
      <c r="D64" s="17" t="s">
        <v>5200</v>
      </c>
      <c r="E64" s="609"/>
      <c r="F64" s="465" t="s">
        <v>5200</v>
      </c>
      <c r="G64" s="981" t="s">
        <v>10992</v>
      </c>
      <c r="H64" s="610" t="str">
        <f>VLOOKUP($D64,PID_from_BP!$B:$I,2,0)</f>
        <v>HGO TO DRIER</v>
      </c>
      <c r="I64" s="981" t="s">
        <v>10992</v>
      </c>
      <c r="J64" s="765" t="str">
        <f>VLOOKUP($D64,PID_from_BP!$B:$I,2,0)</f>
        <v>HGO TO DRIER</v>
      </c>
      <c r="K64" s="981" t="s">
        <v>10980</v>
      </c>
      <c r="L64" s="610" t="str">
        <f>VLOOKUP($D64,PID_from_BP!$B:$I,5,0)</f>
        <v>DEGC</v>
      </c>
      <c r="M64" s="614">
        <v>250</v>
      </c>
      <c r="N64" s="610">
        <f>VLOOKUP($D64,PID_from_BP!$B:$I,3,0)</f>
        <v>250</v>
      </c>
      <c r="O64" s="614">
        <v>0</v>
      </c>
      <c r="P64" s="610">
        <f>VLOOKUP($D64,PID_from_BP!$B:$I,4,0)</f>
        <v>0</v>
      </c>
      <c r="Q64" s="19">
        <v>166.403353260361</v>
      </c>
      <c r="R64" s="460"/>
      <c r="S64" s="853">
        <v>1</v>
      </c>
      <c r="T64" s="460">
        <v>1</v>
      </c>
      <c r="U64" s="853">
        <v>1</v>
      </c>
      <c r="V64" s="460">
        <v>1</v>
      </c>
      <c r="W64" s="853">
        <v>150</v>
      </c>
      <c r="X64" s="772">
        <f>VLOOKUP($D64,PID_TUNING_from_BP!$D:$T,9,0)</f>
        <v>150</v>
      </c>
      <c r="Y64" s="853">
        <v>10</v>
      </c>
      <c r="Z64" s="772">
        <f>VLOOKUP($D64,PID_TUNING_from_BP!$D:$T,10,0)</f>
        <v>10</v>
      </c>
    </row>
    <row r="65" spans="1:26">
      <c r="A65" s="611" t="s">
        <v>5377</v>
      </c>
      <c r="B65" s="15"/>
      <c r="C65" s="909"/>
      <c r="D65" s="17" t="s">
        <v>9650</v>
      </c>
      <c r="E65" s="609"/>
      <c r="F65" s="465" t="s">
        <v>5202</v>
      </c>
      <c r="G65" s="981" t="s">
        <v>10972</v>
      </c>
      <c r="H65" s="610" t="str">
        <f>VLOOKUP($D65,PID_from_BP!$B:$I,2,0)</f>
        <v>LGO TO DRIER</v>
      </c>
      <c r="I65" s="981" t="s">
        <v>10972</v>
      </c>
      <c r="J65" s="765" t="str">
        <f>VLOOKUP($D65,PID_from_BP!$B:$I,2,0)</f>
        <v>LGO TO DRIER</v>
      </c>
      <c r="K65" s="981" t="s">
        <v>10980</v>
      </c>
      <c r="L65" s="610" t="str">
        <f>VLOOKUP($D65,PID_from_BP!$B:$I,5,0)</f>
        <v>DEGC</v>
      </c>
      <c r="M65" s="614">
        <v>300</v>
      </c>
      <c r="N65" s="610">
        <f>VLOOKUP($D65,PID_from_BP!$B:$I,3,0)</f>
        <v>300</v>
      </c>
      <c r="O65" s="614">
        <v>0</v>
      </c>
      <c r="P65" s="610">
        <f>VLOOKUP($D65,PID_from_BP!$B:$I,4,0)</f>
        <v>0</v>
      </c>
      <c r="Q65" s="19">
        <v>158.44151392552499</v>
      </c>
      <c r="R65" s="460"/>
      <c r="S65" s="853">
        <v>1</v>
      </c>
      <c r="T65" s="460">
        <v>1</v>
      </c>
      <c r="U65" s="853">
        <v>1</v>
      </c>
      <c r="V65" s="460">
        <v>1</v>
      </c>
      <c r="W65" s="853">
        <v>40</v>
      </c>
      <c r="X65" s="772">
        <f>VLOOKUP($D65,PID_TUNING_from_BP!$D:$T,9,0)</f>
        <v>40</v>
      </c>
      <c r="Y65" s="853">
        <v>2.5</v>
      </c>
      <c r="Z65" s="772">
        <f>VLOOKUP($D65,PID_TUNING_from_BP!$D:$T,10,0)</f>
        <v>2.5</v>
      </c>
    </row>
    <row r="66" spans="1:26">
      <c r="A66" s="611" t="s">
        <v>5377</v>
      </c>
      <c r="B66" s="15"/>
      <c r="C66" s="909"/>
      <c r="D66" s="17" t="s">
        <v>9216</v>
      </c>
      <c r="E66" s="609"/>
      <c r="F66" s="465" t="s">
        <v>9217</v>
      </c>
      <c r="G66" s="981" t="s">
        <v>10907</v>
      </c>
      <c r="H66" s="610" t="str">
        <f>VLOOKUP($D66,PID_from_BP!$B:$I,2,0)</f>
        <v>CDU M.P.A. EZ2114 LOUVRES</v>
      </c>
      <c r="I66" s="981" t="s">
        <v>10907</v>
      </c>
      <c r="J66" s="765" t="str">
        <f>VLOOKUP($D66,PID_from_BP!$B:$I,2,0)</f>
        <v>CDU M.P.A. EZ2114 LOUVRES</v>
      </c>
      <c r="K66" s="981" t="s">
        <v>10980</v>
      </c>
      <c r="L66" s="610" t="str">
        <f>VLOOKUP($D66,PID_from_BP!$B:$I,5,0)</f>
        <v>DEGC</v>
      </c>
      <c r="M66" s="614">
        <v>250</v>
      </c>
      <c r="N66" s="610">
        <f>VLOOKUP($D66,PID_from_BP!$B:$I,3,0)</f>
        <v>250</v>
      </c>
      <c r="O66" s="614">
        <v>0</v>
      </c>
      <c r="P66" s="610">
        <f>VLOOKUP($D66,PID_from_BP!$B:$I,4,0)</f>
        <v>0</v>
      </c>
      <c r="Q66" s="19">
        <v>183.69879287685799</v>
      </c>
      <c r="R66" s="460"/>
      <c r="S66" s="853">
        <v>1</v>
      </c>
      <c r="T66" s="460">
        <v>1</v>
      </c>
      <c r="U66" s="853">
        <v>1</v>
      </c>
      <c r="V66" s="460">
        <v>1</v>
      </c>
      <c r="W66" s="853">
        <v>30</v>
      </c>
      <c r="X66" s="772">
        <f>VLOOKUP($D66,PID_TUNING_from_BP!$D:$T,9,0)</f>
        <v>30</v>
      </c>
      <c r="Y66" s="853">
        <v>4</v>
      </c>
      <c r="Z66" s="772">
        <f>VLOOKUP($D66,PID_TUNING_from_BP!$D:$T,10,0)</f>
        <v>4</v>
      </c>
    </row>
    <row r="67" spans="1:26">
      <c r="A67" s="611" t="s">
        <v>5377</v>
      </c>
      <c r="B67" s="15"/>
      <c r="C67" s="909"/>
      <c r="D67" s="17" t="s">
        <v>5153</v>
      </c>
      <c r="E67" s="609"/>
      <c r="F67" s="465" t="s">
        <v>5153</v>
      </c>
      <c r="G67" s="981" t="s">
        <v>10993</v>
      </c>
      <c r="H67" s="610" t="str">
        <f>VLOOKUP($D67,PID_from_BP!$B:$I,2,0)</f>
        <v>CDU B.P.A. EZ2110 BYPASS</v>
      </c>
      <c r="I67" s="981" t="s">
        <v>10993</v>
      </c>
      <c r="J67" s="765" t="str">
        <f>VLOOKUP($D67,PID_from_BP!$B:$I,2,0)</f>
        <v>CDU B.P.A. EZ2110 BYPASS</v>
      </c>
      <c r="K67" s="981" t="s">
        <v>10980</v>
      </c>
      <c r="L67" s="610" t="str">
        <f>VLOOKUP($D67,PID_from_BP!$B:$I,5,0)</f>
        <v>DEGC</v>
      </c>
      <c r="M67" s="614">
        <v>350</v>
      </c>
      <c r="N67" s="610">
        <f>VLOOKUP($D67,PID_from_BP!$B:$I,3,0)</f>
        <v>350</v>
      </c>
      <c r="O67" s="614">
        <v>0</v>
      </c>
      <c r="P67" s="610">
        <f>VLOOKUP($D67,PID_from_BP!$B:$I,4,0)</f>
        <v>0</v>
      </c>
      <c r="Q67" s="19">
        <v>307.45635126019999</v>
      </c>
      <c r="R67" s="460"/>
      <c r="S67" s="853">
        <v>1</v>
      </c>
      <c r="T67" s="460">
        <v>1</v>
      </c>
      <c r="U67" s="853">
        <v>1</v>
      </c>
      <c r="V67" s="460">
        <v>1</v>
      </c>
      <c r="W67" s="853">
        <v>30</v>
      </c>
      <c r="X67" s="772">
        <f>VLOOKUP($D67,PID_TUNING_from_BP!$D:$T,9,0)</f>
        <v>30</v>
      </c>
      <c r="Y67" s="853">
        <v>4</v>
      </c>
      <c r="Z67" s="772">
        <f>VLOOKUP($D67,PID_TUNING_from_BP!$D:$T,10,0)</f>
        <v>4</v>
      </c>
    </row>
    <row r="68" spans="1:26">
      <c r="A68" s="611" t="s">
        <v>5377</v>
      </c>
      <c r="B68" s="15"/>
      <c r="C68" s="909"/>
      <c r="D68" s="17" t="s">
        <v>8700</v>
      </c>
      <c r="E68" s="609"/>
      <c r="F68" s="465" t="s">
        <v>5110</v>
      </c>
      <c r="G68" s="981" t="s">
        <v>10909</v>
      </c>
      <c r="H68" s="610" t="str">
        <f>VLOOKUP($D68,PID_from_BP!$B:$I,2,0)</f>
        <v>HZ2101 COMBINED OUTLET</v>
      </c>
      <c r="I68" s="981" t="s">
        <v>10909</v>
      </c>
      <c r="J68" s="765" t="str">
        <f>VLOOKUP($D68,PID_from_BP!$B:$I,2,0)</f>
        <v>HZ2101 COMBINED OUTLET</v>
      </c>
      <c r="K68" s="981" t="s">
        <v>10980</v>
      </c>
      <c r="L68" s="610" t="str">
        <f>VLOOKUP($D68,PID_from_BP!$B:$I,5,0)</f>
        <v>DEGC</v>
      </c>
      <c r="M68" s="614">
        <v>500</v>
      </c>
      <c r="N68" s="610">
        <f>VLOOKUP($D68,PID_from_BP!$B:$I,3,0)</f>
        <v>500</v>
      </c>
      <c r="O68" s="614">
        <v>0</v>
      </c>
      <c r="P68" s="610">
        <f>VLOOKUP($D68,PID_from_BP!$B:$I,4,0)</f>
        <v>0</v>
      </c>
      <c r="Q68" s="19">
        <v>375.43548560655103</v>
      </c>
      <c r="R68" s="460"/>
      <c r="S68" s="853">
        <v>1</v>
      </c>
      <c r="T68" s="460">
        <v>1</v>
      </c>
      <c r="U68" s="853">
        <v>1</v>
      </c>
      <c r="V68" s="460">
        <v>1</v>
      </c>
      <c r="W68" s="853">
        <v>25</v>
      </c>
      <c r="X68" s="772">
        <f>VLOOKUP($D68,PID_TUNING_from_BP!$D:$T,9,0)</f>
        <v>25</v>
      </c>
      <c r="Y68" s="853">
        <v>3</v>
      </c>
      <c r="Z68" s="772">
        <f>VLOOKUP($D68,PID_TUNING_from_BP!$D:$T,10,0)</f>
        <v>3</v>
      </c>
    </row>
    <row r="69" spans="1:26">
      <c r="A69" s="611" t="s">
        <v>5377</v>
      </c>
      <c r="B69" s="15"/>
      <c r="C69" s="909"/>
      <c r="D69" s="17" t="s">
        <v>5155</v>
      </c>
      <c r="E69" s="609"/>
      <c r="F69" s="465" t="s">
        <v>5155</v>
      </c>
      <c r="G69" s="981" t="s">
        <v>10901</v>
      </c>
      <c r="H69" s="610" t="str">
        <f>VLOOKUP($D69,PID_from_BP!$B:$I,2,0)</f>
        <v>CDU TOWER TOP</v>
      </c>
      <c r="I69" s="981" t="s">
        <v>10901</v>
      </c>
      <c r="J69" s="765" t="str">
        <f>VLOOKUP($D69,PID_from_BP!$B:$I,2,0)</f>
        <v>CDU TOWER TOP</v>
      </c>
      <c r="K69" s="981" t="s">
        <v>10980</v>
      </c>
      <c r="L69" s="610" t="str">
        <f>VLOOKUP($D69,PID_from_BP!$B:$I,5,0)</f>
        <v>DEGC</v>
      </c>
      <c r="M69" s="614">
        <v>300</v>
      </c>
      <c r="N69" s="610">
        <f>VLOOKUP($D69,PID_from_BP!$B:$I,3,0)</f>
        <v>300</v>
      </c>
      <c r="O69" s="614">
        <v>0</v>
      </c>
      <c r="P69" s="610">
        <f>VLOOKUP($D69,PID_from_BP!$B:$I,4,0)</f>
        <v>0</v>
      </c>
      <c r="Q69" s="19">
        <v>202.570704590205</v>
      </c>
      <c r="R69" s="460"/>
      <c r="S69" s="853">
        <v>1</v>
      </c>
      <c r="T69" s="460">
        <v>1</v>
      </c>
      <c r="U69" s="853">
        <v>1</v>
      </c>
      <c r="V69" s="460">
        <v>1</v>
      </c>
      <c r="W69" s="853">
        <v>60</v>
      </c>
      <c r="X69" s="772">
        <f>VLOOKUP($D69,PID_TUNING_from_BP!$D:$T,9,0)</f>
        <v>60</v>
      </c>
      <c r="Y69" s="853">
        <v>20</v>
      </c>
      <c r="Z69" s="772">
        <f>VLOOKUP($D69,PID_TUNING_from_BP!$D:$T,10,0)</f>
        <v>20</v>
      </c>
    </row>
    <row r="70" spans="1:26" s="514" customFormat="1">
      <c r="A70" s="729" t="s">
        <v>5377</v>
      </c>
      <c r="B70" s="612"/>
      <c r="C70" s="909"/>
      <c r="D70" s="742" t="s">
        <v>5256</v>
      </c>
      <c r="E70" s="740"/>
      <c r="F70" s="743" t="s">
        <v>5256</v>
      </c>
      <c r="G70" s="981" t="s">
        <v>10912</v>
      </c>
      <c r="H70" s="741" t="str">
        <f>VLOOKUP($D70,PID_from_BP!$B:$I,2,0)</f>
        <v>DHT REACTOR INLET</v>
      </c>
      <c r="I70" s="981" t="s">
        <v>10912</v>
      </c>
      <c r="J70" s="765" t="str">
        <f>VLOOKUP($D70,PID_from_BP!$B:$I,2,0)</f>
        <v>DHT REACTOR INLET</v>
      </c>
      <c r="K70" s="981" t="s">
        <v>10980</v>
      </c>
      <c r="L70" s="741" t="str">
        <f>VLOOKUP($D70,PID_from_BP!$B:$I,5,0)</f>
        <v>DEGC</v>
      </c>
      <c r="M70" s="744">
        <v>450</v>
      </c>
      <c r="N70" s="741">
        <f>VLOOKUP($D70,PID_from_BP!$B:$I,3,0)</f>
        <v>450</v>
      </c>
      <c r="O70" s="744">
        <v>0</v>
      </c>
      <c r="P70" s="741">
        <f>VLOOKUP($D70,PID_from_BP!$B:$I,4,0)</f>
        <v>0</v>
      </c>
      <c r="Q70" s="744">
        <v>317.11330031499801</v>
      </c>
      <c r="R70" s="741"/>
      <c r="S70" s="853">
        <v>1</v>
      </c>
      <c r="T70" s="460">
        <v>1</v>
      </c>
      <c r="U70" s="853">
        <v>1</v>
      </c>
      <c r="V70" s="460">
        <v>1</v>
      </c>
      <c r="W70" s="853">
        <v>60</v>
      </c>
      <c r="X70" s="772">
        <f>VLOOKUP($D70,PID_TUNING_from_BP!$D:$T,9,0)</f>
        <v>60</v>
      </c>
      <c r="Y70" s="853">
        <v>5</v>
      </c>
      <c r="Z70" s="772">
        <f>VLOOKUP($D70,PID_TUNING_from_BP!$D:$T,10,0)</f>
        <v>5</v>
      </c>
    </row>
    <row r="71" spans="1:26" s="753" customFormat="1">
      <c r="A71" s="756" t="s">
        <v>5377</v>
      </c>
      <c r="B71" s="757"/>
      <c r="C71" s="909"/>
      <c r="D71" s="759" t="s">
        <v>5284</v>
      </c>
      <c r="E71" s="754"/>
      <c r="F71" s="760" t="s">
        <v>5284</v>
      </c>
      <c r="G71" s="981" t="s">
        <v>10973</v>
      </c>
      <c r="H71" s="755" t="str">
        <f>VLOOKUP($D71,PID_from_BP!$B:$I,2,0)</f>
        <v>DFU STABILISER FEED</v>
      </c>
      <c r="I71" s="981" t="s">
        <v>10973</v>
      </c>
      <c r="J71" s="765" t="str">
        <f>VLOOKUP($D71,PID_from_BP!$B:$I,2,0)</f>
        <v>DFU STABILISER FEED</v>
      </c>
      <c r="K71" s="981" t="s">
        <v>10980</v>
      </c>
      <c r="L71" s="755" t="str">
        <f>VLOOKUP($D71,PID_from_BP!$B:$I,5,0)</f>
        <v>DEGC</v>
      </c>
      <c r="M71" s="761">
        <v>200</v>
      </c>
      <c r="N71" s="755">
        <f>VLOOKUP($D71,PID_from_BP!$B:$I,3,0)</f>
        <v>200</v>
      </c>
      <c r="O71" s="761">
        <v>0</v>
      </c>
      <c r="P71" s="755">
        <f>VLOOKUP($D71,PID_from_BP!$B:$I,4,0)</f>
        <v>0</v>
      </c>
      <c r="Q71" s="761">
        <v>158.81307515233701</v>
      </c>
      <c r="R71" s="755"/>
      <c r="S71" s="853">
        <v>1</v>
      </c>
      <c r="T71" s="460">
        <v>1</v>
      </c>
      <c r="U71" s="853">
        <v>1</v>
      </c>
      <c r="V71" s="460">
        <v>1</v>
      </c>
      <c r="W71" s="853">
        <v>30</v>
      </c>
      <c r="X71" s="772">
        <f>VLOOKUP($D71,PID_TUNING_from_BP!$D:$T,9,0)</f>
        <v>30</v>
      </c>
      <c r="Y71" s="853">
        <v>3</v>
      </c>
      <c r="Z71" s="772">
        <f>VLOOKUP($D71,PID_TUNING_from_BP!$D:$T,10,0)</f>
        <v>3</v>
      </c>
    </row>
    <row r="72" spans="1:26" s="753" customFormat="1">
      <c r="A72" s="756" t="s">
        <v>5377</v>
      </c>
      <c r="B72" s="757"/>
      <c r="C72" s="909"/>
      <c r="D72" s="759" t="s">
        <v>5286</v>
      </c>
      <c r="E72" s="754"/>
      <c r="F72" s="760" t="s">
        <v>5286</v>
      </c>
      <c r="G72" s="981" t="s">
        <v>10974</v>
      </c>
      <c r="H72" s="755" t="str">
        <f>VLOOKUP($D72,PID_from_BP!$B:$I,2,0)</f>
        <v>DFU STABILISER TRAY3 (REBOIL)</v>
      </c>
      <c r="I72" s="981" t="s">
        <v>10974</v>
      </c>
      <c r="J72" s="765" t="str">
        <f>VLOOKUP($D72,PID_from_BP!$B:$I,2,0)</f>
        <v>DFU STABILISER TRAY3 (REBOIL)</v>
      </c>
      <c r="K72" s="981" t="s">
        <v>10980</v>
      </c>
      <c r="L72" s="755" t="str">
        <f>VLOOKUP($D72,PID_from_BP!$B:$I,5,0)</f>
        <v>DEGC</v>
      </c>
      <c r="M72" s="761">
        <v>200</v>
      </c>
      <c r="N72" s="755">
        <f>VLOOKUP($D72,PID_from_BP!$B:$I,3,0)</f>
        <v>200</v>
      </c>
      <c r="O72" s="761">
        <v>0</v>
      </c>
      <c r="P72" s="755">
        <f>VLOOKUP($D72,PID_from_BP!$B:$I,4,0)</f>
        <v>0</v>
      </c>
      <c r="Q72" s="761">
        <v>172.12475428844601</v>
      </c>
      <c r="R72" s="755"/>
      <c r="S72" s="853">
        <v>1</v>
      </c>
      <c r="T72" s="460">
        <v>1</v>
      </c>
      <c r="U72" s="853">
        <v>1</v>
      </c>
      <c r="V72" s="460">
        <v>1</v>
      </c>
      <c r="W72" s="853">
        <v>60</v>
      </c>
      <c r="X72" s="772">
        <f>VLOOKUP($D72,PID_TUNING_from_BP!$D:$T,9,0)</f>
        <v>60</v>
      </c>
      <c r="Y72" s="853">
        <v>15</v>
      </c>
      <c r="Z72" s="772">
        <f>VLOOKUP($D72,PID_TUNING_from_BP!$D:$T,10,0)</f>
        <v>15</v>
      </c>
    </row>
    <row r="73" spans="1:26" s="753" customFormat="1">
      <c r="A73" s="756" t="s">
        <v>5377</v>
      </c>
      <c r="B73" s="757"/>
      <c r="C73" s="909"/>
      <c r="D73" s="759" t="s">
        <v>6227</v>
      </c>
      <c r="E73" s="754"/>
      <c r="F73" s="760" t="s">
        <v>5343</v>
      </c>
      <c r="G73" s="981" t="s">
        <v>10975</v>
      </c>
      <c r="H73" s="755" t="str">
        <f>VLOOKUP($D73,PID_from_BP!$B:$I,2,0)</f>
        <v>OUTLET GASOLINE</v>
      </c>
      <c r="I73" s="981" t="s">
        <v>10975</v>
      </c>
      <c r="J73" s="765" t="str">
        <f>VLOOKUP($D73,PID_from_BP!$B:$I,2,0)</f>
        <v>OUTLET GASOLINE</v>
      </c>
      <c r="K73" s="981" t="s">
        <v>10980</v>
      </c>
      <c r="L73" s="755" t="str">
        <f>VLOOKUP($D73,PID_from_BP!$B:$I,5,0)</f>
        <v>DEGC</v>
      </c>
      <c r="M73" s="761">
        <v>150</v>
      </c>
      <c r="N73" s="755">
        <f>VLOOKUP($D73,PID_from_BP!$B:$I,3,0)</f>
        <v>150</v>
      </c>
      <c r="O73" s="761">
        <v>0</v>
      </c>
      <c r="P73" s="755">
        <f>VLOOKUP($D73,PID_from_BP!$B:$I,4,0)</f>
        <v>0</v>
      </c>
      <c r="Q73" s="761">
        <v>34.6668555834597</v>
      </c>
      <c r="R73" s="755"/>
      <c r="S73" s="853">
        <v>1</v>
      </c>
      <c r="T73" s="460">
        <v>1</v>
      </c>
      <c r="U73" s="853">
        <v>1</v>
      </c>
      <c r="V73" s="460">
        <v>1</v>
      </c>
      <c r="W73" s="853">
        <v>30</v>
      </c>
      <c r="X73" s="772">
        <f>VLOOKUP($D73,PID_TUNING_from_BP!$D:$T,9,0)</f>
        <v>30</v>
      </c>
      <c r="Y73" s="853">
        <v>4</v>
      </c>
      <c r="Z73" s="772">
        <f>VLOOKUP($D73,PID_TUNING_from_BP!$D:$T,10,0)</f>
        <v>4</v>
      </c>
    </row>
    <row r="74" spans="1:26" s="753" customFormat="1">
      <c r="A74" s="756" t="s">
        <v>5377</v>
      </c>
      <c r="B74" s="757"/>
      <c r="C74" s="909"/>
      <c r="D74" s="759" t="s">
        <v>5288</v>
      </c>
      <c r="E74" s="754"/>
      <c r="F74" s="760" t="s">
        <v>5288</v>
      </c>
      <c r="G74" s="981" t="s">
        <v>10976</v>
      </c>
      <c r="H74" s="755" t="str">
        <f>VLOOKUP($D74,PID_from_BP!$B:$I,2,0)</f>
        <v>DFU STABILISER TOP</v>
      </c>
      <c r="I74" s="981" t="s">
        <v>10976</v>
      </c>
      <c r="J74" s="765" t="str">
        <f>VLOOKUP($D74,PID_from_BP!$B:$I,2,0)</f>
        <v>DFU STABILISER TOP</v>
      </c>
      <c r="K74" s="981" t="s">
        <v>10980</v>
      </c>
      <c r="L74" s="755" t="str">
        <f>VLOOKUP($D74,PID_from_BP!$B:$I,5,0)</f>
        <v>DEGC</v>
      </c>
      <c r="M74" s="761">
        <v>100</v>
      </c>
      <c r="N74" s="755">
        <f>VLOOKUP($D74,PID_from_BP!$B:$I,3,0)</f>
        <v>100</v>
      </c>
      <c r="O74" s="761">
        <v>0</v>
      </c>
      <c r="P74" s="755">
        <f>VLOOKUP($D74,PID_from_BP!$B:$I,4,0)</f>
        <v>0</v>
      </c>
      <c r="Q74" s="761">
        <v>68.798925954308501</v>
      </c>
      <c r="R74" s="755"/>
      <c r="S74" s="853">
        <v>1</v>
      </c>
      <c r="T74" s="460">
        <v>1</v>
      </c>
      <c r="U74" s="853">
        <v>1</v>
      </c>
      <c r="V74" s="460">
        <v>1</v>
      </c>
      <c r="W74" s="853">
        <v>120</v>
      </c>
      <c r="X74" s="772">
        <f>VLOOKUP($D74,PID_TUNING_from_BP!$D:$T,9,0)</f>
        <v>120</v>
      </c>
      <c r="Y74" s="853">
        <v>2</v>
      </c>
      <c r="Z74" s="772">
        <f>VLOOKUP($D74,PID_TUNING_from_BP!$D:$T,10,0)</f>
        <v>2</v>
      </c>
    </row>
    <row r="75" spans="1:26">
      <c r="A75" s="756" t="s">
        <v>5377</v>
      </c>
      <c r="B75" s="15"/>
      <c r="C75" s="909"/>
      <c r="D75" s="773" t="s">
        <v>5290</v>
      </c>
      <c r="E75" s="754"/>
      <c r="F75" s="465" t="s">
        <v>5290</v>
      </c>
      <c r="G75" s="981" t="s">
        <v>10994</v>
      </c>
      <c r="H75" s="755" t="str">
        <f>VLOOKUP($D75,PID_from_BP!$B:$I,2,0)</f>
        <v>DFU STABILISER OVHD</v>
      </c>
      <c r="I75" s="981" t="s">
        <v>10994</v>
      </c>
      <c r="J75" s="765" t="str">
        <f>VLOOKUP($D75,PID_from_BP!$B:$I,2,0)</f>
        <v>DFU STABILISER OVHD</v>
      </c>
      <c r="K75" s="981" t="s">
        <v>10980</v>
      </c>
      <c r="L75" s="755" t="str">
        <f>VLOOKUP($D75,PID_from_BP!$B:$I,5,0)</f>
        <v>DEGC</v>
      </c>
      <c r="M75" s="761">
        <v>100</v>
      </c>
      <c r="N75" s="755">
        <f>VLOOKUP($D75,PID_from_BP!$B:$I,3,0)</f>
        <v>100</v>
      </c>
      <c r="O75" s="761">
        <v>0</v>
      </c>
      <c r="P75" s="755">
        <f>VLOOKUP($D75,PID_from_BP!$B:$I,4,0)</f>
        <v>0</v>
      </c>
      <c r="Q75" s="761">
        <v>41.9897646163571</v>
      </c>
      <c r="R75" s="755"/>
      <c r="S75" s="853">
        <v>1</v>
      </c>
      <c r="T75" s="460">
        <v>1</v>
      </c>
      <c r="U75" s="853">
        <v>1</v>
      </c>
      <c r="V75" s="460">
        <v>1</v>
      </c>
      <c r="W75" s="853">
        <v>100</v>
      </c>
      <c r="X75" s="772">
        <f>VLOOKUP($D75,PID_TUNING_from_BP!$D:$T,9,0)</f>
        <v>100</v>
      </c>
      <c r="Y75" s="853">
        <v>5</v>
      </c>
      <c r="Z75" s="772">
        <f>VLOOKUP($D75,PID_TUNING_from_BP!$D:$T,10,0)</f>
        <v>5</v>
      </c>
    </row>
    <row r="76" spans="1:26">
      <c r="A76" s="756" t="s">
        <v>5377</v>
      </c>
      <c r="B76" s="15"/>
      <c r="C76" s="909"/>
      <c r="D76" s="773" t="s">
        <v>8708</v>
      </c>
      <c r="E76" s="754"/>
      <c r="F76" s="465" t="s">
        <v>5293</v>
      </c>
      <c r="G76" s="981" t="s">
        <v>10977</v>
      </c>
      <c r="H76" s="755" t="str">
        <f>VLOOKUP($D76,PID_from_BP!$B:$I,2,0)</f>
        <v>SRB NAPHTA TO FW UNIT 500</v>
      </c>
      <c r="I76" s="981" t="s">
        <v>10977</v>
      </c>
      <c r="J76" s="765" t="str">
        <f>VLOOKUP($D76,PID_from_BP!$B:$I,2,0)</f>
        <v>SRB NAPHTA TO FW UNIT 500</v>
      </c>
      <c r="K76" s="981" t="s">
        <v>10980</v>
      </c>
      <c r="L76" s="755" t="str">
        <f>VLOOKUP($D76,PID_from_BP!$B:$I,5,0)</f>
        <v>DEGC</v>
      </c>
      <c r="M76" s="761">
        <v>100</v>
      </c>
      <c r="N76" s="755">
        <f>VLOOKUP($D76,PID_from_BP!$B:$I,3,0)</f>
        <v>100</v>
      </c>
      <c r="O76" s="761">
        <v>0</v>
      </c>
      <c r="P76" s="755">
        <f>VLOOKUP($D76,PID_from_BP!$B:$I,4,0)</f>
        <v>0</v>
      </c>
      <c r="Q76" s="761">
        <v>38.886585473100197</v>
      </c>
      <c r="R76" s="755"/>
      <c r="S76" s="853">
        <v>1</v>
      </c>
      <c r="T76" s="460">
        <v>1</v>
      </c>
      <c r="U76" s="853">
        <v>1</v>
      </c>
      <c r="V76" s="460">
        <v>1</v>
      </c>
      <c r="W76" s="853">
        <v>150</v>
      </c>
      <c r="X76" s="772">
        <f>VLOOKUP($D76,PID_TUNING_from_BP!$D:$T,9,0)</f>
        <v>150</v>
      </c>
      <c r="Y76" s="853">
        <v>10</v>
      </c>
      <c r="Z76" s="772">
        <f>VLOOKUP($D76,PID_TUNING_from_BP!$D:$T,10,0)</f>
        <v>10</v>
      </c>
    </row>
    <row r="77" spans="1:26" s="753" customFormat="1">
      <c r="A77" s="756" t="s">
        <v>5377</v>
      </c>
      <c r="B77" s="757"/>
      <c r="C77" s="909"/>
      <c r="D77" s="773" t="s">
        <v>8707</v>
      </c>
      <c r="E77" s="782"/>
      <c r="F77" s="465" t="s">
        <v>5345</v>
      </c>
      <c r="G77" s="981" t="s">
        <v>10906</v>
      </c>
      <c r="H77" s="772" t="str">
        <f>VLOOKUP($D77,PID_from_BP!$B:$I,2,0)</f>
        <v>DFU SPLITTER TOP</v>
      </c>
      <c r="I77" s="981" t="s">
        <v>10906</v>
      </c>
      <c r="J77" s="772" t="str">
        <f>VLOOKUP($D77,PID_from_BP!$B:$I,2,0)</f>
        <v>DFU SPLITTER TOP</v>
      </c>
      <c r="K77" s="981" t="s">
        <v>10980</v>
      </c>
      <c r="L77" s="772" t="str">
        <f>VLOOKUP($D77,PID_from_BP!$B:$I,5,0)</f>
        <v>DEGC</v>
      </c>
      <c r="M77" s="783">
        <v>150</v>
      </c>
      <c r="N77" s="772">
        <f>VLOOKUP($D77,PID_from_BP!$B:$I,3,0)</f>
        <v>150</v>
      </c>
      <c r="O77" s="783">
        <v>0</v>
      </c>
      <c r="P77" s="772">
        <f>VLOOKUP($D77,PID_from_BP!$B:$I,4,0)</f>
        <v>0</v>
      </c>
      <c r="Q77" s="783">
        <v>86.648082986571197</v>
      </c>
      <c r="R77" s="772"/>
      <c r="S77" s="853">
        <v>1</v>
      </c>
      <c r="T77" s="460">
        <v>1</v>
      </c>
      <c r="U77" s="853">
        <v>1</v>
      </c>
      <c r="V77" s="460">
        <v>1</v>
      </c>
      <c r="W77" s="853">
        <v>60</v>
      </c>
      <c r="X77" s="772">
        <f>VLOOKUP($D77,PID_TUNING_from_BP!$D:$T,9,0)</f>
        <v>60</v>
      </c>
      <c r="Y77" s="853">
        <v>30</v>
      </c>
      <c r="Z77" s="772">
        <f>VLOOKUP($D77,PID_TUNING_from_BP!$D:$T,10,0)</f>
        <v>30</v>
      </c>
    </row>
    <row r="78" spans="1:26" s="514" customFormat="1">
      <c r="A78" s="519" t="s">
        <v>5377</v>
      </c>
      <c r="B78" s="520"/>
      <c r="C78" s="909"/>
      <c r="D78" s="522" t="s">
        <v>5120</v>
      </c>
      <c r="E78" s="609"/>
      <c r="F78" s="556" t="s">
        <v>5120</v>
      </c>
      <c r="G78" s="981" t="s">
        <v>10920</v>
      </c>
      <c r="H78" s="610" t="str">
        <f>VLOOKUP($D78,PID_from_BP!$B:$I,2,0)</f>
        <v>WATER TO B DESALTER</v>
      </c>
      <c r="I78" s="981" t="s">
        <v>10920</v>
      </c>
      <c r="J78" s="765" t="str">
        <f>VLOOKUP($D78,PID_from_BP!$B:$I,2,0)</f>
        <v>WATER TO B DESALTER</v>
      </c>
      <c r="K78" s="981" t="s">
        <v>10983</v>
      </c>
      <c r="L78" s="610" t="str">
        <f>VLOOKUP($D78,PID_from_BP!$B:$I,5,0)</f>
        <v>M3/H</v>
      </c>
      <c r="M78" s="614">
        <v>50</v>
      </c>
      <c r="N78" s="610">
        <f>VLOOKUP($D78,PID_from_BP!$B:$I,3,0)</f>
        <v>50</v>
      </c>
      <c r="O78" s="614">
        <v>0</v>
      </c>
      <c r="P78" s="610">
        <f>VLOOKUP($D78,PID_from_BP!$B:$I,4,0)</f>
        <v>0</v>
      </c>
      <c r="Q78" s="570">
        <v>29.513324338927401</v>
      </c>
      <c r="R78" s="555"/>
      <c r="S78" s="853">
        <v>1</v>
      </c>
      <c r="T78" s="460">
        <v>1</v>
      </c>
      <c r="U78" s="853">
        <v>1</v>
      </c>
      <c r="V78" s="460">
        <v>1</v>
      </c>
      <c r="W78" s="853">
        <v>760</v>
      </c>
      <c r="X78" s="772">
        <f>VLOOKUP($D78,PID_TUNING_from_BP!$D:$T,9,0)</f>
        <v>760</v>
      </c>
      <c r="Y78" s="853">
        <v>0.5</v>
      </c>
      <c r="Z78" s="772">
        <f>VLOOKUP($D78,PID_TUNING_from_BP!$D:$T,10,0)</f>
        <v>0.5</v>
      </c>
    </row>
    <row r="79" spans="1:26" s="514" customFormat="1">
      <c r="A79" s="519" t="s">
        <v>5377</v>
      </c>
      <c r="B79" s="520"/>
      <c r="C79" s="909"/>
      <c r="D79" s="522" t="s">
        <v>5210</v>
      </c>
      <c r="E79" s="609"/>
      <c r="F79" s="556" t="s">
        <v>5210</v>
      </c>
      <c r="G79" s="981" t="s">
        <v>10921</v>
      </c>
      <c r="H79" s="610" t="str">
        <f>VLOOKUP($D79,PID_from_BP!$B:$I,2,0)</f>
        <v>WATER TO C DESALTER</v>
      </c>
      <c r="I79" s="981" t="s">
        <v>10921</v>
      </c>
      <c r="J79" s="765" t="str">
        <f>VLOOKUP($D79,PID_from_BP!$B:$I,2,0)</f>
        <v>WATER TO C DESALTER</v>
      </c>
      <c r="K79" s="981" t="s">
        <v>10983</v>
      </c>
      <c r="L79" s="610" t="str">
        <f>VLOOKUP($D79,PID_from_BP!$B:$I,5,0)</f>
        <v>M3/H</v>
      </c>
      <c r="M79" s="614">
        <v>75</v>
      </c>
      <c r="N79" s="610">
        <f>VLOOKUP($D79,PID_from_BP!$B:$I,3,0)</f>
        <v>75</v>
      </c>
      <c r="O79" s="614">
        <v>0</v>
      </c>
      <c r="P79" s="610">
        <f>VLOOKUP($D79,PID_from_BP!$B:$I,4,0)</f>
        <v>0</v>
      </c>
      <c r="Q79" s="570">
        <v>58.699993494438203</v>
      </c>
      <c r="R79" s="555"/>
      <c r="S79" s="853">
        <v>1</v>
      </c>
      <c r="T79" s="460">
        <v>1</v>
      </c>
      <c r="U79" s="853">
        <v>1</v>
      </c>
      <c r="V79" s="460">
        <v>1</v>
      </c>
      <c r="W79" s="853">
        <v>760</v>
      </c>
      <c r="X79" s="772">
        <f>VLOOKUP($D79,PID_TUNING_from_BP!$D:$T,9,0)</f>
        <v>760</v>
      </c>
      <c r="Y79" s="853">
        <v>0.5</v>
      </c>
      <c r="Z79" s="772">
        <f>VLOOKUP($D79,PID_TUNING_from_BP!$D:$T,10,0)</f>
        <v>0.5</v>
      </c>
    </row>
    <row r="80" spans="1:26" s="514" customFormat="1">
      <c r="A80" s="519" t="s">
        <v>5377</v>
      </c>
      <c r="B80" s="520"/>
      <c r="C80" s="909"/>
      <c r="D80" s="522" t="s">
        <v>5122</v>
      </c>
      <c r="E80" s="609"/>
      <c r="F80" s="556" t="s">
        <v>5122</v>
      </c>
      <c r="G80" s="981" t="s">
        <v>10922</v>
      </c>
      <c r="H80" s="755" t="str">
        <f>VLOOKUP($D80,PID_from_BP!$B:$I,2,0)</f>
        <v>WATER TO A DESALTER</v>
      </c>
      <c r="I80" s="981" t="s">
        <v>10922</v>
      </c>
      <c r="J80" s="765" t="str">
        <f>VLOOKUP($D80,PID_from_BP!$B:$I,2,0)</f>
        <v>WATER TO A DESALTER</v>
      </c>
      <c r="K80" s="981" t="s">
        <v>10983</v>
      </c>
      <c r="L80" s="555" t="str">
        <f>VLOOKUP($D80,PID_from_BP!$B:$I,5,0)</f>
        <v>M3/H</v>
      </c>
      <c r="M80" s="570">
        <v>50</v>
      </c>
      <c r="N80" s="555">
        <f>VLOOKUP($D80,PID_from_BP!$B:$I,3,0)</f>
        <v>50</v>
      </c>
      <c r="O80" s="570">
        <v>0</v>
      </c>
      <c r="P80" s="555">
        <f>VLOOKUP($D80,PID_from_BP!$B:$I,4,0)</f>
        <v>0</v>
      </c>
      <c r="Q80" s="570">
        <v>29.513321619269099</v>
      </c>
      <c r="R80" s="555"/>
      <c r="S80" s="853">
        <v>1</v>
      </c>
      <c r="T80" s="460">
        <v>1</v>
      </c>
      <c r="U80" s="853">
        <v>1</v>
      </c>
      <c r="V80" s="460">
        <v>1</v>
      </c>
      <c r="W80" s="853">
        <v>350</v>
      </c>
      <c r="X80" s="772">
        <f>VLOOKUP($D80,PID_TUNING_from_BP!$D:$T,9,0)</f>
        <v>350</v>
      </c>
      <c r="Y80" s="853">
        <v>0.5</v>
      </c>
      <c r="Z80" s="772">
        <f>VLOOKUP($D80,PID_TUNING_from_BP!$D:$T,10,0)</f>
        <v>0.5</v>
      </c>
    </row>
    <row r="81" spans="1:26" s="514" customFormat="1">
      <c r="A81" s="519" t="s">
        <v>8699</v>
      </c>
      <c r="B81" s="520"/>
      <c r="C81" s="909"/>
      <c r="D81" s="522" t="s">
        <v>5159</v>
      </c>
      <c r="E81" s="609"/>
      <c r="F81" s="556" t="s">
        <v>5159</v>
      </c>
      <c r="G81" s="981" t="s">
        <v>10875</v>
      </c>
      <c r="H81" s="555" t="str">
        <f>VLOOKUP($D81,PID_from_BP!$B:$I,2,0)</f>
        <v>CDU HEATER HZ2101 PASS 1</v>
      </c>
      <c r="I81" s="981" t="s">
        <v>10875</v>
      </c>
      <c r="J81" s="765" t="str">
        <f>VLOOKUP($D81,PID_from_BP!$B:$I,2,0)</f>
        <v>CDU HEATER HZ2101 PASS 1</v>
      </c>
      <c r="K81" s="981" t="s">
        <v>10983</v>
      </c>
      <c r="L81" s="555" t="str">
        <f>VLOOKUP($D81,PID_from_BP!$B:$I,5,0)</f>
        <v>M3/H</v>
      </c>
      <c r="M81" s="570">
        <v>313</v>
      </c>
      <c r="N81" s="555">
        <f>VLOOKUP($D81,PID_from_BP!$B:$I,3,0)</f>
        <v>313</v>
      </c>
      <c r="O81" s="570">
        <v>0</v>
      </c>
      <c r="P81" s="555">
        <f>VLOOKUP($D81,PID_from_BP!$B:$I,4,0)</f>
        <v>0</v>
      </c>
      <c r="Q81" s="570">
        <v>147.00690144923399</v>
      </c>
      <c r="R81" s="555"/>
      <c r="S81" s="853">
        <v>1</v>
      </c>
      <c r="T81" s="460">
        <v>1</v>
      </c>
      <c r="U81" s="853">
        <v>1</v>
      </c>
      <c r="V81" s="460">
        <v>1</v>
      </c>
      <c r="W81" s="853">
        <v>400</v>
      </c>
      <c r="X81" s="772">
        <f>VLOOKUP($D81,PID_TUNING_from_BP!$D:$T,9,0)</f>
        <v>400</v>
      </c>
      <c r="Y81" s="853">
        <v>0.2</v>
      </c>
      <c r="Z81" s="772">
        <f>VLOOKUP($D81,PID_TUNING_from_BP!$D:$T,10,0)</f>
        <v>0.2</v>
      </c>
    </row>
    <row r="82" spans="1:26" s="514" customFormat="1">
      <c r="A82" s="519" t="s">
        <v>8699</v>
      </c>
      <c r="B82" s="520"/>
      <c r="C82" s="909"/>
      <c r="D82" s="522" t="s">
        <v>5161</v>
      </c>
      <c r="E82" s="609"/>
      <c r="F82" s="556" t="s">
        <v>5161</v>
      </c>
      <c r="G82" s="981" t="s">
        <v>10876</v>
      </c>
      <c r="H82" s="610" t="str">
        <f>VLOOKUP($D82,PID_from_BP!$B:$I,2,0)</f>
        <v>CDU HEATER HZ2101 PASS 2</v>
      </c>
      <c r="I82" s="981" t="s">
        <v>10876</v>
      </c>
      <c r="J82" s="765" t="str">
        <f>VLOOKUP($D82,PID_from_BP!$B:$I,2,0)</f>
        <v>CDU HEATER HZ2101 PASS 2</v>
      </c>
      <c r="K82" s="981" t="s">
        <v>10983</v>
      </c>
      <c r="L82" s="610" t="str">
        <f>VLOOKUP($D82,PID_from_BP!$B:$I,5,0)</f>
        <v>M3/H</v>
      </c>
      <c r="M82" s="614">
        <v>313</v>
      </c>
      <c r="N82" s="610">
        <f>VLOOKUP($D82,PID_from_BP!$B:$I,3,0)</f>
        <v>313</v>
      </c>
      <c r="O82" s="614">
        <v>0</v>
      </c>
      <c r="P82" s="610">
        <f>VLOOKUP($D82,PID_from_BP!$B:$I,4,0)</f>
        <v>0</v>
      </c>
      <c r="Q82" s="614">
        <v>147.006977014331</v>
      </c>
      <c r="R82" s="610"/>
      <c r="S82" s="853">
        <v>1</v>
      </c>
      <c r="T82" s="460">
        <v>1</v>
      </c>
      <c r="U82" s="853">
        <v>1</v>
      </c>
      <c r="V82" s="460">
        <v>1</v>
      </c>
      <c r="W82" s="853">
        <v>400</v>
      </c>
      <c r="X82" s="772">
        <f>VLOOKUP($D82,PID_TUNING_from_BP!$D:$T,9,0)</f>
        <v>400</v>
      </c>
      <c r="Y82" s="853">
        <v>0.1</v>
      </c>
      <c r="Z82" s="772">
        <f>VLOOKUP($D82,PID_TUNING_from_BP!$D:$T,10,0)</f>
        <v>0.1</v>
      </c>
    </row>
    <row r="83" spans="1:26" s="514" customFormat="1">
      <c r="A83" s="519" t="s">
        <v>5377</v>
      </c>
      <c r="B83" s="520"/>
      <c r="C83" s="909"/>
      <c r="D83" s="522" t="s">
        <v>5163</v>
      </c>
      <c r="E83" s="609"/>
      <c r="F83" s="556" t="s">
        <v>5163</v>
      </c>
      <c r="G83" s="981" t="s">
        <v>10877</v>
      </c>
      <c r="H83" s="610" t="str">
        <f>VLOOKUP($D83,PID_from_BP!$B:$I,2,0)</f>
        <v>CDU HEATER HZ2101 PASS 3</v>
      </c>
      <c r="I83" s="981" t="s">
        <v>10877</v>
      </c>
      <c r="J83" s="765" t="str">
        <f>VLOOKUP($D83,PID_from_BP!$B:$I,2,0)</f>
        <v>CDU HEATER HZ2101 PASS 3</v>
      </c>
      <c r="K83" s="981" t="s">
        <v>10983</v>
      </c>
      <c r="L83" s="610" t="str">
        <f>VLOOKUP($D83,PID_from_BP!$B:$I,5,0)</f>
        <v>M3/H</v>
      </c>
      <c r="M83" s="614">
        <v>313</v>
      </c>
      <c r="N83" s="610">
        <f>VLOOKUP($D83,PID_from_BP!$B:$I,3,0)</f>
        <v>313</v>
      </c>
      <c r="O83" s="614">
        <v>0</v>
      </c>
      <c r="P83" s="610">
        <f>VLOOKUP($D83,PID_from_BP!$B:$I,4,0)</f>
        <v>0</v>
      </c>
      <c r="Q83" s="614">
        <v>147.006977013604</v>
      </c>
      <c r="R83" s="555"/>
      <c r="S83" s="853">
        <v>1</v>
      </c>
      <c r="T83" s="460">
        <v>1</v>
      </c>
      <c r="U83" s="853">
        <v>1</v>
      </c>
      <c r="V83" s="460">
        <v>1</v>
      </c>
      <c r="W83" s="853">
        <v>400</v>
      </c>
      <c r="X83" s="772">
        <f>VLOOKUP($D83,PID_TUNING_from_BP!$D:$T,9,0)</f>
        <v>400</v>
      </c>
      <c r="Y83" s="853">
        <v>0.1</v>
      </c>
      <c r="Z83" s="772">
        <f>VLOOKUP($D83,PID_TUNING_from_BP!$D:$T,10,0)</f>
        <v>0.1</v>
      </c>
    </row>
    <row r="84" spans="1:26" s="514" customFormat="1">
      <c r="A84" s="519" t="s">
        <v>5377</v>
      </c>
      <c r="B84" s="520"/>
      <c r="C84" s="909"/>
      <c r="D84" s="522" t="s">
        <v>5165</v>
      </c>
      <c r="E84" s="609"/>
      <c r="F84" s="556" t="s">
        <v>5165</v>
      </c>
      <c r="G84" s="981" t="s">
        <v>10878</v>
      </c>
      <c r="H84" s="610" t="str">
        <f>VLOOKUP($D84,PID_from_BP!$B:$I,2,0)</f>
        <v>CDU HEATER HZ2101 PASS 4</v>
      </c>
      <c r="I84" s="981" t="s">
        <v>10878</v>
      </c>
      <c r="J84" s="765" t="str">
        <f>VLOOKUP($D84,PID_from_BP!$B:$I,2,0)</f>
        <v>CDU HEATER HZ2101 PASS 4</v>
      </c>
      <c r="K84" s="981" t="s">
        <v>10983</v>
      </c>
      <c r="L84" s="610" t="str">
        <f>VLOOKUP($D84,PID_from_BP!$B:$I,5,0)</f>
        <v>M3/H</v>
      </c>
      <c r="M84" s="614">
        <v>313</v>
      </c>
      <c r="N84" s="610">
        <f>VLOOKUP($D84,PID_from_BP!$B:$I,3,0)</f>
        <v>313</v>
      </c>
      <c r="O84" s="614">
        <v>0</v>
      </c>
      <c r="P84" s="610">
        <f>VLOOKUP($D84,PID_from_BP!$B:$I,4,0)</f>
        <v>0</v>
      </c>
      <c r="Q84" s="614">
        <v>147.006977013605</v>
      </c>
      <c r="R84" s="555"/>
      <c r="S84" s="853">
        <v>1</v>
      </c>
      <c r="T84" s="460">
        <v>1</v>
      </c>
      <c r="U84" s="853">
        <v>1</v>
      </c>
      <c r="V84" s="460">
        <v>1</v>
      </c>
      <c r="W84" s="853">
        <v>400</v>
      </c>
      <c r="X84" s="772">
        <f>VLOOKUP($D84,PID_TUNING_from_BP!$D:$T,9,0)</f>
        <v>400</v>
      </c>
      <c r="Y84" s="853">
        <v>0.1</v>
      </c>
      <c r="Z84" s="772">
        <f>VLOOKUP($D84,PID_TUNING_from_BP!$D:$T,10,0)</f>
        <v>0.1</v>
      </c>
    </row>
    <row r="85" spans="1:26" s="514" customFormat="1">
      <c r="A85" s="519" t="s">
        <v>5377</v>
      </c>
      <c r="B85" s="520"/>
      <c r="C85" s="909"/>
      <c r="D85" s="522" t="s">
        <v>5167</v>
      </c>
      <c r="E85" s="609"/>
      <c r="F85" s="556" t="s">
        <v>5167</v>
      </c>
      <c r="G85" s="981" t="s">
        <v>10879</v>
      </c>
      <c r="H85" s="610" t="str">
        <f>VLOOKUP($D85,PID_from_BP!$B:$I,2,0)</f>
        <v>CDU HEATER HZ2101 PASS 5</v>
      </c>
      <c r="I85" s="981" t="s">
        <v>10879</v>
      </c>
      <c r="J85" s="765" t="str">
        <f>VLOOKUP($D85,PID_from_BP!$B:$I,2,0)</f>
        <v>CDU HEATER HZ2101 PASS 5</v>
      </c>
      <c r="K85" s="981" t="s">
        <v>10983</v>
      </c>
      <c r="L85" s="610" t="str">
        <f>VLOOKUP($D85,PID_from_BP!$B:$I,5,0)</f>
        <v>M3/H</v>
      </c>
      <c r="M85" s="614">
        <v>313</v>
      </c>
      <c r="N85" s="610">
        <f>VLOOKUP($D85,PID_from_BP!$B:$I,3,0)</f>
        <v>313</v>
      </c>
      <c r="O85" s="614">
        <v>0</v>
      </c>
      <c r="P85" s="610">
        <f>VLOOKUP($D85,PID_from_BP!$B:$I,4,0)</f>
        <v>0</v>
      </c>
      <c r="Q85" s="614">
        <v>147.00697701360599</v>
      </c>
      <c r="R85" s="555"/>
      <c r="S85" s="853">
        <v>1</v>
      </c>
      <c r="T85" s="460">
        <v>1</v>
      </c>
      <c r="U85" s="853">
        <v>1</v>
      </c>
      <c r="V85" s="460">
        <v>1</v>
      </c>
      <c r="W85" s="853">
        <v>400</v>
      </c>
      <c r="X85" s="772">
        <f>VLOOKUP($D85,PID_TUNING_from_BP!$D:$T,9,0)</f>
        <v>400</v>
      </c>
      <c r="Y85" s="853">
        <v>0.1</v>
      </c>
      <c r="Z85" s="772">
        <f>VLOOKUP($D85,PID_TUNING_from_BP!$D:$T,10,0)</f>
        <v>0.1</v>
      </c>
    </row>
    <row r="86" spans="1:26" s="514" customFormat="1">
      <c r="A86" s="519" t="s">
        <v>5377</v>
      </c>
      <c r="B86" s="520"/>
      <c r="C86" s="909"/>
      <c r="D86" s="522" t="s">
        <v>5169</v>
      </c>
      <c r="E86" s="609"/>
      <c r="F86" s="556" t="s">
        <v>5169</v>
      </c>
      <c r="G86" s="981" t="s">
        <v>10880</v>
      </c>
      <c r="H86" s="610" t="str">
        <f>VLOOKUP($D86,PID_from_BP!$B:$I,2,0)</f>
        <v>CDU HEATER HZ2101 PASS 6</v>
      </c>
      <c r="I86" s="981" t="s">
        <v>10880</v>
      </c>
      <c r="J86" s="765" t="str">
        <f>VLOOKUP($D86,PID_from_BP!$B:$I,2,0)</f>
        <v>CDU HEATER HZ2101 PASS 6</v>
      </c>
      <c r="K86" s="981" t="s">
        <v>10983</v>
      </c>
      <c r="L86" s="610" t="str">
        <f>VLOOKUP($D86,PID_from_BP!$B:$I,5,0)</f>
        <v>M3/H</v>
      </c>
      <c r="M86" s="614">
        <v>313</v>
      </c>
      <c r="N86" s="610">
        <f>VLOOKUP($D86,PID_from_BP!$B:$I,3,0)</f>
        <v>313</v>
      </c>
      <c r="O86" s="614">
        <v>0</v>
      </c>
      <c r="P86" s="610">
        <f>VLOOKUP($D86,PID_from_BP!$B:$I,4,0)</f>
        <v>0</v>
      </c>
      <c r="Q86" s="614">
        <v>147.006977013604</v>
      </c>
      <c r="R86" s="555"/>
      <c r="S86" s="853">
        <v>1</v>
      </c>
      <c r="T86" s="460">
        <v>1</v>
      </c>
      <c r="U86" s="853">
        <v>1</v>
      </c>
      <c r="V86" s="460">
        <v>1</v>
      </c>
      <c r="W86" s="853">
        <v>400</v>
      </c>
      <c r="X86" s="772">
        <f>VLOOKUP($D86,PID_TUNING_from_BP!$D:$T,9,0)</f>
        <v>400</v>
      </c>
      <c r="Y86" s="853">
        <v>0.1</v>
      </c>
      <c r="Z86" s="772">
        <f>VLOOKUP($D86,PID_TUNING_from_BP!$D:$T,10,0)</f>
        <v>0.1</v>
      </c>
    </row>
    <row r="87" spans="1:26" s="514" customFormat="1">
      <c r="A87" s="519" t="s">
        <v>5377</v>
      </c>
      <c r="B87" s="520"/>
      <c r="C87" s="909"/>
      <c r="D87" s="522" t="s">
        <v>5171</v>
      </c>
      <c r="E87" s="609"/>
      <c r="F87" s="556" t="s">
        <v>5171</v>
      </c>
      <c r="G87" s="981" t="s">
        <v>10881</v>
      </c>
      <c r="H87" s="610" t="str">
        <f>VLOOKUP($D87,PID_from_BP!$B:$I,2,0)</f>
        <v>CDU HEATER HZ2101 PASS 7</v>
      </c>
      <c r="I87" s="981" t="s">
        <v>10881</v>
      </c>
      <c r="J87" s="765" t="str">
        <f>VLOOKUP($D87,PID_from_BP!$B:$I,2,0)</f>
        <v>CDU HEATER HZ2101 PASS 7</v>
      </c>
      <c r="K87" s="981" t="s">
        <v>10983</v>
      </c>
      <c r="L87" s="610" t="str">
        <f>VLOOKUP($D87,PID_from_BP!$B:$I,5,0)</f>
        <v>M3/H</v>
      </c>
      <c r="M87" s="614">
        <v>313</v>
      </c>
      <c r="N87" s="610">
        <f>VLOOKUP($D87,PID_from_BP!$B:$I,3,0)</f>
        <v>313</v>
      </c>
      <c r="O87" s="614">
        <v>0</v>
      </c>
      <c r="P87" s="610">
        <f>VLOOKUP($D87,PID_from_BP!$B:$I,4,0)</f>
        <v>0</v>
      </c>
      <c r="Q87" s="614">
        <v>147.00697701438901</v>
      </c>
      <c r="R87" s="555"/>
      <c r="S87" s="853">
        <v>1</v>
      </c>
      <c r="T87" s="460">
        <v>1</v>
      </c>
      <c r="U87" s="853">
        <v>1</v>
      </c>
      <c r="V87" s="460">
        <v>1</v>
      </c>
      <c r="W87" s="853">
        <v>400</v>
      </c>
      <c r="X87" s="772">
        <f>VLOOKUP($D87,PID_TUNING_from_BP!$D:$T,9,0)</f>
        <v>400</v>
      </c>
      <c r="Y87" s="853">
        <v>0.1</v>
      </c>
      <c r="Z87" s="772">
        <f>VLOOKUP($D87,PID_TUNING_from_BP!$D:$T,10,0)</f>
        <v>0.1</v>
      </c>
    </row>
    <row r="88" spans="1:26" s="514" customFormat="1">
      <c r="A88" s="519" t="s">
        <v>5377</v>
      </c>
      <c r="B88" s="520"/>
      <c r="C88" s="909"/>
      <c r="D88" s="522" t="s">
        <v>5173</v>
      </c>
      <c r="E88" s="609"/>
      <c r="F88" s="556" t="s">
        <v>5173</v>
      </c>
      <c r="G88" s="981" t="s">
        <v>10882</v>
      </c>
      <c r="H88" s="555" t="str">
        <f>VLOOKUP($D88,PID_from_BP!$B:$I,2,0)</f>
        <v>CDU HEATER HZ2101 PASS 8</v>
      </c>
      <c r="I88" s="981" t="s">
        <v>10882</v>
      </c>
      <c r="J88" s="765" t="str">
        <f>VLOOKUP($D88,PID_from_BP!$B:$I,2,0)</f>
        <v>CDU HEATER HZ2101 PASS 8</v>
      </c>
      <c r="K88" s="981" t="s">
        <v>10983</v>
      </c>
      <c r="L88" s="555" t="str">
        <f>VLOOKUP($D88,PID_from_BP!$B:$I,5,0)</f>
        <v>M3/H</v>
      </c>
      <c r="M88" s="570">
        <v>313</v>
      </c>
      <c r="N88" s="555">
        <f>VLOOKUP($D88,PID_from_BP!$B:$I,3,0)</f>
        <v>313</v>
      </c>
      <c r="O88" s="570">
        <v>0</v>
      </c>
      <c r="P88" s="555">
        <f>VLOOKUP($D88,PID_from_BP!$B:$I,4,0)</f>
        <v>0</v>
      </c>
      <c r="Q88" s="570">
        <v>147.00697701496301</v>
      </c>
      <c r="R88" s="555"/>
      <c r="S88" s="853">
        <v>1</v>
      </c>
      <c r="T88" s="460">
        <v>1</v>
      </c>
      <c r="U88" s="853">
        <v>1</v>
      </c>
      <c r="V88" s="460">
        <v>1</v>
      </c>
      <c r="W88" s="853">
        <v>400</v>
      </c>
      <c r="X88" s="772">
        <f>VLOOKUP($D88,PID_TUNING_from_BP!$D:$T,9,0)</f>
        <v>400</v>
      </c>
      <c r="Y88" s="853">
        <v>0.1</v>
      </c>
      <c r="Z88" s="772">
        <f>VLOOKUP($D88,PID_TUNING_from_BP!$D:$T,10,0)</f>
        <v>0.1</v>
      </c>
    </row>
    <row r="89" spans="1:26" s="514" customFormat="1">
      <c r="A89" s="519" t="s">
        <v>5377</v>
      </c>
      <c r="B89" s="520"/>
      <c r="C89" s="909"/>
      <c r="D89" s="522" t="s">
        <v>5124</v>
      </c>
      <c r="E89" s="609"/>
      <c r="F89" s="556" t="s">
        <v>5124</v>
      </c>
      <c r="G89" s="981" t="s">
        <v>10923</v>
      </c>
      <c r="H89" s="555" t="str">
        <f>VLOOKUP($D89,PID_from_BP!$B:$I,2,0)</f>
        <v>WATER TO CRUDE EZ2101</v>
      </c>
      <c r="I89" s="981" t="s">
        <v>10923</v>
      </c>
      <c r="J89" s="765" t="str">
        <f>VLOOKUP($D89,PID_from_BP!$B:$I,2,0)</f>
        <v>WATER TO CRUDE EZ2101</v>
      </c>
      <c r="K89" s="981" t="s">
        <v>10983</v>
      </c>
      <c r="L89" s="555" t="str">
        <f>VLOOKUP($D89,PID_from_BP!$B:$I,5,0)</f>
        <v>M3/H</v>
      </c>
      <c r="M89" s="570">
        <v>31.6</v>
      </c>
      <c r="N89" s="555">
        <f>VLOOKUP($D89,PID_from_BP!$B:$I,3,0)</f>
        <v>31.6</v>
      </c>
      <c r="O89" s="570">
        <v>0</v>
      </c>
      <c r="P89" s="555">
        <f>VLOOKUP($D89,PID_from_BP!$B:$I,4,0)</f>
        <v>0</v>
      </c>
      <c r="Q89" s="570">
        <v>0</v>
      </c>
      <c r="R89" s="555"/>
      <c r="S89" s="853">
        <v>1</v>
      </c>
      <c r="T89" s="460">
        <v>1</v>
      </c>
      <c r="U89" s="853">
        <v>1</v>
      </c>
      <c r="V89" s="460">
        <v>1</v>
      </c>
      <c r="W89" s="853">
        <v>800</v>
      </c>
      <c r="X89" s="772">
        <f>VLOOKUP($D89,PID_TUNING_from_BP!$D:$T,9,0)</f>
        <v>800</v>
      </c>
      <c r="Y89" s="853">
        <v>3</v>
      </c>
      <c r="Z89" s="772">
        <f>VLOOKUP($D89,PID_TUNING_from_BP!$D:$T,10,0)</f>
        <v>3</v>
      </c>
    </row>
    <row r="90" spans="1:26" s="514" customFormat="1">
      <c r="A90" s="519" t="s">
        <v>5790</v>
      </c>
      <c r="B90" s="520"/>
      <c r="C90" s="909"/>
      <c r="D90" s="522" t="s">
        <v>5301</v>
      </c>
      <c r="E90" s="609"/>
      <c r="F90" s="556" t="s">
        <v>5973</v>
      </c>
      <c r="G90" s="981" t="s">
        <v>10924</v>
      </c>
      <c r="H90" s="610" t="str">
        <f>VLOOKUP($D90,PID_from_BP!$B:$I,2,0)</f>
        <v>SPLITTER HEATER PASS 1</v>
      </c>
      <c r="I90" s="981" t="s">
        <v>10924</v>
      </c>
      <c r="J90" s="765" t="str">
        <f>VLOOKUP($D90,PID_from_BP!$B:$I,2,0)</f>
        <v>SPLITTER HEATER PASS 1</v>
      </c>
      <c r="K90" s="981" t="s">
        <v>10983</v>
      </c>
      <c r="L90" s="610" t="str">
        <f>VLOOKUP($D90,PID_from_BP!$B:$I,5,0)</f>
        <v>M3/H</v>
      </c>
      <c r="M90" s="614">
        <v>152</v>
      </c>
      <c r="N90" s="610">
        <f>VLOOKUP($D90,PID_from_BP!$B:$I,3,0)</f>
        <v>152</v>
      </c>
      <c r="O90" s="614">
        <v>0</v>
      </c>
      <c r="P90" s="610">
        <f>VLOOKUP($D90,PID_from_BP!$B:$I,4,0)</f>
        <v>0</v>
      </c>
      <c r="Q90" s="570">
        <v>103.23836493532001</v>
      </c>
      <c r="R90" s="555"/>
      <c r="S90" s="853">
        <v>1</v>
      </c>
      <c r="T90" s="460">
        <v>1</v>
      </c>
      <c r="U90" s="853">
        <v>1</v>
      </c>
      <c r="V90" s="460">
        <v>1</v>
      </c>
      <c r="W90" s="853">
        <v>600</v>
      </c>
      <c r="X90" s="772">
        <f>VLOOKUP($D90,PID_TUNING_from_BP!$D:$T,9,0)</f>
        <v>600</v>
      </c>
      <c r="Y90" s="853">
        <v>0.3</v>
      </c>
      <c r="Z90" s="772">
        <f>VLOOKUP($D90,PID_TUNING_from_BP!$D:$T,10,0)</f>
        <v>0.3</v>
      </c>
    </row>
    <row r="91" spans="1:26" s="514" customFormat="1">
      <c r="A91" s="519" t="s">
        <v>8699</v>
      </c>
      <c r="B91" s="520"/>
      <c r="C91" s="909"/>
      <c r="D91" s="522" t="s">
        <v>5303</v>
      </c>
      <c r="E91" s="609"/>
      <c r="F91" s="556" t="s">
        <v>8703</v>
      </c>
      <c r="G91" s="981" t="s">
        <v>10925</v>
      </c>
      <c r="H91" s="610" t="str">
        <f>VLOOKUP($D91,PID_from_BP!$B:$I,2,0)</f>
        <v>SPLITTER HEATER PASS 2</v>
      </c>
      <c r="I91" s="981" t="s">
        <v>10925</v>
      </c>
      <c r="J91" s="765" t="str">
        <f>VLOOKUP($D91,PID_from_BP!$B:$I,2,0)</f>
        <v>SPLITTER HEATER PASS 2</v>
      </c>
      <c r="K91" s="981" t="s">
        <v>10983</v>
      </c>
      <c r="L91" s="610" t="str">
        <f>VLOOKUP($D91,PID_from_BP!$B:$I,5,0)</f>
        <v>M3/H</v>
      </c>
      <c r="M91" s="614">
        <v>152</v>
      </c>
      <c r="N91" s="610">
        <f>VLOOKUP($D91,PID_from_BP!$B:$I,3,0)</f>
        <v>152</v>
      </c>
      <c r="O91" s="614">
        <v>0</v>
      </c>
      <c r="P91" s="610">
        <f>VLOOKUP($D91,PID_from_BP!$B:$I,4,0)</f>
        <v>0</v>
      </c>
      <c r="Q91" s="570">
        <v>103.238364930671</v>
      </c>
      <c r="R91" s="555"/>
      <c r="S91" s="853">
        <v>1</v>
      </c>
      <c r="T91" s="460">
        <v>1</v>
      </c>
      <c r="U91" s="853">
        <v>1</v>
      </c>
      <c r="V91" s="460">
        <v>1</v>
      </c>
      <c r="W91" s="853">
        <v>600</v>
      </c>
      <c r="X91" s="772">
        <f>VLOOKUP($D91,PID_TUNING_from_BP!$D:$T,9,0)</f>
        <v>600</v>
      </c>
      <c r="Y91" s="853">
        <v>0.3</v>
      </c>
      <c r="Z91" s="772">
        <f>VLOOKUP($D91,PID_TUNING_from_BP!$D:$T,10,0)</f>
        <v>0.3</v>
      </c>
    </row>
    <row r="92" spans="1:26" s="514" customFormat="1">
      <c r="A92" s="519" t="s">
        <v>5377</v>
      </c>
      <c r="B92" s="520"/>
      <c r="C92" s="909"/>
      <c r="D92" s="522" t="s">
        <v>5305</v>
      </c>
      <c r="E92" s="609"/>
      <c r="F92" s="556" t="s">
        <v>8704</v>
      </c>
      <c r="G92" s="981" t="s">
        <v>10926</v>
      </c>
      <c r="H92" s="610" t="str">
        <f>VLOOKUP($D92,PID_from_BP!$B:$I,2,0)</f>
        <v>SPLITTER HEATER PASS 3</v>
      </c>
      <c r="I92" s="981" t="s">
        <v>10926</v>
      </c>
      <c r="J92" s="765" t="str">
        <f>VLOOKUP($D92,PID_from_BP!$B:$I,2,0)</f>
        <v>SPLITTER HEATER PASS 3</v>
      </c>
      <c r="K92" s="981" t="s">
        <v>10983</v>
      </c>
      <c r="L92" s="610" t="str">
        <f>VLOOKUP($D92,PID_from_BP!$B:$I,5,0)</f>
        <v>M3/H</v>
      </c>
      <c r="M92" s="614">
        <v>152</v>
      </c>
      <c r="N92" s="610">
        <f>VLOOKUP($D92,PID_from_BP!$B:$I,3,0)</f>
        <v>152</v>
      </c>
      <c r="O92" s="614">
        <v>0</v>
      </c>
      <c r="P92" s="610">
        <f>VLOOKUP($D92,PID_from_BP!$B:$I,4,0)</f>
        <v>0</v>
      </c>
      <c r="Q92" s="570">
        <v>103.23836492947299</v>
      </c>
      <c r="R92" s="555"/>
      <c r="S92" s="853">
        <v>1</v>
      </c>
      <c r="T92" s="460">
        <v>1</v>
      </c>
      <c r="U92" s="853">
        <v>1</v>
      </c>
      <c r="V92" s="460">
        <v>1</v>
      </c>
      <c r="W92" s="853">
        <v>600</v>
      </c>
      <c r="X92" s="772">
        <f>VLOOKUP($D92,PID_TUNING_from_BP!$D:$T,9,0)</f>
        <v>600</v>
      </c>
      <c r="Y92" s="853">
        <v>0.3</v>
      </c>
      <c r="Z92" s="772">
        <f>VLOOKUP($D92,PID_TUNING_from_BP!$D:$T,10,0)</f>
        <v>0.3</v>
      </c>
    </row>
    <row r="93" spans="1:26" s="514" customFormat="1">
      <c r="A93" s="519" t="s">
        <v>5377</v>
      </c>
      <c r="B93" s="520"/>
      <c r="C93" s="909"/>
      <c r="D93" s="522" t="s">
        <v>5307</v>
      </c>
      <c r="E93" s="609"/>
      <c r="F93" s="556" t="s">
        <v>5307</v>
      </c>
      <c r="G93" s="981" t="s">
        <v>10927</v>
      </c>
      <c r="H93" s="610" t="str">
        <f>VLOOKUP($D93,PID_from_BP!$B:$I,2,0)</f>
        <v>SPLITTER HEATER PASS 4</v>
      </c>
      <c r="I93" s="981" t="s">
        <v>10927</v>
      </c>
      <c r="J93" s="765" t="str">
        <f>VLOOKUP($D93,PID_from_BP!$B:$I,2,0)</f>
        <v>SPLITTER HEATER PASS 4</v>
      </c>
      <c r="K93" s="981" t="s">
        <v>10983</v>
      </c>
      <c r="L93" s="610" t="str">
        <f>VLOOKUP($D93,PID_from_BP!$B:$I,5,0)</f>
        <v>M3/H</v>
      </c>
      <c r="M93" s="614">
        <v>152</v>
      </c>
      <c r="N93" s="610">
        <f>VLOOKUP($D93,PID_from_BP!$B:$I,3,0)</f>
        <v>152</v>
      </c>
      <c r="O93" s="614">
        <v>0</v>
      </c>
      <c r="P93" s="610">
        <f>VLOOKUP($D93,PID_from_BP!$B:$I,4,0)</f>
        <v>0</v>
      </c>
      <c r="Q93" s="570">
        <v>103.238364929431</v>
      </c>
      <c r="R93" s="555"/>
      <c r="S93" s="853">
        <v>1</v>
      </c>
      <c r="T93" s="460">
        <v>1</v>
      </c>
      <c r="U93" s="853">
        <v>1</v>
      </c>
      <c r="V93" s="460">
        <v>1</v>
      </c>
      <c r="W93" s="853">
        <v>600</v>
      </c>
      <c r="X93" s="772">
        <f>VLOOKUP($D93,PID_TUNING_from_BP!$D:$T,9,0)</f>
        <v>600</v>
      </c>
      <c r="Y93" s="853">
        <v>0.3</v>
      </c>
      <c r="Z93" s="772">
        <f>VLOOKUP($D93,PID_TUNING_from_BP!$D:$T,10,0)</f>
        <v>0.3</v>
      </c>
    </row>
    <row r="94" spans="1:26" s="514" customFormat="1">
      <c r="A94" s="519" t="s">
        <v>5377</v>
      </c>
      <c r="B94" s="520"/>
      <c r="C94" s="909"/>
      <c r="D94" s="522" t="s">
        <v>5309</v>
      </c>
      <c r="E94" s="609"/>
      <c r="F94" s="556" t="s">
        <v>5309</v>
      </c>
      <c r="G94" s="981" t="s">
        <v>10928</v>
      </c>
      <c r="H94" s="610" t="str">
        <f>VLOOKUP($D94,PID_from_BP!$B:$I,2,0)</f>
        <v>SPLITTER HEATER PASS 5</v>
      </c>
      <c r="I94" s="981" t="s">
        <v>10928</v>
      </c>
      <c r="J94" s="765" t="str">
        <f>VLOOKUP($D94,PID_from_BP!$B:$I,2,0)</f>
        <v>SPLITTER HEATER PASS 5</v>
      </c>
      <c r="K94" s="981" t="s">
        <v>10983</v>
      </c>
      <c r="L94" s="610" t="str">
        <f>VLOOKUP($D94,PID_from_BP!$B:$I,5,0)</f>
        <v>M3/H</v>
      </c>
      <c r="M94" s="614">
        <v>152</v>
      </c>
      <c r="N94" s="610">
        <f>VLOOKUP($D94,PID_from_BP!$B:$I,3,0)</f>
        <v>152</v>
      </c>
      <c r="O94" s="614">
        <v>0</v>
      </c>
      <c r="P94" s="610">
        <f>VLOOKUP($D94,PID_from_BP!$B:$I,4,0)</f>
        <v>0</v>
      </c>
      <c r="Q94" s="570">
        <v>103.238364934035</v>
      </c>
      <c r="R94" s="555"/>
      <c r="S94" s="853">
        <v>1</v>
      </c>
      <c r="T94" s="460">
        <v>1</v>
      </c>
      <c r="U94" s="853">
        <v>1</v>
      </c>
      <c r="V94" s="460">
        <v>1</v>
      </c>
      <c r="W94" s="853">
        <v>600</v>
      </c>
      <c r="X94" s="772">
        <f>VLOOKUP($D94,PID_TUNING_from_BP!$D:$T,9,0)</f>
        <v>600</v>
      </c>
      <c r="Y94" s="853">
        <v>0.3</v>
      </c>
      <c r="Z94" s="772">
        <f>VLOOKUP($D94,PID_TUNING_from_BP!$D:$T,10,0)</f>
        <v>0.3</v>
      </c>
    </row>
    <row r="95" spans="1:26" s="514" customFormat="1">
      <c r="A95" s="519" t="s">
        <v>5377</v>
      </c>
      <c r="B95" s="520"/>
      <c r="C95" s="909"/>
      <c r="D95" s="522" t="s">
        <v>5311</v>
      </c>
      <c r="E95" s="609"/>
      <c r="F95" s="556" t="s">
        <v>5311</v>
      </c>
      <c r="G95" s="981" t="s">
        <v>10929</v>
      </c>
      <c r="H95" s="610" t="str">
        <f>VLOOKUP($D95,PID_from_BP!$B:$I,2,0)</f>
        <v>SPLITTER HEATER PASS 6</v>
      </c>
      <c r="I95" s="981" t="s">
        <v>10929</v>
      </c>
      <c r="J95" s="765" t="str">
        <f>VLOOKUP($D95,PID_from_BP!$B:$I,2,0)</f>
        <v>SPLITTER HEATER PASS 6</v>
      </c>
      <c r="K95" s="981" t="s">
        <v>10983</v>
      </c>
      <c r="L95" s="610" t="str">
        <f>VLOOKUP($D95,PID_from_BP!$B:$I,5,0)</f>
        <v>M3/H</v>
      </c>
      <c r="M95" s="614">
        <v>152</v>
      </c>
      <c r="N95" s="610">
        <f>VLOOKUP($D95,PID_from_BP!$B:$I,3,0)</f>
        <v>152</v>
      </c>
      <c r="O95" s="614">
        <v>0</v>
      </c>
      <c r="P95" s="610">
        <f>VLOOKUP($D95,PID_from_BP!$B:$I,4,0)</f>
        <v>0</v>
      </c>
      <c r="Q95" s="570">
        <v>103.238364934141</v>
      </c>
      <c r="R95" s="555"/>
      <c r="S95" s="853">
        <v>1</v>
      </c>
      <c r="T95" s="460">
        <v>1</v>
      </c>
      <c r="U95" s="853">
        <v>1</v>
      </c>
      <c r="V95" s="460">
        <v>1</v>
      </c>
      <c r="W95" s="853">
        <v>600</v>
      </c>
      <c r="X95" s="772">
        <f>VLOOKUP($D95,PID_TUNING_from_BP!$D:$T,9,0)</f>
        <v>600</v>
      </c>
      <c r="Y95" s="853">
        <v>0.3</v>
      </c>
      <c r="Z95" s="772">
        <f>VLOOKUP($D95,PID_TUNING_from_BP!$D:$T,10,0)</f>
        <v>0.3</v>
      </c>
    </row>
    <row r="96" spans="1:26" s="514" customFormat="1">
      <c r="A96" s="519" t="s">
        <v>5377</v>
      </c>
      <c r="B96" s="520"/>
      <c r="C96" s="909"/>
      <c r="D96" s="522" t="s">
        <v>5313</v>
      </c>
      <c r="E96" s="609"/>
      <c r="F96" s="556" t="s">
        <v>5313</v>
      </c>
      <c r="G96" s="981" t="s">
        <v>10930</v>
      </c>
      <c r="H96" s="610" t="str">
        <f>VLOOKUP($D96,PID_from_BP!$B:$I,2,0)</f>
        <v>SPLITTER HEATER PASS 7</v>
      </c>
      <c r="I96" s="981" t="s">
        <v>10930</v>
      </c>
      <c r="J96" s="765" t="str">
        <f>VLOOKUP($D96,PID_from_BP!$B:$I,2,0)</f>
        <v>SPLITTER HEATER PASS 7</v>
      </c>
      <c r="K96" s="981" t="s">
        <v>10983</v>
      </c>
      <c r="L96" s="610" t="str">
        <f>VLOOKUP($D96,PID_from_BP!$B:$I,5,0)</f>
        <v>M3/H</v>
      </c>
      <c r="M96" s="614">
        <v>152</v>
      </c>
      <c r="N96" s="610">
        <f>VLOOKUP($D96,PID_from_BP!$B:$I,3,0)</f>
        <v>152</v>
      </c>
      <c r="O96" s="614">
        <v>0</v>
      </c>
      <c r="P96" s="610">
        <f>VLOOKUP($D96,PID_from_BP!$B:$I,4,0)</f>
        <v>0</v>
      </c>
      <c r="Q96" s="570">
        <v>103.238364929361</v>
      </c>
      <c r="R96" s="555"/>
      <c r="S96" s="853">
        <v>1</v>
      </c>
      <c r="T96" s="460">
        <v>1</v>
      </c>
      <c r="U96" s="853">
        <v>1</v>
      </c>
      <c r="V96" s="460">
        <v>1</v>
      </c>
      <c r="W96" s="853">
        <v>600</v>
      </c>
      <c r="X96" s="772">
        <f>VLOOKUP($D96,PID_TUNING_from_BP!$D:$T,9,0)</f>
        <v>600</v>
      </c>
      <c r="Y96" s="853">
        <v>0.3</v>
      </c>
      <c r="Z96" s="772">
        <f>VLOOKUP($D96,PID_TUNING_from_BP!$D:$T,10,0)</f>
        <v>0.3</v>
      </c>
    </row>
    <row r="97" spans="1:26" s="514" customFormat="1">
      <c r="A97" s="519" t="s">
        <v>5377</v>
      </c>
      <c r="B97" s="520"/>
      <c r="C97" s="909"/>
      <c r="D97" s="522" t="s">
        <v>5315</v>
      </c>
      <c r="E97" s="609"/>
      <c r="F97" s="556" t="s">
        <v>5315</v>
      </c>
      <c r="G97" s="981" t="s">
        <v>10931</v>
      </c>
      <c r="H97" s="610" t="str">
        <f>VLOOKUP($D97,PID_from_BP!$B:$I,2,0)</f>
        <v>SPLITTER HEATER PASS 8</v>
      </c>
      <c r="I97" s="981" t="s">
        <v>10931</v>
      </c>
      <c r="J97" s="765" t="str">
        <f>VLOOKUP($D97,PID_from_BP!$B:$I,2,0)</f>
        <v>SPLITTER HEATER PASS 8</v>
      </c>
      <c r="K97" s="981" t="s">
        <v>10983</v>
      </c>
      <c r="L97" s="610" t="str">
        <f>VLOOKUP($D97,PID_from_BP!$B:$I,5,0)</f>
        <v>M3/H</v>
      </c>
      <c r="M97" s="614">
        <v>152</v>
      </c>
      <c r="N97" s="610">
        <f>VLOOKUP($D97,PID_from_BP!$B:$I,3,0)</f>
        <v>152</v>
      </c>
      <c r="O97" s="614">
        <v>0</v>
      </c>
      <c r="P97" s="610">
        <f>VLOOKUP($D97,PID_from_BP!$B:$I,4,0)</f>
        <v>0</v>
      </c>
      <c r="Q97" s="570">
        <v>103.238364929361</v>
      </c>
      <c r="R97" s="555"/>
      <c r="S97" s="853">
        <v>1</v>
      </c>
      <c r="T97" s="460">
        <v>1</v>
      </c>
      <c r="U97" s="853">
        <v>1</v>
      </c>
      <c r="V97" s="460">
        <v>1</v>
      </c>
      <c r="W97" s="853">
        <v>600</v>
      </c>
      <c r="X97" s="772">
        <f>VLOOKUP($D97,PID_TUNING_from_BP!$D:$T,9,0)</f>
        <v>600</v>
      </c>
      <c r="Y97" s="853">
        <v>0.3</v>
      </c>
      <c r="Z97" s="772">
        <f>VLOOKUP($D97,PID_TUNING_from_BP!$D:$T,10,0)</f>
        <v>0.3</v>
      </c>
    </row>
    <row r="98" spans="1:26" s="514" customFormat="1">
      <c r="A98" s="519" t="s">
        <v>5377</v>
      </c>
      <c r="B98" s="520"/>
      <c r="C98" s="909"/>
      <c r="D98" s="522" t="s">
        <v>733</v>
      </c>
      <c r="E98" s="609"/>
      <c r="F98" s="556" t="s">
        <v>733</v>
      </c>
      <c r="G98" s="981" t="s">
        <v>10872</v>
      </c>
      <c r="H98" s="610" t="str">
        <f>VLOOKUP($D98,PID_from_BP!$B:$I,2,0)</f>
        <v>RESIDUE RUNDOWN</v>
      </c>
      <c r="I98" s="981" t="s">
        <v>10872</v>
      </c>
      <c r="J98" s="765" t="str">
        <f>VLOOKUP($D98,PID_from_BP!$B:$I,2,0)</f>
        <v>RESIDUE RUNDOWN</v>
      </c>
      <c r="K98" s="981" t="s">
        <v>10983</v>
      </c>
      <c r="L98" s="610" t="str">
        <f>VLOOKUP($D98,PID_from_BP!$B:$I,5,0)</f>
        <v>M3/H</v>
      </c>
      <c r="M98" s="614">
        <v>720</v>
      </c>
      <c r="N98" s="610">
        <f>VLOOKUP($D98,PID_from_BP!$B:$I,3,0)</f>
        <v>720</v>
      </c>
      <c r="O98" s="614">
        <v>0</v>
      </c>
      <c r="P98" s="610">
        <f>VLOOKUP($D98,PID_from_BP!$B:$I,4,0)</f>
        <v>0</v>
      </c>
      <c r="Q98" s="570">
        <v>323.93355690946697</v>
      </c>
      <c r="R98" s="555"/>
      <c r="S98" s="853">
        <v>1</v>
      </c>
      <c r="T98" s="460">
        <v>1</v>
      </c>
      <c r="U98" s="853">
        <v>1</v>
      </c>
      <c r="V98" s="460">
        <v>1</v>
      </c>
      <c r="W98" s="853">
        <v>450</v>
      </c>
      <c r="X98" s="772">
        <f>VLOOKUP($D98,PID_TUNING_from_BP!$D:$T,9,0)</f>
        <v>450</v>
      </c>
      <c r="Y98" s="853">
        <v>0.3</v>
      </c>
      <c r="Z98" s="772">
        <f>VLOOKUP($D98,PID_TUNING_from_BP!$D:$T,10,0)</f>
        <v>0.3</v>
      </c>
    </row>
    <row r="99" spans="1:26" s="514" customFormat="1">
      <c r="A99" s="519" t="s">
        <v>5377</v>
      </c>
      <c r="B99" s="520"/>
      <c r="C99" s="909"/>
      <c r="D99" s="522" t="s">
        <v>5127</v>
      </c>
      <c r="E99" s="609"/>
      <c r="F99" s="556" t="s">
        <v>5127</v>
      </c>
      <c r="G99" s="981" t="s">
        <v>10873</v>
      </c>
      <c r="H99" s="610" t="str">
        <f>VLOOKUP($D99,PID_from_BP!$B:$I,2,0)</f>
        <v>CDU TOWER TOP PUMP AROUND</v>
      </c>
      <c r="I99" s="981" t="s">
        <v>10873</v>
      </c>
      <c r="J99" s="765" t="str">
        <f>VLOOKUP($D99,PID_from_BP!$B:$I,2,0)</f>
        <v>CDU TOWER TOP PUMP AROUND</v>
      </c>
      <c r="K99" s="981" t="s">
        <v>10983</v>
      </c>
      <c r="L99" s="555" t="str">
        <f>VLOOKUP($D99,PID_from_BP!$B:$I,5,0)</f>
        <v>M3/H</v>
      </c>
      <c r="M99" s="570">
        <v>1294</v>
      </c>
      <c r="N99" s="555">
        <f>VLOOKUP($D99,PID_from_BP!$B:$I,3,0)</f>
        <v>1294</v>
      </c>
      <c r="O99" s="570">
        <v>0</v>
      </c>
      <c r="P99" s="555">
        <f>VLOOKUP($D99,PID_from_BP!$B:$I,4,0)</f>
        <v>0</v>
      </c>
      <c r="Q99" s="570">
        <v>769.43632932069704</v>
      </c>
      <c r="R99" s="555"/>
      <c r="S99" s="853">
        <v>1</v>
      </c>
      <c r="T99" s="460">
        <v>1</v>
      </c>
      <c r="U99" s="853">
        <v>1</v>
      </c>
      <c r="V99" s="460">
        <v>1</v>
      </c>
      <c r="W99" s="853">
        <v>300</v>
      </c>
      <c r="X99" s="772">
        <f>VLOOKUP($D99,PID_TUNING_from_BP!$D:$T,9,0)</f>
        <v>300</v>
      </c>
      <c r="Y99" s="853">
        <v>0.2</v>
      </c>
      <c r="Z99" s="772">
        <f>VLOOKUP($D99,PID_TUNING_from_BP!$D:$T,10,0)</f>
        <v>0.2</v>
      </c>
    </row>
    <row r="100" spans="1:26" s="514" customFormat="1">
      <c r="A100" s="519" t="s">
        <v>5377</v>
      </c>
      <c r="B100" s="520"/>
      <c r="C100" s="909"/>
      <c r="D100" s="522" t="s">
        <v>5178</v>
      </c>
      <c r="E100" s="609"/>
      <c r="F100" s="556" t="s">
        <v>9077</v>
      </c>
      <c r="G100" s="981" t="s">
        <v>10910</v>
      </c>
      <c r="H100" s="555" t="str">
        <f>VLOOKUP($D100,PID_from_BP!$B:$I,2,0)</f>
        <v>HGO RUNDOWN</v>
      </c>
      <c r="I100" s="981" t="s">
        <v>10910</v>
      </c>
      <c r="J100" s="765" t="str">
        <f>VLOOKUP($D100,PID_from_BP!$B:$I,2,0)</f>
        <v>HGO RUNDOWN</v>
      </c>
      <c r="K100" s="981" t="s">
        <v>10983</v>
      </c>
      <c r="L100" s="555" t="str">
        <f>VLOOKUP($D100,PID_from_BP!$B:$I,5,0)</f>
        <v>M3/H</v>
      </c>
      <c r="M100" s="570">
        <v>171.4</v>
      </c>
      <c r="N100" s="555">
        <f>VLOOKUP($D100,PID_from_BP!$B:$I,3,0)</f>
        <v>171.4</v>
      </c>
      <c r="O100" s="570">
        <v>0</v>
      </c>
      <c r="P100" s="555">
        <f>VLOOKUP($D100,PID_from_BP!$B:$I,4,0)</f>
        <v>0</v>
      </c>
      <c r="Q100" s="570">
        <v>43.199999590456699</v>
      </c>
      <c r="R100" s="555"/>
      <c r="S100" s="853">
        <v>1</v>
      </c>
      <c r="T100" s="460">
        <v>1</v>
      </c>
      <c r="U100" s="853">
        <v>1</v>
      </c>
      <c r="V100" s="460">
        <v>1</v>
      </c>
      <c r="W100" s="853">
        <v>450</v>
      </c>
      <c r="X100" s="772">
        <f>VLOOKUP($D100,PID_TUNING_from_BP!$D:$T,9,0)</f>
        <v>450</v>
      </c>
      <c r="Y100" s="853">
        <v>0.12</v>
      </c>
      <c r="Z100" s="772">
        <f>VLOOKUP($D100,PID_TUNING_from_BP!$D:$T,10,0)</f>
        <v>0.12</v>
      </c>
    </row>
    <row r="101" spans="1:26" s="514" customFormat="1">
      <c r="A101" s="519" t="s">
        <v>5377</v>
      </c>
      <c r="B101" s="520"/>
      <c r="C101" s="909"/>
      <c r="D101" s="522" t="s">
        <v>5133</v>
      </c>
      <c r="E101" s="609"/>
      <c r="F101" s="556" t="s">
        <v>5133</v>
      </c>
      <c r="G101" s="981" t="s">
        <v>10995</v>
      </c>
      <c r="H101" s="555" t="str">
        <f>VLOOKUP($D101,PID_from_BP!$B:$I,2,0)</f>
        <v>RECYCLED RESIDUE</v>
      </c>
      <c r="I101" s="981" t="s">
        <v>10995</v>
      </c>
      <c r="J101" s="765" t="str">
        <f>VLOOKUP($D101,PID_from_BP!$B:$I,2,0)</f>
        <v>RECYCLED RESIDUE</v>
      </c>
      <c r="K101" s="981" t="s">
        <v>10983</v>
      </c>
      <c r="L101" s="555" t="str">
        <f>VLOOKUP($D101,PID_from_BP!$B:$I,5,0)</f>
        <v>M3/H</v>
      </c>
      <c r="M101" s="570">
        <v>200</v>
      </c>
      <c r="N101" s="555">
        <f>VLOOKUP($D101,PID_from_BP!$B:$I,3,0)</f>
        <v>200</v>
      </c>
      <c r="O101" s="570">
        <v>0</v>
      </c>
      <c r="P101" s="555">
        <f>VLOOKUP($D101,PID_from_BP!$B:$I,4,0)</f>
        <v>0</v>
      </c>
      <c r="Q101" s="570">
        <v>0</v>
      </c>
      <c r="R101" s="555"/>
      <c r="S101" s="853">
        <v>1</v>
      </c>
      <c r="T101" s="460">
        <v>1</v>
      </c>
      <c r="U101" s="853">
        <v>1</v>
      </c>
      <c r="V101" s="460">
        <v>1</v>
      </c>
      <c r="W101" s="853">
        <v>400</v>
      </c>
      <c r="X101" s="772">
        <f>VLOOKUP($D101,PID_TUNING_from_BP!$D:$T,9,0)</f>
        <v>400</v>
      </c>
      <c r="Y101" s="853">
        <v>0.02</v>
      </c>
      <c r="Z101" s="772">
        <f>VLOOKUP($D101,PID_TUNING_from_BP!$D:$T,10,0)</f>
        <v>0.02</v>
      </c>
    </row>
    <row r="102" spans="1:26" s="514" customFormat="1">
      <c r="A102" s="519" t="s">
        <v>5377</v>
      </c>
      <c r="B102" s="520"/>
      <c r="C102" s="909"/>
      <c r="D102" s="522" t="s">
        <v>741</v>
      </c>
      <c r="E102" s="609"/>
      <c r="F102" s="556" t="s">
        <v>741</v>
      </c>
      <c r="G102" s="981" t="s">
        <v>10884</v>
      </c>
      <c r="H102" s="555" t="str">
        <f>VLOOKUP($D102,PID_from_BP!$B:$I,2,0)</f>
        <v>STRIP STM - TZ2101 CRUDE TWR</v>
      </c>
      <c r="I102" s="981" t="s">
        <v>10884</v>
      </c>
      <c r="J102" s="765" t="str">
        <f>VLOOKUP($D102,PID_from_BP!$B:$I,2,0)</f>
        <v>STRIP STM - TZ2101 CRUDE TWR</v>
      </c>
      <c r="K102" s="981" t="s">
        <v>10984</v>
      </c>
      <c r="L102" s="555" t="str">
        <f>VLOOKUP($D102,PID_from_BP!$B:$I,5,0)</f>
        <v>T/H</v>
      </c>
      <c r="M102" s="570">
        <v>16.899999999999999</v>
      </c>
      <c r="N102" s="555">
        <f>VLOOKUP($D102,PID_from_BP!$B:$I,3,0)</f>
        <v>16.899999999999999</v>
      </c>
      <c r="O102" s="570">
        <v>0</v>
      </c>
      <c r="P102" s="555">
        <f>VLOOKUP($D102,PID_from_BP!$B:$I,4,0)</f>
        <v>0</v>
      </c>
      <c r="Q102" s="570">
        <v>5.8273397615851001</v>
      </c>
      <c r="R102" s="555"/>
      <c r="S102" s="853">
        <v>1</v>
      </c>
      <c r="T102" s="460">
        <v>1</v>
      </c>
      <c r="U102" s="853">
        <v>1</v>
      </c>
      <c r="V102" s="460">
        <v>1</v>
      </c>
      <c r="W102" s="853">
        <v>400</v>
      </c>
      <c r="X102" s="772">
        <f>VLOOKUP($D102,PID_TUNING_from_BP!$D:$T,9,0)</f>
        <v>400</v>
      </c>
      <c r="Y102" s="853">
        <v>0.25</v>
      </c>
      <c r="Z102" s="772">
        <f>VLOOKUP($D102,PID_TUNING_from_BP!$D:$T,10,0)</f>
        <v>0.25</v>
      </c>
    </row>
    <row r="103" spans="1:26" s="514" customFormat="1">
      <c r="A103" s="519" t="s">
        <v>5377</v>
      </c>
      <c r="B103" s="520"/>
      <c r="C103" s="909"/>
      <c r="D103" s="522" t="s">
        <v>746</v>
      </c>
      <c r="E103" s="609"/>
      <c r="F103" s="556" t="s">
        <v>746</v>
      </c>
      <c r="G103" s="981" t="s">
        <v>10886</v>
      </c>
      <c r="H103" s="610" t="str">
        <f>VLOOKUP($D103,PID_from_BP!$B:$I,2,0)</f>
        <v>STRIP STEAM TO T2103 HGO STRP</v>
      </c>
      <c r="I103" s="981" t="s">
        <v>10886</v>
      </c>
      <c r="J103" s="765" t="str">
        <f>VLOOKUP($D103,PID_from_BP!$B:$I,2,0)</f>
        <v>STRIP STEAM TO T2103 HGO STRP</v>
      </c>
      <c r="K103" s="981" t="s">
        <v>10984</v>
      </c>
      <c r="L103" s="610" t="str">
        <f>VLOOKUP($D103,PID_from_BP!$B:$I,5,0)</f>
        <v>T/H</v>
      </c>
      <c r="M103" s="614">
        <v>2.13</v>
      </c>
      <c r="N103" s="610">
        <f>VLOOKUP($D103,PID_from_BP!$B:$I,3,0)</f>
        <v>2.13</v>
      </c>
      <c r="O103" s="614">
        <v>0</v>
      </c>
      <c r="P103" s="610">
        <f>VLOOKUP($D103,PID_from_BP!$B:$I,4,0)</f>
        <v>0</v>
      </c>
      <c r="Q103" s="570">
        <v>0.69999884708378102</v>
      </c>
      <c r="R103" s="555"/>
      <c r="S103" s="853">
        <v>1</v>
      </c>
      <c r="T103" s="460">
        <v>1</v>
      </c>
      <c r="U103" s="853">
        <v>1</v>
      </c>
      <c r="V103" s="460">
        <v>1</v>
      </c>
      <c r="W103" s="853">
        <v>300</v>
      </c>
      <c r="X103" s="772">
        <f>VLOOKUP($D103,PID_TUNING_from_BP!$D:$T,9,0)</f>
        <v>300</v>
      </c>
      <c r="Y103" s="853">
        <v>0.6</v>
      </c>
      <c r="Z103" s="772">
        <f>VLOOKUP($D103,PID_TUNING_from_BP!$D:$T,10,0)</f>
        <v>0.6</v>
      </c>
    </row>
    <row r="104" spans="1:26" s="514" customFormat="1">
      <c r="A104" s="519" t="s">
        <v>5377</v>
      </c>
      <c r="B104" s="520"/>
      <c r="C104" s="909"/>
      <c r="D104" s="522" t="s">
        <v>5085</v>
      </c>
      <c r="E104" s="609"/>
      <c r="F104" s="556" t="s">
        <v>5085</v>
      </c>
      <c r="G104" s="981" t="s">
        <v>10932</v>
      </c>
      <c r="H104" s="610" t="str">
        <f>VLOOKUP($D104,PID_from_BP!$B:$I,2,0)</f>
        <v>TOTAL AIR TO HZ2101</v>
      </c>
      <c r="I104" s="981" t="s">
        <v>10932</v>
      </c>
      <c r="J104" s="765" t="str">
        <f>VLOOKUP($D104,PID_from_BP!$B:$I,2,0)</f>
        <v>TOTAL AIR TO HZ2101</v>
      </c>
      <c r="K104" s="981" t="s">
        <v>10984</v>
      </c>
      <c r="L104" s="610" t="str">
        <f>VLOOKUP($D104,PID_from_BP!$B:$I,5,0)</f>
        <v>T/H</v>
      </c>
      <c r="M104" s="614">
        <v>300</v>
      </c>
      <c r="N104" s="610">
        <f>VLOOKUP($D104,PID_from_BP!$B:$I,3,0)</f>
        <v>300</v>
      </c>
      <c r="O104" s="614">
        <v>0</v>
      </c>
      <c r="P104" s="610">
        <f>VLOOKUP($D104,PID_from_BP!$B:$I,4,0)</f>
        <v>0</v>
      </c>
      <c r="Q104" s="570">
        <v>250.090039300624</v>
      </c>
      <c r="R104" s="555"/>
      <c r="S104" s="853">
        <v>1</v>
      </c>
      <c r="T104" s="460">
        <v>1</v>
      </c>
      <c r="U104" s="853">
        <v>1</v>
      </c>
      <c r="V104" s="460">
        <v>1</v>
      </c>
      <c r="W104" s="853">
        <v>400</v>
      </c>
      <c r="X104" s="772">
        <f>VLOOKUP($D104,PID_TUNING_from_BP!$D:$T,9,0)</f>
        <v>400</v>
      </c>
      <c r="Y104" s="853">
        <v>0.25</v>
      </c>
      <c r="Z104" s="772">
        <f>VLOOKUP($D104,PID_TUNING_from_BP!$D:$T,10,0)</f>
        <v>0.25</v>
      </c>
    </row>
    <row r="105" spans="1:26" s="514" customFormat="1">
      <c r="A105" s="519" t="s">
        <v>5377</v>
      </c>
      <c r="B105" s="520"/>
      <c r="C105" s="909"/>
      <c r="D105" s="522" t="s">
        <v>5184</v>
      </c>
      <c r="E105" s="609"/>
      <c r="F105" s="556" t="s">
        <v>9078</v>
      </c>
      <c r="G105" s="981" t="s">
        <v>10978</v>
      </c>
      <c r="H105" s="755" t="s">
        <v>9460</v>
      </c>
      <c r="I105" s="981" t="s">
        <v>10978</v>
      </c>
      <c r="J105" s="765" t="s">
        <v>9460</v>
      </c>
      <c r="K105" s="981" t="s">
        <v>10983</v>
      </c>
      <c r="L105" s="555" t="str">
        <f>VLOOKUP($D105,PID_from_BP!$B:$I,5,0)</f>
        <v>M3/H</v>
      </c>
      <c r="M105" s="570">
        <v>401</v>
      </c>
      <c r="N105" s="555">
        <f>VLOOKUP($D105,PID_from_BP!$B:$I,3,0)</f>
        <v>401</v>
      </c>
      <c r="O105" s="570">
        <v>0</v>
      </c>
      <c r="P105" s="555">
        <f>VLOOKUP($D105,PID_from_BP!$B:$I,4,0)</f>
        <v>0</v>
      </c>
      <c r="Q105" s="570">
        <v>316.19999810768201</v>
      </c>
      <c r="R105" s="555"/>
      <c r="S105" s="853">
        <v>1</v>
      </c>
      <c r="T105" s="460">
        <v>1</v>
      </c>
      <c r="U105" s="853">
        <v>1</v>
      </c>
      <c r="V105" s="460">
        <v>1</v>
      </c>
      <c r="W105" s="853">
        <v>700</v>
      </c>
      <c r="X105" s="772">
        <f>VLOOKUP($D105,PID_TUNING_from_BP!$D:$T,9,0)</f>
        <v>700</v>
      </c>
      <c r="Y105" s="853">
        <v>9.9999989999999997E-2</v>
      </c>
      <c r="Z105" s="772">
        <f>VLOOKUP($D105,PID_TUNING_from_BP!$D:$T,10,0)</f>
        <v>9.9999989999999997E-2</v>
      </c>
    </row>
    <row r="106" spans="1:26" s="514" customFormat="1">
      <c r="A106" s="519" t="s">
        <v>5377</v>
      </c>
      <c r="B106" s="520"/>
      <c r="C106" s="909"/>
      <c r="D106" s="522" t="s">
        <v>10452</v>
      </c>
      <c r="E106" s="609"/>
      <c r="F106" s="556" t="s">
        <v>5137</v>
      </c>
      <c r="G106" s="981" t="s">
        <v>10911</v>
      </c>
      <c r="H106" s="610" t="str">
        <f>VLOOKUP($D106,PID_from_BP!$B:$I,2,0)</f>
        <v>QUENCH TO BOTTOM RINGHEADER</v>
      </c>
      <c r="I106" s="981" t="s">
        <v>10911</v>
      </c>
      <c r="J106" s="765" t="str">
        <f>VLOOKUP($D106,PID_from_BP!$B:$I,2,0)</f>
        <v>QUENCH TO BOTTOM RINGHEADER</v>
      </c>
      <c r="K106" s="981" t="s">
        <v>10983</v>
      </c>
      <c r="L106" s="610" t="str">
        <f>VLOOKUP($D106,PID_from_BP!$B:$I,5,0)</f>
        <v>M3/H</v>
      </c>
      <c r="M106" s="614">
        <v>300</v>
      </c>
      <c r="N106" s="610">
        <f>VLOOKUP($D106,PID_from_BP!$B:$I,3,0)</f>
        <v>300</v>
      </c>
      <c r="O106" s="614">
        <v>0</v>
      </c>
      <c r="P106" s="610">
        <f>VLOOKUP($D106,PID_from_BP!$B:$I,4,0)</f>
        <v>0</v>
      </c>
      <c r="Q106" s="570">
        <v>208.70054279356199</v>
      </c>
      <c r="R106" s="555"/>
      <c r="S106" s="853">
        <v>1</v>
      </c>
      <c r="T106" s="460">
        <v>1</v>
      </c>
      <c r="U106" s="853">
        <v>1</v>
      </c>
      <c r="V106" s="460">
        <v>1</v>
      </c>
      <c r="W106" s="853">
        <v>350</v>
      </c>
      <c r="X106" s="772">
        <f>VLOOKUP($D106,PID_TUNING_from_BP!$D:$T,9,0)</f>
        <v>350</v>
      </c>
      <c r="Y106" s="853">
        <v>0.15</v>
      </c>
      <c r="Z106" s="772">
        <f>VLOOKUP($D106,PID_TUNING_from_BP!$D:$T,10,0)</f>
        <v>0.15</v>
      </c>
    </row>
    <row r="107" spans="1:26" s="514" customFormat="1">
      <c r="A107" s="519" t="s">
        <v>5377</v>
      </c>
      <c r="B107" s="520"/>
      <c r="C107" s="909"/>
      <c r="D107" s="522" t="s">
        <v>5139</v>
      </c>
      <c r="E107" s="609"/>
      <c r="F107" s="556" t="s">
        <v>5139</v>
      </c>
      <c r="G107" s="981" t="s">
        <v>10885</v>
      </c>
      <c r="H107" s="610" t="str">
        <f>VLOOKUP($D107,PID_from_BP!$B:$I,2,0)</f>
        <v>STEAM TO BOTTOM RINGHEADER</v>
      </c>
      <c r="I107" s="981" t="s">
        <v>10885</v>
      </c>
      <c r="J107" s="765" t="str">
        <f>VLOOKUP($D107,PID_from_BP!$B:$I,2,0)</f>
        <v>STEAM TO BOTTOM RINGHEADER</v>
      </c>
      <c r="K107" s="981" t="s">
        <v>10984</v>
      </c>
      <c r="L107" s="610" t="str">
        <f>VLOOKUP($D107,PID_from_BP!$B:$I,5,0)</f>
        <v>T/H</v>
      </c>
      <c r="M107" s="614">
        <v>1.5</v>
      </c>
      <c r="N107" s="610">
        <f>VLOOKUP($D107,PID_from_BP!$B:$I,3,0)</f>
        <v>1.5</v>
      </c>
      <c r="O107" s="614">
        <v>0</v>
      </c>
      <c r="P107" s="610">
        <f>VLOOKUP($D107,PID_from_BP!$B:$I,4,0)</f>
        <v>0</v>
      </c>
      <c r="Q107" s="570">
        <v>0.99999908243051605</v>
      </c>
      <c r="R107" s="555"/>
      <c r="S107" s="853">
        <v>1</v>
      </c>
      <c r="T107" s="460">
        <v>1</v>
      </c>
      <c r="U107" s="853">
        <v>1</v>
      </c>
      <c r="V107" s="460">
        <v>1</v>
      </c>
      <c r="W107" s="853">
        <v>350</v>
      </c>
      <c r="X107" s="772">
        <f>VLOOKUP($D107,PID_TUNING_from_BP!$D:$T,9,0)</f>
        <v>350</v>
      </c>
      <c r="Y107" s="853">
        <v>0.18</v>
      </c>
      <c r="Z107" s="772">
        <f>VLOOKUP($D107,PID_TUNING_from_BP!$D:$T,10,0)</f>
        <v>0.18</v>
      </c>
    </row>
    <row r="108" spans="1:26" s="514" customFormat="1">
      <c r="A108" s="519" t="s">
        <v>5377</v>
      </c>
      <c r="B108" s="520"/>
      <c r="C108" s="909"/>
      <c r="D108" s="522" t="s">
        <v>4587</v>
      </c>
      <c r="E108" s="609"/>
      <c r="F108" s="556" t="s">
        <v>4587</v>
      </c>
      <c r="G108" s="981" t="s">
        <v>10874</v>
      </c>
      <c r="H108" s="755" t="str">
        <f>VLOOKUP($D108,PID_from_BP!$B:$I,2,0)</f>
        <v>DHT REACTOR FEED</v>
      </c>
      <c r="I108" s="981" t="s">
        <v>10874</v>
      </c>
      <c r="J108" s="765" t="str">
        <f>VLOOKUP($D108,PID_from_BP!$B:$I,2,0)</f>
        <v>DHT REACTOR FEED</v>
      </c>
      <c r="K108" s="981" t="s">
        <v>10983</v>
      </c>
      <c r="L108" s="555" t="str">
        <f>VLOOKUP($D108,PID_from_BP!$B:$I,5,0)</f>
        <v>M3/H</v>
      </c>
      <c r="M108" s="570">
        <v>598</v>
      </c>
      <c r="N108" s="555">
        <f>VLOOKUP($D108,PID_from_BP!$B:$I,3,0)</f>
        <v>598</v>
      </c>
      <c r="O108" s="570">
        <v>0</v>
      </c>
      <c r="P108" s="555">
        <f>VLOOKUP($D108,PID_from_BP!$B:$I,4,0)</f>
        <v>0</v>
      </c>
      <c r="Q108" s="570">
        <v>576.52892533683905</v>
      </c>
      <c r="R108" s="555"/>
      <c r="S108" s="853">
        <v>1</v>
      </c>
      <c r="T108" s="460">
        <v>1</v>
      </c>
      <c r="U108" s="853">
        <v>1</v>
      </c>
      <c r="V108" s="460">
        <v>1</v>
      </c>
      <c r="W108" s="853">
        <v>350</v>
      </c>
      <c r="X108" s="772">
        <f>VLOOKUP($D108,PID_TUNING_from_BP!$D:$T,9,0)</f>
        <v>350</v>
      </c>
      <c r="Y108" s="853">
        <v>0.15</v>
      </c>
      <c r="Z108" s="772">
        <f>VLOOKUP($D108,PID_TUNING_from_BP!$D:$T,10,0)</f>
        <v>0.15</v>
      </c>
    </row>
    <row r="109" spans="1:26" s="514" customFormat="1">
      <c r="A109" s="519" t="s">
        <v>5377</v>
      </c>
      <c r="B109" s="520"/>
      <c r="C109" s="909"/>
      <c r="D109" s="522" t="s">
        <v>751</v>
      </c>
      <c r="E109" s="609"/>
      <c r="F109" s="556" t="s">
        <v>751</v>
      </c>
      <c r="G109" s="981" t="s">
        <v>10918</v>
      </c>
      <c r="H109" s="610" t="str">
        <f>VLOOKUP($D109,PID_from_BP!$B:$I,2,0)</f>
        <v>STABILISER FEED</v>
      </c>
      <c r="I109" s="981" t="s">
        <v>10918</v>
      </c>
      <c r="J109" s="765" t="str">
        <f>VLOOKUP($D109,PID_from_BP!$B:$I,2,0)</f>
        <v>STABILISER FEED</v>
      </c>
      <c r="K109" s="981" t="s">
        <v>10983</v>
      </c>
      <c r="L109" s="610" t="str">
        <f>VLOOKUP($D109,PID_from_BP!$B:$I,5,0)</f>
        <v>M3/H</v>
      </c>
      <c r="M109" s="614">
        <v>690</v>
      </c>
      <c r="N109" s="610">
        <f>VLOOKUP($D109,PID_from_BP!$B:$I,3,0)</f>
        <v>690</v>
      </c>
      <c r="O109" s="614">
        <v>0</v>
      </c>
      <c r="P109" s="610">
        <f>VLOOKUP($D109,PID_from_BP!$B:$I,4,0)</f>
        <v>0</v>
      </c>
      <c r="Q109" s="570">
        <v>580.18896346097995</v>
      </c>
      <c r="R109" s="555"/>
      <c r="S109" s="853">
        <v>1</v>
      </c>
      <c r="T109" s="460">
        <v>1</v>
      </c>
      <c r="U109" s="853">
        <v>1</v>
      </c>
      <c r="V109" s="460">
        <v>1</v>
      </c>
      <c r="W109" s="853">
        <v>350</v>
      </c>
      <c r="X109" s="772">
        <f>VLOOKUP($D109,PID_TUNING_from_BP!$D:$T,9,0)</f>
        <v>350</v>
      </c>
      <c r="Y109" s="853">
        <v>0.12</v>
      </c>
      <c r="Z109" s="772">
        <f>VLOOKUP($D109,PID_TUNING_from_BP!$D:$T,10,0)</f>
        <v>0.12</v>
      </c>
    </row>
    <row r="110" spans="1:26" s="514" customFormat="1">
      <c r="A110" s="519" t="s">
        <v>5377</v>
      </c>
      <c r="B110" s="520"/>
      <c r="C110" s="909"/>
      <c r="D110" s="522" t="s">
        <v>9018</v>
      </c>
      <c r="E110" s="609"/>
      <c r="F110" s="556" t="s">
        <v>9018</v>
      </c>
      <c r="G110" s="981" t="s">
        <v>10933</v>
      </c>
      <c r="H110" s="610" t="str">
        <f>VLOOKUP($D110,PID_from_BP!$B:$I,2,0)</f>
        <v>HCCS EX. FCCU TO PZ2151 A/S</v>
      </c>
      <c r="I110" s="981" t="s">
        <v>10933</v>
      </c>
      <c r="J110" s="765" t="str">
        <f>VLOOKUP($D110,PID_from_BP!$B:$I,2,0)</f>
        <v>HCCS EX. FCCU TO PZ2151 A/S</v>
      </c>
      <c r="K110" s="981" t="s">
        <v>10983</v>
      </c>
      <c r="L110" s="610" t="str">
        <f>VLOOKUP($D110,PID_from_BP!$B:$I,5,0)</f>
        <v>M3/H</v>
      </c>
      <c r="M110" s="614">
        <v>139</v>
      </c>
      <c r="N110" s="610">
        <f>VLOOKUP($D110,PID_from_BP!$B:$I,3,0)</f>
        <v>139</v>
      </c>
      <c r="O110" s="614">
        <v>0</v>
      </c>
      <c r="P110" s="610">
        <f>VLOOKUP($D110,PID_from_BP!$B:$I,4,0)</f>
        <v>0</v>
      </c>
      <c r="Q110" s="570">
        <v>38.944992208638602</v>
      </c>
      <c r="R110" s="555"/>
      <c r="S110" s="853">
        <v>1</v>
      </c>
      <c r="T110" s="460">
        <v>1</v>
      </c>
      <c r="U110" s="853">
        <v>1</v>
      </c>
      <c r="V110" s="460">
        <v>1</v>
      </c>
      <c r="W110" s="853">
        <v>350</v>
      </c>
      <c r="X110" s="772">
        <f>VLOOKUP($D110,PID_TUNING_from_BP!$D:$T,9,0)</f>
        <v>350</v>
      </c>
      <c r="Y110" s="853">
        <v>0.12</v>
      </c>
      <c r="Z110" s="772">
        <f>VLOOKUP($D110,PID_TUNING_from_BP!$D:$T,10,0)</f>
        <v>0.12</v>
      </c>
    </row>
    <row r="111" spans="1:26" s="514" customFormat="1">
      <c r="A111" s="519" t="s">
        <v>5377</v>
      </c>
      <c r="B111" s="520"/>
      <c r="C111" s="909"/>
      <c r="D111" s="522" t="s">
        <v>9190</v>
      </c>
      <c r="E111" s="609"/>
      <c r="F111" s="556" t="s">
        <v>5233</v>
      </c>
      <c r="G111" s="981" t="s">
        <v>10934</v>
      </c>
      <c r="H111" s="610" t="str">
        <f>VLOOKUP($D111,PID_from_BP!$B:$I,2,0)</f>
        <v>WASHWATER TO EZ2151/2</v>
      </c>
      <c r="I111" s="981" t="s">
        <v>10934</v>
      </c>
      <c r="J111" s="765" t="str">
        <f>VLOOKUP($D111,PID_from_BP!$B:$I,2,0)</f>
        <v>WASHWATER TO EZ2151/2</v>
      </c>
      <c r="K111" s="981" t="s">
        <v>10983</v>
      </c>
      <c r="L111" s="610" t="str">
        <f>VLOOKUP($D111,PID_from_BP!$B:$I,5,0)</f>
        <v>M3/H</v>
      </c>
      <c r="M111" s="614">
        <v>10</v>
      </c>
      <c r="N111" s="610">
        <f>VLOOKUP($D111,PID_from_BP!$B:$I,3,0)</f>
        <v>10</v>
      </c>
      <c r="O111" s="614">
        <v>0</v>
      </c>
      <c r="P111" s="610">
        <f>VLOOKUP($D111,PID_from_BP!$B:$I,4,0)</f>
        <v>0</v>
      </c>
      <c r="Q111" s="570">
        <v>5.0999999860577301</v>
      </c>
      <c r="R111" s="555"/>
      <c r="S111" s="853">
        <v>1</v>
      </c>
      <c r="T111" s="460">
        <v>1</v>
      </c>
      <c r="U111" s="853">
        <v>1</v>
      </c>
      <c r="V111" s="460">
        <v>1</v>
      </c>
      <c r="W111" s="853">
        <v>350</v>
      </c>
      <c r="X111" s="772">
        <f>VLOOKUP($D111,PID_TUNING_from_BP!$D:$T,9,0)</f>
        <v>350</v>
      </c>
      <c r="Y111" s="853">
        <v>0.15</v>
      </c>
      <c r="Z111" s="772">
        <f>VLOOKUP($D111,PID_TUNING_from_BP!$D:$T,10,0)</f>
        <v>0.15</v>
      </c>
    </row>
    <row r="112" spans="1:26" s="514" customFormat="1">
      <c r="A112" s="519" t="s">
        <v>5377</v>
      </c>
      <c r="B112" s="520"/>
      <c r="C112" s="909"/>
      <c r="D112" s="522" t="s">
        <v>10455</v>
      </c>
      <c r="E112" s="517"/>
      <c r="F112" s="556" t="s">
        <v>5372</v>
      </c>
      <c r="G112" s="981" t="s">
        <v>10935</v>
      </c>
      <c r="H112" s="755" t="str">
        <f>VLOOKUP($D112,PID_from_BP!$B:$I,2,0)</f>
        <v>NS CRUDE BLENDER TK106</v>
      </c>
      <c r="I112" s="981" t="s">
        <v>10935</v>
      </c>
      <c r="J112" s="765" t="str">
        <f>VLOOKUP($D112,PID_from_BP!$B:$I,2,0)</f>
        <v>NS CRUDE BLENDER TK106</v>
      </c>
      <c r="K112" s="981" t="s">
        <v>10983</v>
      </c>
      <c r="L112" s="772" t="str">
        <f>VLOOKUP($D112,PID_from_BP!$B:$I,5,0)</f>
        <v>M3/H</v>
      </c>
      <c r="M112" s="570">
        <v>400</v>
      </c>
      <c r="N112" s="728">
        <f>VLOOKUP($D112,PID_from_BP!$B:$I,3,0)</f>
        <v>400</v>
      </c>
      <c r="O112" s="570">
        <v>0</v>
      </c>
      <c r="P112" s="555">
        <f>VLOOKUP($D112,PID_from_BP!$B:$I,4,0)</f>
        <v>0</v>
      </c>
      <c r="Q112" s="570">
        <v>155.00000460847701</v>
      </c>
      <c r="R112" s="555"/>
      <c r="S112" s="853">
        <v>1</v>
      </c>
      <c r="T112" s="460">
        <v>1</v>
      </c>
      <c r="U112" s="853">
        <v>1</v>
      </c>
      <c r="V112" s="460">
        <v>1</v>
      </c>
      <c r="W112" s="853">
        <v>400</v>
      </c>
      <c r="X112" s="772">
        <f>VLOOKUP($D112,PID_TUNING_from_BP!$D:$T,9,0)</f>
        <v>400</v>
      </c>
      <c r="Y112" s="853">
        <v>0.12</v>
      </c>
      <c r="Z112" s="772">
        <f>VLOOKUP($D112,PID_TUNING_from_BP!$D:$T,10,0)</f>
        <v>0.12</v>
      </c>
    </row>
    <row r="113" spans="1:26" s="514" customFormat="1">
      <c r="A113" s="519" t="s">
        <v>5377</v>
      </c>
      <c r="B113" s="520"/>
      <c r="C113" s="909"/>
      <c r="D113" s="522" t="s">
        <v>10456</v>
      </c>
      <c r="E113" s="517"/>
      <c r="F113" s="556" t="s">
        <v>5374</v>
      </c>
      <c r="G113" s="981" t="s">
        <v>10936</v>
      </c>
      <c r="H113" s="610" t="str">
        <f>VLOOKUP($D113,PID_from_BP!$B:$I,2,0)</f>
        <v>NS CRUDE BLENDER TK105</v>
      </c>
      <c r="I113" s="981" t="s">
        <v>10936</v>
      </c>
      <c r="J113" s="765" t="str">
        <f>VLOOKUP($D113,PID_from_BP!$B:$I,2,0)</f>
        <v>NS CRUDE BLENDER TK105</v>
      </c>
      <c r="K113" s="981" t="s">
        <v>10983</v>
      </c>
      <c r="L113" s="610" t="str">
        <f>VLOOKUP($D113,PID_from_BP!$B:$I,5,0)</f>
        <v>M3/H</v>
      </c>
      <c r="M113" s="614">
        <v>400</v>
      </c>
      <c r="N113" s="610">
        <f>VLOOKUP($D113,PID_from_BP!$B:$I,3,0)</f>
        <v>400</v>
      </c>
      <c r="O113" s="614">
        <v>0</v>
      </c>
      <c r="P113" s="610">
        <f>VLOOKUP($D113,PID_from_BP!$B:$I,4,0)</f>
        <v>0</v>
      </c>
      <c r="Q113" s="570">
        <v>58.700001388628102</v>
      </c>
      <c r="R113" s="555"/>
      <c r="S113" s="853">
        <v>1</v>
      </c>
      <c r="T113" s="460">
        <v>1</v>
      </c>
      <c r="U113" s="853">
        <v>1</v>
      </c>
      <c r="V113" s="460">
        <v>1</v>
      </c>
      <c r="W113" s="853">
        <v>400</v>
      </c>
      <c r="X113" s="772">
        <f>VLOOKUP($D113,PID_TUNING_from_BP!$D:$T,9,0)</f>
        <v>400</v>
      </c>
      <c r="Y113" s="853">
        <v>0.2</v>
      </c>
      <c r="Z113" s="772">
        <f>VLOOKUP($D113,PID_TUNING_from_BP!$D:$T,10,0)</f>
        <v>0.2</v>
      </c>
    </row>
    <row r="114" spans="1:26" s="514" customFormat="1">
      <c r="A114" s="519" t="s">
        <v>5377</v>
      </c>
      <c r="B114" s="520"/>
      <c r="C114" s="909"/>
      <c r="D114" s="522" t="s">
        <v>10457</v>
      </c>
      <c r="E114" s="609"/>
      <c r="F114" s="556" t="s">
        <v>5376</v>
      </c>
      <c r="G114" s="981" t="s">
        <v>10937</v>
      </c>
      <c r="H114" s="610" t="str">
        <f>VLOOKUP($D114,PID_from_BP!$B:$I,2,0)</f>
        <v>NS CRUDE BLENDER TK04 TO CDU4</v>
      </c>
      <c r="I114" s="981" t="s">
        <v>10937</v>
      </c>
      <c r="J114" s="765" t="str">
        <f>VLOOKUP($D114,PID_from_BP!$B:$I,2,0)</f>
        <v>NS CRUDE BLENDER TK04 TO CDU4</v>
      </c>
      <c r="K114" s="981" t="s">
        <v>10983</v>
      </c>
      <c r="L114" s="610" t="str">
        <f>VLOOKUP($D114,PID_from_BP!$B:$I,5,0)</f>
        <v>M3/H</v>
      </c>
      <c r="M114" s="614">
        <v>150</v>
      </c>
      <c r="N114" s="610">
        <f>VLOOKUP($D114,PID_from_BP!$B:$I,3,0)</f>
        <v>150</v>
      </c>
      <c r="O114" s="614">
        <v>0</v>
      </c>
      <c r="P114" s="610">
        <f>VLOOKUP($D114,PID_from_BP!$B:$I,4,0)</f>
        <v>0</v>
      </c>
      <c r="Q114" s="570">
        <v>0</v>
      </c>
      <c r="R114" s="555"/>
      <c r="S114" s="853">
        <v>1</v>
      </c>
      <c r="T114" s="460">
        <v>1</v>
      </c>
      <c r="U114" s="853">
        <v>1</v>
      </c>
      <c r="V114" s="460">
        <v>1</v>
      </c>
      <c r="W114" s="853">
        <v>400</v>
      </c>
      <c r="X114" s="772">
        <f>VLOOKUP($D114,PID_TUNING_from_BP!$D:$T,9,0)</f>
        <v>400</v>
      </c>
      <c r="Y114" s="853">
        <v>0.12</v>
      </c>
      <c r="Z114" s="772">
        <f>VLOOKUP($D114,PID_TUNING_from_BP!$D:$T,10,0)</f>
        <v>0.12</v>
      </c>
    </row>
    <row r="115" spans="1:26" s="514" customFormat="1">
      <c r="A115" s="519" t="s">
        <v>5377</v>
      </c>
      <c r="B115" s="520"/>
      <c r="C115" s="909"/>
      <c r="D115" s="522" t="s">
        <v>5264</v>
      </c>
      <c r="E115" s="609"/>
      <c r="F115" s="556" t="s">
        <v>5264</v>
      </c>
      <c r="G115" s="981" t="s">
        <v>10938</v>
      </c>
      <c r="H115" s="610" t="str">
        <f>VLOOKUP($D115,PID_from_BP!$B:$I,2,0)</f>
        <v>STABILISER REFLUX</v>
      </c>
      <c r="I115" s="981" t="s">
        <v>10938</v>
      </c>
      <c r="J115" s="765" t="str">
        <f>VLOOKUP($D115,PID_from_BP!$B:$I,2,0)</f>
        <v>STABILISER REFLUX</v>
      </c>
      <c r="K115" s="981" t="s">
        <v>10983</v>
      </c>
      <c r="L115" s="610" t="str">
        <f>VLOOKUP($D115,PID_from_BP!$B:$I,5,0)</f>
        <v>M3/H</v>
      </c>
      <c r="M115" s="614">
        <v>222</v>
      </c>
      <c r="N115" s="610">
        <f>VLOOKUP($D115,PID_from_BP!$B:$I,3,0)</f>
        <v>222</v>
      </c>
      <c r="O115" s="614">
        <v>0</v>
      </c>
      <c r="P115" s="610">
        <f>VLOOKUP($D115,PID_from_BP!$B:$I,4,0)</f>
        <v>0</v>
      </c>
      <c r="Q115" s="570">
        <v>131.04438010830901</v>
      </c>
      <c r="R115" s="555"/>
      <c r="S115" s="853">
        <v>1</v>
      </c>
      <c r="T115" s="460">
        <v>1</v>
      </c>
      <c r="U115" s="853">
        <v>1</v>
      </c>
      <c r="V115" s="460">
        <v>1</v>
      </c>
      <c r="W115" s="853">
        <v>300</v>
      </c>
      <c r="X115" s="772">
        <f>VLOOKUP($D115,PID_TUNING_from_BP!$D:$T,9,0)</f>
        <v>300</v>
      </c>
      <c r="Y115" s="853">
        <v>0.15</v>
      </c>
      <c r="Z115" s="772">
        <f>VLOOKUP($D115,PID_TUNING_from_BP!$D:$T,10,0)</f>
        <v>0.15</v>
      </c>
    </row>
    <row r="116" spans="1:26" s="514" customFormat="1">
      <c r="A116" s="519" t="s">
        <v>5377</v>
      </c>
      <c r="B116" s="520"/>
      <c r="C116" s="909"/>
      <c r="D116" s="759" t="s">
        <v>5267</v>
      </c>
      <c r="E116" s="609"/>
      <c r="F116" s="760" t="s">
        <v>5267</v>
      </c>
      <c r="G116" s="981" t="s">
        <v>10915</v>
      </c>
      <c r="H116" s="755" t="str">
        <f>VLOOKUP($D116,PID_from_BP!$B:$I,2,0)</f>
        <v>DFU SPLITTER FEED</v>
      </c>
      <c r="I116" s="981" t="s">
        <v>10915</v>
      </c>
      <c r="J116" s="765" t="str">
        <f>VLOOKUP($D116,PID_from_BP!$B:$I,2,0)</f>
        <v>DFU SPLITTER FEED</v>
      </c>
      <c r="K116" s="981" t="s">
        <v>10983</v>
      </c>
      <c r="L116" s="755" t="str">
        <f>VLOOKUP($D116,PID_from_BP!$B:$I,5,0)</f>
        <v>M3/H</v>
      </c>
      <c r="M116" s="761">
        <v>597</v>
      </c>
      <c r="N116" s="755">
        <f>VLOOKUP($D116,PID_from_BP!$B:$I,3,0)</f>
        <v>597</v>
      </c>
      <c r="O116" s="761">
        <v>0</v>
      </c>
      <c r="P116" s="755">
        <f>VLOOKUP($D116,PID_from_BP!$B:$I,4,0)</f>
        <v>0</v>
      </c>
      <c r="Q116" s="570">
        <v>538.24070121871296</v>
      </c>
      <c r="R116" s="555"/>
      <c r="S116" s="853">
        <v>1</v>
      </c>
      <c r="T116" s="460">
        <v>1</v>
      </c>
      <c r="U116" s="853">
        <v>1</v>
      </c>
      <c r="V116" s="460">
        <v>1</v>
      </c>
      <c r="W116" s="853">
        <v>500</v>
      </c>
      <c r="X116" s="772">
        <f>VLOOKUP($D116,PID_TUNING_from_BP!$D:$T,9,0)</f>
        <v>500</v>
      </c>
      <c r="Y116" s="853">
        <v>0.4</v>
      </c>
      <c r="Z116" s="772">
        <f>VLOOKUP($D116,PID_TUNING_from_BP!$D:$T,10,0)</f>
        <v>0.4</v>
      </c>
    </row>
    <row r="117" spans="1:26" s="514" customFormat="1">
      <c r="A117" s="756" t="s">
        <v>5377</v>
      </c>
      <c r="B117" s="520"/>
      <c r="C117" s="909"/>
      <c r="D117" s="759" t="s">
        <v>5269</v>
      </c>
      <c r="E117" s="517"/>
      <c r="F117" s="760" t="s">
        <v>5269</v>
      </c>
      <c r="G117" s="981" t="s">
        <v>10939</v>
      </c>
      <c r="H117" s="755" t="str">
        <f>VLOOKUP($D117,PID_from_BP!$B:$I,2,0)</f>
        <v>LPG R/D TO 600 UNIT</v>
      </c>
      <c r="I117" s="981" t="s">
        <v>10939</v>
      </c>
      <c r="J117" s="765" t="str">
        <f>VLOOKUP($D117,PID_from_BP!$B:$I,2,0)</f>
        <v>LPG R/D TO 600 UNIT</v>
      </c>
      <c r="K117" s="981" t="s">
        <v>10983</v>
      </c>
      <c r="L117" s="755" t="str">
        <f>VLOOKUP($D117,PID_from_BP!$B:$I,5,0)</f>
        <v>M3/H</v>
      </c>
      <c r="M117" s="761">
        <v>43</v>
      </c>
      <c r="N117" s="755">
        <f>VLOOKUP($D117,PID_from_BP!$B:$I,3,0)</f>
        <v>43</v>
      </c>
      <c r="O117" s="761">
        <v>0</v>
      </c>
      <c r="P117" s="755">
        <f>VLOOKUP($D117,PID_from_BP!$B:$I,4,0)</f>
        <v>0</v>
      </c>
      <c r="Q117" s="570">
        <v>26.7559828058227</v>
      </c>
      <c r="R117" s="555"/>
      <c r="S117" s="853">
        <v>1</v>
      </c>
      <c r="T117" s="460">
        <v>1</v>
      </c>
      <c r="U117" s="853">
        <v>1</v>
      </c>
      <c r="V117" s="460">
        <v>1</v>
      </c>
      <c r="W117" s="853">
        <v>300</v>
      </c>
      <c r="X117" s="772">
        <f>VLOOKUP($D117,PID_TUNING_from_BP!$D:$T,9,0)</f>
        <v>300</v>
      </c>
      <c r="Y117" s="853">
        <v>0.19999990000000001</v>
      </c>
      <c r="Z117" s="772">
        <f>VLOOKUP($D117,PID_TUNING_from_BP!$D:$T,10,0)</f>
        <v>0.19999990000000001</v>
      </c>
    </row>
    <row r="118" spans="1:26" s="514" customFormat="1">
      <c r="A118" s="519" t="s">
        <v>5790</v>
      </c>
      <c r="B118" s="520"/>
      <c r="C118" s="909"/>
      <c r="D118" s="522" t="s">
        <v>6188</v>
      </c>
      <c r="E118" s="517"/>
      <c r="F118" s="556" t="s">
        <v>5317</v>
      </c>
      <c r="G118" s="981" t="s">
        <v>10940</v>
      </c>
      <c r="H118" s="610" t="str">
        <f>VLOOKUP($D118,PID_from_BP!$B:$I,2,0)</f>
        <v>DFU SPLITTER REFLUX</v>
      </c>
      <c r="I118" s="981" t="s">
        <v>10940</v>
      </c>
      <c r="J118" s="765" t="str">
        <f>VLOOKUP($D118,PID_from_BP!$B:$I,2,0)</f>
        <v>DFU SPLITTER REFLUX</v>
      </c>
      <c r="K118" s="981" t="s">
        <v>10983</v>
      </c>
      <c r="L118" s="610" t="str">
        <f>VLOOKUP($D118,PID_from_BP!$B:$I,5,0)</f>
        <v>M3/H</v>
      </c>
      <c r="M118" s="614">
        <v>864</v>
      </c>
      <c r="N118" s="610">
        <f>VLOOKUP($D118,PID_from_BP!$B:$I,3,0)</f>
        <v>864</v>
      </c>
      <c r="O118" s="614">
        <v>0</v>
      </c>
      <c r="P118" s="610">
        <f>VLOOKUP($D118,PID_from_BP!$B:$I,4,0)</f>
        <v>0</v>
      </c>
      <c r="Q118" s="570">
        <v>459.99989285982599</v>
      </c>
      <c r="R118" s="555"/>
      <c r="S118" s="853">
        <v>1</v>
      </c>
      <c r="T118" s="460">
        <v>1</v>
      </c>
      <c r="U118" s="853">
        <v>1</v>
      </c>
      <c r="V118" s="460">
        <v>1</v>
      </c>
      <c r="W118" s="853">
        <v>500</v>
      </c>
      <c r="X118" s="772">
        <f>VLOOKUP($D118,PID_TUNING_from_BP!$D:$T,9,0)</f>
        <v>500</v>
      </c>
      <c r="Y118" s="853">
        <v>0.3</v>
      </c>
      <c r="Z118" s="772">
        <f>VLOOKUP($D118,PID_TUNING_from_BP!$D:$T,10,0)</f>
        <v>0.3</v>
      </c>
    </row>
    <row r="119" spans="1:26" s="514" customFormat="1">
      <c r="A119" s="519" t="s">
        <v>5377</v>
      </c>
      <c r="B119" s="520"/>
      <c r="C119" s="909"/>
      <c r="D119" s="522" t="s">
        <v>5319</v>
      </c>
      <c r="E119" s="517"/>
      <c r="F119" s="556" t="s">
        <v>5319</v>
      </c>
      <c r="G119" s="981" t="s">
        <v>10941</v>
      </c>
      <c r="H119" s="610" t="str">
        <f>VLOOKUP($D119,PID_from_BP!$B:$I,2,0)</f>
        <v>SRB STRIPPER FEED</v>
      </c>
      <c r="I119" s="981" t="s">
        <v>10941</v>
      </c>
      <c r="J119" s="765" t="str">
        <f>VLOOKUP($D119,PID_from_BP!$B:$I,2,0)</f>
        <v>SRB STRIPPER FEED</v>
      </c>
      <c r="K119" s="981" t="s">
        <v>10983</v>
      </c>
      <c r="L119" s="610" t="str">
        <f>VLOOKUP($D119,PID_from_BP!$B:$I,5,0)</f>
        <v>M3/H</v>
      </c>
      <c r="M119" s="614">
        <v>342</v>
      </c>
      <c r="N119" s="610">
        <f>VLOOKUP($D119,PID_from_BP!$B:$I,3,0)</f>
        <v>342</v>
      </c>
      <c r="O119" s="614">
        <v>0</v>
      </c>
      <c r="P119" s="610">
        <f>VLOOKUP($D119,PID_from_BP!$B:$I,4,0)</f>
        <v>0</v>
      </c>
      <c r="Q119" s="570">
        <v>196.91076925095001</v>
      </c>
      <c r="R119" s="555"/>
      <c r="S119" s="853">
        <v>1</v>
      </c>
      <c r="T119" s="460">
        <v>1</v>
      </c>
      <c r="U119" s="853">
        <v>1</v>
      </c>
      <c r="V119" s="460">
        <v>1</v>
      </c>
      <c r="W119" s="853">
        <v>350</v>
      </c>
      <c r="X119" s="772">
        <f>VLOOKUP($D119,PID_TUNING_from_BP!$D:$T,9,0)</f>
        <v>350</v>
      </c>
      <c r="Y119" s="853">
        <v>0.18</v>
      </c>
      <c r="Z119" s="772">
        <f>VLOOKUP($D119,PID_TUNING_from_BP!$D:$T,10,0)</f>
        <v>0.18</v>
      </c>
    </row>
    <row r="120" spans="1:26" s="514" customFormat="1">
      <c r="A120" s="519" t="s">
        <v>5377</v>
      </c>
      <c r="B120" s="520"/>
      <c r="C120" s="909"/>
      <c r="D120" s="522" t="s">
        <v>5322</v>
      </c>
      <c r="E120" s="517"/>
      <c r="F120" s="556" t="s">
        <v>5322</v>
      </c>
      <c r="G120" s="981" t="s">
        <v>10942</v>
      </c>
      <c r="H120" s="610" t="str">
        <f>VLOOKUP($D120,PID_from_BP!$B:$I,2,0)</f>
        <v>SRB STRIPPER R/D</v>
      </c>
      <c r="I120" s="981" t="s">
        <v>10942</v>
      </c>
      <c r="J120" s="765" t="str">
        <f>VLOOKUP($D120,PID_from_BP!$B:$I,2,0)</f>
        <v>SRB STRIPPER R/D</v>
      </c>
      <c r="K120" s="981" t="s">
        <v>10983</v>
      </c>
      <c r="L120" s="610" t="str">
        <f>VLOOKUP($D120,PID_from_BP!$B:$I,5,0)</f>
        <v>M3/H</v>
      </c>
      <c r="M120" s="614">
        <v>250.1</v>
      </c>
      <c r="N120" s="610">
        <f>VLOOKUP($D120,PID_from_BP!$B:$I,3,0)</f>
        <v>250.1</v>
      </c>
      <c r="O120" s="614">
        <v>0</v>
      </c>
      <c r="P120" s="610">
        <f>VLOOKUP($D120,PID_from_BP!$B:$I,4,0)</f>
        <v>0</v>
      </c>
      <c r="Q120" s="570">
        <v>131.80084696180899</v>
      </c>
      <c r="R120" s="555"/>
      <c r="S120" s="853">
        <v>1</v>
      </c>
      <c r="T120" s="460">
        <v>1</v>
      </c>
      <c r="U120" s="853">
        <v>1</v>
      </c>
      <c r="V120" s="460">
        <v>1</v>
      </c>
      <c r="W120" s="853">
        <v>500</v>
      </c>
      <c r="X120" s="772">
        <f>VLOOKUP($D120,PID_TUNING_from_BP!$D:$T,9,0)</f>
        <v>500</v>
      </c>
      <c r="Y120" s="853">
        <v>0.25</v>
      </c>
      <c r="Z120" s="772">
        <f>VLOOKUP($D120,PID_TUNING_from_BP!$D:$T,10,0)</f>
        <v>0.25</v>
      </c>
    </row>
    <row r="121" spans="1:26" s="514" customFormat="1">
      <c r="A121" s="519" t="s">
        <v>5377</v>
      </c>
      <c r="B121" s="520"/>
      <c r="C121" s="909"/>
      <c r="D121" s="522" t="s">
        <v>8711</v>
      </c>
      <c r="E121" s="517"/>
      <c r="F121" s="556" t="s">
        <v>5325</v>
      </c>
      <c r="G121" s="981" t="s">
        <v>10943</v>
      </c>
      <c r="H121" s="610" t="str">
        <f>VLOOKUP($D121,PID_from_BP!$B:$I,2,0)</f>
        <v>SRG R/D</v>
      </c>
      <c r="I121" s="981" t="s">
        <v>10943</v>
      </c>
      <c r="J121" s="765" t="str">
        <f>VLOOKUP($D121,PID_from_BP!$B:$I,2,0)</f>
        <v>SRG R/D</v>
      </c>
      <c r="K121" s="981" t="s">
        <v>10983</v>
      </c>
      <c r="L121" s="610" t="str">
        <f>VLOOKUP($D121,PID_from_BP!$B:$I,5,0)</f>
        <v>M3/H</v>
      </c>
      <c r="M121" s="614">
        <v>220</v>
      </c>
      <c r="N121" s="610">
        <f>VLOOKUP($D121,PID_from_BP!$B:$I,3,0)</f>
        <v>220</v>
      </c>
      <c r="O121" s="614">
        <v>0</v>
      </c>
      <c r="P121" s="610">
        <f>VLOOKUP($D121,PID_from_BP!$B:$I,4,0)</f>
        <v>0</v>
      </c>
      <c r="Q121" s="570">
        <v>149.32364062005701</v>
      </c>
      <c r="R121" s="555"/>
      <c r="S121" s="853">
        <v>1</v>
      </c>
      <c r="T121" s="460">
        <v>1</v>
      </c>
      <c r="U121" s="853">
        <v>1</v>
      </c>
      <c r="V121" s="460">
        <v>1</v>
      </c>
      <c r="W121" s="853">
        <v>400</v>
      </c>
      <c r="X121" s="772">
        <f>VLOOKUP($D121,PID_TUNING_from_BP!$D:$T,9,0)</f>
        <v>400</v>
      </c>
      <c r="Y121" s="853">
        <v>0.15</v>
      </c>
      <c r="Z121" s="772">
        <f>VLOOKUP($D121,PID_TUNING_from_BP!$D:$T,10,0)</f>
        <v>0.15</v>
      </c>
    </row>
    <row r="122" spans="1:26" s="514" customFormat="1">
      <c r="A122" s="519" t="s">
        <v>5377</v>
      </c>
      <c r="B122" s="520"/>
      <c r="C122" s="909"/>
      <c r="D122" s="522" t="s">
        <v>9207</v>
      </c>
      <c r="E122" s="517"/>
      <c r="F122" s="556" t="s">
        <v>9207</v>
      </c>
      <c r="G122" s="981" t="s">
        <v>10888</v>
      </c>
      <c r="H122" s="610" t="str">
        <f>VLOOKUP($D122,PID_from_BP!$B:$I,2,0)</f>
        <v>OFF GAS FLOW CDU4 TO HRU</v>
      </c>
      <c r="I122" s="981" t="s">
        <v>10888</v>
      </c>
      <c r="J122" s="765" t="str">
        <f>VLOOKUP($D122,PID_from_BP!$B:$I,2,0)</f>
        <v>OFF GAS FLOW CDU4 TO HRU</v>
      </c>
      <c r="K122" s="981" t="s">
        <v>10987</v>
      </c>
      <c r="L122" s="610" t="str">
        <f>VLOOKUP($D122,PID_from_BP!$B:$I,5,0)</f>
        <v>NM3/HR</v>
      </c>
      <c r="M122" s="614">
        <v>8000</v>
      </c>
      <c r="N122" s="610">
        <f>VLOOKUP($D122,PID_from_BP!$B:$I,3,0)</f>
        <v>8000</v>
      </c>
      <c r="O122" s="614">
        <v>0</v>
      </c>
      <c r="P122" s="610">
        <f>VLOOKUP($D122,PID_from_BP!$B:$I,4,0)</f>
        <v>0</v>
      </c>
      <c r="Q122" s="570">
        <v>0</v>
      </c>
      <c r="R122" s="555"/>
      <c r="S122" s="853">
        <v>1</v>
      </c>
      <c r="T122" s="460">
        <v>1</v>
      </c>
      <c r="U122" s="853">
        <v>1</v>
      </c>
      <c r="V122" s="460">
        <v>1</v>
      </c>
      <c r="W122" s="853">
        <v>350</v>
      </c>
      <c r="X122" s="772">
        <f>VLOOKUP($D122,PID_TUNING_from_BP!$D:$T,9,0)</f>
        <v>350</v>
      </c>
      <c r="Y122" s="853">
        <v>0.08</v>
      </c>
      <c r="Z122" s="772">
        <f>VLOOKUP($D122,PID_TUNING_from_BP!$D:$T,10,0)</f>
        <v>0.08</v>
      </c>
    </row>
    <row r="123" spans="1:26" s="514" customFormat="1">
      <c r="A123" s="519" t="s">
        <v>5377</v>
      </c>
      <c r="B123" s="520"/>
      <c r="C123" s="909"/>
      <c r="D123" s="522" t="s">
        <v>5352</v>
      </c>
      <c r="E123" s="517"/>
      <c r="F123" s="556" t="s">
        <v>5352</v>
      </c>
      <c r="G123" s="981" t="s">
        <v>10917</v>
      </c>
      <c r="H123" s="610" t="str">
        <f>VLOOKUP($D123,PID_from_BP!$B:$I,2,0)</f>
        <v>LEAN AMINE TO TZ2851</v>
      </c>
      <c r="I123" s="981" t="s">
        <v>10917</v>
      </c>
      <c r="J123" s="765" t="str">
        <f>VLOOKUP($D123,PID_from_BP!$B:$I,2,0)</f>
        <v>LEAN AMINE TO TZ2851</v>
      </c>
      <c r="K123" s="981" t="s">
        <v>10983</v>
      </c>
      <c r="L123" s="610" t="str">
        <f>VLOOKUP($D123,PID_from_BP!$B:$I,5,0)</f>
        <v>M3/H</v>
      </c>
      <c r="M123" s="614">
        <v>24.21</v>
      </c>
      <c r="N123" s="610">
        <f>VLOOKUP($D123,PID_from_BP!$B:$I,3,0)</f>
        <v>24.21</v>
      </c>
      <c r="O123" s="614">
        <v>0</v>
      </c>
      <c r="P123" s="610">
        <f>VLOOKUP($D123,PID_from_BP!$B:$I,4,0)</f>
        <v>0</v>
      </c>
      <c r="Q123" s="570">
        <v>18.3999903528846</v>
      </c>
      <c r="R123" s="555"/>
      <c r="S123" s="853">
        <v>1</v>
      </c>
      <c r="T123" s="460">
        <v>1</v>
      </c>
      <c r="U123" s="853">
        <v>1</v>
      </c>
      <c r="V123" s="460">
        <v>1</v>
      </c>
      <c r="W123" s="853">
        <v>450</v>
      </c>
      <c r="X123" s="772">
        <f>VLOOKUP($D123,PID_TUNING_from_BP!$D:$T,9,0)</f>
        <v>450</v>
      </c>
      <c r="Y123" s="853">
        <v>0.2</v>
      </c>
      <c r="Z123" s="772">
        <f>VLOOKUP($D123,PID_TUNING_from_BP!$D:$T,10,0)</f>
        <v>0.2</v>
      </c>
    </row>
    <row r="124" spans="1:26" s="514" customFormat="1">
      <c r="A124" s="519" t="s">
        <v>5377</v>
      </c>
      <c r="B124" s="520"/>
      <c r="C124" s="909"/>
      <c r="D124" s="522" t="s">
        <v>4586</v>
      </c>
      <c r="E124" s="517"/>
      <c r="F124" s="556" t="s">
        <v>4586</v>
      </c>
      <c r="G124" s="981" t="s">
        <v>10996</v>
      </c>
      <c r="H124" s="610" t="str">
        <f>VLOOKUP($D124,PID_from_BP!$B:$I,2,0)</f>
        <v>CRUDE OVH PRODUCT</v>
      </c>
      <c r="I124" s="981" t="s">
        <v>10996</v>
      </c>
      <c r="J124" s="765" t="str">
        <f>VLOOKUP($D124,PID_from_BP!$B:$I,2,0)</f>
        <v>CRUDE OVH PRODUCT</v>
      </c>
      <c r="K124" s="981" t="s">
        <v>10983</v>
      </c>
      <c r="L124" s="610" t="str">
        <f>VLOOKUP($D124,PID_from_BP!$B:$I,5,0)</f>
        <v>M3/H</v>
      </c>
      <c r="M124" s="614">
        <v>598</v>
      </c>
      <c r="N124" s="610">
        <f>VLOOKUP($D124,PID_from_BP!$B:$I,3,0)</f>
        <v>598</v>
      </c>
      <c r="O124" s="614">
        <v>0</v>
      </c>
      <c r="P124" s="610">
        <f>VLOOKUP($D124,PID_from_BP!$B:$I,4,0)</f>
        <v>0</v>
      </c>
      <c r="Q124" s="570">
        <v>576.52892533683905</v>
      </c>
      <c r="R124" s="555"/>
      <c r="S124" s="853">
        <v>1</v>
      </c>
      <c r="T124" s="460">
        <v>1</v>
      </c>
      <c r="U124" s="853">
        <v>1</v>
      </c>
      <c r="V124" s="460">
        <v>1</v>
      </c>
      <c r="W124" s="853">
        <v>250</v>
      </c>
      <c r="X124" s="772">
        <f>VLOOKUP($D124,PID_TUNING_from_BP!$D:$T,9,0)</f>
        <v>250</v>
      </c>
      <c r="Y124" s="853">
        <v>0.2</v>
      </c>
      <c r="Z124" s="772">
        <f>VLOOKUP($D124,PID_TUNING_from_BP!$D:$T,10,0)</f>
        <v>0.2</v>
      </c>
    </row>
    <row r="125" spans="1:26" s="514" customFormat="1">
      <c r="A125" s="519" t="s">
        <v>5377</v>
      </c>
      <c r="B125" s="520"/>
      <c r="C125" s="909"/>
      <c r="D125" s="522" t="s">
        <v>5328</v>
      </c>
      <c r="E125" s="517"/>
      <c r="F125" s="556" t="s">
        <v>5328</v>
      </c>
      <c r="G125" s="981" t="s">
        <v>10944</v>
      </c>
      <c r="H125" s="610" t="str">
        <f>VLOOKUP($D125,PID_from_BP!$B:$I,2,0)</f>
        <v>KERO R/D</v>
      </c>
      <c r="I125" s="981" t="s">
        <v>10944</v>
      </c>
      <c r="J125" s="765" t="str">
        <f>VLOOKUP($D125,PID_from_BP!$B:$I,2,0)</f>
        <v>KERO R/D</v>
      </c>
      <c r="K125" s="981" t="s">
        <v>10983</v>
      </c>
      <c r="L125" s="610" t="str">
        <f>VLOOKUP($D125,PID_from_BP!$B:$I,5,0)</f>
        <v>M3/H</v>
      </c>
      <c r="M125" s="614">
        <v>400</v>
      </c>
      <c r="N125" s="610">
        <f>VLOOKUP($D125,PID_from_BP!$B:$I,3,0)</f>
        <v>400</v>
      </c>
      <c r="O125" s="614">
        <v>0</v>
      </c>
      <c r="P125" s="610">
        <f>VLOOKUP($D125,PID_from_BP!$B:$I,4,0)</f>
        <v>0</v>
      </c>
      <c r="Q125" s="570">
        <v>280.61538836306102</v>
      </c>
      <c r="R125" s="555"/>
      <c r="S125" s="853">
        <v>1</v>
      </c>
      <c r="T125" s="460">
        <v>1</v>
      </c>
      <c r="U125" s="853">
        <v>1</v>
      </c>
      <c r="V125" s="460">
        <v>1</v>
      </c>
      <c r="W125" s="853">
        <v>600</v>
      </c>
      <c r="X125" s="772">
        <f>VLOOKUP($D125,PID_TUNING_from_BP!$D:$T,9,0)</f>
        <v>600</v>
      </c>
      <c r="Y125" s="853">
        <v>0.08</v>
      </c>
      <c r="Z125" s="772">
        <f>VLOOKUP($D125,PID_TUNING_from_BP!$D:$T,10,0)</f>
        <v>0.08</v>
      </c>
    </row>
    <row r="126" spans="1:26" s="514" customFormat="1">
      <c r="A126" s="519" t="s">
        <v>5377</v>
      </c>
      <c r="B126" s="520"/>
      <c r="C126" s="909"/>
      <c r="D126" s="522" t="s">
        <v>9454</v>
      </c>
      <c r="E126" s="517"/>
      <c r="F126" s="556" t="s">
        <v>9454</v>
      </c>
      <c r="G126" s="981" t="s">
        <v>10945</v>
      </c>
      <c r="H126" s="610" t="str">
        <f>VLOOKUP($D126,PID_from_BP!$B:$I,2,0)</f>
        <v>RECYCLE GAS</v>
      </c>
      <c r="I126" s="981" t="s">
        <v>10945</v>
      </c>
      <c r="J126" s="765" t="str">
        <f>VLOOKUP($D126,PID_from_BP!$B:$I,2,0)</f>
        <v>RECYCLE GAS</v>
      </c>
      <c r="K126" s="981" t="s">
        <v>10986</v>
      </c>
      <c r="L126" s="610" t="str">
        <f>VLOOKUP($D126,PID_from_BP!$B:$I,5,0)</f>
        <v>KNM3/H</v>
      </c>
      <c r="M126" s="614">
        <v>87.6</v>
      </c>
      <c r="N126" s="610">
        <f>VLOOKUP($D126,PID_from_BP!$B:$I,3,0)</f>
        <v>87.6</v>
      </c>
      <c r="O126" s="614">
        <v>0</v>
      </c>
      <c r="P126" s="610">
        <f>VLOOKUP($D126,PID_from_BP!$B:$I,4,0)</f>
        <v>0</v>
      </c>
      <c r="Q126" s="570">
        <v>40.700489985408403</v>
      </c>
      <c r="R126" s="555"/>
      <c r="S126" s="853">
        <v>1</v>
      </c>
      <c r="T126" s="460">
        <v>1</v>
      </c>
      <c r="U126" s="853">
        <v>1</v>
      </c>
      <c r="V126" s="460">
        <v>1</v>
      </c>
      <c r="W126" s="853">
        <v>250</v>
      </c>
      <c r="X126" s="772">
        <f>VLOOKUP($D126,PID_TUNING_from_BP!$D:$T,9,0)</f>
        <v>250</v>
      </c>
      <c r="Y126" s="853">
        <v>0.375</v>
      </c>
      <c r="Z126" s="772">
        <f>VLOOKUP($D126,PID_TUNING_from_BP!$D:$T,10,0)</f>
        <v>0.375</v>
      </c>
    </row>
    <row r="127" spans="1:26" s="753" customFormat="1">
      <c r="A127" s="756"/>
      <c r="B127" s="757"/>
      <c r="C127" s="909"/>
      <c r="D127" s="773"/>
      <c r="E127" s="905"/>
      <c r="F127" s="921"/>
      <c r="G127" s="853"/>
      <c r="H127" s="772"/>
      <c r="I127" s="853"/>
      <c r="J127" s="772"/>
      <c r="K127" s="853"/>
      <c r="L127" s="772"/>
      <c r="M127" s="853"/>
      <c r="N127" s="772"/>
      <c r="O127" s="853"/>
      <c r="P127" s="772"/>
      <c r="Q127" s="853"/>
      <c r="R127" s="772"/>
      <c r="S127" s="853"/>
      <c r="T127" s="772"/>
      <c r="U127" s="853"/>
      <c r="V127" s="772"/>
      <c r="W127" s="853"/>
      <c r="X127" s="772"/>
      <c r="Y127" s="853"/>
      <c r="Z127" s="772"/>
    </row>
    <row r="128" spans="1:26" s="514" customFormat="1">
      <c r="A128" s="519" t="s">
        <v>5377</v>
      </c>
      <c r="B128" s="520"/>
      <c r="C128" s="909"/>
      <c r="D128" s="522" t="s">
        <v>5129</v>
      </c>
      <c r="E128" s="905"/>
      <c r="F128" s="871" t="s">
        <v>5129</v>
      </c>
      <c r="G128" s="853" t="s">
        <v>10647</v>
      </c>
      <c r="H128" s="610" t="str">
        <f>VLOOKUP($D128,PID_from_BP!$B:$I,2,0)</f>
        <v>CDU TOWER MIDDLE PUMP AROUND</v>
      </c>
      <c r="I128" s="853" t="s">
        <v>10647</v>
      </c>
      <c r="J128" s="765" t="str">
        <f>VLOOKUP($D128,PID_from_BP!$B:$I,2,0)</f>
        <v>CDU TOWER MIDDLE PUMP AROUND</v>
      </c>
      <c r="K128" s="853" t="s">
        <v>10639</v>
      </c>
      <c r="L128" s="610" t="str">
        <f>VLOOKUP($D128,PID_from_BP!$B:$I,5,0)</f>
        <v>M3/H</v>
      </c>
      <c r="M128" s="614">
        <v>1179</v>
      </c>
      <c r="N128" s="610">
        <f>VLOOKUP($D128,PID_from_BP!$B:$I,3,0)</f>
        <v>1179</v>
      </c>
      <c r="O128" s="614">
        <v>0</v>
      </c>
      <c r="P128" s="610">
        <f>VLOOKUP($D128,PID_from_BP!$B:$I,4,0)</f>
        <v>0</v>
      </c>
      <c r="Q128" s="570">
        <v>825.50226535586</v>
      </c>
      <c r="R128" s="555"/>
      <c r="S128" s="853">
        <v>1</v>
      </c>
      <c r="T128" s="460">
        <v>1</v>
      </c>
      <c r="U128" s="853">
        <v>1</v>
      </c>
      <c r="V128" s="460">
        <v>1</v>
      </c>
      <c r="W128" s="853">
        <v>350</v>
      </c>
      <c r="X128" s="772">
        <f>VLOOKUP($D128,PID_TUNING_from_BP!$D:$T,9,0)</f>
        <v>250</v>
      </c>
      <c r="Y128" s="853">
        <v>0.25</v>
      </c>
      <c r="Z128" s="772">
        <f>VLOOKUP($D128,PID_TUNING_from_BP!$D:$T,10,0)</f>
        <v>0.25</v>
      </c>
    </row>
    <row r="129" spans="1:26" s="514" customFormat="1">
      <c r="A129" s="519" t="s">
        <v>5377</v>
      </c>
      <c r="B129" s="520"/>
      <c r="C129" s="909"/>
      <c r="D129" s="522" t="s">
        <v>5131</v>
      </c>
      <c r="E129" s="905"/>
      <c r="F129" s="871" t="s">
        <v>5131</v>
      </c>
      <c r="G129" s="853" t="s">
        <v>10648</v>
      </c>
      <c r="H129" s="610" t="str">
        <f>VLOOKUP($D129,PID_from_BP!$B:$I,2,0)</f>
        <v>CDU TOWER BOTTOM PUMP AROUND</v>
      </c>
      <c r="I129" s="853" t="s">
        <v>10648</v>
      </c>
      <c r="J129" s="765" t="str">
        <f>VLOOKUP($D129,PID_from_BP!$B:$I,2,0)</f>
        <v>CDU TOWER BOTTOM PUMP AROUND</v>
      </c>
      <c r="K129" s="853" t="s">
        <v>10639</v>
      </c>
      <c r="L129" s="610" t="str">
        <f>VLOOKUP($D129,PID_from_BP!$B:$I,5,0)</f>
        <v>M3/H</v>
      </c>
      <c r="M129" s="614">
        <v>794</v>
      </c>
      <c r="N129" s="610">
        <f>VLOOKUP($D129,PID_from_BP!$B:$I,3,0)</f>
        <v>794</v>
      </c>
      <c r="O129" s="614">
        <v>0</v>
      </c>
      <c r="P129" s="610">
        <f>VLOOKUP($D129,PID_from_BP!$B:$I,4,0)</f>
        <v>0</v>
      </c>
      <c r="Q129" s="570">
        <v>700.00137299851201</v>
      </c>
      <c r="R129" s="555"/>
      <c r="S129" s="853">
        <v>1</v>
      </c>
      <c r="T129" s="460">
        <v>1</v>
      </c>
      <c r="U129" s="853">
        <v>1</v>
      </c>
      <c r="V129" s="460">
        <v>1</v>
      </c>
      <c r="W129" s="853">
        <v>400</v>
      </c>
      <c r="X129" s="772">
        <f>VLOOKUP($D129,PID_TUNING_from_BP!$D:$T,9,0)</f>
        <v>300</v>
      </c>
      <c r="Y129" s="853">
        <v>0.25</v>
      </c>
      <c r="Z129" s="772">
        <f>VLOOKUP($D129,PID_TUNING_from_BP!$D:$T,10,0)</f>
        <v>0.25</v>
      </c>
    </row>
    <row r="130" spans="1:26" s="514" customFormat="1">
      <c r="A130" s="519" t="s">
        <v>5377</v>
      </c>
      <c r="B130" s="520"/>
      <c r="C130" s="909"/>
      <c r="D130" s="522" t="s">
        <v>10451</v>
      </c>
      <c r="E130" s="905"/>
      <c r="F130" s="871" t="s">
        <v>5175</v>
      </c>
      <c r="G130" s="853" t="s">
        <v>10646</v>
      </c>
      <c r="H130" s="610" t="str">
        <f>VLOOKUP($D130,PID_from_BP!$B:$I,2,0)</f>
        <v>HZ2101 TOTAL CRUDEFEED</v>
      </c>
      <c r="I130" s="853" t="s">
        <v>10646</v>
      </c>
      <c r="J130" s="765" t="str">
        <f>VLOOKUP($D130,PID_from_BP!$B:$I,2,0)</f>
        <v>HZ2101 TOTAL CRUDEFEED</v>
      </c>
      <c r="K130" s="853" t="s">
        <v>10639</v>
      </c>
      <c r="L130" s="610" t="str">
        <f>VLOOKUP($D130,PID_from_BP!$B:$I,5,0)</f>
        <v>M3/H</v>
      </c>
      <c r="M130" s="614">
        <v>1839</v>
      </c>
      <c r="N130" s="610">
        <f>VLOOKUP($D130,PID_from_BP!$B:$I,3,0)</f>
        <v>1839</v>
      </c>
      <c r="O130" s="614">
        <v>0</v>
      </c>
      <c r="P130" s="610">
        <f>VLOOKUP($D130,PID_from_BP!$B:$I,4,0)</f>
        <v>0</v>
      </c>
      <c r="Q130" s="570">
        <v>1184.04075189168</v>
      </c>
      <c r="R130" s="555"/>
      <c r="S130" s="853">
        <v>1</v>
      </c>
      <c r="T130" s="460">
        <v>1</v>
      </c>
      <c r="U130" s="853">
        <v>1</v>
      </c>
      <c r="V130" s="460">
        <v>1</v>
      </c>
      <c r="W130" s="853">
        <v>500</v>
      </c>
      <c r="X130" s="772">
        <f>VLOOKUP($D130,PID_TUNING_from_BP!$D:$T,9,0)</f>
        <v>60</v>
      </c>
      <c r="Y130" s="853">
        <v>0.2</v>
      </c>
      <c r="Z130" s="772">
        <f>VLOOKUP($D130,PID_TUNING_from_BP!$D:$T,10,0)</f>
        <v>2</v>
      </c>
    </row>
    <row r="131" spans="1:26" s="514" customFormat="1">
      <c r="A131" s="519" t="s">
        <v>5377</v>
      </c>
      <c r="B131" s="520"/>
      <c r="C131" s="909"/>
      <c r="D131" s="522" t="s">
        <v>743</v>
      </c>
      <c r="E131" s="905"/>
      <c r="F131" s="871" t="s">
        <v>743</v>
      </c>
      <c r="G131" s="853" t="s">
        <v>10649</v>
      </c>
      <c r="H131" s="610" t="str">
        <f>VLOOKUP($D131,PID_from_BP!$B:$I,2,0)</f>
        <v>STRIP STEAM TO T2102 LGO STRP</v>
      </c>
      <c r="I131" s="853" t="s">
        <v>10649</v>
      </c>
      <c r="J131" s="765" t="str">
        <f>VLOOKUP($D131,PID_from_BP!$B:$I,2,0)</f>
        <v>STRIP STEAM TO T2102 LGO STRP</v>
      </c>
      <c r="K131" s="853" t="s">
        <v>10679</v>
      </c>
      <c r="L131" s="610" t="str">
        <f>VLOOKUP($D131,PID_from_BP!$B:$I,5,0)</f>
        <v>T/H</v>
      </c>
      <c r="M131" s="614">
        <v>7.08</v>
      </c>
      <c r="N131" s="610">
        <f>VLOOKUP($D131,PID_from_BP!$B:$I,3,0)</f>
        <v>7.08</v>
      </c>
      <c r="O131" s="614">
        <v>0</v>
      </c>
      <c r="P131" s="610">
        <f>VLOOKUP($D131,PID_from_BP!$B:$I,4,0)</f>
        <v>0</v>
      </c>
      <c r="Q131" s="570">
        <v>2.30041846370808</v>
      </c>
      <c r="R131" s="555"/>
      <c r="S131" s="853">
        <v>1</v>
      </c>
      <c r="T131" s="460">
        <v>1</v>
      </c>
      <c r="U131" s="853">
        <v>1</v>
      </c>
      <c r="V131" s="460">
        <v>1</v>
      </c>
      <c r="W131" s="853">
        <v>500</v>
      </c>
      <c r="X131" s="772">
        <f>VLOOKUP($D131,PID_TUNING_from_BP!$D:$T,9,0)</f>
        <v>150</v>
      </c>
      <c r="Y131" s="853">
        <v>0.25</v>
      </c>
      <c r="Z131" s="772">
        <f>VLOOKUP($D131,PID_TUNING_from_BP!$D:$T,10,0)</f>
        <v>0.2549999</v>
      </c>
    </row>
    <row r="132" spans="1:26" s="514" customFormat="1">
      <c r="A132" s="519" t="s">
        <v>5377</v>
      </c>
      <c r="B132" s="520"/>
      <c r="C132" s="909"/>
      <c r="D132" s="522" t="s">
        <v>755</v>
      </c>
      <c r="E132" s="905"/>
      <c r="F132" s="871" t="s">
        <v>755</v>
      </c>
      <c r="G132" s="853" t="s">
        <v>10650</v>
      </c>
      <c r="H132" s="610" t="str">
        <f>VLOOKUP($D132,PID_from_BP!$B:$I,2,0)</f>
        <v>DHT HP SEPARATOR OFFGAS</v>
      </c>
      <c r="I132" s="853" t="s">
        <v>10650</v>
      </c>
      <c r="J132" s="765" t="str">
        <f>VLOOKUP($D132,PID_from_BP!$B:$I,2,0)</f>
        <v>DHT HP SEPARATOR OFFGAS</v>
      </c>
      <c r="K132" s="853" t="s">
        <v>10641</v>
      </c>
      <c r="L132" s="610" t="str">
        <f>VLOOKUP($D132,PID_from_BP!$B:$I,5,0)</f>
        <v>NM3/H</v>
      </c>
      <c r="M132" s="614">
        <v>2500</v>
      </c>
      <c r="N132" s="610">
        <f>VLOOKUP($D132,PID_from_BP!$B:$I,3,0)</f>
        <v>2500</v>
      </c>
      <c r="O132" s="614">
        <v>0</v>
      </c>
      <c r="P132" s="610">
        <f>VLOOKUP($D132,PID_from_BP!$B:$I,4,0)</f>
        <v>0</v>
      </c>
      <c r="Q132" s="570">
        <v>0</v>
      </c>
      <c r="R132" s="555"/>
      <c r="S132" s="853">
        <v>1</v>
      </c>
      <c r="T132" s="460">
        <v>1</v>
      </c>
      <c r="U132" s="853">
        <v>1</v>
      </c>
      <c r="V132" s="460">
        <v>1</v>
      </c>
      <c r="W132" s="853">
        <v>300</v>
      </c>
      <c r="X132" s="772">
        <f>VLOOKUP($D132,PID_TUNING_from_BP!$D:$T,9,0)</f>
        <v>170</v>
      </c>
      <c r="Y132" s="853">
        <v>0.1</v>
      </c>
      <c r="Z132" s="772">
        <f>VLOOKUP($D132,PID_TUNING_from_BP!$D:$T,10,0)</f>
        <v>1.4</v>
      </c>
    </row>
    <row r="133" spans="1:26" s="514" customFormat="1">
      <c r="A133" s="519" t="s">
        <v>5377</v>
      </c>
      <c r="B133" s="520"/>
      <c r="C133" s="909"/>
      <c r="D133" s="522" t="s">
        <v>10449</v>
      </c>
      <c r="E133" s="905"/>
      <c r="F133" s="871" t="s">
        <v>5260</v>
      </c>
      <c r="G133" s="853" t="s">
        <v>10651</v>
      </c>
      <c r="H133" s="610" t="str">
        <f>VLOOKUP($D133,PID_from_BP!$B:$I,2,0)</f>
        <v>IMPORT H2 TO DZ2153</v>
      </c>
      <c r="I133" s="853" t="s">
        <v>10651</v>
      </c>
      <c r="J133" s="765" t="str">
        <f>VLOOKUP($D133,PID_from_BP!$B:$I,2,0)</f>
        <v>IMPORT H2 TO DZ2153</v>
      </c>
      <c r="K133" s="853" t="s">
        <v>10641</v>
      </c>
      <c r="L133" s="610" t="str">
        <f>VLOOKUP($D133,PID_from_BP!$B:$I,5,0)</f>
        <v>NM3/H</v>
      </c>
      <c r="M133" s="614">
        <v>8000</v>
      </c>
      <c r="N133" s="610">
        <f>VLOOKUP($D133,PID_from_BP!$B:$I,3,0)</f>
        <v>8000</v>
      </c>
      <c r="O133" s="614">
        <v>0</v>
      </c>
      <c r="P133" s="610">
        <f>VLOOKUP($D133,PID_from_BP!$B:$I,4,0)</f>
        <v>0</v>
      </c>
      <c r="Q133" s="570">
        <v>6338.2249938725799</v>
      </c>
      <c r="R133" s="555"/>
      <c r="S133" s="853">
        <v>1</v>
      </c>
      <c r="T133" s="460">
        <v>1</v>
      </c>
      <c r="U133" s="853">
        <v>1</v>
      </c>
      <c r="V133" s="460">
        <v>1</v>
      </c>
      <c r="W133" s="853">
        <v>400</v>
      </c>
      <c r="X133" s="772">
        <f>VLOOKUP($D133,PID_TUNING_from_BP!$D:$T,9,0)</f>
        <v>50</v>
      </c>
      <c r="Y133" s="853">
        <v>0.1</v>
      </c>
      <c r="Z133" s="772">
        <f>VLOOKUP($D133,PID_TUNING_from_BP!$D:$T,10,0)</f>
        <v>2</v>
      </c>
    </row>
    <row r="134" spans="1:26" s="514" customFormat="1">
      <c r="A134" s="519" t="s">
        <v>5377</v>
      </c>
      <c r="B134" s="520"/>
      <c r="C134" s="909"/>
      <c r="D134" s="522" t="s">
        <v>10450</v>
      </c>
      <c r="E134" s="905"/>
      <c r="F134" s="871" t="s">
        <v>5262</v>
      </c>
      <c r="G134" s="853" t="s">
        <v>10652</v>
      </c>
      <c r="H134" s="610" t="str">
        <f>VLOOKUP($D134,PID_from_BP!$B:$I,2,0)</f>
        <v>CRU GAS TO DZ2153</v>
      </c>
      <c r="I134" s="853" t="s">
        <v>10652</v>
      </c>
      <c r="J134" s="765" t="str">
        <f>VLOOKUP($D134,PID_from_BP!$B:$I,2,0)</f>
        <v>CRU GAS TO DZ2153</v>
      </c>
      <c r="K134" s="853" t="s">
        <v>10641</v>
      </c>
      <c r="L134" s="610" t="str">
        <f>VLOOKUP($D134,PID_from_BP!$B:$I,5,0)</f>
        <v>NM3/H</v>
      </c>
      <c r="M134" s="614">
        <v>13750</v>
      </c>
      <c r="N134" s="610">
        <f>VLOOKUP($D134,PID_from_BP!$B:$I,3,0)</f>
        <v>13750</v>
      </c>
      <c r="O134" s="614">
        <v>0</v>
      </c>
      <c r="P134" s="610">
        <f>VLOOKUP($D134,PID_from_BP!$B:$I,4,0)</f>
        <v>0</v>
      </c>
      <c r="Q134" s="570">
        <v>0</v>
      </c>
      <c r="R134" s="555"/>
      <c r="S134" s="853">
        <v>1</v>
      </c>
      <c r="T134" s="460">
        <v>1</v>
      </c>
      <c r="U134" s="853">
        <v>1</v>
      </c>
      <c r="V134" s="460">
        <v>1</v>
      </c>
      <c r="W134" s="853">
        <v>400</v>
      </c>
      <c r="X134" s="772">
        <f>VLOOKUP($D134,PID_TUNING_from_BP!$D:$T,9,0)</f>
        <v>50</v>
      </c>
      <c r="Y134" s="853">
        <v>0.1</v>
      </c>
      <c r="Z134" s="772">
        <f>VLOOKUP($D134,PID_TUNING_from_BP!$D:$T,10,0)</f>
        <v>2</v>
      </c>
    </row>
    <row r="135" spans="1:26" s="514" customFormat="1">
      <c r="A135" s="519" t="s">
        <v>5377</v>
      </c>
      <c r="B135" s="520"/>
      <c r="C135" s="909"/>
      <c r="D135" s="599" t="s">
        <v>9204</v>
      </c>
      <c r="E135" s="905"/>
      <c r="F135" s="871" t="s">
        <v>5359</v>
      </c>
      <c r="G135" s="853" t="s">
        <v>10653</v>
      </c>
      <c r="H135" s="755" t="str">
        <f>VLOOKUP($D135,PID_from_BP!$B:$I,2,0)</f>
        <v>DZ3004 TO SLOPS</v>
      </c>
      <c r="I135" s="853" t="s">
        <v>10653</v>
      </c>
      <c r="J135" s="765" t="str">
        <f>VLOOKUP($D135,PID_from_BP!$B:$I,2,0)</f>
        <v>DZ3004 TO SLOPS</v>
      </c>
      <c r="K135" s="853" t="s">
        <v>10679</v>
      </c>
      <c r="L135" s="772" t="str">
        <f>VLOOKUP($D135,PID_from_BP!$B:$I,5,0)</f>
        <v>T/H</v>
      </c>
      <c r="M135" s="614">
        <v>131.25</v>
      </c>
      <c r="N135" s="728">
        <f>VLOOKUP($D135,PID_from_BP!$B:$I,3,0)</f>
        <v>131.25</v>
      </c>
      <c r="O135" s="614">
        <v>0</v>
      </c>
      <c r="P135" s="555">
        <f>VLOOKUP($D135,PID_from_BP!$B:$I,4,0)</f>
        <v>0</v>
      </c>
      <c r="Q135" s="570">
        <v>0</v>
      </c>
      <c r="R135" s="555"/>
      <c r="S135" s="853">
        <v>1</v>
      </c>
      <c r="T135" s="460">
        <v>1</v>
      </c>
      <c r="U135" s="853">
        <v>1</v>
      </c>
      <c r="V135" s="460">
        <v>1</v>
      </c>
      <c r="W135" s="853">
        <v>1000</v>
      </c>
      <c r="X135" s="772">
        <f>VLOOKUP($D135,PID_TUNING_from_BP!$D:$T,9,0)</f>
        <v>150</v>
      </c>
      <c r="Y135" s="853">
        <v>0.1</v>
      </c>
      <c r="Z135" s="772">
        <f>VLOOKUP($D135,PID_TUNING_from_BP!$D:$T,10,0)</f>
        <v>0.12</v>
      </c>
    </row>
    <row r="136" spans="1:26" s="514" customFormat="1">
      <c r="A136" s="729" t="s">
        <v>5377</v>
      </c>
      <c r="B136" s="612"/>
      <c r="C136" s="909"/>
      <c r="D136" s="730" t="s">
        <v>5223</v>
      </c>
      <c r="E136" s="905"/>
      <c r="F136" s="871" t="s">
        <v>5223</v>
      </c>
      <c r="G136" s="853" t="s">
        <v>10658</v>
      </c>
      <c r="H136" s="755" t="str">
        <f>VLOOKUP($D136,PID_from_BP!$B:$I,2,0)</f>
        <v>COMB. AIR TEMP TO HZ2101</v>
      </c>
      <c r="I136" s="853" t="s">
        <v>10658</v>
      </c>
      <c r="J136" s="765" t="str">
        <f>VLOOKUP($D136,PID_from_BP!$B:$I,2,0)</f>
        <v>COMB. AIR TEMP TO HZ2101</v>
      </c>
      <c r="K136" s="853" t="s">
        <v>10638</v>
      </c>
      <c r="L136" s="728" t="str">
        <f>VLOOKUP($D136,PID_from_BP!$B:$I,5,0)</f>
        <v>DEGC</v>
      </c>
      <c r="M136" s="732">
        <v>500</v>
      </c>
      <c r="N136" s="728">
        <f>VLOOKUP($D136,PID_from_BP!$B:$I,3,0)</f>
        <v>500</v>
      </c>
      <c r="O136" s="732">
        <v>-20</v>
      </c>
      <c r="P136" s="728">
        <f>VLOOKUP($D136,PID_from_BP!$B:$I,4,0)</f>
        <v>-20</v>
      </c>
      <c r="Q136" s="732">
        <v>231.493745050733</v>
      </c>
      <c r="R136" s="728"/>
      <c r="S136" s="853">
        <v>1</v>
      </c>
      <c r="T136" s="460">
        <v>1</v>
      </c>
      <c r="U136" s="853">
        <v>1</v>
      </c>
      <c r="V136" s="460">
        <v>1</v>
      </c>
      <c r="W136" s="853">
        <v>100</v>
      </c>
      <c r="X136" s="772">
        <f>VLOOKUP($D136,PID_TUNING_from_BP!$D:$T,9,0)</f>
        <v>25</v>
      </c>
      <c r="Y136" s="853">
        <v>1</v>
      </c>
      <c r="Z136" s="772">
        <f>VLOOKUP($D136,PID_TUNING_from_BP!$D:$T,10,0)</f>
        <v>5</v>
      </c>
    </row>
    <row r="137" spans="1:26" s="514" customFormat="1">
      <c r="A137" s="729" t="s">
        <v>5377</v>
      </c>
      <c r="B137" s="612"/>
      <c r="C137" s="909"/>
      <c r="D137" s="730" t="s">
        <v>5227</v>
      </c>
      <c r="E137" s="905"/>
      <c r="F137" s="871" t="s">
        <v>5227</v>
      </c>
      <c r="G137" s="853" t="s">
        <v>10656</v>
      </c>
      <c r="H137" s="728" t="str">
        <f>VLOOKUP($D137,PID_from_BP!$B:$I,2,0)</f>
        <v>COLD AIR INLET EZ2125A</v>
      </c>
      <c r="I137" s="853" t="s">
        <v>10656</v>
      </c>
      <c r="J137" s="765" t="str">
        <f>VLOOKUP($D137,PID_from_BP!$B:$I,2,0)</f>
        <v>COLD AIR INLET EZ2125A</v>
      </c>
      <c r="K137" s="853" t="s">
        <v>10638</v>
      </c>
      <c r="L137" s="728" t="str">
        <f>VLOOKUP($D137,PID_from_BP!$B:$I,5,0)</f>
        <v>DEGC</v>
      </c>
      <c r="M137" s="732">
        <v>60</v>
      </c>
      <c r="N137" s="728">
        <f>VLOOKUP($D137,PID_from_BP!$B:$I,3,0)</f>
        <v>60</v>
      </c>
      <c r="O137" s="732">
        <v>-20</v>
      </c>
      <c r="P137" s="728">
        <f>VLOOKUP($D137,PID_from_BP!$B:$I,4,0)</f>
        <v>-20</v>
      </c>
      <c r="Q137" s="732">
        <v>56.9992436667277</v>
      </c>
      <c r="R137" s="728"/>
      <c r="S137" s="853">
        <v>1</v>
      </c>
      <c r="T137" s="460">
        <v>1</v>
      </c>
      <c r="U137" s="853">
        <v>1</v>
      </c>
      <c r="V137" s="460">
        <v>1</v>
      </c>
      <c r="W137" s="853">
        <v>200</v>
      </c>
      <c r="X137" s="772">
        <f>VLOOKUP($D137,PID_TUNING_from_BP!$D:$T,9,0)</f>
        <v>30</v>
      </c>
      <c r="Y137" s="853">
        <v>1</v>
      </c>
      <c r="Z137" s="772">
        <f>VLOOKUP($D137,PID_TUNING_from_BP!$D:$T,10,0)</f>
        <v>5</v>
      </c>
    </row>
    <row r="138" spans="1:26" s="514" customFormat="1">
      <c r="A138" s="729" t="s">
        <v>5377</v>
      </c>
      <c r="B138" s="612"/>
      <c r="C138" s="909"/>
      <c r="D138" s="730" t="s">
        <v>5229</v>
      </c>
      <c r="E138" s="905"/>
      <c r="F138" s="871" t="s">
        <v>5229</v>
      </c>
      <c r="G138" s="853" t="s">
        <v>10657</v>
      </c>
      <c r="H138" s="755" t="str">
        <f>VLOOKUP($D138,PID_from_BP!$B:$I,2,0)</f>
        <v>COLD AIR INLET EZ2125B</v>
      </c>
      <c r="I138" s="853" t="s">
        <v>10657</v>
      </c>
      <c r="J138" s="765" t="str">
        <f>VLOOKUP($D138,PID_from_BP!$B:$I,2,0)</f>
        <v>COLD AIR INLET EZ2125B</v>
      </c>
      <c r="K138" s="853" t="s">
        <v>10638</v>
      </c>
      <c r="L138" s="728" t="str">
        <f>VLOOKUP($D138,PID_from_BP!$B:$I,5,0)</f>
        <v>DEGC</v>
      </c>
      <c r="M138" s="732">
        <v>60</v>
      </c>
      <c r="N138" s="728">
        <f>VLOOKUP($D138,PID_from_BP!$B:$I,3,0)</f>
        <v>60</v>
      </c>
      <c r="O138" s="732">
        <v>-20</v>
      </c>
      <c r="P138" s="728">
        <f>VLOOKUP($D138,PID_from_BP!$B:$I,4,0)</f>
        <v>-20</v>
      </c>
      <c r="Q138" s="732">
        <v>56.999243666725803</v>
      </c>
      <c r="R138" s="728"/>
      <c r="S138" s="853">
        <v>1</v>
      </c>
      <c r="T138" s="460">
        <v>1</v>
      </c>
      <c r="U138" s="853">
        <v>1</v>
      </c>
      <c r="V138" s="460">
        <v>1</v>
      </c>
      <c r="W138" s="853">
        <v>200</v>
      </c>
      <c r="X138" s="772">
        <f>VLOOKUP($D138,PID_TUNING_from_BP!$D:$T,9,0)</f>
        <v>30</v>
      </c>
      <c r="Y138" s="853">
        <v>1</v>
      </c>
      <c r="Z138" s="772">
        <f>VLOOKUP($D138,PID_TUNING_from_BP!$D:$T,10,0)</f>
        <v>5</v>
      </c>
    </row>
    <row r="139" spans="1:26">
      <c r="A139" s="756"/>
      <c r="B139" s="15"/>
      <c r="C139" s="714"/>
      <c r="D139" s="1061" t="s">
        <v>10447</v>
      </c>
      <c r="E139" s="905"/>
      <c r="F139" s="921" t="s">
        <v>10844</v>
      </c>
      <c r="G139" s="853" t="s">
        <v>10659</v>
      </c>
      <c r="H139" s="755" t="s">
        <v>9449</v>
      </c>
      <c r="I139" s="853" t="s">
        <v>10659</v>
      </c>
      <c r="J139" s="765" t="s">
        <v>9449</v>
      </c>
      <c r="K139" s="853" t="s">
        <v>10641</v>
      </c>
      <c r="L139" s="755"/>
      <c r="M139" s="761">
        <v>8000</v>
      </c>
      <c r="N139" s="755"/>
      <c r="O139" s="761">
        <v>0</v>
      </c>
      <c r="P139" s="755"/>
      <c r="Q139" s="761">
        <v>0</v>
      </c>
      <c r="R139" s="755"/>
      <c r="S139" s="853">
        <v>1</v>
      </c>
      <c r="T139" s="460">
        <v>1</v>
      </c>
      <c r="U139" s="853">
        <v>1</v>
      </c>
      <c r="V139" s="460">
        <v>1</v>
      </c>
      <c r="W139" s="853">
        <v>350</v>
      </c>
      <c r="X139" s="772"/>
      <c r="Y139" s="853">
        <v>0.2</v>
      </c>
      <c r="Z139" s="772"/>
    </row>
    <row r="140" spans="1:26">
      <c r="A140" s="756"/>
      <c r="B140" s="15"/>
      <c r="C140" s="714"/>
      <c r="D140" s="1061" t="s">
        <v>10447</v>
      </c>
      <c r="E140" s="905"/>
      <c r="F140" s="921" t="s">
        <v>10845</v>
      </c>
      <c r="G140" s="853" t="s">
        <v>10660</v>
      </c>
      <c r="H140" s="755" t="s">
        <v>9447</v>
      </c>
      <c r="I140" s="853" t="s">
        <v>10660</v>
      </c>
      <c r="J140" s="765" t="s">
        <v>9447</v>
      </c>
      <c r="K140" s="853" t="s">
        <v>10641</v>
      </c>
      <c r="L140" s="755"/>
      <c r="M140" s="761">
        <v>8000</v>
      </c>
      <c r="N140" s="755"/>
      <c r="O140" s="761">
        <v>0</v>
      </c>
      <c r="P140" s="755"/>
      <c r="Q140" s="761">
        <v>0</v>
      </c>
      <c r="R140" s="755"/>
      <c r="S140" s="853">
        <v>1</v>
      </c>
      <c r="T140" s="460">
        <v>1</v>
      </c>
      <c r="U140" s="853">
        <v>1</v>
      </c>
      <c r="V140" s="460">
        <v>1</v>
      </c>
      <c r="W140" s="853">
        <v>350</v>
      </c>
      <c r="X140" s="772"/>
      <c r="Y140" s="853">
        <v>0.2</v>
      </c>
      <c r="Z140" s="772"/>
    </row>
    <row r="141" spans="1:26">
      <c r="A141" s="756"/>
      <c r="B141" s="15"/>
      <c r="C141" s="714"/>
      <c r="D141" s="1061" t="s">
        <v>10447</v>
      </c>
      <c r="E141" s="905"/>
      <c r="F141" s="921" t="s">
        <v>10846</v>
      </c>
      <c r="G141" s="853" t="s">
        <v>10661</v>
      </c>
      <c r="H141" s="755" t="s">
        <v>9461</v>
      </c>
      <c r="I141" s="853" t="s">
        <v>10661</v>
      </c>
      <c r="J141" s="765" t="s">
        <v>9461</v>
      </c>
      <c r="K141" s="853" t="s">
        <v>10681</v>
      </c>
      <c r="L141" s="755"/>
      <c r="M141" s="761">
        <v>800</v>
      </c>
      <c r="N141" s="755"/>
      <c r="O141" s="761">
        <v>0</v>
      </c>
      <c r="P141" s="755"/>
      <c r="Q141" s="761">
        <v>0</v>
      </c>
      <c r="R141" s="755"/>
      <c r="S141" s="853">
        <v>1</v>
      </c>
      <c r="T141" s="460">
        <v>1</v>
      </c>
      <c r="U141" s="853">
        <v>1</v>
      </c>
      <c r="V141" s="460">
        <v>1</v>
      </c>
      <c r="W141" s="853">
        <v>300</v>
      </c>
      <c r="X141" s="772"/>
      <c r="Y141" s="853">
        <v>0.5</v>
      </c>
      <c r="Z141" s="772"/>
    </row>
    <row r="142" spans="1:26">
      <c r="A142" s="756"/>
      <c r="B142" s="15"/>
      <c r="C142" s="714"/>
      <c r="D142" s="1061" t="s">
        <v>10447</v>
      </c>
      <c r="E142" s="905"/>
      <c r="F142" s="921" t="s">
        <v>10847</v>
      </c>
      <c r="G142" s="853" t="s">
        <v>10662</v>
      </c>
      <c r="H142" s="755" t="s">
        <v>9459</v>
      </c>
      <c r="I142" s="853" t="s">
        <v>10662</v>
      </c>
      <c r="J142" s="765" t="s">
        <v>9459</v>
      </c>
      <c r="K142" s="853" t="s">
        <v>10639</v>
      </c>
      <c r="L142" s="755"/>
      <c r="M142" s="761">
        <v>100</v>
      </c>
      <c r="N142" s="755"/>
      <c r="O142" s="761">
        <v>0</v>
      </c>
      <c r="P142" s="755"/>
      <c r="Q142" s="761">
        <v>0</v>
      </c>
      <c r="R142" s="755"/>
      <c r="S142" s="853">
        <v>1</v>
      </c>
      <c r="T142" s="460">
        <v>1</v>
      </c>
      <c r="U142" s="853">
        <v>1</v>
      </c>
      <c r="V142" s="460">
        <v>1</v>
      </c>
      <c r="W142" s="853">
        <v>100</v>
      </c>
      <c r="X142" s="772"/>
      <c r="Y142" s="853">
        <v>0.5</v>
      </c>
      <c r="Z142" s="772"/>
    </row>
    <row r="143" spans="1:26">
      <c r="A143" s="756"/>
      <c r="B143" s="15"/>
      <c r="C143" s="714"/>
      <c r="D143" s="1061" t="s">
        <v>10447</v>
      </c>
      <c r="E143" s="905"/>
      <c r="F143" s="921" t="s">
        <v>909</v>
      </c>
      <c r="G143" s="853" t="s">
        <v>10654</v>
      </c>
      <c r="H143" s="755" t="s">
        <v>3059</v>
      </c>
      <c r="I143" s="853" t="s">
        <v>10654</v>
      </c>
      <c r="J143" s="765" t="s">
        <v>3059</v>
      </c>
      <c r="K143" s="853" t="s">
        <v>10643</v>
      </c>
      <c r="L143" s="755"/>
      <c r="M143" s="761">
        <v>100</v>
      </c>
      <c r="N143" s="755"/>
      <c r="O143" s="761">
        <v>0</v>
      </c>
      <c r="P143" s="755"/>
      <c r="Q143" s="761">
        <v>0</v>
      </c>
      <c r="R143" s="755"/>
      <c r="S143" s="853">
        <v>1</v>
      </c>
      <c r="T143" s="460">
        <v>1</v>
      </c>
      <c r="U143" s="853">
        <v>1</v>
      </c>
      <c r="V143" s="460">
        <v>1</v>
      </c>
      <c r="W143" s="853">
        <v>100</v>
      </c>
      <c r="X143" s="772"/>
      <c r="Y143" s="853">
        <v>2</v>
      </c>
      <c r="Z143" s="772"/>
    </row>
    <row r="144" spans="1:26">
      <c r="A144" s="756"/>
      <c r="B144" s="15"/>
      <c r="C144" s="714"/>
      <c r="D144" s="1061" t="s">
        <v>10447</v>
      </c>
      <c r="E144" s="905"/>
      <c r="F144" s="921" t="s">
        <v>912</v>
      </c>
      <c r="G144" s="853" t="s">
        <v>10663</v>
      </c>
      <c r="H144" s="755" t="s">
        <v>3302</v>
      </c>
      <c r="I144" s="853" t="s">
        <v>10663</v>
      </c>
      <c r="J144" s="765" t="s">
        <v>3302</v>
      </c>
      <c r="K144" s="853" t="s">
        <v>10640</v>
      </c>
      <c r="L144" s="755"/>
      <c r="M144" s="761">
        <v>100</v>
      </c>
      <c r="N144" s="755"/>
      <c r="O144" s="761">
        <v>0</v>
      </c>
      <c r="P144" s="755"/>
      <c r="Q144" s="761">
        <v>50.000109866053499</v>
      </c>
      <c r="R144" s="755"/>
      <c r="S144" s="853">
        <v>1</v>
      </c>
      <c r="T144" s="460">
        <v>1</v>
      </c>
      <c r="U144" s="853">
        <v>1</v>
      </c>
      <c r="V144" s="460">
        <v>1</v>
      </c>
      <c r="W144" s="853">
        <v>50</v>
      </c>
      <c r="X144" s="772"/>
      <c r="Y144" s="853">
        <v>2</v>
      </c>
      <c r="Z144" s="772"/>
    </row>
    <row r="145" spans="1:26">
      <c r="A145" s="756"/>
      <c r="B145" s="15"/>
      <c r="C145" s="714"/>
      <c r="D145" s="1061" t="s">
        <v>10447</v>
      </c>
      <c r="E145" s="905"/>
      <c r="F145" s="921" t="s">
        <v>10848</v>
      </c>
      <c r="G145" s="853" t="s">
        <v>10664</v>
      </c>
      <c r="H145" s="755" t="s">
        <v>9457</v>
      </c>
      <c r="I145" s="853" t="s">
        <v>10664</v>
      </c>
      <c r="J145" s="765" t="s">
        <v>7905</v>
      </c>
      <c r="K145" s="853" t="s">
        <v>10643</v>
      </c>
      <c r="L145" s="772" t="s">
        <v>8620</v>
      </c>
      <c r="M145" s="761">
        <v>100</v>
      </c>
      <c r="N145" s="755"/>
      <c r="O145" s="761">
        <v>0</v>
      </c>
      <c r="P145" s="755"/>
      <c r="Q145" s="761">
        <v>45.521706012000799</v>
      </c>
      <c r="R145" s="755"/>
      <c r="S145" s="853">
        <v>1</v>
      </c>
      <c r="T145" s="460">
        <v>1</v>
      </c>
      <c r="U145" s="853">
        <v>1</v>
      </c>
      <c r="V145" s="460">
        <v>1</v>
      </c>
      <c r="W145" s="853">
        <v>100</v>
      </c>
      <c r="X145" s="772"/>
      <c r="Y145" s="853">
        <v>0.5</v>
      </c>
      <c r="Z145" s="772"/>
    </row>
    <row r="146" spans="1:26">
      <c r="A146" s="756"/>
      <c r="B146" s="15"/>
      <c r="C146" s="714"/>
      <c r="D146" s="1061" t="s">
        <v>10447</v>
      </c>
      <c r="E146" s="905"/>
      <c r="F146" s="921" t="s">
        <v>10849</v>
      </c>
      <c r="G146" s="853" t="s">
        <v>10675</v>
      </c>
      <c r="H146" s="755" t="s">
        <v>9439</v>
      </c>
      <c r="I146" s="853" t="s">
        <v>10675</v>
      </c>
      <c r="J146" s="765" t="s">
        <v>9439</v>
      </c>
      <c r="K146" s="783"/>
      <c r="L146" s="772"/>
      <c r="M146" s="761">
        <v>35</v>
      </c>
      <c r="N146" s="755"/>
      <c r="O146" s="761">
        <v>0</v>
      </c>
      <c r="P146" s="755"/>
      <c r="Q146" s="761">
        <v>4.9998867935965503</v>
      </c>
      <c r="R146" s="755"/>
      <c r="S146" s="853">
        <v>1</v>
      </c>
      <c r="T146" s="460">
        <v>1</v>
      </c>
      <c r="U146" s="853">
        <v>1</v>
      </c>
      <c r="V146" s="460">
        <v>1</v>
      </c>
      <c r="W146" s="853">
        <v>200</v>
      </c>
      <c r="X146" s="772"/>
      <c r="Y146" s="853">
        <v>0.5</v>
      </c>
      <c r="Z146" s="772"/>
    </row>
    <row r="147" spans="1:26">
      <c r="A147" s="756"/>
      <c r="B147" s="15"/>
      <c r="C147" s="714"/>
      <c r="D147" s="1061" t="s">
        <v>10447</v>
      </c>
      <c r="E147" s="905"/>
      <c r="F147" s="921" t="s">
        <v>10850</v>
      </c>
      <c r="G147" s="853" t="s">
        <v>10665</v>
      </c>
      <c r="H147" s="755" t="s">
        <v>8702</v>
      </c>
      <c r="I147" s="853" t="s">
        <v>10665</v>
      </c>
      <c r="J147" s="765" t="s">
        <v>5918</v>
      </c>
      <c r="K147" s="853" t="s">
        <v>10642</v>
      </c>
      <c r="L147" s="772"/>
      <c r="M147" s="761">
        <v>10</v>
      </c>
      <c r="N147" s="755"/>
      <c r="O147" s="761">
        <v>0</v>
      </c>
      <c r="P147" s="755">
        <v>0</v>
      </c>
      <c r="Q147" s="761">
        <v>1.30001620017499</v>
      </c>
      <c r="R147" s="755"/>
      <c r="S147" s="853">
        <v>1</v>
      </c>
      <c r="T147" s="460">
        <v>1</v>
      </c>
      <c r="U147" s="853">
        <v>1</v>
      </c>
      <c r="V147" s="460">
        <v>1</v>
      </c>
      <c r="W147" s="853">
        <v>200</v>
      </c>
      <c r="X147" s="772"/>
      <c r="Y147" s="853">
        <v>0.2</v>
      </c>
      <c r="Z147" s="772"/>
    </row>
    <row r="148" spans="1:26">
      <c r="A148" s="756"/>
      <c r="B148" s="15"/>
      <c r="C148" s="714"/>
      <c r="D148" s="1061" t="s">
        <v>10447</v>
      </c>
      <c r="E148" s="905"/>
      <c r="F148" s="921" t="s">
        <v>10851</v>
      </c>
      <c r="G148" s="853" t="s">
        <v>10676</v>
      </c>
      <c r="H148" s="755" t="s">
        <v>5919</v>
      </c>
      <c r="I148" s="853" t="s">
        <v>10676</v>
      </c>
      <c r="J148" s="765" t="s">
        <v>5919</v>
      </c>
      <c r="K148" s="853" t="s">
        <v>10642</v>
      </c>
      <c r="L148" s="755"/>
      <c r="M148" s="761">
        <v>10</v>
      </c>
      <c r="N148" s="755"/>
      <c r="O148" s="761">
        <v>0</v>
      </c>
      <c r="P148" s="755">
        <v>0</v>
      </c>
      <c r="Q148" s="761">
        <v>1.1999999023652299</v>
      </c>
      <c r="R148" s="755"/>
      <c r="S148" s="853">
        <v>1</v>
      </c>
      <c r="T148" s="460">
        <v>1</v>
      </c>
      <c r="U148" s="853">
        <v>1</v>
      </c>
      <c r="V148" s="460">
        <v>1</v>
      </c>
      <c r="W148" s="853">
        <v>200</v>
      </c>
      <c r="X148" s="772"/>
      <c r="Y148" s="853">
        <v>0.2</v>
      </c>
      <c r="Z148" s="772"/>
    </row>
    <row r="149" spans="1:26">
      <c r="A149" s="756"/>
      <c r="B149" s="15"/>
      <c r="C149" s="714"/>
      <c r="D149" s="1061" t="s">
        <v>10447</v>
      </c>
      <c r="E149" s="905"/>
      <c r="F149" s="921" t="s">
        <v>10852</v>
      </c>
      <c r="G149" s="853" t="s">
        <v>10666</v>
      </c>
      <c r="H149" s="755" t="s">
        <v>9442</v>
      </c>
      <c r="I149" s="853" t="s">
        <v>10666</v>
      </c>
      <c r="J149" s="765" t="s">
        <v>9442</v>
      </c>
      <c r="K149" s="853" t="s">
        <v>10642</v>
      </c>
      <c r="L149" s="755"/>
      <c r="M149" s="761">
        <v>10</v>
      </c>
      <c r="N149" s="755"/>
      <c r="O149" s="761">
        <v>0</v>
      </c>
      <c r="P149" s="755"/>
      <c r="Q149" s="761">
        <v>2.02258496196727</v>
      </c>
      <c r="R149" s="755"/>
      <c r="S149" s="853">
        <v>1</v>
      </c>
      <c r="T149" s="460">
        <v>1</v>
      </c>
      <c r="U149" s="853">
        <v>1</v>
      </c>
      <c r="V149" s="460">
        <v>1</v>
      </c>
      <c r="W149" s="853">
        <v>200</v>
      </c>
      <c r="X149" s="772"/>
      <c r="Y149" s="853">
        <v>0.2</v>
      </c>
      <c r="Z149" s="772"/>
    </row>
    <row r="150" spans="1:26">
      <c r="A150" s="756"/>
      <c r="B150" s="15"/>
      <c r="C150" s="714"/>
      <c r="D150" s="1061" t="s">
        <v>10447</v>
      </c>
      <c r="E150" s="905"/>
      <c r="F150" s="921" t="s">
        <v>10853</v>
      </c>
      <c r="G150" s="853" t="s">
        <v>10677</v>
      </c>
      <c r="H150" s="755" t="s">
        <v>9441</v>
      </c>
      <c r="I150" s="853" t="s">
        <v>10677</v>
      </c>
      <c r="J150" s="765" t="s">
        <v>9441</v>
      </c>
      <c r="K150" s="853" t="s">
        <v>10642</v>
      </c>
      <c r="L150" s="755"/>
      <c r="M150" s="761">
        <v>10</v>
      </c>
      <c r="N150" s="755"/>
      <c r="O150" s="761">
        <v>0</v>
      </c>
      <c r="P150" s="755"/>
      <c r="Q150" s="761">
        <v>1.39999996201567</v>
      </c>
      <c r="R150" s="755"/>
      <c r="S150" s="853">
        <v>1</v>
      </c>
      <c r="T150" s="460">
        <v>1</v>
      </c>
      <c r="U150" s="853">
        <v>1</v>
      </c>
      <c r="V150" s="460">
        <v>1</v>
      </c>
      <c r="W150" s="853">
        <v>200</v>
      </c>
      <c r="X150" s="772"/>
      <c r="Y150" s="853">
        <v>0.2</v>
      </c>
      <c r="Z150" s="772"/>
    </row>
    <row r="151" spans="1:26">
      <c r="A151" s="756"/>
      <c r="B151" s="15"/>
      <c r="C151" s="714"/>
      <c r="D151" s="1061" t="s">
        <v>10447</v>
      </c>
      <c r="E151" s="905"/>
      <c r="F151" s="921" t="s">
        <v>10854</v>
      </c>
      <c r="G151" s="853" t="s">
        <v>10667</v>
      </c>
      <c r="H151" s="755" t="s">
        <v>9440</v>
      </c>
      <c r="I151" s="853" t="s">
        <v>10667</v>
      </c>
      <c r="J151" s="765" t="s">
        <v>9440</v>
      </c>
      <c r="K151" s="853" t="s">
        <v>10642</v>
      </c>
      <c r="L151" s="755"/>
      <c r="M151" s="761">
        <v>10</v>
      </c>
      <c r="N151" s="755"/>
      <c r="O151" s="761">
        <v>0</v>
      </c>
      <c r="P151" s="755"/>
      <c r="Q151" s="761">
        <v>1.20000973899804</v>
      </c>
      <c r="R151" s="755"/>
      <c r="S151" s="853">
        <v>1</v>
      </c>
      <c r="T151" s="460">
        <v>1</v>
      </c>
      <c r="U151" s="853">
        <v>1</v>
      </c>
      <c r="V151" s="460">
        <v>1</v>
      </c>
      <c r="W151" s="853">
        <v>200</v>
      </c>
      <c r="X151" s="772"/>
      <c r="Y151" s="853">
        <v>0.2</v>
      </c>
      <c r="Z151" s="772"/>
    </row>
    <row r="152" spans="1:26">
      <c r="A152" s="756"/>
      <c r="B152" s="15"/>
      <c r="C152" s="714"/>
      <c r="D152" s="1061" t="s">
        <v>10447</v>
      </c>
      <c r="E152" s="905"/>
      <c r="F152" s="921" t="s">
        <v>10855</v>
      </c>
      <c r="G152" s="853" t="s">
        <v>10668</v>
      </c>
      <c r="H152" s="755" t="s">
        <v>8706</v>
      </c>
      <c r="I152" s="853" t="s">
        <v>10668</v>
      </c>
      <c r="J152" s="765" t="s">
        <v>5970</v>
      </c>
      <c r="K152" s="853" t="s">
        <v>10642</v>
      </c>
      <c r="L152" s="755"/>
      <c r="M152" s="761">
        <v>10</v>
      </c>
      <c r="N152" s="755"/>
      <c r="O152" s="761">
        <v>0</v>
      </c>
      <c r="P152" s="755">
        <v>0</v>
      </c>
      <c r="Q152" s="761">
        <v>0.60148575865978704</v>
      </c>
      <c r="R152" s="755"/>
      <c r="S152" s="853">
        <v>1</v>
      </c>
      <c r="T152" s="460">
        <v>1</v>
      </c>
      <c r="U152" s="853">
        <v>1</v>
      </c>
      <c r="V152" s="460">
        <v>1</v>
      </c>
      <c r="W152" s="853">
        <v>200</v>
      </c>
      <c r="X152" s="772"/>
      <c r="Y152" s="853">
        <v>0.2</v>
      </c>
      <c r="Z152" s="772"/>
    </row>
    <row r="153" spans="1:26">
      <c r="A153" s="756"/>
      <c r="B153" s="15"/>
      <c r="C153" s="714"/>
      <c r="D153" s="1061" t="s">
        <v>10447</v>
      </c>
      <c r="E153" s="905"/>
      <c r="F153" s="921" t="s">
        <v>10856</v>
      </c>
      <c r="G153" s="853" t="s">
        <v>10669</v>
      </c>
      <c r="H153" s="755" t="s">
        <v>5971</v>
      </c>
      <c r="I153" s="853" t="s">
        <v>10669</v>
      </c>
      <c r="J153" s="765" t="s">
        <v>5971</v>
      </c>
      <c r="K153" s="853" t="s">
        <v>10642</v>
      </c>
      <c r="L153" s="755"/>
      <c r="M153" s="761">
        <v>10</v>
      </c>
      <c r="N153" s="755"/>
      <c r="O153" s="761">
        <v>0</v>
      </c>
      <c r="P153" s="755">
        <v>0</v>
      </c>
      <c r="Q153" s="761">
        <v>1.4000249916499701</v>
      </c>
      <c r="R153" s="755"/>
      <c r="S153" s="853">
        <v>1</v>
      </c>
      <c r="T153" s="460">
        <v>1</v>
      </c>
      <c r="U153" s="853">
        <v>1</v>
      </c>
      <c r="V153" s="460">
        <v>1</v>
      </c>
      <c r="W153" s="853">
        <v>200</v>
      </c>
      <c r="X153" s="772"/>
      <c r="Y153" s="853">
        <v>0.2</v>
      </c>
      <c r="Z153" s="772"/>
    </row>
    <row r="154" spans="1:26">
      <c r="A154" s="756"/>
      <c r="B154" s="15"/>
      <c r="C154" s="714"/>
      <c r="D154" s="1061" t="s">
        <v>10447</v>
      </c>
      <c r="E154" s="905"/>
      <c r="F154" s="921" t="s">
        <v>10857</v>
      </c>
      <c r="G154" s="853" t="s">
        <v>10670</v>
      </c>
      <c r="H154" s="755" t="s">
        <v>5972</v>
      </c>
      <c r="I154" s="853" t="s">
        <v>10670</v>
      </c>
      <c r="J154" s="765" t="s">
        <v>5972</v>
      </c>
      <c r="K154" s="853" t="s">
        <v>10642</v>
      </c>
      <c r="L154" s="755"/>
      <c r="M154" s="761">
        <v>10</v>
      </c>
      <c r="N154" s="755"/>
      <c r="O154" s="761">
        <v>0</v>
      </c>
      <c r="P154" s="755">
        <v>0</v>
      </c>
      <c r="Q154" s="761">
        <v>1.2999999968854401</v>
      </c>
      <c r="R154" s="755"/>
      <c r="S154" s="853">
        <v>1</v>
      </c>
      <c r="T154" s="460">
        <v>1</v>
      </c>
      <c r="U154" s="853">
        <v>1</v>
      </c>
      <c r="V154" s="460">
        <v>1</v>
      </c>
      <c r="W154" s="853">
        <v>200</v>
      </c>
      <c r="X154" s="772"/>
      <c r="Y154" s="853">
        <v>0.2</v>
      </c>
      <c r="Z154" s="772"/>
    </row>
    <row r="155" spans="1:26">
      <c r="A155" s="756"/>
      <c r="B155" s="15"/>
      <c r="C155" s="714"/>
      <c r="D155" s="1061" t="s">
        <v>10447</v>
      </c>
      <c r="E155" s="905"/>
      <c r="F155" s="921" t="s">
        <v>10858</v>
      </c>
      <c r="G155" s="853" t="s">
        <v>10659</v>
      </c>
      <c r="H155" s="755" t="s">
        <v>9449</v>
      </c>
      <c r="I155" s="853" t="s">
        <v>10659</v>
      </c>
      <c r="J155" s="765" t="s">
        <v>9449</v>
      </c>
      <c r="K155" s="853" t="s">
        <v>10642</v>
      </c>
      <c r="L155" s="755"/>
      <c r="M155" s="761">
        <v>10</v>
      </c>
      <c r="N155" s="755"/>
      <c r="O155" s="761">
        <v>0</v>
      </c>
      <c r="P155" s="755"/>
      <c r="Q155" s="761">
        <v>5.4000000000000199</v>
      </c>
      <c r="R155" s="755"/>
      <c r="S155" s="853">
        <v>1</v>
      </c>
      <c r="T155" s="460">
        <v>1</v>
      </c>
      <c r="U155" s="853">
        <v>1</v>
      </c>
      <c r="V155" s="460">
        <v>1</v>
      </c>
      <c r="W155" s="853">
        <v>100</v>
      </c>
      <c r="X155" s="772"/>
      <c r="Y155" s="853">
        <v>0.5</v>
      </c>
      <c r="Z155" s="772"/>
    </row>
    <row r="156" spans="1:26">
      <c r="A156" s="756"/>
      <c r="B156" s="15"/>
      <c r="C156" s="714"/>
      <c r="D156" s="1061" t="s">
        <v>10447</v>
      </c>
      <c r="E156" s="905"/>
      <c r="F156" s="921" t="s">
        <v>10859</v>
      </c>
      <c r="G156" s="853" t="s">
        <v>10671</v>
      </c>
      <c r="H156" s="755" t="s">
        <v>9445</v>
      </c>
      <c r="I156" s="853" t="s">
        <v>10671</v>
      </c>
      <c r="J156" s="765" t="s">
        <v>9445</v>
      </c>
      <c r="K156" s="853" t="s">
        <v>10642</v>
      </c>
      <c r="L156" s="755"/>
      <c r="M156" s="761">
        <v>10</v>
      </c>
      <c r="N156" s="755"/>
      <c r="O156" s="761">
        <v>0</v>
      </c>
      <c r="P156" s="755"/>
      <c r="Q156" s="761">
        <v>5.4367831725298599</v>
      </c>
      <c r="R156" s="755"/>
      <c r="S156" s="853">
        <v>1</v>
      </c>
      <c r="T156" s="460">
        <v>1</v>
      </c>
      <c r="U156" s="853">
        <v>1</v>
      </c>
      <c r="V156" s="460">
        <v>1</v>
      </c>
      <c r="W156" s="853">
        <v>100</v>
      </c>
      <c r="X156" s="772"/>
      <c r="Y156" s="853">
        <v>0.5</v>
      </c>
      <c r="Z156" s="772"/>
    </row>
    <row r="157" spans="1:26">
      <c r="A157" s="756"/>
      <c r="B157" s="15"/>
      <c r="C157" s="714"/>
      <c r="D157" s="1061" t="s">
        <v>10447</v>
      </c>
      <c r="E157" s="905"/>
      <c r="F157" s="921" t="s">
        <v>10860</v>
      </c>
      <c r="G157" s="853" t="s">
        <v>10671</v>
      </c>
      <c r="H157" s="755" t="s">
        <v>9445</v>
      </c>
      <c r="I157" s="853" t="s">
        <v>10671</v>
      </c>
      <c r="J157" s="765" t="s">
        <v>9445</v>
      </c>
      <c r="K157" s="853" t="s">
        <v>10642</v>
      </c>
      <c r="L157" s="755"/>
      <c r="M157" s="761">
        <v>5</v>
      </c>
      <c r="N157" s="755"/>
      <c r="O157" s="761">
        <v>0</v>
      </c>
      <c r="P157" s="755"/>
      <c r="Q157" s="761">
        <v>3.5039045778705602</v>
      </c>
      <c r="R157" s="755"/>
      <c r="S157" s="853">
        <v>1</v>
      </c>
      <c r="T157" s="460">
        <v>1</v>
      </c>
      <c r="U157" s="853">
        <v>1</v>
      </c>
      <c r="V157" s="460">
        <v>1</v>
      </c>
      <c r="W157" s="853">
        <v>100</v>
      </c>
      <c r="X157" s="772"/>
      <c r="Y157" s="853">
        <v>0.5</v>
      </c>
      <c r="Z157" s="772"/>
    </row>
    <row r="158" spans="1:26">
      <c r="A158" s="756"/>
      <c r="B158" s="15"/>
      <c r="C158" s="714"/>
      <c r="D158" s="1061" t="s">
        <v>10447</v>
      </c>
      <c r="E158" s="905"/>
      <c r="F158" s="921" t="s">
        <v>10861</v>
      </c>
      <c r="G158" s="853" t="s">
        <v>10671</v>
      </c>
      <c r="H158" s="755" t="s">
        <v>9445</v>
      </c>
      <c r="I158" s="853" t="s">
        <v>10671</v>
      </c>
      <c r="J158" s="765" t="s">
        <v>9445</v>
      </c>
      <c r="K158" s="853" t="s">
        <v>10642</v>
      </c>
      <c r="L158" s="755"/>
      <c r="M158" s="761">
        <v>5</v>
      </c>
      <c r="N158" s="755"/>
      <c r="O158" s="761">
        <v>0</v>
      </c>
      <c r="P158" s="755"/>
      <c r="Q158" s="761">
        <v>3.5039045778705602</v>
      </c>
      <c r="R158" s="755"/>
      <c r="S158" s="853">
        <v>1</v>
      </c>
      <c r="T158" s="460">
        <v>1</v>
      </c>
      <c r="U158" s="853">
        <v>1</v>
      </c>
      <c r="V158" s="460">
        <v>1</v>
      </c>
      <c r="W158" s="853">
        <v>100</v>
      </c>
      <c r="X158" s="772"/>
      <c r="Y158" s="853">
        <v>0.5</v>
      </c>
      <c r="Z158" s="772"/>
    </row>
    <row r="159" spans="1:26">
      <c r="A159" s="756"/>
      <c r="B159" s="15"/>
      <c r="C159" s="714"/>
      <c r="D159" s="1061" t="s">
        <v>10447</v>
      </c>
      <c r="E159" s="905"/>
      <c r="F159" s="921" t="s">
        <v>10862</v>
      </c>
      <c r="G159" s="853" t="s">
        <v>10671</v>
      </c>
      <c r="H159" s="755" t="s">
        <v>9445</v>
      </c>
      <c r="I159" s="853" t="s">
        <v>10671</v>
      </c>
      <c r="J159" s="765" t="s">
        <v>9445</v>
      </c>
      <c r="K159" s="853" t="s">
        <v>10642</v>
      </c>
      <c r="L159" s="755"/>
      <c r="M159" s="761">
        <v>5</v>
      </c>
      <c r="N159" s="755"/>
      <c r="O159" s="761">
        <v>0</v>
      </c>
      <c r="P159" s="755"/>
      <c r="Q159" s="761">
        <v>3.5039045778705602</v>
      </c>
      <c r="R159" s="755"/>
      <c r="S159" s="853">
        <v>1</v>
      </c>
      <c r="T159" s="460">
        <v>1</v>
      </c>
      <c r="U159" s="853">
        <v>1</v>
      </c>
      <c r="V159" s="460">
        <v>1</v>
      </c>
      <c r="W159" s="853">
        <v>100</v>
      </c>
      <c r="X159" s="772"/>
      <c r="Y159" s="853">
        <v>0.5</v>
      </c>
      <c r="Z159" s="772"/>
    </row>
    <row r="160" spans="1:26">
      <c r="A160" s="756"/>
      <c r="B160" s="15"/>
      <c r="C160" s="714"/>
      <c r="D160" s="1061" t="s">
        <v>10447</v>
      </c>
      <c r="E160" s="905"/>
      <c r="F160" s="921" t="s">
        <v>10863</v>
      </c>
      <c r="G160" s="853" t="s">
        <v>10660</v>
      </c>
      <c r="H160" s="755" t="s">
        <v>9447</v>
      </c>
      <c r="I160" s="853" t="s">
        <v>10660</v>
      </c>
      <c r="J160" s="765" t="s">
        <v>9447</v>
      </c>
      <c r="K160" s="853" t="s">
        <v>10642</v>
      </c>
      <c r="L160" s="755"/>
      <c r="M160" s="761">
        <v>10</v>
      </c>
      <c r="N160" s="755"/>
      <c r="O160" s="761">
        <v>0</v>
      </c>
      <c r="P160" s="755"/>
      <c r="Q160" s="761">
        <v>5.3868747853671701</v>
      </c>
      <c r="R160" s="755"/>
      <c r="S160" s="853">
        <v>1</v>
      </c>
      <c r="T160" s="460">
        <v>1</v>
      </c>
      <c r="U160" s="853">
        <v>1</v>
      </c>
      <c r="V160" s="460">
        <v>1</v>
      </c>
      <c r="W160" s="853">
        <v>100</v>
      </c>
      <c r="X160" s="772"/>
      <c r="Y160" s="853">
        <v>0.5</v>
      </c>
      <c r="Z160" s="772"/>
    </row>
    <row r="161" spans="1:26">
      <c r="A161" s="756"/>
      <c r="B161" s="15"/>
      <c r="C161" s="714"/>
      <c r="D161" s="1061" t="s">
        <v>10447</v>
      </c>
      <c r="E161" s="905"/>
      <c r="F161" s="921" t="s">
        <v>10864</v>
      </c>
      <c r="G161" s="853" t="s">
        <v>10672</v>
      </c>
      <c r="H161" s="765" t="s">
        <v>9458</v>
      </c>
      <c r="I161" s="853" t="s">
        <v>10672</v>
      </c>
      <c r="J161" s="765" t="s">
        <v>9458</v>
      </c>
      <c r="K161" s="853" t="s">
        <v>10642</v>
      </c>
      <c r="L161" s="755"/>
      <c r="M161" s="761">
        <v>10</v>
      </c>
      <c r="N161" s="755"/>
      <c r="O161" s="761">
        <v>0</v>
      </c>
      <c r="P161" s="755"/>
      <c r="Q161" s="761">
        <v>2.0454042384124</v>
      </c>
      <c r="R161" s="755"/>
      <c r="S161" s="853">
        <v>1</v>
      </c>
      <c r="T161" s="460">
        <v>1</v>
      </c>
      <c r="U161" s="853">
        <v>1</v>
      </c>
      <c r="V161" s="460">
        <v>1</v>
      </c>
      <c r="W161" s="853">
        <v>200</v>
      </c>
      <c r="X161" s="772"/>
      <c r="Y161" s="853">
        <v>0.2</v>
      </c>
      <c r="Z161" s="772"/>
    </row>
    <row r="162" spans="1:26">
      <c r="A162" s="756"/>
      <c r="B162" s="15"/>
      <c r="C162" s="714"/>
      <c r="D162" s="1061" t="s">
        <v>10447</v>
      </c>
      <c r="E162" s="905"/>
      <c r="F162" s="921" t="s">
        <v>10865</v>
      </c>
      <c r="G162" s="853" t="s">
        <v>10673</v>
      </c>
      <c r="H162" s="765" t="s">
        <v>9456</v>
      </c>
      <c r="I162" s="853" t="s">
        <v>10673</v>
      </c>
      <c r="J162" s="765" t="s">
        <v>9456</v>
      </c>
      <c r="K162" s="853" t="s">
        <v>10642</v>
      </c>
      <c r="L162" s="755"/>
      <c r="M162" s="761">
        <v>20</v>
      </c>
      <c r="N162" s="755"/>
      <c r="O162" s="761">
        <v>0</v>
      </c>
      <c r="P162" s="755"/>
      <c r="Q162" s="761">
        <v>4.4857875411829902</v>
      </c>
      <c r="R162" s="755"/>
      <c r="S162" s="853">
        <v>1</v>
      </c>
      <c r="T162" s="460">
        <v>1</v>
      </c>
      <c r="U162" s="853">
        <v>1</v>
      </c>
      <c r="V162" s="460">
        <v>1</v>
      </c>
      <c r="W162" s="853">
        <v>400</v>
      </c>
      <c r="X162" s="772"/>
      <c r="Y162" s="853">
        <v>0.5</v>
      </c>
      <c r="Z162" s="772"/>
    </row>
    <row r="163" spans="1:26">
      <c r="A163" s="756"/>
      <c r="B163" s="15"/>
      <c r="C163" s="714"/>
      <c r="D163" s="1061" t="s">
        <v>10447</v>
      </c>
      <c r="E163" s="905"/>
      <c r="F163" s="921" t="s">
        <v>10866</v>
      </c>
      <c r="G163" s="853" t="s">
        <v>10655</v>
      </c>
      <c r="H163" s="765" t="s">
        <v>3869</v>
      </c>
      <c r="I163" s="853" t="s">
        <v>10655</v>
      </c>
      <c r="J163" s="765" t="s">
        <v>3869</v>
      </c>
      <c r="K163" s="853" t="s">
        <v>10680</v>
      </c>
      <c r="L163" s="755" t="s">
        <v>6245</v>
      </c>
      <c r="M163" s="761">
        <v>5</v>
      </c>
      <c r="N163" s="755"/>
      <c r="O163" s="761">
        <v>0</v>
      </c>
      <c r="P163" s="755"/>
      <c r="Q163" s="761">
        <v>3.3004839300361701</v>
      </c>
      <c r="R163" s="755"/>
      <c r="S163" s="853">
        <v>1</v>
      </c>
      <c r="T163" s="460">
        <v>1</v>
      </c>
      <c r="U163" s="853">
        <v>1</v>
      </c>
      <c r="V163" s="460">
        <v>1</v>
      </c>
      <c r="W163" s="853">
        <v>100</v>
      </c>
      <c r="X163" s="772"/>
      <c r="Y163" s="853">
        <v>0.5</v>
      </c>
      <c r="Z163" s="772"/>
    </row>
    <row r="164" spans="1:26">
      <c r="A164" s="756"/>
      <c r="B164" s="15"/>
      <c r="C164" s="714"/>
      <c r="D164" s="1061" t="s">
        <v>10447</v>
      </c>
      <c r="E164" s="905"/>
      <c r="F164" s="921" t="s">
        <v>9345</v>
      </c>
      <c r="G164" s="783"/>
      <c r="H164" s="765"/>
      <c r="I164" s="783"/>
      <c r="J164" s="765"/>
      <c r="K164" s="853" t="s">
        <v>10638</v>
      </c>
      <c r="L164" s="755"/>
      <c r="M164" s="761">
        <v>200</v>
      </c>
      <c r="N164" s="755"/>
      <c r="O164" s="761">
        <v>0</v>
      </c>
      <c r="P164" s="755"/>
      <c r="Q164" s="761">
        <v>99.999996710580504</v>
      </c>
      <c r="R164" s="755"/>
      <c r="S164" s="853">
        <v>1</v>
      </c>
      <c r="T164" s="460">
        <v>1</v>
      </c>
      <c r="U164" s="853">
        <v>1</v>
      </c>
      <c r="V164" s="460">
        <v>1</v>
      </c>
      <c r="W164" s="853">
        <v>100</v>
      </c>
      <c r="X164" s="772"/>
      <c r="Y164" s="853">
        <v>0.5</v>
      </c>
      <c r="Z164" s="772"/>
    </row>
    <row r="165" spans="1:26">
      <c r="A165" s="756"/>
      <c r="B165" s="15"/>
      <c r="C165" s="714"/>
      <c r="D165" s="1061" t="s">
        <v>10447</v>
      </c>
      <c r="E165" s="905"/>
      <c r="F165" s="921" t="s">
        <v>10867</v>
      </c>
      <c r="G165" s="853" t="s">
        <v>10678</v>
      </c>
      <c r="H165" s="765" t="s">
        <v>9450</v>
      </c>
      <c r="I165" s="853" t="s">
        <v>10678</v>
      </c>
      <c r="J165" s="765" t="s">
        <v>9450</v>
      </c>
      <c r="K165" s="853" t="s">
        <v>10638</v>
      </c>
      <c r="L165" s="755"/>
      <c r="M165" s="761">
        <v>150</v>
      </c>
      <c r="N165" s="755"/>
      <c r="O165" s="761">
        <v>0</v>
      </c>
      <c r="P165" s="755"/>
      <c r="Q165" s="761">
        <v>46.0635133922395</v>
      </c>
      <c r="R165" s="755"/>
      <c r="S165" s="853">
        <v>1</v>
      </c>
      <c r="T165" s="460">
        <v>1</v>
      </c>
      <c r="U165" s="853">
        <v>1</v>
      </c>
      <c r="V165" s="460">
        <v>1</v>
      </c>
      <c r="W165" s="853">
        <v>100</v>
      </c>
      <c r="X165" s="772"/>
      <c r="Y165" s="853">
        <v>0.2</v>
      </c>
      <c r="Z165" s="772"/>
    </row>
    <row r="166" spans="1:26">
      <c r="A166" s="756"/>
      <c r="B166" s="15"/>
      <c r="C166" s="714"/>
      <c r="D166" s="1061" t="s">
        <v>10447</v>
      </c>
      <c r="E166" s="905"/>
      <c r="F166" s="921" t="s">
        <v>6246</v>
      </c>
      <c r="G166" s="853" t="s">
        <v>10674</v>
      </c>
      <c r="H166" s="765" t="s">
        <v>9455</v>
      </c>
      <c r="I166" s="853" t="s">
        <v>10674</v>
      </c>
      <c r="J166" s="765" t="s">
        <v>9455</v>
      </c>
      <c r="K166" s="853" t="s">
        <v>10638</v>
      </c>
      <c r="L166" s="755"/>
      <c r="M166" s="761">
        <v>500</v>
      </c>
      <c r="N166" s="755"/>
      <c r="O166" s="761">
        <v>0</v>
      </c>
      <c r="P166" s="755"/>
      <c r="Q166" s="761">
        <v>222.702485430275</v>
      </c>
      <c r="R166" s="755"/>
      <c r="S166" s="853">
        <v>1</v>
      </c>
      <c r="T166" s="460">
        <v>1</v>
      </c>
      <c r="U166" s="853">
        <v>1</v>
      </c>
      <c r="V166" s="460">
        <v>1</v>
      </c>
      <c r="W166" s="853">
        <v>150</v>
      </c>
      <c r="X166" s="772"/>
      <c r="Y166" s="853">
        <v>10</v>
      </c>
      <c r="Z166" s="772"/>
    </row>
  </sheetData>
  <sheetProtection sheet="1" objects="1" scenarios="1" formatCells="0" formatColumns="0" formatRows="0" insertColumns="0" insertRows="0" insertHyperlinks="0" deleteColumns="0" deleteRows="0" sort="0" autoFilter="0" pivotTables="0"/>
  <sortState ref="A135:WWL140">
    <sortCondition ref="F135:F140"/>
  </sortState>
  <dataConsolidate/>
  <mergeCells count="11">
    <mergeCell ref="S1:T1"/>
    <mergeCell ref="U1:V1"/>
    <mergeCell ref="W1:X1"/>
    <mergeCell ref="Y1:Z1"/>
    <mergeCell ref="Q1:R1"/>
    <mergeCell ref="G1:H1"/>
    <mergeCell ref="E3:F3"/>
    <mergeCell ref="K1:L1"/>
    <mergeCell ref="M1:N1"/>
    <mergeCell ref="O1:P1"/>
    <mergeCell ref="I1:J1"/>
  </mergeCells>
  <phoneticPr fontId="14" type="noConversion"/>
  <conditionalFormatting sqref="A1">
    <cfRule type="cellIs" dxfId="76" priority="51" stopIfTrue="1" operator="equal">
      <formula>"NOK"</formula>
    </cfRule>
  </conditionalFormatting>
  <conditionalFormatting sqref="G5:G20 W5:W166 K5:K166 I5:I166 M5:M166 O5:O166 G22:G166 Q5:Q166 Y5:Y166 S5:S166 U5:U166">
    <cfRule type="cellIs" dxfId="75" priority="50" stopIfTrue="1" operator="notEqual">
      <formula>H5</formula>
    </cfRule>
  </conditionalFormatting>
  <conditionalFormatting sqref="G113:G115 O113:O115 M113:M115 I113:I115 K113:K115">
    <cfRule type="cellIs" dxfId="74" priority="32" stopIfTrue="1" operator="notEqual">
      <formula>H113</formula>
    </cfRule>
  </conditionalFormatting>
  <conditionalFormatting sqref="I130">
    <cfRule type="cellIs" dxfId="73" priority="25" stopIfTrue="1" operator="notEqual">
      <formula>J130</formula>
    </cfRule>
  </conditionalFormatting>
  <conditionalFormatting sqref="G130 O130 M130 K130">
    <cfRule type="cellIs" dxfId="72" priority="29" stopIfTrue="1" operator="notEqual">
      <formula>H130</formula>
    </cfRule>
  </conditionalFormatting>
  <conditionalFormatting sqref="I130">
    <cfRule type="cellIs" dxfId="71" priority="28" stopIfTrue="1" operator="notEqual">
      <formula>J130</formula>
    </cfRule>
  </conditionalFormatting>
  <conditionalFormatting sqref="G130 O130 I130 M130 K130">
    <cfRule type="cellIs" dxfId="70" priority="27" stopIfTrue="1" operator="notEqual">
      <formula>H130</formula>
    </cfRule>
  </conditionalFormatting>
  <conditionalFormatting sqref="O130 G130 M130 K130">
    <cfRule type="cellIs" dxfId="69" priority="26" stopIfTrue="1" operator="notEqual">
      <formula>H130</formula>
    </cfRule>
  </conditionalFormatting>
  <conditionalFormatting sqref="G137 O137 M137 I137 K137">
    <cfRule type="cellIs" dxfId="68" priority="24" stopIfTrue="1" operator="notEqual">
      <formula>H137</formula>
    </cfRule>
  </conditionalFormatting>
  <conditionalFormatting sqref="G138 O138 M138 I138 K138">
    <cfRule type="cellIs" dxfId="67" priority="23" stopIfTrue="1" operator="notEqual">
      <formula>H138</formula>
    </cfRule>
  </conditionalFormatting>
  <conditionalFormatting sqref="O136 M136 I136 K136 G136">
    <cfRule type="cellIs" dxfId="66" priority="22" stopIfTrue="1" operator="notEqual">
      <formula>H136</formula>
    </cfRule>
  </conditionalFormatting>
  <conditionalFormatting sqref="G70 O70 M70 I70 K70">
    <cfRule type="cellIs" dxfId="65" priority="21" stopIfTrue="1" operator="notEqual">
      <formula>H70</formula>
    </cfRule>
  </conditionalFormatting>
  <conditionalFormatting sqref="G71 O71 M71 I71 K71">
    <cfRule type="cellIs" dxfId="64" priority="20" stopIfTrue="1" operator="notEqual">
      <formula>H71</formula>
    </cfRule>
  </conditionalFormatting>
  <conditionalFormatting sqref="G72 O72 M72 I72 K72">
    <cfRule type="cellIs" dxfId="63" priority="19" stopIfTrue="1" operator="notEqual">
      <formula>H72</formula>
    </cfRule>
  </conditionalFormatting>
  <conditionalFormatting sqref="G73 O73 M73 I73 K73">
    <cfRule type="cellIs" dxfId="62" priority="18" stopIfTrue="1" operator="notEqual">
      <formula>H73</formula>
    </cfRule>
  </conditionalFormatting>
  <conditionalFormatting sqref="W113:W115">
    <cfRule type="cellIs" dxfId="61" priority="14" stopIfTrue="1" operator="notEqual">
      <formula>X113</formula>
    </cfRule>
  </conditionalFormatting>
  <conditionalFormatting sqref="W130">
    <cfRule type="cellIs" dxfId="60" priority="12" stopIfTrue="1" operator="notEqual">
      <formula>X130</formula>
    </cfRule>
  </conditionalFormatting>
  <conditionalFormatting sqref="W130">
    <cfRule type="cellIs" dxfId="59" priority="11" stopIfTrue="1" operator="notEqual">
      <formula>X130</formula>
    </cfRule>
  </conditionalFormatting>
  <conditionalFormatting sqref="W130">
    <cfRule type="cellIs" dxfId="58" priority="10" stopIfTrue="1" operator="notEqual">
      <formula>X130</formula>
    </cfRule>
  </conditionalFormatting>
  <conditionalFormatting sqref="W137">
    <cfRule type="cellIs" dxfId="57" priority="9" stopIfTrue="1" operator="notEqual">
      <formula>X137</formula>
    </cfRule>
  </conditionalFormatting>
  <conditionalFormatting sqref="W138">
    <cfRule type="cellIs" dxfId="56" priority="8" stopIfTrue="1" operator="notEqual">
      <formula>X138</formula>
    </cfRule>
  </conditionalFormatting>
  <conditionalFormatting sqref="W136">
    <cfRule type="cellIs" dxfId="55" priority="7" stopIfTrue="1" operator="notEqual">
      <formula>X136</formula>
    </cfRule>
  </conditionalFormatting>
  <conditionalFormatting sqref="W70">
    <cfRule type="cellIs" dxfId="54" priority="6" stopIfTrue="1" operator="notEqual">
      <formula>X70</formula>
    </cfRule>
  </conditionalFormatting>
  <conditionalFormatting sqref="W71">
    <cfRule type="cellIs" dxfId="53" priority="5" stopIfTrue="1" operator="notEqual">
      <formula>X71</formula>
    </cfRule>
  </conditionalFormatting>
  <conditionalFormatting sqref="W72">
    <cfRule type="cellIs" dxfId="52" priority="4" stopIfTrue="1" operator="notEqual">
      <formula>X72</formula>
    </cfRule>
  </conditionalFormatting>
  <conditionalFormatting sqref="W73">
    <cfRule type="cellIs" dxfId="51" priority="3" stopIfTrue="1" operator="notEqual">
      <formula>X73</formula>
    </cfRule>
  </conditionalFormatting>
  <dataValidations count="1">
    <dataValidation type="list" allowBlank="1" showInputMessage="1" showErrorMessage="1" sqref="W1 Y1 G1 K1 M1 O1 Q1 S1 U1">
      <formula1>IndissPlus_PIDVariablesList</formula1>
    </dataValidation>
  </dataValidations>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sheetPr>
    <tabColor rgb="FF00FFFF"/>
  </sheetPr>
  <dimension ref="A1:E62"/>
  <sheetViews>
    <sheetView topLeftCell="A13" workbookViewId="0">
      <selection activeCell="E26" sqref="E26"/>
    </sheetView>
  </sheetViews>
  <sheetFormatPr defaultRowHeight="13.5"/>
  <cols>
    <col min="1" max="1" width="46.5" bestFit="1" customWidth="1"/>
    <col min="2" max="2" width="5.5" bestFit="1" customWidth="1"/>
    <col min="4" max="4" width="25" bestFit="1" customWidth="1"/>
    <col min="5" max="5" width="12.75" bestFit="1" customWidth="1"/>
  </cols>
  <sheetData>
    <row r="1" spans="1:5" ht="61.5">
      <c r="A1" s="46" t="s">
        <v>7593</v>
      </c>
    </row>
    <row r="3" spans="1:5">
      <c r="A3" s="444" t="s">
        <v>7594</v>
      </c>
      <c r="B3" s="444" t="s">
        <v>7597</v>
      </c>
    </row>
    <row r="11" spans="1:5">
      <c r="D11" s="444" t="s">
        <v>7595</v>
      </c>
      <c r="E11" s="444" t="s">
        <v>7596</v>
      </c>
    </row>
    <row r="12" spans="1:5">
      <c r="D12" s="444" t="s">
        <v>411</v>
      </c>
      <c r="E12" s="47" t="s">
        <v>462</v>
      </c>
    </row>
    <row r="13" spans="1:5">
      <c r="D13" s="45" t="s">
        <v>11</v>
      </c>
      <c r="E13" s="47" t="s">
        <v>462</v>
      </c>
    </row>
    <row r="14" spans="1:5">
      <c r="D14" s="45" t="s">
        <v>272</v>
      </c>
      <c r="E14" s="47" t="s">
        <v>462</v>
      </c>
    </row>
    <row r="15" spans="1:5">
      <c r="D15" s="45" t="s">
        <v>4591</v>
      </c>
      <c r="E15" s="47" t="s">
        <v>462</v>
      </c>
    </row>
    <row r="16" spans="1:5">
      <c r="D16" s="45" t="s">
        <v>299</v>
      </c>
      <c r="E16" s="47" t="s">
        <v>462</v>
      </c>
    </row>
    <row r="17" spans="4:5">
      <c r="D17" s="45" t="s">
        <v>384</v>
      </c>
      <c r="E17" s="47" t="s">
        <v>462</v>
      </c>
    </row>
    <row r="18" spans="4:5">
      <c r="D18" s="45" t="s">
        <v>79</v>
      </c>
      <c r="E18" s="47" t="s">
        <v>462</v>
      </c>
    </row>
    <row r="19" spans="4:5">
      <c r="D19" s="45" t="s">
        <v>4590</v>
      </c>
      <c r="E19" s="47" t="s">
        <v>462</v>
      </c>
    </row>
    <row r="20" spans="4:5">
      <c r="D20" s="45" t="s">
        <v>6688</v>
      </c>
      <c r="E20" s="47" t="s">
        <v>462</v>
      </c>
    </row>
    <row r="21" spans="4:5">
      <c r="D21" s="45" t="s">
        <v>420</v>
      </c>
      <c r="E21" s="47" t="s">
        <v>462</v>
      </c>
    </row>
    <row r="22" spans="4:5">
      <c r="D22" s="45" t="s">
        <v>4594</v>
      </c>
      <c r="E22" s="47" t="s">
        <v>462</v>
      </c>
    </row>
    <row r="23" spans="4:5">
      <c r="D23" s="45" t="s">
        <v>6701</v>
      </c>
      <c r="E23" s="47" t="s">
        <v>462</v>
      </c>
    </row>
    <row r="24" spans="4:5">
      <c r="D24" s="45" t="s">
        <v>199</v>
      </c>
      <c r="E24" s="47" t="s">
        <v>462</v>
      </c>
    </row>
    <row r="25" spans="4:5">
      <c r="D25" s="45" t="s">
        <v>4</v>
      </c>
      <c r="E25" s="47" t="s">
        <v>462</v>
      </c>
    </row>
    <row r="26" spans="4:5">
      <c r="D26" s="45" t="s">
        <v>4959</v>
      </c>
      <c r="E26" s="47" t="s">
        <v>462</v>
      </c>
    </row>
    <row r="27" spans="4:5">
      <c r="D27" s="45" t="s">
        <v>414</v>
      </c>
      <c r="E27" s="47" t="s">
        <v>462</v>
      </c>
    </row>
    <row r="28" spans="4:5">
      <c r="D28" s="45" t="s">
        <v>410</v>
      </c>
      <c r="E28" s="47" t="s">
        <v>462</v>
      </c>
    </row>
    <row r="29" spans="4:5">
      <c r="D29" s="45" t="s">
        <v>4592</v>
      </c>
      <c r="E29" s="47" t="s">
        <v>462</v>
      </c>
    </row>
    <row r="30" spans="4:5">
      <c r="D30" s="45" t="s">
        <v>81</v>
      </c>
      <c r="E30" s="47" t="s">
        <v>462</v>
      </c>
    </row>
    <row r="31" spans="4:5">
      <c r="D31" s="45" t="s">
        <v>4595</v>
      </c>
      <c r="E31" s="47" t="s">
        <v>462</v>
      </c>
    </row>
    <row r="32" spans="4:5">
      <c r="D32" s="45" t="s">
        <v>6732</v>
      </c>
      <c r="E32" s="47" t="s">
        <v>462</v>
      </c>
    </row>
    <row r="33" spans="4:5">
      <c r="D33" s="45" t="s">
        <v>6734</v>
      </c>
      <c r="E33" s="47" t="s">
        <v>462</v>
      </c>
    </row>
    <row r="34" spans="4:5">
      <c r="D34" s="45" t="s">
        <v>4960</v>
      </c>
      <c r="E34" s="47" t="s">
        <v>462</v>
      </c>
    </row>
    <row r="35" spans="4:5">
      <c r="D35" s="45" t="s">
        <v>4589</v>
      </c>
      <c r="E35" s="47" t="s">
        <v>462</v>
      </c>
    </row>
    <row r="36" spans="4:5">
      <c r="D36" s="45" t="s">
        <v>6783</v>
      </c>
      <c r="E36" s="47" t="s">
        <v>462</v>
      </c>
    </row>
    <row r="37" spans="4:5">
      <c r="D37" s="45" t="s">
        <v>6790</v>
      </c>
      <c r="E37" s="47" t="s">
        <v>462</v>
      </c>
    </row>
    <row r="38" spans="4:5">
      <c r="D38" s="45" t="s">
        <v>7005</v>
      </c>
      <c r="E38" s="47" t="s">
        <v>462</v>
      </c>
    </row>
    <row r="39" spans="4:5">
      <c r="D39" s="45" t="s">
        <v>4593</v>
      </c>
      <c r="E39" s="47" t="s">
        <v>462</v>
      </c>
    </row>
    <row r="40" spans="4:5">
      <c r="D40" s="45" t="s">
        <v>7090</v>
      </c>
      <c r="E40" s="47" t="s">
        <v>462</v>
      </c>
    </row>
    <row r="41" spans="4:5">
      <c r="D41" s="45" t="s">
        <v>7100</v>
      </c>
      <c r="E41" s="47" t="s">
        <v>462</v>
      </c>
    </row>
    <row r="42" spans="4:5">
      <c r="D42" s="45" t="s">
        <v>7109</v>
      </c>
      <c r="E42" s="47" t="s">
        <v>462</v>
      </c>
    </row>
    <row r="43" spans="4:5">
      <c r="D43" s="45" t="s">
        <v>7132</v>
      </c>
      <c r="E43" s="47" t="s">
        <v>462</v>
      </c>
    </row>
    <row r="44" spans="4:5">
      <c r="D44" s="45" t="s">
        <v>7170</v>
      </c>
      <c r="E44" s="47" t="s">
        <v>462</v>
      </c>
    </row>
    <row r="45" spans="4:5">
      <c r="D45" s="45" t="s">
        <v>7178</v>
      </c>
      <c r="E45" s="47" t="s">
        <v>462</v>
      </c>
    </row>
    <row r="46" spans="4:5">
      <c r="D46" s="45" t="s">
        <v>7220</v>
      </c>
      <c r="E46" s="47" t="s">
        <v>462</v>
      </c>
    </row>
    <row r="47" spans="4:5">
      <c r="D47" s="45" t="s">
        <v>7227</v>
      </c>
      <c r="E47" s="47" t="s">
        <v>462</v>
      </c>
    </row>
    <row r="48" spans="4:5">
      <c r="D48" s="45" t="s">
        <v>7228</v>
      </c>
      <c r="E48" s="47" t="s">
        <v>462</v>
      </c>
    </row>
    <row r="49" spans="4:5">
      <c r="D49" s="45" t="s">
        <v>7239</v>
      </c>
      <c r="E49" s="47" t="s">
        <v>462</v>
      </c>
    </row>
    <row r="50" spans="4:5">
      <c r="D50" s="45" t="s">
        <v>5400</v>
      </c>
      <c r="E50" s="47" t="s">
        <v>462</v>
      </c>
    </row>
    <row r="51" spans="4:5">
      <c r="D51" s="45" t="s">
        <v>4914</v>
      </c>
      <c r="E51" s="47" t="s">
        <v>462</v>
      </c>
    </row>
    <row r="52" spans="4:5">
      <c r="D52" s="45" t="s">
        <v>7277</v>
      </c>
      <c r="E52" s="47" t="s">
        <v>462</v>
      </c>
    </row>
    <row r="53" spans="4:5">
      <c r="D53" s="45" t="s">
        <v>7278</v>
      </c>
      <c r="E53" s="47" t="s">
        <v>462</v>
      </c>
    </row>
    <row r="54" spans="4:5">
      <c r="D54" s="45" t="s">
        <v>7283</v>
      </c>
      <c r="E54" s="47" t="s">
        <v>462</v>
      </c>
    </row>
    <row r="55" spans="4:5">
      <c r="D55" s="45" t="s">
        <v>7288</v>
      </c>
      <c r="E55" s="47" t="s">
        <v>462</v>
      </c>
    </row>
    <row r="56" spans="4:5">
      <c r="D56" s="45" t="s">
        <v>7289</v>
      </c>
      <c r="E56" s="47" t="s">
        <v>462</v>
      </c>
    </row>
    <row r="57" spans="4:5">
      <c r="D57" s="45" t="s">
        <v>7290</v>
      </c>
      <c r="E57" s="47" t="s">
        <v>462</v>
      </c>
    </row>
    <row r="58" spans="4:5">
      <c r="D58" s="45" t="s">
        <v>7294</v>
      </c>
      <c r="E58" s="47" t="s">
        <v>462</v>
      </c>
    </row>
    <row r="59" spans="4:5">
      <c r="D59" s="45" t="s">
        <v>7396</v>
      </c>
      <c r="E59" s="47" t="s">
        <v>462</v>
      </c>
    </row>
    <row r="60" spans="4:5">
      <c r="D60" s="45" t="s">
        <v>7457</v>
      </c>
      <c r="E60" s="47" t="s">
        <v>462</v>
      </c>
    </row>
    <row r="61" spans="4:5">
      <c r="D61" s="45" t="s">
        <v>7475</v>
      </c>
      <c r="E61" s="47" t="s">
        <v>462</v>
      </c>
    </row>
    <row r="62" spans="4:5">
      <c r="D62" s="45" t="s">
        <v>7575</v>
      </c>
      <c r="E62" s="47" t="s">
        <v>462</v>
      </c>
    </row>
  </sheetData>
  <phoneticPr fontId="14" type="noConversion"/>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sheetPr>
    <tabColor rgb="FF00FFFF"/>
  </sheetPr>
  <dimension ref="A1:AY215"/>
  <sheetViews>
    <sheetView topLeftCell="AW1" workbookViewId="0">
      <selection activeCell="AY1" sqref="AY1"/>
    </sheetView>
  </sheetViews>
  <sheetFormatPr defaultRowHeight="13.5"/>
  <cols>
    <col min="1" max="1" width="31.5" bestFit="1" customWidth="1"/>
    <col min="2" max="2" width="37.25" bestFit="1" customWidth="1"/>
    <col min="3" max="3" width="30.375" bestFit="1" customWidth="1"/>
    <col min="4" max="4" width="48.75" bestFit="1" customWidth="1"/>
    <col min="5" max="5" width="30.375" bestFit="1" customWidth="1"/>
    <col min="6" max="6" width="31.5" bestFit="1" customWidth="1"/>
    <col min="7" max="7" width="18.875" bestFit="1" customWidth="1"/>
    <col min="8" max="8" width="32.625" bestFit="1" customWidth="1"/>
    <col min="9" max="9" width="22.375" bestFit="1" customWidth="1"/>
    <col min="10" max="10" width="12" bestFit="1" customWidth="1"/>
    <col min="11" max="11" width="54.375" bestFit="1" customWidth="1"/>
    <col min="12" max="12" width="33.75" bestFit="1" customWidth="1"/>
    <col min="13" max="13" width="35" bestFit="1" customWidth="1"/>
    <col min="14" max="14" width="21.25" bestFit="1" customWidth="1"/>
    <col min="15" max="15" width="48.75" bestFit="1" customWidth="1"/>
    <col min="16" max="16" width="28.125" bestFit="1" customWidth="1"/>
    <col min="17" max="17" width="17" bestFit="1" customWidth="1"/>
    <col min="18" max="18" width="33.75" bestFit="1" customWidth="1"/>
    <col min="19" max="19" width="25.75" bestFit="1" customWidth="1"/>
    <col min="20" max="20" width="18.875" bestFit="1" customWidth="1"/>
    <col min="21" max="21" width="17" bestFit="1" customWidth="1"/>
    <col min="22" max="22" width="32.625" bestFit="1" customWidth="1"/>
    <col min="23" max="23" width="31.5" bestFit="1" customWidth="1"/>
    <col min="24" max="24" width="20.875" bestFit="1" customWidth="1"/>
    <col min="25" max="25" width="24.625" bestFit="1" customWidth="1"/>
    <col min="26" max="26" width="18.875" bestFit="1" customWidth="1"/>
    <col min="27" max="27" width="41.875" bestFit="1" customWidth="1"/>
    <col min="28" max="28" width="20" bestFit="1" customWidth="1"/>
    <col min="29" max="29" width="28.125" bestFit="1" customWidth="1"/>
    <col min="30" max="30" width="24.625" bestFit="1" customWidth="1"/>
    <col min="31" max="31" width="18.875" bestFit="1" customWidth="1"/>
    <col min="32" max="32" width="31.5" bestFit="1" customWidth="1"/>
    <col min="33" max="33" width="24.625" bestFit="1" customWidth="1"/>
    <col min="34" max="34" width="33.75" bestFit="1" customWidth="1"/>
    <col min="35" max="35" width="20" bestFit="1" customWidth="1"/>
    <col min="36" max="36" width="20.875" bestFit="1" customWidth="1"/>
    <col min="37" max="37" width="31.125" bestFit="1" customWidth="1"/>
    <col min="38" max="39" width="48.75" bestFit="1" customWidth="1"/>
    <col min="40" max="40" width="39.5" bestFit="1" customWidth="1"/>
    <col min="41" max="41" width="23.5" bestFit="1" customWidth="1"/>
    <col min="42" max="42" width="22.125" bestFit="1" customWidth="1"/>
    <col min="43" max="43" width="15.5" bestFit="1" customWidth="1"/>
    <col min="44" max="44" width="7.5" bestFit="1" customWidth="1"/>
    <col min="45" max="45" width="20.875" bestFit="1" customWidth="1"/>
    <col min="46" max="46" width="14.375" bestFit="1" customWidth="1"/>
    <col min="47" max="47" width="43" bestFit="1" customWidth="1"/>
    <col min="48" max="48" width="32.625" bestFit="1" customWidth="1"/>
    <col min="49" max="49" width="29.25" bestFit="1" customWidth="1"/>
    <col min="50" max="50" width="41.875" bestFit="1" customWidth="1"/>
    <col min="51" max="51" width="33.75" bestFit="1" customWidth="1"/>
  </cols>
  <sheetData>
    <row r="1" spans="1:51">
      <c r="A1" s="444" t="s">
        <v>6626</v>
      </c>
      <c r="B1" s="444" t="s">
        <v>11</v>
      </c>
      <c r="C1" s="444" t="s">
        <v>272</v>
      </c>
      <c r="D1" s="444" t="s">
        <v>4591</v>
      </c>
      <c r="E1" s="444" t="s">
        <v>299</v>
      </c>
      <c r="F1" s="444" t="s">
        <v>384</v>
      </c>
      <c r="G1" s="444" t="s">
        <v>79</v>
      </c>
      <c r="H1" s="444" t="s">
        <v>4590</v>
      </c>
      <c r="I1" s="444" t="s">
        <v>6688</v>
      </c>
      <c r="J1" s="444" t="s">
        <v>420</v>
      </c>
      <c r="K1" s="444" t="s">
        <v>4594</v>
      </c>
      <c r="L1" s="444" t="s">
        <v>6701</v>
      </c>
      <c r="M1" s="444" t="s">
        <v>199</v>
      </c>
      <c r="N1" s="444" t="s">
        <v>4</v>
      </c>
      <c r="O1" s="444" t="s">
        <v>4959</v>
      </c>
      <c r="P1" s="444" t="s">
        <v>414</v>
      </c>
      <c r="Q1" s="444" t="s">
        <v>410</v>
      </c>
      <c r="R1" s="444" t="s">
        <v>4592</v>
      </c>
      <c r="S1" s="444" t="s">
        <v>81</v>
      </c>
      <c r="T1" s="444" t="s">
        <v>4595</v>
      </c>
      <c r="U1" s="444" t="s">
        <v>6732</v>
      </c>
      <c r="V1" s="444" t="s">
        <v>6734</v>
      </c>
      <c r="W1" s="444" t="s">
        <v>4960</v>
      </c>
      <c r="X1" s="444" t="s">
        <v>4589</v>
      </c>
      <c r="Y1" s="444" t="s">
        <v>6783</v>
      </c>
      <c r="Z1" s="444" t="s">
        <v>6790</v>
      </c>
      <c r="AA1" s="444" t="s">
        <v>7005</v>
      </c>
      <c r="AB1" s="444" t="s">
        <v>4593</v>
      </c>
      <c r="AC1" s="444" t="s">
        <v>7090</v>
      </c>
      <c r="AD1" s="444" t="s">
        <v>7100</v>
      </c>
      <c r="AE1" s="444" t="s">
        <v>7109</v>
      </c>
      <c r="AF1" s="444" t="s">
        <v>7132</v>
      </c>
      <c r="AG1" s="444" t="s">
        <v>7170</v>
      </c>
      <c r="AH1" s="444" t="s">
        <v>7178</v>
      </c>
      <c r="AI1" s="444" t="s">
        <v>7220</v>
      </c>
      <c r="AJ1" s="444" t="s">
        <v>7227</v>
      </c>
      <c r="AK1" s="444" t="s">
        <v>7228</v>
      </c>
      <c r="AL1" s="444" t="s">
        <v>7239</v>
      </c>
      <c r="AM1" s="444" t="s">
        <v>5400</v>
      </c>
      <c r="AN1" s="444" t="s">
        <v>4914</v>
      </c>
      <c r="AO1" s="444" t="s">
        <v>7277</v>
      </c>
      <c r="AP1" s="444" t="s">
        <v>7278</v>
      </c>
      <c r="AQ1" s="444" t="s">
        <v>7283</v>
      </c>
      <c r="AR1" s="444" t="s">
        <v>7288</v>
      </c>
      <c r="AS1" s="444" t="s">
        <v>7289</v>
      </c>
      <c r="AT1" s="444" t="s">
        <v>7290</v>
      </c>
      <c r="AU1" s="444" t="s">
        <v>7294</v>
      </c>
      <c r="AV1" s="444" t="s">
        <v>7396</v>
      </c>
      <c r="AW1" s="444" t="s">
        <v>7457</v>
      </c>
      <c r="AX1" s="444" t="s">
        <v>7475</v>
      </c>
      <c r="AY1" s="444" t="s">
        <v>7575</v>
      </c>
    </row>
    <row r="2" spans="1:51">
      <c r="A2" s="444" t="s">
        <v>15</v>
      </c>
      <c r="B2" s="173" t="s">
        <v>12</v>
      </c>
      <c r="C2" s="173" t="s">
        <v>6627</v>
      </c>
      <c r="D2" s="173" t="s">
        <v>12</v>
      </c>
      <c r="E2" s="763" t="s">
        <v>300</v>
      </c>
      <c r="F2" s="173" t="s">
        <v>385</v>
      </c>
      <c r="G2" s="173" t="s">
        <v>6676</v>
      </c>
      <c r="H2" s="173" t="s">
        <v>354</v>
      </c>
      <c r="I2" s="173" t="s">
        <v>4603</v>
      </c>
      <c r="J2" s="173" t="s">
        <v>421</v>
      </c>
      <c r="K2" s="173" t="s">
        <v>4597</v>
      </c>
      <c r="L2" s="173" t="s">
        <v>12</v>
      </c>
      <c r="M2" s="173" t="s">
        <v>200</v>
      </c>
      <c r="N2" s="173" t="s">
        <v>6711</v>
      </c>
      <c r="O2" s="173" t="s">
        <v>4961</v>
      </c>
      <c r="P2" s="173" t="s">
        <v>415</v>
      </c>
      <c r="Q2" s="173" t="s">
        <v>80</v>
      </c>
      <c r="R2" s="173" t="s">
        <v>200</v>
      </c>
      <c r="S2" s="763" t="s">
        <v>82</v>
      </c>
      <c r="T2" s="173" t="s">
        <v>32</v>
      </c>
      <c r="U2" s="173" t="s">
        <v>80</v>
      </c>
      <c r="V2" s="173" t="s">
        <v>12</v>
      </c>
      <c r="W2" s="173" t="s">
        <v>4962</v>
      </c>
      <c r="X2" s="173" t="s">
        <v>421</v>
      </c>
      <c r="Y2" s="173" t="s">
        <v>6784</v>
      </c>
      <c r="Z2" s="173" t="s">
        <v>6791</v>
      </c>
      <c r="AA2" s="173" t="s">
        <v>12</v>
      </c>
      <c r="AB2" s="173" t="s">
        <v>277</v>
      </c>
      <c r="AC2" s="173" t="s">
        <v>12</v>
      </c>
      <c r="AD2" s="173" t="s">
        <v>7101</v>
      </c>
      <c r="AE2" s="173" t="s">
        <v>7110</v>
      </c>
      <c r="AF2" s="173" t="s">
        <v>4596</v>
      </c>
      <c r="AG2" s="173" t="s">
        <v>7171</v>
      </c>
      <c r="AH2" s="173" t="s">
        <v>369</v>
      </c>
      <c r="AI2" s="173" t="s">
        <v>416</v>
      </c>
      <c r="AJ2" s="173" t="s">
        <v>315</v>
      </c>
      <c r="AK2" s="173" t="s">
        <v>6627</v>
      </c>
      <c r="AL2" s="173" t="s">
        <v>4915</v>
      </c>
      <c r="AM2" s="173" t="s">
        <v>5401</v>
      </c>
      <c r="AN2" s="173" t="s">
        <v>4915</v>
      </c>
      <c r="AO2" s="173" t="s">
        <v>82</v>
      </c>
      <c r="AP2" s="173" t="s">
        <v>7279</v>
      </c>
      <c r="AQ2" s="173" t="s">
        <v>7284</v>
      </c>
      <c r="AR2" s="173" t="s">
        <v>80</v>
      </c>
      <c r="AS2" s="173" t="s">
        <v>80</v>
      </c>
      <c r="AT2" s="173" t="s">
        <v>7291</v>
      </c>
      <c r="AU2" s="173" t="s">
        <v>370</v>
      </c>
      <c r="AV2" s="173" t="s">
        <v>371</v>
      </c>
      <c r="AW2" s="173" t="s">
        <v>7458</v>
      </c>
      <c r="AX2" s="173" t="s">
        <v>7476</v>
      </c>
      <c r="AY2" s="173" t="s">
        <v>382</v>
      </c>
    </row>
    <row r="3" spans="1:51">
      <c r="A3" s="469" t="s">
        <v>16</v>
      </c>
      <c r="B3" s="173" t="s">
        <v>13</v>
      </c>
      <c r="C3" s="173" t="s">
        <v>12</v>
      </c>
      <c r="D3" s="173" t="s">
        <v>13</v>
      </c>
      <c r="E3" s="173" t="s">
        <v>86</v>
      </c>
      <c r="F3" s="173" t="s">
        <v>386</v>
      </c>
      <c r="G3" s="173" t="s">
        <v>6677</v>
      </c>
      <c r="H3" s="173" t="s">
        <v>4596</v>
      </c>
      <c r="I3" s="173" t="s">
        <v>6689</v>
      </c>
      <c r="J3" s="173" t="s">
        <v>422</v>
      </c>
      <c r="K3" s="173" t="s">
        <v>353</v>
      </c>
      <c r="L3" s="173" t="s">
        <v>13</v>
      </c>
      <c r="M3" s="173" t="s">
        <v>86</v>
      </c>
      <c r="N3" s="173" t="s">
        <v>6712</v>
      </c>
      <c r="O3" s="173" t="s">
        <v>12</v>
      </c>
      <c r="P3" s="173" t="s">
        <v>36</v>
      </c>
      <c r="Q3" s="173"/>
      <c r="R3" s="173" t="s">
        <v>86</v>
      </c>
      <c r="S3" s="173" t="s">
        <v>83</v>
      </c>
      <c r="T3" s="173" t="s">
        <v>387</v>
      </c>
      <c r="U3" s="173" t="s">
        <v>6733</v>
      </c>
      <c r="V3" s="173" t="s">
        <v>13</v>
      </c>
      <c r="W3" s="173" t="s">
        <v>4963</v>
      </c>
      <c r="X3" s="173" t="s">
        <v>422</v>
      </c>
      <c r="Y3" s="173" t="s">
        <v>6785</v>
      </c>
      <c r="Z3" s="173" t="s">
        <v>6792</v>
      </c>
      <c r="AA3" s="173" t="s">
        <v>4964</v>
      </c>
      <c r="AB3" s="173" t="s">
        <v>4599</v>
      </c>
      <c r="AC3" s="173" t="s">
        <v>4964</v>
      </c>
      <c r="AD3" s="173" t="s">
        <v>7102</v>
      </c>
      <c r="AE3" s="173" t="s">
        <v>7111</v>
      </c>
      <c r="AF3" s="173" t="s">
        <v>7133</v>
      </c>
      <c r="AG3" s="173" t="s">
        <v>7172</v>
      </c>
      <c r="AH3" s="173" t="s">
        <v>21</v>
      </c>
      <c r="AI3" s="173" t="s">
        <v>282</v>
      </c>
      <c r="AJ3" s="173" t="s">
        <v>316</v>
      </c>
      <c r="AK3" s="173" t="s">
        <v>12</v>
      </c>
      <c r="AL3" s="173" t="s">
        <v>354</v>
      </c>
      <c r="AM3" s="173" t="s">
        <v>5402</v>
      </c>
      <c r="AN3" s="173" t="s">
        <v>354</v>
      </c>
      <c r="AO3" s="173" t="s">
        <v>83</v>
      </c>
      <c r="AP3" s="173" t="s">
        <v>7280</v>
      </c>
      <c r="AQ3" s="173" t="s">
        <v>7285</v>
      </c>
      <c r="AR3" s="173" t="s">
        <v>461</v>
      </c>
      <c r="AS3" s="173"/>
      <c r="AT3" s="173" t="s">
        <v>7292</v>
      </c>
      <c r="AU3" s="173" t="s">
        <v>7295</v>
      </c>
      <c r="AV3" s="173" t="s">
        <v>7234</v>
      </c>
      <c r="AW3" s="173" t="s">
        <v>7459</v>
      </c>
      <c r="AX3" s="173" t="s">
        <v>7477</v>
      </c>
      <c r="AY3" s="173" t="s">
        <v>4916</v>
      </c>
    </row>
    <row r="4" spans="1:51">
      <c r="A4" s="469" t="s">
        <v>17</v>
      </c>
      <c r="B4" s="173" t="s">
        <v>14</v>
      </c>
      <c r="C4" s="173" t="s">
        <v>21</v>
      </c>
      <c r="D4" s="173" t="s">
        <v>14</v>
      </c>
      <c r="E4" s="173" t="s">
        <v>85</v>
      </c>
      <c r="F4" s="173" t="s">
        <v>6627</v>
      </c>
      <c r="G4" s="173" t="s">
        <v>6678</v>
      </c>
      <c r="H4" s="173" t="s">
        <v>4598</v>
      </c>
      <c r="I4" s="173" t="s">
        <v>6690</v>
      </c>
      <c r="J4" s="173" t="s">
        <v>423</v>
      </c>
      <c r="K4" s="173" t="s">
        <v>4602</v>
      </c>
      <c r="L4" s="173" t="s">
        <v>14</v>
      </c>
      <c r="M4" s="173" t="s">
        <v>85</v>
      </c>
      <c r="N4" s="173" t="s">
        <v>6713</v>
      </c>
      <c r="O4" s="173" t="s">
        <v>4964</v>
      </c>
      <c r="P4" s="173" t="s">
        <v>35</v>
      </c>
      <c r="Q4" s="173"/>
      <c r="R4" s="173" t="s">
        <v>4</v>
      </c>
      <c r="S4" s="173" t="s">
        <v>84</v>
      </c>
      <c r="T4" s="173" t="s">
        <v>277</v>
      </c>
      <c r="U4" s="173" t="s">
        <v>461</v>
      </c>
      <c r="V4" s="173" t="s">
        <v>14</v>
      </c>
      <c r="W4" s="173" t="s">
        <v>4965</v>
      </c>
      <c r="X4" s="173" t="s">
        <v>423</v>
      </c>
      <c r="Y4" s="173" t="s">
        <v>6786</v>
      </c>
      <c r="Z4" s="173" t="s">
        <v>6793</v>
      </c>
      <c r="AA4" s="173" t="s">
        <v>7006</v>
      </c>
      <c r="AB4" s="173" t="s">
        <v>4601</v>
      </c>
      <c r="AC4" s="173" t="s">
        <v>13</v>
      </c>
      <c r="AD4" s="173" t="s">
        <v>7103</v>
      </c>
      <c r="AE4" s="173" t="s">
        <v>4699</v>
      </c>
      <c r="AF4" s="173" t="s">
        <v>7134</v>
      </c>
      <c r="AG4" s="173" t="s">
        <v>7173</v>
      </c>
      <c r="AH4" s="173" t="s">
        <v>7179</v>
      </c>
      <c r="AI4" s="173" t="s">
        <v>7221</v>
      </c>
      <c r="AJ4" s="173" t="s">
        <v>80</v>
      </c>
      <c r="AK4" s="173" t="s">
        <v>14</v>
      </c>
      <c r="AL4" s="173" t="s">
        <v>4916</v>
      </c>
      <c r="AM4" s="173" t="s">
        <v>355</v>
      </c>
      <c r="AN4" s="173" t="s">
        <v>4916</v>
      </c>
      <c r="AO4" s="173" t="s">
        <v>87</v>
      </c>
      <c r="AP4" s="173" t="s">
        <v>7281</v>
      </c>
      <c r="AQ4" s="173" t="s">
        <v>7286</v>
      </c>
      <c r="AR4" s="173"/>
      <c r="AS4" s="173"/>
      <c r="AT4" s="173" t="s">
        <v>461</v>
      </c>
      <c r="AU4" s="173" t="s">
        <v>7296</v>
      </c>
      <c r="AV4" s="173" t="s">
        <v>7235</v>
      </c>
      <c r="AW4" s="173" t="s">
        <v>4662</v>
      </c>
      <c r="AX4" s="173" t="s">
        <v>7478</v>
      </c>
      <c r="AY4" s="173" t="s">
        <v>7576</v>
      </c>
    </row>
    <row r="5" spans="1:51">
      <c r="A5" s="469" t="s">
        <v>387</v>
      </c>
      <c r="B5" s="173" t="s">
        <v>15</v>
      </c>
      <c r="C5" s="173" t="s">
        <v>273</v>
      </c>
      <c r="D5" s="173" t="s">
        <v>15</v>
      </c>
      <c r="E5" s="173" t="s">
        <v>4</v>
      </c>
      <c r="F5" s="173" t="s">
        <v>12</v>
      </c>
      <c r="G5" s="173" t="s">
        <v>6679</v>
      </c>
      <c r="H5" s="173" t="s">
        <v>4600</v>
      </c>
      <c r="I5" s="173" t="s">
        <v>21</v>
      </c>
      <c r="J5" s="173" t="s">
        <v>424</v>
      </c>
      <c r="K5" s="173" t="s">
        <v>4604</v>
      </c>
      <c r="L5" s="173" t="s">
        <v>15</v>
      </c>
      <c r="M5" s="173" t="s">
        <v>201</v>
      </c>
      <c r="N5" s="173" t="s">
        <v>6714</v>
      </c>
      <c r="O5" s="173" t="s">
        <v>13</v>
      </c>
      <c r="P5" s="173" t="s">
        <v>416</v>
      </c>
      <c r="Q5" s="173"/>
      <c r="R5" s="173" t="s">
        <v>85</v>
      </c>
      <c r="S5" s="173" t="s">
        <v>85</v>
      </c>
      <c r="T5" s="173" t="s">
        <v>4605</v>
      </c>
      <c r="U5" s="173" t="s">
        <v>305</v>
      </c>
      <c r="V5" s="173" t="s">
        <v>15</v>
      </c>
      <c r="W5" s="173" t="s">
        <v>4966</v>
      </c>
      <c r="X5" s="173" t="s">
        <v>424</v>
      </c>
      <c r="Y5" s="173" t="s">
        <v>80</v>
      </c>
      <c r="Z5" s="173" t="s">
        <v>6794</v>
      </c>
      <c r="AA5" s="173" t="s">
        <v>13</v>
      </c>
      <c r="AB5" s="173"/>
      <c r="AC5" s="173" t="s">
        <v>14</v>
      </c>
      <c r="AD5" s="173" t="s">
        <v>7104</v>
      </c>
      <c r="AE5" s="173" t="s">
        <v>7112</v>
      </c>
      <c r="AF5" s="173" t="s">
        <v>7135</v>
      </c>
      <c r="AG5" s="173" t="s">
        <v>7174</v>
      </c>
      <c r="AH5" s="173" t="s">
        <v>7180</v>
      </c>
      <c r="AI5" s="173" t="s">
        <v>7222</v>
      </c>
      <c r="AJ5" s="173" t="s">
        <v>461</v>
      </c>
      <c r="AK5" s="173" t="s">
        <v>15</v>
      </c>
      <c r="AL5" s="173" t="s">
        <v>355</v>
      </c>
      <c r="AM5" s="173" t="s">
        <v>356</v>
      </c>
      <c r="AN5" s="173" t="s">
        <v>355</v>
      </c>
      <c r="AO5" s="173" t="s">
        <v>104</v>
      </c>
      <c r="AP5" s="173" t="s">
        <v>318</v>
      </c>
      <c r="AQ5" s="173" t="s">
        <v>7287</v>
      </c>
      <c r="AR5" s="173"/>
      <c r="AS5" s="173"/>
      <c r="AT5" s="173" t="s">
        <v>7293</v>
      </c>
      <c r="AU5" s="173" t="s">
        <v>7297</v>
      </c>
      <c r="AV5" s="173" t="s">
        <v>7397</v>
      </c>
      <c r="AW5" s="173" t="s">
        <v>7460</v>
      </c>
      <c r="AX5" s="173" t="s">
        <v>7479</v>
      </c>
      <c r="AY5" s="173" t="s">
        <v>355</v>
      </c>
    </row>
    <row r="6" spans="1:51">
      <c r="A6" s="469" t="s">
        <v>388</v>
      </c>
      <c r="B6" s="173" t="s">
        <v>16</v>
      </c>
      <c r="C6" s="173" t="s">
        <v>6628</v>
      </c>
      <c r="D6" s="173" t="s">
        <v>16</v>
      </c>
      <c r="E6" s="173" t="s">
        <v>301</v>
      </c>
      <c r="F6" s="173" t="s">
        <v>21</v>
      </c>
      <c r="G6" s="173" t="s">
        <v>6680</v>
      </c>
      <c r="H6" s="173" t="s">
        <v>4603</v>
      </c>
      <c r="I6" s="173" t="s">
        <v>6691</v>
      </c>
      <c r="J6" s="173" t="s">
        <v>425</v>
      </c>
      <c r="K6" s="173" t="s">
        <v>4608</v>
      </c>
      <c r="L6" s="173" t="s">
        <v>16</v>
      </c>
      <c r="M6" s="173" t="s">
        <v>202</v>
      </c>
      <c r="N6" s="173" t="s">
        <v>6715</v>
      </c>
      <c r="O6" s="173" t="s">
        <v>14</v>
      </c>
      <c r="P6" s="173" t="s">
        <v>20</v>
      </c>
      <c r="Q6" s="173"/>
      <c r="R6" s="173" t="s">
        <v>201</v>
      </c>
      <c r="S6" s="173" t="s">
        <v>86</v>
      </c>
      <c r="T6" s="173" t="s">
        <v>13</v>
      </c>
      <c r="U6" s="173" t="s">
        <v>306</v>
      </c>
      <c r="V6" s="173" t="s">
        <v>16</v>
      </c>
      <c r="W6" s="173" t="s">
        <v>355</v>
      </c>
      <c r="X6" s="173" t="s">
        <v>4606</v>
      </c>
      <c r="Y6" s="173" t="s">
        <v>6685</v>
      </c>
      <c r="Z6" s="173" t="s">
        <v>6795</v>
      </c>
      <c r="AA6" s="173" t="s">
        <v>14</v>
      </c>
      <c r="AB6" s="173"/>
      <c r="AC6" s="173" t="s">
        <v>15</v>
      </c>
      <c r="AD6" s="173" t="s">
        <v>7105</v>
      </c>
      <c r="AE6" s="173" t="s">
        <v>7113</v>
      </c>
      <c r="AF6" s="173" t="s">
        <v>7136</v>
      </c>
      <c r="AG6" s="173" t="s">
        <v>7175</v>
      </c>
      <c r="AH6" s="173" t="s">
        <v>7181</v>
      </c>
      <c r="AI6" s="173" t="s">
        <v>7223</v>
      </c>
      <c r="AJ6" s="173"/>
      <c r="AK6" s="173" t="s">
        <v>16</v>
      </c>
      <c r="AL6" s="173" t="s">
        <v>4603</v>
      </c>
      <c r="AM6" s="173" t="s">
        <v>5403</v>
      </c>
      <c r="AN6" s="173" t="s">
        <v>4603</v>
      </c>
      <c r="AO6" s="173" t="s">
        <v>129</v>
      </c>
      <c r="AP6" s="173" t="s">
        <v>7282</v>
      </c>
      <c r="AQ6" s="173"/>
      <c r="AR6" s="173"/>
      <c r="AS6" s="173"/>
      <c r="AT6" s="173"/>
      <c r="AU6" s="173" t="s">
        <v>7298</v>
      </c>
      <c r="AV6" s="173" t="s">
        <v>15</v>
      </c>
      <c r="AW6" s="173" t="s">
        <v>7021</v>
      </c>
      <c r="AX6" s="173" t="s">
        <v>7480</v>
      </c>
      <c r="AY6" s="173" t="s">
        <v>356</v>
      </c>
    </row>
    <row r="7" spans="1:51">
      <c r="A7" s="469" t="s">
        <v>276</v>
      </c>
      <c r="B7" s="173" t="s">
        <v>17</v>
      </c>
      <c r="C7" s="173" t="s">
        <v>274</v>
      </c>
      <c r="D7" s="173" t="s">
        <v>17</v>
      </c>
      <c r="E7" s="173" t="s">
        <v>302</v>
      </c>
      <c r="F7" s="173" t="s">
        <v>277</v>
      </c>
      <c r="G7" s="173" t="s">
        <v>6681</v>
      </c>
      <c r="H7" s="173" t="s">
        <v>355</v>
      </c>
      <c r="I7" s="173" t="s">
        <v>6692</v>
      </c>
      <c r="J7" s="173" t="s">
        <v>426</v>
      </c>
      <c r="K7" s="173" t="s">
        <v>4611</v>
      </c>
      <c r="L7" s="173" t="s">
        <v>17</v>
      </c>
      <c r="M7" s="173" t="s">
        <v>203</v>
      </c>
      <c r="N7" s="173"/>
      <c r="O7" s="173" t="s">
        <v>15</v>
      </c>
      <c r="P7" s="173" t="s">
        <v>4930</v>
      </c>
      <c r="Q7" s="173"/>
      <c r="R7" s="173" t="s">
        <v>4607</v>
      </c>
      <c r="S7" s="173" t="s">
        <v>87</v>
      </c>
      <c r="T7" s="173"/>
      <c r="U7" s="173" t="s">
        <v>307</v>
      </c>
      <c r="V7" s="173" t="s">
        <v>17</v>
      </c>
      <c r="W7" s="173" t="s">
        <v>356</v>
      </c>
      <c r="X7" s="173" t="s">
        <v>461</v>
      </c>
      <c r="Y7" s="173" t="s">
        <v>6686</v>
      </c>
      <c r="Z7" s="173" t="s">
        <v>6796</v>
      </c>
      <c r="AA7" s="173" t="s">
        <v>15</v>
      </c>
      <c r="AB7" s="173"/>
      <c r="AC7" s="173" t="s">
        <v>16</v>
      </c>
      <c r="AD7" s="173" t="s">
        <v>7106</v>
      </c>
      <c r="AE7" s="173" t="s">
        <v>7114</v>
      </c>
      <c r="AF7" s="173" t="s">
        <v>7137</v>
      </c>
      <c r="AG7" s="173" t="s">
        <v>368</v>
      </c>
      <c r="AH7" s="173" t="s">
        <v>7182</v>
      </c>
      <c r="AI7" s="173" t="s">
        <v>7224</v>
      </c>
      <c r="AJ7" s="173"/>
      <c r="AK7" s="173" t="s">
        <v>17</v>
      </c>
      <c r="AL7" s="173" t="s">
        <v>7240</v>
      </c>
      <c r="AM7" s="173" t="s">
        <v>5404</v>
      </c>
      <c r="AN7" s="173" t="s">
        <v>21</v>
      </c>
      <c r="AO7" s="173" t="s">
        <v>128</v>
      </c>
      <c r="AP7" s="173"/>
      <c r="AQ7" s="173"/>
      <c r="AR7" s="173"/>
      <c r="AS7" s="173"/>
      <c r="AT7" s="173"/>
      <c r="AU7" s="173" t="s">
        <v>7299</v>
      </c>
      <c r="AV7" s="173" t="s">
        <v>16</v>
      </c>
      <c r="AW7" s="173" t="s">
        <v>7019</v>
      </c>
      <c r="AX7" s="173" t="s">
        <v>7481</v>
      </c>
      <c r="AY7" s="173" t="s">
        <v>21</v>
      </c>
    </row>
    <row r="8" spans="1:51">
      <c r="A8" s="469" t="s">
        <v>389</v>
      </c>
      <c r="B8" s="173" t="s">
        <v>18</v>
      </c>
      <c r="C8" s="173" t="s">
        <v>6629</v>
      </c>
      <c r="D8" s="173" t="s">
        <v>18</v>
      </c>
      <c r="E8" s="173" t="s">
        <v>6638</v>
      </c>
      <c r="F8" s="173" t="s">
        <v>278</v>
      </c>
      <c r="G8" s="173" t="s">
        <v>6682</v>
      </c>
      <c r="H8" s="173" t="s">
        <v>4609</v>
      </c>
      <c r="I8" s="173" t="s">
        <v>46</v>
      </c>
      <c r="J8" s="173" t="s">
        <v>427</v>
      </c>
      <c r="K8" s="173" t="s">
        <v>4614</v>
      </c>
      <c r="L8" s="173" t="s">
        <v>18</v>
      </c>
      <c r="M8" s="173" t="s">
        <v>204</v>
      </c>
      <c r="N8" s="173"/>
      <c r="O8" s="173" t="s">
        <v>16</v>
      </c>
      <c r="P8" s="173" t="s">
        <v>28</v>
      </c>
      <c r="Q8" s="173"/>
      <c r="R8" s="173" t="s">
        <v>4610</v>
      </c>
      <c r="S8" s="173" t="s">
        <v>88</v>
      </c>
      <c r="T8" s="173"/>
      <c r="U8" s="173"/>
      <c r="V8" s="173" t="s">
        <v>18</v>
      </c>
      <c r="W8" s="173" t="s">
        <v>358</v>
      </c>
      <c r="X8" s="173"/>
      <c r="Y8" s="173" t="s">
        <v>6787</v>
      </c>
      <c r="Z8" s="173" t="s">
        <v>6797</v>
      </c>
      <c r="AA8" s="173" t="s">
        <v>16</v>
      </c>
      <c r="AB8" s="173"/>
      <c r="AC8" s="173" t="s">
        <v>17</v>
      </c>
      <c r="AD8" s="173" t="s">
        <v>14</v>
      </c>
      <c r="AE8" s="173" t="s">
        <v>7115</v>
      </c>
      <c r="AF8" s="173" t="s">
        <v>7138</v>
      </c>
      <c r="AG8" s="173" t="s">
        <v>7176</v>
      </c>
      <c r="AH8" s="173" t="s">
        <v>7183</v>
      </c>
      <c r="AI8" s="173" t="s">
        <v>7225</v>
      </c>
      <c r="AJ8" s="173"/>
      <c r="AK8" s="173" t="s">
        <v>18</v>
      </c>
      <c r="AL8" s="173" t="s">
        <v>7241</v>
      </c>
      <c r="AM8" s="173" t="s">
        <v>5405</v>
      </c>
      <c r="AN8" s="173" t="s">
        <v>361</v>
      </c>
      <c r="AO8" s="173"/>
      <c r="AP8" s="173"/>
      <c r="AQ8" s="173"/>
      <c r="AR8" s="173"/>
      <c r="AS8" s="173"/>
      <c r="AT8" s="173"/>
      <c r="AU8" s="173" t="s">
        <v>7300</v>
      </c>
      <c r="AV8" s="173" t="s">
        <v>17</v>
      </c>
      <c r="AW8" s="173" t="s">
        <v>7020</v>
      </c>
      <c r="AX8" s="173" t="s">
        <v>7482</v>
      </c>
      <c r="AY8" s="173" t="s">
        <v>359</v>
      </c>
    </row>
    <row r="9" spans="1:51">
      <c r="A9" s="469" t="s">
        <v>383</v>
      </c>
      <c r="B9" s="173" t="s">
        <v>19</v>
      </c>
      <c r="C9" s="173" t="s">
        <v>275</v>
      </c>
      <c r="D9" s="173" t="s">
        <v>19</v>
      </c>
      <c r="E9" s="173" t="s">
        <v>6639</v>
      </c>
      <c r="F9" s="173" t="s">
        <v>273</v>
      </c>
      <c r="G9" s="173" t="s">
        <v>6683</v>
      </c>
      <c r="H9" s="173" t="s">
        <v>4612</v>
      </c>
      <c r="I9" s="173" t="s">
        <v>6693</v>
      </c>
      <c r="J9" s="173" t="s">
        <v>428</v>
      </c>
      <c r="K9" s="173" t="s">
        <v>4616</v>
      </c>
      <c r="L9" s="173" t="s">
        <v>19</v>
      </c>
      <c r="M9" s="173" t="s">
        <v>205</v>
      </c>
      <c r="N9" s="173"/>
      <c r="O9" s="173" t="s">
        <v>17</v>
      </c>
      <c r="P9" s="173" t="s">
        <v>30</v>
      </c>
      <c r="Q9" s="173"/>
      <c r="R9" s="173" t="s">
        <v>220</v>
      </c>
      <c r="S9" s="173" t="s">
        <v>89</v>
      </c>
      <c r="T9" s="173"/>
      <c r="U9" s="173"/>
      <c r="V9" s="173" t="s">
        <v>19</v>
      </c>
      <c r="W9" s="173" t="s">
        <v>357</v>
      </c>
      <c r="X9" s="173"/>
      <c r="Y9" s="173" t="s">
        <v>6788</v>
      </c>
      <c r="Z9" s="173" t="s">
        <v>6798</v>
      </c>
      <c r="AA9" s="173" t="s">
        <v>17</v>
      </c>
      <c r="AB9" s="173"/>
      <c r="AC9" s="173" t="s">
        <v>18</v>
      </c>
      <c r="AD9" s="173" t="s">
        <v>18</v>
      </c>
      <c r="AE9" s="173" t="s">
        <v>7116</v>
      </c>
      <c r="AF9" s="173" t="s">
        <v>7139</v>
      </c>
      <c r="AG9" s="173" t="s">
        <v>7177</v>
      </c>
      <c r="AH9" s="173" t="s">
        <v>7184</v>
      </c>
      <c r="AI9" s="173" t="s">
        <v>461</v>
      </c>
      <c r="AJ9" s="173"/>
      <c r="AK9" s="173" t="s">
        <v>19</v>
      </c>
      <c r="AL9" s="173" t="s">
        <v>4612</v>
      </c>
      <c r="AM9" s="173" t="s">
        <v>5406</v>
      </c>
      <c r="AN9" s="173" t="s">
        <v>362</v>
      </c>
      <c r="AO9" s="173"/>
      <c r="AP9" s="173"/>
      <c r="AQ9" s="173"/>
      <c r="AR9" s="173"/>
      <c r="AS9" s="173"/>
      <c r="AT9" s="173"/>
      <c r="AU9" s="173" t="s">
        <v>7301</v>
      </c>
      <c r="AV9" s="173" t="s">
        <v>278</v>
      </c>
      <c r="AW9" s="173" t="s">
        <v>7461</v>
      </c>
      <c r="AX9" s="173" t="s">
        <v>7483</v>
      </c>
      <c r="AY9" s="173" t="s">
        <v>4623</v>
      </c>
    </row>
    <row r="10" spans="1:51">
      <c r="A10" s="469" t="s">
        <v>355</v>
      </c>
      <c r="B10" s="763" t="s">
        <v>20</v>
      </c>
      <c r="C10" s="173" t="s">
        <v>276</v>
      </c>
      <c r="D10" s="173" t="s">
        <v>4617</v>
      </c>
      <c r="E10" s="173" t="s">
        <v>6640</v>
      </c>
      <c r="F10" s="173" t="s">
        <v>6628</v>
      </c>
      <c r="G10" s="173" t="s">
        <v>6684</v>
      </c>
      <c r="H10" s="173" t="s">
        <v>369</v>
      </c>
      <c r="I10" s="173" t="s">
        <v>6694</v>
      </c>
      <c r="J10" s="173" t="s">
        <v>429</v>
      </c>
      <c r="K10" s="173" t="s">
        <v>4619</v>
      </c>
      <c r="L10" s="173" t="s">
        <v>20</v>
      </c>
      <c r="M10" s="173" t="s">
        <v>206</v>
      </c>
      <c r="N10" s="173"/>
      <c r="O10" s="173" t="s">
        <v>18</v>
      </c>
      <c r="P10" s="173" t="s">
        <v>31</v>
      </c>
      <c r="Q10" s="173"/>
      <c r="R10" s="173" t="s">
        <v>4613</v>
      </c>
      <c r="S10" s="173" t="s">
        <v>90</v>
      </c>
      <c r="T10" s="173"/>
      <c r="U10" s="173"/>
      <c r="V10" s="173" t="s">
        <v>20</v>
      </c>
      <c r="W10" s="173" t="s">
        <v>4967</v>
      </c>
      <c r="X10" s="173"/>
      <c r="Y10" s="173" t="s">
        <v>6789</v>
      </c>
      <c r="Z10" s="173" t="s">
        <v>6799</v>
      </c>
      <c r="AA10" s="173" t="s">
        <v>18</v>
      </c>
      <c r="AB10" s="173"/>
      <c r="AC10" s="173" t="s">
        <v>19</v>
      </c>
      <c r="AD10" s="173" t="s">
        <v>7107</v>
      </c>
      <c r="AE10" s="173" t="s">
        <v>7117</v>
      </c>
      <c r="AF10" s="173" t="s">
        <v>7140</v>
      </c>
      <c r="AG10" s="173"/>
      <c r="AH10" s="173" t="s">
        <v>7185</v>
      </c>
      <c r="AI10" s="173" t="s">
        <v>7226</v>
      </c>
      <c r="AJ10" s="173"/>
      <c r="AK10" s="173" t="s">
        <v>46</v>
      </c>
      <c r="AL10" s="173" t="s">
        <v>7242</v>
      </c>
      <c r="AM10" s="173" t="s">
        <v>5407</v>
      </c>
      <c r="AN10" s="173" t="s">
        <v>363</v>
      </c>
      <c r="AO10" s="173"/>
      <c r="AP10" s="173"/>
      <c r="AQ10" s="173"/>
      <c r="AR10" s="173"/>
      <c r="AS10" s="173"/>
      <c r="AT10" s="173"/>
      <c r="AU10" s="173" t="s">
        <v>7302</v>
      </c>
      <c r="AV10" s="173" t="s">
        <v>388</v>
      </c>
      <c r="AW10" s="173" t="s">
        <v>7462</v>
      </c>
      <c r="AX10" s="173" t="s">
        <v>7484</v>
      </c>
      <c r="AY10" s="173" t="s">
        <v>4627</v>
      </c>
    </row>
    <row r="11" spans="1:51">
      <c r="A11" s="469" t="s">
        <v>356</v>
      </c>
      <c r="B11" s="173" t="s">
        <v>21</v>
      </c>
      <c r="C11" s="173" t="s">
        <v>277</v>
      </c>
      <c r="D11" s="173" t="s">
        <v>4620</v>
      </c>
      <c r="E11" s="173" t="s">
        <v>303</v>
      </c>
      <c r="F11" s="173" t="s">
        <v>274</v>
      </c>
      <c r="G11" s="173" t="s">
        <v>80</v>
      </c>
      <c r="H11" s="173" t="s">
        <v>21</v>
      </c>
      <c r="I11" s="173" t="s">
        <v>277</v>
      </c>
      <c r="J11" s="173" t="s">
        <v>430</v>
      </c>
      <c r="K11" s="173" t="s">
        <v>4622</v>
      </c>
      <c r="L11" s="173" t="s">
        <v>22</v>
      </c>
      <c r="M11" s="173" t="s">
        <v>207</v>
      </c>
      <c r="N11" s="173"/>
      <c r="O11" s="173" t="s">
        <v>19</v>
      </c>
      <c r="P11" s="173" t="s">
        <v>47</v>
      </c>
      <c r="Q11" s="173"/>
      <c r="R11" s="173" t="s">
        <v>4615</v>
      </c>
      <c r="S11" s="173" t="s">
        <v>91</v>
      </c>
      <c r="T11" s="173"/>
      <c r="U11" s="173"/>
      <c r="V11" s="173" t="s">
        <v>21</v>
      </c>
      <c r="W11" s="173" t="s">
        <v>4968</v>
      </c>
      <c r="X11" s="173"/>
      <c r="Y11" s="173"/>
      <c r="Z11" s="173" t="s">
        <v>6800</v>
      </c>
      <c r="AA11" s="173" t="s">
        <v>19</v>
      </c>
      <c r="AB11" s="173"/>
      <c r="AC11" s="173" t="s">
        <v>20</v>
      </c>
      <c r="AD11" s="173" t="s">
        <v>12</v>
      </c>
      <c r="AE11" s="173" t="s">
        <v>7118</v>
      </c>
      <c r="AF11" s="173" t="s">
        <v>4603</v>
      </c>
      <c r="AG11" s="173"/>
      <c r="AH11" s="173" t="s">
        <v>7186</v>
      </c>
      <c r="AI11" s="173"/>
      <c r="AJ11" s="173"/>
      <c r="AK11" s="173" t="s">
        <v>7229</v>
      </c>
      <c r="AL11" s="173" t="s">
        <v>7243</v>
      </c>
      <c r="AM11" s="173" t="s">
        <v>5408</v>
      </c>
      <c r="AN11" s="173" t="s">
        <v>364</v>
      </c>
      <c r="AO11" s="173"/>
      <c r="AP11" s="173"/>
      <c r="AQ11" s="173"/>
      <c r="AR11" s="173"/>
      <c r="AS11" s="173"/>
      <c r="AT11" s="173"/>
      <c r="AU11" s="173" t="s">
        <v>7303</v>
      </c>
      <c r="AV11" s="173" t="s">
        <v>277</v>
      </c>
      <c r="AW11" s="173" t="s">
        <v>7463</v>
      </c>
      <c r="AX11" s="173" t="s">
        <v>7485</v>
      </c>
      <c r="AY11" s="173" t="s">
        <v>365</v>
      </c>
    </row>
    <row r="12" spans="1:51">
      <c r="A12" s="469" t="s">
        <v>390</v>
      </c>
      <c r="B12" s="173" t="s">
        <v>22</v>
      </c>
      <c r="C12" s="173" t="s">
        <v>278</v>
      </c>
      <c r="D12" s="173" t="s">
        <v>4624</v>
      </c>
      <c r="E12" s="173" t="s">
        <v>304</v>
      </c>
      <c r="F12" s="173" t="s">
        <v>6629</v>
      </c>
      <c r="G12" s="173" t="s">
        <v>6685</v>
      </c>
      <c r="H12" s="173" t="s">
        <v>359</v>
      </c>
      <c r="I12" s="173" t="s">
        <v>278</v>
      </c>
      <c r="J12" s="173" t="s">
        <v>431</v>
      </c>
      <c r="K12" s="173" t="s">
        <v>4626</v>
      </c>
      <c r="L12" s="173" t="s">
        <v>21</v>
      </c>
      <c r="M12" s="173" t="s">
        <v>208</v>
      </c>
      <c r="N12" s="173"/>
      <c r="O12" s="173" t="s">
        <v>20</v>
      </c>
      <c r="P12" s="173" t="s">
        <v>27</v>
      </c>
      <c r="Q12" s="173"/>
      <c r="R12" s="173" t="s">
        <v>4618</v>
      </c>
      <c r="S12" s="173" t="s">
        <v>92</v>
      </c>
      <c r="T12" s="173"/>
      <c r="U12" s="173"/>
      <c r="V12" s="173" t="s">
        <v>4661</v>
      </c>
      <c r="W12" s="173" t="s">
        <v>4969</v>
      </c>
      <c r="X12" s="173"/>
      <c r="Y12" s="173"/>
      <c r="Z12" s="173" t="s">
        <v>6801</v>
      </c>
      <c r="AA12" s="173" t="s">
        <v>7007</v>
      </c>
      <c r="AB12" s="173"/>
      <c r="AC12" s="173" t="s">
        <v>21</v>
      </c>
      <c r="AD12" s="173" t="s">
        <v>7108</v>
      </c>
      <c r="AE12" s="173" t="s">
        <v>7119</v>
      </c>
      <c r="AF12" s="173" t="s">
        <v>355</v>
      </c>
      <c r="AG12" s="173"/>
      <c r="AH12" s="173" t="s">
        <v>7187</v>
      </c>
      <c r="AI12" s="173"/>
      <c r="AJ12" s="173"/>
      <c r="AK12" s="173" t="s">
        <v>7230</v>
      </c>
      <c r="AL12" s="173" t="s">
        <v>7244</v>
      </c>
      <c r="AM12" s="173" t="s">
        <v>5409</v>
      </c>
      <c r="AN12" s="173" t="s">
        <v>365</v>
      </c>
      <c r="AO12" s="173"/>
      <c r="AP12" s="173"/>
      <c r="AQ12" s="173"/>
      <c r="AR12" s="173"/>
      <c r="AS12" s="173"/>
      <c r="AT12" s="173"/>
      <c r="AU12" s="173" t="s">
        <v>7304</v>
      </c>
      <c r="AV12" s="173" t="s">
        <v>7398</v>
      </c>
      <c r="AW12" s="173" t="s">
        <v>4633</v>
      </c>
      <c r="AX12" s="173" t="s">
        <v>7486</v>
      </c>
      <c r="AY12" s="173" t="s">
        <v>7577</v>
      </c>
    </row>
    <row r="13" spans="1:51">
      <c r="A13" s="469" t="s">
        <v>21</v>
      </c>
      <c r="B13" s="173" t="s">
        <v>23</v>
      </c>
      <c r="C13" s="173" t="s">
        <v>279</v>
      </c>
      <c r="D13" s="173" t="s">
        <v>4628</v>
      </c>
      <c r="E13" s="173" t="s">
        <v>305</v>
      </c>
      <c r="F13" s="173" t="s">
        <v>275</v>
      </c>
      <c r="G13" s="173" t="s">
        <v>6686</v>
      </c>
      <c r="H13" s="173" t="s">
        <v>4623</v>
      </c>
      <c r="I13" s="173" t="s">
        <v>6695</v>
      </c>
      <c r="J13" s="173" t="s">
        <v>432</v>
      </c>
      <c r="K13" s="173" t="s">
        <v>4629</v>
      </c>
      <c r="L13" s="173" t="s">
        <v>23</v>
      </c>
      <c r="M13" s="173" t="s">
        <v>209</v>
      </c>
      <c r="N13" s="173"/>
      <c r="O13" s="173" t="s">
        <v>21</v>
      </c>
      <c r="P13" s="173" t="s">
        <v>417</v>
      </c>
      <c r="Q13" s="173"/>
      <c r="R13" s="173" t="s">
        <v>4621</v>
      </c>
      <c r="S13" s="173" t="s">
        <v>93</v>
      </c>
      <c r="T13" s="173"/>
      <c r="U13" s="173"/>
      <c r="V13" s="173" t="s">
        <v>5018</v>
      </c>
      <c r="W13" s="173" t="s">
        <v>4970</v>
      </c>
      <c r="X13" s="173"/>
      <c r="Y13" s="173"/>
      <c r="Z13" s="173" t="s">
        <v>6802</v>
      </c>
      <c r="AA13" s="173" t="s">
        <v>7008</v>
      </c>
      <c r="AB13" s="173"/>
      <c r="AC13" s="173" t="s">
        <v>368</v>
      </c>
      <c r="AD13" s="173" t="s">
        <v>226</v>
      </c>
      <c r="AE13" s="173" t="s">
        <v>7120</v>
      </c>
      <c r="AF13" s="173" t="s">
        <v>7141</v>
      </c>
      <c r="AG13" s="173"/>
      <c r="AH13" s="173" t="s">
        <v>7188</v>
      </c>
      <c r="AI13" s="173"/>
      <c r="AJ13" s="173"/>
      <c r="AK13" s="173" t="s">
        <v>7231</v>
      </c>
      <c r="AL13" s="173" t="s">
        <v>7245</v>
      </c>
      <c r="AM13" s="173" t="s">
        <v>5410</v>
      </c>
      <c r="AN13" s="173" t="s">
        <v>366</v>
      </c>
      <c r="AO13" s="173"/>
      <c r="AP13" s="173"/>
      <c r="AQ13" s="173"/>
      <c r="AR13" s="173"/>
      <c r="AS13" s="173"/>
      <c r="AT13" s="173"/>
      <c r="AU13" s="173" t="s">
        <v>7305</v>
      </c>
      <c r="AV13" s="173" t="s">
        <v>7399</v>
      </c>
      <c r="AW13" s="173" t="s">
        <v>4673</v>
      </c>
      <c r="AX13" s="173" t="s">
        <v>7487</v>
      </c>
      <c r="AY13" s="173" t="s">
        <v>7578</v>
      </c>
    </row>
    <row r="14" spans="1:51">
      <c r="A14" s="469" t="s">
        <v>391</v>
      </c>
      <c r="B14" s="173" t="s">
        <v>24</v>
      </c>
      <c r="C14" s="173" t="s">
        <v>280</v>
      </c>
      <c r="D14" s="173" t="s">
        <v>4631</v>
      </c>
      <c r="E14" s="173" t="s">
        <v>306</v>
      </c>
      <c r="F14" s="173" t="s">
        <v>276</v>
      </c>
      <c r="G14" s="173"/>
      <c r="H14" s="173" t="s">
        <v>4627</v>
      </c>
      <c r="I14" s="173" t="s">
        <v>6696</v>
      </c>
      <c r="J14" s="173" t="s">
        <v>433</v>
      </c>
      <c r="K14" s="173" t="s">
        <v>4632</v>
      </c>
      <c r="L14" s="173" t="s">
        <v>24</v>
      </c>
      <c r="M14" s="173" t="s">
        <v>210</v>
      </c>
      <c r="N14" s="173"/>
      <c r="O14" s="173" t="s">
        <v>4685</v>
      </c>
      <c r="P14" s="173" t="s">
        <v>4931</v>
      </c>
      <c r="Q14" s="173"/>
      <c r="R14" s="173" t="s">
        <v>4625</v>
      </c>
      <c r="S14" s="173" t="s">
        <v>94</v>
      </c>
      <c r="T14" s="173"/>
      <c r="U14" s="173"/>
      <c r="V14" s="173" t="s">
        <v>6735</v>
      </c>
      <c r="W14" s="173" t="s">
        <v>4971</v>
      </c>
      <c r="X14" s="173"/>
      <c r="Y14" s="173"/>
      <c r="Z14" s="173" t="s">
        <v>6803</v>
      </c>
      <c r="AA14" s="173" t="s">
        <v>7009</v>
      </c>
      <c r="AB14" s="173"/>
      <c r="AC14" s="173" t="s">
        <v>4601</v>
      </c>
      <c r="AD14" s="173" t="s">
        <v>6751</v>
      </c>
      <c r="AE14" s="173" t="s">
        <v>7121</v>
      </c>
      <c r="AF14" s="173" t="s">
        <v>7142</v>
      </c>
      <c r="AG14" s="173"/>
      <c r="AH14" s="173" t="s">
        <v>7189</v>
      </c>
      <c r="AI14" s="173"/>
      <c r="AJ14" s="173"/>
      <c r="AK14" s="173" t="s">
        <v>7232</v>
      </c>
      <c r="AL14" s="173" t="s">
        <v>7246</v>
      </c>
      <c r="AM14" s="173" t="s">
        <v>5411</v>
      </c>
      <c r="AN14" s="173" t="s">
        <v>367</v>
      </c>
      <c r="AO14" s="173"/>
      <c r="AP14" s="173"/>
      <c r="AQ14" s="173"/>
      <c r="AR14" s="173"/>
      <c r="AS14" s="173"/>
      <c r="AT14" s="173"/>
      <c r="AU14" s="173" t="s">
        <v>7306</v>
      </c>
      <c r="AV14" s="173" t="s">
        <v>7400</v>
      </c>
      <c r="AW14" s="173" t="s">
        <v>4669</v>
      </c>
      <c r="AX14" s="173" t="s">
        <v>7488</v>
      </c>
      <c r="AY14" s="173" t="s">
        <v>7579</v>
      </c>
    </row>
    <row r="15" spans="1:51">
      <c r="A15" s="469" t="s">
        <v>392</v>
      </c>
      <c r="B15" s="173" t="s">
        <v>25</v>
      </c>
      <c r="C15" s="173" t="s">
        <v>281</v>
      </c>
      <c r="D15" s="173" t="s">
        <v>4633</v>
      </c>
      <c r="E15" s="173" t="s">
        <v>307</v>
      </c>
      <c r="F15" s="173" t="s">
        <v>279</v>
      </c>
      <c r="G15" s="173"/>
      <c r="H15" s="173" t="s">
        <v>4630</v>
      </c>
      <c r="I15" s="173" t="s">
        <v>6697</v>
      </c>
      <c r="J15" s="173" t="s">
        <v>434</v>
      </c>
      <c r="K15" s="173" t="s">
        <v>4635</v>
      </c>
      <c r="L15" s="173" t="s">
        <v>25</v>
      </c>
      <c r="M15" s="173" t="s">
        <v>211</v>
      </c>
      <c r="N15" s="173"/>
      <c r="O15" s="173" t="s">
        <v>4601</v>
      </c>
      <c r="P15" s="173" t="s">
        <v>4932</v>
      </c>
      <c r="Q15" s="173"/>
      <c r="R15" s="173" t="s">
        <v>214</v>
      </c>
      <c r="S15" s="173" t="s">
        <v>95</v>
      </c>
      <c r="T15" s="173"/>
      <c r="U15" s="173"/>
      <c r="V15" s="173" t="s">
        <v>4601</v>
      </c>
      <c r="W15" s="173" t="s">
        <v>359</v>
      </c>
      <c r="X15" s="173"/>
      <c r="Y15" s="173"/>
      <c r="Z15" s="173" t="s">
        <v>6804</v>
      </c>
      <c r="AA15" s="173" t="s">
        <v>7010</v>
      </c>
      <c r="AB15" s="173"/>
      <c r="AC15" s="173" t="s">
        <v>4692</v>
      </c>
      <c r="AD15" s="173"/>
      <c r="AE15" s="173" t="s">
        <v>7122</v>
      </c>
      <c r="AF15" s="173" t="s">
        <v>7143</v>
      </c>
      <c r="AG15" s="173"/>
      <c r="AH15" s="173" t="s">
        <v>7190</v>
      </c>
      <c r="AI15" s="173"/>
      <c r="AJ15" s="173"/>
      <c r="AK15" s="173" t="s">
        <v>7233</v>
      </c>
      <c r="AL15" s="173" t="s">
        <v>7247</v>
      </c>
      <c r="AM15" s="173" t="s">
        <v>5412</v>
      </c>
      <c r="AN15" s="173" t="s">
        <v>4917</v>
      </c>
      <c r="AO15" s="173"/>
      <c r="AP15" s="173"/>
      <c r="AQ15" s="173"/>
      <c r="AR15" s="173"/>
      <c r="AS15" s="173"/>
      <c r="AT15" s="173"/>
      <c r="AU15" s="173" t="s">
        <v>7307</v>
      </c>
      <c r="AV15" s="173" t="s">
        <v>7401</v>
      </c>
      <c r="AW15" s="173" t="s">
        <v>7018</v>
      </c>
      <c r="AX15" s="173" t="s">
        <v>7489</v>
      </c>
      <c r="AY15" s="173" t="s">
        <v>7580</v>
      </c>
    </row>
    <row r="16" spans="1:51">
      <c r="A16" s="469" t="s">
        <v>361</v>
      </c>
      <c r="B16" s="173" t="s">
        <v>26</v>
      </c>
      <c r="C16" s="173" t="s">
        <v>282</v>
      </c>
      <c r="D16" s="173" t="s">
        <v>4636</v>
      </c>
      <c r="E16" s="173" t="s">
        <v>308</v>
      </c>
      <c r="F16" s="173" t="s">
        <v>280</v>
      </c>
      <c r="G16" s="173"/>
      <c r="H16" s="173" t="s">
        <v>361</v>
      </c>
      <c r="I16" s="173" t="s">
        <v>6698</v>
      </c>
      <c r="J16" s="173" t="s">
        <v>435</v>
      </c>
      <c r="K16" s="173" t="s">
        <v>4638</v>
      </c>
      <c r="L16" s="173" t="s">
        <v>26</v>
      </c>
      <c r="M16" s="173" t="s">
        <v>212</v>
      </c>
      <c r="N16" s="173"/>
      <c r="O16" s="173" t="s">
        <v>372</v>
      </c>
      <c r="P16" s="173" t="s">
        <v>4933</v>
      </c>
      <c r="Q16" s="173"/>
      <c r="R16" s="173" t="s">
        <v>415</v>
      </c>
      <c r="S16" s="173" t="s">
        <v>96</v>
      </c>
      <c r="T16" s="173"/>
      <c r="U16" s="173"/>
      <c r="V16" s="173" t="s">
        <v>6736</v>
      </c>
      <c r="W16" s="173" t="s">
        <v>4972</v>
      </c>
      <c r="X16" s="173"/>
      <c r="Y16" s="173"/>
      <c r="Z16" s="173" t="s">
        <v>6805</v>
      </c>
      <c r="AA16" s="173" t="s">
        <v>7011</v>
      </c>
      <c r="AB16" s="173"/>
      <c r="AC16" s="173" t="s">
        <v>6725</v>
      </c>
      <c r="AD16" s="173"/>
      <c r="AE16" s="173" t="s">
        <v>7123</v>
      </c>
      <c r="AF16" s="173" t="s">
        <v>361</v>
      </c>
      <c r="AG16" s="173"/>
      <c r="AH16" s="173" t="s">
        <v>7191</v>
      </c>
      <c r="AI16" s="173"/>
      <c r="AJ16" s="173"/>
      <c r="AK16" s="173" t="s">
        <v>7232</v>
      </c>
      <c r="AL16" s="173" t="s">
        <v>21</v>
      </c>
      <c r="AM16" s="173" t="s">
        <v>5413</v>
      </c>
      <c r="AN16" s="173" t="s">
        <v>4918</v>
      </c>
      <c r="AO16" s="173"/>
      <c r="AP16" s="173"/>
      <c r="AQ16" s="173"/>
      <c r="AR16" s="173"/>
      <c r="AS16" s="173"/>
      <c r="AT16" s="173"/>
      <c r="AU16" s="173" t="s">
        <v>7308</v>
      </c>
      <c r="AV16" s="173" t="s">
        <v>7402</v>
      </c>
      <c r="AW16" s="173" t="s">
        <v>7464</v>
      </c>
      <c r="AX16" s="173" t="s">
        <v>7490</v>
      </c>
      <c r="AY16" s="173" t="s">
        <v>7581</v>
      </c>
    </row>
    <row r="17" spans="1:51">
      <c r="A17" s="469" t="s">
        <v>362</v>
      </c>
      <c r="B17" s="173" t="s">
        <v>27</v>
      </c>
      <c r="C17" s="173" t="s">
        <v>283</v>
      </c>
      <c r="D17" s="173" t="s">
        <v>4639</v>
      </c>
      <c r="E17" s="173" t="s">
        <v>309</v>
      </c>
      <c r="F17" s="173" t="s">
        <v>281</v>
      </c>
      <c r="G17" s="173"/>
      <c r="H17" s="173" t="s">
        <v>362</v>
      </c>
      <c r="I17" s="173" t="s">
        <v>6699</v>
      </c>
      <c r="J17" s="173" t="s">
        <v>436</v>
      </c>
      <c r="K17" s="173" t="s">
        <v>4641</v>
      </c>
      <c r="L17" s="173" t="s">
        <v>27</v>
      </c>
      <c r="M17" s="173" t="s">
        <v>213</v>
      </c>
      <c r="N17" s="173"/>
      <c r="O17" s="173" t="s">
        <v>4973</v>
      </c>
      <c r="P17" s="173" t="s">
        <v>4934</v>
      </c>
      <c r="Q17" s="173"/>
      <c r="R17" s="173" t="s">
        <v>4634</v>
      </c>
      <c r="S17" s="173" t="s">
        <v>97</v>
      </c>
      <c r="T17" s="173"/>
      <c r="U17" s="173"/>
      <c r="V17" s="173" t="s">
        <v>6737</v>
      </c>
      <c r="W17" s="173" t="s">
        <v>4974</v>
      </c>
      <c r="X17" s="173"/>
      <c r="Y17" s="173"/>
      <c r="Z17" s="173" t="s">
        <v>6806</v>
      </c>
      <c r="AA17" s="173" t="s">
        <v>7012</v>
      </c>
      <c r="AB17" s="173"/>
      <c r="AC17" s="173" t="s">
        <v>34</v>
      </c>
      <c r="AD17" s="173"/>
      <c r="AE17" s="173" t="s">
        <v>7124</v>
      </c>
      <c r="AF17" s="173" t="s">
        <v>362</v>
      </c>
      <c r="AG17" s="173"/>
      <c r="AH17" s="173" t="s">
        <v>7192</v>
      </c>
      <c r="AI17" s="173"/>
      <c r="AJ17" s="173"/>
      <c r="AK17" s="173" t="s">
        <v>7233</v>
      </c>
      <c r="AL17" s="173" t="s">
        <v>361</v>
      </c>
      <c r="AM17" s="173" t="s">
        <v>5414</v>
      </c>
      <c r="AN17" s="173" t="s">
        <v>4654</v>
      </c>
      <c r="AO17" s="173"/>
      <c r="AP17" s="173"/>
      <c r="AQ17" s="173"/>
      <c r="AR17" s="173"/>
      <c r="AS17" s="173"/>
      <c r="AT17" s="173"/>
      <c r="AU17" s="173" t="s">
        <v>7309</v>
      </c>
      <c r="AV17" s="173" t="s">
        <v>7403</v>
      </c>
      <c r="AW17" s="173" t="s">
        <v>7465</v>
      </c>
      <c r="AX17" s="173" t="s">
        <v>365</v>
      </c>
      <c r="AY17" s="173" t="s">
        <v>4661</v>
      </c>
    </row>
    <row r="18" spans="1:51">
      <c r="A18" s="469" t="s">
        <v>363</v>
      </c>
      <c r="B18" s="173" t="s">
        <v>28</v>
      </c>
      <c r="C18" s="173" t="s">
        <v>284</v>
      </c>
      <c r="D18" s="173" t="s">
        <v>4642</v>
      </c>
      <c r="E18" s="173" t="s">
        <v>310</v>
      </c>
      <c r="F18" s="173" t="s">
        <v>282</v>
      </c>
      <c r="G18" s="173"/>
      <c r="H18" s="173" t="s">
        <v>363</v>
      </c>
      <c r="I18" s="173" t="s">
        <v>6700</v>
      </c>
      <c r="J18" s="173" t="s">
        <v>437</v>
      </c>
      <c r="K18" s="173" t="s">
        <v>4644</v>
      </c>
      <c r="L18" s="173" t="s">
        <v>32</v>
      </c>
      <c r="M18" s="173" t="s">
        <v>214</v>
      </c>
      <c r="N18" s="173"/>
      <c r="O18" s="173" t="s">
        <v>4975</v>
      </c>
      <c r="P18" s="173" t="s">
        <v>4935</v>
      </c>
      <c r="Q18" s="173"/>
      <c r="R18" s="173" t="s">
        <v>4637</v>
      </c>
      <c r="S18" s="173" t="s">
        <v>98</v>
      </c>
      <c r="T18" s="173"/>
      <c r="U18" s="173"/>
      <c r="V18" s="173" t="s">
        <v>6738</v>
      </c>
      <c r="W18" s="173" t="s">
        <v>4976</v>
      </c>
      <c r="X18" s="173"/>
      <c r="Y18" s="173"/>
      <c r="Z18" s="173" t="s">
        <v>6807</v>
      </c>
      <c r="AA18" s="173" t="s">
        <v>7013</v>
      </c>
      <c r="AB18" s="173"/>
      <c r="AC18" s="173" t="s">
        <v>32</v>
      </c>
      <c r="AD18" s="173"/>
      <c r="AE18" s="173" t="s">
        <v>7125</v>
      </c>
      <c r="AF18" s="173" t="s">
        <v>363</v>
      </c>
      <c r="AG18" s="173"/>
      <c r="AH18" s="173" t="s">
        <v>7193</v>
      </c>
      <c r="AI18" s="173"/>
      <c r="AJ18" s="173"/>
      <c r="AK18" s="173" t="s">
        <v>21</v>
      </c>
      <c r="AL18" s="173" t="s">
        <v>362</v>
      </c>
      <c r="AM18" s="173" t="s">
        <v>5415</v>
      </c>
      <c r="AN18" s="173" t="s">
        <v>4919</v>
      </c>
      <c r="AO18" s="173"/>
      <c r="AP18" s="173"/>
      <c r="AQ18" s="173"/>
      <c r="AR18" s="173"/>
      <c r="AS18" s="173"/>
      <c r="AT18" s="173"/>
      <c r="AU18" s="173" t="s">
        <v>7310</v>
      </c>
      <c r="AV18" s="173" t="s">
        <v>7404</v>
      </c>
      <c r="AW18" s="173" t="s">
        <v>7466</v>
      </c>
      <c r="AX18" s="763" t="s">
        <v>355</v>
      </c>
      <c r="AY18" s="173" t="s">
        <v>6743</v>
      </c>
    </row>
    <row r="19" spans="1:51">
      <c r="A19" s="469" t="s">
        <v>364</v>
      </c>
      <c r="B19" s="173" t="s">
        <v>29</v>
      </c>
      <c r="C19" s="173" t="s">
        <v>285</v>
      </c>
      <c r="D19" s="173" t="s">
        <v>4645</v>
      </c>
      <c r="E19" s="173" t="s">
        <v>311</v>
      </c>
      <c r="F19" s="173" t="s">
        <v>283</v>
      </c>
      <c r="G19" s="173"/>
      <c r="H19" s="173" t="s">
        <v>364</v>
      </c>
      <c r="I19" s="173" t="s">
        <v>12</v>
      </c>
      <c r="J19" s="173" t="s">
        <v>438</v>
      </c>
      <c r="K19" s="173" t="s">
        <v>4647</v>
      </c>
      <c r="L19" s="173" t="s">
        <v>33</v>
      </c>
      <c r="M19" s="173" t="s">
        <v>215</v>
      </c>
      <c r="N19" s="173"/>
      <c r="O19" s="173" t="s">
        <v>4977</v>
      </c>
      <c r="P19" s="173" t="s">
        <v>4936</v>
      </c>
      <c r="Q19" s="173"/>
      <c r="R19" s="173" t="s">
        <v>4640</v>
      </c>
      <c r="S19" s="173" t="s">
        <v>99</v>
      </c>
      <c r="T19" s="173"/>
      <c r="U19" s="173"/>
      <c r="V19" s="173" t="s">
        <v>5023</v>
      </c>
      <c r="W19" s="173" t="s">
        <v>4978</v>
      </c>
      <c r="X19" s="173"/>
      <c r="Y19" s="173"/>
      <c r="Z19" s="173" t="s">
        <v>6808</v>
      </c>
      <c r="AA19" s="173" t="s">
        <v>7014</v>
      </c>
      <c r="AB19" s="173"/>
      <c r="AC19" s="173" t="s">
        <v>33</v>
      </c>
      <c r="AD19" s="173"/>
      <c r="AE19" s="173" t="s">
        <v>7126</v>
      </c>
      <c r="AF19" s="173" t="s">
        <v>364</v>
      </c>
      <c r="AG19" s="173"/>
      <c r="AH19" s="173" t="s">
        <v>365</v>
      </c>
      <c r="AI19" s="173"/>
      <c r="AJ19" s="173"/>
      <c r="AK19" s="173" t="s">
        <v>34</v>
      </c>
      <c r="AL19" s="173" t="s">
        <v>363</v>
      </c>
      <c r="AM19" s="173" t="s">
        <v>5416</v>
      </c>
      <c r="AN19" s="173" t="s">
        <v>4920</v>
      </c>
      <c r="AO19" s="173"/>
      <c r="AP19" s="173"/>
      <c r="AQ19" s="173"/>
      <c r="AR19" s="173"/>
      <c r="AS19" s="173"/>
      <c r="AT19" s="173"/>
      <c r="AU19" s="173" t="s">
        <v>7311</v>
      </c>
      <c r="AV19" s="173" t="s">
        <v>7405</v>
      </c>
      <c r="AW19" s="173" t="s">
        <v>365</v>
      </c>
      <c r="AX19" s="763" t="s">
        <v>4603</v>
      </c>
      <c r="AY19" s="173" t="s">
        <v>6740</v>
      </c>
    </row>
    <row r="20" spans="1:51">
      <c r="A20" s="469" t="s">
        <v>365</v>
      </c>
      <c r="B20" s="173" t="s">
        <v>30</v>
      </c>
      <c r="C20" s="173" t="s">
        <v>286</v>
      </c>
      <c r="D20" s="173" t="s">
        <v>4648</v>
      </c>
      <c r="E20" s="173" t="s">
        <v>312</v>
      </c>
      <c r="F20" s="173" t="s">
        <v>284</v>
      </c>
      <c r="G20" s="173"/>
      <c r="H20" s="173" t="s">
        <v>365</v>
      </c>
      <c r="I20" s="173"/>
      <c r="J20" s="173" t="s">
        <v>439</v>
      </c>
      <c r="K20" s="173" t="s">
        <v>4650</v>
      </c>
      <c r="L20" s="173" t="s">
        <v>34</v>
      </c>
      <c r="M20" s="173" t="s">
        <v>216</v>
      </c>
      <c r="N20" s="173"/>
      <c r="O20" s="173" t="s">
        <v>275</v>
      </c>
      <c r="P20" s="173" t="s">
        <v>4937</v>
      </c>
      <c r="Q20" s="173"/>
      <c r="R20" s="173" t="s">
        <v>4643</v>
      </c>
      <c r="S20" s="173" t="s">
        <v>100</v>
      </c>
      <c r="T20" s="173"/>
      <c r="U20" s="173"/>
      <c r="V20" s="173" t="s">
        <v>6739</v>
      </c>
      <c r="W20" s="173" t="s">
        <v>4979</v>
      </c>
      <c r="X20" s="173"/>
      <c r="Y20" s="173"/>
      <c r="Z20" s="173" t="s">
        <v>6809</v>
      </c>
      <c r="AA20" s="173" t="s">
        <v>7015</v>
      </c>
      <c r="AB20" s="173"/>
      <c r="AC20" s="173" t="s">
        <v>36</v>
      </c>
      <c r="AD20" s="173"/>
      <c r="AE20" s="173" t="s">
        <v>7127</v>
      </c>
      <c r="AF20" s="173" t="s">
        <v>365</v>
      </c>
      <c r="AG20" s="173"/>
      <c r="AH20" s="173" t="s">
        <v>7194</v>
      </c>
      <c r="AI20" s="173"/>
      <c r="AJ20" s="173"/>
      <c r="AK20" s="173" t="s">
        <v>32</v>
      </c>
      <c r="AL20" s="173" t="s">
        <v>364</v>
      </c>
      <c r="AM20" s="173" t="s">
        <v>5417</v>
      </c>
      <c r="AN20" s="173" t="s">
        <v>4921</v>
      </c>
      <c r="AO20" s="173"/>
      <c r="AP20" s="173"/>
      <c r="AQ20" s="173"/>
      <c r="AR20" s="173"/>
      <c r="AS20" s="173"/>
      <c r="AT20" s="173"/>
      <c r="AU20" s="173" t="s">
        <v>7312</v>
      </c>
      <c r="AV20" s="173" t="s">
        <v>7406</v>
      </c>
      <c r="AW20" s="173" t="s">
        <v>4883</v>
      </c>
      <c r="AX20" s="173" t="s">
        <v>7491</v>
      </c>
      <c r="AY20" s="173" t="s">
        <v>7582</v>
      </c>
    </row>
    <row r="21" spans="1:51">
      <c r="A21" s="469" t="s">
        <v>366</v>
      </c>
      <c r="B21" s="173" t="s">
        <v>31</v>
      </c>
      <c r="C21" s="173" t="s">
        <v>287</v>
      </c>
      <c r="D21" s="173" t="s">
        <v>4651</v>
      </c>
      <c r="E21" s="173" t="s">
        <v>313</v>
      </c>
      <c r="F21" s="173" t="s">
        <v>285</v>
      </c>
      <c r="G21" s="173"/>
      <c r="H21" s="173" t="s">
        <v>366</v>
      </c>
      <c r="I21" s="173"/>
      <c r="J21" s="173" t="s">
        <v>440</v>
      </c>
      <c r="K21" s="173" t="s">
        <v>4653</v>
      </c>
      <c r="L21" s="173" t="s">
        <v>35</v>
      </c>
      <c r="M21" s="173" t="s">
        <v>217</v>
      </c>
      <c r="N21" s="173"/>
      <c r="O21" s="173" t="s">
        <v>4658</v>
      </c>
      <c r="P21" s="173" t="s">
        <v>4938</v>
      </c>
      <c r="Q21" s="173"/>
      <c r="R21" s="173" t="s">
        <v>6716</v>
      </c>
      <c r="S21" s="173" t="s">
        <v>101</v>
      </c>
      <c r="T21" s="173"/>
      <c r="U21" s="173"/>
      <c r="V21" s="173" t="s">
        <v>6740</v>
      </c>
      <c r="W21" s="173" t="s">
        <v>4980</v>
      </c>
      <c r="X21" s="173"/>
      <c r="Y21" s="173"/>
      <c r="Z21" s="173" t="s">
        <v>6810</v>
      </c>
      <c r="AA21" s="173" t="s">
        <v>7016</v>
      </c>
      <c r="AB21" s="173"/>
      <c r="AC21" s="173" t="s">
        <v>39</v>
      </c>
      <c r="AD21" s="173"/>
      <c r="AE21" s="173" t="s">
        <v>7128</v>
      </c>
      <c r="AF21" s="173" t="s">
        <v>366</v>
      </c>
      <c r="AG21" s="173"/>
      <c r="AH21" s="173" t="s">
        <v>7195</v>
      </c>
      <c r="AI21" s="173"/>
      <c r="AJ21" s="173"/>
      <c r="AK21" s="173" t="s">
        <v>7234</v>
      </c>
      <c r="AL21" s="173" t="s">
        <v>365</v>
      </c>
      <c r="AM21" s="173" t="s">
        <v>5418</v>
      </c>
      <c r="AN21" s="173" t="s">
        <v>4922</v>
      </c>
      <c r="AO21" s="173"/>
      <c r="AP21" s="173"/>
      <c r="AQ21" s="173"/>
      <c r="AR21" s="173"/>
      <c r="AS21" s="173"/>
      <c r="AT21" s="173"/>
      <c r="AU21" s="173" t="s">
        <v>7313</v>
      </c>
      <c r="AV21" s="173" t="s">
        <v>7407</v>
      </c>
      <c r="AW21" s="173" t="s">
        <v>380</v>
      </c>
      <c r="AX21" s="173" t="s">
        <v>7492</v>
      </c>
      <c r="AY21" s="173" t="s">
        <v>4605</v>
      </c>
    </row>
    <row r="22" spans="1:51">
      <c r="A22" s="469" t="s">
        <v>367</v>
      </c>
      <c r="B22" s="173" t="s">
        <v>32</v>
      </c>
      <c r="C22" s="173" t="s">
        <v>6630</v>
      </c>
      <c r="D22" s="173" t="s">
        <v>4655</v>
      </c>
      <c r="E22" s="173" t="s">
        <v>314</v>
      </c>
      <c r="F22" s="173" t="s">
        <v>286</v>
      </c>
      <c r="G22" s="173"/>
      <c r="H22" s="173" t="s">
        <v>367</v>
      </c>
      <c r="I22" s="173"/>
      <c r="J22" s="173" t="s">
        <v>441</v>
      </c>
      <c r="K22" s="173" t="s">
        <v>4657</v>
      </c>
      <c r="L22" s="173" t="s">
        <v>36</v>
      </c>
      <c r="M22" s="173" t="s">
        <v>218</v>
      </c>
      <c r="N22" s="173"/>
      <c r="O22" s="173" t="s">
        <v>365</v>
      </c>
      <c r="P22" s="173" t="s">
        <v>4939</v>
      </c>
      <c r="Q22" s="173"/>
      <c r="R22" s="173" t="s">
        <v>6717</v>
      </c>
      <c r="S22" s="173" t="s">
        <v>102</v>
      </c>
      <c r="T22" s="173"/>
      <c r="U22" s="173"/>
      <c r="V22" s="173" t="s">
        <v>6741</v>
      </c>
      <c r="W22" s="173" t="s">
        <v>4981</v>
      </c>
      <c r="X22" s="173"/>
      <c r="Y22" s="173"/>
      <c r="Z22" s="173" t="s">
        <v>6811</v>
      </c>
      <c r="AA22" s="173" t="s">
        <v>7017</v>
      </c>
      <c r="AB22" s="173"/>
      <c r="AC22" s="173" t="s">
        <v>40</v>
      </c>
      <c r="AD22" s="173"/>
      <c r="AE22" s="173" t="s">
        <v>7129</v>
      </c>
      <c r="AF22" s="173" t="s">
        <v>367</v>
      </c>
      <c r="AG22" s="173"/>
      <c r="AH22" s="173" t="s">
        <v>7196</v>
      </c>
      <c r="AI22" s="173"/>
      <c r="AJ22" s="173"/>
      <c r="AK22" s="173" t="s">
        <v>7235</v>
      </c>
      <c r="AL22" s="173" t="s">
        <v>366</v>
      </c>
      <c r="AM22" s="173" t="s">
        <v>5419</v>
      </c>
      <c r="AN22" s="173" t="s">
        <v>4923</v>
      </c>
      <c r="AO22" s="173"/>
      <c r="AP22" s="173"/>
      <c r="AQ22" s="173"/>
      <c r="AR22" s="173"/>
      <c r="AS22" s="173"/>
      <c r="AT22" s="173"/>
      <c r="AU22" s="173" t="s">
        <v>7314</v>
      </c>
      <c r="AV22" s="173" t="s">
        <v>378</v>
      </c>
      <c r="AW22" s="173" t="s">
        <v>381</v>
      </c>
      <c r="AX22" s="173" t="s">
        <v>7493</v>
      </c>
      <c r="AY22" s="173" t="s">
        <v>7583</v>
      </c>
    </row>
    <row r="23" spans="1:51">
      <c r="A23" s="469" t="s">
        <v>393</v>
      </c>
      <c r="B23" s="173" t="s">
        <v>33</v>
      </c>
      <c r="C23" s="173" t="s">
        <v>288</v>
      </c>
      <c r="D23" s="173" t="s">
        <v>4659</v>
      </c>
      <c r="E23" s="173" t="s">
        <v>315</v>
      </c>
      <c r="F23" s="173" t="s">
        <v>287</v>
      </c>
      <c r="G23" s="173"/>
      <c r="H23" s="173" t="s">
        <v>4654</v>
      </c>
      <c r="I23" s="173"/>
      <c r="J23" s="173" t="s">
        <v>442</v>
      </c>
      <c r="K23" s="173" t="s">
        <v>4661</v>
      </c>
      <c r="L23" s="173" t="s">
        <v>37</v>
      </c>
      <c r="M23" s="173" t="s">
        <v>219</v>
      </c>
      <c r="N23" s="173"/>
      <c r="O23" s="173" t="s">
        <v>4982</v>
      </c>
      <c r="P23" s="173" t="s">
        <v>4940</v>
      </c>
      <c r="Q23" s="173"/>
      <c r="R23" s="173" t="s">
        <v>6718</v>
      </c>
      <c r="S23" s="173" t="s">
        <v>103</v>
      </c>
      <c r="T23" s="173"/>
      <c r="U23" s="173"/>
      <c r="V23" s="173" t="s">
        <v>6742</v>
      </c>
      <c r="W23" s="173" t="s">
        <v>4983</v>
      </c>
      <c r="X23" s="173"/>
      <c r="Y23" s="173"/>
      <c r="Z23" s="173" t="s">
        <v>6812</v>
      </c>
      <c r="AA23" s="173" t="s">
        <v>4633</v>
      </c>
      <c r="AB23" s="173"/>
      <c r="AC23" s="173" t="s">
        <v>37</v>
      </c>
      <c r="AD23" s="173"/>
      <c r="AE23" s="173" t="s">
        <v>4937</v>
      </c>
      <c r="AF23" s="173" t="s">
        <v>360</v>
      </c>
      <c r="AG23" s="173"/>
      <c r="AH23" s="173" t="s">
        <v>7197</v>
      </c>
      <c r="AI23" s="173"/>
      <c r="AJ23" s="173"/>
      <c r="AK23" s="173" t="s">
        <v>7236</v>
      </c>
      <c r="AL23" s="173" t="s">
        <v>367</v>
      </c>
      <c r="AM23" s="173" t="s">
        <v>5420</v>
      </c>
      <c r="AN23" s="173" t="s">
        <v>4924</v>
      </c>
      <c r="AO23" s="173"/>
      <c r="AP23" s="173"/>
      <c r="AQ23" s="173"/>
      <c r="AR23" s="173"/>
      <c r="AS23" s="173"/>
      <c r="AT23" s="173"/>
      <c r="AU23" s="173" t="s">
        <v>7315</v>
      </c>
      <c r="AV23" s="173" t="s">
        <v>4661</v>
      </c>
      <c r="AW23" s="173" t="s">
        <v>4670</v>
      </c>
      <c r="AX23" s="173" t="s">
        <v>7494</v>
      </c>
      <c r="AY23" s="173" t="s">
        <v>7584</v>
      </c>
    </row>
    <row r="24" spans="1:51">
      <c r="A24" s="469" t="s">
        <v>394</v>
      </c>
      <c r="B24" s="173" t="s">
        <v>34</v>
      </c>
      <c r="C24" s="173" t="s">
        <v>6631</v>
      </c>
      <c r="D24" s="173" t="s">
        <v>4662</v>
      </c>
      <c r="E24" s="173" t="s">
        <v>316</v>
      </c>
      <c r="F24" s="173" t="s">
        <v>6630</v>
      </c>
      <c r="G24" s="173"/>
      <c r="H24" s="173" t="s">
        <v>4658</v>
      </c>
      <c r="I24" s="173"/>
      <c r="J24" s="173" t="s">
        <v>443</v>
      </c>
      <c r="K24" s="173" t="s">
        <v>4664</v>
      </c>
      <c r="L24" s="173" t="s">
        <v>38</v>
      </c>
      <c r="M24" s="173" t="s">
        <v>220</v>
      </c>
      <c r="N24" s="173"/>
      <c r="O24" s="173" t="s">
        <v>4984</v>
      </c>
      <c r="P24" s="173" t="s">
        <v>4941</v>
      </c>
      <c r="Q24" s="173"/>
      <c r="R24" s="173" t="s">
        <v>6719</v>
      </c>
      <c r="S24" s="173" t="s">
        <v>104</v>
      </c>
      <c r="T24" s="173"/>
      <c r="U24" s="173"/>
      <c r="V24" s="173" t="s">
        <v>6743</v>
      </c>
      <c r="W24" s="173" t="s">
        <v>4985</v>
      </c>
      <c r="X24" s="173"/>
      <c r="Y24" s="173"/>
      <c r="Z24" s="173" t="s">
        <v>6813</v>
      </c>
      <c r="AA24" s="173" t="s">
        <v>4662</v>
      </c>
      <c r="AB24" s="173"/>
      <c r="AC24" s="173" t="s">
        <v>38</v>
      </c>
      <c r="AD24" s="173"/>
      <c r="AE24" s="173" t="s">
        <v>7130</v>
      </c>
      <c r="AF24" s="173" t="s">
        <v>7144</v>
      </c>
      <c r="AG24" s="173"/>
      <c r="AH24" s="173" t="s">
        <v>7198</v>
      </c>
      <c r="AI24" s="173"/>
      <c r="AJ24" s="173"/>
      <c r="AK24" s="173" t="s">
        <v>7237</v>
      </c>
      <c r="AL24" s="173" t="s">
        <v>4917</v>
      </c>
      <c r="AM24" s="173" t="s">
        <v>5421</v>
      </c>
      <c r="AN24" s="173" t="s">
        <v>4925</v>
      </c>
      <c r="AO24" s="173"/>
      <c r="AP24" s="173"/>
      <c r="AQ24" s="173"/>
      <c r="AR24" s="173"/>
      <c r="AS24" s="173"/>
      <c r="AT24" s="173"/>
      <c r="AU24" s="173" t="s">
        <v>7316</v>
      </c>
      <c r="AV24" s="173" t="s">
        <v>5018</v>
      </c>
      <c r="AW24" s="173" t="s">
        <v>22</v>
      </c>
      <c r="AX24" s="173" t="s">
        <v>7495</v>
      </c>
      <c r="AY24" s="173" t="s">
        <v>7585</v>
      </c>
    </row>
    <row r="25" spans="1:51">
      <c r="A25" s="469" t="s">
        <v>382</v>
      </c>
      <c r="B25" s="173" t="s">
        <v>35</v>
      </c>
      <c r="C25" s="173" t="s">
        <v>289</v>
      </c>
      <c r="D25" s="173" t="s">
        <v>355</v>
      </c>
      <c r="E25" s="173" t="s">
        <v>6641</v>
      </c>
      <c r="F25" s="173" t="s">
        <v>288</v>
      </c>
      <c r="G25" s="173"/>
      <c r="H25" s="173" t="s">
        <v>371</v>
      </c>
      <c r="I25" s="173"/>
      <c r="J25" s="173" t="s">
        <v>444</v>
      </c>
      <c r="K25" s="173" t="s">
        <v>4667</v>
      </c>
      <c r="L25" s="173" t="s">
        <v>39</v>
      </c>
      <c r="M25" s="173" t="s">
        <v>221</v>
      </c>
      <c r="N25" s="173"/>
      <c r="O25" s="173" t="s">
        <v>4986</v>
      </c>
      <c r="P25" s="173" t="s">
        <v>4942</v>
      </c>
      <c r="Q25" s="173"/>
      <c r="R25" s="173" t="s">
        <v>6720</v>
      </c>
      <c r="S25" s="173" t="s">
        <v>105</v>
      </c>
      <c r="T25" s="173"/>
      <c r="U25" s="173"/>
      <c r="V25" s="173" t="s">
        <v>6744</v>
      </c>
      <c r="W25" s="173" t="s">
        <v>4987</v>
      </c>
      <c r="X25" s="173"/>
      <c r="Y25" s="173"/>
      <c r="Z25" s="173" t="s">
        <v>6814</v>
      </c>
      <c r="AA25" s="173" t="s">
        <v>7018</v>
      </c>
      <c r="AB25" s="173"/>
      <c r="AC25" s="173" t="s">
        <v>41</v>
      </c>
      <c r="AD25" s="173"/>
      <c r="AE25" s="173" t="s">
        <v>7131</v>
      </c>
      <c r="AF25" s="173" t="s">
        <v>4654</v>
      </c>
      <c r="AG25" s="173"/>
      <c r="AH25" s="173" t="s">
        <v>7199</v>
      </c>
      <c r="AI25" s="173"/>
      <c r="AJ25" s="173"/>
      <c r="AK25" s="173" t="s">
        <v>7238</v>
      </c>
      <c r="AL25" s="173" t="s">
        <v>4918</v>
      </c>
      <c r="AM25" s="173" t="s">
        <v>5422</v>
      </c>
      <c r="AN25" s="173" t="s">
        <v>378</v>
      </c>
      <c r="AO25" s="173"/>
      <c r="AP25" s="173"/>
      <c r="AQ25" s="173"/>
      <c r="AR25" s="173"/>
      <c r="AS25" s="173"/>
      <c r="AT25" s="173"/>
      <c r="AU25" s="173" t="s">
        <v>7317</v>
      </c>
      <c r="AV25" s="173" t="s">
        <v>5005</v>
      </c>
      <c r="AW25" s="173" t="s">
        <v>7467</v>
      </c>
      <c r="AX25" s="173" t="s">
        <v>7496</v>
      </c>
      <c r="AY25" s="173" t="s">
        <v>7586</v>
      </c>
    </row>
    <row r="26" spans="1:51">
      <c r="A26" s="469" t="s">
        <v>395</v>
      </c>
      <c r="B26" s="173" t="s">
        <v>36</v>
      </c>
      <c r="C26" s="173" t="s">
        <v>290</v>
      </c>
      <c r="D26" s="173" t="s">
        <v>4669</v>
      </c>
      <c r="E26" s="173" t="s">
        <v>317</v>
      </c>
      <c r="F26" s="173" t="s">
        <v>6631</v>
      </c>
      <c r="G26" s="173"/>
      <c r="H26" s="173" t="s">
        <v>4665</v>
      </c>
      <c r="I26" s="173"/>
      <c r="J26" s="173" t="s">
        <v>445</v>
      </c>
      <c r="K26" s="173" t="s">
        <v>4671</v>
      </c>
      <c r="L26" s="173" t="s">
        <v>40</v>
      </c>
      <c r="M26" s="173" t="s">
        <v>6702</v>
      </c>
      <c r="N26" s="173"/>
      <c r="O26" s="173" t="s">
        <v>4662</v>
      </c>
      <c r="P26" s="173" t="s">
        <v>4943</v>
      </c>
      <c r="Q26" s="173"/>
      <c r="R26" s="173" t="s">
        <v>4646</v>
      </c>
      <c r="S26" s="173" t="s">
        <v>106</v>
      </c>
      <c r="T26" s="173"/>
      <c r="U26" s="173"/>
      <c r="V26" s="173" t="s">
        <v>4999</v>
      </c>
      <c r="W26" s="173" t="s">
        <v>4988</v>
      </c>
      <c r="X26" s="173"/>
      <c r="Y26" s="173"/>
      <c r="Z26" s="173" t="s">
        <v>6815</v>
      </c>
      <c r="AA26" s="173" t="s">
        <v>7019</v>
      </c>
      <c r="AB26" s="173"/>
      <c r="AC26" s="173" t="s">
        <v>7091</v>
      </c>
      <c r="AD26" s="173"/>
      <c r="AE26" s="173"/>
      <c r="AF26" s="173" t="s">
        <v>7145</v>
      </c>
      <c r="AG26" s="173"/>
      <c r="AH26" s="173" t="s">
        <v>7200</v>
      </c>
      <c r="AI26" s="173"/>
      <c r="AJ26" s="173"/>
      <c r="AK26" s="173" t="s">
        <v>59</v>
      </c>
      <c r="AL26" s="173" t="s">
        <v>7248</v>
      </c>
      <c r="AM26" s="173" t="s">
        <v>5423</v>
      </c>
      <c r="AN26" s="173" t="s">
        <v>412</v>
      </c>
      <c r="AO26" s="173"/>
      <c r="AP26" s="173"/>
      <c r="AQ26" s="173"/>
      <c r="AR26" s="173"/>
      <c r="AS26" s="173"/>
      <c r="AT26" s="173"/>
      <c r="AU26" s="173" t="s">
        <v>7318</v>
      </c>
      <c r="AV26" s="173" t="s">
        <v>7408</v>
      </c>
      <c r="AW26" s="173" t="s">
        <v>7059</v>
      </c>
      <c r="AX26" s="173" t="s">
        <v>7497</v>
      </c>
      <c r="AY26" s="173" t="s">
        <v>6735</v>
      </c>
    </row>
    <row r="27" spans="1:51">
      <c r="A27" s="469" t="s">
        <v>396</v>
      </c>
      <c r="B27" s="173" t="s">
        <v>37</v>
      </c>
      <c r="C27" s="173" t="s">
        <v>291</v>
      </c>
      <c r="D27" s="173" t="s">
        <v>4673</v>
      </c>
      <c r="E27" s="173" t="s">
        <v>318</v>
      </c>
      <c r="F27" s="173" t="s">
        <v>289</v>
      </c>
      <c r="G27" s="173"/>
      <c r="H27" s="173" t="s">
        <v>4668</v>
      </c>
      <c r="I27" s="173"/>
      <c r="J27" s="173" t="s">
        <v>446</v>
      </c>
      <c r="K27" s="173" t="s">
        <v>4675</v>
      </c>
      <c r="L27" s="173" t="s">
        <v>41</v>
      </c>
      <c r="M27" s="173" t="s">
        <v>222</v>
      </c>
      <c r="N27" s="173"/>
      <c r="O27" s="173" t="s">
        <v>4669</v>
      </c>
      <c r="P27" s="173" t="s">
        <v>4944</v>
      </c>
      <c r="Q27" s="173"/>
      <c r="R27" s="173" t="s">
        <v>4649</v>
      </c>
      <c r="S27" s="173" t="s">
        <v>107</v>
      </c>
      <c r="T27" s="173"/>
      <c r="U27" s="173"/>
      <c r="V27" s="173" t="s">
        <v>6745</v>
      </c>
      <c r="W27" s="173" t="s">
        <v>4989</v>
      </c>
      <c r="X27" s="173"/>
      <c r="Y27" s="173"/>
      <c r="Z27" s="173" t="s">
        <v>6816</v>
      </c>
      <c r="AA27" s="173" t="s">
        <v>7020</v>
      </c>
      <c r="AB27" s="173"/>
      <c r="AC27" s="173" t="s">
        <v>226</v>
      </c>
      <c r="AD27" s="173"/>
      <c r="AE27" s="173"/>
      <c r="AF27" s="173" t="s">
        <v>7146</v>
      </c>
      <c r="AG27" s="173"/>
      <c r="AH27" s="173" t="s">
        <v>7201</v>
      </c>
      <c r="AI27" s="173"/>
      <c r="AJ27" s="173"/>
      <c r="AK27" s="173"/>
      <c r="AL27" s="173" t="s">
        <v>7249</v>
      </c>
      <c r="AM27" s="173" t="s">
        <v>5424</v>
      </c>
      <c r="AN27" s="173" t="s">
        <v>398</v>
      </c>
      <c r="AO27" s="173"/>
      <c r="AP27" s="173"/>
      <c r="AQ27" s="173"/>
      <c r="AR27" s="173"/>
      <c r="AS27" s="173"/>
      <c r="AT27" s="173"/>
      <c r="AU27" s="173" t="s">
        <v>7319</v>
      </c>
      <c r="AV27" s="173" t="s">
        <v>7409</v>
      </c>
      <c r="AW27" s="173" t="s">
        <v>7468</v>
      </c>
      <c r="AX27" s="173" t="s">
        <v>7498</v>
      </c>
      <c r="AY27" s="173" t="s">
        <v>277</v>
      </c>
    </row>
    <row r="28" spans="1:51">
      <c r="A28" s="469" t="s">
        <v>397</v>
      </c>
      <c r="B28" s="173" t="s">
        <v>38</v>
      </c>
      <c r="C28" s="173" t="s">
        <v>292</v>
      </c>
      <c r="D28" s="173" t="s">
        <v>21</v>
      </c>
      <c r="E28" s="173" t="s">
        <v>319</v>
      </c>
      <c r="F28" s="173" t="s">
        <v>290</v>
      </c>
      <c r="G28" s="173"/>
      <c r="H28" s="173" t="s">
        <v>4672</v>
      </c>
      <c r="I28" s="173"/>
      <c r="J28" s="173" t="s">
        <v>447</v>
      </c>
      <c r="K28" s="173" t="s">
        <v>4678</v>
      </c>
      <c r="L28" s="173" t="s">
        <v>42</v>
      </c>
      <c r="M28" s="173" t="s">
        <v>223</v>
      </c>
      <c r="N28" s="173"/>
      <c r="O28" s="173" t="s">
        <v>4990</v>
      </c>
      <c r="P28" s="173" t="s">
        <v>21</v>
      </c>
      <c r="Q28" s="173"/>
      <c r="R28" s="173" t="s">
        <v>4652</v>
      </c>
      <c r="S28" s="173" t="s">
        <v>108</v>
      </c>
      <c r="T28" s="173"/>
      <c r="U28" s="173"/>
      <c r="V28" s="173" t="s">
        <v>6746</v>
      </c>
      <c r="W28" s="173" t="s">
        <v>4991</v>
      </c>
      <c r="X28" s="173"/>
      <c r="Y28" s="173"/>
      <c r="Z28" s="173" t="s">
        <v>6817</v>
      </c>
      <c r="AA28" s="173" t="s">
        <v>7021</v>
      </c>
      <c r="AB28" s="173"/>
      <c r="AC28" s="173" t="s">
        <v>4949</v>
      </c>
      <c r="AD28" s="173"/>
      <c r="AE28" s="173"/>
      <c r="AF28" s="173" t="s">
        <v>7147</v>
      </c>
      <c r="AG28" s="173"/>
      <c r="AH28" s="173" t="s">
        <v>7202</v>
      </c>
      <c r="AI28" s="173"/>
      <c r="AJ28" s="173"/>
      <c r="AK28" s="173"/>
      <c r="AL28" s="173" t="s">
        <v>5006</v>
      </c>
      <c r="AM28" s="173" t="s">
        <v>5425</v>
      </c>
      <c r="AN28" s="173" t="s">
        <v>277</v>
      </c>
      <c r="AO28" s="173"/>
      <c r="AP28" s="173"/>
      <c r="AQ28" s="173"/>
      <c r="AR28" s="173"/>
      <c r="AS28" s="173"/>
      <c r="AT28" s="173"/>
      <c r="AU28" s="173" t="s">
        <v>7320</v>
      </c>
      <c r="AV28" s="173" t="s">
        <v>5023</v>
      </c>
      <c r="AW28" s="173" t="s">
        <v>7058</v>
      </c>
      <c r="AX28" s="173" t="s">
        <v>7499</v>
      </c>
      <c r="AY28" s="173" t="s">
        <v>278</v>
      </c>
    </row>
    <row r="29" spans="1:51">
      <c r="A29" s="469" t="s">
        <v>277</v>
      </c>
      <c r="B29" s="173" t="s">
        <v>39</v>
      </c>
      <c r="C29" s="173" t="s">
        <v>293</v>
      </c>
      <c r="D29" s="173" t="s">
        <v>4680</v>
      </c>
      <c r="E29" s="173" t="s">
        <v>6642</v>
      </c>
      <c r="F29" s="173" t="s">
        <v>291</v>
      </c>
      <c r="G29" s="173"/>
      <c r="H29" s="173" t="s">
        <v>4676</v>
      </c>
      <c r="I29" s="173"/>
      <c r="J29" s="173" t="s">
        <v>448</v>
      </c>
      <c r="K29" s="173" t="s">
        <v>4682</v>
      </c>
      <c r="L29" s="173" t="s">
        <v>43</v>
      </c>
      <c r="M29" s="173" t="s">
        <v>6703</v>
      </c>
      <c r="N29" s="173"/>
      <c r="O29" s="173" t="s">
        <v>4992</v>
      </c>
      <c r="P29" s="173" t="s">
        <v>418</v>
      </c>
      <c r="Q29" s="173"/>
      <c r="R29" s="173" t="s">
        <v>6721</v>
      </c>
      <c r="S29" s="173" t="s">
        <v>109</v>
      </c>
      <c r="T29" s="173"/>
      <c r="U29" s="173"/>
      <c r="V29" s="173" t="s">
        <v>6747</v>
      </c>
      <c r="W29" s="173" t="s">
        <v>4993</v>
      </c>
      <c r="X29" s="173"/>
      <c r="Y29" s="173"/>
      <c r="Z29" s="173" t="s">
        <v>6818</v>
      </c>
      <c r="AA29" s="173" t="s">
        <v>7022</v>
      </c>
      <c r="AB29" s="173"/>
      <c r="AC29" s="173" t="s">
        <v>7092</v>
      </c>
      <c r="AD29" s="173"/>
      <c r="AE29" s="173"/>
      <c r="AF29" s="173" t="s">
        <v>7148</v>
      </c>
      <c r="AG29" s="173"/>
      <c r="AH29" s="173" t="s">
        <v>7203</v>
      </c>
      <c r="AI29" s="173"/>
      <c r="AJ29" s="173"/>
      <c r="AK29" s="173"/>
      <c r="AL29" s="173" t="s">
        <v>5007</v>
      </c>
      <c r="AM29" s="173" t="s">
        <v>5426</v>
      </c>
      <c r="AN29" s="173" t="s">
        <v>371</v>
      </c>
      <c r="AO29" s="173"/>
      <c r="AP29" s="173"/>
      <c r="AQ29" s="173"/>
      <c r="AR29" s="173"/>
      <c r="AS29" s="173"/>
      <c r="AT29" s="173"/>
      <c r="AU29" s="173" t="s">
        <v>7321</v>
      </c>
      <c r="AV29" s="173" t="s">
        <v>7410</v>
      </c>
      <c r="AW29" s="173" t="s">
        <v>13</v>
      </c>
      <c r="AX29" s="173" t="s">
        <v>7500</v>
      </c>
      <c r="AY29" s="173" t="s">
        <v>4676</v>
      </c>
    </row>
    <row r="30" spans="1:51">
      <c r="A30" s="469" t="s">
        <v>412</v>
      </c>
      <c r="B30" s="173" t="s">
        <v>40</v>
      </c>
      <c r="C30" s="173" t="s">
        <v>294</v>
      </c>
      <c r="D30" s="173" t="s">
        <v>4683</v>
      </c>
      <c r="E30" s="173" t="s">
        <v>6643</v>
      </c>
      <c r="F30" s="173" t="s">
        <v>292</v>
      </c>
      <c r="G30" s="173"/>
      <c r="H30" s="173" t="s">
        <v>4679</v>
      </c>
      <c r="I30" s="173"/>
      <c r="J30" s="173" t="s">
        <v>449</v>
      </c>
      <c r="K30" s="173" t="s">
        <v>4684</v>
      </c>
      <c r="L30" s="173" t="s">
        <v>44</v>
      </c>
      <c r="M30" s="173" t="s">
        <v>224</v>
      </c>
      <c r="N30" s="173"/>
      <c r="O30" s="173" t="s">
        <v>4699</v>
      </c>
      <c r="P30" s="173" t="s">
        <v>4945</v>
      </c>
      <c r="Q30" s="173"/>
      <c r="R30" s="173" t="s">
        <v>4656</v>
      </c>
      <c r="S30" s="173" t="s">
        <v>110</v>
      </c>
      <c r="T30" s="173"/>
      <c r="U30" s="173"/>
      <c r="V30" s="173" t="s">
        <v>32</v>
      </c>
      <c r="W30" s="173" t="s">
        <v>369</v>
      </c>
      <c r="X30" s="173"/>
      <c r="Y30" s="173"/>
      <c r="Z30" s="173" t="s">
        <v>6819</v>
      </c>
      <c r="AA30" s="173" t="s">
        <v>7023</v>
      </c>
      <c r="AB30" s="173"/>
      <c r="AC30" s="173" t="s">
        <v>45</v>
      </c>
      <c r="AD30" s="173"/>
      <c r="AE30" s="173"/>
      <c r="AF30" s="173" t="s">
        <v>4668</v>
      </c>
      <c r="AG30" s="173"/>
      <c r="AH30" s="173" t="s">
        <v>7204</v>
      </c>
      <c r="AI30" s="173"/>
      <c r="AJ30" s="173"/>
      <c r="AK30" s="173"/>
      <c r="AL30" s="173" t="s">
        <v>7250</v>
      </c>
      <c r="AM30" s="173" t="s">
        <v>5427</v>
      </c>
      <c r="AN30" s="173" t="s">
        <v>4926</v>
      </c>
      <c r="AO30" s="173"/>
      <c r="AP30" s="173"/>
      <c r="AQ30" s="173"/>
      <c r="AR30" s="173"/>
      <c r="AS30" s="173"/>
      <c r="AT30" s="173"/>
      <c r="AU30" s="173" t="s">
        <v>7322</v>
      </c>
      <c r="AV30" s="173" t="s">
        <v>7411</v>
      </c>
      <c r="AW30" s="173" t="s">
        <v>4601</v>
      </c>
      <c r="AX30" s="173" t="s">
        <v>7501</v>
      </c>
      <c r="AY30" s="173" t="s">
        <v>5018</v>
      </c>
    </row>
    <row r="31" spans="1:51">
      <c r="A31" s="469" t="s">
        <v>398</v>
      </c>
      <c r="B31" s="173" t="s">
        <v>41</v>
      </c>
      <c r="C31" s="173" t="s">
        <v>295</v>
      </c>
      <c r="D31" s="173" t="s">
        <v>4686</v>
      </c>
      <c r="E31" s="173" t="s">
        <v>6644</v>
      </c>
      <c r="F31" s="173" t="s">
        <v>293</v>
      </c>
      <c r="G31" s="173"/>
      <c r="H31" s="173" t="s">
        <v>412</v>
      </c>
      <c r="I31" s="173"/>
      <c r="J31" s="173" t="s">
        <v>450</v>
      </c>
      <c r="K31" s="173" t="s">
        <v>4687</v>
      </c>
      <c r="L31" s="173" t="s">
        <v>45</v>
      </c>
      <c r="M31" s="173" t="s">
        <v>225</v>
      </c>
      <c r="N31" s="173"/>
      <c r="O31" s="173" t="s">
        <v>4994</v>
      </c>
      <c r="P31" s="173" t="s">
        <v>4946</v>
      </c>
      <c r="Q31" s="173"/>
      <c r="R31" s="173" t="s">
        <v>4660</v>
      </c>
      <c r="S31" s="173" t="s">
        <v>111</v>
      </c>
      <c r="T31" s="173"/>
      <c r="U31" s="173"/>
      <c r="V31" s="173" t="s">
        <v>34</v>
      </c>
      <c r="W31" s="173" t="s">
        <v>21</v>
      </c>
      <c r="X31" s="173"/>
      <c r="Y31" s="173"/>
      <c r="Z31" s="173" t="s">
        <v>6820</v>
      </c>
      <c r="AA31" s="173" t="s">
        <v>7024</v>
      </c>
      <c r="AB31" s="173"/>
      <c r="AC31" s="173" t="s">
        <v>46</v>
      </c>
      <c r="AD31" s="173"/>
      <c r="AE31" s="173"/>
      <c r="AF31" s="173" t="s">
        <v>277</v>
      </c>
      <c r="AG31" s="173"/>
      <c r="AH31" s="173" t="s">
        <v>7205</v>
      </c>
      <c r="AI31" s="173"/>
      <c r="AJ31" s="173"/>
      <c r="AK31" s="173"/>
      <c r="AL31" s="173" t="s">
        <v>7251</v>
      </c>
      <c r="AM31" s="173" t="s">
        <v>5428</v>
      </c>
      <c r="AN31" s="173" t="s">
        <v>4927</v>
      </c>
      <c r="AO31" s="173"/>
      <c r="AP31" s="173"/>
      <c r="AQ31" s="173"/>
      <c r="AR31" s="173"/>
      <c r="AS31" s="173"/>
      <c r="AT31" s="173"/>
      <c r="AU31" s="173" t="s">
        <v>7323</v>
      </c>
      <c r="AV31" s="173" t="s">
        <v>367</v>
      </c>
      <c r="AW31" s="173" t="s">
        <v>69</v>
      </c>
      <c r="AX31" s="173" t="s">
        <v>21</v>
      </c>
      <c r="AY31" s="173" t="s">
        <v>378</v>
      </c>
    </row>
    <row r="32" spans="1:51">
      <c r="A32" s="469" t="s">
        <v>378</v>
      </c>
      <c r="B32" s="173" t="s">
        <v>42</v>
      </c>
      <c r="C32" s="173" t="s">
        <v>296</v>
      </c>
      <c r="D32" s="173" t="s">
        <v>4689</v>
      </c>
      <c r="E32" s="173" t="s">
        <v>6645</v>
      </c>
      <c r="F32" s="173" t="s">
        <v>294</v>
      </c>
      <c r="G32" s="173"/>
      <c r="H32" s="173" t="s">
        <v>4685</v>
      </c>
      <c r="I32" s="173"/>
      <c r="J32" s="173" t="s">
        <v>451</v>
      </c>
      <c r="K32" s="173" t="s">
        <v>4690</v>
      </c>
      <c r="L32" s="173" t="s">
        <v>46</v>
      </c>
      <c r="M32" s="173" t="s">
        <v>226</v>
      </c>
      <c r="N32" s="173"/>
      <c r="O32" s="173" t="s">
        <v>4995</v>
      </c>
      <c r="P32" s="173" t="s">
        <v>419</v>
      </c>
      <c r="Q32" s="173"/>
      <c r="R32" s="173" t="s">
        <v>4663</v>
      </c>
      <c r="S32" s="173" t="s">
        <v>112</v>
      </c>
      <c r="T32" s="173"/>
      <c r="U32" s="173"/>
      <c r="V32" s="173" t="s">
        <v>33</v>
      </c>
      <c r="W32" s="173" t="s">
        <v>360</v>
      </c>
      <c r="X32" s="173"/>
      <c r="Y32" s="173"/>
      <c r="Z32" s="173" t="s">
        <v>6821</v>
      </c>
      <c r="AA32" s="173" t="s">
        <v>7025</v>
      </c>
      <c r="AB32" s="173"/>
      <c r="AC32" s="173" t="s">
        <v>60</v>
      </c>
      <c r="AD32" s="173"/>
      <c r="AE32" s="173"/>
      <c r="AF32" s="173" t="s">
        <v>4676</v>
      </c>
      <c r="AG32" s="173"/>
      <c r="AH32" s="173" t="s">
        <v>7206</v>
      </c>
      <c r="AI32" s="173"/>
      <c r="AJ32" s="173"/>
      <c r="AK32" s="173"/>
      <c r="AL32" s="173" t="s">
        <v>7252</v>
      </c>
      <c r="AM32" s="173" t="s">
        <v>5429</v>
      </c>
      <c r="AN32" s="173" t="s">
        <v>392</v>
      </c>
      <c r="AO32" s="173"/>
      <c r="AP32" s="173"/>
      <c r="AQ32" s="173"/>
      <c r="AR32" s="173"/>
      <c r="AS32" s="173"/>
      <c r="AT32" s="173"/>
      <c r="AU32" s="173" t="s">
        <v>365</v>
      </c>
      <c r="AV32" s="173" t="s">
        <v>365</v>
      </c>
      <c r="AW32" s="173" t="s">
        <v>7469</v>
      </c>
      <c r="AX32" s="173" t="s">
        <v>7502</v>
      </c>
      <c r="AY32" s="173" t="s">
        <v>372</v>
      </c>
    </row>
    <row r="33" spans="1:51">
      <c r="A33" s="469" t="s">
        <v>372</v>
      </c>
      <c r="B33" s="173" t="s">
        <v>43</v>
      </c>
      <c r="C33" s="173" t="s">
        <v>297</v>
      </c>
      <c r="D33" s="173" t="s">
        <v>4692</v>
      </c>
      <c r="E33" s="173" t="s">
        <v>6646</v>
      </c>
      <c r="F33" s="173" t="s">
        <v>295</v>
      </c>
      <c r="G33" s="173"/>
      <c r="H33" s="173" t="s">
        <v>4688</v>
      </c>
      <c r="I33" s="173"/>
      <c r="J33" s="173" t="s">
        <v>452</v>
      </c>
      <c r="K33" s="173" t="s">
        <v>15</v>
      </c>
      <c r="L33" s="173" t="s">
        <v>47</v>
      </c>
      <c r="M33" s="173" t="s">
        <v>227</v>
      </c>
      <c r="N33" s="173"/>
      <c r="O33" s="173" t="s">
        <v>4996</v>
      </c>
      <c r="P33" s="173" t="s">
        <v>4947</v>
      </c>
      <c r="Q33" s="173"/>
      <c r="R33" s="173" t="s">
        <v>6722</v>
      </c>
      <c r="S33" s="173" t="s">
        <v>113</v>
      </c>
      <c r="T33" s="173"/>
      <c r="U33" s="173"/>
      <c r="V33" s="173" t="s">
        <v>36</v>
      </c>
      <c r="W33" s="173" t="s">
        <v>4997</v>
      </c>
      <c r="X33" s="173"/>
      <c r="Y33" s="173"/>
      <c r="Z33" s="173" t="s">
        <v>6822</v>
      </c>
      <c r="AA33" s="173" t="s">
        <v>7026</v>
      </c>
      <c r="AB33" s="173"/>
      <c r="AC33" s="173" t="s">
        <v>61</v>
      </c>
      <c r="AD33" s="173"/>
      <c r="AE33" s="173"/>
      <c r="AF33" s="173" t="s">
        <v>7149</v>
      </c>
      <c r="AG33" s="173"/>
      <c r="AH33" s="173" t="s">
        <v>7207</v>
      </c>
      <c r="AI33" s="173"/>
      <c r="AJ33" s="173"/>
      <c r="AK33" s="173"/>
      <c r="AL33" s="173" t="s">
        <v>7253</v>
      </c>
      <c r="AM33" s="173" t="s">
        <v>5430</v>
      </c>
      <c r="AN33" s="173" t="s">
        <v>372</v>
      </c>
      <c r="AO33" s="173"/>
      <c r="AP33" s="173"/>
      <c r="AQ33" s="173"/>
      <c r="AR33" s="173"/>
      <c r="AS33" s="173"/>
      <c r="AT33" s="173"/>
      <c r="AU33" s="173" t="s">
        <v>7324</v>
      </c>
      <c r="AV33" s="173" t="s">
        <v>21</v>
      </c>
      <c r="AW33" s="173" t="s">
        <v>7470</v>
      </c>
      <c r="AX33" s="173" t="s">
        <v>7503</v>
      </c>
      <c r="AY33" s="763" t="s">
        <v>7587</v>
      </c>
    </row>
    <row r="34" spans="1:51">
      <c r="A34" s="469" t="s">
        <v>373</v>
      </c>
      <c r="B34" s="173" t="s">
        <v>44</v>
      </c>
      <c r="C34" s="173" t="s">
        <v>298</v>
      </c>
      <c r="D34" s="173" t="s">
        <v>370</v>
      </c>
      <c r="E34" s="173" t="s">
        <v>6647</v>
      </c>
      <c r="F34" s="173" t="s">
        <v>296</v>
      </c>
      <c r="G34" s="173"/>
      <c r="H34" s="173" t="s">
        <v>4691</v>
      </c>
      <c r="I34" s="173"/>
      <c r="J34" s="173" t="s">
        <v>453</v>
      </c>
      <c r="K34" s="173" t="s">
        <v>16</v>
      </c>
      <c r="L34" s="173" t="s">
        <v>48</v>
      </c>
      <c r="M34" s="173" t="s">
        <v>228</v>
      </c>
      <c r="N34" s="173"/>
      <c r="O34" s="173" t="s">
        <v>4998</v>
      </c>
      <c r="P34" s="173" t="s">
        <v>53</v>
      </c>
      <c r="Q34" s="173"/>
      <c r="R34" s="173" t="s">
        <v>4666</v>
      </c>
      <c r="S34" s="173" t="s">
        <v>114</v>
      </c>
      <c r="T34" s="173"/>
      <c r="U34" s="173"/>
      <c r="V34" s="173" t="s">
        <v>39</v>
      </c>
      <c r="W34" s="173" t="s">
        <v>361</v>
      </c>
      <c r="X34" s="173"/>
      <c r="Y34" s="173"/>
      <c r="Z34" s="173" t="s">
        <v>6823</v>
      </c>
      <c r="AA34" s="173" t="s">
        <v>7027</v>
      </c>
      <c r="AB34" s="173"/>
      <c r="AC34" s="173" t="s">
        <v>62</v>
      </c>
      <c r="AD34" s="173"/>
      <c r="AE34" s="173"/>
      <c r="AF34" s="173" t="s">
        <v>7150</v>
      </c>
      <c r="AG34" s="173"/>
      <c r="AH34" s="173" t="s">
        <v>4599</v>
      </c>
      <c r="AI34" s="173"/>
      <c r="AJ34" s="173"/>
      <c r="AK34" s="173"/>
      <c r="AL34" s="173" t="s">
        <v>7254</v>
      </c>
      <c r="AM34" s="173" t="s">
        <v>21</v>
      </c>
      <c r="AN34" s="173" t="s">
        <v>373</v>
      </c>
      <c r="AO34" s="173"/>
      <c r="AP34" s="173"/>
      <c r="AQ34" s="173"/>
      <c r="AR34" s="173"/>
      <c r="AS34" s="173"/>
      <c r="AT34" s="173"/>
      <c r="AU34" s="173" t="s">
        <v>7325</v>
      </c>
      <c r="AV34" s="173" t="s">
        <v>7198</v>
      </c>
      <c r="AW34" s="173" t="s">
        <v>14</v>
      </c>
      <c r="AX34" s="173" t="s">
        <v>7504</v>
      </c>
      <c r="AY34" s="173" t="s">
        <v>7588</v>
      </c>
    </row>
    <row r="35" spans="1:51">
      <c r="A35" s="469" t="s">
        <v>374</v>
      </c>
      <c r="B35" s="173" t="s">
        <v>45</v>
      </c>
      <c r="C35" s="173"/>
      <c r="D35" s="173" t="s">
        <v>4695</v>
      </c>
      <c r="E35" s="173" t="s">
        <v>6648</v>
      </c>
      <c r="F35" s="173" t="s">
        <v>297</v>
      </c>
      <c r="G35" s="173"/>
      <c r="H35" s="173" t="s">
        <v>378</v>
      </c>
      <c r="I35" s="173"/>
      <c r="J35" s="173" t="s">
        <v>454</v>
      </c>
      <c r="K35" s="173" t="s">
        <v>17</v>
      </c>
      <c r="L35" s="173" t="s">
        <v>49</v>
      </c>
      <c r="M35" s="173" t="s">
        <v>229</v>
      </c>
      <c r="N35" s="173"/>
      <c r="O35" s="173" t="s">
        <v>4999</v>
      </c>
      <c r="P35" s="173" t="s">
        <v>4948</v>
      </c>
      <c r="Q35" s="173"/>
      <c r="R35" s="173" t="s">
        <v>4670</v>
      </c>
      <c r="S35" s="173" t="s">
        <v>115</v>
      </c>
      <c r="T35" s="173"/>
      <c r="U35" s="173"/>
      <c r="V35" s="173" t="s">
        <v>40</v>
      </c>
      <c r="W35" s="173" t="s">
        <v>362</v>
      </c>
      <c r="X35" s="173"/>
      <c r="Y35" s="173"/>
      <c r="Z35" s="173" t="s">
        <v>6824</v>
      </c>
      <c r="AA35" s="173" t="s">
        <v>7028</v>
      </c>
      <c r="AB35" s="173"/>
      <c r="AC35" s="173" t="s">
        <v>63</v>
      </c>
      <c r="AD35" s="173"/>
      <c r="AE35" s="173"/>
      <c r="AF35" s="173" t="s">
        <v>7151</v>
      </c>
      <c r="AG35" s="173"/>
      <c r="AH35" s="173" t="s">
        <v>7208</v>
      </c>
      <c r="AI35" s="173"/>
      <c r="AJ35" s="173"/>
      <c r="AK35" s="173"/>
      <c r="AL35" s="173" t="s">
        <v>7255</v>
      </c>
      <c r="AM35" s="173" t="s">
        <v>5431</v>
      </c>
      <c r="AN35" s="173" t="s">
        <v>374</v>
      </c>
      <c r="AO35" s="173"/>
      <c r="AP35" s="173"/>
      <c r="AQ35" s="173"/>
      <c r="AR35" s="173"/>
      <c r="AS35" s="173"/>
      <c r="AT35" s="173"/>
      <c r="AU35" s="173" t="s">
        <v>7326</v>
      </c>
      <c r="AV35" s="173" t="s">
        <v>7412</v>
      </c>
      <c r="AW35" s="173" t="s">
        <v>18</v>
      </c>
      <c r="AX35" s="173" t="s">
        <v>353</v>
      </c>
      <c r="AY35" s="173" t="s">
        <v>7589</v>
      </c>
    </row>
    <row r="36" spans="1:51">
      <c r="A36" s="469" t="s">
        <v>375</v>
      </c>
      <c r="B36" s="173" t="s">
        <v>46</v>
      </c>
      <c r="C36" s="173"/>
      <c r="D36" s="173" t="s">
        <v>4697</v>
      </c>
      <c r="E36" s="173" t="s">
        <v>6649</v>
      </c>
      <c r="F36" s="173" t="s">
        <v>298</v>
      </c>
      <c r="G36" s="173"/>
      <c r="H36" s="173" t="s">
        <v>4694</v>
      </c>
      <c r="I36" s="173"/>
      <c r="J36" s="173" t="s">
        <v>455</v>
      </c>
      <c r="K36" s="173" t="s">
        <v>4698</v>
      </c>
      <c r="L36" s="173" t="s">
        <v>50</v>
      </c>
      <c r="M36" s="173" t="s">
        <v>230</v>
      </c>
      <c r="N36" s="173"/>
      <c r="O36" s="173" t="s">
        <v>5000</v>
      </c>
      <c r="P36" s="173" t="s">
        <v>56</v>
      </c>
      <c r="Q36" s="173"/>
      <c r="R36" s="173" t="s">
        <v>6723</v>
      </c>
      <c r="S36" s="173" t="s">
        <v>116</v>
      </c>
      <c r="T36" s="173"/>
      <c r="U36" s="173"/>
      <c r="V36" s="173" t="s">
        <v>37</v>
      </c>
      <c r="W36" s="173" t="s">
        <v>363</v>
      </c>
      <c r="X36" s="173"/>
      <c r="Y36" s="173"/>
      <c r="Z36" s="173" t="s">
        <v>6825</v>
      </c>
      <c r="AA36" s="173" t="s">
        <v>7029</v>
      </c>
      <c r="AB36" s="173"/>
      <c r="AC36" s="173" t="s">
        <v>64</v>
      </c>
      <c r="AD36" s="173"/>
      <c r="AE36" s="173"/>
      <c r="AF36" s="173" t="s">
        <v>7152</v>
      </c>
      <c r="AG36" s="173"/>
      <c r="AH36" s="173" t="s">
        <v>7209</v>
      </c>
      <c r="AI36" s="173"/>
      <c r="AJ36" s="173"/>
      <c r="AK36" s="173"/>
      <c r="AL36" s="173" t="s">
        <v>7256</v>
      </c>
      <c r="AM36" s="173" t="s">
        <v>371</v>
      </c>
      <c r="AN36" s="173" t="s">
        <v>375</v>
      </c>
      <c r="AO36" s="173"/>
      <c r="AP36" s="173"/>
      <c r="AQ36" s="173"/>
      <c r="AR36" s="173"/>
      <c r="AS36" s="173"/>
      <c r="AT36" s="173"/>
      <c r="AU36" s="173" t="s">
        <v>7327</v>
      </c>
      <c r="AV36" s="173" t="s">
        <v>7413</v>
      </c>
      <c r="AW36" s="173" t="s">
        <v>7471</v>
      </c>
      <c r="AX36" s="173" t="s">
        <v>7505</v>
      </c>
      <c r="AY36" s="173" t="s">
        <v>7590</v>
      </c>
    </row>
    <row r="37" spans="1:51">
      <c r="A37" s="469" t="s">
        <v>376</v>
      </c>
      <c r="B37" s="173" t="s">
        <v>47</v>
      </c>
      <c r="C37" s="173"/>
      <c r="D37" s="173" t="s">
        <v>4699</v>
      </c>
      <c r="E37" s="173" t="s">
        <v>6650</v>
      </c>
      <c r="F37" s="173" t="s">
        <v>15</v>
      </c>
      <c r="G37" s="173"/>
      <c r="H37" s="173" t="s">
        <v>372</v>
      </c>
      <c r="I37" s="173"/>
      <c r="J37" s="173" t="s">
        <v>456</v>
      </c>
      <c r="K37" s="173" t="s">
        <v>4700</v>
      </c>
      <c r="L37" s="173" t="s">
        <v>58</v>
      </c>
      <c r="M37" s="173" t="s">
        <v>231</v>
      </c>
      <c r="N37" s="173"/>
      <c r="O37" s="173" t="s">
        <v>5001</v>
      </c>
      <c r="P37" s="173" t="s">
        <v>57</v>
      </c>
      <c r="Q37" s="173"/>
      <c r="R37" s="173" t="s">
        <v>4736</v>
      </c>
      <c r="S37" s="173" t="s">
        <v>117</v>
      </c>
      <c r="T37" s="173"/>
      <c r="U37" s="173"/>
      <c r="V37" s="173" t="s">
        <v>38</v>
      </c>
      <c r="W37" s="173" t="s">
        <v>364</v>
      </c>
      <c r="X37" s="173"/>
      <c r="Y37" s="173"/>
      <c r="Z37" s="173" t="s">
        <v>6826</v>
      </c>
      <c r="AA37" s="173" t="s">
        <v>7030</v>
      </c>
      <c r="AB37" s="173"/>
      <c r="AC37" s="173" t="s">
        <v>65</v>
      </c>
      <c r="AD37" s="173"/>
      <c r="AE37" s="173"/>
      <c r="AF37" s="173" t="s">
        <v>7153</v>
      </c>
      <c r="AG37" s="173"/>
      <c r="AH37" s="173" t="s">
        <v>6694</v>
      </c>
      <c r="AI37" s="173"/>
      <c r="AJ37" s="173"/>
      <c r="AK37" s="173"/>
      <c r="AL37" s="173" t="s">
        <v>4920</v>
      </c>
      <c r="AM37" s="173" t="s">
        <v>4926</v>
      </c>
      <c r="AN37" s="173" t="s">
        <v>376</v>
      </c>
      <c r="AO37" s="173"/>
      <c r="AP37" s="173"/>
      <c r="AQ37" s="173"/>
      <c r="AR37" s="173"/>
      <c r="AS37" s="173"/>
      <c r="AT37" s="173"/>
      <c r="AU37" s="173" t="s">
        <v>7328</v>
      </c>
      <c r="AV37" s="173" t="s">
        <v>7414</v>
      </c>
      <c r="AW37" s="173" t="s">
        <v>12</v>
      </c>
      <c r="AX37" s="173" t="s">
        <v>7506</v>
      </c>
      <c r="AY37" s="173" t="s">
        <v>7340</v>
      </c>
    </row>
    <row r="38" spans="1:51">
      <c r="A38" s="469" t="s">
        <v>377</v>
      </c>
      <c r="B38" s="173" t="s">
        <v>48</v>
      </c>
      <c r="C38" s="173"/>
      <c r="D38" s="173" t="s">
        <v>4701</v>
      </c>
      <c r="E38" s="173" t="s">
        <v>6651</v>
      </c>
      <c r="F38" s="173" t="s">
        <v>16</v>
      </c>
      <c r="G38" s="173"/>
      <c r="H38" s="173" t="s">
        <v>373</v>
      </c>
      <c r="I38" s="173"/>
      <c r="J38" s="173" t="s">
        <v>457</v>
      </c>
      <c r="K38" s="173" t="s">
        <v>4702</v>
      </c>
      <c r="L38" s="173" t="s">
        <v>59</v>
      </c>
      <c r="M38" s="173" t="s">
        <v>6704</v>
      </c>
      <c r="N38" s="173"/>
      <c r="O38" s="173" t="s">
        <v>34</v>
      </c>
      <c r="P38" s="173" t="s">
        <v>4949</v>
      </c>
      <c r="Q38" s="173"/>
      <c r="R38" s="173" t="s">
        <v>4689</v>
      </c>
      <c r="S38" s="173" t="s">
        <v>118</v>
      </c>
      <c r="T38" s="173"/>
      <c r="U38" s="173"/>
      <c r="V38" s="173" t="s">
        <v>41</v>
      </c>
      <c r="W38" s="173" t="s">
        <v>365</v>
      </c>
      <c r="X38" s="173"/>
      <c r="Y38" s="173"/>
      <c r="Z38" s="173" t="s">
        <v>6827</v>
      </c>
      <c r="AA38" s="173" t="s">
        <v>7031</v>
      </c>
      <c r="AB38" s="173"/>
      <c r="AC38" s="173" t="s">
        <v>66</v>
      </c>
      <c r="AD38" s="173"/>
      <c r="AE38" s="173"/>
      <c r="AF38" s="173" t="s">
        <v>7154</v>
      </c>
      <c r="AG38" s="173"/>
      <c r="AH38" s="173" t="s">
        <v>7210</v>
      </c>
      <c r="AI38" s="173"/>
      <c r="AJ38" s="173"/>
      <c r="AK38" s="173"/>
      <c r="AL38" s="173" t="s">
        <v>4921</v>
      </c>
      <c r="AM38" s="173" t="s">
        <v>5432</v>
      </c>
      <c r="AN38" s="173" t="s">
        <v>377</v>
      </c>
      <c r="AO38" s="173"/>
      <c r="AP38" s="173"/>
      <c r="AQ38" s="173"/>
      <c r="AR38" s="173"/>
      <c r="AS38" s="173"/>
      <c r="AT38" s="173"/>
      <c r="AU38" s="173" t="s">
        <v>7329</v>
      </c>
      <c r="AV38" s="173" t="s">
        <v>7415</v>
      </c>
      <c r="AW38" s="173" t="s">
        <v>7108</v>
      </c>
      <c r="AX38" s="173" t="s">
        <v>7507</v>
      </c>
      <c r="AY38" s="173" t="s">
        <v>7341</v>
      </c>
    </row>
    <row r="39" spans="1:51">
      <c r="A39" s="469" t="s">
        <v>399</v>
      </c>
      <c r="B39" s="173" t="s">
        <v>49</v>
      </c>
      <c r="C39" s="173"/>
      <c r="D39" s="173" t="s">
        <v>4703</v>
      </c>
      <c r="E39" s="173" t="s">
        <v>6652</v>
      </c>
      <c r="F39" s="173" t="s">
        <v>17</v>
      </c>
      <c r="G39" s="173"/>
      <c r="H39" s="173" t="s">
        <v>374</v>
      </c>
      <c r="I39" s="173"/>
      <c r="J39" s="173" t="s">
        <v>458</v>
      </c>
      <c r="K39" s="173" t="s">
        <v>4705</v>
      </c>
      <c r="L39" s="173" t="s">
        <v>60</v>
      </c>
      <c r="M39" s="173" t="s">
        <v>232</v>
      </c>
      <c r="N39" s="173"/>
      <c r="O39" s="173" t="s">
        <v>33</v>
      </c>
      <c r="P39" s="173" t="s">
        <v>4950</v>
      </c>
      <c r="Q39" s="173"/>
      <c r="R39" s="173" t="s">
        <v>6724</v>
      </c>
      <c r="S39" s="173" t="s">
        <v>119</v>
      </c>
      <c r="T39" s="173"/>
      <c r="U39" s="173"/>
      <c r="V39" s="173" t="s">
        <v>46</v>
      </c>
      <c r="W39" s="173" t="s">
        <v>366</v>
      </c>
      <c r="X39" s="173"/>
      <c r="Y39" s="173"/>
      <c r="Z39" s="173" t="s">
        <v>6828</v>
      </c>
      <c r="AA39" s="173" t="s">
        <v>7032</v>
      </c>
      <c r="AB39" s="173"/>
      <c r="AC39" s="173" t="s">
        <v>67</v>
      </c>
      <c r="AD39" s="173"/>
      <c r="AE39" s="173"/>
      <c r="AF39" s="173" t="s">
        <v>7155</v>
      </c>
      <c r="AG39" s="173"/>
      <c r="AH39" s="173" t="s">
        <v>7211</v>
      </c>
      <c r="AI39" s="173"/>
      <c r="AJ39" s="173"/>
      <c r="AK39" s="173"/>
      <c r="AL39" s="173" t="s">
        <v>7257</v>
      </c>
      <c r="AM39" s="173" t="s">
        <v>5433</v>
      </c>
      <c r="AN39" s="173" t="s">
        <v>4676</v>
      </c>
      <c r="AO39" s="173"/>
      <c r="AP39" s="173"/>
      <c r="AQ39" s="173"/>
      <c r="AR39" s="173"/>
      <c r="AS39" s="173"/>
      <c r="AT39" s="173"/>
      <c r="AU39" s="173" t="s">
        <v>7330</v>
      </c>
      <c r="AV39" s="173" t="s">
        <v>7416</v>
      </c>
      <c r="AW39" s="173" t="s">
        <v>7472</v>
      </c>
      <c r="AX39" s="763" t="s">
        <v>277</v>
      </c>
      <c r="AY39" s="173" t="s">
        <v>380</v>
      </c>
    </row>
    <row r="40" spans="1:51">
      <c r="A40" s="469" t="s">
        <v>400</v>
      </c>
      <c r="B40" s="173" t="s">
        <v>50</v>
      </c>
      <c r="C40" s="173"/>
      <c r="D40" s="173" t="s">
        <v>34</v>
      </c>
      <c r="E40" s="173" t="s">
        <v>6653</v>
      </c>
      <c r="F40" s="173" t="s">
        <v>387</v>
      </c>
      <c r="G40" s="173"/>
      <c r="H40" s="173" t="s">
        <v>375</v>
      </c>
      <c r="I40" s="173"/>
      <c r="J40" s="173" t="s">
        <v>459</v>
      </c>
      <c r="K40" s="173" t="s">
        <v>4707</v>
      </c>
      <c r="L40" s="173" t="s">
        <v>61</v>
      </c>
      <c r="M40" s="173" t="s">
        <v>6705</v>
      </c>
      <c r="N40" s="173"/>
      <c r="O40" s="173" t="s">
        <v>36</v>
      </c>
      <c r="P40" s="173" t="s">
        <v>22</v>
      </c>
      <c r="Q40" s="173"/>
      <c r="R40" s="173" t="s">
        <v>368</v>
      </c>
      <c r="S40" s="173" t="s">
        <v>120</v>
      </c>
      <c r="T40" s="173"/>
      <c r="U40" s="173"/>
      <c r="V40" s="173" t="s">
        <v>45</v>
      </c>
      <c r="W40" s="173" t="s">
        <v>367</v>
      </c>
      <c r="X40" s="173"/>
      <c r="Y40" s="173"/>
      <c r="Z40" s="173" t="s">
        <v>6829</v>
      </c>
      <c r="AA40" s="173" t="s">
        <v>7033</v>
      </c>
      <c r="AB40" s="173"/>
      <c r="AC40" s="173" t="s">
        <v>68</v>
      </c>
      <c r="AD40" s="173"/>
      <c r="AE40" s="173"/>
      <c r="AF40" s="173" t="s">
        <v>7156</v>
      </c>
      <c r="AG40" s="173"/>
      <c r="AH40" s="173" t="s">
        <v>7212</v>
      </c>
      <c r="AI40" s="173"/>
      <c r="AJ40" s="173"/>
      <c r="AK40" s="173"/>
      <c r="AL40" s="173" t="s">
        <v>7258</v>
      </c>
      <c r="AM40" s="173" t="s">
        <v>5434</v>
      </c>
      <c r="AN40" s="173" t="s">
        <v>4679</v>
      </c>
      <c r="AO40" s="173"/>
      <c r="AP40" s="173"/>
      <c r="AQ40" s="173"/>
      <c r="AR40" s="173"/>
      <c r="AS40" s="173"/>
      <c r="AT40" s="173"/>
      <c r="AU40" s="173" t="s">
        <v>7331</v>
      </c>
      <c r="AV40" s="173" t="s">
        <v>7417</v>
      </c>
      <c r="AW40" s="173" t="s">
        <v>7008</v>
      </c>
      <c r="AX40" s="173" t="s">
        <v>7508</v>
      </c>
      <c r="AY40" s="173" t="s">
        <v>7591</v>
      </c>
    </row>
    <row r="41" spans="1:51">
      <c r="A41" s="469" t="s">
        <v>401</v>
      </c>
      <c r="B41" s="173" t="s">
        <v>51</v>
      </c>
      <c r="C41" s="173"/>
      <c r="D41" s="173" t="s">
        <v>32</v>
      </c>
      <c r="E41" s="173" t="s">
        <v>6654</v>
      </c>
      <c r="F41" s="173" t="s">
        <v>388</v>
      </c>
      <c r="G41" s="173"/>
      <c r="H41" s="173" t="s">
        <v>376</v>
      </c>
      <c r="I41" s="173"/>
      <c r="J41" s="173" t="s">
        <v>460</v>
      </c>
      <c r="K41" s="173" t="s">
        <v>4709</v>
      </c>
      <c r="L41" s="173" t="s">
        <v>62</v>
      </c>
      <c r="M41" s="173" t="s">
        <v>6706</v>
      </c>
      <c r="N41" s="173"/>
      <c r="O41" s="173" t="s">
        <v>39</v>
      </c>
      <c r="P41" s="173" t="s">
        <v>254</v>
      </c>
      <c r="Q41" s="173"/>
      <c r="R41" s="173" t="s">
        <v>4692</v>
      </c>
      <c r="S41" s="173" t="s">
        <v>121</v>
      </c>
      <c r="T41" s="173"/>
      <c r="U41" s="173"/>
      <c r="V41" s="173" t="s">
        <v>6748</v>
      </c>
      <c r="W41" s="173" t="s">
        <v>5002</v>
      </c>
      <c r="X41" s="173"/>
      <c r="Y41" s="173"/>
      <c r="Z41" s="173" t="s">
        <v>6830</v>
      </c>
      <c r="AA41" s="173" t="s">
        <v>7034</v>
      </c>
      <c r="AB41" s="173"/>
      <c r="AC41" s="173" t="s">
        <v>69</v>
      </c>
      <c r="AD41" s="173"/>
      <c r="AE41" s="173"/>
      <c r="AF41" s="173" t="s">
        <v>4688</v>
      </c>
      <c r="AG41" s="173"/>
      <c r="AH41" s="173" t="s">
        <v>7213</v>
      </c>
      <c r="AI41" s="173"/>
      <c r="AJ41" s="173"/>
      <c r="AK41" s="173"/>
      <c r="AL41" s="173" t="s">
        <v>4925</v>
      </c>
      <c r="AM41" s="173" t="s">
        <v>5435</v>
      </c>
      <c r="AN41" s="173" t="s">
        <v>380</v>
      </c>
      <c r="AO41" s="173"/>
      <c r="AP41" s="173"/>
      <c r="AQ41" s="173"/>
      <c r="AR41" s="173"/>
      <c r="AS41" s="173"/>
      <c r="AT41" s="173"/>
      <c r="AU41" s="173" t="s">
        <v>7332</v>
      </c>
      <c r="AV41" s="173" t="s">
        <v>7418</v>
      </c>
      <c r="AW41" s="173" t="s">
        <v>7473</v>
      </c>
      <c r="AX41" s="173" t="s">
        <v>7509</v>
      </c>
      <c r="AY41" s="173" t="s">
        <v>7592</v>
      </c>
    </row>
    <row r="42" spans="1:51">
      <c r="A42" s="469" t="s">
        <v>402</v>
      </c>
      <c r="B42" s="173" t="s">
        <v>52</v>
      </c>
      <c r="C42" s="173"/>
      <c r="D42" s="173" t="s">
        <v>6632</v>
      </c>
      <c r="E42" s="173" t="s">
        <v>6655</v>
      </c>
      <c r="F42" s="173" t="s">
        <v>6675</v>
      </c>
      <c r="G42" s="173"/>
      <c r="H42" s="173" t="s">
        <v>377</v>
      </c>
      <c r="I42" s="173"/>
      <c r="J42" s="173" t="s">
        <v>461</v>
      </c>
      <c r="K42" s="173" t="s">
        <v>4711</v>
      </c>
      <c r="L42" s="173" t="s">
        <v>63</v>
      </c>
      <c r="M42" s="173" t="s">
        <v>6707</v>
      </c>
      <c r="N42" s="173"/>
      <c r="O42" s="173" t="s">
        <v>40</v>
      </c>
      <c r="P42" s="173" t="s">
        <v>32</v>
      </c>
      <c r="Q42" s="173"/>
      <c r="R42" s="173" t="s">
        <v>6725</v>
      </c>
      <c r="S42" s="173" t="s">
        <v>122</v>
      </c>
      <c r="T42" s="173"/>
      <c r="U42" s="173"/>
      <c r="V42" s="173" t="s">
        <v>6749</v>
      </c>
      <c r="W42" s="173" t="s">
        <v>5003</v>
      </c>
      <c r="X42" s="173"/>
      <c r="Y42" s="173"/>
      <c r="Z42" s="173" t="s">
        <v>6831</v>
      </c>
      <c r="AA42" s="173" t="s">
        <v>7035</v>
      </c>
      <c r="AB42" s="173"/>
      <c r="AC42" s="173" t="s">
        <v>70</v>
      </c>
      <c r="AD42" s="173"/>
      <c r="AE42" s="173"/>
      <c r="AF42" s="173" t="s">
        <v>7157</v>
      </c>
      <c r="AG42" s="173"/>
      <c r="AH42" s="173" t="s">
        <v>7214</v>
      </c>
      <c r="AI42" s="173"/>
      <c r="AJ42" s="173"/>
      <c r="AK42" s="173"/>
      <c r="AL42" s="173" t="s">
        <v>378</v>
      </c>
      <c r="AM42" s="173" t="s">
        <v>4920</v>
      </c>
      <c r="AN42" s="173" t="s">
        <v>382</v>
      </c>
      <c r="AO42" s="173"/>
      <c r="AP42" s="173"/>
      <c r="AQ42" s="173"/>
      <c r="AR42" s="173"/>
      <c r="AS42" s="173"/>
      <c r="AT42" s="173"/>
      <c r="AU42" s="173" t="s">
        <v>7333</v>
      </c>
      <c r="AV42" s="173" t="s">
        <v>7419</v>
      </c>
      <c r="AW42" s="173" t="s">
        <v>7474</v>
      </c>
      <c r="AX42" s="173" t="s">
        <v>7510</v>
      </c>
      <c r="AY42" s="173" t="s">
        <v>5042</v>
      </c>
    </row>
    <row r="43" spans="1:51">
      <c r="A43" s="469" t="s">
        <v>403</v>
      </c>
      <c r="B43" s="173" t="s">
        <v>53</v>
      </c>
      <c r="C43" s="173"/>
      <c r="D43" s="173" t="s">
        <v>6633</v>
      </c>
      <c r="E43" s="173" t="s">
        <v>6656</v>
      </c>
      <c r="F43" s="173" t="s">
        <v>389</v>
      </c>
      <c r="G43" s="173"/>
      <c r="H43" s="173" t="s">
        <v>6687</v>
      </c>
      <c r="I43" s="173"/>
      <c r="J43" s="173" t="s">
        <v>305</v>
      </c>
      <c r="K43" s="173" t="s">
        <v>4714</v>
      </c>
      <c r="L43" s="173" t="s">
        <v>64</v>
      </c>
      <c r="M43" s="173" t="s">
        <v>233</v>
      </c>
      <c r="N43" s="173"/>
      <c r="O43" s="173" t="s">
        <v>37</v>
      </c>
      <c r="P43" s="173" t="s">
        <v>41</v>
      </c>
      <c r="Q43" s="173"/>
      <c r="R43" s="173" t="s">
        <v>6726</v>
      </c>
      <c r="S43" s="173" t="s">
        <v>123</v>
      </c>
      <c r="T43" s="173"/>
      <c r="U43" s="173"/>
      <c r="V43" s="173" t="s">
        <v>6750</v>
      </c>
      <c r="W43" s="173" t="s">
        <v>5004</v>
      </c>
      <c r="X43" s="173"/>
      <c r="Y43" s="173"/>
      <c r="Z43" s="173" t="s">
        <v>6832</v>
      </c>
      <c r="AA43" s="173" t="s">
        <v>7036</v>
      </c>
      <c r="AB43" s="173"/>
      <c r="AC43" s="173" t="s">
        <v>6751</v>
      </c>
      <c r="AD43" s="173"/>
      <c r="AE43" s="173"/>
      <c r="AF43" s="173" t="s">
        <v>7158</v>
      </c>
      <c r="AG43" s="173"/>
      <c r="AH43" s="173" t="s">
        <v>7215</v>
      </c>
      <c r="AI43" s="173"/>
      <c r="AJ43" s="173"/>
      <c r="AK43" s="173"/>
      <c r="AL43" s="173" t="s">
        <v>412</v>
      </c>
      <c r="AM43" s="173" t="s">
        <v>378</v>
      </c>
      <c r="AN43" s="173" t="s">
        <v>4928</v>
      </c>
      <c r="AO43" s="173"/>
      <c r="AP43" s="173"/>
      <c r="AQ43" s="173"/>
      <c r="AR43" s="173"/>
      <c r="AS43" s="173"/>
      <c r="AT43" s="173"/>
      <c r="AU43" s="173" t="s">
        <v>7334</v>
      </c>
      <c r="AV43" s="173" t="s">
        <v>7420</v>
      </c>
      <c r="AW43" s="173"/>
      <c r="AX43" s="173" t="s">
        <v>7511</v>
      </c>
      <c r="AY43" s="173" t="s">
        <v>383</v>
      </c>
    </row>
    <row r="44" spans="1:51">
      <c r="A44" s="469" t="s">
        <v>404</v>
      </c>
      <c r="B44" s="173" t="s">
        <v>54</v>
      </c>
      <c r="C44" s="173"/>
      <c r="D44" s="173" t="s">
        <v>6634</v>
      </c>
      <c r="E44" s="173" t="s">
        <v>6657</v>
      </c>
      <c r="F44" s="173" t="s">
        <v>383</v>
      </c>
      <c r="G44" s="173"/>
      <c r="H44" s="173"/>
      <c r="I44" s="173"/>
      <c r="J44" s="173" t="s">
        <v>306</v>
      </c>
      <c r="K44" s="173" t="s">
        <v>4717</v>
      </c>
      <c r="L44" s="173" t="s">
        <v>65</v>
      </c>
      <c r="M44" s="173" t="s">
        <v>234</v>
      </c>
      <c r="N44" s="173"/>
      <c r="O44" s="173" t="s">
        <v>38</v>
      </c>
      <c r="P44" s="173" t="s">
        <v>39</v>
      </c>
      <c r="Q44" s="173"/>
      <c r="R44" s="173" t="s">
        <v>6727</v>
      </c>
      <c r="S44" s="173" t="s">
        <v>124</v>
      </c>
      <c r="T44" s="173"/>
      <c r="U44" s="173"/>
      <c r="V44" s="173" t="s">
        <v>6751</v>
      </c>
      <c r="W44" s="173" t="s">
        <v>5005</v>
      </c>
      <c r="X44" s="173"/>
      <c r="Y44" s="173"/>
      <c r="Z44" s="173" t="s">
        <v>6833</v>
      </c>
      <c r="AA44" s="173" t="s">
        <v>7037</v>
      </c>
      <c r="AB44" s="173"/>
      <c r="AC44" s="173" t="s">
        <v>59</v>
      </c>
      <c r="AD44" s="173"/>
      <c r="AE44" s="173"/>
      <c r="AF44" s="173" t="s">
        <v>4691</v>
      </c>
      <c r="AG44" s="173"/>
      <c r="AH44" s="173" t="s">
        <v>7216</v>
      </c>
      <c r="AI44" s="173"/>
      <c r="AJ44" s="173"/>
      <c r="AK44" s="173"/>
      <c r="AL44" s="173" t="s">
        <v>277</v>
      </c>
      <c r="AM44" s="173" t="s">
        <v>5436</v>
      </c>
      <c r="AN44" s="173" t="s">
        <v>4929</v>
      </c>
      <c r="AO44" s="173"/>
      <c r="AP44" s="173"/>
      <c r="AQ44" s="173"/>
      <c r="AR44" s="173"/>
      <c r="AS44" s="173"/>
      <c r="AT44" s="173"/>
      <c r="AU44" s="173" t="s">
        <v>32</v>
      </c>
      <c r="AV44" s="173" t="s">
        <v>5412</v>
      </c>
      <c r="AW44" s="173"/>
      <c r="AX44" s="173" t="s">
        <v>7512</v>
      </c>
      <c r="AY44" s="173" t="s">
        <v>370</v>
      </c>
    </row>
    <row r="45" spans="1:51">
      <c r="A45" s="469" t="s">
        <v>59</v>
      </c>
      <c r="B45" s="173" t="s">
        <v>55</v>
      </c>
      <c r="C45" s="173"/>
      <c r="D45" s="173" t="s">
        <v>6635</v>
      </c>
      <c r="E45" s="173" t="s">
        <v>6658</v>
      </c>
      <c r="F45" s="173" t="s">
        <v>355</v>
      </c>
      <c r="G45" s="173"/>
      <c r="H45" s="173"/>
      <c r="I45" s="173"/>
      <c r="J45" s="173" t="s">
        <v>307</v>
      </c>
      <c r="K45" s="173" t="s">
        <v>4720</v>
      </c>
      <c r="L45" s="173" t="s">
        <v>66</v>
      </c>
      <c r="M45" s="173" t="s">
        <v>235</v>
      </c>
      <c r="N45" s="173"/>
      <c r="O45" s="173" t="s">
        <v>41</v>
      </c>
      <c r="P45" s="173" t="s">
        <v>40</v>
      </c>
      <c r="Q45" s="173"/>
      <c r="R45" s="173" t="s">
        <v>4674</v>
      </c>
      <c r="S45" s="173" t="s">
        <v>125</v>
      </c>
      <c r="T45" s="173"/>
      <c r="U45" s="173"/>
      <c r="V45" s="173" t="s">
        <v>6752</v>
      </c>
      <c r="W45" s="173" t="s">
        <v>5006</v>
      </c>
      <c r="X45" s="173"/>
      <c r="Y45" s="173"/>
      <c r="Z45" s="173" t="s">
        <v>6834</v>
      </c>
      <c r="AA45" s="173" t="s">
        <v>7038</v>
      </c>
      <c r="AB45" s="173"/>
      <c r="AC45" s="173" t="s">
        <v>5031</v>
      </c>
      <c r="AD45" s="173"/>
      <c r="AE45" s="173"/>
      <c r="AF45" s="173" t="s">
        <v>7159</v>
      </c>
      <c r="AG45" s="173"/>
      <c r="AH45" s="173" t="s">
        <v>7217</v>
      </c>
      <c r="AI45" s="173"/>
      <c r="AJ45" s="173"/>
      <c r="AK45" s="173"/>
      <c r="AL45" s="173" t="s">
        <v>372</v>
      </c>
      <c r="AM45" s="173" t="s">
        <v>5437</v>
      </c>
      <c r="AN45" s="173" t="s">
        <v>370</v>
      </c>
      <c r="AO45" s="173"/>
      <c r="AP45" s="173"/>
      <c r="AQ45" s="173"/>
      <c r="AR45" s="173"/>
      <c r="AS45" s="173"/>
      <c r="AT45" s="173"/>
      <c r="AU45" s="173" t="s">
        <v>36</v>
      </c>
      <c r="AV45" s="173" t="s">
        <v>5413</v>
      </c>
      <c r="AW45" s="173"/>
      <c r="AX45" s="173" t="s">
        <v>7513</v>
      </c>
      <c r="AY45" s="173" t="s">
        <v>6772</v>
      </c>
    </row>
    <row r="46" spans="1:51">
      <c r="A46" s="469" t="s">
        <v>380</v>
      </c>
      <c r="B46" s="173" t="s">
        <v>56</v>
      </c>
      <c r="C46" s="173"/>
      <c r="D46" s="173" t="s">
        <v>20</v>
      </c>
      <c r="E46" s="173" t="s">
        <v>6659</v>
      </c>
      <c r="F46" s="173" t="s">
        <v>356</v>
      </c>
      <c r="G46" s="173"/>
      <c r="H46" s="173"/>
      <c r="I46" s="173"/>
      <c r="J46" s="173"/>
      <c r="K46" s="173" t="s">
        <v>4723</v>
      </c>
      <c r="L46" s="173" t="s">
        <v>67</v>
      </c>
      <c r="M46" s="173" t="s">
        <v>236</v>
      </c>
      <c r="N46" s="173"/>
      <c r="O46" s="173" t="s">
        <v>4712</v>
      </c>
      <c r="P46" s="173" t="s">
        <v>37</v>
      </c>
      <c r="Q46" s="173"/>
      <c r="R46" s="173" t="s">
        <v>4677</v>
      </c>
      <c r="S46" s="173" t="s">
        <v>126</v>
      </c>
      <c r="T46" s="173"/>
      <c r="U46" s="173"/>
      <c r="V46" s="173" t="s">
        <v>6753</v>
      </c>
      <c r="W46" s="173" t="s">
        <v>5007</v>
      </c>
      <c r="X46" s="173"/>
      <c r="Y46" s="173"/>
      <c r="Z46" s="173" t="s">
        <v>6835</v>
      </c>
      <c r="AA46" s="173" t="s">
        <v>7039</v>
      </c>
      <c r="AB46" s="173"/>
      <c r="AC46" s="173" t="s">
        <v>7093</v>
      </c>
      <c r="AD46" s="173"/>
      <c r="AE46" s="173"/>
      <c r="AF46" s="173" t="s">
        <v>7160</v>
      </c>
      <c r="AG46" s="173"/>
      <c r="AH46" s="173" t="s">
        <v>7218</v>
      </c>
      <c r="AI46" s="173"/>
      <c r="AJ46" s="173"/>
      <c r="AK46" s="173"/>
      <c r="AL46" s="173" t="s">
        <v>373</v>
      </c>
      <c r="AM46" s="173" t="s">
        <v>5438</v>
      </c>
      <c r="AN46" s="173"/>
      <c r="AO46" s="173"/>
      <c r="AP46" s="173"/>
      <c r="AQ46" s="173"/>
      <c r="AR46" s="173"/>
      <c r="AS46" s="173"/>
      <c r="AT46" s="173"/>
      <c r="AU46" s="173" t="s">
        <v>7335</v>
      </c>
      <c r="AV46" s="173" t="s">
        <v>7421</v>
      </c>
      <c r="AW46" s="173"/>
      <c r="AX46" s="763" t="s">
        <v>7514</v>
      </c>
      <c r="AY46" s="173"/>
    </row>
    <row r="47" spans="1:51">
      <c r="A47" s="469" t="s">
        <v>413</v>
      </c>
      <c r="B47" s="173" t="s">
        <v>57</v>
      </c>
      <c r="C47" s="173"/>
      <c r="D47" s="173" t="s">
        <v>4712</v>
      </c>
      <c r="E47" s="173" t="s">
        <v>6660</v>
      </c>
      <c r="F47" s="173" t="s">
        <v>390</v>
      </c>
      <c r="G47" s="173"/>
      <c r="H47" s="173"/>
      <c r="I47" s="173"/>
      <c r="J47" s="173"/>
      <c r="K47" s="173" t="s">
        <v>4726</v>
      </c>
      <c r="L47" s="173" t="s">
        <v>68</v>
      </c>
      <c r="M47" s="173" t="s">
        <v>237</v>
      </c>
      <c r="N47" s="173"/>
      <c r="O47" s="173" t="s">
        <v>4715</v>
      </c>
      <c r="P47" s="173" t="s">
        <v>38</v>
      </c>
      <c r="Q47" s="173"/>
      <c r="R47" s="173" t="s">
        <v>4681</v>
      </c>
      <c r="S47" s="173" t="s">
        <v>127</v>
      </c>
      <c r="T47" s="173"/>
      <c r="U47" s="173"/>
      <c r="V47" s="173" t="s">
        <v>6754</v>
      </c>
      <c r="W47" s="173" t="s">
        <v>5008</v>
      </c>
      <c r="X47" s="173"/>
      <c r="Y47" s="173"/>
      <c r="Z47" s="173" t="s">
        <v>6836</v>
      </c>
      <c r="AA47" s="173" t="s">
        <v>7040</v>
      </c>
      <c r="AB47" s="173"/>
      <c r="AC47" s="173" t="s">
        <v>7094</v>
      </c>
      <c r="AD47" s="173"/>
      <c r="AE47" s="173"/>
      <c r="AF47" s="173" t="s">
        <v>7161</v>
      </c>
      <c r="AG47" s="173"/>
      <c r="AH47" s="173" t="s">
        <v>7219</v>
      </c>
      <c r="AI47" s="173"/>
      <c r="AJ47" s="173"/>
      <c r="AK47" s="173"/>
      <c r="AL47" s="173" t="s">
        <v>374</v>
      </c>
      <c r="AM47" s="173" t="s">
        <v>5439</v>
      </c>
      <c r="AN47" s="173"/>
      <c r="AO47" s="173"/>
      <c r="AP47" s="173"/>
      <c r="AQ47" s="173"/>
      <c r="AR47" s="173"/>
      <c r="AS47" s="173"/>
      <c r="AT47" s="173"/>
      <c r="AU47" s="173" t="s">
        <v>7336</v>
      </c>
      <c r="AV47" s="173" t="s">
        <v>7422</v>
      </c>
      <c r="AW47" s="173"/>
      <c r="AX47" s="173" t="s">
        <v>7515</v>
      </c>
      <c r="AY47" s="173"/>
    </row>
    <row r="48" spans="1:51">
      <c r="A48" s="469" t="s">
        <v>405</v>
      </c>
      <c r="B48" s="173" t="s">
        <v>58</v>
      </c>
      <c r="C48" s="173"/>
      <c r="D48" s="173" t="s">
        <v>4715</v>
      </c>
      <c r="E48" s="173" t="s">
        <v>6661</v>
      </c>
      <c r="F48" s="173" t="s">
        <v>391</v>
      </c>
      <c r="G48" s="173"/>
      <c r="H48" s="173"/>
      <c r="I48" s="173"/>
      <c r="J48" s="173"/>
      <c r="K48" s="173" t="s">
        <v>4728</v>
      </c>
      <c r="L48" s="173" t="s">
        <v>69</v>
      </c>
      <c r="M48" s="173" t="s">
        <v>238</v>
      </c>
      <c r="N48" s="173"/>
      <c r="O48" s="173" t="s">
        <v>4718</v>
      </c>
      <c r="P48" s="173" t="s">
        <v>17</v>
      </c>
      <c r="Q48" s="173"/>
      <c r="R48" s="173" t="s">
        <v>250</v>
      </c>
      <c r="S48" s="173" t="s">
        <v>128</v>
      </c>
      <c r="T48" s="173"/>
      <c r="U48" s="173"/>
      <c r="V48" s="173" t="s">
        <v>6755</v>
      </c>
      <c r="W48" s="173" t="s">
        <v>5009</v>
      </c>
      <c r="X48" s="173"/>
      <c r="Y48" s="173"/>
      <c r="Z48" s="173" t="s">
        <v>6837</v>
      </c>
      <c r="AA48" s="173" t="s">
        <v>7041</v>
      </c>
      <c r="AB48" s="173"/>
      <c r="AC48" s="173" t="s">
        <v>7095</v>
      </c>
      <c r="AD48" s="173"/>
      <c r="AE48" s="173"/>
      <c r="AF48" s="173" t="s">
        <v>7162</v>
      </c>
      <c r="AG48" s="173"/>
      <c r="AH48" s="173"/>
      <c r="AI48" s="173"/>
      <c r="AJ48" s="173"/>
      <c r="AK48" s="173"/>
      <c r="AL48" s="173" t="s">
        <v>375</v>
      </c>
      <c r="AM48" s="173" t="s">
        <v>5440</v>
      </c>
      <c r="AN48" s="173"/>
      <c r="AO48" s="173"/>
      <c r="AP48" s="173"/>
      <c r="AQ48" s="173"/>
      <c r="AR48" s="173"/>
      <c r="AS48" s="173"/>
      <c r="AT48" s="173"/>
      <c r="AU48" s="173" t="s">
        <v>7337</v>
      </c>
      <c r="AV48" s="173" t="s">
        <v>7423</v>
      </c>
      <c r="AW48" s="173"/>
      <c r="AX48" s="173" t="s">
        <v>7516</v>
      </c>
      <c r="AY48" s="173"/>
    </row>
    <row r="49" spans="1:51">
      <c r="A49" s="469" t="s">
        <v>406</v>
      </c>
      <c r="B49" s="173" t="s">
        <v>59</v>
      </c>
      <c r="C49" s="173"/>
      <c r="D49" s="173" t="s">
        <v>4718</v>
      </c>
      <c r="E49" s="173" t="s">
        <v>6662</v>
      </c>
      <c r="F49" s="173" t="s">
        <v>392</v>
      </c>
      <c r="G49" s="173"/>
      <c r="H49" s="173"/>
      <c r="I49" s="173"/>
      <c r="J49" s="173"/>
      <c r="K49" s="173" t="s">
        <v>4730</v>
      </c>
      <c r="L49" s="173" t="s">
        <v>70</v>
      </c>
      <c r="M49" s="173" t="s">
        <v>239</v>
      </c>
      <c r="N49" s="173"/>
      <c r="O49" s="173" t="s">
        <v>4721</v>
      </c>
      <c r="P49" s="173" t="s">
        <v>46</v>
      </c>
      <c r="Q49" s="173"/>
      <c r="R49" s="173" t="s">
        <v>248</v>
      </c>
      <c r="S49" s="173" t="s">
        <v>129</v>
      </c>
      <c r="T49" s="173"/>
      <c r="U49" s="173"/>
      <c r="V49" s="173" t="s">
        <v>6756</v>
      </c>
      <c r="W49" s="173" t="s">
        <v>5010</v>
      </c>
      <c r="X49" s="173"/>
      <c r="Y49" s="173"/>
      <c r="Z49" s="173" t="s">
        <v>6838</v>
      </c>
      <c r="AA49" s="173" t="s">
        <v>7042</v>
      </c>
      <c r="AB49" s="173"/>
      <c r="AC49" s="173" t="s">
        <v>7096</v>
      </c>
      <c r="AD49" s="173"/>
      <c r="AE49" s="173"/>
      <c r="AF49" s="173" t="s">
        <v>7163</v>
      </c>
      <c r="AG49" s="173"/>
      <c r="AH49" s="173"/>
      <c r="AI49" s="173"/>
      <c r="AJ49" s="173"/>
      <c r="AK49" s="173"/>
      <c r="AL49" s="173" t="s">
        <v>376</v>
      </c>
      <c r="AM49" s="173" t="s">
        <v>5441</v>
      </c>
      <c r="AN49" s="173"/>
      <c r="AO49" s="173"/>
      <c r="AP49" s="173"/>
      <c r="AQ49" s="173"/>
      <c r="AR49" s="173"/>
      <c r="AS49" s="173"/>
      <c r="AT49" s="173"/>
      <c r="AU49" s="173" t="s">
        <v>7338</v>
      </c>
      <c r="AV49" s="173" t="s">
        <v>7424</v>
      </c>
      <c r="AW49" s="173"/>
      <c r="AX49" s="173" t="s">
        <v>7517</v>
      </c>
      <c r="AY49" s="173"/>
    </row>
    <row r="50" spans="1:51">
      <c r="A50" s="469" t="s">
        <v>407</v>
      </c>
      <c r="B50" s="173" t="s">
        <v>60</v>
      </c>
      <c r="C50" s="173"/>
      <c r="D50" s="173" t="s">
        <v>4721</v>
      </c>
      <c r="E50" s="173" t="s">
        <v>6663</v>
      </c>
      <c r="F50" s="173" t="s">
        <v>361</v>
      </c>
      <c r="G50" s="173"/>
      <c r="H50" s="173"/>
      <c r="I50" s="173"/>
      <c r="J50" s="173"/>
      <c r="K50" s="173" t="s">
        <v>4732</v>
      </c>
      <c r="L50" s="173" t="s">
        <v>71</v>
      </c>
      <c r="M50" s="173" t="s">
        <v>240</v>
      </c>
      <c r="N50" s="173"/>
      <c r="O50" s="173" t="s">
        <v>4724</v>
      </c>
      <c r="P50" s="173" t="s">
        <v>278</v>
      </c>
      <c r="Q50" s="173"/>
      <c r="R50" s="173" t="s">
        <v>247</v>
      </c>
      <c r="S50" s="173" t="s">
        <v>130</v>
      </c>
      <c r="T50" s="173"/>
      <c r="U50" s="173"/>
      <c r="V50" s="173" t="s">
        <v>6757</v>
      </c>
      <c r="W50" s="173" t="s">
        <v>368</v>
      </c>
      <c r="X50" s="173"/>
      <c r="Y50" s="173"/>
      <c r="Z50" s="173" t="s">
        <v>6839</v>
      </c>
      <c r="AA50" s="173" t="s">
        <v>7043</v>
      </c>
      <c r="AB50" s="173"/>
      <c r="AC50" s="173" t="s">
        <v>7097</v>
      </c>
      <c r="AD50" s="173"/>
      <c r="AE50" s="173"/>
      <c r="AF50" s="173" t="s">
        <v>378</v>
      </c>
      <c r="AG50" s="173"/>
      <c r="AH50" s="173"/>
      <c r="AI50" s="173"/>
      <c r="AJ50" s="173"/>
      <c r="AK50" s="173"/>
      <c r="AL50" s="173" t="s">
        <v>377</v>
      </c>
      <c r="AM50" s="173" t="s">
        <v>5442</v>
      </c>
      <c r="AN50" s="173"/>
      <c r="AO50" s="173"/>
      <c r="AP50" s="173"/>
      <c r="AQ50" s="173"/>
      <c r="AR50" s="173"/>
      <c r="AS50" s="173"/>
      <c r="AT50" s="173"/>
      <c r="AU50" s="173" t="s">
        <v>7339</v>
      </c>
      <c r="AV50" s="173" t="s">
        <v>7425</v>
      </c>
      <c r="AW50" s="173"/>
      <c r="AX50" s="173" t="s">
        <v>7518</v>
      </c>
      <c r="AY50" s="173"/>
    </row>
    <row r="51" spans="1:51">
      <c r="A51" s="469" t="s">
        <v>408</v>
      </c>
      <c r="B51" s="173" t="s">
        <v>61</v>
      </c>
      <c r="C51" s="173"/>
      <c r="D51" s="173" t="s">
        <v>4724</v>
      </c>
      <c r="E51" s="173" t="s">
        <v>6664</v>
      </c>
      <c r="F51" s="173" t="s">
        <v>362</v>
      </c>
      <c r="G51" s="173"/>
      <c r="H51" s="173"/>
      <c r="I51" s="173"/>
      <c r="J51" s="173"/>
      <c r="K51" s="173" t="s">
        <v>4734</v>
      </c>
      <c r="L51" s="173" t="s">
        <v>72</v>
      </c>
      <c r="M51" s="173" t="s">
        <v>6708</v>
      </c>
      <c r="N51" s="173"/>
      <c r="O51" s="173" t="s">
        <v>4727</v>
      </c>
      <c r="P51" s="173" t="s">
        <v>14</v>
      </c>
      <c r="Q51" s="173"/>
      <c r="R51" s="173" t="s">
        <v>249</v>
      </c>
      <c r="S51" s="173" t="s">
        <v>131</v>
      </c>
      <c r="T51" s="173"/>
      <c r="U51" s="173"/>
      <c r="V51" s="173" t="s">
        <v>6758</v>
      </c>
      <c r="W51" s="173" t="s">
        <v>17</v>
      </c>
      <c r="X51" s="173"/>
      <c r="Y51" s="173"/>
      <c r="Z51" s="173" t="s">
        <v>6840</v>
      </c>
      <c r="AA51" s="173" t="s">
        <v>7044</v>
      </c>
      <c r="AB51" s="173"/>
      <c r="AC51" s="173" t="s">
        <v>373</v>
      </c>
      <c r="AD51" s="173"/>
      <c r="AE51" s="173"/>
      <c r="AF51" s="173" t="s">
        <v>4694</v>
      </c>
      <c r="AG51" s="173"/>
      <c r="AH51" s="173"/>
      <c r="AI51" s="173"/>
      <c r="AJ51" s="173"/>
      <c r="AK51" s="173"/>
      <c r="AL51" s="173" t="s">
        <v>5440</v>
      </c>
      <c r="AM51" s="173" t="s">
        <v>5443</v>
      </c>
      <c r="AN51" s="173"/>
      <c r="AO51" s="173"/>
      <c r="AP51" s="173"/>
      <c r="AQ51" s="173"/>
      <c r="AR51" s="173"/>
      <c r="AS51" s="173"/>
      <c r="AT51" s="173"/>
      <c r="AU51" s="173" t="s">
        <v>7340</v>
      </c>
      <c r="AV51" s="173" t="s">
        <v>7426</v>
      </c>
      <c r="AW51" s="173"/>
      <c r="AX51" s="173" t="s">
        <v>7519</v>
      </c>
      <c r="AY51" s="173"/>
    </row>
    <row r="52" spans="1:51">
      <c r="A52" s="469" t="s">
        <v>409</v>
      </c>
      <c r="B52" s="173" t="s">
        <v>62</v>
      </c>
      <c r="C52" s="173"/>
      <c r="D52" s="173" t="s">
        <v>4727</v>
      </c>
      <c r="E52" s="173" t="s">
        <v>6665</v>
      </c>
      <c r="F52" s="173" t="s">
        <v>363</v>
      </c>
      <c r="G52" s="173"/>
      <c r="H52" s="173"/>
      <c r="I52" s="173"/>
      <c r="J52" s="173"/>
      <c r="K52" s="173" t="s">
        <v>4735</v>
      </c>
      <c r="L52" s="173" t="s">
        <v>73</v>
      </c>
      <c r="M52" s="173" t="s">
        <v>6709</v>
      </c>
      <c r="N52" s="173"/>
      <c r="O52" s="173" t="s">
        <v>4729</v>
      </c>
      <c r="P52" s="173" t="s">
        <v>18</v>
      </c>
      <c r="Q52" s="173"/>
      <c r="R52" s="173" t="s">
        <v>4693</v>
      </c>
      <c r="S52" s="173" t="s">
        <v>132</v>
      </c>
      <c r="T52" s="173"/>
      <c r="U52" s="173"/>
      <c r="V52" s="173" t="s">
        <v>6759</v>
      </c>
      <c r="W52" s="173" t="s">
        <v>370</v>
      </c>
      <c r="X52" s="173"/>
      <c r="Y52" s="173"/>
      <c r="Z52" s="173" t="s">
        <v>6841</v>
      </c>
      <c r="AA52" s="173" t="s">
        <v>7045</v>
      </c>
      <c r="AB52" s="173"/>
      <c r="AC52" s="173" t="s">
        <v>7098</v>
      </c>
      <c r="AD52" s="173"/>
      <c r="AE52" s="173"/>
      <c r="AF52" s="173" t="s">
        <v>7164</v>
      </c>
      <c r="AG52" s="173"/>
      <c r="AH52" s="173"/>
      <c r="AI52" s="173"/>
      <c r="AJ52" s="173"/>
      <c r="AK52" s="173"/>
      <c r="AL52" s="173" t="s">
        <v>5436</v>
      </c>
      <c r="AM52" s="173" t="s">
        <v>277</v>
      </c>
      <c r="AN52" s="173"/>
      <c r="AO52" s="173"/>
      <c r="AP52" s="173"/>
      <c r="AQ52" s="173"/>
      <c r="AR52" s="173"/>
      <c r="AS52" s="173"/>
      <c r="AT52" s="173"/>
      <c r="AU52" s="173" t="s">
        <v>7341</v>
      </c>
      <c r="AV52" s="173" t="s">
        <v>7427</v>
      </c>
      <c r="AW52" s="173"/>
      <c r="AX52" s="173" t="s">
        <v>7520</v>
      </c>
      <c r="AY52" s="173"/>
    </row>
    <row r="53" spans="1:51">
      <c r="A53" s="469"/>
      <c r="B53" s="469" t="s">
        <v>63</v>
      </c>
      <c r="C53" s="173"/>
      <c r="D53" s="173" t="s">
        <v>4729</v>
      </c>
      <c r="E53" s="173" t="s">
        <v>6666</v>
      </c>
      <c r="F53" s="173" t="s">
        <v>364</v>
      </c>
      <c r="G53" s="173"/>
      <c r="H53" s="173"/>
      <c r="I53" s="173"/>
      <c r="J53" s="173"/>
      <c r="K53" s="173" t="s">
        <v>4737</v>
      </c>
      <c r="L53" s="173" t="s">
        <v>74</v>
      </c>
      <c r="M53" s="173" t="s">
        <v>241</v>
      </c>
      <c r="N53" s="173"/>
      <c r="O53" s="173" t="s">
        <v>4731</v>
      </c>
      <c r="P53" s="173" t="s">
        <v>19</v>
      </c>
      <c r="Q53" s="173"/>
      <c r="R53" s="173" t="s">
        <v>4696</v>
      </c>
      <c r="S53" s="173" t="s">
        <v>133</v>
      </c>
      <c r="T53" s="173"/>
      <c r="U53" s="173"/>
      <c r="V53" s="173" t="s">
        <v>381</v>
      </c>
      <c r="W53" s="173" t="s">
        <v>4605</v>
      </c>
      <c r="X53" s="173"/>
      <c r="Y53" s="173"/>
      <c r="Z53" s="173" t="s">
        <v>6842</v>
      </c>
      <c r="AA53" s="173" t="s">
        <v>7046</v>
      </c>
      <c r="AB53" s="173"/>
      <c r="AC53" s="173" t="s">
        <v>4774</v>
      </c>
      <c r="AD53" s="173"/>
      <c r="AE53" s="173"/>
      <c r="AF53" s="173" t="s">
        <v>7165</v>
      </c>
      <c r="AG53" s="173"/>
      <c r="AH53" s="173"/>
      <c r="AI53" s="173"/>
      <c r="AJ53" s="173"/>
      <c r="AK53" s="173"/>
      <c r="AL53" s="173" t="s">
        <v>7259</v>
      </c>
      <c r="AM53" s="173" t="s">
        <v>278</v>
      </c>
      <c r="AN53" s="173"/>
      <c r="AO53" s="173"/>
      <c r="AP53" s="173"/>
      <c r="AQ53" s="173"/>
      <c r="AR53" s="173"/>
      <c r="AS53" s="173"/>
      <c r="AT53" s="173"/>
      <c r="AU53" s="173" t="s">
        <v>74</v>
      </c>
      <c r="AV53" s="173" t="s">
        <v>7428</v>
      </c>
      <c r="AW53" s="173"/>
      <c r="AX53" s="173" t="s">
        <v>7166</v>
      </c>
      <c r="AY53" s="173"/>
    </row>
    <row r="54" spans="1:51">
      <c r="A54" s="469"/>
      <c r="B54" s="469" t="s">
        <v>64</v>
      </c>
      <c r="C54" s="173"/>
      <c r="D54" s="173" t="s">
        <v>4731</v>
      </c>
      <c r="E54" s="173" t="s">
        <v>6667</v>
      </c>
      <c r="F54" s="173" t="s">
        <v>365</v>
      </c>
      <c r="G54" s="173"/>
      <c r="H54" s="173"/>
      <c r="I54" s="173"/>
      <c r="J54" s="173"/>
      <c r="K54" s="173" t="s">
        <v>4739</v>
      </c>
      <c r="L54" s="173" t="s">
        <v>75</v>
      </c>
      <c r="M54" s="173" t="s">
        <v>242</v>
      </c>
      <c r="N54" s="173"/>
      <c r="O54" s="173" t="s">
        <v>5011</v>
      </c>
      <c r="P54" s="173" t="s">
        <v>12</v>
      </c>
      <c r="Q54" s="173"/>
      <c r="R54" s="173" t="s">
        <v>251</v>
      </c>
      <c r="S54" s="173" t="s">
        <v>134</v>
      </c>
      <c r="T54" s="173"/>
      <c r="U54" s="173"/>
      <c r="V54" s="173" t="s">
        <v>6760</v>
      </c>
      <c r="W54" s="173" t="s">
        <v>5012</v>
      </c>
      <c r="X54" s="173"/>
      <c r="Y54" s="173"/>
      <c r="Z54" s="173" t="s">
        <v>6843</v>
      </c>
      <c r="AA54" s="173" t="s">
        <v>7047</v>
      </c>
      <c r="AB54" s="173"/>
      <c r="AC54" s="173" t="s">
        <v>252</v>
      </c>
      <c r="AD54" s="173"/>
      <c r="AE54" s="173"/>
      <c r="AF54" s="173" t="s">
        <v>7166</v>
      </c>
      <c r="AG54" s="173"/>
      <c r="AH54" s="173"/>
      <c r="AI54" s="173"/>
      <c r="AJ54" s="173"/>
      <c r="AK54" s="173"/>
      <c r="AL54" s="173" t="s">
        <v>7260</v>
      </c>
      <c r="AM54" s="173" t="s">
        <v>5444</v>
      </c>
      <c r="AN54" s="173"/>
      <c r="AO54" s="173"/>
      <c r="AP54" s="173"/>
      <c r="AQ54" s="173"/>
      <c r="AR54" s="173"/>
      <c r="AS54" s="173"/>
      <c r="AT54" s="173"/>
      <c r="AU54" s="173" t="s">
        <v>7342</v>
      </c>
      <c r="AV54" s="173" t="s">
        <v>7429</v>
      </c>
      <c r="AW54" s="173"/>
      <c r="AX54" s="173" t="s">
        <v>4676</v>
      </c>
      <c r="AY54" s="173"/>
    </row>
    <row r="55" spans="1:51">
      <c r="A55" s="469"/>
      <c r="B55" s="469" t="s">
        <v>65</v>
      </c>
      <c r="C55" s="173"/>
      <c r="D55" s="173" t="s">
        <v>4733</v>
      </c>
      <c r="E55" s="173" t="s">
        <v>6668</v>
      </c>
      <c r="F55" s="173" t="s">
        <v>366</v>
      </c>
      <c r="G55" s="173"/>
      <c r="H55" s="173"/>
      <c r="I55" s="173"/>
      <c r="J55" s="173"/>
      <c r="K55" s="173" t="s">
        <v>4741</v>
      </c>
      <c r="L55" s="173" t="s">
        <v>76</v>
      </c>
      <c r="M55" s="173" t="s">
        <v>243</v>
      </c>
      <c r="N55" s="173"/>
      <c r="O55" s="173" t="s">
        <v>5013</v>
      </c>
      <c r="P55" s="173" t="s">
        <v>66</v>
      </c>
      <c r="Q55" s="173"/>
      <c r="R55" s="173" t="s">
        <v>252</v>
      </c>
      <c r="S55" s="173" t="s">
        <v>135</v>
      </c>
      <c r="T55" s="173"/>
      <c r="U55" s="173"/>
      <c r="V55" s="173" t="s">
        <v>6761</v>
      </c>
      <c r="W55" s="173" t="s">
        <v>5014</v>
      </c>
      <c r="X55" s="173"/>
      <c r="Y55" s="173"/>
      <c r="Z55" s="173" t="s">
        <v>6844</v>
      </c>
      <c r="AA55" s="173" t="s">
        <v>21</v>
      </c>
      <c r="AB55" s="173"/>
      <c r="AC55" s="173" t="s">
        <v>7099</v>
      </c>
      <c r="AD55" s="173"/>
      <c r="AE55" s="173"/>
      <c r="AF55" s="173" t="s">
        <v>7167</v>
      </c>
      <c r="AG55" s="173"/>
      <c r="AH55" s="173"/>
      <c r="AI55" s="173"/>
      <c r="AJ55" s="173"/>
      <c r="AK55" s="173"/>
      <c r="AL55" s="173" t="s">
        <v>7261</v>
      </c>
      <c r="AM55" s="173" t="s">
        <v>5445</v>
      </c>
      <c r="AN55" s="173"/>
      <c r="AO55" s="173"/>
      <c r="AP55" s="173"/>
      <c r="AQ55" s="173"/>
      <c r="AR55" s="173"/>
      <c r="AS55" s="173"/>
      <c r="AT55" s="173"/>
      <c r="AU55" s="173" t="s">
        <v>7343</v>
      </c>
      <c r="AV55" s="173" t="s">
        <v>7430</v>
      </c>
      <c r="AW55" s="173"/>
      <c r="AX55" s="173" t="s">
        <v>7521</v>
      </c>
      <c r="AY55" s="173"/>
    </row>
    <row r="56" spans="1:51">
      <c r="A56" s="469"/>
      <c r="B56" s="469" t="s">
        <v>66</v>
      </c>
      <c r="C56" s="173"/>
      <c r="D56" s="173" t="s">
        <v>368</v>
      </c>
      <c r="E56" s="173" t="s">
        <v>6669</v>
      </c>
      <c r="F56" s="173" t="s">
        <v>367</v>
      </c>
      <c r="G56" s="173"/>
      <c r="H56" s="173"/>
      <c r="I56" s="173"/>
      <c r="J56" s="173"/>
      <c r="K56" s="173" t="s">
        <v>4743</v>
      </c>
      <c r="L56" s="173" t="s">
        <v>77</v>
      </c>
      <c r="M56" s="173" t="s">
        <v>6710</v>
      </c>
      <c r="N56" s="173"/>
      <c r="O56" s="173" t="s">
        <v>5015</v>
      </c>
      <c r="P56" s="173" t="s">
        <v>69</v>
      </c>
      <c r="Q56" s="173"/>
      <c r="R56" s="173" t="s">
        <v>253</v>
      </c>
      <c r="S56" s="173" t="s">
        <v>136</v>
      </c>
      <c r="T56" s="173"/>
      <c r="U56" s="173"/>
      <c r="V56" s="173" t="s">
        <v>59</v>
      </c>
      <c r="W56" s="173" t="s">
        <v>5016</v>
      </c>
      <c r="X56" s="173"/>
      <c r="Y56" s="173"/>
      <c r="Z56" s="173" t="s">
        <v>6845</v>
      </c>
      <c r="AA56" s="173" t="s">
        <v>7048</v>
      </c>
      <c r="AB56" s="173"/>
      <c r="AC56" s="173" t="s">
        <v>4897</v>
      </c>
      <c r="AD56" s="173"/>
      <c r="AE56" s="173"/>
      <c r="AF56" s="173" t="s">
        <v>7168</v>
      </c>
      <c r="AG56" s="173"/>
      <c r="AH56" s="173"/>
      <c r="AI56" s="173"/>
      <c r="AJ56" s="173"/>
      <c r="AK56" s="173"/>
      <c r="AL56" s="173" t="s">
        <v>7262</v>
      </c>
      <c r="AM56" s="173" t="s">
        <v>5446</v>
      </c>
      <c r="AN56" s="173"/>
      <c r="AO56" s="173"/>
      <c r="AP56" s="173"/>
      <c r="AQ56" s="173"/>
      <c r="AR56" s="173"/>
      <c r="AS56" s="173"/>
      <c r="AT56" s="173"/>
      <c r="AU56" s="173" t="s">
        <v>7344</v>
      </c>
      <c r="AV56" s="173" t="s">
        <v>7431</v>
      </c>
      <c r="AW56" s="173"/>
      <c r="AX56" s="173" t="s">
        <v>7522</v>
      </c>
      <c r="AY56" s="173"/>
    </row>
    <row r="57" spans="1:51">
      <c r="A57" s="469"/>
      <c r="B57" s="469" t="s">
        <v>67</v>
      </c>
      <c r="C57" s="173"/>
      <c r="D57" s="173" t="s">
        <v>4736</v>
      </c>
      <c r="E57" s="173" t="s">
        <v>6670</v>
      </c>
      <c r="F57" s="173" t="s">
        <v>393</v>
      </c>
      <c r="G57" s="173"/>
      <c r="H57" s="173"/>
      <c r="I57" s="173"/>
      <c r="J57" s="173"/>
      <c r="K57" s="173" t="s">
        <v>4745</v>
      </c>
      <c r="L57" s="173" t="s">
        <v>78</v>
      </c>
      <c r="M57" s="173" t="s">
        <v>244</v>
      </c>
      <c r="N57" s="173"/>
      <c r="O57" s="173" t="s">
        <v>5017</v>
      </c>
      <c r="P57" s="173" t="s">
        <v>65</v>
      </c>
      <c r="Q57" s="173"/>
      <c r="R57" s="173" t="s">
        <v>4704</v>
      </c>
      <c r="S57" s="173" t="s">
        <v>137</v>
      </c>
      <c r="T57" s="173"/>
      <c r="U57" s="173"/>
      <c r="V57" s="173" t="s">
        <v>60</v>
      </c>
      <c r="W57" s="173" t="s">
        <v>378</v>
      </c>
      <c r="X57" s="173"/>
      <c r="Y57" s="173"/>
      <c r="Z57" s="173" t="s">
        <v>6846</v>
      </c>
      <c r="AA57" s="173" t="s">
        <v>4768</v>
      </c>
      <c r="AB57" s="173"/>
      <c r="AC57" s="173"/>
      <c r="AD57" s="173"/>
      <c r="AE57" s="173"/>
      <c r="AF57" s="173" t="s">
        <v>372</v>
      </c>
      <c r="AG57" s="173"/>
      <c r="AH57" s="173"/>
      <c r="AI57" s="173"/>
      <c r="AJ57" s="173"/>
      <c r="AK57" s="173"/>
      <c r="AL57" s="173" t="s">
        <v>380</v>
      </c>
      <c r="AM57" s="173" t="s">
        <v>5447</v>
      </c>
      <c r="AN57" s="173"/>
      <c r="AO57" s="173"/>
      <c r="AP57" s="173"/>
      <c r="AQ57" s="173"/>
      <c r="AR57" s="173"/>
      <c r="AS57" s="173"/>
      <c r="AT57" s="173"/>
      <c r="AU57" s="173" t="s">
        <v>7345</v>
      </c>
      <c r="AV57" s="173" t="s">
        <v>7432</v>
      </c>
      <c r="AW57" s="173"/>
      <c r="AX57" s="173" t="s">
        <v>7523</v>
      </c>
      <c r="AY57" s="173"/>
    </row>
    <row r="58" spans="1:51">
      <c r="A58" s="469"/>
      <c r="B58" s="469" t="s">
        <v>68</v>
      </c>
      <c r="C58" s="173"/>
      <c r="D58" s="173" t="s">
        <v>4738</v>
      </c>
      <c r="E58" s="173" t="s">
        <v>6671</v>
      </c>
      <c r="F58" s="173" t="s">
        <v>394</v>
      </c>
      <c r="G58" s="173"/>
      <c r="H58" s="173"/>
      <c r="I58" s="173"/>
      <c r="J58" s="173"/>
      <c r="K58" s="173" t="s">
        <v>4747</v>
      </c>
      <c r="L58" s="173"/>
      <c r="M58" s="173" t="s">
        <v>245</v>
      </c>
      <c r="N58" s="173"/>
      <c r="O58" s="173" t="s">
        <v>5018</v>
      </c>
      <c r="P58" s="173" t="s">
        <v>68</v>
      </c>
      <c r="Q58" s="173"/>
      <c r="R58" s="173" t="s">
        <v>4706</v>
      </c>
      <c r="S58" s="173" t="s">
        <v>138</v>
      </c>
      <c r="T58" s="173"/>
      <c r="U58" s="173"/>
      <c r="V58" s="173" t="s">
        <v>61</v>
      </c>
      <c r="W58" s="173" t="s">
        <v>5019</v>
      </c>
      <c r="X58" s="173"/>
      <c r="Y58" s="173"/>
      <c r="Z58" s="173" t="s">
        <v>6847</v>
      </c>
      <c r="AA58" s="173" t="s">
        <v>4697</v>
      </c>
      <c r="AB58" s="173"/>
      <c r="AC58" s="173"/>
      <c r="AD58" s="173"/>
      <c r="AE58" s="173"/>
      <c r="AF58" s="173" t="s">
        <v>373</v>
      </c>
      <c r="AG58" s="173"/>
      <c r="AH58" s="173"/>
      <c r="AI58" s="173"/>
      <c r="AJ58" s="173"/>
      <c r="AK58" s="173"/>
      <c r="AL58" s="173" t="s">
        <v>7263</v>
      </c>
      <c r="AM58" s="173" t="s">
        <v>5448</v>
      </c>
      <c r="AN58" s="173"/>
      <c r="AO58" s="173"/>
      <c r="AP58" s="173"/>
      <c r="AQ58" s="173"/>
      <c r="AR58" s="173"/>
      <c r="AS58" s="173"/>
      <c r="AT58" s="173"/>
      <c r="AU58" s="173" t="s">
        <v>7346</v>
      </c>
      <c r="AV58" s="173" t="s">
        <v>7433</v>
      </c>
      <c r="AW58" s="173"/>
      <c r="AX58" s="173" t="s">
        <v>7524</v>
      </c>
      <c r="AY58" s="173"/>
    </row>
    <row r="59" spans="1:51">
      <c r="A59" s="469"/>
      <c r="B59" s="469" t="s">
        <v>69</v>
      </c>
      <c r="C59" s="173"/>
      <c r="D59" s="173" t="s">
        <v>4740</v>
      </c>
      <c r="E59" s="173" t="s">
        <v>6672</v>
      </c>
      <c r="F59" s="173" t="s">
        <v>382</v>
      </c>
      <c r="G59" s="173"/>
      <c r="H59" s="173"/>
      <c r="I59" s="173"/>
      <c r="J59" s="173"/>
      <c r="K59" s="173" t="s">
        <v>21</v>
      </c>
      <c r="L59" s="173"/>
      <c r="M59" s="173" t="s">
        <v>246</v>
      </c>
      <c r="N59" s="173"/>
      <c r="O59" s="173" t="s">
        <v>5020</v>
      </c>
      <c r="P59" s="173" t="s">
        <v>70</v>
      </c>
      <c r="Q59" s="173"/>
      <c r="R59" s="173" t="s">
        <v>4708</v>
      </c>
      <c r="S59" s="173" t="s">
        <v>139</v>
      </c>
      <c r="T59" s="173"/>
      <c r="U59" s="173"/>
      <c r="V59" s="173" t="s">
        <v>62</v>
      </c>
      <c r="W59" s="173" t="s">
        <v>277</v>
      </c>
      <c r="X59" s="173"/>
      <c r="Y59" s="173"/>
      <c r="Z59" s="173" t="s">
        <v>6848</v>
      </c>
      <c r="AA59" s="173" t="s">
        <v>4757</v>
      </c>
      <c r="AB59" s="173"/>
      <c r="AC59" s="173"/>
      <c r="AD59" s="173"/>
      <c r="AE59" s="173"/>
      <c r="AF59" s="173" t="s">
        <v>374</v>
      </c>
      <c r="AG59" s="173"/>
      <c r="AH59" s="173"/>
      <c r="AI59" s="173"/>
      <c r="AJ59" s="173"/>
      <c r="AK59" s="173"/>
      <c r="AL59" s="173" t="s">
        <v>5042</v>
      </c>
      <c r="AM59" s="173" t="s">
        <v>5449</v>
      </c>
      <c r="AN59" s="173"/>
      <c r="AO59" s="173"/>
      <c r="AP59" s="173"/>
      <c r="AQ59" s="173"/>
      <c r="AR59" s="173"/>
      <c r="AS59" s="173"/>
      <c r="AT59" s="173"/>
      <c r="AU59" s="173" t="s">
        <v>7347</v>
      </c>
      <c r="AV59" s="173" t="s">
        <v>7434</v>
      </c>
      <c r="AW59" s="173"/>
      <c r="AX59" s="173" t="s">
        <v>7525</v>
      </c>
      <c r="AY59" s="173"/>
    </row>
    <row r="60" spans="1:51">
      <c r="A60" s="469"/>
      <c r="B60" s="469" t="s">
        <v>70</v>
      </c>
      <c r="C60" s="173"/>
      <c r="D60" s="173" t="s">
        <v>4742</v>
      </c>
      <c r="E60" s="173" t="s">
        <v>6673</v>
      </c>
      <c r="F60" s="173" t="s">
        <v>395</v>
      </c>
      <c r="G60" s="173"/>
      <c r="H60" s="173"/>
      <c r="I60" s="173"/>
      <c r="J60" s="173"/>
      <c r="K60" s="173" t="s">
        <v>4750</v>
      </c>
      <c r="L60" s="173"/>
      <c r="M60" s="173" t="s">
        <v>247</v>
      </c>
      <c r="N60" s="173"/>
      <c r="O60" s="173" t="s">
        <v>4856</v>
      </c>
      <c r="P60" s="173" t="s">
        <v>67</v>
      </c>
      <c r="Q60" s="173"/>
      <c r="R60" s="173" t="s">
        <v>4710</v>
      </c>
      <c r="S60" s="173" t="s">
        <v>140</v>
      </c>
      <c r="T60" s="173"/>
      <c r="U60" s="173"/>
      <c r="V60" s="173" t="s">
        <v>63</v>
      </c>
      <c r="W60" s="173" t="s">
        <v>278</v>
      </c>
      <c r="X60" s="173"/>
      <c r="Y60" s="173"/>
      <c r="Z60" s="173" t="s">
        <v>6849</v>
      </c>
      <c r="AA60" s="173" t="s">
        <v>4699</v>
      </c>
      <c r="AB60" s="173"/>
      <c r="AC60" s="173"/>
      <c r="AD60" s="173"/>
      <c r="AE60" s="173"/>
      <c r="AF60" s="173" t="s">
        <v>375</v>
      </c>
      <c r="AG60" s="173"/>
      <c r="AH60" s="173"/>
      <c r="AI60" s="173"/>
      <c r="AJ60" s="173"/>
      <c r="AK60" s="173"/>
      <c r="AL60" s="173" t="s">
        <v>383</v>
      </c>
      <c r="AM60" s="173" t="s">
        <v>5450</v>
      </c>
      <c r="AN60" s="173"/>
      <c r="AO60" s="173"/>
      <c r="AP60" s="173"/>
      <c r="AQ60" s="173"/>
      <c r="AR60" s="173"/>
      <c r="AS60" s="173"/>
      <c r="AT60" s="173"/>
      <c r="AU60" s="173" t="s">
        <v>7348</v>
      </c>
      <c r="AV60" s="173" t="s">
        <v>7435</v>
      </c>
      <c r="AW60" s="173"/>
      <c r="AX60" s="173" t="s">
        <v>7526</v>
      </c>
      <c r="AY60" s="173"/>
    </row>
    <row r="61" spans="1:51">
      <c r="A61" s="469"/>
      <c r="B61" s="469" t="s">
        <v>71</v>
      </c>
      <c r="C61" s="173"/>
      <c r="D61" s="173" t="s">
        <v>4744</v>
      </c>
      <c r="E61" s="173" t="s">
        <v>320</v>
      </c>
      <c r="F61" s="173" t="s">
        <v>396</v>
      </c>
      <c r="G61" s="173"/>
      <c r="H61" s="173"/>
      <c r="I61" s="173"/>
      <c r="J61" s="173"/>
      <c r="K61" s="173" t="s">
        <v>4752</v>
      </c>
      <c r="L61" s="173"/>
      <c r="M61" s="173" t="s">
        <v>248</v>
      </c>
      <c r="N61" s="173"/>
      <c r="O61" s="173" t="s">
        <v>45</v>
      </c>
      <c r="P61" s="173" t="s">
        <v>4951</v>
      </c>
      <c r="Q61" s="173"/>
      <c r="R61" s="173" t="s">
        <v>4713</v>
      </c>
      <c r="S61" s="173" t="s">
        <v>141</v>
      </c>
      <c r="T61" s="173"/>
      <c r="U61" s="173"/>
      <c r="V61" s="173" t="s">
        <v>64</v>
      </c>
      <c r="W61" s="173" t="s">
        <v>5021</v>
      </c>
      <c r="X61" s="173"/>
      <c r="Y61" s="173"/>
      <c r="Z61" s="173" t="s">
        <v>6850</v>
      </c>
      <c r="AA61" s="173" t="s">
        <v>4763</v>
      </c>
      <c r="AB61" s="173"/>
      <c r="AC61" s="173"/>
      <c r="AD61" s="173"/>
      <c r="AE61" s="173"/>
      <c r="AF61" s="173" t="s">
        <v>376</v>
      </c>
      <c r="AG61" s="173"/>
      <c r="AH61" s="173"/>
      <c r="AI61" s="173"/>
      <c r="AJ61" s="173"/>
      <c r="AK61" s="173"/>
      <c r="AL61" s="173" t="s">
        <v>4928</v>
      </c>
      <c r="AM61" s="173" t="s">
        <v>5451</v>
      </c>
      <c r="AN61" s="173"/>
      <c r="AO61" s="173"/>
      <c r="AP61" s="173"/>
      <c r="AQ61" s="173"/>
      <c r="AR61" s="173"/>
      <c r="AS61" s="173"/>
      <c r="AT61" s="173"/>
      <c r="AU61" s="173" t="s">
        <v>7349</v>
      </c>
      <c r="AV61" s="173" t="s">
        <v>7436</v>
      </c>
      <c r="AW61" s="173"/>
      <c r="AX61" s="173" t="s">
        <v>7527</v>
      </c>
      <c r="AY61" s="173"/>
    </row>
    <row r="62" spans="1:51">
      <c r="A62" s="469"/>
      <c r="B62" s="469" t="s">
        <v>72</v>
      </c>
      <c r="C62" s="173"/>
      <c r="D62" s="173" t="s">
        <v>4746</v>
      </c>
      <c r="E62" s="173" t="s">
        <v>321</v>
      </c>
      <c r="F62" s="173" t="s">
        <v>397</v>
      </c>
      <c r="G62" s="173"/>
      <c r="H62" s="173"/>
      <c r="I62" s="173"/>
      <c r="J62" s="173"/>
      <c r="K62" s="173" t="s">
        <v>365</v>
      </c>
      <c r="L62" s="173"/>
      <c r="M62" s="173" t="s">
        <v>249</v>
      </c>
      <c r="N62" s="173"/>
      <c r="O62" s="173" t="s">
        <v>46</v>
      </c>
      <c r="P62" s="173" t="s">
        <v>63</v>
      </c>
      <c r="Q62" s="173"/>
      <c r="R62" s="173" t="s">
        <v>4716</v>
      </c>
      <c r="S62" s="173" t="s">
        <v>142</v>
      </c>
      <c r="T62" s="173"/>
      <c r="U62" s="173"/>
      <c r="V62" s="173" t="s">
        <v>65</v>
      </c>
      <c r="W62" s="173" t="s">
        <v>5022</v>
      </c>
      <c r="X62" s="173"/>
      <c r="Y62" s="173"/>
      <c r="Z62" s="173" t="s">
        <v>6851</v>
      </c>
      <c r="AA62" s="173" t="s">
        <v>7049</v>
      </c>
      <c r="AB62" s="173"/>
      <c r="AC62" s="173"/>
      <c r="AD62" s="173"/>
      <c r="AE62" s="173"/>
      <c r="AF62" s="173" t="s">
        <v>377</v>
      </c>
      <c r="AG62" s="173"/>
      <c r="AH62" s="173"/>
      <c r="AI62" s="173"/>
      <c r="AJ62" s="173"/>
      <c r="AK62" s="173"/>
      <c r="AL62" s="173" t="s">
        <v>4929</v>
      </c>
      <c r="AM62" s="173" t="s">
        <v>5452</v>
      </c>
      <c r="AN62" s="173"/>
      <c r="AO62" s="173"/>
      <c r="AP62" s="173"/>
      <c r="AQ62" s="173"/>
      <c r="AR62" s="173"/>
      <c r="AS62" s="173"/>
      <c r="AT62" s="173"/>
      <c r="AU62" s="173" t="s">
        <v>7350</v>
      </c>
      <c r="AV62" s="173" t="s">
        <v>7437</v>
      </c>
      <c r="AW62" s="173"/>
      <c r="AX62" s="173" t="s">
        <v>7528</v>
      </c>
      <c r="AY62" s="173"/>
    </row>
    <row r="63" spans="1:51">
      <c r="A63" s="469"/>
      <c r="B63" s="469" t="s">
        <v>73</v>
      </c>
      <c r="C63" s="173"/>
      <c r="D63" s="173" t="s">
        <v>4748</v>
      </c>
      <c r="E63" s="173" t="s">
        <v>322</v>
      </c>
      <c r="F63" s="173" t="s">
        <v>398</v>
      </c>
      <c r="G63" s="173"/>
      <c r="H63" s="173"/>
      <c r="I63" s="173"/>
      <c r="J63" s="173"/>
      <c r="K63" s="173" t="s">
        <v>360</v>
      </c>
      <c r="L63" s="173"/>
      <c r="M63" s="173" t="s">
        <v>250</v>
      </c>
      <c r="N63" s="173"/>
      <c r="O63" s="173" t="s">
        <v>5023</v>
      </c>
      <c r="P63" s="173" t="s">
        <v>64</v>
      </c>
      <c r="Q63" s="173"/>
      <c r="R63" s="173" t="s">
        <v>4719</v>
      </c>
      <c r="S63" s="173" t="s">
        <v>143</v>
      </c>
      <c r="T63" s="173"/>
      <c r="U63" s="173"/>
      <c r="V63" s="173" t="s">
        <v>66</v>
      </c>
      <c r="W63" s="173" t="s">
        <v>5024</v>
      </c>
      <c r="X63" s="173"/>
      <c r="Y63" s="173"/>
      <c r="Z63" s="173" t="s">
        <v>6852</v>
      </c>
      <c r="AA63" s="173" t="s">
        <v>4761</v>
      </c>
      <c r="AB63" s="173"/>
      <c r="AC63" s="173"/>
      <c r="AD63" s="173"/>
      <c r="AE63" s="173"/>
      <c r="AF63" s="173" t="s">
        <v>7169</v>
      </c>
      <c r="AG63" s="173"/>
      <c r="AH63" s="173"/>
      <c r="AI63" s="173"/>
      <c r="AJ63" s="173"/>
      <c r="AK63" s="173"/>
      <c r="AL63" s="173" t="s">
        <v>382</v>
      </c>
      <c r="AM63" s="173" t="s">
        <v>5453</v>
      </c>
      <c r="AN63" s="173"/>
      <c r="AO63" s="173"/>
      <c r="AP63" s="173"/>
      <c r="AQ63" s="173"/>
      <c r="AR63" s="173"/>
      <c r="AS63" s="173"/>
      <c r="AT63" s="173"/>
      <c r="AU63" s="173" t="s">
        <v>7351</v>
      </c>
      <c r="AV63" s="173" t="s">
        <v>6735</v>
      </c>
      <c r="AW63" s="173"/>
      <c r="AX63" s="173" t="s">
        <v>7529</v>
      </c>
      <c r="AY63" s="173"/>
    </row>
    <row r="64" spans="1:51">
      <c r="A64" s="469"/>
      <c r="B64" s="469" t="s">
        <v>74</v>
      </c>
      <c r="C64" s="173"/>
      <c r="D64" s="173" t="s">
        <v>4749</v>
      </c>
      <c r="E64" s="173" t="s">
        <v>323</v>
      </c>
      <c r="F64" s="173" t="s">
        <v>378</v>
      </c>
      <c r="G64" s="173"/>
      <c r="H64" s="173"/>
      <c r="I64" s="173"/>
      <c r="J64" s="173"/>
      <c r="K64" s="173" t="s">
        <v>4756</v>
      </c>
      <c r="L64" s="173"/>
      <c r="M64" s="173" t="s">
        <v>251</v>
      </c>
      <c r="N64" s="173"/>
      <c r="O64" s="173" t="s">
        <v>60</v>
      </c>
      <c r="P64" s="173" t="s">
        <v>62</v>
      </c>
      <c r="Q64" s="173"/>
      <c r="R64" s="173" t="s">
        <v>4722</v>
      </c>
      <c r="S64" s="173" t="s">
        <v>144</v>
      </c>
      <c r="T64" s="173"/>
      <c r="U64" s="173"/>
      <c r="V64" s="173" t="s">
        <v>67</v>
      </c>
      <c r="W64" s="173" t="s">
        <v>5025</v>
      </c>
      <c r="X64" s="173"/>
      <c r="Y64" s="173"/>
      <c r="Z64" s="173" t="s">
        <v>6853</v>
      </c>
      <c r="AA64" s="173" t="s">
        <v>7050</v>
      </c>
      <c r="AB64" s="173"/>
      <c r="AC64" s="173"/>
      <c r="AD64" s="173"/>
      <c r="AE64" s="173"/>
      <c r="AF64" s="173" t="s">
        <v>369</v>
      </c>
      <c r="AG64" s="173"/>
      <c r="AH64" s="173"/>
      <c r="AI64" s="173"/>
      <c r="AJ64" s="173"/>
      <c r="AK64" s="173"/>
      <c r="AL64" s="173" t="s">
        <v>296</v>
      </c>
      <c r="AM64" s="173" t="s">
        <v>5454</v>
      </c>
      <c r="AN64" s="173"/>
      <c r="AO64" s="173"/>
      <c r="AP64" s="173"/>
      <c r="AQ64" s="173"/>
      <c r="AR64" s="173"/>
      <c r="AS64" s="173"/>
      <c r="AT64" s="173"/>
      <c r="AU64" s="173" t="s">
        <v>7352</v>
      </c>
      <c r="AV64" s="173" t="s">
        <v>7438</v>
      </c>
      <c r="AW64" s="173"/>
      <c r="AX64" s="173" t="s">
        <v>7530</v>
      </c>
      <c r="AY64" s="173"/>
    </row>
    <row r="65" spans="1:51">
      <c r="A65" s="469"/>
      <c r="B65" s="469" t="s">
        <v>75</v>
      </c>
      <c r="C65" s="173"/>
      <c r="D65" s="173" t="s">
        <v>4751</v>
      </c>
      <c r="E65" s="173" t="s">
        <v>324</v>
      </c>
      <c r="F65" s="173" t="s">
        <v>372</v>
      </c>
      <c r="G65" s="173"/>
      <c r="H65" s="173"/>
      <c r="I65" s="173"/>
      <c r="J65" s="173"/>
      <c r="K65" s="173" t="s">
        <v>4758</v>
      </c>
      <c r="L65" s="173"/>
      <c r="M65" s="173" t="s">
        <v>252</v>
      </c>
      <c r="N65" s="173"/>
      <c r="O65" s="173" t="s">
        <v>61</v>
      </c>
      <c r="P65" s="173" t="s">
        <v>60</v>
      </c>
      <c r="Q65" s="173"/>
      <c r="R65" s="173" t="s">
        <v>4725</v>
      </c>
      <c r="S65" s="173" t="s">
        <v>145</v>
      </c>
      <c r="T65" s="173"/>
      <c r="U65" s="173"/>
      <c r="V65" s="173" t="s">
        <v>68</v>
      </c>
      <c r="W65" s="173" t="s">
        <v>5026</v>
      </c>
      <c r="X65" s="173"/>
      <c r="Y65" s="173"/>
      <c r="Z65" s="173" t="s">
        <v>6854</v>
      </c>
      <c r="AA65" s="173" t="s">
        <v>7051</v>
      </c>
      <c r="AB65" s="173"/>
      <c r="AC65" s="173"/>
      <c r="AD65" s="173"/>
      <c r="AE65" s="173"/>
      <c r="AF65" s="173" t="s">
        <v>21</v>
      </c>
      <c r="AG65" s="173"/>
      <c r="AH65" s="173"/>
      <c r="AI65" s="173"/>
      <c r="AJ65" s="173"/>
      <c r="AK65" s="173"/>
      <c r="AL65" s="173" t="s">
        <v>295</v>
      </c>
      <c r="AM65" s="173" t="s">
        <v>5455</v>
      </c>
      <c r="AN65" s="173"/>
      <c r="AO65" s="173"/>
      <c r="AP65" s="173"/>
      <c r="AQ65" s="173"/>
      <c r="AR65" s="173"/>
      <c r="AS65" s="173"/>
      <c r="AT65" s="173"/>
      <c r="AU65" s="173" t="s">
        <v>7353</v>
      </c>
      <c r="AV65" s="173" t="s">
        <v>7439</v>
      </c>
      <c r="AW65" s="173"/>
      <c r="AX65" s="173" t="s">
        <v>7531</v>
      </c>
      <c r="AY65" s="173"/>
    </row>
    <row r="66" spans="1:51">
      <c r="A66" s="469"/>
      <c r="B66" s="469" t="s">
        <v>76</v>
      </c>
      <c r="C66" s="173"/>
      <c r="D66" s="173" t="s">
        <v>4753</v>
      </c>
      <c r="E66" s="173" t="s">
        <v>325</v>
      </c>
      <c r="F66" s="173" t="s">
        <v>373</v>
      </c>
      <c r="G66" s="173"/>
      <c r="H66" s="173"/>
      <c r="I66" s="173"/>
      <c r="J66" s="173"/>
      <c r="K66" s="173" t="s">
        <v>4760</v>
      </c>
      <c r="L66" s="173"/>
      <c r="M66" s="173" t="s">
        <v>253</v>
      </c>
      <c r="N66" s="173"/>
      <c r="O66" s="173" t="s">
        <v>62</v>
      </c>
      <c r="P66" s="173" t="s">
        <v>61</v>
      </c>
      <c r="Q66" s="173"/>
      <c r="R66" s="173" t="s">
        <v>6728</v>
      </c>
      <c r="S66" s="173" t="s">
        <v>146</v>
      </c>
      <c r="T66" s="173"/>
      <c r="U66" s="173"/>
      <c r="V66" s="173" t="s">
        <v>69</v>
      </c>
      <c r="W66" s="173" t="s">
        <v>372</v>
      </c>
      <c r="X66" s="173"/>
      <c r="Y66" s="173"/>
      <c r="Z66" s="173" t="s">
        <v>6855</v>
      </c>
      <c r="AA66" s="173" t="s">
        <v>7052</v>
      </c>
      <c r="AB66" s="173"/>
      <c r="AC66" s="173"/>
      <c r="AD66" s="173"/>
      <c r="AE66" s="173"/>
      <c r="AF66" s="173"/>
      <c r="AG66" s="173"/>
      <c r="AH66" s="173"/>
      <c r="AI66" s="173"/>
      <c r="AJ66" s="173"/>
      <c r="AK66" s="173"/>
      <c r="AL66" s="173" t="s">
        <v>5049</v>
      </c>
      <c r="AM66" s="173" t="s">
        <v>5456</v>
      </c>
      <c r="AN66" s="173"/>
      <c r="AO66" s="173"/>
      <c r="AP66" s="173"/>
      <c r="AQ66" s="173"/>
      <c r="AR66" s="173"/>
      <c r="AS66" s="173"/>
      <c r="AT66" s="173"/>
      <c r="AU66" s="173" t="s">
        <v>7354</v>
      </c>
      <c r="AV66" s="173" t="s">
        <v>7440</v>
      </c>
      <c r="AW66" s="173"/>
      <c r="AX66" s="173" t="s">
        <v>7532</v>
      </c>
      <c r="AY66" s="173"/>
    </row>
    <row r="67" spans="1:51">
      <c r="A67" s="469"/>
      <c r="B67" s="469" t="s">
        <v>77</v>
      </c>
      <c r="C67" s="173"/>
      <c r="D67" s="173" t="s">
        <v>4754</v>
      </c>
      <c r="E67" s="173" t="s">
        <v>326</v>
      </c>
      <c r="F67" s="173" t="s">
        <v>374</v>
      </c>
      <c r="G67" s="173"/>
      <c r="H67" s="173"/>
      <c r="I67" s="173"/>
      <c r="J67" s="173"/>
      <c r="K67" s="173" t="s">
        <v>4762</v>
      </c>
      <c r="L67" s="173"/>
      <c r="M67" s="173" t="s">
        <v>254</v>
      </c>
      <c r="N67" s="173"/>
      <c r="O67" s="173" t="s">
        <v>63</v>
      </c>
      <c r="P67" s="173" t="s">
        <v>380</v>
      </c>
      <c r="Q67" s="173"/>
      <c r="R67" s="173" t="s">
        <v>6729</v>
      </c>
      <c r="S67" s="173" t="s">
        <v>147</v>
      </c>
      <c r="T67" s="173"/>
      <c r="U67" s="173"/>
      <c r="V67" s="173" t="s">
        <v>70</v>
      </c>
      <c r="W67" s="173" t="s">
        <v>373</v>
      </c>
      <c r="X67" s="173"/>
      <c r="Y67" s="173"/>
      <c r="Z67" s="173" t="s">
        <v>6856</v>
      </c>
      <c r="AA67" s="173" t="s">
        <v>34</v>
      </c>
      <c r="AB67" s="173"/>
      <c r="AC67" s="173"/>
      <c r="AD67" s="173"/>
      <c r="AE67" s="173"/>
      <c r="AF67" s="173"/>
      <c r="AG67" s="173"/>
      <c r="AH67" s="173"/>
      <c r="AI67" s="173"/>
      <c r="AJ67" s="173"/>
      <c r="AK67" s="173"/>
      <c r="AL67" s="173" t="s">
        <v>7264</v>
      </c>
      <c r="AM67" s="173" t="s">
        <v>5457</v>
      </c>
      <c r="AN67" s="173"/>
      <c r="AO67" s="173"/>
      <c r="AP67" s="173"/>
      <c r="AQ67" s="173"/>
      <c r="AR67" s="173"/>
      <c r="AS67" s="173"/>
      <c r="AT67" s="173"/>
      <c r="AU67" s="173" t="s">
        <v>7355</v>
      </c>
      <c r="AV67" s="173" t="s">
        <v>58</v>
      </c>
      <c r="AW67" s="173"/>
      <c r="AX67" s="173" t="s">
        <v>7533</v>
      </c>
      <c r="AY67" s="173"/>
    </row>
    <row r="68" spans="1:51">
      <c r="A68" s="469"/>
      <c r="B68" s="469" t="s">
        <v>78</v>
      </c>
      <c r="C68" s="173"/>
      <c r="D68" s="173" t="s">
        <v>4755</v>
      </c>
      <c r="E68" s="173" t="s">
        <v>327</v>
      </c>
      <c r="F68" s="173" t="s">
        <v>375</v>
      </c>
      <c r="G68" s="173"/>
      <c r="H68" s="173"/>
      <c r="I68" s="173"/>
      <c r="J68" s="173"/>
      <c r="K68" s="173" t="s">
        <v>4764</v>
      </c>
      <c r="L68" s="173"/>
      <c r="M68" s="173" t="s">
        <v>255</v>
      </c>
      <c r="N68" s="173"/>
      <c r="O68" s="173" t="s">
        <v>64</v>
      </c>
      <c r="P68" s="173" t="s">
        <v>34</v>
      </c>
      <c r="Q68" s="173"/>
      <c r="R68" s="173" t="s">
        <v>6730</v>
      </c>
      <c r="S68" s="173" t="s">
        <v>148</v>
      </c>
      <c r="T68" s="173"/>
      <c r="U68" s="173"/>
      <c r="V68" s="173" t="s">
        <v>6762</v>
      </c>
      <c r="W68" s="173" t="s">
        <v>374</v>
      </c>
      <c r="X68" s="173"/>
      <c r="Y68" s="173"/>
      <c r="Z68" s="173" t="s">
        <v>6857</v>
      </c>
      <c r="AA68" s="173" t="s">
        <v>32</v>
      </c>
      <c r="AB68" s="173"/>
      <c r="AC68" s="173"/>
      <c r="AD68" s="173"/>
      <c r="AE68" s="173"/>
      <c r="AF68" s="173"/>
      <c r="AG68" s="173"/>
      <c r="AH68" s="173"/>
      <c r="AI68" s="173"/>
      <c r="AJ68" s="173"/>
      <c r="AK68" s="173"/>
      <c r="AL68" s="173" t="s">
        <v>7265</v>
      </c>
      <c r="AM68" s="173" t="s">
        <v>5458</v>
      </c>
      <c r="AN68" s="173"/>
      <c r="AO68" s="173"/>
      <c r="AP68" s="173"/>
      <c r="AQ68" s="173"/>
      <c r="AR68" s="173"/>
      <c r="AS68" s="173"/>
      <c r="AT68" s="173"/>
      <c r="AU68" s="173" t="s">
        <v>7356</v>
      </c>
      <c r="AV68" s="173" t="s">
        <v>381</v>
      </c>
      <c r="AW68" s="173"/>
      <c r="AX68" s="173" t="s">
        <v>7534</v>
      </c>
      <c r="AY68" s="173"/>
    </row>
    <row r="69" spans="1:51">
      <c r="A69" s="469"/>
      <c r="B69" s="469"/>
      <c r="C69" s="469"/>
      <c r="D69" s="469" t="s">
        <v>4757</v>
      </c>
      <c r="E69" s="173" t="s">
        <v>328</v>
      </c>
      <c r="F69" s="173" t="s">
        <v>376</v>
      </c>
      <c r="G69" s="173"/>
      <c r="H69" s="173"/>
      <c r="I69" s="173"/>
      <c r="J69" s="173"/>
      <c r="K69" s="173" t="s">
        <v>4765</v>
      </c>
      <c r="L69" s="173"/>
      <c r="M69" s="173" t="s">
        <v>256</v>
      </c>
      <c r="N69" s="173"/>
      <c r="O69" s="173" t="s">
        <v>65</v>
      </c>
      <c r="P69" s="173"/>
      <c r="Q69" s="173"/>
      <c r="R69" s="173" t="s">
        <v>6731</v>
      </c>
      <c r="S69" s="173" t="s">
        <v>149</v>
      </c>
      <c r="T69" s="173"/>
      <c r="U69" s="173"/>
      <c r="V69" s="173" t="s">
        <v>6763</v>
      </c>
      <c r="W69" s="173" t="s">
        <v>375</v>
      </c>
      <c r="X69" s="173"/>
      <c r="Y69" s="173"/>
      <c r="Z69" s="173" t="s">
        <v>6858</v>
      </c>
      <c r="AA69" s="173" t="s">
        <v>20</v>
      </c>
      <c r="AB69" s="173"/>
      <c r="AC69" s="173"/>
      <c r="AD69" s="173"/>
      <c r="AE69" s="173"/>
      <c r="AF69" s="173"/>
      <c r="AG69" s="173"/>
      <c r="AH69" s="173"/>
      <c r="AI69" s="173"/>
      <c r="AJ69" s="173"/>
      <c r="AK69" s="173"/>
      <c r="AL69" s="173" t="s">
        <v>5042</v>
      </c>
      <c r="AM69" s="173" t="s">
        <v>380</v>
      </c>
      <c r="AN69" s="173"/>
      <c r="AO69" s="173"/>
      <c r="AP69" s="173"/>
      <c r="AQ69" s="173"/>
      <c r="AR69" s="173"/>
      <c r="AS69" s="173"/>
      <c r="AT69" s="173"/>
      <c r="AU69" s="173" t="s">
        <v>7357</v>
      </c>
      <c r="AV69" s="173" t="s">
        <v>7441</v>
      </c>
      <c r="AW69" s="173"/>
      <c r="AX69" s="173" t="s">
        <v>7535</v>
      </c>
      <c r="AY69" s="173"/>
    </row>
    <row r="70" spans="1:51">
      <c r="A70" s="469"/>
      <c r="B70" s="469"/>
      <c r="C70" s="469"/>
      <c r="D70" s="469" t="s">
        <v>4759</v>
      </c>
      <c r="E70" s="173" t="s">
        <v>329</v>
      </c>
      <c r="F70" s="173" t="s">
        <v>377</v>
      </c>
      <c r="G70" s="173"/>
      <c r="H70" s="173"/>
      <c r="I70" s="173"/>
      <c r="J70" s="173"/>
      <c r="K70" s="173" t="s">
        <v>4766</v>
      </c>
      <c r="L70" s="173"/>
      <c r="M70" s="173" t="s">
        <v>257</v>
      </c>
      <c r="N70" s="173"/>
      <c r="O70" s="173" t="s">
        <v>66</v>
      </c>
      <c r="P70" s="173"/>
      <c r="Q70" s="173"/>
      <c r="R70" s="173"/>
      <c r="S70" s="173" t="s">
        <v>150</v>
      </c>
      <c r="T70" s="173"/>
      <c r="U70" s="173"/>
      <c r="V70" s="173" t="s">
        <v>6764</v>
      </c>
      <c r="W70" s="173" t="s">
        <v>376</v>
      </c>
      <c r="X70" s="173"/>
      <c r="Y70" s="173"/>
      <c r="Z70" s="173" t="s">
        <v>6859</v>
      </c>
      <c r="AA70" s="173" t="s">
        <v>4673</v>
      </c>
      <c r="AB70" s="173"/>
      <c r="AC70" s="173"/>
      <c r="AD70" s="173"/>
      <c r="AE70" s="173"/>
      <c r="AF70" s="173"/>
      <c r="AG70" s="173"/>
      <c r="AH70" s="173"/>
      <c r="AI70" s="173"/>
      <c r="AJ70" s="173"/>
      <c r="AK70" s="173"/>
      <c r="AL70" s="173" t="s">
        <v>7266</v>
      </c>
      <c r="AM70" s="173" t="s">
        <v>5459</v>
      </c>
      <c r="AN70" s="173"/>
      <c r="AO70" s="173"/>
      <c r="AP70" s="173"/>
      <c r="AQ70" s="173"/>
      <c r="AR70" s="173"/>
      <c r="AS70" s="173"/>
      <c r="AT70" s="173"/>
      <c r="AU70" s="173" t="s">
        <v>7358</v>
      </c>
      <c r="AV70" s="173" t="s">
        <v>59</v>
      </c>
      <c r="AW70" s="173"/>
      <c r="AX70" s="173" t="s">
        <v>7536</v>
      </c>
      <c r="AY70" s="173"/>
    </row>
    <row r="71" spans="1:51">
      <c r="A71" s="469"/>
      <c r="B71" s="469"/>
      <c r="C71" s="469"/>
      <c r="D71" s="469" t="s">
        <v>4761</v>
      </c>
      <c r="E71" s="173" t="s">
        <v>330</v>
      </c>
      <c r="F71" s="173" t="s">
        <v>399</v>
      </c>
      <c r="G71" s="173"/>
      <c r="H71" s="173"/>
      <c r="I71" s="173"/>
      <c r="J71" s="173"/>
      <c r="K71" s="173" t="s">
        <v>4767</v>
      </c>
      <c r="L71" s="173"/>
      <c r="M71" s="173" t="s">
        <v>258</v>
      </c>
      <c r="N71" s="173"/>
      <c r="O71" s="173" t="s">
        <v>68</v>
      </c>
      <c r="P71" s="173"/>
      <c r="Q71" s="173"/>
      <c r="R71" s="173"/>
      <c r="S71" s="173" t="s">
        <v>151</v>
      </c>
      <c r="T71" s="173"/>
      <c r="U71" s="173"/>
      <c r="V71" s="173" t="s">
        <v>4897</v>
      </c>
      <c r="W71" s="173" t="s">
        <v>377</v>
      </c>
      <c r="X71" s="173"/>
      <c r="Y71" s="173"/>
      <c r="Z71" s="173" t="s">
        <v>6860</v>
      </c>
      <c r="AA71" s="173" t="s">
        <v>4669</v>
      </c>
      <c r="AB71" s="173"/>
      <c r="AC71" s="173"/>
      <c r="AD71" s="173"/>
      <c r="AE71" s="173"/>
      <c r="AF71" s="173"/>
      <c r="AG71" s="173"/>
      <c r="AH71" s="173"/>
      <c r="AI71" s="173"/>
      <c r="AJ71" s="173"/>
      <c r="AK71" s="173"/>
      <c r="AL71" s="173" t="s">
        <v>7267</v>
      </c>
      <c r="AM71" s="173" t="s">
        <v>5460</v>
      </c>
      <c r="AN71" s="173"/>
      <c r="AO71" s="173"/>
      <c r="AP71" s="173"/>
      <c r="AQ71" s="173"/>
      <c r="AR71" s="173"/>
      <c r="AS71" s="173"/>
      <c r="AT71" s="173"/>
      <c r="AU71" s="173" t="s">
        <v>7359</v>
      </c>
      <c r="AV71" s="173" t="s">
        <v>7442</v>
      </c>
      <c r="AW71" s="173"/>
      <c r="AX71" s="173" t="s">
        <v>7537</v>
      </c>
      <c r="AY71" s="173"/>
    </row>
    <row r="72" spans="1:51">
      <c r="A72" s="469"/>
      <c r="B72" s="469"/>
      <c r="C72" s="469"/>
      <c r="D72" s="469" t="s">
        <v>4763</v>
      </c>
      <c r="E72" s="173" t="s">
        <v>331</v>
      </c>
      <c r="F72" s="173" t="s">
        <v>400</v>
      </c>
      <c r="G72" s="173"/>
      <c r="H72" s="173"/>
      <c r="I72" s="173"/>
      <c r="J72" s="173"/>
      <c r="K72" s="173" t="s">
        <v>4769</v>
      </c>
      <c r="L72" s="173"/>
      <c r="M72" s="173" t="s">
        <v>259</v>
      </c>
      <c r="N72" s="173"/>
      <c r="O72" s="173" t="s">
        <v>69</v>
      </c>
      <c r="P72" s="173"/>
      <c r="Q72" s="173"/>
      <c r="R72" s="173"/>
      <c r="S72" s="173" t="s">
        <v>152</v>
      </c>
      <c r="T72" s="173"/>
      <c r="U72" s="173"/>
      <c r="V72" s="173" t="s">
        <v>6765</v>
      </c>
      <c r="W72" s="173" t="s">
        <v>5027</v>
      </c>
      <c r="X72" s="173"/>
      <c r="Y72" s="173"/>
      <c r="Z72" s="173" t="s">
        <v>6861</v>
      </c>
      <c r="AA72" s="173" t="s">
        <v>4670</v>
      </c>
      <c r="AB72" s="173"/>
      <c r="AC72" s="173"/>
      <c r="AD72" s="173"/>
      <c r="AE72" s="173"/>
      <c r="AF72" s="173"/>
      <c r="AG72" s="173"/>
      <c r="AH72" s="173"/>
      <c r="AI72" s="173"/>
      <c r="AJ72" s="173"/>
      <c r="AK72" s="173"/>
      <c r="AL72" s="173" t="s">
        <v>7268</v>
      </c>
      <c r="AM72" s="173" t="s">
        <v>5461</v>
      </c>
      <c r="AN72" s="173"/>
      <c r="AO72" s="173"/>
      <c r="AP72" s="173"/>
      <c r="AQ72" s="173"/>
      <c r="AR72" s="173"/>
      <c r="AS72" s="173"/>
      <c r="AT72" s="173"/>
      <c r="AU72" s="173" t="s">
        <v>7360</v>
      </c>
      <c r="AV72" s="173" t="s">
        <v>7443</v>
      </c>
      <c r="AW72" s="173"/>
      <c r="AX72" s="173" t="s">
        <v>7538</v>
      </c>
      <c r="AY72" s="173"/>
    </row>
    <row r="73" spans="1:51">
      <c r="A73" s="469"/>
      <c r="B73" s="469"/>
      <c r="C73" s="469"/>
      <c r="D73" s="469" t="s">
        <v>58</v>
      </c>
      <c r="E73" s="173" t="s">
        <v>332</v>
      </c>
      <c r="F73" s="173" t="s">
        <v>401</v>
      </c>
      <c r="G73" s="173"/>
      <c r="H73" s="173"/>
      <c r="I73" s="173"/>
      <c r="J73" s="173"/>
      <c r="K73" s="173" t="s">
        <v>4771</v>
      </c>
      <c r="L73" s="173"/>
      <c r="M73" s="173" t="s">
        <v>260</v>
      </c>
      <c r="N73" s="173"/>
      <c r="O73" s="173" t="s">
        <v>70</v>
      </c>
      <c r="P73" s="173"/>
      <c r="Q73" s="173"/>
      <c r="R73" s="173"/>
      <c r="S73" s="173" t="s">
        <v>153</v>
      </c>
      <c r="T73" s="173"/>
      <c r="U73" s="173"/>
      <c r="V73" s="173" t="s">
        <v>6766</v>
      </c>
      <c r="W73" s="173" t="s">
        <v>5028</v>
      </c>
      <c r="X73" s="173"/>
      <c r="Y73" s="173"/>
      <c r="Z73" s="173" t="s">
        <v>6862</v>
      </c>
      <c r="AA73" s="173" t="s">
        <v>7053</v>
      </c>
      <c r="AB73" s="173"/>
      <c r="AC73" s="173"/>
      <c r="AD73" s="173"/>
      <c r="AE73" s="173"/>
      <c r="AF73" s="173"/>
      <c r="AG73" s="173"/>
      <c r="AH73" s="173"/>
      <c r="AI73" s="173"/>
      <c r="AJ73" s="173"/>
      <c r="AK73" s="173"/>
      <c r="AL73" s="173" t="s">
        <v>7269</v>
      </c>
      <c r="AM73" s="173" t="s">
        <v>5462</v>
      </c>
      <c r="AN73" s="173"/>
      <c r="AO73" s="173"/>
      <c r="AP73" s="173"/>
      <c r="AQ73" s="173"/>
      <c r="AR73" s="173"/>
      <c r="AS73" s="173"/>
      <c r="AT73" s="173"/>
      <c r="AU73" s="173" t="s">
        <v>7361</v>
      </c>
      <c r="AV73" s="173" t="s">
        <v>7444</v>
      </c>
      <c r="AW73" s="173"/>
      <c r="AX73" s="173" t="s">
        <v>7539</v>
      </c>
      <c r="AY73" s="173"/>
    </row>
    <row r="74" spans="1:51">
      <c r="A74" s="469"/>
      <c r="B74" s="469"/>
      <c r="C74" s="469"/>
      <c r="D74" s="469" t="s">
        <v>59</v>
      </c>
      <c r="E74" s="173" t="s">
        <v>333</v>
      </c>
      <c r="F74" s="173" t="s">
        <v>402</v>
      </c>
      <c r="G74" s="173"/>
      <c r="H74" s="173"/>
      <c r="I74" s="173"/>
      <c r="J74" s="173"/>
      <c r="K74" s="173" t="s">
        <v>4772</v>
      </c>
      <c r="L74" s="173"/>
      <c r="M74" s="173" t="s">
        <v>261</v>
      </c>
      <c r="N74" s="173"/>
      <c r="O74" s="173" t="s">
        <v>59</v>
      </c>
      <c r="P74" s="173"/>
      <c r="Q74" s="173"/>
      <c r="R74" s="173"/>
      <c r="S74" s="173" t="s">
        <v>154</v>
      </c>
      <c r="T74" s="173"/>
      <c r="U74" s="173"/>
      <c r="V74" s="173" t="s">
        <v>6767</v>
      </c>
      <c r="W74" s="173" t="s">
        <v>5029</v>
      </c>
      <c r="X74" s="173"/>
      <c r="Y74" s="173"/>
      <c r="Z74" s="173" t="s">
        <v>6863</v>
      </c>
      <c r="AA74" s="173" t="s">
        <v>7054</v>
      </c>
      <c r="AB74" s="173"/>
      <c r="AC74" s="173"/>
      <c r="AD74" s="173"/>
      <c r="AE74" s="173"/>
      <c r="AF74" s="173"/>
      <c r="AG74" s="173"/>
      <c r="AH74" s="173"/>
      <c r="AI74" s="173"/>
      <c r="AJ74" s="173"/>
      <c r="AK74" s="173"/>
      <c r="AL74" s="173" t="s">
        <v>7270</v>
      </c>
      <c r="AM74" s="173" t="s">
        <v>5463</v>
      </c>
      <c r="AN74" s="173"/>
      <c r="AO74" s="173"/>
      <c r="AP74" s="173"/>
      <c r="AQ74" s="173"/>
      <c r="AR74" s="173"/>
      <c r="AS74" s="173"/>
      <c r="AT74" s="173"/>
      <c r="AU74" s="173" t="s">
        <v>7362</v>
      </c>
      <c r="AV74" s="173" t="s">
        <v>7445</v>
      </c>
      <c r="AW74" s="173"/>
      <c r="AX74" s="173" t="s">
        <v>7540</v>
      </c>
      <c r="AY74" s="173"/>
    </row>
    <row r="75" spans="1:51">
      <c r="A75" s="469"/>
      <c r="B75" s="469"/>
      <c r="C75" s="469"/>
      <c r="D75" s="469" t="s">
        <v>4670</v>
      </c>
      <c r="E75" s="173" t="s">
        <v>334</v>
      </c>
      <c r="F75" s="173" t="s">
        <v>403</v>
      </c>
      <c r="G75" s="173"/>
      <c r="H75" s="173"/>
      <c r="I75" s="173"/>
      <c r="J75" s="173"/>
      <c r="K75" s="173" t="s">
        <v>4773</v>
      </c>
      <c r="L75" s="173"/>
      <c r="M75" s="173" t="s">
        <v>262</v>
      </c>
      <c r="N75" s="173"/>
      <c r="O75" s="173" t="s">
        <v>294</v>
      </c>
      <c r="P75" s="173"/>
      <c r="Q75" s="173"/>
      <c r="R75" s="173"/>
      <c r="S75" s="173" t="s">
        <v>155</v>
      </c>
      <c r="T75" s="173"/>
      <c r="U75" s="173"/>
      <c r="V75" s="173" t="s">
        <v>6768</v>
      </c>
      <c r="W75" s="173" t="s">
        <v>5030</v>
      </c>
      <c r="X75" s="173"/>
      <c r="Y75" s="173"/>
      <c r="Z75" s="173" t="s">
        <v>6864</v>
      </c>
      <c r="AA75" s="173" t="s">
        <v>7055</v>
      </c>
      <c r="AB75" s="173"/>
      <c r="AC75" s="173"/>
      <c r="AD75" s="173"/>
      <c r="AE75" s="173"/>
      <c r="AF75" s="173"/>
      <c r="AG75" s="173"/>
      <c r="AH75" s="173"/>
      <c r="AI75" s="173"/>
      <c r="AJ75" s="173"/>
      <c r="AK75" s="173"/>
      <c r="AL75" s="173" t="s">
        <v>7271</v>
      </c>
      <c r="AM75" s="173" t="s">
        <v>5464</v>
      </c>
      <c r="AN75" s="173"/>
      <c r="AO75" s="173"/>
      <c r="AP75" s="173"/>
      <c r="AQ75" s="173"/>
      <c r="AR75" s="173"/>
      <c r="AS75" s="173"/>
      <c r="AT75" s="173"/>
      <c r="AU75" s="173" t="s">
        <v>7363</v>
      </c>
      <c r="AV75" s="173" t="s">
        <v>7446</v>
      </c>
      <c r="AW75" s="173"/>
      <c r="AX75" s="173" t="s">
        <v>7541</v>
      </c>
      <c r="AY75" s="173"/>
    </row>
    <row r="76" spans="1:51">
      <c r="A76" s="469"/>
      <c r="B76" s="469"/>
      <c r="C76" s="469"/>
      <c r="D76" s="469" t="s">
        <v>4768</v>
      </c>
      <c r="E76" s="173" t="s">
        <v>335</v>
      </c>
      <c r="F76" s="173" t="s">
        <v>404</v>
      </c>
      <c r="G76" s="173"/>
      <c r="H76" s="173"/>
      <c r="I76" s="173"/>
      <c r="J76" s="173"/>
      <c r="K76" s="173" t="s">
        <v>4775</v>
      </c>
      <c r="L76" s="173"/>
      <c r="M76" s="173" t="s">
        <v>263</v>
      </c>
      <c r="N76" s="173"/>
      <c r="O76" s="173" t="s">
        <v>295</v>
      </c>
      <c r="P76" s="173"/>
      <c r="Q76" s="173"/>
      <c r="R76" s="173"/>
      <c r="S76" s="173" t="s">
        <v>156</v>
      </c>
      <c r="T76" s="173"/>
      <c r="U76" s="173"/>
      <c r="V76" s="173" t="s">
        <v>6769</v>
      </c>
      <c r="W76" s="173" t="s">
        <v>379</v>
      </c>
      <c r="X76" s="173"/>
      <c r="Y76" s="173"/>
      <c r="Z76" s="173" t="s">
        <v>6865</v>
      </c>
      <c r="AA76" s="173" t="s">
        <v>7056</v>
      </c>
      <c r="AB76" s="173"/>
      <c r="AC76" s="173"/>
      <c r="AD76" s="173"/>
      <c r="AE76" s="173"/>
      <c r="AF76" s="173"/>
      <c r="AG76" s="173"/>
      <c r="AH76" s="173"/>
      <c r="AI76" s="173"/>
      <c r="AJ76" s="173"/>
      <c r="AK76" s="173"/>
      <c r="AL76" s="173" t="s">
        <v>7272</v>
      </c>
      <c r="AM76" s="173" t="s">
        <v>5465</v>
      </c>
      <c r="AN76" s="173"/>
      <c r="AO76" s="173"/>
      <c r="AP76" s="173"/>
      <c r="AQ76" s="173"/>
      <c r="AR76" s="173"/>
      <c r="AS76" s="173"/>
      <c r="AT76" s="173"/>
      <c r="AU76" s="173" t="s">
        <v>7364</v>
      </c>
      <c r="AV76" s="173" t="s">
        <v>7447</v>
      </c>
      <c r="AW76" s="173"/>
      <c r="AX76" s="173" t="s">
        <v>7542</v>
      </c>
      <c r="AY76" s="173"/>
    </row>
    <row r="77" spans="1:51">
      <c r="A77" s="469"/>
      <c r="B77" s="469"/>
      <c r="C77" s="469"/>
      <c r="D77" s="469" t="s">
        <v>4770</v>
      </c>
      <c r="E77" s="173" t="s">
        <v>336</v>
      </c>
      <c r="F77" s="173" t="s">
        <v>59</v>
      </c>
      <c r="G77" s="173"/>
      <c r="H77" s="173"/>
      <c r="I77" s="173"/>
      <c r="J77" s="173"/>
      <c r="K77" s="173" t="s">
        <v>4776</v>
      </c>
      <c r="L77" s="173"/>
      <c r="M77" s="173" t="s">
        <v>264</v>
      </c>
      <c r="N77" s="173"/>
      <c r="O77" s="173" t="s">
        <v>296</v>
      </c>
      <c r="P77" s="173"/>
      <c r="Q77" s="173"/>
      <c r="R77" s="173"/>
      <c r="S77" s="173" t="s">
        <v>157</v>
      </c>
      <c r="T77" s="173"/>
      <c r="U77" s="173"/>
      <c r="V77" s="173" t="s">
        <v>6770</v>
      </c>
      <c r="W77" s="173" t="s">
        <v>296</v>
      </c>
      <c r="X77" s="173"/>
      <c r="Y77" s="173"/>
      <c r="Z77" s="173" t="s">
        <v>6866</v>
      </c>
      <c r="AA77" s="173" t="s">
        <v>4601</v>
      </c>
      <c r="AB77" s="173"/>
      <c r="AC77" s="173"/>
      <c r="AD77" s="173"/>
      <c r="AE77" s="173"/>
      <c r="AF77" s="173"/>
      <c r="AG77" s="173"/>
      <c r="AH77" s="173"/>
      <c r="AI77" s="173"/>
      <c r="AJ77" s="173"/>
      <c r="AK77" s="173"/>
      <c r="AL77" s="173" t="s">
        <v>7273</v>
      </c>
      <c r="AM77" s="173" t="s">
        <v>5466</v>
      </c>
      <c r="AN77" s="173"/>
      <c r="AO77" s="173"/>
      <c r="AP77" s="173"/>
      <c r="AQ77" s="173"/>
      <c r="AR77" s="173"/>
      <c r="AS77" s="173"/>
      <c r="AT77" s="173"/>
      <c r="AU77" s="173" t="s">
        <v>381</v>
      </c>
      <c r="AV77" s="173" t="s">
        <v>7448</v>
      </c>
      <c r="AW77" s="173"/>
      <c r="AX77" s="173" t="s">
        <v>7543</v>
      </c>
      <c r="AY77" s="173"/>
    </row>
    <row r="78" spans="1:51">
      <c r="A78" s="469"/>
      <c r="B78" s="469"/>
      <c r="C78" s="469"/>
      <c r="D78" s="469" t="s">
        <v>69</v>
      </c>
      <c r="E78" s="173" t="s">
        <v>337</v>
      </c>
      <c r="F78" s="173" t="s">
        <v>380</v>
      </c>
      <c r="G78" s="173"/>
      <c r="H78" s="173"/>
      <c r="I78" s="173"/>
      <c r="J78" s="173"/>
      <c r="K78" s="173" t="s">
        <v>4777</v>
      </c>
      <c r="L78" s="173"/>
      <c r="M78" s="173" t="s">
        <v>265</v>
      </c>
      <c r="N78" s="173"/>
      <c r="O78" s="173" t="s">
        <v>5031</v>
      </c>
      <c r="P78" s="173"/>
      <c r="Q78" s="173"/>
      <c r="R78" s="173"/>
      <c r="S78" s="173" t="s">
        <v>158</v>
      </c>
      <c r="T78" s="173"/>
      <c r="U78" s="173"/>
      <c r="V78" s="173" t="s">
        <v>6771</v>
      </c>
      <c r="W78" s="173" t="s">
        <v>295</v>
      </c>
      <c r="X78" s="173"/>
      <c r="Y78" s="173"/>
      <c r="Z78" s="173" t="s">
        <v>6867</v>
      </c>
      <c r="AA78" s="173" t="s">
        <v>7057</v>
      </c>
      <c r="AB78" s="173"/>
      <c r="AC78" s="173"/>
      <c r="AD78" s="173"/>
      <c r="AE78" s="173"/>
      <c r="AF78" s="173"/>
      <c r="AG78" s="173"/>
      <c r="AH78" s="173"/>
      <c r="AI78" s="173"/>
      <c r="AJ78" s="173"/>
      <c r="AK78" s="173"/>
      <c r="AL78" s="173" t="s">
        <v>7274</v>
      </c>
      <c r="AM78" s="173"/>
      <c r="AN78" s="173"/>
      <c r="AO78" s="173"/>
      <c r="AP78" s="173"/>
      <c r="AQ78" s="173"/>
      <c r="AR78" s="173"/>
      <c r="AS78" s="173"/>
      <c r="AT78" s="173"/>
      <c r="AU78" s="173" t="s">
        <v>7365</v>
      </c>
      <c r="AV78" s="173" t="s">
        <v>7449</v>
      </c>
      <c r="AW78" s="173"/>
      <c r="AX78" s="173" t="s">
        <v>7544</v>
      </c>
      <c r="AY78" s="173"/>
    </row>
    <row r="79" spans="1:51">
      <c r="A79" s="469"/>
      <c r="B79" s="469"/>
      <c r="C79" s="469"/>
      <c r="D79" s="469" t="s">
        <v>6636</v>
      </c>
      <c r="E79" s="173" t="s">
        <v>251</v>
      </c>
      <c r="F79" s="173" t="s">
        <v>405</v>
      </c>
      <c r="G79" s="173"/>
      <c r="H79" s="173"/>
      <c r="I79" s="173"/>
      <c r="J79" s="173"/>
      <c r="K79" s="173" t="s">
        <v>4778</v>
      </c>
      <c r="L79" s="173"/>
      <c r="M79" s="173" t="s">
        <v>266</v>
      </c>
      <c r="N79" s="173"/>
      <c r="O79" s="173" t="s">
        <v>5032</v>
      </c>
      <c r="P79" s="173"/>
      <c r="Q79" s="173"/>
      <c r="R79" s="173"/>
      <c r="S79" s="173" t="s">
        <v>159</v>
      </c>
      <c r="T79" s="173"/>
      <c r="U79" s="173"/>
      <c r="V79" s="173" t="s">
        <v>4852</v>
      </c>
      <c r="W79" s="173" t="s">
        <v>380</v>
      </c>
      <c r="X79" s="173"/>
      <c r="Y79" s="173"/>
      <c r="Z79" s="173" t="s">
        <v>6868</v>
      </c>
      <c r="AA79" s="173" t="s">
        <v>7058</v>
      </c>
      <c r="AB79" s="173"/>
      <c r="AC79" s="173"/>
      <c r="AD79" s="173"/>
      <c r="AE79" s="173"/>
      <c r="AF79" s="173"/>
      <c r="AG79" s="173"/>
      <c r="AH79" s="173"/>
      <c r="AI79" s="173"/>
      <c r="AJ79" s="173"/>
      <c r="AK79" s="173"/>
      <c r="AL79" s="173" t="s">
        <v>7275</v>
      </c>
      <c r="AM79" s="173"/>
      <c r="AN79" s="173"/>
      <c r="AO79" s="173"/>
      <c r="AP79" s="173"/>
      <c r="AQ79" s="173"/>
      <c r="AR79" s="173"/>
      <c r="AS79" s="173"/>
      <c r="AT79" s="173"/>
      <c r="AU79" s="173" t="s">
        <v>14</v>
      </c>
      <c r="AV79" s="173" t="s">
        <v>7450</v>
      </c>
      <c r="AW79" s="173"/>
      <c r="AX79" s="173" t="s">
        <v>7545</v>
      </c>
      <c r="AY79" s="173"/>
    </row>
    <row r="80" spans="1:51">
      <c r="A80" s="469"/>
      <c r="B80" s="469"/>
      <c r="C80" s="469"/>
      <c r="D80" s="469" t="s">
        <v>4774</v>
      </c>
      <c r="E80" s="173" t="s">
        <v>252</v>
      </c>
      <c r="F80" s="173" t="s">
        <v>406</v>
      </c>
      <c r="G80" s="173"/>
      <c r="H80" s="173"/>
      <c r="I80" s="173"/>
      <c r="J80" s="173"/>
      <c r="K80" s="173" t="s">
        <v>4779</v>
      </c>
      <c r="L80" s="173"/>
      <c r="M80" s="173" t="s">
        <v>267</v>
      </c>
      <c r="N80" s="173"/>
      <c r="O80" s="173" t="s">
        <v>5033</v>
      </c>
      <c r="P80" s="173"/>
      <c r="Q80" s="173"/>
      <c r="R80" s="173"/>
      <c r="S80" s="173" t="s">
        <v>160</v>
      </c>
      <c r="T80" s="173"/>
      <c r="U80" s="173"/>
      <c r="V80" s="173" t="s">
        <v>6772</v>
      </c>
      <c r="W80" s="173" t="s">
        <v>5034</v>
      </c>
      <c r="X80" s="173"/>
      <c r="Y80" s="173"/>
      <c r="Z80" s="173" t="s">
        <v>6869</v>
      </c>
      <c r="AA80" s="173" t="s">
        <v>7059</v>
      </c>
      <c r="AB80" s="173"/>
      <c r="AC80" s="173"/>
      <c r="AD80" s="173"/>
      <c r="AE80" s="173"/>
      <c r="AF80" s="173"/>
      <c r="AG80" s="173"/>
      <c r="AH80" s="173"/>
      <c r="AI80" s="173"/>
      <c r="AJ80" s="173"/>
      <c r="AK80" s="173"/>
      <c r="AL80" s="173" t="s">
        <v>7276</v>
      </c>
      <c r="AM80" s="173"/>
      <c r="AN80" s="173"/>
      <c r="AO80" s="173"/>
      <c r="AP80" s="173"/>
      <c r="AQ80" s="173"/>
      <c r="AR80" s="173"/>
      <c r="AS80" s="173"/>
      <c r="AT80" s="173"/>
      <c r="AU80" s="173" t="s">
        <v>18</v>
      </c>
      <c r="AV80" s="173" t="s">
        <v>7451</v>
      </c>
      <c r="AW80" s="173"/>
      <c r="AX80" s="173" t="s">
        <v>7546</v>
      </c>
      <c r="AY80" s="173"/>
    </row>
    <row r="81" spans="1:51">
      <c r="A81" s="469"/>
      <c r="B81" s="469"/>
      <c r="C81" s="469"/>
      <c r="D81" s="469" t="s">
        <v>252</v>
      </c>
      <c r="E81" s="173" t="s">
        <v>253</v>
      </c>
      <c r="F81" s="173" t="s">
        <v>407</v>
      </c>
      <c r="G81" s="173"/>
      <c r="H81" s="173"/>
      <c r="I81" s="173"/>
      <c r="J81" s="173"/>
      <c r="K81" s="173" t="s">
        <v>4780</v>
      </c>
      <c r="L81" s="173"/>
      <c r="M81" s="173" t="s">
        <v>268</v>
      </c>
      <c r="N81" s="173"/>
      <c r="O81" s="173" t="s">
        <v>5035</v>
      </c>
      <c r="P81" s="173"/>
      <c r="Q81" s="173"/>
      <c r="R81" s="173"/>
      <c r="S81" s="173" t="s">
        <v>161</v>
      </c>
      <c r="T81" s="173"/>
      <c r="U81" s="173"/>
      <c r="V81" s="173" t="s">
        <v>6773</v>
      </c>
      <c r="W81" s="173" t="s">
        <v>353</v>
      </c>
      <c r="X81" s="173"/>
      <c r="Y81" s="173"/>
      <c r="Z81" s="173" t="s">
        <v>6870</v>
      </c>
      <c r="AA81" s="173" t="s">
        <v>7060</v>
      </c>
      <c r="AB81" s="173"/>
      <c r="AC81" s="173"/>
      <c r="AD81" s="173"/>
      <c r="AE81" s="173"/>
      <c r="AF81" s="173"/>
      <c r="AG81" s="173"/>
      <c r="AH81" s="173"/>
      <c r="AI81" s="173"/>
      <c r="AJ81" s="173"/>
      <c r="AK81" s="173"/>
      <c r="AL81" s="173"/>
      <c r="AM81" s="173"/>
      <c r="AN81" s="173"/>
      <c r="AO81" s="173"/>
      <c r="AP81" s="173"/>
      <c r="AQ81" s="173"/>
      <c r="AR81" s="173"/>
      <c r="AS81" s="173"/>
      <c r="AT81" s="173"/>
      <c r="AU81" s="173" t="s">
        <v>66</v>
      </c>
      <c r="AV81" s="173" t="s">
        <v>7452</v>
      </c>
      <c r="AW81" s="173"/>
      <c r="AX81" s="173" t="s">
        <v>7547</v>
      </c>
      <c r="AY81" s="173"/>
    </row>
    <row r="82" spans="1:51">
      <c r="A82" s="469"/>
      <c r="B82" s="469"/>
      <c r="C82" s="469"/>
      <c r="D82" s="469" t="s">
        <v>50</v>
      </c>
      <c r="E82" s="173" t="s">
        <v>338</v>
      </c>
      <c r="F82" s="173" t="s">
        <v>408</v>
      </c>
      <c r="G82" s="173"/>
      <c r="H82" s="173"/>
      <c r="I82" s="173"/>
      <c r="J82" s="173"/>
      <c r="K82" s="173" t="s">
        <v>4781</v>
      </c>
      <c r="L82" s="173"/>
      <c r="M82" s="173" t="s">
        <v>269</v>
      </c>
      <c r="N82" s="173"/>
      <c r="O82" s="173" t="s">
        <v>5036</v>
      </c>
      <c r="P82" s="173"/>
      <c r="Q82" s="173"/>
      <c r="R82" s="173"/>
      <c r="S82" s="173" t="s">
        <v>162</v>
      </c>
      <c r="T82" s="173"/>
      <c r="U82" s="173"/>
      <c r="V82" s="173" t="s">
        <v>6774</v>
      </c>
      <c r="W82" s="173" t="s">
        <v>5037</v>
      </c>
      <c r="X82" s="173"/>
      <c r="Y82" s="173"/>
      <c r="Z82" s="173" t="s">
        <v>6871</v>
      </c>
      <c r="AA82" s="173" t="s">
        <v>7061</v>
      </c>
      <c r="AB82" s="173"/>
      <c r="AC82" s="173"/>
      <c r="AD82" s="173"/>
      <c r="AE82" s="173"/>
      <c r="AF82" s="173"/>
      <c r="AG82" s="173"/>
      <c r="AH82" s="173"/>
      <c r="AI82" s="173"/>
      <c r="AJ82" s="173"/>
      <c r="AK82" s="173"/>
      <c r="AL82" s="173"/>
      <c r="AM82" s="173"/>
      <c r="AN82" s="173"/>
      <c r="AO82" s="173"/>
      <c r="AP82" s="173"/>
      <c r="AQ82" s="173"/>
      <c r="AR82" s="173"/>
      <c r="AS82" s="173"/>
      <c r="AT82" s="173"/>
      <c r="AU82" s="173" t="s">
        <v>69</v>
      </c>
      <c r="AV82" s="173" t="s">
        <v>7453</v>
      </c>
      <c r="AW82" s="173"/>
      <c r="AX82" s="173" t="s">
        <v>7548</v>
      </c>
      <c r="AY82" s="173"/>
    </row>
    <row r="83" spans="1:51">
      <c r="A83" s="469"/>
      <c r="B83" s="469"/>
      <c r="C83" s="469"/>
      <c r="D83" s="469" t="s">
        <v>6637</v>
      </c>
      <c r="E83" s="173" t="s">
        <v>339</v>
      </c>
      <c r="F83" s="173" t="s">
        <v>409</v>
      </c>
      <c r="G83" s="173"/>
      <c r="H83" s="173"/>
      <c r="I83" s="173"/>
      <c r="J83" s="173"/>
      <c r="K83" s="173" t="s">
        <v>4782</v>
      </c>
      <c r="L83" s="173"/>
      <c r="M83" s="173" t="s">
        <v>270</v>
      </c>
      <c r="N83" s="173"/>
      <c r="O83" s="173" t="s">
        <v>251</v>
      </c>
      <c r="P83" s="173"/>
      <c r="Q83" s="173"/>
      <c r="R83" s="173"/>
      <c r="S83" s="173" t="s">
        <v>163</v>
      </c>
      <c r="T83" s="173"/>
      <c r="U83" s="173"/>
      <c r="V83" s="173" t="s">
        <v>6775</v>
      </c>
      <c r="W83" s="173" t="s">
        <v>5038</v>
      </c>
      <c r="X83" s="173"/>
      <c r="Y83" s="173"/>
      <c r="Z83" s="173" t="s">
        <v>6872</v>
      </c>
      <c r="AA83" s="173" t="s">
        <v>7062</v>
      </c>
      <c r="AB83" s="173"/>
      <c r="AC83" s="173"/>
      <c r="AD83" s="173"/>
      <c r="AE83" s="173"/>
      <c r="AF83" s="173"/>
      <c r="AG83" s="173"/>
      <c r="AH83" s="173"/>
      <c r="AI83" s="173"/>
      <c r="AJ83" s="173"/>
      <c r="AK83" s="173"/>
      <c r="AL83" s="173"/>
      <c r="AM83" s="173"/>
      <c r="AN83" s="173"/>
      <c r="AO83" s="173"/>
      <c r="AP83" s="173"/>
      <c r="AQ83" s="173"/>
      <c r="AR83" s="173"/>
      <c r="AS83" s="173"/>
      <c r="AT83" s="173"/>
      <c r="AU83" s="173" t="s">
        <v>278</v>
      </c>
      <c r="AV83" s="173" t="s">
        <v>7454</v>
      </c>
      <c r="AW83" s="173"/>
      <c r="AX83" s="173" t="s">
        <v>7549</v>
      </c>
      <c r="AY83" s="173"/>
    </row>
    <row r="84" spans="1:51">
      <c r="A84" s="469"/>
      <c r="B84" s="469"/>
      <c r="C84" s="469"/>
      <c r="D84" s="469"/>
      <c r="E84" s="469" t="s">
        <v>340</v>
      </c>
      <c r="F84" s="173"/>
      <c r="G84" s="173"/>
      <c r="H84" s="173"/>
      <c r="I84" s="173"/>
      <c r="J84" s="173"/>
      <c r="K84" s="173" t="s">
        <v>4783</v>
      </c>
      <c r="L84" s="173"/>
      <c r="M84" s="173" t="s">
        <v>271</v>
      </c>
      <c r="N84" s="173"/>
      <c r="O84" s="173" t="s">
        <v>252</v>
      </c>
      <c r="P84" s="173"/>
      <c r="Q84" s="173"/>
      <c r="R84" s="173"/>
      <c r="S84" s="173" t="s">
        <v>164</v>
      </c>
      <c r="T84" s="173"/>
      <c r="U84" s="173"/>
      <c r="V84" s="173" t="s">
        <v>6776</v>
      </c>
      <c r="W84" s="173" t="s">
        <v>5039</v>
      </c>
      <c r="X84" s="173"/>
      <c r="Y84" s="173"/>
      <c r="Z84" s="173" t="s">
        <v>6873</v>
      </c>
      <c r="AA84" s="173" t="s">
        <v>7063</v>
      </c>
      <c r="AB84" s="173"/>
      <c r="AC84" s="173"/>
      <c r="AD84" s="173"/>
      <c r="AE84" s="173"/>
      <c r="AF84" s="173"/>
      <c r="AG84" s="173"/>
      <c r="AH84" s="173"/>
      <c r="AI84" s="173"/>
      <c r="AJ84" s="173"/>
      <c r="AK84" s="173"/>
      <c r="AL84" s="173"/>
      <c r="AM84" s="173"/>
      <c r="AN84" s="173"/>
      <c r="AO84" s="173"/>
      <c r="AP84" s="173"/>
      <c r="AQ84" s="173"/>
      <c r="AR84" s="173"/>
      <c r="AS84" s="173"/>
      <c r="AT84" s="173"/>
      <c r="AU84" s="173" t="s">
        <v>65</v>
      </c>
      <c r="AV84" s="173" t="s">
        <v>7455</v>
      </c>
      <c r="AW84" s="173"/>
      <c r="AX84" s="173" t="s">
        <v>7550</v>
      </c>
      <c r="AY84" s="173"/>
    </row>
    <row r="85" spans="1:51">
      <c r="A85" s="469"/>
      <c r="B85" s="469"/>
      <c r="C85" s="469"/>
      <c r="D85" s="469"/>
      <c r="E85" s="469" t="s">
        <v>341</v>
      </c>
      <c r="F85" s="173"/>
      <c r="G85" s="173"/>
      <c r="H85" s="173"/>
      <c r="I85" s="173"/>
      <c r="J85" s="173"/>
      <c r="K85" s="173" t="s">
        <v>4784</v>
      </c>
      <c r="L85" s="173"/>
      <c r="M85" s="173"/>
      <c r="N85" s="173"/>
      <c r="O85" s="173" t="s">
        <v>253</v>
      </c>
      <c r="P85" s="173"/>
      <c r="Q85" s="173"/>
      <c r="R85" s="173"/>
      <c r="S85" s="173" t="s">
        <v>165</v>
      </c>
      <c r="T85" s="173"/>
      <c r="U85" s="173"/>
      <c r="V85" s="173" t="s">
        <v>6777</v>
      </c>
      <c r="W85" s="173" t="s">
        <v>5040</v>
      </c>
      <c r="X85" s="173"/>
      <c r="Y85" s="173"/>
      <c r="Z85" s="173" t="s">
        <v>6874</v>
      </c>
      <c r="AA85" s="173" t="s">
        <v>7064</v>
      </c>
      <c r="AB85" s="173"/>
      <c r="AC85" s="173"/>
      <c r="AD85" s="173"/>
      <c r="AE85" s="173"/>
      <c r="AF85" s="173"/>
      <c r="AG85" s="173"/>
      <c r="AH85" s="173"/>
      <c r="AI85" s="173"/>
      <c r="AJ85" s="173"/>
      <c r="AK85" s="173"/>
      <c r="AL85" s="173"/>
      <c r="AM85" s="173"/>
      <c r="AN85" s="173"/>
      <c r="AO85" s="173"/>
      <c r="AP85" s="173"/>
      <c r="AQ85" s="173"/>
      <c r="AR85" s="173"/>
      <c r="AS85" s="173"/>
      <c r="AT85" s="173"/>
      <c r="AU85" s="173" t="s">
        <v>68</v>
      </c>
      <c r="AV85" s="173" t="s">
        <v>7456</v>
      </c>
      <c r="AW85" s="173"/>
      <c r="AX85" s="173" t="s">
        <v>7551</v>
      </c>
      <c r="AY85" s="173"/>
    </row>
    <row r="86" spans="1:51">
      <c r="A86" s="469"/>
      <c r="B86" s="469"/>
      <c r="C86" s="469"/>
      <c r="D86" s="469"/>
      <c r="E86" s="469" t="s">
        <v>342</v>
      </c>
      <c r="F86" s="173"/>
      <c r="G86" s="173"/>
      <c r="H86" s="173"/>
      <c r="I86" s="173"/>
      <c r="J86" s="173"/>
      <c r="K86" s="173" t="s">
        <v>4785</v>
      </c>
      <c r="L86" s="173"/>
      <c r="M86" s="173"/>
      <c r="N86" s="173"/>
      <c r="O86" s="173" t="s">
        <v>5041</v>
      </c>
      <c r="P86" s="173"/>
      <c r="Q86" s="173"/>
      <c r="R86" s="173"/>
      <c r="S86" s="173" t="s">
        <v>166</v>
      </c>
      <c r="T86" s="173"/>
      <c r="U86" s="173"/>
      <c r="V86" s="173" t="s">
        <v>6778</v>
      </c>
      <c r="W86" s="173" t="s">
        <v>382</v>
      </c>
      <c r="X86" s="173"/>
      <c r="Y86" s="173"/>
      <c r="Z86" s="173" t="s">
        <v>6875</v>
      </c>
      <c r="AA86" s="173" t="s">
        <v>7065</v>
      </c>
      <c r="AB86" s="173"/>
      <c r="AC86" s="173"/>
      <c r="AD86" s="173"/>
      <c r="AE86" s="173"/>
      <c r="AF86" s="173"/>
      <c r="AG86" s="173"/>
      <c r="AH86" s="173"/>
      <c r="AI86" s="173"/>
      <c r="AJ86" s="173"/>
      <c r="AK86" s="173"/>
      <c r="AL86" s="173"/>
      <c r="AM86" s="173"/>
      <c r="AN86" s="173"/>
      <c r="AO86" s="173"/>
      <c r="AP86" s="173"/>
      <c r="AQ86" s="173"/>
      <c r="AR86" s="173"/>
      <c r="AS86" s="173"/>
      <c r="AT86" s="173"/>
      <c r="AU86" s="173" t="s">
        <v>70</v>
      </c>
      <c r="AV86" s="173" t="s">
        <v>296</v>
      </c>
      <c r="AW86" s="173"/>
      <c r="AX86" s="173" t="s">
        <v>7552</v>
      </c>
      <c r="AY86" s="173"/>
    </row>
    <row r="87" spans="1:51">
      <c r="A87" s="469"/>
      <c r="B87" s="469"/>
      <c r="C87" s="469"/>
      <c r="D87" s="469"/>
      <c r="E87" s="469" t="s">
        <v>343</v>
      </c>
      <c r="F87" s="173"/>
      <c r="G87" s="173"/>
      <c r="H87" s="173"/>
      <c r="I87" s="173"/>
      <c r="J87" s="173"/>
      <c r="K87" s="173" t="s">
        <v>4786</v>
      </c>
      <c r="L87" s="173"/>
      <c r="M87" s="173"/>
      <c r="N87" s="173"/>
      <c r="O87" s="173" t="s">
        <v>4896</v>
      </c>
      <c r="P87" s="173"/>
      <c r="Q87" s="173"/>
      <c r="R87" s="173"/>
      <c r="S87" s="173" t="s">
        <v>167</v>
      </c>
      <c r="T87" s="173"/>
      <c r="U87" s="173"/>
      <c r="V87" s="173" t="s">
        <v>6779</v>
      </c>
      <c r="W87" s="173" t="s">
        <v>5042</v>
      </c>
      <c r="X87" s="173"/>
      <c r="Y87" s="173"/>
      <c r="Z87" s="173" t="s">
        <v>6876</v>
      </c>
      <c r="AA87" s="173" t="s">
        <v>7066</v>
      </c>
      <c r="AB87" s="173"/>
      <c r="AC87" s="173"/>
      <c r="AD87" s="173"/>
      <c r="AE87" s="173"/>
      <c r="AF87" s="173"/>
      <c r="AG87" s="173"/>
      <c r="AH87" s="173"/>
      <c r="AI87" s="173"/>
      <c r="AJ87" s="173"/>
      <c r="AK87" s="173"/>
      <c r="AL87" s="173"/>
      <c r="AM87" s="173"/>
      <c r="AN87" s="173"/>
      <c r="AO87" s="173"/>
      <c r="AP87" s="173"/>
      <c r="AQ87" s="173"/>
      <c r="AR87" s="173"/>
      <c r="AS87" s="173"/>
      <c r="AT87" s="173"/>
      <c r="AU87" s="173" t="s">
        <v>67</v>
      </c>
      <c r="AV87" s="173" t="s">
        <v>295</v>
      </c>
      <c r="AW87" s="173"/>
      <c r="AX87" s="173" t="s">
        <v>7553</v>
      </c>
      <c r="AY87" s="173"/>
    </row>
    <row r="88" spans="1:51">
      <c r="A88" s="469"/>
      <c r="B88" s="469"/>
      <c r="C88" s="469"/>
      <c r="D88" s="469"/>
      <c r="E88" s="469" t="s">
        <v>344</v>
      </c>
      <c r="F88" s="173"/>
      <c r="G88" s="173"/>
      <c r="H88" s="173"/>
      <c r="I88" s="173"/>
      <c r="J88" s="173"/>
      <c r="K88" s="173" t="s">
        <v>4787</v>
      </c>
      <c r="L88" s="173"/>
      <c r="M88" s="173"/>
      <c r="N88" s="173"/>
      <c r="O88" s="173" t="s">
        <v>5043</v>
      </c>
      <c r="P88" s="173"/>
      <c r="Q88" s="173"/>
      <c r="R88" s="173"/>
      <c r="S88" s="173" t="s">
        <v>168</v>
      </c>
      <c r="T88" s="173"/>
      <c r="U88" s="173"/>
      <c r="V88" s="173" t="s">
        <v>6780</v>
      </c>
      <c r="W88" s="173" t="s">
        <v>383</v>
      </c>
      <c r="X88" s="173"/>
      <c r="Y88" s="173"/>
      <c r="Z88" s="173" t="s">
        <v>6877</v>
      </c>
      <c r="AA88" s="173" t="s">
        <v>368</v>
      </c>
      <c r="AB88" s="173"/>
      <c r="AC88" s="173"/>
      <c r="AD88" s="173"/>
      <c r="AE88" s="173"/>
      <c r="AF88" s="173"/>
      <c r="AG88" s="173"/>
      <c r="AH88" s="173"/>
      <c r="AI88" s="173"/>
      <c r="AJ88" s="173"/>
      <c r="AK88" s="173"/>
      <c r="AL88" s="173"/>
      <c r="AM88" s="173"/>
      <c r="AN88" s="173"/>
      <c r="AO88" s="173"/>
      <c r="AP88" s="173"/>
      <c r="AQ88" s="173"/>
      <c r="AR88" s="173"/>
      <c r="AS88" s="173"/>
      <c r="AT88" s="173"/>
      <c r="AU88" s="173" t="s">
        <v>12</v>
      </c>
      <c r="AV88" s="173"/>
      <c r="AW88" s="173"/>
      <c r="AX88" s="173" t="s">
        <v>7554</v>
      </c>
      <c r="AY88" s="173"/>
    </row>
    <row r="89" spans="1:51">
      <c r="A89" s="469"/>
      <c r="B89" s="469"/>
      <c r="C89" s="469"/>
      <c r="D89" s="469"/>
      <c r="E89" s="469" t="s">
        <v>345</v>
      </c>
      <c r="F89" s="173"/>
      <c r="G89" s="173"/>
      <c r="H89" s="173"/>
      <c r="I89" s="173"/>
      <c r="J89" s="173"/>
      <c r="K89" s="173" t="s">
        <v>4788</v>
      </c>
      <c r="L89" s="173"/>
      <c r="M89" s="173"/>
      <c r="N89" s="173"/>
      <c r="O89" s="173" t="s">
        <v>5044</v>
      </c>
      <c r="P89" s="173"/>
      <c r="Q89" s="173"/>
      <c r="R89" s="173"/>
      <c r="S89" s="173" t="s">
        <v>169</v>
      </c>
      <c r="T89" s="173"/>
      <c r="U89" s="173"/>
      <c r="V89" s="173" t="s">
        <v>6781</v>
      </c>
      <c r="W89" s="173" t="s">
        <v>5045</v>
      </c>
      <c r="X89" s="173"/>
      <c r="Y89" s="173"/>
      <c r="Z89" s="173" t="s">
        <v>6878</v>
      </c>
      <c r="AA89" s="173" t="s">
        <v>7067</v>
      </c>
      <c r="AB89" s="173"/>
      <c r="AC89" s="173"/>
      <c r="AD89" s="173"/>
      <c r="AE89" s="173"/>
      <c r="AF89" s="173"/>
      <c r="AG89" s="173"/>
      <c r="AH89" s="173"/>
      <c r="AI89" s="173"/>
      <c r="AJ89" s="173"/>
      <c r="AK89" s="173"/>
      <c r="AL89" s="173"/>
      <c r="AM89" s="173"/>
      <c r="AN89" s="173"/>
      <c r="AO89" s="173"/>
      <c r="AP89" s="173"/>
      <c r="AQ89" s="173"/>
      <c r="AR89" s="173"/>
      <c r="AS89" s="173"/>
      <c r="AT89" s="173"/>
      <c r="AU89" s="173" t="s">
        <v>7366</v>
      </c>
      <c r="AV89" s="173"/>
      <c r="AW89" s="173"/>
      <c r="AX89" s="173" t="s">
        <v>7555</v>
      </c>
      <c r="AY89" s="173"/>
    </row>
    <row r="90" spans="1:51">
      <c r="A90" s="469"/>
      <c r="B90" s="469"/>
      <c r="C90" s="469"/>
      <c r="D90" s="469"/>
      <c r="E90" s="469" t="s">
        <v>346</v>
      </c>
      <c r="F90" s="173"/>
      <c r="G90" s="173"/>
      <c r="H90" s="173"/>
      <c r="I90" s="173"/>
      <c r="J90" s="173"/>
      <c r="K90" s="173" t="s">
        <v>4789</v>
      </c>
      <c r="L90" s="173"/>
      <c r="M90" s="173"/>
      <c r="N90" s="173"/>
      <c r="O90" s="173" t="s">
        <v>5046</v>
      </c>
      <c r="P90" s="173"/>
      <c r="Q90" s="173"/>
      <c r="R90" s="173"/>
      <c r="S90" s="173" t="s">
        <v>170</v>
      </c>
      <c r="T90" s="173"/>
      <c r="U90" s="173"/>
      <c r="V90" s="173" t="s">
        <v>6782</v>
      </c>
      <c r="W90" s="173" t="s">
        <v>5047</v>
      </c>
      <c r="X90" s="173"/>
      <c r="Y90" s="173"/>
      <c r="Z90" s="173" t="s">
        <v>6879</v>
      </c>
      <c r="AA90" s="173" t="s">
        <v>7068</v>
      </c>
      <c r="AB90" s="173"/>
      <c r="AC90" s="173"/>
      <c r="AD90" s="173"/>
      <c r="AE90" s="173"/>
      <c r="AF90" s="173"/>
      <c r="AG90" s="173"/>
      <c r="AH90" s="173"/>
      <c r="AI90" s="173"/>
      <c r="AJ90" s="173"/>
      <c r="AK90" s="173"/>
      <c r="AL90" s="173"/>
      <c r="AM90" s="173"/>
      <c r="AN90" s="173"/>
      <c r="AO90" s="173"/>
      <c r="AP90" s="173"/>
      <c r="AQ90" s="173"/>
      <c r="AR90" s="173"/>
      <c r="AS90" s="173"/>
      <c r="AT90" s="173"/>
      <c r="AU90" s="173" t="s">
        <v>7367</v>
      </c>
      <c r="AV90" s="173"/>
      <c r="AW90" s="173"/>
      <c r="AX90" s="173" t="s">
        <v>7556</v>
      </c>
      <c r="AY90" s="173"/>
    </row>
    <row r="91" spans="1:51">
      <c r="A91" s="469"/>
      <c r="B91" s="469"/>
      <c r="C91" s="469"/>
      <c r="D91" s="469"/>
      <c r="E91" s="469" t="s">
        <v>347</v>
      </c>
      <c r="F91" s="173"/>
      <c r="G91" s="173"/>
      <c r="H91" s="173"/>
      <c r="I91" s="173"/>
      <c r="J91" s="173"/>
      <c r="K91" s="173" t="s">
        <v>4790</v>
      </c>
      <c r="L91" s="173"/>
      <c r="M91" s="173"/>
      <c r="N91" s="173"/>
      <c r="O91" s="173" t="s">
        <v>5048</v>
      </c>
      <c r="P91" s="173"/>
      <c r="Q91" s="173"/>
      <c r="R91" s="173"/>
      <c r="S91" s="173" t="s">
        <v>171</v>
      </c>
      <c r="T91" s="173"/>
      <c r="U91" s="173"/>
      <c r="V91" s="173"/>
      <c r="W91" s="173" t="s">
        <v>5049</v>
      </c>
      <c r="X91" s="173"/>
      <c r="Y91" s="173"/>
      <c r="Z91" s="173" t="s">
        <v>6880</v>
      </c>
      <c r="AA91" s="173" t="s">
        <v>4754</v>
      </c>
      <c r="AB91" s="173"/>
      <c r="AC91" s="173"/>
      <c r="AD91" s="173"/>
      <c r="AE91" s="173"/>
      <c r="AF91" s="173"/>
      <c r="AG91" s="173"/>
      <c r="AH91" s="173"/>
      <c r="AI91" s="173"/>
      <c r="AJ91" s="173"/>
      <c r="AK91" s="173"/>
      <c r="AL91" s="173"/>
      <c r="AM91" s="173"/>
      <c r="AN91" s="173"/>
      <c r="AO91" s="173"/>
      <c r="AP91" s="173"/>
      <c r="AQ91" s="173"/>
      <c r="AR91" s="173"/>
      <c r="AS91" s="173"/>
      <c r="AT91" s="173"/>
      <c r="AU91" s="173" t="s">
        <v>7368</v>
      </c>
      <c r="AV91" s="173"/>
      <c r="AW91" s="173"/>
      <c r="AX91" s="173" t="s">
        <v>7557</v>
      </c>
      <c r="AY91" s="173"/>
    </row>
    <row r="92" spans="1:51">
      <c r="A92" s="469"/>
      <c r="B92" s="469"/>
      <c r="C92" s="469"/>
      <c r="D92" s="469"/>
      <c r="E92" s="469" t="s">
        <v>348</v>
      </c>
      <c r="F92" s="173"/>
      <c r="G92" s="173"/>
      <c r="H92" s="173"/>
      <c r="I92" s="173"/>
      <c r="J92" s="173"/>
      <c r="K92" s="173" t="s">
        <v>4791</v>
      </c>
      <c r="L92" s="173"/>
      <c r="M92" s="173"/>
      <c r="N92" s="173"/>
      <c r="O92" s="173" t="s">
        <v>5050</v>
      </c>
      <c r="P92" s="173"/>
      <c r="Q92" s="173"/>
      <c r="R92" s="173"/>
      <c r="S92" s="173" t="s">
        <v>172</v>
      </c>
      <c r="T92" s="173"/>
      <c r="U92" s="173"/>
      <c r="V92" s="173"/>
      <c r="W92" s="173" t="s">
        <v>381</v>
      </c>
      <c r="X92" s="173"/>
      <c r="Y92" s="173"/>
      <c r="Z92" s="173" t="s">
        <v>6881</v>
      </c>
      <c r="AA92" s="173" t="s">
        <v>7069</v>
      </c>
      <c r="AB92" s="173"/>
      <c r="AC92" s="173"/>
      <c r="AD92" s="173"/>
      <c r="AE92" s="173"/>
      <c r="AF92" s="173"/>
      <c r="AG92" s="173"/>
      <c r="AH92" s="173"/>
      <c r="AI92" s="173"/>
      <c r="AJ92" s="173"/>
      <c r="AK92" s="173"/>
      <c r="AL92" s="173"/>
      <c r="AM92" s="173"/>
      <c r="AN92" s="173"/>
      <c r="AO92" s="173"/>
      <c r="AP92" s="173"/>
      <c r="AQ92" s="173"/>
      <c r="AR92" s="173"/>
      <c r="AS92" s="173"/>
      <c r="AT92" s="173"/>
      <c r="AU92" s="173" t="s">
        <v>7369</v>
      </c>
      <c r="AV92" s="173"/>
      <c r="AW92" s="173"/>
      <c r="AX92" s="173" t="s">
        <v>7558</v>
      </c>
      <c r="AY92" s="173"/>
    </row>
    <row r="93" spans="1:51">
      <c r="A93" s="469"/>
      <c r="B93" s="469"/>
      <c r="C93" s="469"/>
      <c r="D93" s="469"/>
      <c r="E93" s="469" t="s">
        <v>349</v>
      </c>
      <c r="F93" s="173"/>
      <c r="G93" s="173"/>
      <c r="H93" s="173"/>
      <c r="I93" s="173"/>
      <c r="J93" s="173"/>
      <c r="K93" s="173" t="s">
        <v>4792</v>
      </c>
      <c r="L93" s="173"/>
      <c r="M93" s="173"/>
      <c r="N93" s="173"/>
      <c r="O93" s="173" t="s">
        <v>5051</v>
      </c>
      <c r="P93" s="173"/>
      <c r="Q93" s="173"/>
      <c r="R93" s="173"/>
      <c r="S93" s="173" t="s">
        <v>173</v>
      </c>
      <c r="T93" s="173"/>
      <c r="U93" s="173"/>
      <c r="V93" s="173"/>
      <c r="W93" s="173" t="s">
        <v>5052</v>
      </c>
      <c r="X93" s="173"/>
      <c r="Y93" s="173"/>
      <c r="Z93" s="173" t="s">
        <v>6882</v>
      </c>
      <c r="AA93" s="173" t="s">
        <v>7070</v>
      </c>
      <c r="AB93" s="173"/>
      <c r="AC93" s="173"/>
      <c r="AD93" s="173"/>
      <c r="AE93" s="173"/>
      <c r="AF93" s="173"/>
      <c r="AG93" s="173"/>
      <c r="AH93" s="173"/>
      <c r="AI93" s="173"/>
      <c r="AJ93" s="173"/>
      <c r="AK93" s="173"/>
      <c r="AL93" s="173"/>
      <c r="AM93" s="173"/>
      <c r="AN93" s="173"/>
      <c r="AO93" s="173"/>
      <c r="AP93" s="173"/>
      <c r="AQ93" s="173"/>
      <c r="AR93" s="173"/>
      <c r="AS93" s="173"/>
      <c r="AT93" s="173"/>
      <c r="AU93" s="173" t="s">
        <v>7370</v>
      </c>
      <c r="AV93" s="173"/>
      <c r="AW93" s="173"/>
      <c r="AX93" s="173" t="s">
        <v>7559</v>
      </c>
      <c r="AY93" s="173"/>
    </row>
    <row r="94" spans="1:51">
      <c r="A94" s="469"/>
      <c r="B94" s="469"/>
      <c r="C94" s="469"/>
      <c r="D94" s="469"/>
      <c r="E94" s="469" t="s">
        <v>350</v>
      </c>
      <c r="F94" s="173"/>
      <c r="G94" s="173"/>
      <c r="H94" s="173"/>
      <c r="I94" s="173"/>
      <c r="J94" s="173"/>
      <c r="K94" s="173" t="s">
        <v>4793</v>
      </c>
      <c r="L94" s="173"/>
      <c r="M94" s="173"/>
      <c r="N94" s="173"/>
      <c r="O94" s="173" t="s">
        <v>5053</v>
      </c>
      <c r="P94" s="173"/>
      <c r="Q94" s="173"/>
      <c r="R94" s="173"/>
      <c r="S94" s="173" t="s">
        <v>174</v>
      </c>
      <c r="T94" s="173"/>
      <c r="U94" s="173"/>
      <c r="V94" s="173"/>
      <c r="W94" s="173" t="s">
        <v>4929</v>
      </c>
      <c r="X94" s="173"/>
      <c r="Y94" s="173"/>
      <c r="Z94" s="173" t="s">
        <v>6883</v>
      </c>
      <c r="AA94" s="173" t="s">
        <v>7071</v>
      </c>
      <c r="AB94" s="173"/>
      <c r="AC94" s="173"/>
      <c r="AD94" s="173"/>
      <c r="AE94" s="173"/>
      <c r="AF94" s="173"/>
      <c r="AG94" s="173"/>
      <c r="AH94" s="173"/>
      <c r="AI94" s="173"/>
      <c r="AJ94" s="173"/>
      <c r="AK94" s="173"/>
      <c r="AL94" s="173"/>
      <c r="AM94" s="173"/>
      <c r="AN94" s="173"/>
      <c r="AO94" s="173"/>
      <c r="AP94" s="173"/>
      <c r="AQ94" s="173"/>
      <c r="AR94" s="173"/>
      <c r="AS94" s="173"/>
      <c r="AT94" s="173"/>
      <c r="AU94" s="173" t="s">
        <v>7371</v>
      </c>
      <c r="AV94" s="173"/>
      <c r="AW94" s="173"/>
      <c r="AX94" s="173" t="s">
        <v>7560</v>
      </c>
      <c r="AY94" s="173"/>
    </row>
    <row r="95" spans="1:51">
      <c r="A95" s="469"/>
      <c r="B95" s="469"/>
      <c r="C95" s="469"/>
      <c r="D95" s="469"/>
      <c r="E95" s="469" t="s">
        <v>351</v>
      </c>
      <c r="F95" s="173"/>
      <c r="G95" s="173"/>
      <c r="H95" s="173"/>
      <c r="I95" s="173"/>
      <c r="J95" s="173"/>
      <c r="K95" s="173" t="s">
        <v>4794</v>
      </c>
      <c r="L95" s="173"/>
      <c r="M95" s="173"/>
      <c r="N95" s="173"/>
      <c r="O95" s="173" t="s">
        <v>4763</v>
      </c>
      <c r="P95" s="173"/>
      <c r="Q95" s="173"/>
      <c r="R95" s="173"/>
      <c r="S95" s="173" t="s">
        <v>175</v>
      </c>
      <c r="T95" s="173"/>
      <c r="U95" s="173"/>
      <c r="V95" s="173"/>
      <c r="W95" s="173" t="s">
        <v>5054</v>
      </c>
      <c r="X95" s="173"/>
      <c r="Y95" s="173"/>
      <c r="Z95" s="173" t="s">
        <v>6884</v>
      </c>
      <c r="AA95" s="173" t="s">
        <v>7072</v>
      </c>
      <c r="AB95" s="173"/>
      <c r="AC95" s="173"/>
      <c r="AD95" s="173"/>
      <c r="AE95" s="173"/>
      <c r="AF95" s="173"/>
      <c r="AG95" s="173"/>
      <c r="AH95" s="173"/>
      <c r="AI95" s="173"/>
      <c r="AJ95" s="173"/>
      <c r="AK95" s="173"/>
      <c r="AL95" s="173"/>
      <c r="AM95" s="173"/>
      <c r="AN95" s="173"/>
      <c r="AO95" s="173"/>
      <c r="AP95" s="173"/>
      <c r="AQ95" s="173"/>
      <c r="AR95" s="173"/>
      <c r="AS95" s="173"/>
      <c r="AT95" s="173"/>
      <c r="AU95" s="173" t="s">
        <v>7372</v>
      </c>
      <c r="AV95" s="173"/>
      <c r="AW95" s="173"/>
      <c r="AX95" s="173" t="s">
        <v>7561</v>
      </c>
      <c r="AY95" s="173"/>
    </row>
    <row r="96" spans="1:51">
      <c r="A96" s="469"/>
      <c r="B96" s="469"/>
      <c r="C96" s="469"/>
      <c r="D96" s="469"/>
      <c r="E96" s="469" t="s">
        <v>352</v>
      </c>
      <c r="F96" s="173"/>
      <c r="G96" s="173"/>
      <c r="H96" s="173"/>
      <c r="I96" s="173"/>
      <c r="J96" s="173"/>
      <c r="K96" s="173" t="s">
        <v>4795</v>
      </c>
      <c r="L96" s="173"/>
      <c r="M96" s="173"/>
      <c r="N96" s="173"/>
      <c r="O96" s="173"/>
      <c r="P96" s="173"/>
      <c r="Q96" s="173"/>
      <c r="R96" s="173"/>
      <c r="S96" s="173" t="s">
        <v>176</v>
      </c>
      <c r="T96" s="173"/>
      <c r="U96" s="173"/>
      <c r="V96" s="173"/>
      <c r="W96" s="173" t="s">
        <v>5055</v>
      </c>
      <c r="X96" s="173"/>
      <c r="Y96" s="173"/>
      <c r="Z96" s="173" t="s">
        <v>6885</v>
      </c>
      <c r="AA96" s="173" t="s">
        <v>7073</v>
      </c>
      <c r="AB96" s="173"/>
      <c r="AC96" s="173"/>
      <c r="AD96" s="173"/>
      <c r="AE96" s="173"/>
      <c r="AF96" s="173"/>
      <c r="AG96" s="173"/>
      <c r="AH96" s="173"/>
      <c r="AI96" s="173"/>
      <c r="AJ96" s="173"/>
      <c r="AK96" s="173"/>
      <c r="AL96" s="173"/>
      <c r="AM96" s="173"/>
      <c r="AN96" s="173"/>
      <c r="AO96" s="173"/>
      <c r="AP96" s="173"/>
      <c r="AQ96" s="173"/>
      <c r="AR96" s="173"/>
      <c r="AS96" s="173"/>
      <c r="AT96" s="173"/>
      <c r="AU96" s="173" t="s">
        <v>7373</v>
      </c>
      <c r="AV96" s="173"/>
      <c r="AW96" s="173"/>
      <c r="AX96" s="173" t="s">
        <v>7562</v>
      </c>
      <c r="AY96" s="173"/>
    </row>
    <row r="97" spans="1:51">
      <c r="A97" s="469"/>
      <c r="B97" s="469"/>
      <c r="C97" s="469"/>
      <c r="D97" s="469"/>
      <c r="E97" s="469" t="s">
        <v>6674</v>
      </c>
      <c r="F97" s="173"/>
      <c r="G97" s="173"/>
      <c r="H97" s="173"/>
      <c r="I97" s="173"/>
      <c r="J97" s="173"/>
      <c r="K97" s="173" t="s">
        <v>4796</v>
      </c>
      <c r="L97" s="173"/>
      <c r="M97" s="173"/>
      <c r="N97" s="173"/>
      <c r="O97" s="173"/>
      <c r="P97" s="173"/>
      <c r="Q97" s="173"/>
      <c r="R97" s="173"/>
      <c r="S97" s="173" t="s">
        <v>177</v>
      </c>
      <c r="T97" s="173"/>
      <c r="U97" s="173"/>
      <c r="V97" s="173"/>
      <c r="W97" s="173"/>
      <c r="X97" s="173"/>
      <c r="Y97" s="173"/>
      <c r="Z97" s="173" t="s">
        <v>6886</v>
      </c>
      <c r="AA97" s="173" t="s">
        <v>7074</v>
      </c>
      <c r="AB97" s="173"/>
      <c r="AC97" s="173"/>
      <c r="AD97" s="173"/>
      <c r="AE97" s="173"/>
      <c r="AF97" s="173"/>
      <c r="AG97" s="173"/>
      <c r="AH97" s="173"/>
      <c r="AI97" s="173"/>
      <c r="AJ97" s="173"/>
      <c r="AK97" s="173"/>
      <c r="AL97" s="173"/>
      <c r="AM97" s="173"/>
      <c r="AN97" s="173"/>
      <c r="AO97" s="173"/>
      <c r="AP97" s="173"/>
      <c r="AQ97" s="173"/>
      <c r="AR97" s="173"/>
      <c r="AS97" s="173"/>
      <c r="AT97" s="173"/>
      <c r="AU97" s="173" t="s">
        <v>7374</v>
      </c>
      <c r="AV97" s="173"/>
      <c r="AW97" s="173"/>
      <c r="AX97" s="173" t="s">
        <v>7563</v>
      </c>
      <c r="AY97" s="173"/>
    </row>
    <row r="98" spans="1:51">
      <c r="A98" s="469"/>
      <c r="B98" s="469"/>
      <c r="C98" s="469"/>
      <c r="D98" s="469"/>
      <c r="E98" s="469"/>
      <c r="F98" s="469"/>
      <c r="G98" s="469"/>
      <c r="H98" s="469"/>
      <c r="I98" s="469"/>
      <c r="J98" s="469"/>
      <c r="K98" s="469" t="s">
        <v>4797</v>
      </c>
      <c r="L98" s="173"/>
      <c r="M98" s="173"/>
      <c r="N98" s="173"/>
      <c r="O98" s="173"/>
      <c r="P98" s="173"/>
      <c r="Q98" s="173"/>
      <c r="R98" s="173"/>
      <c r="S98" s="173" t="s">
        <v>178</v>
      </c>
      <c r="T98" s="173"/>
      <c r="U98" s="173"/>
      <c r="V98" s="173"/>
      <c r="W98" s="173"/>
      <c r="X98" s="173"/>
      <c r="Y98" s="173"/>
      <c r="Z98" s="173" t="s">
        <v>6887</v>
      </c>
      <c r="AA98" s="173" t="s">
        <v>7075</v>
      </c>
      <c r="AB98" s="173"/>
      <c r="AC98" s="173"/>
      <c r="AD98" s="173"/>
      <c r="AE98" s="173"/>
      <c r="AF98" s="173"/>
      <c r="AG98" s="173"/>
      <c r="AH98" s="173"/>
      <c r="AI98" s="173"/>
      <c r="AJ98" s="173"/>
      <c r="AK98" s="173"/>
      <c r="AL98" s="173"/>
      <c r="AM98" s="173"/>
      <c r="AN98" s="173"/>
      <c r="AO98" s="173"/>
      <c r="AP98" s="173"/>
      <c r="AQ98" s="173"/>
      <c r="AR98" s="173"/>
      <c r="AS98" s="173"/>
      <c r="AT98" s="173"/>
      <c r="AU98" s="173" t="s">
        <v>7375</v>
      </c>
      <c r="AV98" s="173"/>
      <c r="AW98" s="173"/>
      <c r="AX98" s="173" t="s">
        <v>7564</v>
      </c>
      <c r="AY98" s="173"/>
    </row>
    <row r="99" spans="1:51">
      <c r="A99" s="469"/>
      <c r="B99" s="469"/>
      <c r="C99" s="469"/>
      <c r="D99" s="469"/>
      <c r="E99" s="469"/>
      <c r="F99" s="469"/>
      <c r="G99" s="469"/>
      <c r="H99" s="469"/>
      <c r="I99" s="469"/>
      <c r="J99" s="469"/>
      <c r="K99" s="469" t="s">
        <v>4798</v>
      </c>
      <c r="L99" s="173"/>
      <c r="M99" s="173"/>
      <c r="N99" s="173"/>
      <c r="O99" s="173"/>
      <c r="P99" s="173"/>
      <c r="Q99" s="173"/>
      <c r="R99" s="173"/>
      <c r="S99" s="173" t="s">
        <v>179</v>
      </c>
      <c r="T99" s="173"/>
      <c r="U99" s="173"/>
      <c r="V99" s="173"/>
      <c r="W99" s="173"/>
      <c r="X99" s="173"/>
      <c r="Y99" s="173"/>
      <c r="Z99" s="173" t="s">
        <v>6888</v>
      </c>
      <c r="AA99" s="173" t="s">
        <v>7076</v>
      </c>
      <c r="AB99" s="173"/>
      <c r="AC99" s="173"/>
      <c r="AD99" s="173"/>
      <c r="AE99" s="173"/>
      <c r="AF99" s="173"/>
      <c r="AG99" s="173"/>
      <c r="AH99" s="173"/>
      <c r="AI99" s="173"/>
      <c r="AJ99" s="173"/>
      <c r="AK99" s="173"/>
      <c r="AL99" s="173"/>
      <c r="AM99" s="173"/>
      <c r="AN99" s="173"/>
      <c r="AO99" s="173"/>
      <c r="AP99" s="173"/>
      <c r="AQ99" s="173"/>
      <c r="AR99" s="173"/>
      <c r="AS99" s="173"/>
      <c r="AT99" s="173"/>
      <c r="AU99" s="173" t="s">
        <v>4601</v>
      </c>
      <c r="AV99" s="173"/>
      <c r="AW99" s="173"/>
      <c r="AX99" s="173" t="s">
        <v>7565</v>
      </c>
      <c r="AY99" s="173"/>
    </row>
    <row r="100" spans="1:51">
      <c r="A100" s="469"/>
      <c r="B100" s="469"/>
      <c r="C100" s="469"/>
      <c r="D100" s="469"/>
      <c r="E100" s="469"/>
      <c r="F100" s="469"/>
      <c r="G100" s="469"/>
      <c r="H100" s="469"/>
      <c r="I100" s="469"/>
      <c r="J100" s="469"/>
      <c r="K100" s="469" t="s">
        <v>4799</v>
      </c>
      <c r="L100" s="173"/>
      <c r="M100" s="173"/>
      <c r="N100" s="173"/>
      <c r="O100" s="173"/>
      <c r="P100" s="173"/>
      <c r="Q100" s="173"/>
      <c r="R100" s="173"/>
      <c r="S100" s="173" t="s">
        <v>180</v>
      </c>
      <c r="T100" s="173"/>
      <c r="U100" s="173"/>
      <c r="V100" s="173"/>
      <c r="W100" s="173"/>
      <c r="X100" s="173"/>
      <c r="Y100" s="173"/>
      <c r="Z100" s="173" t="s">
        <v>6889</v>
      </c>
      <c r="AA100" s="173" t="s">
        <v>58</v>
      </c>
      <c r="AB100" s="173"/>
      <c r="AC100" s="173"/>
      <c r="AD100" s="173"/>
      <c r="AE100" s="173"/>
      <c r="AF100" s="173"/>
      <c r="AG100" s="173"/>
      <c r="AH100" s="173"/>
      <c r="AI100" s="173"/>
      <c r="AJ100" s="173"/>
      <c r="AK100" s="173"/>
      <c r="AL100" s="173"/>
      <c r="AM100" s="173"/>
      <c r="AN100" s="173"/>
      <c r="AO100" s="173"/>
      <c r="AP100" s="173"/>
      <c r="AQ100" s="173"/>
      <c r="AR100" s="173"/>
      <c r="AS100" s="173"/>
      <c r="AT100" s="173"/>
      <c r="AU100" s="173" t="s">
        <v>7376</v>
      </c>
      <c r="AV100" s="173"/>
      <c r="AW100" s="173"/>
      <c r="AX100" s="173" t="s">
        <v>7212</v>
      </c>
      <c r="AY100" s="173"/>
    </row>
    <row r="101" spans="1:51">
      <c r="A101" s="469"/>
      <c r="B101" s="469"/>
      <c r="C101" s="469"/>
      <c r="D101" s="469"/>
      <c r="E101" s="469"/>
      <c r="F101" s="469"/>
      <c r="G101" s="469"/>
      <c r="H101" s="469"/>
      <c r="I101" s="469"/>
      <c r="J101" s="469"/>
      <c r="K101" s="469" t="s">
        <v>4800</v>
      </c>
      <c r="L101" s="173"/>
      <c r="M101" s="173"/>
      <c r="N101" s="173"/>
      <c r="O101" s="173"/>
      <c r="P101" s="173"/>
      <c r="Q101" s="173"/>
      <c r="R101" s="173"/>
      <c r="S101" s="173" t="s">
        <v>181</v>
      </c>
      <c r="T101" s="173"/>
      <c r="U101" s="173"/>
      <c r="V101" s="173"/>
      <c r="W101" s="173"/>
      <c r="X101" s="173"/>
      <c r="Y101" s="173"/>
      <c r="Z101" s="173" t="s">
        <v>6890</v>
      </c>
      <c r="AA101" s="173" t="s">
        <v>59</v>
      </c>
      <c r="AB101" s="173"/>
      <c r="AC101" s="173"/>
      <c r="AD101" s="173"/>
      <c r="AE101" s="173"/>
      <c r="AF101" s="173"/>
      <c r="AG101" s="173"/>
      <c r="AH101" s="173"/>
      <c r="AI101" s="173"/>
      <c r="AJ101" s="173"/>
      <c r="AK101" s="173"/>
      <c r="AL101" s="173"/>
      <c r="AM101" s="173"/>
      <c r="AN101" s="173"/>
      <c r="AO101" s="173"/>
      <c r="AP101" s="173"/>
      <c r="AQ101" s="173"/>
      <c r="AR101" s="173"/>
      <c r="AS101" s="173"/>
      <c r="AT101" s="173"/>
      <c r="AU101" s="173" t="s">
        <v>7377</v>
      </c>
      <c r="AV101" s="173"/>
      <c r="AW101" s="173"/>
      <c r="AX101" s="173" t="s">
        <v>7566</v>
      </c>
      <c r="AY101" s="173"/>
    </row>
    <row r="102" spans="1:51">
      <c r="A102" s="469"/>
      <c r="B102" s="469"/>
      <c r="C102" s="469"/>
      <c r="D102" s="469"/>
      <c r="E102" s="469"/>
      <c r="F102" s="469"/>
      <c r="G102" s="469"/>
      <c r="H102" s="469"/>
      <c r="I102" s="469"/>
      <c r="J102" s="469"/>
      <c r="K102" s="469" t="s">
        <v>4801</v>
      </c>
      <c r="L102" s="173"/>
      <c r="M102" s="173"/>
      <c r="N102" s="173"/>
      <c r="O102" s="173"/>
      <c r="P102" s="173"/>
      <c r="Q102" s="173"/>
      <c r="R102" s="173"/>
      <c r="S102" s="173" t="s">
        <v>182</v>
      </c>
      <c r="T102" s="173"/>
      <c r="U102" s="173"/>
      <c r="V102" s="173"/>
      <c r="W102" s="173"/>
      <c r="X102" s="173"/>
      <c r="Y102" s="173"/>
      <c r="Z102" s="173" t="s">
        <v>6891</v>
      </c>
      <c r="AA102" s="173" t="s">
        <v>4770</v>
      </c>
      <c r="AB102" s="173"/>
      <c r="AC102" s="173"/>
      <c r="AD102" s="173"/>
      <c r="AE102" s="173"/>
      <c r="AF102" s="173"/>
      <c r="AG102" s="173"/>
      <c r="AH102" s="173"/>
      <c r="AI102" s="173"/>
      <c r="AJ102" s="173"/>
      <c r="AK102" s="173"/>
      <c r="AL102" s="173"/>
      <c r="AM102" s="173"/>
      <c r="AN102" s="173"/>
      <c r="AO102" s="173"/>
      <c r="AP102" s="173"/>
      <c r="AQ102" s="173"/>
      <c r="AR102" s="173"/>
      <c r="AS102" s="173"/>
      <c r="AT102" s="173"/>
      <c r="AU102" s="173" t="s">
        <v>7378</v>
      </c>
      <c r="AV102" s="173"/>
      <c r="AW102" s="173"/>
      <c r="AX102" s="173" t="s">
        <v>7567</v>
      </c>
      <c r="AY102" s="173"/>
    </row>
    <row r="103" spans="1:51">
      <c r="A103" s="469"/>
      <c r="B103" s="469"/>
      <c r="C103" s="469"/>
      <c r="D103" s="469"/>
      <c r="E103" s="469"/>
      <c r="F103" s="469"/>
      <c r="G103" s="469"/>
      <c r="H103" s="469"/>
      <c r="I103" s="469"/>
      <c r="J103" s="469"/>
      <c r="K103" s="469" t="s">
        <v>4802</v>
      </c>
      <c r="L103" s="173"/>
      <c r="M103" s="173"/>
      <c r="N103" s="173"/>
      <c r="O103" s="173"/>
      <c r="P103" s="173"/>
      <c r="Q103" s="173"/>
      <c r="R103" s="173"/>
      <c r="S103" s="173" t="s">
        <v>183</v>
      </c>
      <c r="T103" s="173"/>
      <c r="U103" s="173"/>
      <c r="V103" s="173"/>
      <c r="W103" s="173"/>
      <c r="X103" s="173"/>
      <c r="Y103" s="173"/>
      <c r="Z103" s="173" t="s">
        <v>6892</v>
      </c>
      <c r="AA103" s="173" t="s">
        <v>7077</v>
      </c>
      <c r="AB103" s="173"/>
      <c r="AC103" s="173"/>
      <c r="AD103" s="173"/>
      <c r="AE103" s="173"/>
      <c r="AF103" s="173"/>
      <c r="AG103" s="173"/>
      <c r="AH103" s="173"/>
      <c r="AI103" s="173"/>
      <c r="AJ103" s="173"/>
      <c r="AK103" s="173"/>
      <c r="AL103" s="173"/>
      <c r="AM103" s="173"/>
      <c r="AN103" s="173"/>
      <c r="AO103" s="173"/>
      <c r="AP103" s="173"/>
      <c r="AQ103" s="173"/>
      <c r="AR103" s="173"/>
      <c r="AS103" s="173"/>
      <c r="AT103" s="173"/>
      <c r="AU103" s="173" t="s">
        <v>7379</v>
      </c>
      <c r="AV103" s="173"/>
      <c r="AW103" s="173"/>
      <c r="AX103" s="173" t="s">
        <v>7568</v>
      </c>
      <c r="AY103" s="173"/>
    </row>
    <row r="104" spans="1:51">
      <c r="A104" s="469"/>
      <c r="B104" s="469"/>
      <c r="C104" s="469"/>
      <c r="D104" s="469"/>
      <c r="E104" s="469"/>
      <c r="F104" s="469"/>
      <c r="G104" s="469"/>
      <c r="H104" s="469"/>
      <c r="I104" s="469"/>
      <c r="J104" s="469"/>
      <c r="K104" s="469" t="s">
        <v>4803</v>
      </c>
      <c r="L104" s="173"/>
      <c r="M104" s="173"/>
      <c r="N104" s="173"/>
      <c r="O104" s="173"/>
      <c r="P104" s="173"/>
      <c r="Q104" s="173"/>
      <c r="R104" s="173"/>
      <c r="S104" s="173" t="s">
        <v>184</v>
      </c>
      <c r="T104" s="173"/>
      <c r="U104" s="173"/>
      <c r="V104" s="173"/>
      <c r="W104" s="173"/>
      <c r="X104" s="173"/>
      <c r="Y104" s="173"/>
      <c r="Z104" s="173" t="s">
        <v>6893</v>
      </c>
      <c r="AA104" s="173" t="s">
        <v>7078</v>
      </c>
      <c r="AB104" s="173"/>
      <c r="AC104" s="173"/>
      <c r="AD104" s="173"/>
      <c r="AE104" s="173"/>
      <c r="AF104" s="173"/>
      <c r="AG104" s="173"/>
      <c r="AH104" s="173"/>
      <c r="AI104" s="173"/>
      <c r="AJ104" s="173"/>
      <c r="AK104" s="173"/>
      <c r="AL104" s="173"/>
      <c r="AM104" s="173"/>
      <c r="AN104" s="173"/>
      <c r="AO104" s="173"/>
      <c r="AP104" s="173"/>
      <c r="AQ104" s="173"/>
      <c r="AR104" s="173"/>
      <c r="AS104" s="173"/>
      <c r="AT104" s="173"/>
      <c r="AU104" s="173" t="s">
        <v>7380</v>
      </c>
      <c r="AV104" s="173"/>
      <c r="AW104" s="173"/>
      <c r="AX104" s="173" t="s">
        <v>7569</v>
      </c>
      <c r="AY104" s="173"/>
    </row>
    <row r="105" spans="1:51">
      <c r="A105" s="469"/>
      <c r="B105" s="469"/>
      <c r="C105" s="469"/>
      <c r="D105" s="469"/>
      <c r="E105" s="469"/>
      <c r="F105" s="469"/>
      <c r="G105" s="469"/>
      <c r="H105" s="469"/>
      <c r="I105" s="469"/>
      <c r="J105" s="469"/>
      <c r="K105" s="469" t="s">
        <v>4804</v>
      </c>
      <c r="L105" s="173"/>
      <c r="M105" s="173"/>
      <c r="N105" s="173"/>
      <c r="O105" s="173"/>
      <c r="P105" s="173"/>
      <c r="Q105" s="173"/>
      <c r="R105" s="173"/>
      <c r="S105" s="173" t="s">
        <v>185</v>
      </c>
      <c r="T105" s="173"/>
      <c r="U105" s="173"/>
      <c r="V105" s="173"/>
      <c r="W105" s="173"/>
      <c r="X105" s="173"/>
      <c r="Y105" s="173"/>
      <c r="Z105" s="173" t="s">
        <v>6894</v>
      </c>
      <c r="AA105" s="173" t="s">
        <v>7079</v>
      </c>
      <c r="AB105" s="173"/>
      <c r="AC105" s="173"/>
      <c r="AD105" s="173"/>
      <c r="AE105" s="173"/>
      <c r="AF105" s="173"/>
      <c r="AG105" s="173"/>
      <c r="AH105" s="173"/>
      <c r="AI105" s="173"/>
      <c r="AJ105" s="173"/>
      <c r="AK105" s="173"/>
      <c r="AL105" s="173"/>
      <c r="AM105" s="173"/>
      <c r="AN105" s="173"/>
      <c r="AO105" s="173"/>
      <c r="AP105" s="173"/>
      <c r="AQ105" s="173"/>
      <c r="AR105" s="173"/>
      <c r="AS105" s="173"/>
      <c r="AT105" s="173"/>
      <c r="AU105" s="173" t="s">
        <v>7381</v>
      </c>
      <c r="AV105" s="173"/>
      <c r="AW105" s="173"/>
      <c r="AX105" s="173" t="s">
        <v>7570</v>
      </c>
      <c r="AY105" s="173"/>
    </row>
    <row r="106" spans="1:51">
      <c r="A106" s="469"/>
      <c r="B106" s="469"/>
      <c r="C106" s="469"/>
      <c r="D106" s="469"/>
      <c r="E106" s="469"/>
      <c r="F106" s="469"/>
      <c r="G106" s="469"/>
      <c r="H106" s="469"/>
      <c r="I106" s="469"/>
      <c r="J106" s="469"/>
      <c r="K106" s="469" t="s">
        <v>4805</v>
      </c>
      <c r="L106" s="173"/>
      <c r="M106" s="173"/>
      <c r="N106" s="173"/>
      <c r="O106" s="173"/>
      <c r="P106" s="173"/>
      <c r="Q106" s="173"/>
      <c r="R106" s="173"/>
      <c r="S106" s="173" t="s">
        <v>186</v>
      </c>
      <c r="T106" s="173"/>
      <c r="U106" s="173"/>
      <c r="V106" s="173"/>
      <c r="W106" s="173"/>
      <c r="X106" s="173"/>
      <c r="Y106" s="173"/>
      <c r="Z106" s="173" t="s">
        <v>6895</v>
      </c>
      <c r="AA106" s="173" t="s">
        <v>7080</v>
      </c>
      <c r="AB106" s="173"/>
      <c r="AC106" s="173"/>
      <c r="AD106" s="173"/>
      <c r="AE106" s="173"/>
      <c r="AF106" s="173"/>
      <c r="AG106" s="173"/>
      <c r="AH106" s="173"/>
      <c r="AI106" s="173"/>
      <c r="AJ106" s="173"/>
      <c r="AK106" s="173"/>
      <c r="AL106" s="173"/>
      <c r="AM106" s="173"/>
      <c r="AN106" s="173"/>
      <c r="AO106" s="173"/>
      <c r="AP106" s="173"/>
      <c r="AQ106" s="173"/>
      <c r="AR106" s="173"/>
      <c r="AS106" s="173"/>
      <c r="AT106" s="173"/>
      <c r="AU106" s="173" t="s">
        <v>7382</v>
      </c>
      <c r="AV106" s="173"/>
      <c r="AW106" s="173"/>
      <c r="AX106" s="173" t="s">
        <v>7571</v>
      </c>
      <c r="AY106" s="173"/>
    </row>
    <row r="107" spans="1:51">
      <c r="A107" s="469"/>
      <c r="B107" s="469"/>
      <c r="C107" s="469"/>
      <c r="D107" s="469"/>
      <c r="E107" s="469"/>
      <c r="F107" s="469"/>
      <c r="G107" s="469"/>
      <c r="H107" s="469"/>
      <c r="I107" s="469"/>
      <c r="J107" s="469"/>
      <c r="K107" s="469" t="s">
        <v>4806</v>
      </c>
      <c r="L107" s="173"/>
      <c r="M107" s="173"/>
      <c r="N107" s="173"/>
      <c r="O107" s="173"/>
      <c r="P107" s="173"/>
      <c r="Q107" s="173"/>
      <c r="R107" s="173"/>
      <c r="S107" s="173" t="s">
        <v>187</v>
      </c>
      <c r="T107" s="173"/>
      <c r="U107" s="173"/>
      <c r="V107" s="173"/>
      <c r="W107" s="173"/>
      <c r="X107" s="173"/>
      <c r="Y107" s="173"/>
      <c r="Z107" s="173" t="s">
        <v>6896</v>
      </c>
      <c r="AA107" s="173" t="s">
        <v>7081</v>
      </c>
      <c r="AB107" s="173"/>
      <c r="AC107" s="173"/>
      <c r="AD107" s="173"/>
      <c r="AE107" s="173"/>
      <c r="AF107" s="173"/>
      <c r="AG107" s="173"/>
      <c r="AH107" s="173"/>
      <c r="AI107" s="173"/>
      <c r="AJ107" s="173"/>
      <c r="AK107" s="173"/>
      <c r="AL107" s="173"/>
      <c r="AM107" s="173"/>
      <c r="AN107" s="173"/>
      <c r="AO107" s="173"/>
      <c r="AP107" s="173"/>
      <c r="AQ107" s="173"/>
      <c r="AR107" s="173"/>
      <c r="AS107" s="173"/>
      <c r="AT107" s="173"/>
      <c r="AU107" s="173" t="s">
        <v>7383</v>
      </c>
      <c r="AV107" s="173"/>
      <c r="AW107" s="173"/>
      <c r="AX107" s="173" t="s">
        <v>5461</v>
      </c>
      <c r="AY107" s="173"/>
    </row>
    <row r="108" spans="1:51">
      <c r="A108" s="469"/>
      <c r="B108" s="469"/>
      <c r="C108" s="469"/>
      <c r="D108" s="469"/>
      <c r="E108" s="469"/>
      <c r="F108" s="469"/>
      <c r="G108" s="469"/>
      <c r="H108" s="469"/>
      <c r="I108" s="469"/>
      <c r="J108" s="469"/>
      <c r="K108" s="469" t="s">
        <v>4807</v>
      </c>
      <c r="L108" s="173"/>
      <c r="M108" s="173"/>
      <c r="N108" s="173"/>
      <c r="O108" s="173"/>
      <c r="P108" s="173"/>
      <c r="Q108" s="173"/>
      <c r="R108" s="173"/>
      <c r="S108" s="173" t="s">
        <v>188</v>
      </c>
      <c r="T108" s="173"/>
      <c r="U108" s="173"/>
      <c r="V108" s="173"/>
      <c r="W108" s="173"/>
      <c r="X108" s="173"/>
      <c r="Y108" s="173"/>
      <c r="Z108" s="173" t="s">
        <v>6897</v>
      </c>
      <c r="AA108" s="173" t="s">
        <v>7082</v>
      </c>
      <c r="AB108" s="173"/>
      <c r="AC108" s="173"/>
      <c r="AD108" s="173"/>
      <c r="AE108" s="173"/>
      <c r="AF108" s="173"/>
      <c r="AG108" s="173"/>
      <c r="AH108" s="173"/>
      <c r="AI108" s="173"/>
      <c r="AJ108" s="173"/>
      <c r="AK108" s="173"/>
      <c r="AL108" s="173"/>
      <c r="AM108" s="173"/>
      <c r="AN108" s="173"/>
      <c r="AO108" s="173"/>
      <c r="AP108" s="173"/>
      <c r="AQ108" s="173"/>
      <c r="AR108" s="173"/>
      <c r="AS108" s="173"/>
      <c r="AT108" s="173"/>
      <c r="AU108" s="173" t="s">
        <v>7384</v>
      </c>
      <c r="AV108" s="173"/>
      <c r="AW108" s="173"/>
      <c r="AX108" s="173" t="s">
        <v>383</v>
      </c>
      <c r="AY108" s="173"/>
    </row>
    <row r="109" spans="1:51">
      <c r="A109" s="469"/>
      <c r="B109" s="469"/>
      <c r="C109" s="469"/>
      <c r="D109" s="469"/>
      <c r="E109" s="469"/>
      <c r="F109" s="469"/>
      <c r="G109" s="469"/>
      <c r="H109" s="469"/>
      <c r="I109" s="469"/>
      <c r="J109" s="469"/>
      <c r="K109" s="469" t="s">
        <v>4808</v>
      </c>
      <c r="L109" s="173"/>
      <c r="M109" s="173"/>
      <c r="N109" s="173"/>
      <c r="O109" s="173"/>
      <c r="P109" s="173"/>
      <c r="Q109" s="173"/>
      <c r="R109" s="173"/>
      <c r="S109" s="173" t="s">
        <v>189</v>
      </c>
      <c r="T109" s="173"/>
      <c r="U109" s="173"/>
      <c r="V109" s="173"/>
      <c r="W109" s="173"/>
      <c r="X109" s="173"/>
      <c r="Y109" s="173"/>
      <c r="Z109" s="173" t="s">
        <v>6898</v>
      </c>
      <c r="AA109" s="173" t="s">
        <v>7083</v>
      </c>
      <c r="AB109" s="173"/>
      <c r="AC109" s="173"/>
      <c r="AD109" s="173"/>
      <c r="AE109" s="173"/>
      <c r="AF109" s="173"/>
      <c r="AG109" s="173"/>
      <c r="AH109" s="173"/>
      <c r="AI109" s="173"/>
      <c r="AJ109" s="173"/>
      <c r="AK109" s="173"/>
      <c r="AL109" s="173"/>
      <c r="AM109" s="173"/>
      <c r="AN109" s="173"/>
      <c r="AO109" s="173"/>
      <c r="AP109" s="173"/>
      <c r="AQ109" s="173"/>
      <c r="AR109" s="173"/>
      <c r="AS109" s="173"/>
      <c r="AT109" s="173"/>
      <c r="AU109" s="173" t="s">
        <v>7385</v>
      </c>
      <c r="AV109" s="173"/>
      <c r="AW109" s="173"/>
      <c r="AX109" s="173" t="s">
        <v>380</v>
      </c>
      <c r="AY109" s="173"/>
    </row>
    <row r="110" spans="1:51">
      <c r="A110" s="469"/>
      <c r="B110" s="469"/>
      <c r="C110" s="469"/>
      <c r="D110" s="469"/>
      <c r="E110" s="469"/>
      <c r="F110" s="469"/>
      <c r="G110" s="469"/>
      <c r="H110" s="469"/>
      <c r="I110" s="469"/>
      <c r="J110" s="469"/>
      <c r="K110" s="469" t="s">
        <v>4809</v>
      </c>
      <c r="L110" s="173"/>
      <c r="M110" s="173"/>
      <c r="N110" s="173"/>
      <c r="O110" s="173"/>
      <c r="P110" s="173"/>
      <c r="Q110" s="173"/>
      <c r="R110" s="173"/>
      <c r="S110" s="173" t="s">
        <v>190</v>
      </c>
      <c r="T110" s="173"/>
      <c r="U110" s="173"/>
      <c r="V110" s="173"/>
      <c r="W110" s="173"/>
      <c r="X110" s="173"/>
      <c r="Y110" s="173"/>
      <c r="Z110" s="173" t="s">
        <v>6899</v>
      </c>
      <c r="AA110" s="173" t="s">
        <v>7084</v>
      </c>
      <c r="AB110" s="173"/>
      <c r="AC110" s="173"/>
      <c r="AD110" s="173"/>
      <c r="AE110" s="173"/>
      <c r="AF110" s="173"/>
      <c r="AG110" s="173"/>
      <c r="AH110" s="173"/>
      <c r="AI110" s="173"/>
      <c r="AJ110" s="173"/>
      <c r="AK110" s="173"/>
      <c r="AL110" s="173"/>
      <c r="AM110" s="173"/>
      <c r="AN110" s="173"/>
      <c r="AO110" s="173"/>
      <c r="AP110" s="173"/>
      <c r="AQ110" s="173"/>
      <c r="AR110" s="173"/>
      <c r="AS110" s="173"/>
      <c r="AT110" s="173"/>
      <c r="AU110" s="173" t="s">
        <v>7386</v>
      </c>
      <c r="AV110" s="173"/>
      <c r="AW110" s="173"/>
      <c r="AX110" s="173" t="s">
        <v>296</v>
      </c>
      <c r="AY110" s="173"/>
    </row>
    <row r="111" spans="1:51">
      <c r="A111" s="469"/>
      <c r="B111" s="469"/>
      <c r="C111" s="469"/>
      <c r="D111" s="469"/>
      <c r="E111" s="469"/>
      <c r="F111" s="469"/>
      <c r="G111" s="469"/>
      <c r="H111" s="469"/>
      <c r="I111" s="469"/>
      <c r="J111" s="469"/>
      <c r="K111" s="469" t="s">
        <v>4810</v>
      </c>
      <c r="L111" s="173"/>
      <c r="M111" s="173"/>
      <c r="N111" s="173"/>
      <c r="O111" s="173"/>
      <c r="P111" s="173"/>
      <c r="Q111" s="173"/>
      <c r="R111" s="173"/>
      <c r="S111" s="173" t="s">
        <v>191</v>
      </c>
      <c r="T111" s="173"/>
      <c r="U111" s="173"/>
      <c r="V111" s="173"/>
      <c r="W111" s="173"/>
      <c r="X111" s="173"/>
      <c r="Y111" s="173"/>
      <c r="Z111" s="173" t="s">
        <v>6900</v>
      </c>
      <c r="AA111" s="173" t="s">
        <v>7085</v>
      </c>
      <c r="AB111" s="173"/>
      <c r="AC111" s="173"/>
      <c r="AD111" s="173"/>
      <c r="AE111" s="173"/>
      <c r="AF111" s="173"/>
      <c r="AG111" s="173"/>
      <c r="AH111" s="173"/>
      <c r="AI111" s="173"/>
      <c r="AJ111" s="173"/>
      <c r="AK111" s="173"/>
      <c r="AL111" s="173"/>
      <c r="AM111" s="173"/>
      <c r="AN111" s="173"/>
      <c r="AO111" s="173"/>
      <c r="AP111" s="173"/>
      <c r="AQ111" s="173"/>
      <c r="AR111" s="173"/>
      <c r="AS111" s="173"/>
      <c r="AT111" s="173"/>
      <c r="AU111" s="173" t="s">
        <v>7387</v>
      </c>
      <c r="AV111" s="173"/>
      <c r="AW111" s="173"/>
      <c r="AX111" s="173" t="s">
        <v>295</v>
      </c>
      <c r="AY111" s="173"/>
    </row>
    <row r="112" spans="1:51">
      <c r="A112" s="469"/>
      <c r="B112" s="469"/>
      <c r="C112" s="469"/>
      <c r="D112" s="469"/>
      <c r="E112" s="469"/>
      <c r="F112" s="469"/>
      <c r="G112" s="469"/>
      <c r="H112" s="469"/>
      <c r="I112" s="469"/>
      <c r="J112" s="469"/>
      <c r="K112" s="469" t="s">
        <v>4811</v>
      </c>
      <c r="L112" s="173"/>
      <c r="M112" s="173"/>
      <c r="N112" s="173"/>
      <c r="O112" s="173"/>
      <c r="P112" s="173"/>
      <c r="Q112" s="173"/>
      <c r="R112" s="173"/>
      <c r="S112" s="173" t="s">
        <v>192</v>
      </c>
      <c r="T112" s="173"/>
      <c r="U112" s="173"/>
      <c r="V112" s="173"/>
      <c r="W112" s="173"/>
      <c r="X112" s="173"/>
      <c r="Y112" s="173"/>
      <c r="Z112" s="173" t="s">
        <v>6901</v>
      </c>
      <c r="AA112" s="173" t="s">
        <v>7086</v>
      </c>
      <c r="AB112" s="173"/>
      <c r="AC112" s="173"/>
      <c r="AD112" s="173"/>
      <c r="AE112" s="173"/>
      <c r="AF112" s="173"/>
      <c r="AG112" s="173"/>
      <c r="AH112" s="173"/>
      <c r="AI112" s="173"/>
      <c r="AJ112" s="173"/>
      <c r="AK112" s="173"/>
      <c r="AL112" s="173"/>
      <c r="AM112" s="173"/>
      <c r="AN112" s="173"/>
      <c r="AO112" s="173"/>
      <c r="AP112" s="173"/>
      <c r="AQ112" s="173"/>
      <c r="AR112" s="173"/>
      <c r="AS112" s="173"/>
      <c r="AT112" s="173"/>
      <c r="AU112" s="173" t="s">
        <v>7388</v>
      </c>
      <c r="AV112" s="173"/>
      <c r="AW112" s="173"/>
      <c r="AX112" s="173" t="s">
        <v>7572</v>
      </c>
      <c r="AY112" s="173"/>
    </row>
    <row r="113" spans="1:51">
      <c r="A113" s="469"/>
      <c r="B113" s="469"/>
      <c r="C113" s="469"/>
      <c r="D113" s="469"/>
      <c r="E113" s="469"/>
      <c r="F113" s="469"/>
      <c r="G113" s="469"/>
      <c r="H113" s="469"/>
      <c r="I113" s="469"/>
      <c r="J113" s="469"/>
      <c r="K113" s="469" t="s">
        <v>4812</v>
      </c>
      <c r="L113" s="173"/>
      <c r="M113" s="173"/>
      <c r="N113" s="173"/>
      <c r="O113" s="173"/>
      <c r="P113" s="173"/>
      <c r="Q113" s="173"/>
      <c r="R113" s="173"/>
      <c r="S113" s="173" t="s">
        <v>193</v>
      </c>
      <c r="T113" s="173"/>
      <c r="U113" s="173"/>
      <c r="V113" s="173"/>
      <c r="W113" s="173"/>
      <c r="X113" s="173"/>
      <c r="Y113" s="173"/>
      <c r="Z113" s="173" t="s">
        <v>6902</v>
      </c>
      <c r="AA113" s="173" t="s">
        <v>7087</v>
      </c>
      <c r="AB113" s="173"/>
      <c r="AC113" s="173"/>
      <c r="AD113" s="173"/>
      <c r="AE113" s="173"/>
      <c r="AF113" s="173"/>
      <c r="AG113" s="173"/>
      <c r="AH113" s="173"/>
      <c r="AI113" s="173"/>
      <c r="AJ113" s="173"/>
      <c r="AK113" s="173"/>
      <c r="AL113" s="173"/>
      <c r="AM113" s="173"/>
      <c r="AN113" s="173"/>
      <c r="AO113" s="173"/>
      <c r="AP113" s="173"/>
      <c r="AQ113" s="173"/>
      <c r="AR113" s="173"/>
      <c r="AS113" s="173"/>
      <c r="AT113" s="173"/>
      <c r="AU113" s="173" t="s">
        <v>7389</v>
      </c>
      <c r="AV113" s="173"/>
      <c r="AW113" s="173"/>
      <c r="AX113" s="173" t="s">
        <v>7573</v>
      </c>
      <c r="AY113" s="173"/>
    </row>
    <row r="114" spans="1:51">
      <c r="A114" s="469"/>
      <c r="B114" s="469"/>
      <c r="C114" s="469"/>
      <c r="D114" s="469"/>
      <c r="E114" s="469"/>
      <c r="F114" s="469"/>
      <c r="G114" s="469"/>
      <c r="H114" s="469"/>
      <c r="I114" s="469"/>
      <c r="J114" s="469"/>
      <c r="K114" s="469" t="s">
        <v>4813</v>
      </c>
      <c r="L114" s="173"/>
      <c r="M114" s="173"/>
      <c r="N114" s="173"/>
      <c r="O114" s="173"/>
      <c r="P114" s="173"/>
      <c r="Q114" s="173"/>
      <c r="R114" s="173"/>
      <c r="S114" s="173" t="s">
        <v>194</v>
      </c>
      <c r="T114" s="173"/>
      <c r="U114" s="173"/>
      <c r="V114" s="173"/>
      <c r="W114" s="173"/>
      <c r="X114" s="173"/>
      <c r="Y114" s="173"/>
      <c r="Z114" s="173" t="s">
        <v>6903</v>
      </c>
      <c r="AA114" s="173" t="s">
        <v>7088</v>
      </c>
      <c r="AB114" s="173"/>
      <c r="AC114" s="173"/>
      <c r="AD114" s="173"/>
      <c r="AE114" s="173"/>
      <c r="AF114" s="173"/>
      <c r="AG114" s="173"/>
      <c r="AH114" s="173"/>
      <c r="AI114" s="173"/>
      <c r="AJ114" s="173"/>
      <c r="AK114" s="173"/>
      <c r="AL114" s="173"/>
      <c r="AM114" s="173"/>
      <c r="AN114" s="173"/>
      <c r="AO114" s="173"/>
      <c r="AP114" s="173"/>
      <c r="AQ114" s="173"/>
      <c r="AR114" s="173"/>
      <c r="AS114" s="173"/>
      <c r="AT114" s="173"/>
      <c r="AU114" s="173" t="s">
        <v>7390</v>
      </c>
      <c r="AV114" s="173"/>
      <c r="AW114" s="173"/>
      <c r="AX114" s="173" t="s">
        <v>7574</v>
      </c>
      <c r="AY114" s="173"/>
    </row>
    <row r="115" spans="1:51">
      <c r="A115" s="469"/>
      <c r="B115" s="469"/>
      <c r="C115" s="469"/>
      <c r="D115" s="469"/>
      <c r="E115" s="469"/>
      <c r="F115" s="469"/>
      <c r="G115" s="469"/>
      <c r="H115" s="469"/>
      <c r="I115" s="469"/>
      <c r="J115" s="469"/>
      <c r="K115" s="469" t="s">
        <v>4814</v>
      </c>
      <c r="L115" s="173"/>
      <c r="M115" s="173"/>
      <c r="N115" s="173"/>
      <c r="O115" s="173"/>
      <c r="P115" s="173"/>
      <c r="Q115" s="173"/>
      <c r="R115" s="173"/>
      <c r="S115" s="173" t="s">
        <v>195</v>
      </c>
      <c r="T115" s="173"/>
      <c r="U115" s="173"/>
      <c r="V115" s="173"/>
      <c r="W115" s="173"/>
      <c r="X115" s="173"/>
      <c r="Y115" s="173"/>
      <c r="Z115" s="173" t="s">
        <v>6904</v>
      </c>
      <c r="AA115" s="173" t="s">
        <v>370</v>
      </c>
      <c r="AB115" s="173"/>
      <c r="AC115" s="173"/>
      <c r="AD115" s="173"/>
      <c r="AE115" s="173"/>
      <c r="AF115" s="173"/>
      <c r="AG115" s="173"/>
      <c r="AH115" s="173"/>
      <c r="AI115" s="173"/>
      <c r="AJ115" s="173"/>
      <c r="AK115" s="173"/>
      <c r="AL115" s="173"/>
      <c r="AM115" s="173"/>
      <c r="AN115" s="173"/>
      <c r="AO115" s="173"/>
      <c r="AP115" s="173"/>
      <c r="AQ115" s="173"/>
      <c r="AR115" s="173"/>
      <c r="AS115" s="173"/>
      <c r="AT115" s="173"/>
      <c r="AU115" s="173" t="s">
        <v>7391</v>
      </c>
      <c r="AV115" s="173"/>
      <c r="AW115" s="173"/>
      <c r="AX115" s="173"/>
      <c r="AY115" s="173"/>
    </row>
    <row r="116" spans="1:51">
      <c r="A116" s="469"/>
      <c r="B116" s="469"/>
      <c r="C116" s="469"/>
      <c r="D116" s="469"/>
      <c r="E116" s="469"/>
      <c r="F116" s="469"/>
      <c r="G116" s="469"/>
      <c r="H116" s="469"/>
      <c r="I116" s="469"/>
      <c r="J116" s="469"/>
      <c r="K116" s="469" t="s">
        <v>4815</v>
      </c>
      <c r="L116" s="173"/>
      <c r="M116" s="173"/>
      <c r="N116" s="173"/>
      <c r="O116" s="173"/>
      <c r="P116" s="173"/>
      <c r="Q116" s="173"/>
      <c r="R116" s="173"/>
      <c r="S116" s="173" t="s">
        <v>196</v>
      </c>
      <c r="T116" s="173"/>
      <c r="U116" s="173"/>
      <c r="V116" s="173"/>
      <c r="W116" s="173"/>
      <c r="X116" s="173"/>
      <c r="Y116" s="173"/>
      <c r="Z116" s="173" t="s">
        <v>6905</v>
      </c>
      <c r="AA116" s="173" t="s">
        <v>7089</v>
      </c>
      <c r="AB116" s="173"/>
      <c r="AC116" s="173"/>
      <c r="AD116" s="173"/>
      <c r="AE116" s="173"/>
      <c r="AF116" s="173"/>
      <c r="AG116" s="173"/>
      <c r="AH116" s="173"/>
      <c r="AI116" s="173"/>
      <c r="AJ116" s="173"/>
      <c r="AK116" s="173"/>
      <c r="AL116" s="173"/>
      <c r="AM116" s="173"/>
      <c r="AN116" s="173"/>
      <c r="AO116" s="173"/>
      <c r="AP116" s="173"/>
      <c r="AQ116" s="173"/>
      <c r="AR116" s="173"/>
      <c r="AS116" s="173"/>
      <c r="AT116" s="173"/>
      <c r="AU116" s="173" t="s">
        <v>7392</v>
      </c>
      <c r="AV116" s="173"/>
      <c r="AW116" s="173"/>
      <c r="AX116" s="173"/>
      <c r="AY116" s="173"/>
    </row>
    <row r="117" spans="1:51">
      <c r="A117" s="469"/>
      <c r="B117" s="469"/>
      <c r="C117" s="469"/>
      <c r="D117" s="469"/>
      <c r="E117" s="469"/>
      <c r="F117" s="469"/>
      <c r="G117" s="469"/>
      <c r="H117" s="469"/>
      <c r="I117" s="469"/>
      <c r="J117" s="469"/>
      <c r="K117" s="469" t="s">
        <v>4816</v>
      </c>
      <c r="L117" s="173"/>
      <c r="M117" s="173"/>
      <c r="N117" s="173"/>
      <c r="O117" s="173"/>
      <c r="P117" s="173"/>
      <c r="Q117" s="173"/>
      <c r="R117" s="173"/>
      <c r="S117" s="173" t="s">
        <v>197</v>
      </c>
      <c r="T117" s="173"/>
      <c r="U117" s="173"/>
      <c r="V117" s="173"/>
      <c r="W117" s="173"/>
      <c r="X117" s="173"/>
      <c r="Y117" s="173"/>
      <c r="Z117" s="173" t="s">
        <v>6906</v>
      </c>
      <c r="AA117" s="173" t="s">
        <v>4774</v>
      </c>
      <c r="AB117" s="173"/>
      <c r="AC117" s="173"/>
      <c r="AD117" s="173"/>
      <c r="AE117" s="173"/>
      <c r="AF117" s="173"/>
      <c r="AG117" s="173"/>
      <c r="AH117" s="173"/>
      <c r="AI117" s="173"/>
      <c r="AJ117" s="173"/>
      <c r="AK117" s="173"/>
      <c r="AL117" s="173"/>
      <c r="AM117" s="173"/>
      <c r="AN117" s="173"/>
      <c r="AO117" s="173"/>
      <c r="AP117" s="173"/>
      <c r="AQ117" s="173"/>
      <c r="AR117" s="173"/>
      <c r="AS117" s="173"/>
      <c r="AT117" s="173"/>
      <c r="AU117" s="173" t="s">
        <v>7393</v>
      </c>
      <c r="AV117" s="173"/>
      <c r="AW117" s="173"/>
      <c r="AX117" s="173"/>
      <c r="AY117" s="173"/>
    </row>
    <row r="118" spans="1:51">
      <c r="A118" s="469"/>
      <c r="B118" s="469"/>
      <c r="C118" s="469"/>
      <c r="D118" s="469"/>
      <c r="E118" s="469"/>
      <c r="F118" s="469"/>
      <c r="G118" s="469"/>
      <c r="H118" s="469"/>
      <c r="I118" s="469"/>
      <c r="J118" s="469"/>
      <c r="K118" s="469" t="s">
        <v>4817</v>
      </c>
      <c r="L118" s="173"/>
      <c r="M118" s="173"/>
      <c r="N118" s="173"/>
      <c r="O118" s="173"/>
      <c r="P118" s="173"/>
      <c r="Q118" s="173"/>
      <c r="R118" s="173"/>
      <c r="S118" s="173" t="s">
        <v>198</v>
      </c>
      <c r="T118" s="173"/>
      <c r="U118" s="173"/>
      <c r="V118" s="173"/>
      <c r="W118" s="173"/>
      <c r="X118" s="173"/>
      <c r="Y118" s="173"/>
      <c r="Z118" s="173" t="s">
        <v>6907</v>
      </c>
      <c r="AA118" s="173" t="s">
        <v>252</v>
      </c>
      <c r="AB118" s="173"/>
      <c r="AC118" s="173"/>
      <c r="AD118" s="173"/>
      <c r="AE118" s="173"/>
      <c r="AF118" s="173"/>
      <c r="AG118" s="173"/>
      <c r="AH118" s="173"/>
      <c r="AI118" s="173"/>
      <c r="AJ118" s="173"/>
      <c r="AK118" s="173"/>
      <c r="AL118" s="173"/>
      <c r="AM118" s="173"/>
      <c r="AN118" s="173"/>
      <c r="AO118" s="173"/>
      <c r="AP118" s="173"/>
      <c r="AQ118" s="173"/>
      <c r="AR118" s="173"/>
      <c r="AS118" s="173"/>
      <c r="AT118" s="173"/>
      <c r="AU118" s="173" t="s">
        <v>7394</v>
      </c>
      <c r="AV118" s="173"/>
      <c r="AW118" s="173"/>
      <c r="AX118" s="173"/>
      <c r="AY118" s="173"/>
    </row>
    <row r="119" spans="1:51">
      <c r="A119" s="469"/>
      <c r="B119" s="469"/>
      <c r="C119" s="469"/>
      <c r="D119" s="469"/>
      <c r="E119" s="469"/>
      <c r="F119" s="469"/>
      <c r="G119" s="469"/>
      <c r="H119" s="469"/>
      <c r="I119" s="469"/>
      <c r="J119" s="469"/>
      <c r="K119" s="469" t="s">
        <v>4818</v>
      </c>
      <c r="L119" s="173"/>
      <c r="M119" s="173"/>
      <c r="N119" s="173"/>
      <c r="O119" s="173"/>
      <c r="P119" s="173"/>
      <c r="Q119" s="173"/>
      <c r="R119" s="173"/>
      <c r="S119" s="173"/>
      <c r="T119" s="173"/>
      <c r="U119" s="173"/>
      <c r="V119" s="173"/>
      <c r="W119" s="173"/>
      <c r="X119" s="173"/>
      <c r="Y119" s="173"/>
      <c r="Z119" s="173" t="s">
        <v>6908</v>
      </c>
      <c r="AA119" s="173"/>
      <c r="AB119" s="173"/>
      <c r="AC119" s="173"/>
      <c r="AD119" s="173"/>
      <c r="AE119" s="173"/>
      <c r="AF119" s="173"/>
      <c r="AG119" s="173"/>
      <c r="AH119" s="173"/>
      <c r="AI119" s="173"/>
      <c r="AJ119" s="173"/>
      <c r="AK119" s="173"/>
      <c r="AL119" s="173"/>
      <c r="AM119" s="173"/>
      <c r="AN119" s="173"/>
      <c r="AO119" s="173"/>
      <c r="AP119" s="173"/>
      <c r="AQ119" s="173"/>
      <c r="AR119" s="173"/>
      <c r="AS119" s="173"/>
      <c r="AT119" s="173"/>
      <c r="AU119" s="173" t="s">
        <v>7395</v>
      </c>
      <c r="AV119" s="173"/>
      <c r="AW119" s="173"/>
      <c r="AX119" s="173"/>
      <c r="AY119" s="173"/>
    </row>
    <row r="120" spans="1:51">
      <c r="A120" s="469"/>
      <c r="B120" s="469"/>
      <c r="C120" s="469"/>
      <c r="D120" s="469"/>
      <c r="E120" s="469"/>
      <c r="F120" s="469"/>
      <c r="G120" s="469"/>
      <c r="H120" s="469"/>
      <c r="I120" s="469"/>
      <c r="J120" s="469"/>
      <c r="K120" s="469" t="s">
        <v>4819</v>
      </c>
      <c r="L120" s="173"/>
      <c r="M120" s="173"/>
      <c r="N120" s="173"/>
      <c r="O120" s="173"/>
      <c r="P120" s="173"/>
      <c r="Q120" s="173"/>
      <c r="R120" s="173"/>
      <c r="S120" s="173"/>
      <c r="T120" s="173"/>
      <c r="U120" s="173"/>
      <c r="V120" s="173"/>
      <c r="W120" s="173"/>
      <c r="X120" s="173"/>
      <c r="Y120" s="173"/>
      <c r="Z120" s="173" t="s">
        <v>6909</v>
      </c>
      <c r="AA120" s="173"/>
      <c r="AB120" s="173"/>
      <c r="AC120" s="173"/>
      <c r="AD120" s="173"/>
      <c r="AE120" s="173"/>
      <c r="AF120" s="173"/>
      <c r="AG120" s="173"/>
      <c r="AH120" s="173"/>
      <c r="AI120" s="173"/>
      <c r="AJ120" s="173"/>
      <c r="AK120" s="173"/>
      <c r="AL120" s="173"/>
      <c r="AM120" s="173"/>
      <c r="AN120" s="173"/>
      <c r="AO120" s="173"/>
      <c r="AP120" s="173"/>
      <c r="AQ120" s="173"/>
      <c r="AR120" s="173"/>
      <c r="AS120" s="173"/>
      <c r="AT120" s="173"/>
      <c r="AU120" s="173"/>
      <c r="AV120" s="173"/>
      <c r="AW120" s="173"/>
      <c r="AX120" s="173"/>
      <c r="AY120" s="173"/>
    </row>
    <row r="121" spans="1:51">
      <c r="A121" s="469"/>
      <c r="B121" s="469"/>
      <c r="C121" s="469"/>
      <c r="D121" s="469"/>
      <c r="E121" s="469"/>
      <c r="F121" s="469"/>
      <c r="G121" s="469"/>
      <c r="H121" s="469"/>
      <c r="I121" s="469"/>
      <c r="J121" s="469"/>
      <c r="K121" s="469" t="s">
        <v>4820</v>
      </c>
      <c r="L121" s="173"/>
      <c r="M121" s="173"/>
      <c r="N121" s="173"/>
      <c r="O121" s="173"/>
      <c r="P121" s="173"/>
      <c r="Q121" s="173"/>
      <c r="R121" s="173"/>
      <c r="S121" s="173"/>
      <c r="T121" s="173"/>
      <c r="U121" s="173"/>
      <c r="V121" s="173"/>
      <c r="W121" s="173"/>
      <c r="X121" s="173"/>
      <c r="Y121" s="173"/>
      <c r="Z121" s="173" t="s">
        <v>6910</v>
      </c>
      <c r="AA121" s="173"/>
      <c r="AB121" s="173"/>
      <c r="AC121" s="173"/>
      <c r="AD121" s="173"/>
      <c r="AE121" s="173"/>
      <c r="AF121" s="173"/>
      <c r="AG121" s="173"/>
      <c r="AH121" s="173"/>
      <c r="AI121" s="173"/>
      <c r="AJ121" s="173"/>
      <c r="AK121" s="173"/>
      <c r="AL121" s="173"/>
      <c r="AM121" s="173"/>
      <c r="AN121" s="173"/>
      <c r="AO121" s="173"/>
      <c r="AP121" s="173"/>
      <c r="AQ121" s="173"/>
      <c r="AR121" s="173"/>
      <c r="AS121" s="173"/>
      <c r="AT121" s="173"/>
      <c r="AU121" s="173"/>
      <c r="AV121" s="173"/>
      <c r="AW121" s="173"/>
      <c r="AX121" s="173"/>
      <c r="AY121" s="173"/>
    </row>
    <row r="122" spans="1:51">
      <c r="A122" s="469"/>
      <c r="B122" s="469"/>
      <c r="C122" s="469"/>
      <c r="D122" s="469"/>
      <c r="E122" s="469"/>
      <c r="F122" s="469"/>
      <c r="G122" s="469"/>
      <c r="H122" s="469"/>
      <c r="I122" s="469"/>
      <c r="J122" s="469"/>
      <c r="K122" s="469" t="s">
        <v>4821</v>
      </c>
      <c r="L122" s="173"/>
      <c r="M122" s="173"/>
      <c r="N122" s="173"/>
      <c r="O122" s="173"/>
      <c r="P122" s="173"/>
      <c r="Q122" s="173"/>
      <c r="R122" s="173"/>
      <c r="S122" s="173"/>
      <c r="T122" s="173"/>
      <c r="U122" s="173"/>
      <c r="V122" s="173"/>
      <c r="W122" s="173"/>
      <c r="X122" s="173"/>
      <c r="Y122" s="173"/>
      <c r="Z122" s="173" t="s">
        <v>6911</v>
      </c>
      <c r="AA122" s="173"/>
      <c r="AB122" s="173"/>
      <c r="AC122" s="173"/>
      <c r="AD122" s="173"/>
      <c r="AE122" s="173"/>
      <c r="AF122" s="173"/>
      <c r="AG122" s="173"/>
      <c r="AH122" s="173"/>
      <c r="AI122" s="173"/>
      <c r="AJ122" s="173"/>
      <c r="AK122" s="173"/>
      <c r="AL122" s="173"/>
      <c r="AM122" s="173"/>
      <c r="AN122" s="173"/>
      <c r="AO122" s="173"/>
      <c r="AP122" s="173"/>
      <c r="AQ122" s="173"/>
      <c r="AR122" s="173"/>
      <c r="AS122" s="173"/>
      <c r="AT122" s="173"/>
      <c r="AU122" s="173"/>
      <c r="AV122" s="173"/>
      <c r="AW122" s="173"/>
      <c r="AX122" s="173"/>
      <c r="AY122" s="173"/>
    </row>
    <row r="123" spans="1:51">
      <c r="A123" s="469"/>
      <c r="B123" s="469"/>
      <c r="C123" s="469"/>
      <c r="D123" s="469"/>
      <c r="E123" s="469"/>
      <c r="F123" s="469"/>
      <c r="G123" s="469"/>
      <c r="H123" s="469"/>
      <c r="I123" s="469"/>
      <c r="J123" s="469"/>
      <c r="K123" s="469" t="s">
        <v>4822</v>
      </c>
      <c r="L123" s="173"/>
      <c r="M123" s="173"/>
      <c r="N123" s="173"/>
      <c r="O123" s="173"/>
      <c r="P123" s="173"/>
      <c r="Q123" s="173"/>
      <c r="R123" s="173"/>
      <c r="S123" s="173"/>
      <c r="T123" s="173"/>
      <c r="U123" s="173"/>
      <c r="V123" s="173"/>
      <c r="W123" s="173"/>
      <c r="X123" s="173"/>
      <c r="Y123" s="173"/>
      <c r="Z123" s="173" t="s">
        <v>6912</v>
      </c>
      <c r="AA123" s="173"/>
      <c r="AB123" s="173"/>
      <c r="AC123" s="173"/>
      <c r="AD123" s="173"/>
      <c r="AE123" s="173"/>
      <c r="AF123" s="173"/>
      <c r="AG123" s="173"/>
      <c r="AH123" s="173"/>
      <c r="AI123" s="173"/>
      <c r="AJ123" s="173"/>
      <c r="AK123" s="173"/>
      <c r="AL123" s="173"/>
      <c r="AM123" s="173"/>
      <c r="AN123" s="173"/>
      <c r="AO123" s="173"/>
      <c r="AP123" s="173"/>
      <c r="AQ123" s="173"/>
      <c r="AR123" s="173"/>
      <c r="AS123" s="173"/>
      <c r="AT123" s="173"/>
      <c r="AU123" s="173"/>
      <c r="AV123" s="173"/>
      <c r="AW123" s="173"/>
      <c r="AX123" s="173"/>
      <c r="AY123" s="173"/>
    </row>
    <row r="124" spans="1:51">
      <c r="A124" s="469"/>
      <c r="B124" s="469"/>
      <c r="C124" s="469"/>
      <c r="D124" s="469"/>
      <c r="E124" s="469"/>
      <c r="F124" s="469"/>
      <c r="G124" s="469"/>
      <c r="H124" s="469"/>
      <c r="I124" s="469"/>
      <c r="J124" s="469"/>
      <c r="K124" s="469" t="s">
        <v>4823</v>
      </c>
      <c r="L124" s="173"/>
      <c r="M124" s="173"/>
      <c r="N124" s="173"/>
      <c r="O124" s="173"/>
      <c r="P124" s="173"/>
      <c r="Q124" s="173"/>
      <c r="R124" s="173"/>
      <c r="S124" s="173"/>
      <c r="T124" s="173"/>
      <c r="U124" s="173"/>
      <c r="V124" s="173"/>
      <c r="W124" s="173"/>
      <c r="X124" s="173"/>
      <c r="Y124" s="173"/>
      <c r="Z124" s="173" t="s">
        <v>6913</v>
      </c>
      <c r="AA124" s="173"/>
      <c r="AB124" s="173"/>
      <c r="AC124" s="173"/>
      <c r="AD124" s="173"/>
      <c r="AE124" s="173"/>
      <c r="AF124" s="173"/>
      <c r="AG124" s="173"/>
      <c r="AH124" s="173"/>
      <c r="AI124" s="173"/>
      <c r="AJ124" s="173"/>
      <c r="AK124" s="173"/>
      <c r="AL124" s="173"/>
      <c r="AM124" s="173"/>
      <c r="AN124" s="173"/>
      <c r="AO124" s="173"/>
      <c r="AP124" s="173"/>
      <c r="AQ124" s="173"/>
      <c r="AR124" s="173"/>
      <c r="AS124" s="173"/>
      <c r="AT124" s="173"/>
      <c r="AU124" s="173"/>
      <c r="AV124" s="173"/>
      <c r="AW124" s="173"/>
      <c r="AX124" s="173"/>
      <c r="AY124" s="173"/>
    </row>
    <row r="125" spans="1:51">
      <c r="A125" s="469"/>
      <c r="B125" s="469"/>
      <c r="C125" s="469"/>
      <c r="D125" s="469"/>
      <c r="E125" s="469"/>
      <c r="F125" s="469"/>
      <c r="G125" s="469"/>
      <c r="H125" s="469"/>
      <c r="I125" s="469"/>
      <c r="J125" s="469"/>
      <c r="K125" s="469" t="s">
        <v>4824</v>
      </c>
      <c r="L125" s="173"/>
      <c r="M125" s="173"/>
      <c r="N125" s="173"/>
      <c r="O125" s="173"/>
      <c r="P125" s="173"/>
      <c r="Q125" s="173"/>
      <c r="R125" s="173"/>
      <c r="S125" s="173"/>
      <c r="T125" s="173"/>
      <c r="U125" s="173"/>
      <c r="V125" s="173"/>
      <c r="W125" s="173"/>
      <c r="X125" s="173"/>
      <c r="Y125" s="173"/>
      <c r="Z125" s="173" t="s">
        <v>6914</v>
      </c>
      <c r="AA125" s="173"/>
      <c r="AB125" s="173"/>
      <c r="AC125" s="173"/>
      <c r="AD125" s="173"/>
      <c r="AE125" s="173"/>
      <c r="AF125" s="173"/>
      <c r="AG125" s="173"/>
      <c r="AH125" s="173"/>
      <c r="AI125" s="173"/>
      <c r="AJ125" s="173"/>
      <c r="AK125" s="173"/>
      <c r="AL125" s="173"/>
      <c r="AM125" s="173"/>
      <c r="AN125" s="173"/>
      <c r="AO125" s="173"/>
      <c r="AP125" s="173"/>
      <c r="AQ125" s="173"/>
      <c r="AR125" s="173"/>
      <c r="AS125" s="173"/>
      <c r="AT125" s="173"/>
      <c r="AU125" s="173"/>
      <c r="AV125" s="173"/>
      <c r="AW125" s="173"/>
      <c r="AX125" s="173"/>
      <c r="AY125" s="173"/>
    </row>
    <row r="126" spans="1:51">
      <c r="A126" s="469"/>
      <c r="B126" s="469"/>
      <c r="C126" s="469"/>
      <c r="D126" s="469"/>
      <c r="E126" s="469"/>
      <c r="F126" s="469"/>
      <c r="G126" s="469"/>
      <c r="H126" s="469"/>
      <c r="I126" s="469"/>
      <c r="J126" s="469"/>
      <c r="K126" s="469" t="s">
        <v>4825</v>
      </c>
      <c r="L126" s="173"/>
      <c r="M126" s="173"/>
      <c r="N126" s="173"/>
      <c r="O126" s="173"/>
      <c r="P126" s="173"/>
      <c r="Q126" s="173"/>
      <c r="R126" s="173"/>
      <c r="S126" s="173"/>
      <c r="T126" s="173"/>
      <c r="U126" s="173"/>
      <c r="V126" s="173"/>
      <c r="W126" s="173"/>
      <c r="X126" s="173"/>
      <c r="Y126" s="173"/>
      <c r="Z126" s="173" t="s">
        <v>6915</v>
      </c>
      <c r="AA126" s="173"/>
      <c r="AB126" s="173"/>
      <c r="AC126" s="173"/>
      <c r="AD126" s="173"/>
      <c r="AE126" s="173"/>
      <c r="AF126" s="173"/>
      <c r="AG126" s="173"/>
      <c r="AH126" s="173"/>
      <c r="AI126" s="173"/>
      <c r="AJ126" s="173"/>
      <c r="AK126" s="173"/>
      <c r="AL126" s="173"/>
      <c r="AM126" s="173"/>
      <c r="AN126" s="173"/>
      <c r="AO126" s="173"/>
      <c r="AP126" s="173"/>
      <c r="AQ126" s="173"/>
      <c r="AR126" s="173"/>
      <c r="AS126" s="173"/>
      <c r="AT126" s="173"/>
      <c r="AU126" s="173"/>
      <c r="AV126" s="173"/>
      <c r="AW126" s="173"/>
      <c r="AX126" s="173"/>
      <c r="AY126" s="173"/>
    </row>
    <row r="127" spans="1:51">
      <c r="A127" s="469"/>
      <c r="B127" s="469"/>
      <c r="C127" s="469"/>
      <c r="D127" s="469"/>
      <c r="E127" s="469"/>
      <c r="F127" s="469"/>
      <c r="G127" s="469"/>
      <c r="H127" s="469"/>
      <c r="I127" s="469"/>
      <c r="J127" s="469"/>
      <c r="K127" s="469" t="s">
        <v>4826</v>
      </c>
      <c r="L127" s="173"/>
      <c r="M127" s="173"/>
      <c r="N127" s="173"/>
      <c r="O127" s="173"/>
      <c r="P127" s="173"/>
      <c r="Q127" s="173"/>
      <c r="R127" s="173"/>
      <c r="S127" s="173"/>
      <c r="T127" s="173"/>
      <c r="U127" s="173"/>
      <c r="V127" s="173"/>
      <c r="W127" s="173"/>
      <c r="X127" s="173"/>
      <c r="Y127" s="173"/>
      <c r="Z127" s="173" t="s">
        <v>6916</v>
      </c>
      <c r="AA127" s="173"/>
      <c r="AB127" s="173"/>
      <c r="AC127" s="173"/>
      <c r="AD127" s="173"/>
      <c r="AE127" s="173"/>
      <c r="AF127" s="173"/>
      <c r="AG127" s="173"/>
      <c r="AH127" s="173"/>
      <c r="AI127" s="173"/>
      <c r="AJ127" s="173"/>
      <c r="AK127" s="173"/>
      <c r="AL127" s="173"/>
      <c r="AM127" s="173"/>
      <c r="AN127" s="173"/>
      <c r="AO127" s="173"/>
      <c r="AP127" s="173"/>
      <c r="AQ127" s="173"/>
      <c r="AR127" s="173"/>
      <c r="AS127" s="173"/>
      <c r="AT127" s="173"/>
      <c r="AU127" s="173"/>
      <c r="AV127" s="173"/>
      <c r="AW127" s="173"/>
      <c r="AX127" s="173"/>
      <c r="AY127" s="173"/>
    </row>
    <row r="128" spans="1:51">
      <c r="A128" s="469"/>
      <c r="B128" s="469"/>
      <c r="C128" s="469"/>
      <c r="D128" s="469"/>
      <c r="E128" s="469"/>
      <c r="F128" s="469"/>
      <c r="G128" s="469"/>
      <c r="H128" s="469"/>
      <c r="I128" s="469"/>
      <c r="J128" s="469"/>
      <c r="K128" s="469" t="s">
        <v>4827</v>
      </c>
      <c r="L128" s="173"/>
      <c r="M128" s="173"/>
      <c r="N128" s="173"/>
      <c r="O128" s="173"/>
      <c r="P128" s="173"/>
      <c r="Q128" s="173"/>
      <c r="R128" s="173"/>
      <c r="S128" s="173"/>
      <c r="T128" s="173"/>
      <c r="U128" s="173"/>
      <c r="V128" s="173"/>
      <c r="W128" s="173"/>
      <c r="X128" s="173"/>
      <c r="Y128" s="173"/>
      <c r="Z128" s="173" t="s">
        <v>6917</v>
      </c>
      <c r="AA128" s="173"/>
      <c r="AB128" s="173"/>
      <c r="AC128" s="173"/>
      <c r="AD128" s="173"/>
      <c r="AE128" s="173"/>
      <c r="AF128" s="173"/>
      <c r="AG128" s="173"/>
      <c r="AH128" s="173"/>
      <c r="AI128" s="173"/>
      <c r="AJ128" s="173"/>
      <c r="AK128" s="173"/>
      <c r="AL128" s="173"/>
      <c r="AM128" s="173"/>
      <c r="AN128" s="173"/>
      <c r="AO128" s="173"/>
      <c r="AP128" s="173"/>
      <c r="AQ128" s="173"/>
      <c r="AR128" s="173"/>
      <c r="AS128" s="173"/>
      <c r="AT128" s="173"/>
      <c r="AU128" s="173"/>
      <c r="AV128" s="173"/>
      <c r="AW128" s="173"/>
      <c r="AX128" s="173"/>
      <c r="AY128" s="173"/>
    </row>
    <row r="129" spans="1:51">
      <c r="A129" s="469"/>
      <c r="B129" s="469"/>
      <c r="C129" s="469"/>
      <c r="D129" s="469"/>
      <c r="E129" s="469"/>
      <c r="F129" s="469"/>
      <c r="G129" s="469"/>
      <c r="H129" s="469"/>
      <c r="I129" s="469"/>
      <c r="J129" s="469"/>
      <c r="K129" s="469" t="s">
        <v>4828</v>
      </c>
      <c r="L129" s="173"/>
      <c r="M129" s="173"/>
      <c r="N129" s="173"/>
      <c r="O129" s="173"/>
      <c r="P129" s="173"/>
      <c r="Q129" s="173"/>
      <c r="R129" s="173"/>
      <c r="S129" s="173"/>
      <c r="T129" s="173"/>
      <c r="U129" s="173"/>
      <c r="V129" s="173"/>
      <c r="W129" s="173"/>
      <c r="X129" s="173"/>
      <c r="Y129" s="173"/>
      <c r="Z129" s="173" t="s">
        <v>6918</v>
      </c>
      <c r="AA129" s="173"/>
      <c r="AB129" s="173"/>
      <c r="AC129" s="173"/>
      <c r="AD129" s="173"/>
      <c r="AE129" s="173"/>
      <c r="AF129" s="173"/>
      <c r="AG129" s="173"/>
      <c r="AH129" s="173"/>
      <c r="AI129" s="173"/>
      <c r="AJ129" s="173"/>
      <c r="AK129" s="173"/>
      <c r="AL129" s="173"/>
      <c r="AM129" s="173"/>
      <c r="AN129" s="173"/>
      <c r="AO129" s="173"/>
      <c r="AP129" s="173"/>
      <c r="AQ129" s="173"/>
      <c r="AR129" s="173"/>
      <c r="AS129" s="173"/>
      <c r="AT129" s="173"/>
      <c r="AU129" s="173"/>
      <c r="AV129" s="173"/>
      <c r="AW129" s="173"/>
      <c r="AX129" s="173"/>
      <c r="AY129" s="173"/>
    </row>
    <row r="130" spans="1:51">
      <c r="A130" s="469"/>
      <c r="B130" s="469"/>
      <c r="C130" s="469"/>
      <c r="D130" s="469"/>
      <c r="E130" s="469"/>
      <c r="F130" s="469"/>
      <c r="G130" s="469"/>
      <c r="H130" s="469"/>
      <c r="I130" s="469"/>
      <c r="J130" s="469"/>
      <c r="K130" s="469" t="s">
        <v>4829</v>
      </c>
      <c r="L130" s="173"/>
      <c r="M130" s="173"/>
      <c r="N130" s="173"/>
      <c r="O130" s="173"/>
      <c r="P130" s="173"/>
      <c r="Q130" s="173"/>
      <c r="R130" s="173"/>
      <c r="S130" s="173"/>
      <c r="T130" s="173"/>
      <c r="U130" s="173"/>
      <c r="V130" s="173"/>
      <c r="W130" s="173"/>
      <c r="X130" s="173"/>
      <c r="Y130" s="173"/>
      <c r="Z130" s="173" t="s">
        <v>6919</v>
      </c>
      <c r="AA130" s="173"/>
      <c r="AB130" s="173"/>
      <c r="AC130" s="173"/>
      <c r="AD130" s="173"/>
      <c r="AE130" s="173"/>
      <c r="AF130" s="173"/>
      <c r="AG130" s="173"/>
      <c r="AH130" s="173"/>
      <c r="AI130" s="173"/>
      <c r="AJ130" s="173"/>
      <c r="AK130" s="173"/>
      <c r="AL130" s="173"/>
      <c r="AM130" s="173"/>
      <c r="AN130" s="173"/>
      <c r="AO130" s="173"/>
      <c r="AP130" s="173"/>
      <c r="AQ130" s="173"/>
      <c r="AR130" s="173"/>
      <c r="AS130" s="173"/>
      <c r="AT130" s="173"/>
      <c r="AU130" s="173"/>
      <c r="AV130" s="173"/>
      <c r="AW130" s="173"/>
      <c r="AX130" s="173"/>
      <c r="AY130" s="173"/>
    </row>
    <row r="131" spans="1:51">
      <c r="A131" s="469"/>
      <c r="B131" s="469"/>
      <c r="C131" s="469"/>
      <c r="D131" s="469"/>
      <c r="E131" s="469"/>
      <c r="F131" s="469"/>
      <c r="G131" s="469"/>
      <c r="H131" s="469"/>
      <c r="I131" s="469"/>
      <c r="J131" s="469"/>
      <c r="K131" s="469" t="s">
        <v>4830</v>
      </c>
      <c r="L131" s="173"/>
      <c r="M131" s="173"/>
      <c r="N131" s="173"/>
      <c r="O131" s="173"/>
      <c r="P131" s="173"/>
      <c r="Q131" s="173"/>
      <c r="R131" s="173"/>
      <c r="S131" s="173"/>
      <c r="T131" s="173"/>
      <c r="U131" s="173"/>
      <c r="V131" s="173"/>
      <c r="W131" s="173"/>
      <c r="X131" s="173"/>
      <c r="Y131" s="173"/>
      <c r="Z131" s="173" t="s">
        <v>6920</v>
      </c>
      <c r="AA131" s="173"/>
      <c r="AB131" s="173"/>
      <c r="AC131" s="173"/>
      <c r="AD131" s="173"/>
      <c r="AE131" s="173"/>
      <c r="AF131" s="173"/>
      <c r="AG131" s="173"/>
      <c r="AH131" s="173"/>
      <c r="AI131" s="173"/>
      <c r="AJ131" s="173"/>
      <c r="AK131" s="173"/>
      <c r="AL131" s="173"/>
      <c r="AM131" s="173"/>
      <c r="AN131" s="173"/>
      <c r="AO131" s="173"/>
      <c r="AP131" s="173"/>
      <c r="AQ131" s="173"/>
      <c r="AR131" s="173"/>
      <c r="AS131" s="173"/>
      <c r="AT131" s="173"/>
      <c r="AU131" s="173"/>
      <c r="AV131" s="173"/>
      <c r="AW131" s="173"/>
      <c r="AX131" s="173"/>
      <c r="AY131" s="173"/>
    </row>
    <row r="132" spans="1:51">
      <c r="A132" s="469"/>
      <c r="B132" s="469"/>
      <c r="C132" s="469"/>
      <c r="D132" s="469"/>
      <c r="E132" s="469"/>
      <c r="F132" s="469"/>
      <c r="G132" s="469"/>
      <c r="H132" s="469"/>
      <c r="I132" s="469"/>
      <c r="J132" s="469"/>
      <c r="K132" s="469" t="s">
        <v>4831</v>
      </c>
      <c r="L132" s="173"/>
      <c r="M132" s="173"/>
      <c r="N132" s="173"/>
      <c r="O132" s="173"/>
      <c r="P132" s="173"/>
      <c r="Q132" s="173"/>
      <c r="R132" s="173"/>
      <c r="S132" s="173"/>
      <c r="T132" s="173"/>
      <c r="U132" s="173"/>
      <c r="V132" s="173"/>
      <c r="W132" s="173"/>
      <c r="X132" s="173"/>
      <c r="Y132" s="173"/>
      <c r="Z132" s="173" t="s">
        <v>6921</v>
      </c>
      <c r="AA132" s="173"/>
      <c r="AB132" s="173"/>
      <c r="AC132" s="173"/>
      <c r="AD132" s="173"/>
      <c r="AE132" s="173"/>
      <c r="AF132" s="173"/>
      <c r="AG132" s="173"/>
      <c r="AH132" s="173"/>
      <c r="AI132" s="173"/>
      <c r="AJ132" s="173"/>
      <c r="AK132" s="173"/>
      <c r="AL132" s="173"/>
      <c r="AM132" s="173"/>
      <c r="AN132" s="173"/>
      <c r="AO132" s="173"/>
      <c r="AP132" s="173"/>
      <c r="AQ132" s="173"/>
      <c r="AR132" s="173"/>
      <c r="AS132" s="173"/>
      <c r="AT132" s="173"/>
      <c r="AU132" s="173"/>
      <c r="AV132" s="173"/>
      <c r="AW132" s="173"/>
      <c r="AX132" s="173"/>
      <c r="AY132" s="173"/>
    </row>
    <row r="133" spans="1:51">
      <c r="A133" s="469"/>
      <c r="B133" s="469"/>
      <c r="C133" s="469"/>
      <c r="D133" s="469"/>
      <c r="E133" s="469"/>
      <c r="F133" s="469"/>
      <c r="G133" s="469"/>
      <c r="H133" s="469"/>
      <c r="I133" s="469"/>
      <c r="J133" s="469"/>
      <c r="K133" s="469" t="s">
        <v>4832</v>
      </c>
      <c r="L133" s="173"/>
      <c r="M133" s="173"/>
      <c r="N133" s="173"/>
      <c r="O133" s="173"/>
      <c r="P133" s="173"/>
      <c r="Q133" s="173"/>
      <c r="R133" s="173"/>
      <c r="S133" s="173"/>
      <c r="T133" s="173"/>
      <c r="U133" s="173"/>
      <c r="V133" s="173"/>
      <c r="W133" s="173"/>
      <c r="X133" s="173"/>
      <c r="Y133" s="173"/>
      <c r="Z133" s="173" t="s">
        <v>6922</v>
      </c>
      <c r="AA133" s="173"/>
      <c r="AB133" s="173"/>
      <c r="AC133" s="173"/>
      <c r="AD133" s="173"/>
      <c r="AE133" s="173"/>
      <c r="AF133" s="173"/>
      <c r="AG133" s="173"/>
      <c r="AH133" s="173"/>
      <c r="AI133" s="173"/>
      <c r="AJ133" s="173"/>
      <c r="AK133" s="173"/>
      <c r="AL133" s="173"/>
      <c r="AM133" s="173"/>
      <c r="AN133" s="173"/>
      <c r="AO133" s="173"/>
      <c r="AP133" s="173"/>
      <c r="AQ133" s="173"/>
      <c r="AR133" s="173"/>
      <c r="AS133" s="173"/>
      <c r="AT133" s="173"/>
      <c r="AU133" s="173"/>
      <c r="AV133" s="173"/>
      <c r="AW133" s="173"/>
      <c r="AX133" s="173"/>
      <c r="AY133" s="173"/>
    </row>
    <row r="134" spans="1:51">
      <c r="A134" s="469"/>
      <c r="B134" s="469"/>
      <c r="C134" s="469"/>
      <c r="D134" s="469"/>
      <c r="E134" s="469"/>
      <c r="F134" s="469"/>
      <c r="G134" s="469"/>
      <c r="H134" s="469"/>
      <c r="I134" s="469"/>
      <c r="J134" s="469"/>
      <c r="K134" s="469" t="s">
        <v>4833</v>
      </c>
      <c r="L134" s="173"/>
      <c r="M134" s="173"/>
      <c r="N134" s="173"/>
      <c r="O134" s="173"/>
      <c r="P134" s="173"/>
      <c r="Q134" s="173"/>
      <c r="R134" s="173"/>
      <c r="S134" s="173"/>
      <c r="T134" s="173"/>
      <c r="U134" s="173"/>
      <c r="V134" s="173"/>
      <c r="W134" s="173"/>
      <c r="X134" s="173"/>
      <c r="Y134" s="173"/>
      <c r="Z134" s="173" t="s">
        <v>6923</v>
      </c>
      <c r="AA134" s="173"/>
      <c r="AB134" s="173"/>
      <c r="AC134" s="173"/>
      <c r="AD134" s="173"/>
      <c r="AE134" s="173"/>
      <c r="AF134" s="173"/>
      <c r="AG134" s="173"/>
      <c r="AH134" s="173"/>
      <c r="AI134" s="173"/>
      <c r="AJ134" s="173"/>
      <c r="AK134" s="173"/>
      <c r="AL134" s="173"/>
      <c r="AM134" s="173"/>
      <c r="AN134" s="173"/>
      <c r="AO134" s="173"/>
      <c r="AP134" s="173"/>
      <c r="AQ134" s="173"/>
      <c r="AR134" s="173"/>
      <c r="AS134" s="173"/>
      <c r="AT134" s="173"/>
      <c r="AU134" s="173"/>
      <c r="AV134" s="173"/>
      <c r="AW134" s="173"/>
      <c r="AX134" s="173"/>
      <c r="AY134" s="173"/>
    </row>
    <row r="135" spans="1:51">
      <c r="A135" s="469"/>
      <c r="B135" s="469"/>
      <c r="C135" s="469"/>
      <c r="D135" s="469"/>
      <c r="E135" s="469"/>
      <c r="F135" s="469"/>
      <c r="G135" s="469"/>
      <c r="H135" s="469"/>
      <c r="I135" s="469"/>
      <c r="J135" s="469"/>
      <c r="K135" s="469" t="s">
        <v>4834</v>
      </c>
      <c r="L135" s="173"/>
      <c r="M135" s="173"/>
      <c r="N135" s="173"/>
      <c r="O135" s="173"/>
      <c r="P135" s="173"/>
      <c r="Q135" s="173"/>
      <c r="R135" s="173"/>
      <c r="S135" s="173"/>
      <c r="T135" s="173"/>
      <c r="U135" s="173"/>
      <c r="V135" s="173"/>
      <c r="W135" s="173"/>
      <c r="X135" s="173"/>
      <c r="Y135" s="173"/>
      <c r="Z135" s="173" t="s">
        <v>6924</v>
      </c>
      <c r="AA135" s="173"/>
      <c r="AB135" s="173"/>
      <c r="AC135" s="173"/>
      <c r="AD135" s="173"/>
      <c r="AE135" s="173"/>
      <c r="AF135" s="173"/>
      <c r="AG135" s="173"/>
      <c r="AH135" s="173"/>
      <c r="AI135" s="173"/>
      <c r="AJ135" s="173"/>
      <c r="AK135" s="173"/>
      <c r="AL135" s="173"/>
      <c r="AM135" s="173"/>
      <c r="AN135" s="173"/>
      <c r="AO135" s="173"/>
      <c r="AP135" s="173"/>
      <c r="AQ135" s="173"/>
      <c r="AR135" s="173"/>
      <c r="AS135" s="173"/>
      <c r="AT135" s="173"/>
      <c r="AU135" s="173"/>
      <c r="AV135" s="173"/>
      <c r="AW135" s="173"/>
      <c r="AX135" s="173"/>
      <c r="AY135" s="173"/>
    </row>
    <row r="136" spans="1:51">
      <c r="A136" s="469"/>
      <c r="B136" s="469"/>
      <c r="C136" s="469"/>
      <c r="D136" s="469"/>
      <c r="E136" s="469"/>
      <c r="F136" s="469"/>
      <c r="G136" s="469"/>
      <c r="H136" s="469"/>
      <c r="I136" s="469"/>
      <c r="J136" s="469"/>
      <c r="K136" s="469" t="s">
        <v>4835</v>
      </c>
      <c r="L136" s="173"/>
      <c r="M136" s="173"/>
      <c r="N136" s="173"/>
      <c r="O136" s="173"/>
      <c r="P136" s="173"/>
      <c r="Q136" s="173"/>
      <c r="R136" s="173"/>
      <c r="S136" s="173"/>
      <c r="T136" s="173"/>
      <c r="U136" s="173"/>
      <c r="V136" s="173"/>
      <c r="W136" s="173"/>
      <c r="X136" s="173"/>
      <c r="Y136" s="173"/>
      <c r="Z136" s="173" t="s">
        <v>6925</v>
      </c>
      <c r="AA136" s="173"/>
      <c r="AB136" s="173"/>
      <c r="AC136" s="173"/>
      <c r="AD136" s="173"/>
      <c r="AE136" s="173"/>
      <c r="AF136" s="173"/>
      <c r="AG136" s="173"/>
      <c r="AH136" s="173"/>
      <c r="AI136" s="173"/>
      <c r="AJ136" s="173"/>
      <c r="AK136" s="173"/>
      <c r="AL136" s="173"/>
      <c r="AM136" s="173"/>
      <c r="AN136" s="173"/>
      <c r="AO136" s="173"/>
      <c r="AP136" s="173"/>
      <c r="AQ136" s="173"/>
      <c r="AR136" s="173"/>
      <c r="AS136" s="173"/>
      <c r="AT136" s="173"/>
      <c r="AU136" s="173"/>
      <c r="AV136" s="173"/>
      <c r="AW136" s="173"/>
      <c r="AX136" s="173"/>
      <c r="AY136" s="173"/>
    </row>
    <row r="137" spans="1:51">
      <c r="A137" s="469"/>
      <c r="B137" s="469"/>
      <c r="C137" s="469"/>
      <c r="D137" s="469"/>
      <c r="E137" s="469"/>
      <c r="F137" s="469"/>
      <c r="G137" s="469"/>
      <c r="H137" s="469"/>
      <c r="I137" s="469"/>
      <c r="J137" s="469"/>
      <c r="K137" s="469" t="s">
        <v>4836</v>
      </c>
      <c r="L137" s="173"/>
      <c r="M137" s="173"/>
      <c r="N137" s="173"/>
      <c r="O137" s="173"/>
      <c r="P137" s="173"/>
      <c r="Q137" s="173"/>
      <c r="R137" s="173"/>
      <c r="S137" s="173"/>
      <c r="T137" s="173"/>
      <c r="U137" s="173"/>
      <c r="V137" s="173"/>
      <c r="W137" s="173"/>
      <c r="X137" s="173"/>
      <c r="Y137" s="173"/>
      <c r="Z137" s="173" t="s">
        <v>6926</v>
      </c>
      <c r="AA137" s="173"/>
      <c r="AB137" s="173"/>
      <c r="AC137" s="173"/>
      <c r="AD137" s="173"/>
      <c r="AE137" s="173"/>
      <c r="AF137" s="173"/>
      <c r="AG137" s="173"/>
      <c r="AH137" s="173"/>
      <c r="AI137" s="173"/>
      <c r="AJ137" s="173"/>
      <c r="AK137" s="173"/>
      <c r="AL137" s="173"/>
      <c r="AM137" s="173"/>
      <c r="AN137" s="173"/>
      <c r="AO137" s="173"/>
      <c r="AP137" s="173"/>
      <c r="AQ137" s="173"/>
      <c r="AR137" s="173"/>
      <c r="AS137" s="173"/>
      <c r="AT137" s="173"/>
      <c r="AU137" s="173"/>
      <c r="AV137" s="173"/>
      <c r="AW137" s="173"/>
      <c r="AX137" s="173"/>
      <c r="AY137" s="173"/>
    </row>
    <row r="138" spans="1:51">
      <c r="A138" s="469"/>
      <c r="B138" s="469"/>
      <c r="C138" s="469"/>
      <c r="D138" s="469"/>
      <c r="E138" s="469"/>
      <c r="F138" s="469"/>
      <c r="G138" s="469"/>
      <c r="H138" s="469"/>
      <c r="I138" s="469"/>
      <c r="J138" s="469"/>
      <c r="K138" s="469" t="s">
        <v>4837</v>
      </c>
      <c r="L138" s="173"/>
      <c r="M138" s="173"/>
      <c r="N138" s="173"/>
      <c r="O138" s="173"/>
      <c r="P138" s="173"/>
      <c r="Q138" s="173"/>
      <c r="R138" s="173"/>
      <c r="S138" s="173"/>
      <c r="T138" s="173"/>
      <c r="U138" s="173"/>
      <c r="V138" s="173"/>
      <c r="W138" s="173"/>
      <c r="X138" s="173"/>
      <c r="Y138" s="173"/>
      <c r="Z138" s="173" t="s">
        <v>6927</v>
      </c>
      <c r="AA138" s="173"/>
      <c r="AB138" s="173"/>
      <c r="AC138" s="173"/>
      <c r="AD138" s="173"/>
      <c r="AE138" s="173"/>
      <c r="AF138" s="173"/>
      <c r="AG138" s="173"/>
      <c r="AH138" s="173"/>
      <c r="AI138" s="173"/>
      <c r="AJ138" s="173"/>
      <c r="AK138" s="173"/>
      <c r="AL138" s="173"/>
      <c r="AM138" s="173"/>
      <c r="AN138" s="173"/>
      <c r="AO138" s="173"/>
      <c r="AP138" s="173"/>
      <c r="AQ138" s="173"/>
      <c r="AR138" s="173"/>
      <c r="AS138" s="173"/>
      <c r="AT138" s="173"/>
      <c r="AU138" s="173"/>
      <c r="AV138" s="173"/>
      <c r="AW138" s="173"/>
      <c r="AX138" s="173"/>
      <c r="AY138" s="173"/>
    </row>
    <row r="139" spans="1:51">
      <c r="A139" s="469"/>
      <c r="B139" s="469"/>
      <c r="C139" s="469"/>
      <c r="D139" s="469"/>
      <c r="E139" s="469"/>
      <c r="F139" s="469"/>
      <c r="G139" s="469"/>
      <c r="H139" s="469"/>
      <c r="I139" s="469"/>
      <c r="J139" s="469"/>
      <c r="K139" s="469" t="s">
        <v>4838</v>
      </c>
      <c r="L139" s="173"/>
      <c r="M139" s="173"/>
      <c r="N139" s="173"/>
      <c r="O139" s="173"/>
      <c r="P139" s="173"/>
      <c r="Q139" s="173"/>
      <c r="R139" s="173"/>
      <c r="S139" s="173"/>
      <c r="T139" s="173"/>
      <c r="U139" s="173"/>
      <c r="V139" s="173"/>
      <c r="W139" s="173"/>
      <c r="X139" s="173"/>
      <c r="Y139" s="173"/>
      <c r="Z139" s="173" t="s">
        <v>6928</v>
      </c>
      <c r="AA139" s="173"/>
      <c r="AB139" s="173"/>
      <c r="AC139" s="173"/>
      <c r="AD139" s="173"/>
      <c r="AE139" s="173"/>
      <c r="AF139" s="173"/>
      <c r="AG139" s="173"/>
      <c r="AH139" s="173"/>
      <c r="AI139" s="173"/>
      <c r="AJ139" s="173"/>
      <c r="AK139" s="173"/>
      <c r="AL139" s="173"/>
      <c r="AM139" s="173"/>
      <c r="AN139" s="173"/>
      <c r="AO139" s="173"/>
      <c r="AP139" s="173"/>
      <c r="AQ139" s="173"/>
      <c r="AR139" s="173"/>
      <c r="AS139" s="173"/>
      <c r="AT139" s="173"/>
      <c r="AU139" s="173"/>
      <c r="AV139" s="173"/>
      <c r="AW139" s="173"/>
      <c r="AX139" s="173"/>
      <c r="AY139" s="173"/>
    </row>
    <row r="140" spans="1:51">
      <c r="A140" s="469"/>
      <c r="B140" s="469"/>
      <c r="C140" s="469"/>
      <c r="D140" s="469"/>
      <c r="E140" s="469"/>
      <c r="F140" s="469"/>
      <c r="G140" s="469"/>
      <c r="H140" s="469"/>
      <c r="I140" s="469"/>
      <c r="J140" s="469"/>
      <c r="K140" s="469" t="s">
        <v>4839</v>
      </c>
      <c r="L140" s="173"/>
      <c r="M140" s="173"/>
      <c r="N140" s="173"/>
      <c r="O140" s="173"/>
      <c r="P140" s="173"/>
      <c r="Q140" s="173"/>
      <c r="R140" s="173"/>
      <c r="S140" s="173"/>
      <c r="T140" s="173"/>
      <c r="U140" s="173"/>
      <c r="V140" s="173"/>
      <c r="W140" s="173"/>
      <c r="X140" s="173"/>
      <c r="Y140" s="173"/>
      <c r="Z140" s="173" t="s">
        <v>6929</v>
      </c>
      <c r="AA140" s="173"/>
      <c r="AB140" s="173"/>
      <c r="AC140" s="173"/>
      <c r="AD140" s="173"/>
      <c r="AE140" s="173"/>
      <c r="AF140" s="173"/>
      <c r="AG140" s="173"/>
      <c r="AH140" s="173"/>
      <c r="AI140" s="173"/>
      <c r="AJ140" s="173"/>
      <c r="AK140" s="173"/>
      <c r="AL140" s="173"/>
      <c r="AM140" s="173"/>
      <c r="AN140" s="173"/>
      <c r="AO140" s="173"/>
      <c r="AP140" s="173"/>
      <c r="AQ140" s="173"/>
      <c r="AR140" s="173"/>
      <c r="AS140" s="173"/>
      <c r="AT140" s="173"/>
      <c r="AU140" s="173"/>
      <c r="AV140" s="173"/>
      <c r="AW140" s="173"/>
      <c r="AX140" s="173"/>
      <c r="AY140" s="173"/>
    </row>
    <row r="141" spans="1:51">
      <c r="A141" s="469"/>
      <c r="B141" s="469"/>
      <c r="C141" s="469"/>
      <c r="D141" s="469"/>
      <c r="E141" s="469"/>
      <c r="F141" s="469"/>
      <c r="G141" s="469"/>
      <c r="H141" s="469"/>
      <c r="I141" s="469"/>
      <c r="J141" s="469"/>
      <c r="K141" s="469" t="s">
        <v>4840</v>
      </c>
      <c r="L141" s="173"/>
      <c r="M141" s="173"/>
      <c r="N141" s="173"/>
      <c r="O141" s="173"/>
      <c r="P141" s="173"/>
      <c r="Q141" s="173"/>
      <c r="R141" s="173"/>
      <c r="S141" s="173"/>
      <c r="T141" s="173"/>
      <c r="U141" s="173"/>
      <c r="V141" s="173"/>
      <c r="W141" s="173"/>
      <c r="X141" s="173"/>
      <c r="Y141" s="173"/>
      <c r="Z141" s="173" t="s">
        <v>6930</v>
      </c>
      <c r="AA141" s="173"/>
      <c r="AB141" s="173"/>
      <c r="AC141" s="173"/>
      <c r="AD141" s="173"/>
      <c r="AE141" s="173"/>
      <c r="AF141" s="173"/>
      <c r="AG141" s="173"/>
      <c r="AH141" s="173"/>
      <c r="AI141" s="173"/>
      <c r="AJ141" s="173"/>
      <c r="AK141" s="173"/>
      <c r="AL141" s="173"/>
      <c r="AM141" s="173"/>
      <c r="AN141" s="173"/>
      <c r="AO141" s="173"/>
      <c r="AP141" s="173"/>
      <c r="AQ141" s="173"/>
      <c r="AR141" s="173"/>
      <c r="AS141" s="173"/>
      <c r="AT141" s="173"/>
      <c r="AU141" s="173"/>
      <c r="AV141" s="173"/>
      <c r="AW141" s="173"/>
      <c r="AX141" s="173"/>
      <c r="AY141" s="173"/>
    </row>
    <row r="142" spans="1:51">
      <c r="A142" s="469"/>
      <c r="B142" s="469"/>
      <c r="C142" s="469"/>
      <c r="D142" s="469"/>
      <c r="E142" s="469"/>
      <c r="F142" s="469"/>
      <c r="G142" s="469"/>
      <c r="H142" s="469"/>
      <c r="I142" s="469"/>
      <c r="J142" s="469"/>
      <c r="K142" s="469" t="s">
        <v>4841</v>
      </c>
      <c r="L142" s="173"/>
      <c r="M142" s="173"/>
      <c r="N142" s="173"/>
      <c r="O142" s="173"/>
      <c r="P142" s="173"/>
      <c r="Q142" s="173"/>
      <c r="R142" s="173"/>
      <c r="S142" s="173"/>
      <c r="T142" s="173"/>
      <c r="U142" s="173"/>
      <c r="V142" s="173"/>
      <c r="W142" s="173"/>
      <c r="X142" s="173"/>
      <c r="Y142" s="173"/>
      <c r="Z142" s="173" t="s">
        <v>6931</v>
      </c>
      <c r="AA142" s="173"/>
      <c r="AB142" s="173"/>
      <c r="AC142" s="173"/>
      <c r="AD142" s="173"/>
      <c r="AE142" s="173"/>
      <c r="AF142" s="173"/>
      <c r="AG142" s="173"/>
      <c r="AH142" s="173"/>
      <c r="AI142" s="173"/>
      <c r="AJ142" s="173"/>
      <c r="AK142" s="173"/>
      <c r="AL142" s="173"/>
      <c r="AM142" s="173"/>
      <c r="AN142" s="173"/>
      <c r="AO142" s="173"/>
      <c r="AP142" s="173"/>
      <c r="AQ142" s="173"/>
      <c r="AR142" s="173"/>
      <c r="AS142" s="173"/>
      <c r="AT142" s="173"/>
      <c r="AU142" s="173"/>
      <c r="AV142" s="173"/>
      <c r="AW142" s="173"/>
      <c r="AX142" s="173"/>
      <c r="AY142" s="173"/>
    </row>
    <row r="143" spans="1:51">
      <c r="A143" s="469"/>
      <c r="B143" s="469"/>
      <c r="C143" s="469"/>
      <c r="D143" s="469"/>
      <c r="E143" s="469"/>
      <c r="F143" s="469"/>
      <c r="G143" s="469"/>
      <c r="H143" s="469"/>
      <c r="I143" s="469"/>
      <c r="J143" s="469"/>
      <c r="K143" s="469" t="s">
        <v>4842</v>
      </c>
      <c r="L143" s="173"/>
      <c r="M143" s="173"/>
      <c r="N143" s="173"/>
      <c r="O143" s="173"/>
      <c r="P143" s="173"/>
      <c r="Q143" s="173"/>
      <c r="R143" s="173"/>
      <c r="S143" s="173"/>
      <c r="T143" s="173"/>
      <c r="U143" s="173"/>
      <c r="V143" s="173"/>
      <c r="W143" s="173"/>
      <c r="X143" s="173"/>
      <c r="Y143" s="173"/>
      <c r="Z143" s="173" t="s">
        <v>6932</v>
      </c>
      <c r="AA143" s="173"/>
      <c r="AB143" s="173"/>
      <c r="AC143" s="173"/>
      <c r="AD143" s="173"/>
      <c r="AE143" s="173"/>
      <c r="AF143" s="173"/>
      <c r="AG143" s="173"/>
      <c r="AH143" s="173"/>
      <c r="AI143" s="173"/>
      <c r="AJ143" s="173"/>
      <c r="AK143" s="173"/>
      <c r="AL143" s="173"/>
      <c r="AM143" s="173"/>
      <c r="AN143" s="173"/>
      <c r="AO143" s="173"/>
      <c r="AP143" s="173"/>
      <c r="AQ143" s="173"/>
      <c r="AR143" s="173"/>
      <c r="AS143" s="173"/>
      <c r="AT143" s="173"/>
      <c r="AU143" s="173"/>
      <c r="AV143" s="173"/>
      <c r="AW143" s="173"/>
      <c r="AX143" s="173"/>
      <c r="AY143" s="173"/>
    </row>
    <row r="144" spans="1:51">
      <c r="A144" s="469"/>
      <c r="B144" s="469"/>
      <c r="C144" s="469"/>
      <c r="D144" s="469"/>
      <c r="E144" s="469"/>
      <c r="F144" s="469"/>
      <c r="G144" s="469"/>
      <c r="H144" s="469"/>
      <c r="I144" s="469"/>
      <c r="J144" s="469"/>
      <c r="K144" s="469" t="s">
        <v>4843</v>
      </c>
      <c r="L144" s="173"/>
      <c r="M144" s="173"/>
      <c r="N144" s="173"/>
      <c r="O144" s="173"/>
      <c r="P144" s="173"/>
      <c r="Q144" s="173"/>
      <c r="R144" s="173"/>
      <c r="S144" s="173"/>
      <c r="T144" s="173"/>
      <c r="U144" s="173"/>
      <c r="V144" s="173"/>
      <c r="W144" s="173"/>
      <c r="X144" s="173"/>
      <c r="Y144" s="173"/>
      <c r="Z144" s="173" t="s">
        <v>6933</v>
      </c>
      <c r="AA144" s="173"/>
      <c r="AB144" s="173"/>
      <c r="AC144" s="173"/>
      <c r="AD144" s="173"/>
      <c r="AE144" s="173"/>
      <c r="AF144" s="173"/>
      <c r="AG144" s="173"/>
      <c r="AH144" s="173"/>
      <c r="AI144" s="173"/>
      <c r="AJ144" s="173"/>
      <c r="AK144" s="173"/>
      <c r="AL144" s="173"/>
      <c r="AM144" s="173"/>
      <c r="AN144" s="173"/>
      <c r="AO144" s="173"/>
      <c r="AP144" s="173"/>
      <c r="AQ144" s="173"/>
      <c r="AR144" s="173"/>
      <c r="AS144" s="173"/>
      <c r="AT144" s="173"/>
      <c r="AU144" s="173"/>
      <c r="AV144" s="173"/>
      <c r="AW144" s="173"/>
      <c r="AX144" s="173"/>
      <c r="AY144" s="173"/>
    </row>
    <row r="145" spans="1:51">
      <c r="A145" s="469"/>
      <c r="B145" s="469"/>
      <c r="C145" s="469"/>
      <c r="D145" s="469"/>
      <c r="E145" s="469"/>
      <c r="F145" s="469"/>
      <c r="G145" s="469"/>
      <c r="H145" s="469"/>
      <c r="I145" s="469"/>
      <c r="J145" s="469"/>
      <c r="K145" s="469" t="s">
        <v>4844</v>
      </c>
      <c r="L145" s="173"/>
      <c r="M145" s="173"/>
      <c r="N145" s="173"/>
      <c r="O145" s="173"/>
      <c r="P145" s="173"/>
      <c r="Q145" s="173"/>
      <c r="R145" s="173"/>
      <c r="S145" s="173"/>
      <c r="T145" s="173"/>
      <c r="U145" s="173"/>
      <c r="V145" s="173"/>
      <c r="W145" s="173"/>
      <c r="X145" s="173"/>
      <c r="Y145" s="173"/>
      <c r="Z145" s="173" t="s">
        <v>6934</v>
      </c>
      <c r="AA145" s="173"/>
      <c r="AB145" s="173"/>
      <c r="AC145" s="173"/>
      <c r="AD145" s="173"/>
      <c r="AE145" s="173"/>
      <c r="AF145" s="173"/>
      <c r="AG145" s="173"/>
      <c r="AH145" s="173"/>
      <c r="AI145" s="173"/>
      <c r="AJ145" s="173"/>
      <c r="AK145" s="173"/>
      <c r="AL145" s="173"/>
      <c r="AM145" s="173"/>
      <c r="AN145" s="173"/>
      <c r="AO145" s="173"/>
      <c r="AP145" s="173"/>
      <c r="AQ145" s="173"/>
      <c r="AR145" s="173"/>
      <c r="AS145" s="173"/>
      <c r="AT145" s="173"/>
      <c r="AU145" s="173"/>
      <c r="AV145" s="173"/>
      <c r="AW145" s="173"/>
      <c r="AX145" s="173"/>
      <c r="AY145" s="173"/>
    </row>
    <row r="146" spans="1:51">
      <c r="A146" s="469"/>
      <c r="B146" s="469"/>
      <c r="C146" s="469"/>
      <c r="D146" s="469"/>
      <c r="E146" s="469"/>
      <c r="F146" s="469"/>
      <c r="G146" s="469"/>
      <c r="H146" s="469"/>
      <c r="I146" s="469"/>
      <c r="J146" s="469"/>
      <c r="K146" s="469" t="s">
        <v>4845</v>
      </c>
      <c r="L146" s="173"/>
      <c r="M146" s="173"/>
      <c r="N146" s="173"/>
      <c r="O146" s="173"/>
      <c r="P146" s="173"/>
      <c r="Q146" s="173"/>
      <c r="R146" s="173"/>
      <c r="S146" s="173"/>
      <c r="T146" s="173"/>
      <c r="U146" s="173"/>
      <c r="V146" s="173"/>
      <c r="W146" s="173"/>
      <c r="X146" s="173"/>
      <c r="Y146" s="173"/>
      <c r="Z146" s="173" t="s">
        <v>6935</v>
      </c>
      <c r="AA146" s="173"/>
      <c r="AB146" s="173"/>
      <c r="AC146" s="173"/>
      <c r="AD146" s="173"/>
      <c r="AE146" s="173"/>
      <c r="AF146" s="173"/>
      <c r="AG146" s="173"/>
      <c r="AH146" s="173"/>
      <c r="AI146" s="173"/>
      <c r="AJ146" s="173"/>
      <c r="AK146" s="173"/>
      <c r="AL146" s="173"/>
      <c r="AM146" s="173"/>
      <c r="AN146" s="173"/>
      <c r="AO146" s="173"/>
      <c r="AP146" s="173"/>
      <c r="AQ146" s="173"/>
      <c r="AR146" s="173"/>
      <c r="AS146" s="173"/>
      <c r="AT146" s="173"/>
      <c r="AU146" s="173"/>
      <c r="AV146" s="173"/>
      <c r="AW146" s="173"/>
      <c r="AX146" s="173"/>
      <c r="AY146" s="173"/>
    </row>
    <row r="147" spans="1:51">
      <c r="A147" s="469"/>
      <c r="B147" s="469"/>
      <c r="C147" s="469"/>
      <c r="D147" s="469"/>
      <c r="E147" s="469"/>
      <c r="F147" s="469"/>
      <c r="G147" s="469"/>
      <c r="H147" s="469"/>
      <c r="I147" s="469"/>
      <c r="J147" s="469"/>
      <c r="K147" s="469" t="s">
        <v>4846</v>
      </c>
      <c r="L147" s="173"/>
      <c r="M147" s="173"/>
      <c r="N147" s="173"/>
      <c r="O147" s="173"/>
      <c r="P147" s="173"/>
      <c r="Q147" s="173"/>
      <c r="R147" s="173"/>
      <c r="S147" s="173"/>
      <c r="T147" s="173"/>
      <c r="U147" s="173"/>
      <c r="V147" s="173"/>
      <c r="W147" s="173"/>
      <c r="X147" s="173"/>
      <c r="Y147" s="173"/>
      <c r="Z147" s="173" t="s">
        <v>6936</v>
      </c>
      <c r="AA147" s="173"/>
      <c r="AB147" s="173"/>
      <c r="AC147" s="173"/>
      <c r="AD147" s="173"/>
      <c r="AE147" s="173"/>
      <c r="AF147" s="173"/>
      <c r="AG147" s="173"/>
      <c r="AH147" s="173"/>
      <c r="AI147" s="173"/>
      <c r="AJ147" s="173"/>
      <c r="AK147" s="173"/>
      <c r="AL147" s="173"/>
      <c r="AM147" s="173"/>
      <c r="AN147" s="173"/>
      <c r="AO147" s="173"/>
      <c r="AP147" s="173"/>
      <c r="AQ147" s="173"/>
      <c r="AR147" s="173"/>
      <c r="AS147" s="173"/>
      <c r="AT147" s="173"/>
      <c r="AU147" s="173"/>
      <c r="AV147" s="173"/>
      <c r="AW147" s="173"/>
      <c r="AX147" s="173"/>
      <c r="AY147" s="173"/>
    </row>
    <row r="148" spans="1:51">
      <c r="A148" s="469"/>
      <c r="B148" s="469"/>
      <c r="C148" s="469"/>
      <c r="D148" s="469"/>
      <c r="E148" s="469"/>
      <c r="F148" s="469"/>
      <c r="G148" s="469"/>
      <c r="H148" s="469"/>
      <c r="I148" s="469"/>
      <c r="J148" s="469"/>
      <c r="K148" s="469" t="s">
        <v>4847</v>
      </c>
      <c r="L148" s="173"/>
      <c r="M148" s="173"/>
      <c r="N148" s="173"/>
      <c r="O148" s="173"/>
      <c r="P148" s="173"/>
      <c r="Q148" s="173"/>
      <c r="R148" s="173"/>
      <c r="S148" s="173"/>
      <c r="T148" s="173"/>
      <c r="U148" s="173"/>
      <c r="V148" s="173"/>
      <c r="W148" s="173"/>
      <c r="X148" s="173"/>
      <c r="Y148" s="173"/>
      <c r="Z148" s="173" t="s">
        <v>6937</v>
      </c>
      <c r="AA148" s="173"/>
      <c r="AB148" s="173"/>
      <c r="AC148" s="173"/>
      <c r="AD148" s="173"/>
      <c r="AE148" s="173"/>
      <c r="AF148" s="173"/>
      <c r="AG148" s="173"/>
      <c r="AH148" s="173"/>
      <c r="AI148" s="173"/>
      <c r="AJ148" s="173"/>
      <c r="AK148" s="173"/>
      <c r="AL148" s="173"/>
      <c r="AM148" s="173"/>
      <c r="AN148" s="173"/>
      <c r="AO148" s="173"/>
      <c r="AP148" s="173"/>
      <c r="AQ148" s="173"/>
      <c r="AR148" s="173"/>
      <c r="AS148" s="173"/>
      <c r="AT148" s="173"/>
      <c r="AU148" s="173"/>
      <c r="AV148" s="173"/>
      <c r="AW148" s="173"/>
      <c r="AX148" s="173"/>
      <c r="AY148" s="173"/>
    </row>
    <row r="149" spans="1:51">
      <c r="A149" s="469"/>
      <c r="B149" s="469"/>
      <c r="C149" s="469"/>
      <c r="D149" s="469"/>
      <c r="E149" s="469"/>
      <c r="F149" s="469"/>
      <c r="G149" s="469"/>
      <c r="H149" s="469"/>
      <c r="I149" s="469"/>
      <c r="J149" s="469"/>
      <c r="K149" s="469" t="s">
        <v>4848</v>
      </c>
      <c r="L149" s="173"/>
      <c r="M149" s="173"/>
      <c r="N149" s="173"/>
      <c r="O149" s="173"/>
      <c r="P149" s="173"/>
      <c r="Q149" s="173"/>
      <c r="R149" s="173"/>
      <c r="S149" s="173"/>
      <c r="T149" s="173"/>
      <c r="U149" s="173"/>
      <c r="V149" s="173"/>
      <c r="W149" s="173"/>
      <c r="X149" s="173"/>
      <c r="Y149" s="173"/>
      <c r="Z149" s="173" t="s">
        <v>6938</v>
      </c>
      <c r="AA149" s="173"/>
      <c r="AB149" s="173"/>
      <c r="AC149" s="173"/>
      <c r="AD149" s="173"/>
      <c r="AE149" s="173"/>
      <c r="AF149" s="173"/>
      <c r="AG149" s="173"/>
      <c r="AH149" s="173"/>
      <c r="AI149" s="173"/>
      <c r="AJ149" s="173"/>
      <c r="AK149" s="173"/>
      <c r="AL149" s="173"/>
      <c r="AM149" s="173"/>
      <c r="AN149" s="173"/>
      <c r="AO149" s="173"/>
      <c r="AP149" s="173"/>
      <c r="AQ149" s="173"/>
      <c r="AR149" s="173"/>
      <c r="AS149" s="173"/>
      <c r="AT149" s="173"/>
      <c r="AU149" s="173"/>
      <c r="AV149" s="173"/>
      <c r="AW149" s="173"/>
      <c r="AX149" s="173"/>
      <c r="AY149" s="173"/>
    </row>
    <row r="150" spans="1:51">
      <c r="A150" s="469"/>
      <c r="B150" s="469"/>
      <c r="C150" s="469"/>
      <c r="D150" s="469"/>
      <c r="E150" s="469"/>
      <c r="F150" s="469"/>
      <c r="G150" s="469"/>
      <c r="H150" s="469"/>
      <c r="I150" s="469"/>
      <c r="J150" s="469"/>
      <c r="K150" s="469" t="s">
        <v>4849</v>
      </c>
      <c r="L150" s="173"/>
      <c r="M150" s="173"/>
      <c r="N150" s="173"/>
      <c r="O150" s="173"/>
      <c r="P150" s="173"/>
      <c r="Q150" s="173"/>
      <c r="R150" s="173"/>
      <c r="S150" s="173"/>
      <c r="T150" s="173"/>
      <c r="U150" s="173"/>
      <c r="V150" s="173"/>
      <c r="W150" s="173"/>
      <c r="X150" s="173"/>
      <c r="Y150" s="173"/>
      <c r="Z150" s="173" t="s">
        <v>6939</v>
      </c>
      <c r="AA150" s="173"/>
      <c r="AB150" s="173"/>
      <c r="AC150" s="173"/>
      <c r="AD150" s="173"/>
      <c r="AE150" s="173"/>
      <c r="AF150" s="173"/>
      <c r="AG150" s="173"/>
      <c r="AH150" s="173"/>
      <c r="AI150" s="173"/>
      <c r="AJ150" s="173"/>
      <c r="AK150" s="173"/>
      <c r="AL150" s="173"/>
      <c r="AM150" s="173"/>
      <c r="AN150" s="173"/>
      <c r="AO150" s="173"/>
      <c r="AP150" s="173"/>
      <c r="AQ150" s="173"/>
      <c r="AR150" s="173"/>
      <c r="AS150" s="173"/>
      <c r="AT150" s="173"/>
      <c r="AU150" s="173"/>
      <c r="AV150" s="173"/>
      <c r="AW150" s="173"/>
      <c r="AX150" s="173"/>
      <c r="AY150" s="173"/>
    </row>
    <row r="151" spans="1:51">
      <c r="A151" s="469"/>
      <c r="B151" s="469"/>
      <c r="C151" s="469"/>
      <c r="D151" s="469"/>
      <c r="E151" s="469"/>
      <c r="F151" s="469"/>
      <c r="G151" s="469"/>
      <c r="H151" s="469"/>
      <c r="I151" s="469"/>
      <c r="J151" s="469"/>
      <c r="K151" s="469" t="s">
        <v>4850</v>
      </c>
      <c r="L151" s="173"/>
      <c r="M151" s="173"/>
      <c r="N151" s="173"/>
      <c r="O151" s="173"/>
      <c r="P151" s="173"/>
      <c r="Q151" s="173"/>
      <c r="R151" s="173"/>
      <c r="S151" s="173"/>
      <c r="T151" s="173"/>
      <c r="U151" s="173"/>
      <c r="V151" s="173"/>
      <c r="W151" s="173"/>
      <c r="X151" s="173"/>
      <c r="Y151" s="173"/>
      <c r="Z151" s="173" t="s">
        <v>6940</v>
      </c>
      <c r="AA151" s="173"/>
      <c r="AB151" s="173"/>
      <c r="AC151" s="173"/>
      <c r="AD151" s="173"/>
      <c r="AE151" s="173"/>
      <c r="AF151" s="173"/>
      <c r="AG151" s="173"/>
      <c r="AH151" s="173"/>
      <c r="AI151" s="173"/>
      <c r="AJ151" s="173"/>
      <c r="AK151" s="173"/>
      <c r="AL151" s="173"/>
      <c r="AM151" s="173"/>
      <c r="AN151" s="173"/>
      <c r="AO151" s="173"/>
      <c r="AP151" s="173"/>
      <c r="AQ151" s="173"/>
      <c r="AR151" s="173"/>
      <c r="AS151" s="173"/>
      <c r="AT151" s="173"/>
      <c r="AU151" s="173"/>
      <c r="AV151" s="173"/>
      <c r="AW151" s="173"/>
      <c r="AX151" s="173"/>
      <c r="AY151" s="173"/>
    </row>
    <row r="152" spans="1:51">
      <c r="A152" s="469"/>
      <c r="B152" s="469"/>
      <c r="C152" s="469"/>
      <c r="D152" s="469"/>
      <c r="E152" s="469"/>
      <c r="F152" s="469"/>
      <c r="G152" s="469"/>
      <c r="H152" s="469"/>
      <c r="I152" s="469"/>
      <c r="J152" s="469"/>
      <c r="K152" s="469" t="s">
        <v>4851</v>
      </c>
      <c r="L152" s="173"/>
      <c r="M152" s="173"/>
      <c r="N152" s="173"/>
      <c r="O152" s="173"/>
      <c r="P152" s="173"/>
      <c r="Q152" s="173"/>
      <c r="R152" s="173"/>
      <c r="S152" s="173"/>
      <c r="T152" s="173"/>
      <c r="U152" s="173"/>
      <c r="V152" s="173"/>
      <c r="W152" s="173"/>
      <c r="X152" s="173"/>
      <c r="Y152" s="173"/>
      <c r="Z152" s="173" t="s">
        <v>6941</v>
      </c>
      <c r="AA152" s="173"/>
      <c r="AB152" s="173"/>
      <c r="AC152" s="173"/>
      <c r="AD152" s="173"/>
      <c r="AE152" s="173"/>
      <c r="AF152" s="173"/>
      <c r="AG152" s="173"/>
      <c r="AH152" s="173"/>
      <c r="AI152" s="173"/>
      <c r="AJ152" s="173"/>
      <c r="AK152" s="173"/>
      <c r="AL152" s="173"/>
      <c r="AM152" s="173"/>
      <c r="AN152" s="173"/>
      <c r="AO152" s="173"/>
      <c r="AP152" s="173"/>
      <c r="AQ152" s="173"/>
      <c r="AR152" s="173"/>
      <c r="AS152" s="173"/>
      <c r="AT152" s="173"/>
      <c r="AU152" s="173"/>
      <c r="AV152" s="173"/>
      <c r="AW152" s="173"/>
      <c r="AX152" s="173"/>
      <c r="AY152" s="173"/>
    </row>
    <row r="153" spans="1:51">
      <c r="A153" s="469"/>
      <c r="B153" s="469"/>
      <c r="C153" s="469"/>
      <c r="D153" s="469"/>
      <c r="E153" s="469"/>
      <c r="F153" s="469"/>
      <c r="G153" s="469"/>
      <c r="H153" s="469"/>
      <c r="I153" s="469"/>
      <c r="J153" s="469"/>
      <c r="K153" s="469" t="s">
        <v>378</v>
      </c>
      <c r="L153" s="173"/>
      <c r="M153" s="173"/>
      <c r="N153" s="173"/>
      <c r="O153" s="173"/>
      <c r="P153" s="173"/>
      <c r="Q153" s="173"/>
      <c r="R153" s="173"/>
      <c r="S153" s="173"/>
      <c r="T153" s="173"/>
      <c r="U153" s="173"/>
      <c r="V153" s="173"/>
      <c r="W153" s="173"/>
      <c r="X153" s="173"/>
      <c r="Y153" s="173"/>
      <c r="Z153" s="173" t="s">
        <v>6942</v>
      </c>
      <c r="AA153" s="173"/>
      <c r="AB153" s="173"/>
      <c r="AC153" s="173"/>
      <c r="AD153" s="173"/>
      <c r="AE153" s="173"/>
      <c r="AF153" s="173"/>
      <c r="AG153" s="173"/>
      <c r="AH153" s="173"/>
      <c r="AI153" s="173"/>
      <c r="AJ153" s="173"/>
      <c r="AK153" s="173"/>
      <c r="AL153" s="173"/>
      <c r="AM153" s="173"/>
      <c r="AN153" s="173"/>
      <c r="AO153" s="173"/>
      <c r="AP153" s="173"/>
      <c r="AQ153" s="173"/>
      <c r="AR153" s="173"/>
      <c r="AS153" s="173"/>
      <c r="AT153" s="173"/>
      <c r="AU153" s="173"/>
      <c r="AV153" s="173"/>
      <c r="AW153" s="173"/>
      <c r="AX153" s="173"/>
      <c r="AY153" s="173"/>
    </row>
    <row r="154" spans="1:51">
      <c r="A154" s="469"/>
      <c r="B154" s="469"/>
      <c r="C154" s="469"/>
      <c r="D154" s="469"/>
      <c r="E154" s="469"/>
      <c r="F154" s="469"/>
      <c r="G154" s="469"/>
      <c r="H154" s="469"/>
      <c r="I154" s="469"/>
      <c r="J154" s="469"/>
      <c r="K154" s="469" t="s">
        <v>4852</v>
      </c>
      <c r="L154" s="173"/>
      <c r="M154" s="173"/>
      <c r="N154" s="173"/>
      <c r="O154" s="173"/>
      <c r="P154" s="173"/>
      <c r="Q154" s="173"/>
      <c r="R154" s="173"/>
      <c r="S154" s="173"/>
      <c r="T154" s="173"/>
      <c r="U154" s="173"/>
      <c r="V154" s="173"/>
      <c r="W154" s="173"/>
      <c r="X154" s="173"/>
      <c r="Y154" s="173"/>
      <c r="Z154" s="173" t="s">
        <v>6943</v>
      </c>
      <c r="AA154" s="173"/>
      <c r="AB154" s="173"/>
      <c r="AC154" s="173"/>
      <c r="AD154" s="173"/>
      <c r="AE154" s="173"/>
      <c r="AF154" s="173"/>
      <c r="AG154" s="173"/>
      <c r="AH154" s="173"/>
      <c r="AI154" s="173"/>
      <c r="AJ154" s="173"/>
      <c r="AK154" s="173"/>
      <c r="AL154" s="173"/>
      <c r="AM154" s="173"/>
      <c r="AN154" s="173"/>
      <c r="AO154" s="173"/>
      <c r="AP154" s="173"/>
      <c r="AQ154" s="173"/>
      <c r="AR154" s="173"/>
      <c r="AS154" s="173"/>
      <c r="AT154" s="173"/>
      <c r="AU154" s="173"/>
      <c r="AV154" s="173"/>
      <c r="AW154" s="173"/>
      <c r="AX154" s="173"/>
      <c r="AY154" s="173"/>
    </row>
    <row r="155" spans="1:51">
      <c r="A155" s="469"/>
      <c r="B155" s="469"/>
      <c r="C155" s="469"/>
      <c r="D155" s="469"/>
      <c r="E155" s="469"/>
      <c r="F155" s="469"/>
      <c r="G155" s="469"/>
      <c r="H155" s="469"/>
      <c r="I155" s="469"/>
      <c r="J155" s="469"/>
      <c r="K155" s="469" t="s">
        <v>4853</v>
      </c>
      <c r="L155" s="173"/>
      <c r="M155" s="173"/>
      <c r="N155" s="173"/>
      <c r="O155" s="173"/>
      <c r="P155" s="173"/>
      <c r="Q155" s="173"/>
      <c r="R155" s="173"/>
      <c r="S155" s="173"/>
      <c r="T155" s="173"/>
      <c r="U155" s="173"/>
      <c r="V155" s="173"/>
      <c r="W155" s="173"/>
      <c r="X155" s="173"/>
      <c r="Y155" s="173"/>
      <c r="Z155" s="173" t="s">
        <v>6944</v>
      </c>
      <c r="AA155" s="173"/>
      <c r="AB155" s="173"/>
      <c r="AC155" s="173"/>
      <c r="AD155" s="173"/>
      <c r="AE155" s="173"/>
      <c r="AF155" s="173"/>
      <c r="AG155" s="173"/>
      <c r="AH155" s="173"/>
      <c r="AI155" s="173"/>
      <c r="AJ155" s="173"/>
      <c r="AK155" s="173"/>
      <c r="AL155" s="173"/>
      <c r="AM155" s="173"/>
      <c r="AN155" s="173"/>
      <c r="AO155" s="173"/>
      <c r="AP155" s="173"/>
      <c r="AQ155" s="173"/>
      <c r="AR155" s="173"/>
      <c r="AS155" s="173"/>
      <c r="AT155" s="173"/>
      <c r="AU155" s="173"/>
      <c r="AV155" s="173"/>
      <c r="AW155" s="173"/>
      <c r="AX155" s="173"/>
      <c r="AY155" s="173"/>
    </row>
    <row r="156" spans="1:51">
      <c r="A156" s="469"/>
      <c r="B156" s="469"/>
      <c r="C156" s="469"/>
      <c r="D156" s="469"/>
      <c r="E156" s="469"/>
      <c r="F156" s="469"/>
      <c r="G156" s="469"/>
      <c r="H156" s="469"/>
      <c r="I156" s="469"/>
      <c r="J156" s="469"/>
      <c r="K156" s="469" t="s">
        <v>4854</v>
      </c>
      <c r="L156" s="173"/>
      <c r="M156" s="173"/>
      <c r="N156" s="173"/>
      <c r="O156" s="173"/>
      <c r="P156" s="173"/>
      <c r="Q156" s="173"/>
      <c r="R156" s="173"/>
      <c r="S156" s="173"/>
      <c r="T156" s="173"/>
      <c r="U156" s="173"/>
      <c r="V156" s="173"/>
      <c r="W156" s="173"/>
      <c r="X156" s="173"/>
      <c r="Y156" s="173"/>
      <c r="Z156" s="173" t="s">
        <v>6945</v>
      </c>
      <c r="AA156" s="173"/>
      <c r="AB156" s="173"/>
      <c r="AC156" s="173"/>
      <c r="AD156" s="173"/>
      <c r="AE156" s="173"/>
      <c r="AF156" s="173"/>
      <c r="AG156" s="173"/>
      <c r="AH156" s="173"/>
      <c r="AI156" s="173"/>
      <c r="AJ156" s="173"/>
      <c r="AK156" s="173"/>
      <c r="AL156" s="173"/>
      <c r="AM156" s="173"/>
      <c r="AN156" s="173"/>
      <c r="AO156" s="173"/>
      <c r="AP156" s="173"/>
      <c r="AQ156" s="173"/>
      <c r="AR156" s="173"/>
      <c r="AS156" s="173"/>
      <c r="AT156" s="173"/>
      <c r="AU156" s="173"/>
      <c r="AV156" s="173"/>
      <c r="AW156" s="173"/>
      <c r="AX156" s="173"/>
      <c r="AY156" s="173"/>
    </row>
    <row r="157" spans="1:51">
      <c r="A157" s="469"/>
      <c r="B157" s="469"/>
      <c r="C157" s="469"/>
      <c r="D157" s="469"/>
      <c r="E157" s="469"/>
      <c r="F157" s="469"/>
      <c r="G157" s="469"/>
      <c r="H157" s="469"/>
      <c r="I157" s="469"/>
      <c r="J157" s="469"/>
      <c r="K157" s="469" t="s">
        <v>4855</v>
      </c>
      <c r="L157" s="173"/>
      <c r="M157" s="173"/>
      <c r="N157" s="173"/>
      <c r="O157" s="173"/>
      <c r="P157" s="173"/>
      <c r="Q157" s="173"/>
      <c r="R157" s="173"/>
      <c r="S157" s="173"/>
      <c r="T157" s="173"/>
      <c r="U157" s="173"/>
      <c r="V157" s="173"/>
      <c r="W157" s="173"/>
      <c r="X157" s="173"/>
      <c r="Y157" s="173"/>
      <c r="Z157" s="173" t="s">
        <v>6946</v>
      </c>
      <c r="AA157" s="173"/>
      <c r="AB157" s="173"/>
      <c r="AC157" s="173"/>
      <c r="AD157" s="173"/>
      <c r="AE157" s="173"/>
      <c r="AF157" s="173"/>
      <c r="AG157" s="173"/>
      <c r="AH157" s="173"/>
      <c r="AI157" s="173"/>
      <c r="AJ157" s="173"/>
      <c r="AK157" s="173"/>
      <c r="AL157" s="173"/>
      <c r="AM157" s="173"/>
      <c r="AN157" s="173"/>
      <c r="AO157" s="173"/>
      <c r="AP157" s="173"/>
      <c r="AQ157" s="173"/>
      <c r="AR157" s="173"/>
      <c r="AS157" s="173"/>
      <c r="AT157" s="173"/>
      <c r="AU157" s="173"/>
      <c r="AV157" s="173"/>
      <c r="AW157" s="173"/>
      <c r="AX157" s="173"/>
      <c r="AY157" s="173"/>
    </row>
    <row r="158" spans="1:51">
      <c r="A158" s="469"/>
      <c r="B158" s="469"/>
      <c r="C158" s="469"/>
      <c r="D158" s="469"/>
      <c r="E158" s="469"/>
      <c r="F158" s="469"/>
      <c r="G158" s="469"/>
      <c r="H158" s="469"/>
      <c r="I158" s="469"/>
      <c r="J158" s="469"/>
      <c r="K158" s="469" t="s">
        <v>4856</v>
      </c>
      <c r="L158" s="173"/>
      <c r="M158" s="173"/>
      <c r="N158" s="173"/>
      <c r="O158" s="173"/>
      <c r="P158" s="173"/>
      <c r="Q158" s="173"/>
      <c r="R158" s="173"/>
      <c r="S158" s="173"/>
      <c r="T158" s="173"/>
      <c r="U158" s="173"/>
      <c r="V158" s="173"/>
      <c r="W158" s="173"/>
      <c r="X158" s="173"/>
      <c r="Y158" s="173"/>
      <c r="Z158" s="173" t="s">
        <v>6947</v>
      </c>
      <c r="AA158" s="173"/>
      <c r="AB158" s="173"/>
      <c r="AC158" s="173"/>
      <c r="AD158" s="173"/>
      <c r="AE158" s="173"/>
      <c r="AF158" s="173"/>
      <c r="AG158" s="173"/>
      <c r="AH158" s="173"/>
      <c r="AI158" s="173"/>
      <c r="AJ158" s="173"/>
      <c r="AK158" s="173"/>
      <c r="AL158" s="173"/>
      <c r="AM158" s="173"/>
      <c r="AN158" s="173"/>
      <c r="AO158" s="173"/>
      <c r="AP158" s="173"/>
      <c r="AQ158" s="173"/>
      <c r="AR158" s="173"/>
      <c r="AS158" s="173"/>
      <c r="AT158" s="173"/>
      <c r="AU158" s="173"/>
      <c r="AV158" s="173"/>
      <c r="AW158" s="173"/>
      <c r="AX158" s="173"/>
      <c r="AY158" s="173"/>
    </row>
    <row r="159" spans="1:51">
      <c r="A159" s="469"/>
      <c r="B159" s="469"/>
      <c r="C159" s="469"/>
      <c r="D159" s="469"/>
      <c r="E159" s="469"/>
      <c r="F159" s="469"/>
      <c r="G159" s="469"/>
      <c r="H159" s="469"/>
      <c r="I159" s="469"/>
      <c r="J159" s="469"/>
      <c r="K159" s="469" t="s">
        <v>368</v>
      </c>
      <c r="L159" s="173"/>
      <c r="M159" s="173"/>
      <c r="N159" s="173"/>
      <c r="O159" s="173"/>
      <c r="P159" s="173"/>
      <c r="Q159" s="173"/>
      <c r="R159" s="173"/>
      <c r="S159" s="173"/>
      <c r="T159" s="173"/>
      <c r="U159" s="173"/>
      <c r="V159" s="173"/>
      <c r="W159" s="173"/>
      <c r="X159" s="173"/>
      <c r="Y159" s="173"/>
      <c r="Z159" s="173" t="s">
        <v>6948</v>
      </c>
      <c r="AA159" s="173"/>
      <c r="AB159" s="173"/>
      <c r="AC159" s="173"/>
      <c r="AD159" s="173"/>
      <c r="AE159" s="173"/>
      <c r="AF159" s="173"/>
      <c r="AG159" s="173"/>
      <c r="AH159" s="173"/>
      <c r="AI159" s="173"/>
      <c r="AJ159" s="173"/>
      <c r="AK159" s="173"/>
      <c r="AL159" s="173"/>
      <c r="AM159" s="173"/>
      <c r="AN159" s="173"/>
      <c r="AO159" s="173"/>
      <c r="AP159" s="173"/>
      <c r="AQ159" s="173"/>
      <c r="AR159" s="173"/>
      <c r="AS159" s="173"/>
      <c r="AT159" s="173"/>
      <c r="AU159" s="173"/>
      <c r="AV159" s="173"/>
      <c r="AW159" s="173"/>
      <c r="AX159" s="173"/>
      <c r="AY159" s="173"/>
    </row>
    <row r="160" spans="1:51">
      <c r="A160" s="469"/>
      <c r="B160" s="469"/>
      <c r="C160" s="469"/>
      <c r="D160" s="469"/>
      <c r="E160" s="469"/>
      <c r="F160" s="469"/>
      <c r="G160" s="469"/>
      <c r="H160" s="469"/>
      <c r="I160" s="469"/>
      <c r="J160" s="469"/>
      <c r="K160" s="469" t="s">
        <v>4857</v>
      </c>
      <c r="L160" s="173"/>
      <c r="M160" s="173"/>
      <c r="N160" s="173"/>
      <c r="O160" s="173"/>
      <c r="P160" s="173"/>
      <c r="Q160" s="173"/>
      <c r="R160" s="173"/>
      <c r="S160" s="173"/>
      <c r="T160" s="173"/>
      <c r="U160" s="173"/>
      <c r="V160" s="173"/>
      <c r="W160" s="173"/>
      <c r="X160" s="173"/>
      <c r="Y160" s="173"/>
      <c r="Z160" s="173" t="s">
        <v>6949</v>
      </c>
      <c r="AA160" s="173"/>
      <c r="AB160" s="173"/>
      <c r="AC160" s="173"/>
      <c r="AD160" s="173"/>
      <c r="AE160" s="173"/>
      <c r="AF160" s="173"/>
      <c r="AG160" s="173"/>
      <c r="AH160" s="173"/>
      <c r="AI160" s="173"/>
      <c r="AJ160" s="173"/>
      <c r="AK160" s="173"/>
      <c r="AL160" s="173"/>
      <c r="AM160" s="173"/>
      <c r="AN160" s="173"/>
      <c r="AO160" s="173"/>
      <c r="AP160" s="173"/>
      <c r="AQ160" s="173"/>
      <c r="AR160" s="173"/>
      <c r="AS160" s="173"/>
      <c r="AT160" s="173"/>
      <c r="AU160" s="173"/>
      <c r="AV160" s="173"/>
      <c r="AW160" s="173"/>
      <c r="AX160" s="173"/>
      <c r="AY160" s="173"/>
    </row>
    <row r="161" spans="1:51">
      <c r="A161" s="469"/>
      <c r="B161" s="469"/>
      <c r="C161" s="469"/>
      <c r="D161" s="469"/>
      <c r="E161" s="469"/>
      <c r="F161" s="469"/>
      <c r="G161" s="469"/>
      <c r="H161" s="469"/>
      <c r="I161" s="469"/>
      <c r="J161" s="469"/>
      <c r="K161" s="469" t="s">
        <v>4858</v>
      </c>
      <c r="L161" s="173"/>
      <c r="M161" s="173"/>
      <c r="N161" s="173"/>
      <c r="O161" s="173"/>
      <c r="P161" s="173"/>
      <c r="Q161" s="173"/>
      <c r="R161" s="173"/>
      <c r="S161" s="173"/>
      <c r="T161" s="173"/>
      <c r="U161" s="173"/>
      <c r="V161" s="173"/>
      <c r="W161" s="173"/>
      <c r="X161" s="173"/>
      <c r="Y161" s="173"/>
      <c r="Z161" s="173" t="s">
        <v>6950</v>
      </c>
      <c r="AA161" s="173"/>
      <c r="AB161" s="173"/>
      <c r="AC161" s="173"/>
      <c r="AD161" s="173"/>
      <c r="AE161" s="173"/>
      <c r="AF161" s="173"/>
      <c r="AG161" s="173"/>
      <c r="AH161" s="173"/>
      <c r="AI161" s="173"/>
      <c r="AJ161" s="173"/>
      <c r="AK161" s="173"/>
      <c r="AL161" s="173"/>
      <c r="AM161" s="173"/>
      <c r="AN161" s="173"/>
      <c r="AO161" s="173"/>
      <c r="AP161" s="173"/>
      <c r="AQ161" s="173"/>
      <c r="AR161" s="173"/>
      <c r="AS161" s="173"/>
      <c r="AT161" s="173"/>
      <c r="AU161" s="173"/>
      <c r="AV161" s="173"/>
      <c r="AW161" s="173"/>
      <c r="AX161" s="173"/>
      <c r="AY161" s="173"/>
    </row>
    <row r="162" spans="1:51">
      <c r="A162" s="469"/>
      <c r="B162" s="469"/>
      <c r="C162" s="469"/>
      <c r="D162" s="469"/>
      <c r="E162" s="469"/>
      <c r="F162" s="469"/>
      <c r="G162" s="469"/>
      <c r="H162" s="469"/>
      <c r="I162" s="469"/>
      <c r="J162" s="469"/>
      <c r="K162" s="469" t="s">
        <v>4859</v>
      </c>
      <c r="L162" s="173"/>
      <c r="M162" s="173"/>
      <c r="N162" s="173"/>
      <c r="O162" s="173"/>
      <c r="P162" s="173"/>
      <c r="Q162" s="173"/>
      <c r="R162" s="173"/>
      <c r="S162" s="173"/>
      <c r="T162" s="173"/>
      <c r="U162" s="173"/>
      <c r="V162" s="173"/>
      <c r="W162" s="173"/>
      <c r="X162" s="173"/>
      <c r="Y162" s="173"/>
      <c r="Z162" s="173" t="s">
        <v>6951</v>
      </c>
      <c r="AA162" s="173"/>
      <c r="AB162" s="173"/>
      <c r="AC162" s="173"/>
      <c r="AD162" s="173"/>
      <c r="AE162" s="173"/>
      <c r="AF162" s="173"/>
      <c r="AG162" s="173"/>
      <c r="AH162" s="173"/>
      <c r="AI162" s="173"/>
      <c r="AJ162" s="173"/>
      <c r="AK162" s="173"/>
      <c r="AL162" s="173"/>
      <c r="AM162" s="173"/>
      <c r="AN162" s="173"/>
      <c r="AO162" s="173"/>
      <c r="AP162" s="173"/>
      <c r="AQ162" s="173"/>
      <c r="AR162" s="173"/>
      <c r="AS162" s="173"/>
      <c r="AT162" s="173"/>
      <c r="AU162" s="173"/>
      <c r="AV162" s="173"/>
      <c r="AW162" s="173"/>
      <c r="AX162" s="173"/>
      <c r="AY162" s="173"/>
    </row>
    <row r="163" spans="1:51">
      <c r="A163" s="469"/>
      <c r="B163" s="469"/>
      <c r="C163" s="469"/>
      <c r="D163" s="469"/>
      <c r="E163" s="469"/>
      <c r="F163" s="469"/>
      <c r="G163" s="469"/>
      <c r="H163" s="469"/>
      <c r="I163" s="469"/>
      <c r="J163" s="469"/>
      <c r="K163" s="469" t="s">
        <v>4860</v>
      </c>
      <c r="L163" s="173"/>
      <c r="M163" s="173"/>
      <c r="N163" s="173"/>
      <c r="O163" s="173"/>
      <c r="P163" s="173"/>
      <c r="Q163" s="173"/>
      <c r="R163" s="173"/>
      <c r="S163" s="173"/>
      <c r="T163" s="173"/>
      <c r="U163" s="173"/>
      <c r="V163" s="173"/>
      <c r="W163" s="173"/>
      <c r="X163" s="173"/>
      <c r="Y163" s="173"/>
      <c r="Z163" s="173" t="s">
        <v>6952</v>
      </c>
      <c r="AA163" s="173"/>
      <c r="AB163" s="173"/>
      <c r="AC163" s="173"/>
      <c r="AD163" s="173"/>
      <c r="AE163" s="173"/>
      <c r="AF163" s="173"/>
      <c r="AG163" s="173"/>
      <c r="AH163" s="173"/>
      <c r="AI163" s="173"/>
      <c r="AJ163" s="173"/>
      <c r="AK163" s="173"/>
      <c r="AL163" s="173"/>
      <c r="AM163" s="173"/>
      <c r="AN163" s="173"/>
      <c r="AO163" s="173"/>
      <c r="AP163" s="173"/>
      <c r="AQ163" s="173"/>
      <c r="AR163" s="173"/>
      <c r="AS163" s="173"/>
      <c r="AT163" s="173"/>
      <c r="AU163" s="173"/>
      <c r="AV163" s="173"/>
      <c r="AW163" s="173"/>
      <c r="AX163" s="173"/>
      <c r="AY163" s="173"/>
    </row>
    <row r="164" spans="1:51">
      <c r="A164" s="469"/>
      <c r="B164" s="469"/>
      <c r="C164" s="469"/>
      <c r="D164" s="469"/>
      <c r="E164" s="469"/>
      <c r="F164" s="469"/>
      <c r="G164" s="469"/>
      <c r="H164" s="469"/>
      <c r="I164" s="469"/>
      <c r="J164" s="469"/>
      <c r="K164" s="469" t="s">
        <v>4861</v>
      </c>
      <c r="L164" s="173"/>
      <c r="M164" s="173"/>
      <c r="N164" s="173"/>
      <c r="O164" s="173"/>
      <c r="P164" s="173"/>
      <c r="Q164" s="173"/>
      <c r="R164" s="173"/>
      <c r="S164" s="173"/>
      <c r="T164" s="173"/>
      <c r="U164" s="173"/>
      <c r="V164" s="173"/>
      <c r="W164" s="173"/>
      <c r="X164" s="173"/>
      <c r="Y164" s="173"/>
      <c r="Z164" s="173" t="s">
        <v>6953</v>
      </c>
      <c r="AA164" s="173"/>
      <c r="AB164" s="173"/>
      <c r="AC164" s="173"/>
      <c r="AD164" s="173"/>
      <c r="AE164" s="173"/>
      <c r="AF164" s="173"/>
      <c r="AG164" s="173"/>
      <c r="AH164" s="173"/>
      <c r="AI164" s="173"/>
      <c r="AJ164" s="173"/>
      <c r="AK164" s="173"/>
      <c r="AL164" s="173"/>
      <c r="AM164" s="173"/>
      <c r="AN164" s="173"/>
      <c r="AO164" s="173"/>
      <c r="AP164" s="173"/>
      <c r="AQ164" s="173"/>
      <c r="AR164" s="173"/>
      <c r="AS164" s="173"/>
      <c r="AT164" s="173"/>
      <c r="AU164" s="173"/>
      <c r="AV164" s="173"/>
      <c r="AW164" s="173"/>
      <c r="AX164" s="173"/>
      <c r="AY164" s="173"/>
    </row>
    <row r="165" spans="1:51">
      <c r="A165" s="469"/>
      <c r="B165" s="469"/>
      <c r="C165" s="469"/>
      <c r="D165" s="469"/>
      <c r="E165" s="469"/>
      <c r="F165" s="469"/>
      <c r="G165" s="469"/>
      <c r="H165" s="469"/>
      <c r="I165" s="469"/>
      <c r="J165" s="469"/>
      <c r="K165" s="469" t="s">
        <v>4862</v>
      </c>
      <c r="L165" s="173"/>
      <c r="M165" s="173"/>
      <c r="N165" s="173"/>
      <c r="O165" s="173"/>
      <c r="P165" s="173"/>
      <c r="Q165" s="173"/>
      <c r="R165" s="173"/>
      <c r="S165" s="173"/>
      <c r="T165" s="173"/>
      <c r="U165" s="173"/>
      <c r="V165" s="173"/>
      <c r="W165" s="173"/>
      <c r="X165" s="173"/>
      <c r="Y165" s="173"/>
      <c r="Z165" s="173" t="s">
        <v>6954</v>
      </c>
      <c r="AA165" s="173"/>
      <c r="AB165" s="173"/>
      <c r="AC165" s="173"/>
      <c r="AD165" s="173"/>
      <c r="AE165" s="173"/>
      <c r="AF165" s="173"/>
      <c r="AG165" s="173"/>
      <c r="AH165" s="173"/>
      <c r="AI165" s="173"/>
      <c r="AJ165" s="173"/>
      <c r="AK165" s="173"/>
      <c r="AL165" s="173"/>
      <c r="AM165" s="173"/>
      <c r="AN165" s="173"/>
      <c r="AO165" s="173"/>
      <c r="AP165" s="173"/>
      <c r="AQ165" s="173"/>
      <c r="AR165" s="173"/>
      <c r="AS165" s="173"/>
      <c r="AT165" s="173"/>
      <c r="AU165" s="173"/>
      <c r="AV165" s="173"/>
      <c r="AW165" s="173"/>
      <c r="AX165" s="173"/>
      <c r="AY165" s="173"/>
    </row>
    <row r="166" spans="1:51">
      <c r="A166" s="469"/>
      <c r="B166" s="469"/>
      <c r="C166" s="469"/>
      <c r="D166" s="469"/>
      <c r="E166" s="469"/>
      <c r="F166" s="469"/>
      <c r="G166" s="469"/>
      <c r="H166" s="469"/>
      <c r="I166" s="469"/>
      <c r="J166" s="469"/>
      <c r="K166" s="469" t="s">
        <v>4863</v>
      </c>
      <c r="L166" s="173"/>
      <c r="M166" s="173"/>
      <c r="N166" s="173"/>
      <c r="O166" s="173"/>
      <c r="P166" s="173"/>
      <c r="Q166" s="173"/>
      <c r="R166" s="173"/>
      <c r="S166" s="173"/>
      <c r="T166" s="173"/>
      <c r="U166" s="173"/>
      <c r="V166" s="173"/>
      <c r="W166" s="173"/>
      <c r="X166" s="173"/>
      <c r="Y166" s="173"/>
      <c r="Z166" s="173" t="s">
        <v>6955</v>
      </c>
      <c r="AA166" s="173"/>
      <c r="AB166" s="173"/>
      <c r="AC166" s="173"/>
      <c r="AD166" s="173"/>
      <c r="AE166" s="173"/>
      <c r="AF166" s="173"/>
      <c r="AG166" s="173"/>
      <c r="AH166" s="173"/>
      <c r="AI166" s="173"/>
      <c r="AJ166" s="173"/>
      <c r="AK166" s="173"/>
      <c r="AL166" s="173"/>
      <c r="AM166" s="173"/>
      <c r="AN166" s="173"/>
      <c r="AO166" s="173"/>
      <c r="AP166" s="173"/>
      <c r="AQ166" s="173"/>
      <c r="AR166" s="173"/>
      <c r="AS166" s="173"/>
      <c r="AT166" s="173"/>
      <c r="AU166" s="173"/>
      <c r="AV166" s="173"/>
      <c r="AW166" s="173"/>
      <c r="AX166" s="173"/>
      <c r="AY166" s="173"/>
    </row>
    <row r="167" spans="1:51">
      <c r="A167" s="469"/>
      <c r="B167" s="469"/>
      <c r="C167" s="469"/>
      <c r="D167" s="469"/>
      <c r="E167" s="469"/>
      <c r="F167" s="469"/>
      <c r="G167" s="469"/>
      <c r="H167" s="469"/>
      <c r="I167" s="469"/>
      <c r="J167" s="469"/>
      <c r="K167" s="469" t="s">
        <v>4864</v>
      </c>
      <c r="L167" s="173"/>
      <c r="M167" s="173"/>
      <c r="N167" s="173"/>
      <c r="O167" s="173"/>
      <c r="P167" s="173"/>
      <c r="Q167" s="173"/>
      <c r="R167" s="173"/>
      <c r="S167" s="173"/>
      <c r="T167" s="173"/>
      <c r="U167" s="173"/>
      <c r="V167" s="173"/>
      <c r="W167" s="173"/>
      <c r="X167" s="173"/>
      <c r="Y167" s="173"/>
      <c r="Z167" s="173" t="s">
        <v>6956</v>
      </c>
      <c r="AA167" s="173"/>
      <c r="AB167" s="173"/>
      <c r="AC167" s="173"/>
      <c r="AD167" s="173"/>
      <c r="AE167" s="173"/>
      <c r="AF167" s="173"/>
      <c r="AG167" s="173"/>
      <c r="AH167" s="173"/>
      <c r="AI167" s="173"/>
      <c r="AJ167" s="173"/>
      <c r="AK167" s="173"/>
      <c r="AL167" s="173"/>
      <c r="AM167" s="173"/>
      <c r="AN167" s="173"/>
      <c r="AO167" s="173"/>
      <c r="AP167" s="173"/>
      <c r="AQ167" s="173"/>
      <c r="AR167" s="173"/>
      <c r="AS167" s="173"/>
      <c r="AT167" s="173"/>
      <c r="AU167" s="173"/>
      <c r="AV167" s="173"/>
      <c r="AW167" s="173"/>
      <c r="AX167" s="173"/>
      <c r="AY167" s="173"/>
    </row>
    <row r="168" spans="1:51">
      <c r="A168" s="469"/>
      <c r="B168" s="469"/>
      <c r="C168" s="469"/>
      <c r="D168" s="469"/>
      <c r="E168" s="469"/>
      <c r="F168" s="469"/>
      <c r="G168" s="469"/>
      <c r="H168" s="469"/>
      <c r="I168" s="469"/>
      <c r="J168" s="469"/>
      <c r="K168" s="469" t="s">
        <v>4865</v>
      </c>
      <c r="L168" s="173"/>
      <c r="M168" s="173"/>
      <c r="N168" s="173"/>
      <c r="O168" s="173"/>
      <c r="P168" s="173"/>
      <c r="Q168" s="173"/>
      <c r="R168" s="173"/>
      <c r="S168" s="173"/>
      <c r="T168" s="173"/>
      <c r="U168" s="173"/>
      <c r="V168" s="173"/>
      <c r="W168" s="173"/>
      <c r="X168" s="173"/>
      <c r="Y168" s="173"/>
      <c r="Z168" s="173" t="s">
        <v>6957</v>
      </c>
      <c r="AA168" s="173"/>
      <c r="AB168" s="173"/>
      <c r="AC168" s="173"/>
      <c r="AD168" s="173"/>
      <c r="AE168" s="173"/>
      <c r="AF168" s="173"/>
      <c r="AG168" s="173"/>
      <c r="AH168" s="173"/>
      <c r="AI168" s="173"/>
      <c r="AJ168" s="173"/>
      <c r="AK168" s="173"/>
      <c r="AL168" s="173"/>
      <c r="AM168" s="173"/>
      <c r="AN168" s="173"/>
      <c r="AO168" s="173"/>
      <c r="AP168" s="173"/>
      <c r="AQ168" s="173"/>
      <c r="AR168" s="173"/>
      <c r="AS168" s="173"/>
      <c r="AT168" s="173"/>
      <c r="AU168" s="173"/>
      <c r="AV168" s="173"/>
      <c r="AW168" s="173"/>
      <c r="AX168" s="173"/>
      <c r="AY168" s="173"/>
    </row>
    <row r="169" spans="1:51">
      <c r="A169" s="469"/>
      <c r="B169" s="469"/>
      <c r="C169" s="469"/>
      <c r="D169" s="469"/>
      <c r="E169" s="469"/>
      <c r="F169" s="469"/>
      <c r="G169" s="469"/>
      <c r="H169" s="469"/>
      <c r="I169" s="469"/>
      <c r="J169" s="469"/>
      <c r="K169" s="469" t="s">
        <v>4866</v>
      </c>
      <c r="L169" s="173"/>
      <c r="M169" s="173"/>
      <c r="N169" s="173"/>
      <c r="O169" s="173"/>
      <c r="P169" s="173"/>
      <c r="Q169" s="173"/>
      <c r="R169" s="173"/>
      <c r="S169" s="173"/>
      <c r="T169" s="173"/>
      <c r="U169" s="173"/>
      <c r="V169" s="173"/>
      <c r="W169" s="173"/>
      <c r="X169" s="173"/>
      <c r="Y169" s="173"/>
      <c r="Z169" s="173" t="s">
        <v>6958</v>
      </c>
      <c r="AA169" s="173"/>
      <c r="AB169" s="173"/>
      <c r="AC169" s="173"/>
      <c r="AD169" s="173"/>
      <c r="AE169" s="173"/>
      <c r="AF169" s="173"/>
      <c r="AG169" s="173"/>
      <c r="AH169" s="173"/>
      <c r="AI169" s="173"/>
      <c r="AJ169" s="173"/>
      <c r="AK169" s="173"/>
      <c r="AL169" s="173"/>
      <c r="AM169" s="173"/>
      <c r="AN169" s="173"/>
      <c r="AO169" s="173"/>
      <c r="AP169" s="173"/>
      <c r="AQ169" s="173"/>
      <c r="AR169" s="173"/>
      <c r="AS169" s="173"/>
      <c r="AT169" s="173"/>
      <c r="AU169" s="173"/>
      <c r="AV169" s="173"/>
      <c r="AW169" s="173"/>
      <c r="AX169" s="173"/>
      <c r="AY169" s="173"/>
    </row>
    <row r="170" spans="1:51">
      <c r="A170" s="469"/>
      <c r="B170" s="469"/>
      <c r="C170" s="469"/>
      <c r="D170" s="469"/>
      <c r="E170" s="469"/>
      <c r="F170" s="469"/>
      <c r="G170" s="469"/>
      <c r="H170" s="469"/>
      <c r="I170" s="469"/>
      <c r="J170" s="469"/>
      <c r="K170" s="469" t="s">
        <v>4867</v>
      </c>
      <c r="L170" s="173"/>
      <c r="M170" s="173"/>
      <c r="N170" s="173"/>
      <c r="O170" s="173"/>
      <c r="P170" s="173"/>
      <c r="Q170" s="173"/>
      <c r="R170" s="173"/>
      <c r="S170" s="173"/>
      <c r="T170" s="173"/>
      <c r="U170" s="173"/>
      <c r="V170" s="173"/>
      <c r="W170" s="173"/>
      <c r="X170" s="173"/>
      <c r="Y170" s="173"/>
      <c r="Z170" s="173" t="s">
        <v>6959</v>
      </c>
      <c r="AA170" s="173"/>
      <c r="AB170" s="173"/>
      <c r="AC170" s="173"/>
      <c r="AD170" s="173"/>
      <c r="AE170" s="173"/>
      <c r="AF170" s="173"/>
      <c r="AG170" s="173"/>
      <c r="AH170" s="173"/>
      <c r="AI170" s="173"/>
      <c r="AJ170" s="173"/>
      <c r="AK170" s="173"/>
      <c r="AL170" s="173"/>
      <c r="AM170" s="173"/>
      <c r="AN170" s="173"/>
      <c r="AO170" s="173"/>
      <c r="AP170" s="173"/>
      <c r="AQ170" s="173"/>
      <c r="AR170" s="173"/>
      <c r="AS170" s="173"/>
      <c r="AT170" s="173"/>
      <c r="AU170" s="173"/>
      <c r="AV170" s="173"/>
      <c r="AW170" s="173"/>
      <c r="AX170" s="173"/>
      <c r="AY170" s="173"/>
    </row>
    <row r="171" spans="1:51">
      <c r="A171" s="469"/>
      <c r="B171" s="469"/>
      <c r="C171" s="469"/>
      <c r="D171" s="469"/>
      <c r="E171" s="469"/>
      <c r="F171" s="469"/>
      <c r="G171" s="469"/>
      <c r="H171" s="469"/>
      <c r="I171" s="469"/>
      <c r="J171" s="469"/>
      <c r="K171" s="469" t="s">
        <v>4868</v>
      </c>
      <c r="L171" s="173"/>
      <c r="M171" s="173"/>
      <c r="N171" s="173"/>
      <c r="O171" s="173"/>
      <c r="P171" s="173"/>
      <c r="Q171" s="173"/>
      <c r="R171" s="173"/>
      <c r="S171" s="173"/>
      <c r="T171" s="173"/>
      <c r="U171" s="173"/>
      <c r="V171" s="173"/>
      <c r="W171" s="173"/>
      <c r="X171" s="173"/>
      <c r="Y171" s="173"/>
      <c r="Z171" s="173" t="s">
        <v>6960</v>
      </c>
      <c r="AA171" s="173"/>
      <c r="AB171" s="173"/>
      <c r="AC171" s="173"/>
      <c r="AD171" s="173"/>
      <c r="AE171" s="173"/>
      <c r="AF171" s="173"/>
      <c r="AG171" s="173"/>
      <c r="AH171" s="173"/>
      <c r="AI171" s="173"/>
      <c r="AJ171" s="173"/>
      <c r="AK171" s="173"/>
      <c r="AL171" s="173"/>
      <c r="AM171" s="173"/>
      <c r="AN171" s="173"/>
      <c r="AO171" s="173"/>
      <c r="AP171" s="173"/>
      <c r="AQ171" s="173"/>
      <c r="AR171" s="173"/>
      <c r="AS171" s="173"/>
      <c r="AT171" s="173"/>
      <c r="AU171" s="173"/>
      <c r="AV171" s="173"/>
      <c r="AW171" s="173"/>
      <c r="AX171" s="173"/>
      <c r="AY171" s="173"/>
    </row>
    <row r="172" spans="1:51">
      <c r="A172" s="469"/>
      <c r="B172" s="469"/>
      <c r="C172" s="469"/>
      <c r="D172" s="469"/>
      <c r="E172" s="469"/>
      <c r="F172" s="469"/>
      <c r="G172" s="469"/>
      <c r="H172" s="469"/>
      <c r="I172" s="469"/>
      <c r="J172" s="469"/>
      <c r="K172" s="469" t="s">
        <v>4869</v>
      </c>
      <c r="L172" s="173"/>
      <c r="M172" s="173"/>
      <c r="N172" s="173"/>
      <c r="O172" s="173"/>
      <c r="P172" s="173"/>
      <c r="Q172" s="173"/>
      <c r="R172" s="173"/>
      <c r="S172" s="173"/>
      <c r="T172" s="173"/>
      <c r="U172" s="173"/>
      <c r="V172" s="173"/>
      <c r="W172" s="173"/>
      <c r="X172" s="173"/>
      <c r="Y172" s="173"/>
      <c r="Z172" s="173" t="s">
        <v>6961</v>
      </c>
      <c r="AA172" s="173"/>
      <c r="AB172" s="173"/>
      <c r="AC172" s="173"/>
      <c r="AD172" s="173"/>
      <c r="AE172" s="173"/>
      <c r="AF172" s="173"/>
      <c r="AG172" s="173"/>
      <c r="AH172" s="173"/>
      <c r="AI172" s="173"/>
      <c r="AJ172" s="173"/>
      <c r="AK172" s="173"/>
      <c r="AL172" s="173"/>
      <c r="AM172" s="173"/>
      <c r="AN172" s="173"/>
      <c r="AO172" s="173"/>
      <c r="AP172" s="173"/>
      <c r="AQ172" s="173"/>
      <c r="AR172" s="173"/>
      <c r="AS172" s="173"/>
      <c r="AT172" s="173"/>
      <c r="AU172" s="173"/>
      <c r="AV172" s="173"/>
      <c r="AW172" s="173"/>
      <c r="AX172" s="173"/>
      <c r="AY172" s="173"/>
    </row>
    <row r="173" spans="1:51">
      <c r="A173" s="469"/>
      <c r="B173" s="469"/>
      <c r="C173" s="469"/>
      <c r="D173" s="469"/>
      <c r="E173" s="469"/>
      <c r="F173" s="469"/>
      <c r="G173" s="469"/>
      <c r="H173" s="469"/>
      <c r="I173" s="469"/>
      <c r="J173" s="469"/>
      <c r="K173" s="469" t="s">
        <v>4870</v>
      </c>
      <c r="L173" s="173"/>
      <c r="M173" s="173"/>
      <c r="N173" s="173"/>
      <c r="O173" s="173"/>
      <c r="P173" s="173"/>
      <c r="Q173" s="173"/>
      <c r="R173" s="173"/>
      <c r="S173" s="173"/>
      <c r="T173" s="173"/>
      <c r="U173" s="173"/>
      <c r="V173" s="173"/>
      <c r="W173" s="173"/>
      <c r="X173" s="173"/>
      <c r="Y173" s="173"/>
      <c r="Z173" s="173" t="s">
        <v>6962</v>
      </c>
      <c r="AA173" s="173"/>
      <c r="AB173" s="173"/>
      <c r="AC173" s="173"/>
      <c r="AD173" s="173"/>
      <c r="AE173" s="173"/>
      <c r="AF173" s="173"/>
      <c r="AG173" s="173"/>
      <c r="AH173" s="173"/>
      <c r="AI173" s="173"/>
      <c r="AJ173" s="173"/>
      <c r="AK173" s="173"/>
      <c r="AL173" s="173"/>
      <c r="AM173" s="173"/>
      <c r="AN173" s="173"/>
      <c r="AO173" s="173"/>
      <c r="AP173" s="173"/>
      <c r="AQ173" s="173"/>
      <c r="AR173" s="173"/>
      <c r="AS173" s="173"/>
      <c r="AT173" s="173"/>
      <c r="AU173" s="173"/>
      <c r="AV173" s="173"/>
      <c r="AW173" s="173"/>
      <c r="AX173" s="173"/>
      <c r="AY173" s="173"/>
    </row>
    <row r="174" spans="1:51">
      <c r="A174" s="469"/>
      <c r="B174" s="469"/>
      <c r="C174" s="469"/>
      <c r="D174" s="469"/>
      <c r="E174" s="469"/>
      <c r="F174" s="469"/>
      <c r="G174" s="469"/>
      <c r="H174" s="469"/>
      <c r="I174" s="469"/>
      <c r="J174" s="469"/>
      <c r="K174" s="469" t="s">
        <v>4871</v>
      </c>
      <c r="L174" s="173"/>
      <c r="M174" s="173"/>
      <c r="N174" s="173"/>
      <c r="O174" s="173"/>
      <c r="P174" s="173"/>
      <c r="Q174" s="173"/>
      <c r="R174" s="173"/>
      <c r="S174" s="173"/>
      <c r="T174" s="173"/>
      <c r="U174" s="173"/>
      <c r="V174" s="173"/>
      <c r="W174" s="173"/>
      <c r="X174" s="173"/>
      <c r="Y174" s="173"/>
      <c r="Z174" s="173" t="s">
        <v>6963</v>
      </c>
      <c r="AA174" s="173"/>
      <c r="AB174" s="173"/>
      <c r="AC174" s="173"/>
      <c r="AD174" s="173"/>
      <c r="AE174" s="173"/>
      <c r="AF174" s="173"/>
      <c r="AG174" s="173"/>
      <c r="AH174" s="173"/>
      <c r="AI174" s="173"/>
      <c r="AJ174" s="173"/>
      <c r="AK174" s="173"/>
      <c r="AL174" s="173"/>
      <c r="AM174" s="173"/>
      <c r="AN174" s="173"/>
      <c r="AO174" s="173"/>
      <c r="AP174" s="173"/>
      <c r="AQ174" s="173"/>
      <c r="AR174" s="173"/>
      <c r="AS174" s="173"/>
      <c r="AT174" s="173"/>
      <c r="AU174" s="173"/>
      <c r="AV174" s="173"/>
      <c r="AW174" s="173"/>
      <c r="AX174" s="173"/>
      <c r="AY174" s="173"/>
    </row>
    <row r="175" spans="1:51">
      <c r="A175" s="469"/>
      <c r="B175" s="469"/>
      <c r="C175" s="469"/>
      <c r="D175" s="469"/>
      <c r="E175" s="469"/>
      <c r="F175" s="469"/>
      <c r="G175" s="469"/>
      <c r="H175" s="469"/>
      <c r="I175" s="469"/>
      <c r="J175" s="469"/>
      <c r="K175" s="469" t="s">
        <v>4872</v>
      </c>
      <c r="L175" s="173"/>
      <c r="M175" s="173"/>
      <c r="N175" s="173"/>
      <c r="O175" s="173"/>
      <c r="P175" s="173"/>
      <c r="Q175" s="173"/>
      <c r="R175" s="173"/>
      <c r="S175" s="173"/>
      <c r="T175" s="173"/>
      <c r="U175" s="173"/>
      <c r="V175" s="173"/>
      <c r="W175" s="173"/>
      <c r="X175" s="173"/>
      <c r="Y175" s="173"/>
      <c r="Z175" s="173" t="s">
        <v>6964</v>
      </c>
      <c r="AA175" s="173"/>
      <c r="AB175" s="173"/>
      <c r="AC175" s="173"/>
      <c r="AD175" s="173"/>
      <c r="AE175" s="173"/>
      <c r="AF175" s="173"/>
      <c r="AG175" s="173"/>
      <c r="AH175" s="173"/>
      <c r="AI175" s="173"/>
      <c r="AJ175" s="173"/>
      <c r="AK175" s="173"/>
      <c r="AL175" s="173"/>
      <c r="AM175" s="173"/>
      <c r="AN175" s="173"/>
      <c r="AO175" s="173"/>
      <c r="AP175" s="173"/>
      <c r="AQ175" s="173"/>
      <c r="AR175" s="173"/>
      <c r="AS175" s="173"/>
      <c r="AT175" s="173"/>
      <c r="AU175" s="173"/>
      <c r="AV175" s="173"/>
      <c r="AW175" s="173"/>
      <c r="AX175" s="173"/>
      <c r="AY175" s="173"/>
    </row>
    <row r="176" spans="1:51">
      <c r="A176" s="469"/>
      <c r="B176" s="469"/>
      <c r="C176" s="469"/>
      <c r="D176" s="469"/>
      <c r="E176" s="469"/>
      <c r="F176" s="469"/>
      <c r="G176" s="469"/>
      <c r="H176" s="469"/>
      <c r="I176" s="469"/>
      <c r="J176" s="469"/>
      <c r="K176" s="469" t="s">
        <v>4873</v>
      </c>
      <c r="L176" s="173"/>
      <c r="M176" s="173"/>
      <c r="N176" s="173"/>
      <c r="O176" s="173"/>
      <c r="P176" s="173"/>
      <c r="Q176" s="173"/>
      <c r="R176" s="173"/>
      <c r="S176" s="173"/>
      <c r="T176" s="173"/>
      <c r="U176" s="173"/>
      <c r="V176" s="173"/>
      <c r="W176" s="173"/>
      <c r="X176" s="173"/>
      <c r="Y176" s="173"/>
      <c r="Z176" s="173" t="s">
        <v>6965</v>
      </c>
      <c r="AA176" s="173"/>
      <c r="AB176" s="173"/>
      <c r="AC176" s="173"/>
      <c r="AD176" s="173"/>
      <c r="AE176" s="173"/>
      <c r="AF176" s="173"/>
      <c r="AG176" s="173"/>
      <c r="AH176" s="173"/>
      <c r="AI176" s="173"/>
      <c r="AJ176" s="173"/>
      <c r="AK176" s="173"/>
      <c r="AL176" s="173"/>
      <c r="AM176" s="173"/>
      <c r="AN176" s="173"/>
      <c r="AO176" s="173"/>
      <c r="AP176" s="173"/>
      <c r="AQ176" s="173"/>
      <c r="AR176" s="173"/>
      <c r="AS176" s="173"/>
      <c r="AT176" s="173"/>
      <c r="AU176" s="173"/>
      <c r="AV176" s="173"/>
      <c r="AW176" s="173"/>
      <c r="AX176" s="173"/>
      <c r="AY176" s="173"/>
    </row>
    <row r="177" spans="1:51">
      <c r="A177" s="469"/>
      <c r="B177" s="469"/>
      <c r="C177" s="469"/>
      <c r="D177" s="469"/>
      <c r="E177" s="469"/>
      <c r="F177" s="469"/>
      <c r="G177" s="469"/>
      <c r="H177" s="469"/>
      <c r="I177" s="469"/>
      <c r="J177" s="469"/>
      <c r="K177" s="469" t="s">
        <v>4874</v>
      </c>
      <c r="L177" s="173"/>
      <c r="M177" s="173"/>
      <c r="N177" s="173"/>
      <c r="O177" s="173"/>
      <c r="P177" s="173"/>
      <c r="Q177" s="173"/>
      <c r="R177" s="173"/>
      <c r="S177" s="173"/>
      <c r="T177" s="173"/>
      <c r="U177" s="173"/>
      <c r="V177" s="173"/>
      <c r="W177" s="173"/>
      <c r="X177" s="173"/>
      <c r="Y177" s="173"/>
      <c r="Z177" s="173" t="s">
        <v>6966</v>
      </c>
      <c r="AA177" s="173"/>
      <c r="AB177" s="173"/>
      <c r="AC177" s="173"/>
      <c r="AD177" s="173"/>
      <c r="AE177" s="173"/>
      <c r="AF177" s="173"/>
      <c r="AG177" s="173"/>
      <c r="AH177" s="173"/>
      <c r="AI177" s="173"/>
      <c r="AJ177" s="173"/>
      <c r="AK177" s="173"/>
      <c r="AL177" s="173"/>
      <c r="AM177" s="173"/>
      <c r="AN177" s="173"/>
      <c r="AO177" s="173"/>
      <c r="AP177" s="173"/>
      <c r="AQ177" s="173"/>
      <c r="AR177" s="173"/>
      <c r="AS177" s="173"/>
      <c r="AT177" s="173"/>
      <c r="AU177" s="173"/>
      <c r="AV177" s="173"/>
      <c r="AW177" s="173"/>
      <c r="AX177" s="173"/>
      <c r="AY177" s="173"/>
    </row>
    <row r="178" spans="1:51">
      <c r="A178" s="469"/>
      <c r="B178" s="469"/>
      <c r="C178" s="469"/>
      <c r="D178" s="469"/>
      <c r="E178" s="469"/>
      <c r="F178" s="469"/>
      <c r="G178" s="469"/>
      <c r="H178" s="469"/>
      <c r="I178" s="469"/>
      <c r="J178" s="469"/>
      <c r="K178" s="469" t="s">
        <v>4875</v>
      </c>
      <c r="L178" s="173"/>
      <c r="M178" s="173"/>
      <c r="N178" s="173"/>
      <c r="O178" s="173"/>
      <c r="P178" s="173"/>
      <c r="Q178" s="173"/>
      <c r="R178" s="173"/>
      <c r="S178" s="173"/>
      <c r="T178" s="173"/>
      <c r="U178" s="173"/>
      <c r="V178" s="173"/>
      <c r="W178" s="173"/>
      <c r="X178" s="173"/>
      <c r="Y178" s="173"/>
      <c r="Z178" s="173" t="s">
        <v>6967</v>
      </c>
      <c r="AA178" s="173"/>
      <c r="AB178" s="173"/>
      <c r="AC178" s="173"/>
      <c r="AD178" s="173"/>
      <c r="AE178" s="173"/>
      <c r="AF178" s="173"/>
      <c r="AG178" s="173"/>
      <c r="AH178" s="173"/>
      <c r="AI178" s="173"/>
      <c r="AJ178" s="173"/>
      <c r="AK178" s="173"/>
      <c r="AL178" s="173"/>
      <c r="AM178" s="173"/>
      <c r="AN178" s="173"/>
      <c r="AO178" s="173"/>
      <c r="AP178" s="173"/>
      <c r="AQ178" s="173"/>
      <c r="AR178" s="173"/>
      <c r="AS178" s="173"/>
      <c r="AT178" s="173"/>
      <c r="AU178" s="173"/>
      <c r="AV178" s="173"/>
      <c r="AW178" s="173"/>
      <c r="AX178" s="173"/>
      <c r="AY178" s="173"/>
    </row>
    <row r="179" spans="1:51">
      <c r="A179" s="469"/>
      <c r="B179" s="469"/>
      <c r="C179" s="469"/>
      <c r="D179" s="469"/>
      <c r="E179" s="469"/>
      <c r="F179" s="469"/>
      <c r="G179" s="469"/>
      <c r="H179" s="469"/>
      <c r="I179" s="469"/>
      <c r="J179" s="469"/>
      <c r="K179" s="469" t="s">
        <v>4876</v>
      </c>
      <c r="L179" s="173"/>
      <c r="M179" s="173"/>
      <c r="N179" s="173"/>
      <c r="O179" s="173"/>
      <c r="P179" s="173"/>
      <c r="Q179" s="173"/>
      <c r="R179" s="173"/>
      <c r="S179" s="173"/>
      <c r="T179" s="173"/>
      <c r="U179" s="173"/>
      <c r="V179" s="173"/>
      <c r="W179" s="173"/>
      <c r="X179" s="173"/>
      <c r="Y179" s="173"/>
      <c r="Z179" s="173" t="s">
        <v>6968</v>
      </c>
      <c r="AA179" s="173"/>
      <c r="AB179" s="173"/>
      <c r="AC179" s="173"/>
      <c r="AD179" s="173"/>
      <c r="AE179" s="173"/>
      <c r="AF179" s="173"/>
      <c r="AG179" s="173"/>
      <c r="AH179" s="173"/>
      <c r="AI179" s="173"/>
      <c r="AJ179" s="173"/>
      <c r="AK179" s="173"/>
      <c r="AL179" s="173"/>
      <c r="AM179" s="173"/>
      <c r="AN179" s="173"/>
      <c r="AO179" s="173"/>
      <c r="AP179" s="173"/>
      <c r="AQ179" s="173"/>
      <c r="AR179" s="173"/>
      <c r="AS179" s="173"/>
      <c r="AT179" s="173"/>
      <c r="AU179" s="173"/>
      <c r="AV179" s="173"/>
      <c r="AW179" s="173"/>
      <c r="AX179" s="173"/>
      <c r="AY179" s="173"/>
    </row>
    <row r="180" spans="1:51">
      <c r="A180" s="469"/>
      <c r="B180" s="469"/>
      <c r="C180" s="469"/>
      <c r="D180" s="469"/>
      <c r="E180" s="469"/>
      <c r="F180" s="469"/>
      <c r="G180" s="469"/>
      <c r="H180" s="469"/>
      <c r="I180" s="469"/>
      <c r="J180" s="469"/>
      <c r="K180" s="469" t="s">
        <v>4877</v>
      </c>
      <c r="L180" s="173"/>
      <c r="M180" s="173"/>
      <c r="N180" s="173"/>
      <c r="O180" s="173"/>
      <c r="P180" s="173"/>
      <c r="Q180" s="173"/>
      <c r="R180" s="173"/>
      <c r="S180" s="173"/>
      <c r="T180" s="173"/>
      <c r="U180" s="173"/>
      <c r="V180" s="173"/>
      <c r="W180" s="173"/>
      <c r="X180" s="173"/>
      <c r="Y180" s="173"/>
      <c r="Z180" s="173" t="s">
        <v>6969</v>
      </c>
      <c r="AA180" s="173"/>
      <c r="AB180" s="173"/>
      <c r="AC180" s="173"/>
      <c r="AD180" s="173"/>
      <c r="AE180" s="173"/>
      <c r="AF180" s="173"/>
      <c r="AG180" s="173"/>
      <c r="AH180" s="173"/>
      <c r="AI180" s="173"/>
      <c r="AJ180" s="173"/>
      <c r="AK180" s="173"/>
      <c r="AL180" s="173"/>
      <c r="AM180" s="173"/>
      <c r="AN180" s="173"/>
      <c r="AO180" s="173"/>
      <c r="AP180" s="173"/>
      <c r="AQ180" s="173"/>
      <c r="AR180" s="173"/>
      <c r="AS180" s="173"/>
      <c r="AT180" s="173"/>
      <c r="AU180" s="173"/>
      <c r="AV180" s="173"/>
      <c r="AW180" s="173"/>
      <c r="AX180" s="173"/>
      <c r="AY180" s="173"/>
    </row>
    <row r="181" spans="1:51">
      <c r="A181" s="469"/>
      <c r="B181" s="469"/>
      <c r="C181" s="469"/>
      <c r="D181" s="469"/>
      <c r="E181" s="469"/>
      <c r="F181" s="469"/>
      <c r="G181" s="469"/>
      <c r="H181" s="469"/>
      <c r="I181" s="469"/>
      <c r="J181" s="469"/>
      <c r="K181" s="469" t="s">
        <v>4878</v>
      </c>
      <c r="L181" s="173"/>
      <c r="M181" s="173"/>
      <c r="N181" s="173"/>
      <c r="O181" s="173"/>
      <c r="P181" s="173"/>
      <c r="Q181" s="173"/>
      <c r="R181" s="173"/>
      <c r="S181" s="173"/>
      <c r="T181" s="173"/>
      <c r="U181" s="173"/>
      <c r="V181" s="173"/>
      <c r="W181" s="173"/>
      <c r="X181" s="173"/>
      <c r="Y181" s="173"/>
      <c r="Z181" s="173" t="s">
        <v>6970</v>
      </c>
      <c r="AA181" s="173"/>
      <c r="AB181" s="173"/>
      <c r="AC181" s="173"/>
      <c r="AD181" s="173"/>
      <c r="AE181" s="173"/>
      <c r="AF181" s="173"/>
      <c r="AG181" s="173"/>
      <c r="AH181" s="173"/>
      <c r="AI181" s="173"/>
      <c r="AJ181" s="173"/>
      <c r="AK181" s="173"/>
      <c r="AL181" s="173"/>
      <c r="AM181" s="173"/>
      <c r="AN181" s="173"/>
      <c r="AO181" s="173"/>
      <c r="AP181" s="173"/>
      <c r="AQ181" s="173"/>
      <c r="AR181" s="173"/>
      <c r="AS181" s="173"/>
      <c r="AT181" s="173"/>
      <c r="AU181" s="173"/>
      <c r="AV181" s="173"/>
      <c r="AW181" s="173"/>
      <c r="AX181" s="173"/>
      <c r="AY181" s="173"/>
    </row>
    <row r="182" spans="1:51">
      <c r="A182" s="469"/>
      <c r="B182" s="469"/>
      <c r="C182" s="469"/>
      <c r="D182" s="469"/>
      <c r="E182" s="469"/>
      <c r="F182" s="469"/>
      <c r="G182" s="469"/>
      <c r="H182" s="469"/>
      <c r="I182" s="469"/>
      <c r="J182" s="469"/>
      <c r="K182" s="469" t="s">
        <v>4879</v>
      </c>
      <c r="L182" s="173"/>
      <c r="M182" s="173"/>
      <c r="N182" s="173"/>
      <c r="O182" s="173"/>
      <c r="P182" s="173"/>
      <c r="Q182" s="173"/>
      <c r="R182" s="173"/>
      <c r="S182" s="173"/>
      <c r="T182" s="173"/>
      <c r="U182" s="173"/>
      <c r="V182" s="173"/>
      <c r="W182" s="173"/>
      <c r="X182" s="173"/>
      <c r="Y182" s="173"/>
      <c r="Z182" s="173" t="s">
        <v>6971</v>
      </c>
      <c r="AA182" s="173"/>
      <c r="AB182" s="173"/>
      <c r="AC182" s="173"/>
      <c r="AD182" s="173"/>
      <c r="AE182" s="173"/>
      <c r="AF182" s="173"/>
      <c r="AG182" s="173"/>
      <c r="AH182" s="173"/>
      <c r="AI182" s="173"/>
      <c r="AJ182" s="173"/>
      <c r="AK182" s="173"/>
      <c r="AL182" s="173"/>
      <c r="AM182" s="173"/>
      <c r="AN182" s="173"/>
      <c r="AO182" s="173"/>
      <c r="AP182" s="173"/>
      <c r="AQ182" s="173"/>
      <c r="AR182" s="173"/>
      <c r="AS182" s="173"/>
      <c r="AT182" s="173"/>
      <c r="AU182" s="173"/>
      <c r="AV182" s="173"/>
      <c r="AW182" s="173"/>
      <c r="AX182" s="173"/>
      <c r="AY182" s="173"/>
    </row>
    <row r="183" spans="1:51">
      <c r="A183" s="469"/>
      <c r="B183" s="469"/>
      <c r="C183" s="469"/>
      <c r="D183" s="469"/>
      <c r="E183" s="469"/>
      <c r="F183" s="469"/>
      <c r="G183" s="469"/>
      <c r="H183" s="469"/>
      <c r="I183" s="469"/>
      <c r="J183" s="469"/>
      <c r="K183" s="469" t="s">
        <v>4880</v>
      </c>
      <c r="L183" s="173"/>
      <c r="M183" s="173"/>
      <c r="N183" s="173"/>
      <c r="O183" s="173"/>
      <c r="P183" s="173"/>
      <c r="Q183" s="173"/>
      <c r="R183" s="173"/>
      <c r="S183" s="173"/>
      <c r="T183" s="173"/>
      <c r="U183" s="173"/>
      <c r="V183" s="173"/>
      <c r="W183" s="173"/>
      <c r="X183" s="173"/>
      <c r="Y183" s="173"/>
      <c r="Z183" s="173" t="s">
        <v>6972</v>
      </c>
      <c r="AA183" s="173"/>
      <c r="AB183" s="173"/>
      <c r="AC183" s="173"/>
      <c r="AD183" s="173"/>
      <c r="AE183" s="173"/>
      <c r="AF183" s="173"/>
      <c r="AG183" s="173"/>
      <c r="AH183" s="173"/>
      <c r="AI183" s="173"/>
      <c r="AJ183" s="173"/>
      <c r="AK183" s="173"/>
      <c r="AL183" s="173"/>
      <c r="AM183" s="173"/>
      <c r="AN183" s="173"/>
      <c r="AO183" s="173"/>
      <c r="AP183" s="173"/>
      <c r="AQ183" s="173"/>
      <c r="AR183" s="173"/>
      <c r="AS183" s="173"/>
      <c r="AT183" s="173"/>
      <c r="AU183" s="173"/>
      <c r="AV183" s="173"/>
      <c r="AW183" s="173"/>
      <c r="AX183" s="173"/>
      <c r="AY183" s="173"/>
    </row>
    <row r="184" spans="1:51">
      <c r="A184" s="469"/>
      <c r="B184" s="469"/>
      <c r="C184" s="469"/>
      <c r="D184" s="469"/>
      <c r="E184" s="469"/>
      <c r="F184" s="469"/>
      <c r="G184" s="469"/>
      <c r="H184" s="469"/>
      <c r="I184" s="469"/>
      <c r="J184" s="469"/>
      <c r="K184" s="469" t="s">
        <v>4881</v>
      </c>
      <c r="L184" s="173"/>
      <c r="M184" s="173"/>
      <c r="N184" s="173"/>
      <c r="O184" s="173"/>
      <c r="P184" s="173"/>
      <c r="Q184" s="173"/>
      <c r="R184" s="173"/>
      <c r="S184" s="173"/>
      <c r="T184" s="173"/>
      <c r="U184" s="173"/>
      <c r="V184" s="173"/>
      <c r="W184" s="173"/>
      <c r="X184" s="173"/>
      <c r="Y184" s="173"/>
      <c r="Z184" s="173" t="s">
        <v>6973</v>
      </c>
      <c r="AA184" s="173"/>
      <c r="AB184" s="173"/>
      <c r="AC184" s="173"/>
      <c r="AD184" s="173"/>
      <c r="AE184" s="173"/>
      <c r="AF184" s="173"/>
      <c r="AG184" s="173"/>
      <c r="AH184" s="173"/>
      <c r="AI184" s="173"/>
      <c r="AJ184" s="173"/>
      <c r="AK184" s="173"/>
      <c r="AL184" s="173"/>
      <c r="AM184" s="173"/>
      <c r="AN184" s="173"/>
      <c r="AO184" s="173"/>
      <c r="AP184" s="173"/>
      <c r="AQ184" s="173"/>
      <c r="AR184" s="173"/>
      <c r="AS184" s="173"/>
      <c r="AT184" s="173"/>
      <c r="AU184" s="173"/>
      <c r="AV184" s="173"/>
      <c r="AW184" s="173"/>
      <c r="AX184" s="173"/>
      <c r="AY184" s="173"/>
    </row>
    <row r="185" spans="1:51">
      <c r="A185" s="469"/>
      <c r="B185" s="469"/>
      <c r="C185" s="469"/>
      <c r="D185" s="469"/>
      <c r="E185" s="469"/>
      <c r="F185" s="469"/>
      <c r="G185" s="469"/>
      <c r="H185" s="469"/>
      <c r="I185" s="469"/>
      <c r="J185" s="469"/>
      <c r="K185" s="469" t="s">
        <v>4882</v>
      </c>
      <c r="L185" s="173"/>
      <c r="M185" s="173"/>
      <c r="N185" s="173"/>
      <c r="O185" s="173"/>
      <c r="P185" s="173"/>
      <c r="Q185" s="173"/>
      <c r="R185" s="173"/>
      <c r="S185" s="173"/>
      <c r="T185" s="173"/>
      <c r="U185" s="173"/>
      <c r="V185" s="173"/>
      <c r="W185" s="173"/>
      <c r="X185" s="173"/>
      <c r="Y185" s="173"/>
      <c r="Z185" s="173" t="s">
        <v>6974</v>
      </c>
      <c r="AA185" s="173"/>
      <c r="AB185" s="173"/>
      <c r="AC185" s="173"/>
      <c r="AD185" s="173"/>
      <c r="AE185" s="173"/>
      <c r="AF185" s="173"/>
      <c r="AG185" s="173"/>
      <c r="AH185" s="173"/>
      <c r="AI185" s="173"/>
      <c r="AJ185" s="173"/>
      <c r="AK185" s="173"/>
      <c r="AL185" s="173"/>
      <c r="AM185" s="173"/>
      <c r="AN185" s="173"/>
      <c r="AO185" s="173"/>
      <c r="AP185" s="173"/>
      <c r="AQ185" s="173"/>
      <c r="AR185" s="173"/>
      <c r="AS185" s="173"/>
      <c r="AT185" s="173"/>
      <c r="AU185" s="173"/>
      <c r="AV185" s="173"/>
      <c r="AW185" s="173"/>
      <c r="AX185" s="173"/>
      <c r="AY185" s="173"/>
    </row>
    <row r="186" spans="1:51">
      <c r="A186" s="469"/>
      <c r="B186" s="469"/>
      <c r="C186" s="469"/>
      <c r="D186" s="469"/>
      <c r="E186" s="469"/>
      <c r="F186" s="469"/>
      <c r="G186" s="469"/>
      <c r="H186" s="469"/>
      <c r="I186" s="469"/>
      <c r="J186" s="469"/>
      <c r="K186" s="469" t="s">
        <v>59</v>
      </c>
      <c r="L186" s="173"/>
      <c r="M186" s="173"/>
      <c r="N186" s="173"/>
      <c r="O186" s="173"/>
      <c r="P186" s="173"/>
      <c r="Q186" s="173"/>
      <c r="R186" s="173"/>
      <c r="S186" s="173"/>
      <c r="T186" s="173"/>
      <c r="U186" s="173"/>
      <c r="V186" s="173"/>
      <c r="W186" s="173"/>
      <c r="X186" s="173"/>
      <c r="Y186" s="173"/>
      <c r="Z186" s="173" t="s">
        <v>6975</v>
      </c>
      <c r="AA186" s="173"/>
      <c r="AB186" s="173"/>
      <c r="AC186" s="173"/>
      <c r="AD186" s="173"/>
      <c r="AE186" s="173"/>
      <c r="AF186" s="173"/>
      <c r="AG186" s="173"/>
      <c r="AH186" s="173"/>
      <c r="AI186" s="173"/>
      <c r="AJ186" s="173"/>
      <c r="AK186" s="173"/>
      <c r="AL186" s="173"/>
      <c r="AM186" s="173"/>
      <c r="AN186" s="173"/>
      <c r="AO186" s="173"/>
      <c r="AP186" s="173"/>
      <c r="AQ186" s="173"/>
      <c r="AR186" s="173"/>
      <c r="AS186" s="173"/>
      <c r="AT186" s="173"/>
      <c r="AU186" s="173"/>
      <c r="AV186" s="173"/>
      <c r="AW186" s="173"/>
      <c r="AX186" s="173"/>
      <c r="AY186" s="173"/>
    </row>
    <row r="187" spans="1:51">
      <c r="A187" s="469"/>
      <c r="B187" s="469"/>
      <c r="C187" s="469"/>
      <c r="D187" s="469"/>
      <c r="E187" s="469"/>
      <c r="F187" s="469"/>
      <c r="G187" s="469"/>
      <c r="H187" s="469"/>
      <c r="I187" s="469"/>
      <c r="J187" s="469"/>
      <c r="K187" s="469" t="s">
        <v>4883</v>
      </c>
      <c r="L187" s="173"/>
      <c r="M187" s="173"/>
      <c r="N187" s="173"/>
      <c r="O187" s="173"/>
      <c r="P187" s="173"/>
      <c r="Q187" s="173"/>
      <c r="R187" s="173"/>
      <c r="S187" s="173"/>
      <c r="T187" s="173"/>
      <c r="U187" s="173"/>
      <c r="V187" s="173"/>
      <c r="W187" s="173"/>
      <c r="X187" s="173"/>
      <c r="Y187" s="173"/>
      <c r="Z187" s="173" t="s">
        <v>6976</v>
      </c>
      <c r="AA187" s="173"/>
      <c r="AB187" s="173"/>
      <c r="AC187" s="173"/>
      <c r="AD187" s="173"/>
      <c r="AE187" s="173"/>
      <c r="AF187" s="173"/>
      <c r="AG187" s="173"/>
      <c r="AH187" s="173"/>
      <c r="AI187" s="173"/>
      <c r="AJ187" s="173"/>
      <c r="AK187" s="173"/>
      <c r="AL187" s="173"/>
      <c r="AM187" s="173"/>
      <c r="AN187" s="173"/>
      <c r="AO187" s="173"/>
      <c r="AP187" s="173"/>
      <c r="AQ187" s="173"/>
      <c r="AR187" s="173"/>
      <c r="AS187" s="173"/>
      <c r="AT187" s="173"/>
      <c r="AU187" s="173"/>
      <c r="AV187" s="173"/>
      <c r="AW187" s="173"/>
      <c r="AX187" s="173"/>
      <c r="AY187" s="173"/>
    </row>
    <row r="188" spans="1:51">
      <c r="A188" s="469"/>
      <c r="B188" s="469"/>
      <c r="C188" s="469"/>
      <c r="D188" s="469"/>
      <c r="E188" s="469"/>
      <c r="F188" s="469"/>
      <c r="G188" s="469"/>
      <c r="H188" s="469"/>
      <c r="I188" s="469"/>
      <c r="J188" s="469"/>
      <c r="K188" s="469" t="s">
        <v>381</v>
      </c>
      <c r="L188" s="173"/>
      <c r="M188" s="173"/>
      <c r="N188" s="173"/>
      <c r="O188" s="173"/>
      <c r="P188" s="173"/>
      <c r="Q188" s="173"/>
      <c r="R188" s="173"/>
      <c r="S188" s="173"/>
      <c r="T188" s="173"/>
      <c r="U188" s="173"/>
      <c r="V188" s="173"/>
      <c r="W188" s="173"/>
      <c r="X188" s="173"/>
      <c r="Y188" s="173"/>
      <c r="Z188" s="173" t="s">
        <v>6977</v>
      </c>
      <c r="AA188" s="173"/>
      <c r="AB188" s="173"/>
      <c r="AC188" s="173"/>
      <c r="AD188" s="173"/>
      <c r="AE188" s="173"/>
      <c r="AF188" s="173"/>
      <c r="AG188" s="173"/>
      <c r="AH188" s="173"/>
      <c r="AI188" s="173"/>
      <c r="AJ188" s="173"/>
      <c r="AK188" s="173"/>
      <c r="AL188" s="173"/>
      <c r="AM188" s="173"/>
      <c r="AN188" s="173"/>
      <c r="AO188" s="173"/>
      <c r="AP188" s="173"/>
      <c r="AQ188" s="173"/>
      <c r="AR188" s="173"/>
      <c r="AS188" s="173"/>
      <c r="AT188" s="173"/>
      <c r="AU188" s="173"/>
      <c r="AV188" s="173"/>
      <c r="AW188" s="173"/>
      <c r="AX188" s="173"/>
      <c r="AY188" s="173"/>
    </row>
    <row r="189" spans="1:51">
      <c r="A189" s="469"/>
      <c r="B189" s="469"/>
      <c r="C189" s="469"/>
      <c r="D189" s="469"/>
      <c r="E189" s="469"/>
      <c r="F189" s="469"/>
      <c r="G189" s="469"/>
      <c r="H189" s="469"/>
      <c r="I189" s="469"/>
      <c r="J189" s="469"/>
      <c r="K189" s="469" t="s">
        <v>4884</v>
      </c>
      <c r="L189" s="173"/>
      <c r="M189" s="173"/>
      <c r="N189" s="173"/>
      <c r="O189" s="173"/>
      <c r="P189" s="173"/>
      <c r="Q189" s="173"/>
      <c r="R189" s="173"/>
      <c r="S189" s="173"/>
      <c r="T189" s="173"/>
      <c r="U189" s="173"/>
      <c r="V189" s="173"/>
      <c r="W189" s="173"/>
      <c r="X189" s="173"/>
      <c r="Y189" s="173"/>
      <c r="Z189" s="173" t="s">
        <v>6978</v>
      </c>
      <c r="AA189" s="173"/>
      <c r="AB189" s="173"/>
      <c r="AC189" s="173"/>
      <c r="AD189" s="173"/>
      <c r="AE189" s="173"/>
      <c r="AF189" s="173"/>
      <c r="AG189" s="173"/>
      <c r="AH189" s="173"/>
      <c r="AI189" s="173"/>
      <c r="AJ189" s="173"/>
      <c r="AK189" s="173"/>
      <c r="AL189" s="173"/>
      <c r="AM189" s="173"/>
      <c r="AN189" s="173"/>
      <c r="AO189" s="173"/>
      <c r="AP189" s="173"/>
      <c r="AQ189" s="173"/>
      <c r="AR189" s="173"/>
      <c r="AS189" s="173"/>
      <c r="AT189" s="173"/>
      <c r="AU189" s="173"/>
      <c r="AV189" s="173"/>
      <c r="AW189" s="173"/>
      <c r="AX189" s="173"/>
      <c r="AY189" s="173"/>
    </row>
    <row r="190" spans="1:51">
      <c r="A190" s="469"/>
      <c r="B190" s="469"/>
      <c r="C190" s="469"/>
      <c r="D190" s="469"/>
      <c r="E190" s="469"/>
      <c r="F190" s="469"/>
      <c r="G190" s="469"/>
      <c r="H190" s="469"/>
      <c r="I190" s="469"/>
      <c r="J190" s="469"/>
      <c r="K190" s="469" t="s">
        <v>380</v>
      </c>
      <c r="L190" s="173"/>
      <c r="M190" s="173"/>
      <c r="N190" s="173"/>
      <c r="O190" s="173"/>
      <c r="P190" s="173"/>
      <c r="Q190" s="173"/>
      <c r="R190" s="173"/>
      <c r="S190" s="173"/>
      <c r="T190" s="173"/>
      <c r="U190" s="173"/>
      <c r="V190" s="173"/>
      <c r="W190" s="173"/>
      <c r="X190" s="173"/>
      <c r="Y190" s="173"/>
      <c r="Z190" s="173" t="s">
        <v>6979</v>
      </c>
      <c r="AA190" s="173"/>
      <c r="AB190" s="173"/>
      <c r="AC190" s="173"/>
      <c r="AD190" s="173"/>
      <c r="AE190" s="173"/>
      <c r="AF190" s="173"/>
      <c r="AG190" s="173"/>
      <c r="AH190" s="173"/>
      <c r="AI190" s="173"/>
      <c r="AJ190" s="173"/>
      <c r="AK190" s="173"/>
      <c r="AL190" s="173"/>
      <c r="AM190" s="173"/>
      <c r="AN190" s="173"/>
      <c r="AO190" s="173"/>
      <c r="AP190" s="173"/>
      <c r="AQ190" s="173"/>
      <c r="AR190" s="173"/>
      <c r="AS190" s="173"/>
      <c r="AT190" s="173"/>
      <c r="AU190" s="173"/>
      <c r="AV190" s="173"/>
      <c r="AW190" s="173"/>
      <c r="AX190" s="173"/>
      <c r="AY190" s="173"/>
    </row>
    <row r="191" spans="1:51">
      <c r="A191" s="469"/>
      <c r="B191" s="469"/>
      <c r="C191" s="469"/>
      <c r="D191" s="469"/>
      <c r="E191" s="469"/>
      <c r="F191" s="469"/>
      <c r="G191" s="469"/>
      <c r="H191" s="469"/>
      <c r="I191" s="469"/>
      <c r="J191" s="469"/>
      <c r="K191" s="469" t="s">
        <v>4885</v>
      </c>
      <c r="L191" s="173"/>
      <c r="M191" s="173"/>
      <c r="N191" s="173"/>
      <c r="O191" s="173"/>
      <c r="P191" s="173"/>
      <c r="Q191" s="173"/>
      <c r="R191" s="173"/>
      <c r="S191" s="173"/>
      <c r="T191" s="173"/>
      <c r="U191" s="173"/>
      <c r="V191" s="173"/>
      <c r="W191" s="173"/>
      <c r="X191" s="173"/>
      <c r="Y191" s="173"/>
      <c r="Z191" s="173" t="s">
        <v>6980</v>
      </c>
      <c r="AA191" s="173"/>
      <c r="AB191" s="173"/>
      <c r="AC191" s="173"/>
      <c r="AD191" s="173"/>
      <c r="AE191" s="173"/>
      <c r="AF191" s="173"/>
      <c r="AG191" s="173"/>
      <c r="AH191" s="173"/>
      <c r="AI191" s="173"/>
      <c r="AJ191" s="173"/>
      <c r="AK191" s="173"/>
      <c r="AL191" s="173"/>
      <c r="AM191" s="173"/>
      <c r="AN191" s="173"/>
      <c r="AO191" s="173"/>
      <c r="AP191" s="173"/>
      <c r="AQ191" s="173"/>
      <c r="AR191" s="173"/>
      <c r="AS191" s="173"/>
      <c r="AT191" s="173"/>
      <c r="AU191" s="173"/>
      <c r="AV191" s="173"/>
      <c r="AW191" s="173"/>
      <c r="AX191" s="173"/>
      <c r="AY191" s="173"/>
    </row>
    <row r="192" spans="1:51">
      <c r="A192" s="469"/>
      <c r="B192" s="469"/>
      <c r="C192" s="469"/>
      <c r="D192" s="469"/>
      <c r="E192" s="469"/>
      <c r="F192" s="469"/>
      <c r="G192" s="469"/>
      <c r="H192" s="469"/>
      <c r="I192" s="469"/>
      <c r="J192" s="469"/>
      <c r="K192" s="469" t="s">
        <v>4886</v>
      </c>
      <c r="L192" s="173"/>
      <c r="M192" s="173"/>
      <c r="N192" s="173"/>
      <c r="O192" s="173"/>
      <c r="P192" s="173"/>
      <c r="Q192" s="173"/>
      <c r="R192" s="173"/>
      <c r="S192" s="173"/>
      <c r="T192" s="173"/>
      <c r="U192" s="173"/>
      <c r="V192" s="173"/>
      <c r="W192" s="173"/>
      <c r="X192" s="173"/>
      <c r="Y192" s="173"/>
      <c r="Z192" s="173" t="s">
        <v>6981</v>
      </c>
      <c r="AA192" s="173"/>
      <c r="AB192" s="173"/>
      <c r="AC192" s="173"/>
      <c r="AD192" s="173"/>
      <c r="AE192" s="173"/>
      <c r="AF192" s="173"/>
      <c r="AG192" s="173"/>
      <c r="AH192" s="173"/>
      <c r="AI192" s="173"/>
      <c r="AJ192" s="173"/>
      <c r="AK192" s="173"/>
      <c r="AL192" s="173"/>
      <c r="AM192" s="173"/>
      <c r="AN192" s="173"/>
      <c r="AO192" s="173"/>
      <c r="AP192" s="173"/>
      <c r="AQ192" s="173"/>
      <c r="AR192" s="173"/>
      <c r="AS192" s="173"/>
      <c r="AT192" s="173"/>
      <c r="AU192" s="173"/>
      <c r="AV192" s="173"/>
      <c r="AW192" s="173"/>
      <c r="AX192" s="173"/>
      <c r="AY192" s="173"/>
    </row>
    <row r="193" spans="1:51">
      <c r="A193" s="469"/>
      <c r="B193" s="469"/>
      <c r="C193" s="469"/>
      <c r="D193" s="469"/>
      <c r="E193" s="469"/>
      <c r="F193" s="469"/>
      <c r="G193" s="469"/>
      <c r="H193" s="469"/>
      <c r="I193" s="469"/>
      <c r="J193" s="469"/>
      <c r="K193" s="469" t="s">
        <v>4887</v>
      </c>
      <c r="L193" s="173"/>
      <c r="M193" s="173"/>
      <c r="N193" s="173"/>
      <c r="O193" s="173"/>
      <c r="P193" s="173"/>
      <c r="Q193" s="173"/>
      <c r="R193" s="173"/>
      <c r="S193" s="173"/>
      <c r="T193" s="173"/>
      <c r="U193" s="173"/>
      <c r="V193" s="173"/>
      <c r="W193" s="173"/>
      <c r="X193" s="173"/>
      <c r="Y193" s="173"/>
      <c r="Z193" s="173" t="s">
        <v>6982</v>
      </c>
      <c r="AA193" s="173"/>
      <c r="AB193" s="173"/>
      <c r="AC193" s="173"/>
      <c r="AD193" s="173"/>
      <c r="AE193" s="173"/>
      <c r="AF193" s="173"/>
      <c r="AG193" s="173"/>
      <c r="AH193" s="173"/>
      <c r="AI193" s="173"/>
      <c r="AJ193" s="173"/>
      <c r="AK193" s="173"/>
      <c r="AL193" s="173"/>
      <c r="AM193" s="173"/>
      <c r="AN193" s="173"/>
      <c r="AO193" s="173"/>
      <c r="AP193" s="173"/>
      <c r="AQ193" s="173"/>
      <c r="AR193" s="173"/>
      <c r="AS193" s="173"/>
      <c r="AT193" s="173"/>
      <c r="AU193" s="173"/>
      <c r="AV193" s="173"/>
      <c r="AW193" s="173"/>
      <c r="AX193" s="173"/>
      <c r="AY193" s="173"/>
    </row>
    <row r="194" spans="1:51">
      <c r="A194" s="469"/>
      <c r="B194" s="469"/>
      <c r="C194" s="469"/>
      <c r="D194" s="469"/>
      <c r="E194" s="469"/>
      <c r="F194" s="469"/>
      <c r="G194" s="469"/>
      <c r="H194" s="469"/>
      <c r="I194" s="469"/>
      <c r="J194" s="469"/>
      <c r="K194" s="469" t="s">
        <v>4888</v>
      </c>
      <c r="L194" s="173"/>
      <c r="M194" s="173"/>
      <c r="N194" s="173"/>
      <c r="O194" s="173"/>
      <c r="P194" s="173"/>
      <c r="Q194" s="173"/>
      <c r="R194" s="173"/>
      <c r="S194" s="173"/>
      <c r="T194" s="173"/>
      <c r="U194" s="173"/>
      <c r="V194" s="173"/>
      <c r="W194" s="173"/>
      <c r="X194" s="173"/>
      <c r="Y194" s="173"/>
      <c r="Z194" s="173" t="s">
        <v>6983</v>
      </c>
      <c r="AA194" s="173"/>
      <c r="AB194" s="173"/>
      <c r="AC194" s="173"/>
      <c r="AD194" s="173"/>
      <c r="AE194" s="173"/>
      <c r="AF194" s="173"/>
      <c r="AG194" s="173"/>
      <c r="AH194" s="173"/>
      <c r="AI194" s="173"/>
      <c r="AJ194" s="173"/>
      <c r="AK194" s="173"/>
      <c r="AL194" s="173"/>
      <c r="AM194" s="173"/>
      <c r="AN194" s="173"/>
      <c r="AO194" s="173"/>
      <c r="AP194" s="173"/>
      <c r="AQ194" s="173"/>
      <c r="AR194" s="173"/>
      <c r="AS194" s="173"/>
      <c r="AT194" s="173"/>
      <c r="AU194" s="173"/>
      <c r="AV194" s="173"/>
      <c r="AW194" s="173"/>
      <c r="AX194" s="173"/>
      <c r="AY194" s="173"/>
    </row>
    <row r="195" spans="1:51">
      <c r="A195" s="469"/>
      <c r="B195" s="469"/>
      <c r="C195" s="469"/>
      <c r="D195" s="469"/>
      <c r="E195" s="469"/>
      <c r="F195" s="469"/>
      <c r="G195" s="469"/>
      <c r="H195" s="469"/>
      <c r="I195" s="469"/>
      <c r="J195" s="469"/>
      <c r="K195" s="469" t="s">
        <v>4889</v>
      </c>
      <c r="L195" s="173"/>
      <c r="M195" s="173"/>
      <c r="N195" s="173"/>
      <c r="O195" s="173"/>
      <c r="P195" s="173"/>
      <c r="Q195" s="173"/>
      <c r="R195" s="173"/>
      <c r="S195" s="173"/>
      <c r="T195" s="173"/>
      <c r="U195" s="173"/>
      <c r="V195" s="173"/>
      <c r="W195" s="173"/>
      <c r="X195" s="173"/>
      <c r="Y195" s="173"/>
      <c r="Z195" s="173" t="s">
        <v>6984</v>
      </c>
      <c r="AA195" s="173"/>
      <c r="AB195" s="173"/>
      <c r="AC195" s="173"/>
      <c r="AD195" s="173"/>
      <c r="AE195" s="173"/>
      <c r="AF195" s="173"/>
      <c r="AG195" s="173"/>
      <c r="AH195" s="173"/>
      <c r="AI195" s="173"/>
      <c r="AJ195" s="173"/>
      <c r="AK195" s="173"/>
      <c r="AL195" s="173"/>
      <c r="AM195" s="173"/>
      <c r="AN195" s="173"/>
      <c r="AO195" s="173"/>
      <c r="AP195" s="173"/>
      <c r="AQ195" s="173"/>
      <c r="AR195" s="173"/>
      <c r="AS195" s="173"/>
      <c r="AT195" s="173"/>
      <c r="AU195" s="173"/>
      <c r="AV195" s="173"/>
      <c r="AW195" s="173"/>
      <c r="AX195" s="173"/>
      <c r="AY195" s="173"/>
    </row>
    <row r="196" spans="1:51">
      <c r="A196" s="469"/>
      <c r="B196" s="469"/>
      <c r="C196" s="469"/>
      <c r="D196" s="469"/>
      <c r="E196" s="469"/>
      <c r="F196" s="469"/>
      <c r="G196" s="469"/>
      <c r="H196" s="469"/>
      <c r="I196" s="469"/>
      <c r="J196" s="469"/>
      <c r="K196" s="469" t="s">
        <v>4890</v>
      </c>
      <c r="L196" s="173"/>
      <c r="M196" s="173"/>
      <c r="N196" s="173"/>
      <c r="O196" s="173"/>
      <c r="P196" s="173"/>
      <c r="Q196" s="173"/>
      <c r="R196" s="173"/>
      <c r="S196" s="173"/>
      <c r="T196" s="173"/>
      <c r="U196" s="173"/>
      <c r="V196" s="173"/>
      <c r="W196" s="173"/>
      <c r="X196" s="173"/>
      <c r="Y196" s="173"/>
      <c r="Z196" s="173" t="s">
        <v>6985</v>
      </c>
      <c r="AA196" s="173"/>
      <c r="AB196" s="173"/>
      <c r="AC196" s="173"/>
      <c r="AD196" s="173"/>
      <c r="AE196" s="173"/>
      <c r="AF196" s="173"/>
      <c r="AG196" s="173"/>
      <c r="AH196" s="173"/>
      <c r="AI196" s="173"/>
      <c r="AJ196" s="173"/>
      <c r="AK196" s="173"/>
      <c r="AL196" s="173"/>
      <c r="AM196" s="173"/>
      <c r="AN196" s="173"/>
      <c r="AO196" s="173"/>
      <c r="AP196" s="173"/>
      <c r="AQ196" s="173"/>
      <c r="AR196" s="173"/>
      <c r="AS196" s="173"/>
      <c r="AT196" s="173"/>
      <c r="AU196" s="173"/>
      <c r="AV196" s="173"/>
      <c r="AW196" s="173"/>
      <c r="AX196" s="173"/>
      <c r="AY196" s="173"/>
    </row>
    <row r="197" spans="1:51">
      <c r="A197" s="469"/>
      <c r="B197" s="469"/>
      <c r="C197" s="469"/>
      <c r="D197" s="469"/>
      <c r="E197" s="469"/>
      <c r="F197" s="469"/>
      <c r="G197" s="469"/>
      <c r="H197" s="469"/>
      <c r="I197" s="469"/>
      <c r="J197" s="469"/>
      <c r="K197" s="469" t="s">
        <v>251</v>
      </c>
      <c r="L197" s="173"/>
      <c r="M197" s="173"/>
      <c r="N197" s="173"/>
      <c r="O197" s="173"/>
      <c r="P197" s="173"/>
      <c r="Q197" s="173"/>
      <c r="R197" s="173"/>
      <c r="S197" s="173"/>
      <c r="T197" s="173"/>
      <c r="U197" s="173"/>
      <c r="V197" s="173"/>
      <c r="W197" s="173"/>
      <c r="X197" s="173"/>
      <c r="Y197" s="173"/>
      <c r="Z197" s="173" t="s">
        <v>6986</v>
      </c>
      <c r="AA197" s="173"/>
      <c r="AB197" s="173"/>
      <c r="AC197" s="173"/>
      <c r="AD197" s="173"/>
      <c r="AE197" s="173"/>
      <c r="AF197" s="173"/>
      <c r="AG197" s="173"/>
      <c r="AH197" s="173"/>
      <c r="AI197" s="173"/>
      <c r="AJ197" s="173"/>
      <c r="AK197" s="173"/>
      <c r="AL197" s="173"/>
      <c r="AM197" s="173"/>
      <c r="AN197" s="173"/>
      <c r="AO197" s="173"/>
      <c r="AP197" s="173"/>
      <c r="AQ197" s="173"/>
      <c r="AR197" s="173"/>
      <c r="AS197" s="173"/>
      <c r="AT197" s="173"/>
      <c r="AU197" s="173"/>
      <c r="AV197" s="173"/>
      <c r="AW197" s="173"/>
      <c r="AX197" s="173"/>
      <c r="AY197" s="173"/>
    </row>
    <row r="198" spans="1:51">
      <c r="A198" s="469"/>
      <c r="B198" s="469"/>
      <c r="C198" s="469"/>
      <c r="D198" s="469"/>
      <c r="E198" s="469"/>
      <c r="F198" s="469"/>
      <c r="G198" s="469"/>
      <c r="H198" s="469"/>
      <c r="I198" s="469"/>
      <c r="J198" s="469"/>
      <c r="K198" s="469" t="s">
        <v>252</v>
      </c>
      <c r="L198" s="173"/>
      <c r="M198" s="173"/>
      <c r="N198" s="173"/>
      <c r="O198" s="173"/>
      <c r="P198" s="173"/>
      <c r="Q198" s="173"/>
      <c r="R198" s="173"/>
      <c r="S198" s="173"/>
      <c r="T198" s="173"/>
      <c r="U198" s="173"/>
      <c r="V198" s="173"/>
      <c r="W198" s="173"/>
      <c r="X198" s="173"/>
      <c r="Y198" s="173"/>
      <c r="Z198" s="173" t="s">
        <v>6987</v>
      </c>
      <c r="AA198" s="173"/>
      <c r="AB198" s="173"/>
      <c r="AC198" s="173"/>
      <c r="AD198" s="173"/>
      <c r="AE198" s="173"/>
      <c r="AF198" s="173"/>
      <c r="AG198" s="173"/>
      <c r="AH198" s="173"/>
      <c r="AI198" s="173"/>
      <c r="AJ198" s="173"/>
      <c r="AK198" s="173"/>
      <c r="AL198" s="173"/>
      <c r="AM198" s="173"/>
      <c r="AN198" s="173"/>
      <c r="AO198" s="173"/>
      <c r="AP198" s="173"/>
      <c r="AQ198" s="173"/>
      <c r="AR198" s="173"/>
      <c r="AS198" s="173"/>
      <c r="AT198" s="173"/>
      <c r="AU198" s="173"/>
      <c r="AV198" s="173"/>
      <c r="AW198" s="173"/>
      <c r="AX198" s="173"/>
      <c r="AY198" s="173"/>
    </row>
    <row r="199" spans="1:51">
      <c r="A199" s="469"/>
      <c r="B199" s="469"/>
      <c r="C199" s="469"/>
      <c r="D199" s="469"/>
      <c r="E199" s="469"/>
      <c r="F199" s="469"/>
      <c r="G199" s="469"/>
      <c r="H199" s="469"/>
      <c r="I199" s="469"/>
      <c r="J199" s="469"/>
      <c r="K199" s="469" t="s">
        <v>253</v>
      </c>
      <c r="L199" s="173"/>
      <c r="M199" s="173"/>
      <c r="N199" s="173"/>
      <c r="O199" s="173"/>
      <c r="P199" s="173"/>
      <c r="Q199" s="173"/>
      <c r="R199" s="173"/>
      <c r="S199" s="173"/>
      <c r="T199" s="173"/>
      <c r="U199" s="173"/>
      <c r="V199" s="173"/>
      <c r="W199" s="173"/>
      <c r="X199" s="173"/>
      <c r="Y199" s="173"/>
      <c r="Z199" s="173" t="s">
        <v>6988</v>
      </c>
      <c r="AA199" s="173"/>
      <c r="AB199" s="173"/>
      <c r="AC199" s="173"/>
      <c r="AD199" s="173"/>
      <c r="AE199" s="173"/>
      <c r="AF199" s="173"/>
      <c r="AG199" s="173"/>
      <c r="AH199" s="173"/>
      <c r="AI199" s="173"/>
      <c r="AJ199" s="173"/>
      <c r="AK199" s="173"/>
      <c r="AL199" s="173"/>
      <c r="AM199" s="173"/>
      <c r="AN199" s="173"/>
      <c r="AO199" s="173"/>
      <c r="AP199" s="173"/>
      <c r="AQ199" s="173"/>
      <c r="AR199" s="173"/>
      <c r="AS199" s="173"/>
      <c r="AT199" s="173"/>
      <c r="AU199" s="173"/>
      <c r="AV199" s="173"/>
      <c r="AW199" s="173"/>
      <c r="AX199" s="173"/>
      <c r="AY199" s="173"/>
    </row>
    <row r="200" spans="1:51">
      <c r="A200" s="469"/>
      <c r="B200" s="469"/>
      <c r="C200" s="469"/>
      <c r="D200" s="469"/>
      <c r="E200" s="469"/>
      <c r="F200" s="469"/>
      <c r="G200" s="469"/>
      <c r="H200" s="469"/>
      <c r="I200" s="469"/>
      <c r="J200" s="469"/>
      <c r="K200" s="469" t="s">
        <v>4891</v>
      </c>
      <c r="L200" s="173"/>
      <c r="M200" s="173"/>
      <c r="N200" s="173"/>
      <c r="O200" s="173"/>
      <c r="P200" s="173"/>
      <c r="Q200" s="173"/>
      <c r="R200" s="173"/>
      <c r="S200" s="173"/>
      <c r="T200" s="173"/>
      <c r="U200" s="173"/>
      <c r="V200" s="173"/>
      <c r="W200" s="173"/>
      <c r="X200" s="173"/>
      <c r="Y200" s="173"/>
      <c r="Z200" s="173" t="s">
        <v>6989</v>
      </c>
      <c r="AA200" s="173"/>
      <c r="AB200" s="173"/>
      <c r="AC200" s="173"/>
      <c r="AD200" s="173"/>
      <c r="AE200" s="173"/>
      <c r="AF200" s="173"/>
      <c r="AG200" s="173"/>
      <c r="AH200" s="173"/>
      <c r="AI200" s="173"/>
      <c r="AJ200" s="173"/>
      <c r="AK200" s="173"/>
      <c r="AL200" s="173"/>
      <c r="AM200" s="173"/>
      <c r="AN200" s="173"/>
      <c r="AO200" s="173"/>
      <c r="AP200" s="173"/>
      <c r="AQ200" s="173"/>
      <c r="AR200" s="173"/>
      <c r="AS200" s="173"/>
      <c r="AT200" s="173"/>
      <c r="AU200" s="173"/>
      <c r="AV200" s="173"/>
      <c r="AW200" s="173"/>
      <c r="AX200" s="173"/>
      <c r="AY200" s="173"/>
    </row>
    <row r="201" spans="1:51">
      <c r="A201" s="469"/>
      <c r="B201" s="469"/>
      <c r="C201" s="469"/>
      <c r="D201" s="469"/>
      <c r="E201" s="469"/>
      <c r="F201" s="469"/>
      <c r="G201" s="469"/>
      <c r="H201" s="469"/>
      <c r="I201" s="469"/>
      <c r="J201" s="469"/>
      <c r="K201" s="469" t="s">
        <v>4892</v>
      </c>
      <c r="L201" s="173"/>
      <c r="M201" s="173"/>
      <c r="N201" s="173"/>
      <c r="O201" s="173"/>
      <c r="P201" s="173"/>
      <c r="Q201" s="173"/>
      <c r="R201" s="173"/>
      <c r="S201" s="173"/>
      <c r="T201" s="173"/>
      <c r="U201" s="173"/>
      <c r="V201" s="173"/>
      <c r="W201" s="173"/>
      <c r="X201" s="173"/>
      <c r="Y201" s="173"/>
      <c r="Z201" s="173" t="s">
        <v>6990</v>
      </c>
      <c r="AA201" s="173"/>
      <c r="AB201" s="173"/>
      <c r="AC201" s="173"/>
      <c r="AD201" s="173"/>
      <c r="AE201" s="173"/>
      <c r="AF201" s="173"/>
      <c r="AG201" s="173"/>
      <c r="AH201" s="173"/>
      <c r="AI201" s="173"/>
      <c r="AJ201" s="173"/>
      <c r="AK201" s="173"/>
      <c r="AL201" s="173"/>
      <c r="AM201" s="173"/>
      <c r="AN201" s="173"/>
      <c r="AO201" s="173"/>
      <c r="AP201" s="173"/>
      <c r="AQ201" s="173"/>
      <c r="AR201" s="173"/>
      <c r="AS201" s="173"/>
      <c r="AT201" s="173"/>
      <c r="AU201" s="173"/>
      <c r="AV201" s="173"/>
      <c r="AW201" s="173"/>
      <c r="AX201" s="173"/>
      <c r="AY201" s="173"/>
    </row>
    <row r="202" spans="1:51">
      <c r="A202" s="469"/>
      <c r="B202" s="469"/>
      <c r="C202" s="469"/>
      <c r="D202" s="469"/>
      <c r="E202" s="469"/>
      <c r="F202" s="469"/>
      <c r="G202" s="469"/>
      <c r="H202" s="469"/>
      <c r="I202" s="469"/>
      <c r="J202" s="469"/>
      <c r="K202" s="469" t="s">
        <v>4893</v>
      </c>
      <c r="L202" s="173"/>
      <c r="M202" s="173"/>
      <c r="N202" s="173"/>
      <c r="O202" s="173"/>
      <c r="P202" s="173"/>
      <c r="Q202" s="173"/>
      <c r="R202" s="173"/>
      <c r="S202" s="173"/>
      <c r="T202" s="173"/>
      <c r="U202" s="173"/>
      <c r="V202" s="173"/>
      <c r="W202" s="173"/>
      <c r="X202" s="173"/>
      <c r="Y202" s="173"/>
      <c r="Z202" s="173" t="s">
        <v>6991</v>
      </c>
      <c r="AA202" s="173"/>
      <c r="AB202" s="173"/>
      <c r="AC202" s="173"/>
      <c r="AD202" s="173"/>
      <c r="AE202" s="173"/>
      <c r="AF202" s="173"/>
      <c r="AG202" s="173"/>
      <c r="AH202" s="173"/>
      <c r="AI202" s="173"/>
      <c r="AJ202" s="173"/>
      <c r="AK202" s="173"/>
      <c r="AL202" s="173"/>
      <c r="AM202" s="173"/>
      <c r="AN202" s="173"/>
      <c r="AO202" s="173"/>
      <c r="AP202" s="173"/>
      <c r="AQ202" s="173"/>
      <c r="AR202" s="173"/>
      <c r="AS202" s="173"/>
      <c r="AT202" s="173"/>
      <c r="AU202" s="173"/>
      <c r="AV202" s="173"/>
      <c r="AW202" s="173"/>
      <c r="AX202" s="173"/>
      <c r="AY202" s="173"/>
    </row>
    <row r="203" spans="1:51">
      <c r="A203" s="469"/>
      <c r="B203" s="469"/>
      <c r="C203" s="469"/>
      <c r="D203" s="469"/>
      <c r="E203" s="469"/>
      <c r="F203" s="469"/>
      <c r="G203" s="469"/>
      <c r="H203" s="469"/>
      <c r="I203" s="469"/>
      <c r="J203" s="469"/>
      <c r="K203" s="469" t="s">
        <v>4894</v>
      </c>
      <c r="L203" s="173"/>
      <c r="M203" s="173"/>
      <c r="N203" s="173"/>
      <c r="O203" s="173"/>
      <c r="P203" s="173"/>
      <c r="Q203" s="173"/>
      <c r="R203" s="173"/>
      <c r="S203" s="173"/>
      <c r="T203" s="173"/>
      <c r="U203" s="173"/>
      <c r="V203" s="173"/>
      <c r="W203" s="173"/>
      <c r="X203" s="173"/>
      <c r="Y203" s="173"/>
      <c r="Z203" s="173" t="s">
        <v>6992</v>
      </c>
      <c r="AA203" s="173"/>
      <c r="AB203" s="173"/>
      <c r="AC203" s="173"/>
      <c r="AD203" s="173"/>
      <c r="AE203" s="173"/>
      <c r="AF203" s="173"/>
      <c r="AG203" s="173"/>
      <c r="AH203" s="173"/>
      <c r="AI203" s="173"/>
      <c r="AJ203" s="173"/>
      <c r="AK203" s="173"/>
      <c r="AL203" s="173"/>
      <c r="AM203" s="173"/>
      <c r="AN203" s="173"/>
      <c r="AO203" s="173"/>
      <c r="AP203" s="173"/>
      <c r="AQ203" s="173"/>
      <c r="AR203" s="173"/>
      <c r="AS203" s="173"/>
      <c r="AT203" s="173"/>
      <c r="AU203" s="173"/>
      <c r="AV203" s="173"/>
      <c r="AW203" s="173"/>
      <c r="AX203" s="173"/>
      <c r="AY203" s="173"/>
    </row>
    <row r="204" spans="1:51">
      <c r="A204" s="469"/>
      <c r="B204" s="469"/>
      <c r="C204" s="469"/>
      <c r="D204" s="469"/>
      <c r="E204" s="469"/>
      <c r="F204" s="469"/>
      <c r="G204" s="469"/>
      <c r="H204" s="469"/>
      <c r="I204" s="469"/>
      <c r="J204" s="469"/>
      <c r="K204" s="469" t="s">
        <v>4895</v>
      </c>
      <c r="L204" s="173"/>
      <c r="M204" s="173"/>
      <c r="N204" s="173"/>
      <c r="O204" s="173"/>
      <c r="P204" s="173"/>
      <c r="Q204" s="173"/>
      <c r="R204" s="173"/>
      <c r="S204" s="173"/>
      <c r="T204" s="173"/>
      <c r="U204" s="173"/>
      <c r="V204" s="173"/>
      <c r="W204" s="173"/>
      <c r="X204" s="173"/>
      <c r="Y204" s="173"/>
      <c r="Z204" s="173" t="s">
        <v>6993</v>
      </c>
      <c r="AA204" s="173"/>
      <c r="AB204" s="173"/>
      <c r="AC204" s="173"/>
      <c r="AD204" s="173"/>
      <c r="AE204" s="173"/>
      <c r="AF204" s="173"/>
      <c r="AG204" s="173"/>
      <c r="AH204" s="173"/>
      <c r="AI204" s="173"/>
      <c r="AJ204" s="173"/>
      <c r="AK204" s="173"/>
      <c r="AL204" s="173"/>
      <c r="AM204" s="173"/>
      <c r="AN204" s="173"/>
      <c r="AO204" s="173"/>
      <c r="AP204" s="173"/>
      <c r="AQ204" s="173"/>
      <c r="AR204" s="173"/>
      <c r="AS204" s="173"/>
      <c r="AT204" s="173"/>
      <c r="AU204" s="173"/>
      <c r="AV204" s="173"/>
      <c r="AW204" s="173"/>
      <c r="AX204" s="173"/>
      <c r="AY204" s="173"/>
    </row>
    <row r="205" spans="1:51">
      <c r="A205" s="469"/>
      <c r="B205" s="469"/>
      <c r="C205" s="469"/>
      <c r="D205" s="469"/>
      <c r="E205" s="469"/>
      <c r="F205" s="469"/>
      <c r="G205" s="469"/>
      <c r="H205" s="469"/>
      <c r="I205" s="469"/>
      <c r="J205" s="469"/>
      <c r="K205" s="469" t="s">
        <v>4896</v>
      </c>
      <c r="L205" s="173"/>
      <c r="M205" s="173"/>
      <c r="N205" s="173"/>
      <c r="O205" s="173"/>
      <c r="P205" s="173"/>
      <c r="Q205" s="173"/>
      <c r="R205" s="173"/>
      <c r="S205" s="173"/>
      <c r="T205" s="173"/>
      <c r="U205" s="173"/>
      <c r="V205" s="173"/>
      <c r="W205" s="173"/>
      <c r="X205" s="173"/>
      <c r="Y205" s="173"/>
      <c r="Z205" s="173" t="s">
        <v>6994</v>
      </c>
      <c r="AA205" s="173"/>
      <c r="AB205" s="173"/>
      <c r="AC205" s="173"/>
      <c r="AD205" s="173"/>
      <c r="AE205" s="173"/>
      <c r="AF205" s="173"/>
      <c r="AG205" s="173"/>
      <c r="AH205" s="173"/>
      <c r="AI205" s="173"/>
      <c r="AJ205" s="173"/>
      <c r="AK205" s="173"/>
      <c r="AL205" s="173"/>
      <c r="AM205" s="173"/>
      <c r="AN205" s="173"/>
      <c r="AO205" s="173"/>
      <c r="AP205" s="173"/>
      <c r="AQ205" s="173"/>
      <c r="AR205" s="173"/>
      <c r="AS205" s="173"/>
      <c r="AT205" s="173"/>
      <c r="AU205" s="173"/>
      <c r="AV205" s="173"/>
      <c r="AW205" s="173"/>
      <c r="AX205" s="173"/>
      <c r="AY205" s="173"/>
    </row>
    <row r="206" spans="1:51">
      <c r="A206" s="469"/>
      <c r="B206" s="469"/>
      <c r="C206" s="469"/>
      <c r="D206" s="469"/>
      <c r="E206" s="469"/>
      <c r="F206" s="469"/>
      <c r="G206" s="469"/>
      <c r="H206" s="469"/>
      <c r="I206" s="469"/>
      <c r="J206" s="469"/>
      <c r="K206" s="469" t="s">
        <v>4897</v>
      </c>
      <c r="L206" s="173"/>
      <c r="M206" s="173"/>
      <c r="N206" s="173"/>
      <c r="O206" s="173"/>
      <c r="P206" s="173"/>
      <c r="Q206" s="173"/>
      <c r="R206" s="173"/>
      <c r="S206" s="173"/>
      <c r="T206" s="173"/>
      <c r="U206" s="173"/>
      <c r="V206" s="173"/>
      <c r="W206" s="173"/>
      <c r="X206" s="173"/>
      <c r="Y206" s="173"/>
      <c r="Z206" s="173" t="s">
        <v>6995</v>
      </c>
      <c r="AA206" s="173"/>
      <c r="AB206" s="173"/>
      <c r="AC206" s="173"/>
      <c r="AD206" s="173"/>
      <c r="AE206" s="173"/>
      <c r="AF206" s="173"/>
      <c r="AG206" s="173"/>
      <c r="AH206" s="173"/>
      <c r="AI206" s="173"/>
      <c r="AJ206" s="173"/>
      <c r="AK206" s="173"/>
      <c r="AL206" s="173"/>
      <c r="AM206" s="173"/>
      <c r="AN206" s="173"/>
      <c r="AO206" s="173"/>
      <c r="AP206" s="173"/>
      <c r="AQ206" s="173"/>
      <c r="AR206" s="173"/>
      <c r="AS206" s="173"/>
      <c r="AT206" s="173"/>
      <c r="AU206" s="173"/>
      <c r="AV206" s="173"/>
      <c r="AW206" s="173"/>
      <c r="AX206" s="173"/>
      <c r="AY206" s="173"/>
    </row>
    <row r="207" spans="1:51">
      <c r="A207" s="469"/>
      <c r="B207" s="469"/>
      <c r="C207" s="469"/>
      <c r="D207" s="469"/>
      <c r="E207" s="469"/>
      <c r="F207" s="469"/>
      <c r="G207" s="469"/>
      <c r="H207" s="469"/>
      <c r="I207" s="469"/>
      <c r="J207" s="469"/>
      <c r="K207" s="469" t="s">
        <v>4898</v>
      </c>
      <c r="L207" s="173"/>
      <c r="M207" s="173"/>
      <c r="N207" s="173"/>
      <c r="O207" s="173"/>
      <c r="P207" s="173"/>
      <c r="Q207" s="173"/>
      <c r="R207" s="173"/>
      <c r="S207" s="173"/>
      <c r="T207" s="173"/>
      <c r="U207" s="173"/>
      <c r="V207" s="173"/>
      <c r="W207" s="173"/>
      <c r="X207" s="173"/>
      <c r="Y207" s="173"/>
      <c r="Z207" s="173" t="s">
        <v>6996</v>
      </c>
      <c r="AA207" s="173"/>
      <c r="AB207" s="173"/>
      <c r="AC207" s="173"/>
      <c r="AD207" s="173"/>
      <c r="AE207" s="173"/>
      <c r="AF207" s="173"/>
      <c r="AG207" s="173"/>
      <c r="AH207" s="173"/>
      <c r="AI207" s="173"/>
      <c r="AJ207" s="173"/>
      <c r="AK207" s="173"/>
      <c r="AL207" s="173"/>
      <c r="AM207" s="173"/>
      <c r="AN207" s="173"/>
      <c r="AO207" s="173"/>
      <c r="AP207" s="173"/>
      <c r="AQ207" s="173"/>
      <c r="AR207" s="173"/>
      <c r="AS207" s="173"/>
      <c r="AT207" s="173"/>
      <c r="AU207" s="173"/>
      <c r="AV207" s="173"/>
      <c r="AW207" s="173"/>
      <c r="AX207" s="173"/>
      <c r="AY207" s="173"/>
    </row>
    <row r="208" spans="1:51">
      <c r="A208" s="469"/>
      <c r="B208" s="469"/>
      <c r="C208" s="469"/>
      <c r="D208" s="469"/>
      <c r="E208" s="469"/>
      <c r="F208" s="469"/>
      <c r="G208" s="469"/>
      <c r="H208" s="469"/>
      <c r="I208" s="469"/>
      <c r="J208" s="469"/>
      <c r="K208" s="469" t="s">
        <v>4899</v>
      </c>
      <c r="L208" s="173"/>
      <c r="M208" s="173"/>
      <c r="N208" s="173"/>
      <c r="O208" s="173"/>
      <c r="P208" s="173"/>
      <c r="Q208" s="173"/>
      <c r="R208" s="173"/>
      <c r="S208" s="173"/>
      <c r="T208" s="173"/>
      <c r="U208" s="173"/>
      <c r="V208" s="173"/>
      <c r="W208" s="173"/>
      <c r="X208" s="173"/>
      <c r="Y208" s="173"/>
      <c r="Z208" s="173" t="s">
        <v>6997</v>
      </c>
      <c r="AA208" s="173"/>
      <c r="AB208" s="173"/>
      <c r="AC208" s="173"/>
      <c r="AD208" s="173"/>
      <c r="AE208" s="173"/>
      <c r="AF208" s="173"/>
      <c r="AG208" s="173"/>
      <c r="AH208" s="173"/>
      <c r="AI208" s="173"/>
      <c r="AJ208" s="173"/>
      <c r="AK208" s="173"/>
      <c r="AL208" s="173"/>
      <c r="AM208" s="173"/>
      <c r="AN208" s="173"/>
      <c r="AO208" s="173"/>
      <c r="AP208" s="173"/>
      <c r="AQ208" s="173"/>
      <c r="AR208" s="173"/>
      <c r="AS208" s="173"/>
      <c r="AT208" s="173"/>
      <c r="AU208" s="173"/>
      <c r="AV208" s="173"/>
      <c r="AW208" s="173"/>
      <c r="AX208" s="173"/>
      <c r="AY208" s="173"/>
    </row>
    <row r="209" spans="1:51">
      <c r="A209" s="469"/>
      <c r="B209" s="469"/>
      <c r="C209" s="469"/>
      <c r="D209" s="469"/>
      <c r="E209" s="469"/>
      <c r="F209" s="469"/>
      <c r="G209" s="469"/>
      <c r="H209" s="469"/>
      <c r="I209" s="469"/>
      <c r="J209" s="469"/>
      <c r="K209" s="469" t="s">
        <v>4900</v>
      </c>
      <c r="L209" s="173"/>
      <c r="M209" s="173"/>
      <c r="N209" s="173"/>
      <c r="O209" s="173"/>
      <c r="P209" s="173"/>
      <c r="Q209" s="173"/>
      <c r="R209" s="173"/>
      <c r="S209" s="173"/>
      <c r="T209" s="173"/>
      <c r="U209" s="173"/>
      <c r="V209" s="173"/>
      <c r="W209" s="173"/>
      <c r="X209" s="173"/>
      <c r="Y209" s="173"/>
      <c r="Z209" s="173" t="s">
        <v>6998</v>
      </c>
      <c r="AA209" s="173"/>
      <c r="AB209" s="173"/>
      <c r="AC209" s="173"/>
      <c r="AD209" s="173"/>
      <c r="AE209" s="173"/>
      <c r="AF209" s="173"/>
      <c r="AG209" s="173"/>
      <c r="AH209" s="173"/>
      <c r="AI209" s="173"/>
      <c r="AJ209" s="173"/>
      <c r="AK209" s="173"/>
      <c r="AL209" s="173"/>
      <c r="AM209" s="173"/>
      <c r="AN209" s="173"/>
      <c r="AO209" s="173"/>
      <c r="AP209" s="173"/>
      <c r="AQ209" s="173"/>
      <c r="AR209" s="173"/>
      <c r="AS209" s="173"/>
      <c r="AT209" s="173"/>
      <c r="AU209" s="173"/>
      <c r="AV209" s="173"/>
      <c r="AW209" s="173"/>
      <c r="AX209" s="173"/>
      <c r="AY209" s="173"/>
    </row>
    <row r="210" spans="1:51">
      <c r="A210" s="469"/>
      <c r="B210" s="469"/>
      <c r="C210" s="469"/>
      <c r="D210" s="469"/>
      <c r="E210" s="469"/>
      <c r="F210" s="469"/>
      <c r="G210" s="469"/>
      <c r="H210" s="469"/>
      <c r="I210" s="469"/>
      <c r="J210" s="469"/>
      <c r="K210" s="469" t="s">
        <v>34</v>
      </c>
      <c r="L210" s="173"/>
      <c r="M210" s="173"/>
      <c r="N210" s="173"/>
      <c r="O210" s="173"/>
      <c r="P210" s="173"/>
      <c r="Q210" s="173"/>
      <c r="R210" s="173"/>
      <c r="S210" s="173"/>
      <c r="T210" s="173"/>
      <c r="U210" s="173"/>
      <c r="V210" s="173"/>
      <c r="W210" s="173"/>
      <c r="X210" s="173"/>
      <c r="Y210" s="173"/>
      <c r="Z210" s="173" t="s">
        <v>6999</v>
      </c>
      <c r="AA210" s="173"/>
      <c r="AB210" s="173"/>
      <c r="AC210" s="173"/>
      <c r="AD210" s="173"/>
      <c r="AE210" s="173"/>
      <c r="AF210" s="173"/>
      <c r="AG210" s="173"/>
      <c r="AH210" s="173"/>
      <c r="AI210" s="173"/>
      <c r="AJ210" s="173"/>
      <c r="AK210" s="173"/>
      <c r="AL210" s="173"/>
      <c r="AM210" s="173"/>
      <c r="AN210" s="173"/>
      <c r="AO210" s="173"/>
      <c r="AP210" s="173"/>
      <c r="AQ210" s="173"/>
      <c r="AR210" s="173"/>
      <c r="AS210" s="173"/>
      <c r="AT210" s="173"/>
      <c r="AU210" s="173"/>
      <c r="AV210" s="173"/>
      <c r="AW210" s="173"/>
      <c r="AX210" s="173"/>
      <c r="AY210" s="173"/>
    </row>
    <row r="211" spans="1:51">
      <c r="A211" s="469"/>
      <c r="B211" s="469"/>
      <c r="C211" s="469"/>
      <c r="D211" s="469"/>
      <c r="E211" s="469"/>
      <c r="F211" s="469"/>
      <c r="G211" s="469"/>
      <c r="H211" s="469"/>
      <c r="I211" s="469"/>
      <c r="J211" s="469"/>
      <c r="K211" s="469" t="s">
        <v>34</v>
      </c>
      <c r="L211" s="173"/>
      <c r="M211" s="173"/>
      <c r="N211" s="173"/>
      <c r="O211" s="173"/>
      <c r="P211" s="173"/>
      <c r="Q211" s="173"/>
      <c r="R211" s="173"/>
      <c r="S211" s="173"/>
      <c r="T211" s="173"/>
      <c r="U211" s="173"/>
      <c r="V211" s="173"/>
      <c r="W211" s="173"/>
      <c r="X211" s="173"/>
      <c r="Y211" s="173"/>
      <c r="Z211" s="173" t="s">
        <v>7000</v>
      </c>
      <c r="AA211" s="173"/>
      <c r="AB211" s="173"/>
      <c r="AC211" s="173"/>
      <c r="AD211" s="173"/>
      <c r="AE211" s="173"/>
      <c r="AF211" s="173"/>
      <c r="AG211" s="173"/>
      <c r="AH211" s="173"/>
      <c r="AI211" s="173"/>
      <c r="AJ211" s="173"/>
      <c r="AK211" s="173"/>
      <c r="AL211" s="173"/>
      <c r="AM211" s="173"/>
      <c r="AN211" s="173"/>
      <c r="AO211" s="173"/>
      <c r="AP211" s="173"/>
      <c r="AQ211" s="173"/>
      <c r="AR211" s="173"/>
      <c r="AS211" s="173"/>
      <c r="AT211" s="173"/>
      <c r="AU211" s="173"/>
      <c r="AV211" s="173"/>
      <c r="AW211" s="173"/>
      <c r="AX211" s="173"/>
      <c r="AY211" s="173"/>
    </row>
    <row r="212" spans="1:51">
      <c r="A212" s="469"/>
      <c r="B212" s="469"/>
      <c r="C212" s="469"/>
      <c r="D212" s="469"/>
      <c r="E212" s="469"/>
      <c r="F212" s="469"/>
      <c r="G212" s="469"/>
      <c r="H212" s="469"/>
      <c r="I212" s="469"/>
      <c r="J212" s="469"/>
      <c r="K212" s="469" t="s">
        <v>4901</v>
      </c>
      <c r="L212" s="173"/>
      <c r="M212" s="173"/>
      <c r="N212" s="173"/>
      <c r="O212" s="173"/>
      <c r="P212" s="173"/>
      <c r="Q212" s="173"/>
      <c r="R212" s="173"/>
      <c r="S212" s="173"/>
      <c r="T212" s="173"/>
      <c r="U212" s="173"/>
      <c r="V212" s="173"/>
      <c r="W212" s="173"/>
      <c r="X212" s="173"/>
      <c r="Y212" s="173"/>
      <c r="Z212" s="173" t="s">
        <v>7001</v>
      </c>
      <c r="AA212" s="173"/>
      <c r="AB212" s="173"/>
      <c r="AC212" s="173"/>
      <c r="AD212" s="173"/>
      <c r="AE212" s="173"/>
      <c r="AF212" s="173"/>
      <c r="AG212" s="173"/>
      <c r="AH212" s="173"/>
      <c r="AI212" s="173"/>
      <c r="AJ212" s="173"/>
      <c r="AK212" s="173"/>
      <c r="AL212" s="173"/>
      <c r="AM212" s="173"/>
      <c r="AN212" s="173"/>
      <c r="AO212" s="173"/>
      <c r="AP212" s="173"/>
      <c r="AQ212" s="173"/>
      <c r="AR212" s="173"/>
      <c r="AS212" s="173"/>
      <c r="AT212" s="173"/>
      <c r="AU212" s="173"/>
      <c r="AV212" s="173"/>
      <c r="AW212" s="173"/>
      <c r="AX212" s="173"/>
      <c r="AY212" s="173"/>
    </row>
    <row r="213" spans="1:51">
      <c r="A213" s="469"/>
      <c r="B213" s="469"/>
      <c r="C213" s="469"/>
      <c r="D213" s="469"/>
      <c r="E213" s="469"/>
      <c r="F213" s="469"/>
      <c r="G213" s="469"/>
      <c r="H213" s="469"/>
      <c r="I213" s="469"/>
      <c r="J213" s="469"/>
      <c r="K213" s="469" t="s">
        <v>4902</v>
      </c>
      <c r="L213" s="173"/>
      <c r="M213" s="173"/>
      <c r="N213" s="173"/>
      <c r="O213" s="173"/>
      <c r="P213" s="173"/>
      <c r="Q213" s="173"/>
      <c r="R213" s="173"/>
      <c r="S213" s="173"/>
      <c r="T213" s="173"/>
      <c r="U213" s="173"/>
      <c r="V213" s="173"/>
      <c r="W213" s="173"/>
      <c r="X213" s="173"/>
      <c r="Y213" s="173"/>
      <c r="Z213" s="173" t="s">
        <v>7002</v>
      </c>
      <c r="AA213" s="173"/>
      <c r="AB213" s="173"/>
      <c r="AC213" s="173"/>
      <c r="AD213" s="173"/>
      <c r="AE213" s="173"/>
      <c r="AF213" s="173"/>
      <c r="AG213" s="173"/>
      <c r="AH213" s="173"/>
      <c r="AI213" s="173"/>
      <c r="AJ213" s="173"/>
      <c r="AK213" s="173"/>
      <c r="AL213" s="173"/>
      <c r="AM213" s="173"/>
      <c r="AN213" s="173"/>
      <c r="AO213" s="173"/>
      <c r="AP213" s="173"/>
      <c r="AQ213" s="173"/>
      <c r="AR213" s="173"/>
      <c r="AS213" s="173"/>
      <c r="AT213" s="173"/>
      <c r="AU213" s="173"/>
      <c r="AV213" s="173"/>
      <c r="AW213" s="173"/>
      <c r="AX213" s="173"/>
      <c r="AY213" s="173"/>
    </row>
    <row r="214" spans="1:51">
      <c r="A214" s="469"/>
      <c r="B214" s="469"/>
      <c r="C214" s="469"/>
      <c r="D214" s="469"/>
      <c r="E214" s="469"/>
      <c r="F214" s="469"/>
      <c r="G214" s="469"/>
      <c r="H214" s="469"/>
      <c r="I214" s="469"/>
      <c r="J214" s="469"/>
      <c r="K214" s="469" t="s">
        <v>4903</v>
      </c>
      <c r="L214" s="173"/>
      <c r="M214" s="173"/>
      <c r="N214" s="173"/>
      <c r="O214" s="173"/>
      <c r="P214" s="173"/>
      <c r="Q214" s="173"/>
      <c r="R214" s="173"/>
      <c r="S214" s="173"/>
      <c r="T214" s="173"/>
      <c r="U214" s="173"/>
      <c r="V214" s="173"/>
      <c r="W214" s="173"/>
      <c r="X214" s="173"/>
      <c r="Y214" s="173"/>
      <c r="Z214" s="173" t="s">
        <v>7003</v>
      </c>
      <c r="AA214" s="173"/>
      <c r="AB214" s="173"/>
      <c r="AC214" s="173"/>
      <c r="AD214" s="173"/>
      <c r="AE214" s="173"/>
      <c r="AF214" s="173"/>
      <c r="AG214" s="173"/>
      <c r="AH214" s="173"/>
      <c r="AI214" s="173"/>
      <c r="AJ214" s="173"/>
      <c r="AK214" s="173"/>
      <c r="AL214" s="173"/>
      <c r="AM214" s="173"/>
      <c r="AN214" s="173"/>
      <c r="AO214" s="173"/>
      <c r="AP214" s="173"/>
      <c r="AQ214" s="173"/>
      <c r="AR214" s="173"/>
      <c r="AS214" s="173"/>
      <c r="AT214" s="173"/>
      <c r="AU214" s="173"/>
      <c r="AV214" s="173"/>
      <c r="AW214" s="173"/>
      <c r="AX214" s="173"/>
      <c r="AY214" s="173"/>
    </row>
    <row r="215" spans="1:51">
      <c r="A215" s="469"/>
      <c r="B215" s="469"/>
      <c r="C215" s="469"/>
      <c r="D215" s="469"/>
      <c r="E215" s="469"/>
      <c r="F215" s="469"/>
      <c r="G215" s="469"/>
      <c r="H215" s="469"/>
      <c r="I215" s="469"/>
      <c r="J215" s="469"/>
      <c r="K215" s="469"/>
      <c r="L215" s="469"/>
      <c r="M215" s="469"/>
      <c r="N215" s="469"/>
      <c r="O215" s="469"/>
      <c r="P215" s="469"/>
      <c r="Q215" s="469"/>
      <c r="R215" s="469"/>
      <c r="S215" s="469"/>
      <c r="T215" s="469"/>
      <c r="U215" s="469"/>
      <c r="V215" s="469"/>
      <c r="W215" s="469"/>
      <c r="X215" s="469"/>
      <c r="Y215" s="469"/>
      <c r="Z215" s="469" t="s">
        <v>7004</v>
      </c>
      <c r="AA215" s="173"/>
      <c r="AB215" s="173"/>
      <c r="AC215" s="173"/>
      <c r="AD215" s="173"/>
      <c r="AE215" s="173"/>
      <c r="AF215" s="173"/>
      <c r="AG215" s="173"/>
      <c r="AH215" s="173"/>
      <c r="AI215" s="173"/>
      <c r="AJ215" s="173"/>
      <c r="AK215" s="173"/>
      <c r="AL215" s="173"/>
      <c r="AM215" s="173"/>
      <c r="AN215" s="173"/>
      <c r="AO215" s="173"/>
      <c r="AP215" s="173"/>
      <c r="AQ215" s="173"/>
      <c r="AR215" s="173"/>
      <c r="AS215" s="173"/>
      <c r="AT215" s="173"/>
      <c r="AU215" s="173"/>
      <c r="AV215" s="173"/>
      <c r="AW215" s="173"/>
      <c r="AX215" s="173"/>
      <c r="AY215" s="173"/>
    </row>
  </sheetData>
  <phoneticPr fontId="14" type="noConversion"/>
  <pageMargins left="0.7" right="0.7" top="0.75" bottom="0.75" header="0.3" footer="0.3"/>
  <pageSetup paperSize="9" orientation="portrait" horizontalDpi="1200" verticalDpi="1200" r:id="rId1"/>
  <tableParts count="1">
    <tablePart r:id="rId2"/>
  </tableParts>
</worksheet>
</file>

<file path=xl/worksheets/sheet35.xml><?xml version="1.0" encoding="utf-8"?>
<worksheet xmlns="http://schemas.openxmlformats.org/spreadsheetml/2006/main" xmlns:r="http://schemas.openxmlformats.org/officeDocument/2006/relationships">
  <sheetPr codeName="Sheet1"/>
  <dimension ref="A1"/>
  <sheetViews>
    <sheetView workbookViewId="0"/>
  </sheetViews>
  <sheetFormatPr defaultRowHeight="13.5"/>
  <sheetData/>
  <dataConsolidate/>
  <phoneticPr fontId="1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sheetPr>
    <tabColor rgb="FFFFFF00"/>
  </sheetPr>
  <dimension ref="A1:AE270"/>
  <sheetViews>
    <sheetView topLeftCell="M1" workbookViewId="0">
      <pane xSplit="2" ySplit="2" topLeftCell="O169" activePane="bottomRight" state="frozen"/>
      <selection activeCell="I58" sqref="I58"/>
      <selection pane="topRight" activeCell="I58" sqref="I58"/>
      <selection pane="bottomLeft" activeCell="I58" sqref="I58"/>
      <selection pane="bottomRight" activeCell="M185" sqref="M185"/>
    </sheetView>
  </sheetViews>
  <sheetFormatPr defaultRowHeight="12.75"/>
  <cols>
    <col min="1" max="1" width="10.375" style="52" bestFit="1" customWidth="1"/>
    <col min="2" max="2" width="12.625" style="52" hidden="1" customWidth="1"/>
    <col min="3" max="3" width="10.125" style="52" hidden="1" customWidth="1"/>
    <col min="4" max="4" width="13" style="52" hidden="1" customWidth="1"/>
    <col min="5" max="5" width="9.875" style="52" hidden="1" customWidth="1"/>
    <col min="6" max="6" width="10.125" style="52" hidden="1" customWidth="1"/>
    <col min="7" max="7" width="24.625" style="52" hidden="1" customWidth="1"/>
    <col min="8" max="9" width="10.125" style="52" hidden="1" customWidth="1"/>
    <col min="10" max="10" width="13.5" style="52" hidden="1" customWidth="1"/>
    <col min="11" max="11" width="15.375" style="52" hidden="1" customWidth="1"/>
    <col min="12" max="12" width="0" style="52" hidden="1" customWidth="1"/>
    <col min="13" max="15" width="10.625" style="52" customWidth="1"/>
    <col min="16" max="16" width="48.625" style="52" customWidth="1"/>
    <col min="17" max="31" width="10.625" style="52" customWidth="1"/>
    <col min="32" max="256" width="8.875" style="52"/>
    <col min="257" max="257" width="10.375" style="52" bestFit="1" customWidth="1"/>
    <col min="258" max="268" width="0" style="52" hidden="1" customWidth="1"/>
    <col min="269" max="269" width="8.875" style="52"/>
    <col min="270" max="270" width="11.5" style="52" customWidth="1"/>
    <col min="271" max="271" width="13.5" style="52" bestFit="1" customWidth="1"/>
    <col min="272" max="272" width="41" style="52" customWidth="1"/>
    <col min="273" max="273" width="11.625" style="52" customWidth="1"/>
    <col min="274" max="274" width="14.5" style="52" customWidth="1"/>
    <col min="275" max="275" width="8.375" style="52" customWidth="1"/>
    <col min="276" max="276" width="12.5" style="52" customWidth="1"/>
    <col min="277" max="282" width="0" style="52" hidden="1" customWidth="1"/>
    <col min="283" max="286" width="9.125" style="52" customWidth="1"/>
    <col min="287" max="287" width="11" style="52" bestFit="1" customWidth="1"/>
    <col min="288" max="512" width="8.875" style="52"/>
    <col min="513" max="513" width="10.375" style="52" bestFit="1" customWidth="1"/>
    <col min="514" max="524" width="0" style="52" hidden="1" customWidth="1"/>
    <col min="525" max="525" width="8.875" style="52"/>
    <col min="526" max="526" width="11.5" style="52" customWidth="1"/>
    <col min="527" max="527" width="13.5" style="52" bestFit="1" customWidth="1"/>
    <col min="528" max="528" width="41" style="52" customWidth="1"/>
    <col min="529" max="529" width="11.625" style="52" customWidth="1"/>
    <col min="530" max="530" width="14.5" style="52" customWidth="1"/>
    <col min="531" max="531" width="8.375" style="52" customWidth="1"/>
    <col min="532" max="532" width="12.5" style="52" customWidth="1"/>
    <col min="533" max="538" width="0" style="52" hidden="1" customWidth="1"/>
    <col min="539" max="542" width="9.125" style="52" customWidth="1"/>
    <col min="543" max="543" width="11" style="52" bestFit="1" customWidth="1"/>
    <col min="544" max="768" width="8.875" style="52"/>
    <col min="769" max="769" width="10.375" style="52" bestFit="1" customWidth="1"/>
    <col min="770" max="780" width="0" style="52" hidden="1" customWidth="1"/>
    <col min="781" max="781" width="8.875" style="52"/>
    <col min="782" max="782" width="11.5" style="52" customWidth="1"/>
    <col min="783" max="783" width="13.5" style="52" bestFit="1" customWidth="1"/>
    <col min="784" max="784" width="41" style="52" customWidth="1"/>
    <col min="785" max="785" width="11.625" style="52" customWidth="1"/>
    <col min="786" max="786" width="14.5" style="52" customWidth="1"/>
    <col min="787" max="787" width="8.375" style="52" customWidth="1"/>
    <col min="788" max="788" width="12.5" style="52" customWidth="1"/>
    <col min="789" max="794" width="0" style="52" hidden="1" customWidth="1"/>
    <col min="795" max="798" width="9.125" style="52" customWidth="1"/>
    <col min="799" max="799" width="11" style="52" bestFit="1" customWidth="1"/>
    <col min="800" max="1024" width="8.875" style="52"/>
    <col min="1025" max="1025" width="10.375" style="52" bestFit="1" customWidth="1"/>
    <col min="1026" max="1036" width="0" style="52" hidden="1" customWidth="1"/>
    <col min="1037" max="1037" width="8.875" style="52"/>
    <col min="1038" max="1038" width="11.5" style="52" customWidth="1"/>
    <col min="1039" max="1039" width="13.5" style="52" bestFit="1" customWidth="1"/>
    <col min="1040" max="1040" width="41" style="52" customWidth="1"/>
    <col min="1041" max="1041" width="11.625" style="52" customWidth="1"/>
    <col min="1042" max="1042" width="14.5" style="52" customWidth="1"/>
    <col min="1043" max="1043" width="8.375" style="52" customWidth="1"/>
    <col min="1044" max="1044" width="12.5" style="52" customWidth="1"/>
    <col min="1045" max="1050" width="0" style="52" hidden="1" customWidth="1"/>
    <col min="1051" max="1054" width="9.125" style="52" customWidth="1"/>
    <col min="1055" max="1055" width="11" style="52" bestFit="1" customWidth="1"/>
    <col min="1056" max="1280" width="8.875" style="52"/>
    <col min="1281" max="1281" width="10.375" style="52" bestFit="1" customWidth="1"/>
    <col min="1282" max="1292" width="0" style="52" hidden="1" customWidth="1"/>
    <col min="1293" max="1293" width="8.875" style="52"/>
    <col min="1294" max="1294" width="11.5" style="52" customWidth="1"/>
    <col min="1295" max="1295" width="13.5" style="52" bestFit="1" customWidth="1"/>
    <col min="1296" max="1296" width="41" style="52" customWidth="1"/>
    <col min="1297" max="1297" width="11.625" style="52" customWidth="1"/>
    <col min="1298" max="1298" width="14.5" style="52" customWidth="1"/>
    <col min="1299" max="1299" width="8.375" style="52" customWidth="1"/>
    <col min="1300" max="1300" width="12.5" style="52" customWidth="1"/>
    <col min="1301" max="1306" width="0" style="52" hidden="1" customWidth="1"/>
    <col min="1307" max="1310" width="9.125" style="52" customWidth="1"/>
    <col min="1311" max="1311" width="11" style="52" bestFit="1" customWidth="1"/>
    <col min="1312" max="1536" width="8.875" style="52"/>
    <col min="1537" max="1537" width="10.375" style="52" bestFit="1" customWidth="1"/>
    <col min="1538" max="1548" width="0" style="52" hidden="1" customWidth="1"/>
    <col min="1549" max="1549" width="8.875" style="52"/>
    <col min="1550" max="1550" width="11.5" style="52" customWidth="1"/>
    <col min="1551" max="1551" width="13.5" style="52" bestFit="1" customWidth="1"/>
    <col min="1552" max="1552" width="41" style="52" customWidth="1"/>
    <col min="1553" max="1553" width="11.625" style="52" customWidth="1"/>
    <col min="1554" max="1554" width="14.5" style="52" customWidth="1"/>
    <col min="1555" max="1555" width="8.375" style="52" customWidth="1"/>
    <col min="1556" max="1556" width="12.5" style="52" customWidth="1"/>
    <col min="1557" max="1562" width="0" style="52" hidden="1" customWidth="1"/>
    <col min="1563" max="1566" width="9.125" style="52" customWidth="1"/>
    <col min="1567" max="1567" width="11" style="52" bestFit="1" customWidth="1"/>
    <col min="1568" max="1792" width="8.875" style="52"/>
    <col min="1793" max="1793" width="10.375" style="52" bestFit="1" customWidth="1"/>
    <col min="1794" max="1804" width="0" style="52" hidden="1" customWidth="1"/>
    <col min="1805" max="1805" width="8.875" style="52"/>
    <col min="1806" max="1806" width="11.5" style="52" customWidth="1"/>
    <col min="1807" max="1807" width="13.5" style="52" bestFit="1" customWidth="1"/>
    <col min="1808" max="1808" width="41" style="52" customWidth="1"/>
    <col min="1809" max="1809" width="11.625" style="52" customWidth="1"/>
    <col min="1810" max="1810" width="14.5" style="52" customWidth="1"/>
    <col min="1811" max="1811" width="8.375" style="52" customWidth="1"/>
    <col min="1812" max="1812" width="12.5" style="52" customWidth="1"/>
    <col min="1813" max="1818" width="0" style="52" hidden="1" customWidth="1"/>
    <col min="1819" max="1822" width="9.125" style="52" customWidth="1"/>
    <col min="1823" max="1823" width="11" style="52" bestFit="1" customWidth="1"/>
    <col min="1824" max="2048" width="8.875" style="52"/>
    <col min="2049" max="2049" width="10.375" style="52" bestFit="1" customWidth="1"/>
    <col min="2050" max="2060" width="0" style="52" hidden="1" customWidth="1"/>
    <col min="2061" max="2061" width="8.875" style="52"/>
    <col min="2062" max="2062" width="11.5" style="52" customWidth="1"/>
    <col min="2063" max="2063" width="13.5" style="52" bestFit="1" customWidth="1"/>
    <col min="2064" max="2064" width="41" style="52" customWidth="1"/>
    <col min="2065" max="2065" width="11.625" style="52" customWidth="1"/>
    <col min="2066" max="2066" width="14.5" style="52" customWidth="1"/>
    <col min="2067" max="2067" width="8.375" style="52" customWidth="1"/>
    <col min="2068" max="2068" width="12.5" style="52" customWidth="1"/>
    <col min="2069" max="2074" width="0" style="52" hidden="1" customWidth="1"/>
    <col min="2075" max="2078" width="9.125" style="52" customWidth="1"/>
    <col min="2079" max="2079" width="11" style="52" bestFit="1" customWidth="1"/>
    <col min="2080" max="2304" width="8.875" style="52"/>
    <col min="2305" max="2305" width="10.375" style="52" bestFit="1" customWidth="1"/>
    <col min="2306" max="2316" width="0" style="52" hidden="1" customWidth="1"/>
    <col min="2317" max="2317" width="8.875" style="52"/>
    <col min="2318" max="2318" width="11.5" style="52" customWidth="1"/>
    <col min="2319" max="2319" width="13.5" style="52" bestFit="1" customWidth="1"/>
    <col min="2320" max="2320" width="41" style="52" customWidth="1"/>
    <col min="2321" max="2321" width="11.625" style="52" customWidth="1"/>
    <col min="2322" max="2322" width="14.5" style="52" customWidth="1"/>
    <col min="2323" max="2323" width="8.375" style="52" customWidth="1"/>
    <col min="2324" max="2324" width="12.5" style="52" customWidth="1"/>
    <col min="2325" max="2330" width="0" style="52" hidden="1" customWidth="1"/>
    <col min="2331" max="2334" width="9.125" style="52" customWidth="1"/>
    <col min="2335" max="2335" width="11" style="52" bestFit="1" customWidth="1"/>
    <col min="2336" max="2560" width="8.875" style="52"/>
    <col min="2561" max="2561" width="10.375" style="52" bestFit="1" customWidth="1"/>
    <col min="2562" max="2572" width="0" style="52" hidden="1" customWidth="1"/>
    <col min="2573" max="2573" width="8.875" style="52"/>
    <col min="2574" max="2574" width="11.5" style="52" customWidth="1"/>
    <col min="2575" max="2575" width="13.5" style="52" bestFit="1" customWidth="1"/>
    <col min="2576" max="2576" width="41" style="52" customWidth="1"/>
    <col min="2577" max="2577" width="11.625" style="52" customWidth="1"/>
    <col min="2578" max="2578" width="14.5" style="52" customWidth="1"/>
    <col min="2579" max="2579" width="8.375" style="52" customWidth="1"/>
    <col min="2580" max="2580" width="12.5" style="52" customWidth="1"/>
    <col min="2581" max="2586" width="0" style="52" hidden="1" customWidth="1"/>
    <col min="2587" max="2590" width="9.125" style="52" customWidth="1"/>
    <col min="2591" max="2591" width="11" style="52" bestFit="1" customWidth="1"/>
    <col min="2592" max="2816" width="8.875" style="52"/>
    <col min="2817" max="2817" width="10.375" style="52" bestFit="1" customWidth="1"/>
    <col min="2818" max="2828" width="0" style="52" hidden="1" customWidth="1"/>
    <col min="2829" max="2829" width="8.875" style="52"/>
    <col min="2830" max="2830" width="11.5" style="52" customWidth="1"/>
    <col min="2831" max="2831" width="13.5" style="52" bestFit="1" customWidth="1"/>
    <col min="2832" max="2832" width="41" style="52" customWidth="1"/>
    <col min="2833" max="2833" width="11.625" style="52" customWidth="1"/>
    <col min="2834" max="2834" width="14.5" style="52" customWidth="1"/>
    <col min="2835" max="2835" width="8.375" style="52" customWidth="1"/>
    <col min="2836" max="2836" width="12.5" style="52" customWidth="1"/>
    <col min="2837" max="2842" width="0" style="52" hidden="1" customWidth="1"/>
    <col min="2843" max="2846" width="9.125" style="52" customWidth="1"/>
    <col min="2847" max="2847" width="11" style="52" bestFit="1" customWidth="1"/>
    <col min="2848" max="3072" width="8.875" style="52"/>
    <col min="3073" max="3073" width="10.375" style="52" bestFit="1" customWidth="1"/>
    <col min="3074" max="3084" width="0" style="52" hidden="1" customWidth="1"/>
    <col min="3085" max="3085" width="8.875" style="52"/>
    <col min="3086" max="3086" width="11.5" style="52" customWidth="1"/>
    <col min="3087" max="3087" width="13.5" style="52" bestFit="1" customWidth="1"/>
    <col min="3088" max="3088" width="41" style="52" customWidth="1"/>
    <col min="3089" max="3089" width="11.625" style="52" customWidth="1"/>
    <col min="3090" max="3090" width="14.5" style="52" customWidth="1"/>
    <col min="3091" max="3091" width="8.375" style="52" customWidth="1"/>
    <col min="3092" max="3092" width="12.5" style="52" customWidth="1"/>
    <col min="3093" max="3098" width="0" style="52" hidden="1" customWidth="1"/>
    <col min="3099" max="3102" width="9.125" style="52" customWidth="1"/>
    <col min="3103" max="3103" width="11" style="52" bestFit="1" customWidth="1"/>
    <col min="3104" max="3328" width="8.875" style="52"/>
    <col min="3329" max="3329" width="10.375" style="52" bestFit="1" customWidth="1"/>
    <col min="3330" max="3340" width="0" style="52" hidden="1" customWidth="1"/>
    <col min="3341" max="3341" width="8.875" style="52"/>
    <col min="3342" max="3342" width="11.5" style="52" customWidth="1"/>
    <col min="3343" max="3343" width="13.5" style="52" bestFit="1" customWidth="1"/>
    <col min="3344" max="3344" width="41" style="52" customWidth="1"/>
    <col min="3345" max="3345" width="11.625" style="52" customWidth="1"/>
    <col min="3346" max="3346" width="14.5" style="52" customWidth="1"/>
    <col min="3347" max="3347" width="8.375" style="52" customWidth="1"/>
    <col min="3348" max="3348" width="12.5" style="52" customWidth="1"/>
    <col min="3349" max="3354" width="0" style="52" hidden="1" customWidth="1"/>
    <col min="3355" max="3358" width="9.125" style="52" customWidth="1"/>
    <col min="3359" max="3359" width="11" style="52" bestFit="1" customWidth="1"/>
    <col min="3360" max="3584" width="8.875" style="52"/>
    <col min="3585" max="3585" width="10.375" style="52" bestFit="1" customWidth="1"/>
    <col min="3586" max="3596" width="0" style="52" hidden="1" customWidth="1"/>
    <col min="3597" max="3597" width="8.875" style="52"/>
    <col min="3598" max="3598" width="11.5" style="52" customWidth="1"/>
    <col min="3599" max="3599" width="13.5" style="52" bestFit="1" customWidth="1"/>
    <col min="3600" max="3600" width="41" style="52" customWidth="1"/>
    <col min="3601" max="3601" width="11.625" style="52" customWidth="1"/>
    <col min="3602" max="3602" width="14.5" style="52" customWidth="1"/>
    <col min="3603" max="3603" width="8.375" style="52" customWidth="1"/>
    <col min="3604" max="3604" width="12.5" style="52" customWidth="1"/>
    <col min="3605" max="3610" width="0" style="52" hidden="1" customWidth="1"/>
    <col min="3611" max="3614" width="9.125" style="52" customWidth="1"/>
    <col min="3615" max="3615" width="11" style="52" bestFit="1" customWidth="1"/>
    <col min="3616" max="3840" width="8.875" style="52"/>
    <col min="3841" max="3841" width="10.375" style="52" bestFit="1" customWidth="1"/>
    <col min="3842" max="3852" width="0" style="52" hidden="1" customWidth="1"/>
    <col min="3853" max="3853" width="8.875" style="52"/>
    <col min="3854" max="3854" width="11.5" style="52" customWidth="1"/>
    <col min="3855" max="3855" width="13.5" style="52" bestFit="1" customWidth="1"/>
    <col min="3856" max="3856" width="41" style="52" customWidth="1"/>
    <col min="3857" max="3857" width="11.625" style="52" customWidth="1"/>
    <col min="3858" max="3858" width="14.5" style="52" customWidth="1"/>
    <col min="3859" max="3859" width="8.375" style="52" customWidth="1"/>
    <col min="3860" max="3860" width="12.5" style="52" customWidth="1"/>
    <col min="3861" max="3866" width="0" style="52" hidden="1" customWidth="1"/>
    <col min="3867" max="3870" width="9.125" style="52" customWidth="1"/>
    <col min="3871" max="3871" width="11" style="52" bestFit="1" customWidth="1"/>
    <col min="3872" max="4096" width="8.875" style="52"/>
    <col min="4097" max="4097" width="10.375" style="52" bestFit="1" customWidth="1"/>
    <col min="4098" max="4108" width="0" style="52" hidden="1" customWidth="1"/>
    <col min="4109" max="4109" width="8.875" style="52"/>
    <col min="4110" max="4110" width="11.5" style="52" customWidth="1"/>
    <col min="4111" max="4111" width="13.5" style="52" bestFit="1" customWidth="1"/>
    <col min="4112" max="4112" width="41" style="52" customWidth="1"/>
    <col min="4113" max="4113" width="11.625" style="52" customWidth="1"/>
    <col min="4114" max="4114" width="14.5" style="52" customWidth="1"/>
    <col min="4115" max="4115" width="8.375" style="52" customWidth="1"/>
    <col min="4116" max="4116" width="12.5" style="52" customWidth="1"/>
    <col min="4117" max="4122" width="0" style="52" hidden="1" customWidth="1"/>
    <col min="4123" max="4126" width="9.125" style="52" customWidth="1"/>
    <col min="4127" max="4127" width="11" style="52" bestFit="1" customWidth="1"/>
    <col min="4128" max="4352" width="8.875" style="52"/>
    <col min="4353" max="4353" width="10.375" style="52" bestFit="1" customWidth="1"/>
    <col min="4354" max="4364" width="0" style="52" hidden="1" customWidth="1"/>
    <col min="4365" max="4365" width="8.875" style="52"/>
    <col min="4366" max="4366" width="11.5" style="52" customWidth="1"/>
    <col min="4367" max="4367" width="13.5" style="52" bestFit="1" customWidth="1"/>
    <col min="4368" max="4368" width="41" style="52" customWidth="1"/>
    <col min="4369" max="4369" width="11.625" style="52" customWidth="1"/>
    <col min="4370" max="4370" width="14.5" style="52" customWidth="1"/>
    <col min="4371" max="4371" width="8.375" style="52" customWidth="1"/>
    <col min="4372" max="4372" width="12.5" style="52" customWidth="1"/>
    <col min="4373" max="4378" width="0" style="52" hidden="1" customWidth="1"/>
    <col min="4379" max="4382" width="9.125" style="52" customWidth="1"/>
    <col min="4383" max="4383" width="11" style="52" bestFit="1" customWidth="1"/>
    <col min="4384" max="4608" width="8.875" style="52"/>
    <col min="4609" max="4609" width="10.375" style="52" bestFit="1" customWidth="1"/>
    <col min="4610" max="4620" width="0" style="52" hidden="1" customWidth="1"/>
    <col min="4621" max="4621" width="8.875" style="52"/>
    <col min="4622" max="4622" width="11.5" style="52" customWidth="1"/>
    <col min="4623" max="4623" width="13.5" style="52" bestFit="1" customWidth="1"/>
    <col min="4624" max="4624" width="41" style="52" customWidth="1"/>
    <col min="4625" max="4625" width="11.625" style="52" customWidth="1"/>
    <col min="4626" max="4626" width="14.5" style="52" customWidth="1"/>
    <col min="4627" max="4627" width="8.375" style="52" customWidth="1"/>
    <col min="4628" max="4628" width="12.5" style="52" customWidth="1"/>
    <col min="4629" max="4634" width="0" style="52" hidden="1" customWidth="1"/>
    <col min="4635" max="4638" width="9.125" style="52" customWidth="1"/>
    <col min="4639" max="4639" width="11" style="52" bestFit="1" customWidth="1"/>
    <col min="4640" max="4864" width="8.875" style="52"/>
    <col min="4865" max="4865" width="10.375" style="52" bestFit="1" customWidth="1"/>
    <col min="4866" max="4876" width="0" style="52" hidden="1" customWidth="1"/>
    <col min="4877" max="4877" width="8.875" style="52"/>
    <col min="4878" max="4878" width="11.5" style="52" customWidth="1"/>
    <col min="4879" max="4879" width="13.5" style="52" bestFit="1" customWidth="1"/>
    <col min="4880" max="4880" width="41" style="52" customWidth="1"/>
    <col min="4881" max="4881" width="11.625" style="52" customWidth="1"/>
    <col min="4882" max="4882" width="14.5" style="52" customWidth="1"/>
    <col min="4883" max="4883" width="8.375" style="52" customWidth="1"/>
    <col min="4884" max="4884" width="12.5" style="52" customWidth="1"/>
    <col min="4885" max="4890" width="0" style="52" hidden="1" customWidth="1"/>
    <col min="4891" max="4894" width="9.125" style="52" customWidth="1"/>
    <col min="4895" max="4895" width="11" style="52" bestFit="1" customWidth="1"/>
    <col min="4896" max="5120" width="8.875" style="52"/>
    <col min="5121" max="5121" width="10.375" style="52" bestFit="1" customWidth="1"/>
    <col min="5122" max="5132" width="0" style="52" hidden="1" customWidth="1"/>
    <col min="5133" max="5133" width="8.875" style="52"/>
    <col min="5134" max="5134" width="11.5" style="52" customWidth="1"/>
    <col min="5135" max="5135" width="13.5" style="52" bestFit="1" customWidth="1"/>
    <col min="5136" max="5136" width="41" style="52" customWidth="1"/>
    <col min="5137" max="5137" width="11.625" style="52" customWidth="1"/>
    <col min="5138" max="5138" width="14.5" style="52" customWidth="1"/>
    <col min="5139" max="5139" width="8.375" style="52" customWidth="1"/>
    <col min="5140" max="5140" width="12.5" style="52" customWidth="1"/>
    <col min="5141" max="5146" width="0" style="52" hidden="1" customWidth="1"/>
    <col min="5147" max="5150" width="9.125" style="52" customWidth="1"/>
    <col min="5151" max="5151" width="11" style="52" bestFit="1" customWidth="1"/>
    <col min="5152" max="5376" width="8.875" style="52"/>
    <col min="5377" max="5377" width="10.375" style="52" bestFit="1" customWidth="1"/>
    <col min="5378" max="5388" width="0" style="52" hidden="1" customWidth="1"/>
    <col min="5389" max="5389" width="8.875" style="52"/>
    <col min="5390" max="5390" width="11.5" style="52" customWidth="1"/>
    <col min="5391" max="5391" width="13.5" style="52" bestFit="1" customWidth="1"/>
    <col min="5392" max="5392" width="41" style="52" customWidth="1"/>
    <col min="5393" max="5393" width="11.625" style="52" customWidth="1"/>
    <col min="5394" max="5394" width="14.5" style="52" customWidth="1"/>
    <col min="5395" max="5395" width="8.375" style="52" customWidth="1"/>
    <col min="5396" max="5396" width="12.5" style="52" customWidth="1"/>
    <col min="5397" max="5402" width="0" style="52" hidden="1" customWidth="1"/>
    <col min="5403" max="5406" width="9.125" style="52" customWidth="1"/>
    <col min="5407" max="5407" width="11" style="52" bestFit="1" customWidth="1"/>
    <col min="5408" max="5632" width="8.875" style="52"/>
    <col min="5633" max="5633" width="10.375" style="52" bestFit="1" customWidth="1"/>
    <col min="5634" max="5644" width="0" style="52" hidden="1" customWidth="1"/>
    <col min="5645" max="5645" width="8.875" style="52"/>
    <col min="5646" max="5646" width="11.5" style="52" customWidth="1"/>
    <col min="5647" max="5647" width="13.5" style="52" bestFit="1" customWidth="1"/>
    <col min="5648" max="5648" width="41" style="52" customWidth="1"/>
    <col min="5649" max="5649" width="11.625" style="52" customWidth="1"/>
    <col min="5650" max="5650" width="14.5" style="52" customWidth="1"/>
    <col min="5651" max="5651" width="8.375" style="52" customWidth="1"/>
    <col min="5652" max="5652" width="12.5" style="52" customWidth="1"/>
    <col min="5653" max="5658" width="0" style="52" hidden="1" customWidth="1"/>
    <col min="5659" max="5662" width="9.125" style="52" customWidth="1"/>
    <col min="5663" max="5663" width="11" style="52" bestFit="1" customWidth="1"/>
    <col min="5664" max="5888" width="8.875" style="52"/>
    <col min="5889" max="5889" width="10.375" style="52" bestFit="1" customWidth="1"/>
    <col min="5890" max="5900" width="0" style="52" hidden="1" customWidth="1"/>
    <col min="5901" max="5901" width="8.875" style="52"/>
    <col min="5902" max="5902" width="11.5" style="52" customWidth="1"/>
    <col min="5903" max="5903" width="13.5" style="52" bestFit="1" customWidth="1"/>
    <col min="5904" max="5904" width="41" style="52" customWidth="1"/>
    <col min="5905" max="5905" width="11.625" style="52" customWidth="1"/>
    <col min="5906" max="5906" width="14.5" style="52" customWidth="1"/>
    <col min="5907" max="5907" width="8.375" style="52" customWidth="1"/>
    <col min="5908" max="5908" width="12.5" style="52" customWidth="1"/>
    <col min="5909" max="5914" width="0" style="52" hidden="1" customWidth="1"/>
    <col min="5915" max="5918" width="9.125" style="52" customWidth="1"/>
    <col min="5919" max="5919" width="11" style="52" bestFit="1" customWidth="1"/>
    <col min="5920" max="6144" width="8.875" style="52"/>
    <col min="6145" max="6145" width="10.375" style="52" bestFit="1" customWidth="1"/>
    <col min="6146" max="6156" width="0" style="52" hidden="1" customWidth="1"/>
    <col min="6157" max="6157" width="8.875" style="52"/>
    <col min="6158" max="6158" width="11.5" style="52" customWidth="1"/>
    <col min="6159" max="6159" width="13.5" style="52" bestFit="1" customWidth="1"/>
    <col min="6160" max="6160" width="41" style="52" customWidth="1"/>
    <col min="6161" max="6161" width="11.625" style="52" customWidth="1"/>
    <col min="6162" max="6162" width="14.5" style="52" customWidth="1"/>
    <col min="6163" max="6163" width="8.375" style="52" customWidth="1"/>
    <col min="6164" max="6164" width="12.5" style="52" customWidth="1"/>
    <col min="6165" max="6170" width="0" style="52" hidden="1" customWidth="1"/>
    <col min="6171" max="6174" width="9.125" style="52" customWidth="1"/>
    <col min="6175" max="6175" width="11" style="52" bestFit="1" customWidth="1"/>
    <col min="6176" max="6400" width="8.875" style="52"/>
    <col min="6401" max="6401" width="10.375" style="52" bestFit="1" customWidth="1"/>
    <col min="6402" max="6412" width="0" style="52" hidden="1" customWidth="1"/>
    <col min="6413" max="6413" width="8.875" style="52"/>
    <col min="6414" max="6414" width="11.5" style="52" customWidth="1"/>
    <col min="6415" max="6415" width="13.5" style="52" bestFit="1" customWidth="1"/>
    <col min="6416" max="6416" width="41" style="52" customWidth="1"/>
    <col min="6417" max="6417" width="11.625" style="52" customWidth="1"/>
    <col min="6418" max="6418" width="14.5" style="52" customWidth="1"/>
    <col min="6419" max="6419" width="8.375" style="52" customWidth="1"/>
    <col min="6420" max="6420" width="12.5" style="52" customWidth="1"/>
    <col min="6421" max="6426" width="0" style="52" hidden="1" customWidth="1"/>
    <col min="6427" max="6430" width="9.125" style="52" customWidth="1"/>
    <col min="6431" max="6431" width="11" style="52" bestFit="1" customWidth="1"/>
    <col min="6432" max="6656" width="8.875" style="52"/>
    <col min="6657" max="6657" width="10.375" style="52" bestFit="1" customWidth="1"/>
    <col min="6658" max="6668" width="0" style="52" hidden="1" customWidth="1"/>
    <col min="6669" max="6669" width="8.875" style="52"/>
    <col min="6670" max="6670" width="11.5" style="52" customWidth="1"/>
    <col min="6671" max="6671" width="13.5" style="52" bestFit="1" customWidth="1"/>
    <col min="6672" max="6672" width="41" style="52" customWidth="1"/>
    <col min="6673" max="6673" width="11.625" style="52" customWidth="1"/>
    <col min="6674" max="6674" width="14.5" style="52" customWidth="1"/>
    <col min="6675" max="6675" width="8.375" style="52" customWidth="1"/>
    <col min="6676" max="6676" width="12.5" style="52" customWidth="1"/>
    <col min="6677" max="6682" width="0" style="52" hidden="1" customWidth="1"/>
    <col min="6683" max="6686" width="9.125" style="52" customWidth="1"/>
    <col min="6687" max="6687" width="11" style="52" bestFit="1" customWidth="1"/>
    <col min="6688" max="6912" width="8.875" style="52"/>
    <col min="6913" max="6913" width="10.375" style="52" bestFit="1" customWidth="1"/>
    <col min="6914" max="6924" width="0" style="52" hidden="1" customWidth="1"/>
    <col min="6925" max="6925" width="8.875" style="52"/>
    <col min="6926" max="6926" width="11.5" style="52" customWidth="1"/>
    <col min="6927" max="6927" width="13.5" style="52" bestFit="1" customWidth="1"/>
    <col min="6928" max="6928" width="41" style="52" customWidth="1"/>
    <col min="6929" max="6929" width="11.625" style="52" customWidth="1"/>
    <col min="6930" max="6930" width="14.5" style="52" customWidth="1"/>
    <col min="6931" max="6931" width="8.375" style="52" customWidth="1"/>
    <col min="6932" max="6932" width="12.5" style="52" customWidth="1"/>
    <col min="6933" max="6938" width="0" style="52" hidden="1" customWidth="1"/>
    <col min="6939" max="6942" width="9.125" style="52" customWidth="1"/>
    <col min="6943" max="6943" width="11" style="52" bestFit="1" customWidth="1"/>
    <col min="6944" max="7168" width="8.875" style="52"/>
    <col min="7169" max="7169" width="10.375" style="52" bestFit="1" customWidth="1"/>
    <col min="7170" max="7180" width="0" style="52" hidden="1" customWidth="1"/>
    <col min="7181" max="7181" width="8.875" style="52"/>
    <col min="7182" max="7182" width="11.5" style="52" customWidth="1"/>
    <col min="7183" max="7183" width="13.5" style="52" bestFit="1" customWidth="1"/>
    <col min="7184" max="7184" width="41" style="52" customWidth="1"/>
    <col min="7185" max="7185" width="11.625" style="52" customWidth="1"/>
    <col min="7186" max="7186" width="14.5" style="52" customWidth="1"/>
    <col min="7187" max="7187" width="8.375" style="52" customWidth="1"/>
    <col min="7188" max="7188" width="12.5" style="52" customWidth="1"/>
    <col min="7189" max="7194" width="0" style="52" hidden="1" customWidth="1"/>
    <col min="7195" max="7198" width="9.125" style="52" customWidth="1"/>
    <col min="7199" max="7199" width="11" style="52" bestFit="1" customWidth="1"/>
    <col min="7200" max="7424" width="8.875" style="52"/>
    <col min="7425" max="7425" width="10.375" style="52" bestFit="1" customWidth="1"/>
    <col min="7426" max="7436" width="0" style="52" hidden="1" customWidth="1"/>
    <col min="7437" max="7437" width="8.875" style="52"/>
    <col min="7438" max="7438" width="11.5" style="52" customWidth="1"/>
    <col min="7439" max="7439" width="13.5" style="52" bestFit="1" customWidth="1"/>
    <col min="7440" max="7440" width="41" style="52" customWidth="1"/>
    <col min="7441" max="7441" width="11.625" style="52" customWidth="1"/>
    <col min="7442" max="7442" width="14.5" style="52" customWidth="1"/>
    <col min="7443" max="7443" width="8.375" style="52" customWidth="1"/>
    <col min="7444" max="7444" width="12.5" style="52" customWidth="1"/>
    <col min="7445" max="7450" width="0" style="52" hidden="1" customWidth="1"/>
    <col min="7451" max="7454" width="9.125" style="52" customWidth="1"/>
    <col min="7455" max="7455" width="11" style="52" bestFit="1" customWidth="1"/>
    <col min="7456" max="7680" width="8.875" style="52"/>
    <col min="7681" max="7681" width="10.375" style="52" bestFit="1" customWidth="1"/>
    <col min="7682" max="7692" width="0" style="52" hidden="1" customWidth="1"/>
    <col min="7693" max="7693" width="8.875" style="52"/>
    <col min="7694" max="7694" width="11.5" style="52" customWidth="1"/>
    <col min="7695" max="7695" width="13.5" style="52" bestFit="1" customWidth="1"/>
    <col min="7696" max="7696" width="41" style="52" customWidth="1"/>
    <col min="7697" max="7697" width="11.625" style="52" customWidth="1"/>
    <col min="7698" max="7698" width="14.5" style="52" customWidth="1"/>
    <col min="7699" max="7699" width="8.375" style="52" customWidth="1"/>
    <col min="7700" max="7700" width="12.5" style="52" customWidth="1"/>
    <col min="7701" max="7706" width="0" style="52" hidden="1" customWidth="1"/>
    <col min="7707" max="7710" width="9.125" style="52" customWidth="1"/>
    <col min="7711" max="7711" width="11" style="52" bestFit="1" customWidth="1"/>
    <col min="7712" max="7936" width="8.875" style="52"/>
    <col min="7937" max="7937" width="10.375" style="52" bestFit="1" customWidth="1"/>
    <col min="7938" max="7948" width="0" style="52" hidden="1" customWidth="1"/>
    <col min="7949" max="7949" width="8.875" style="52"/>
    <col min="7950" max="7950" width="11.5" style="52" customWidth="1"/>
    <col min="7951" max="7951" width="13.5" style="52" bestFit="1" customWidth="1"/>
    <col min="7952" max="7952" width="41" style="52" customWidth="1"/>
    <col min="7953" max="7953" width="11.625" style="52" customWidth="1"/>
    <col min="7954" max="7954" width="14.5" style="52" customWidth="1"/>
    <col min="7955" max="7955" width="8.375" style="52" customWidth="1"/>
    <col min="7956" max="7956" width="12.5" style="52" customWidth="1"/>
    <col min="7957" max="7962" width="0" style="52" hidden="1" customWidth="1"/>
    <col min="7963" max="7966" width="9.125" style="52" customWidth="1"/>
    <col min="7967" max="7967" width="11" style="52" bestFit="1" customWidth="1"/>
    <col min="7968" max="8192" width="8.875" style="52"/>
    <col min="8193" max="8193" width="10.375" style="52" bestFit="1" customWidth="1"/>
    <col min="8194" max="8204" width="0" style="52" hidden="1" customWidth="1"/>
    <col min="8205" max="8205" width="8.875" style="52"/>
    <col min="8206" max="8206" width="11.5" style="52" customWidth="1"/>
    <col min="8207" max="8207" width="13.5" style="52" bestFit="1" customWidth="1"/>
    <col min="8208" max="8208" width="41" style="52" customWidth="1"/>
    <col min="8209" max="8209" width="11.625" style="52" customWidth="1"/>
    <col min="8210" max="8210" width="14.5" style="52" customWidth="1"/>
    <col min="8211" max="8211" width="8.375" style="52" customWidth="1"/>
    <col min="8212" max="8212" width="12.5" style="52" customWidth="1"/>
    <col min="8213" max="8218" width="0" style="52" hidden="1" customWidth="1"/>
    <col min="8219" max="8222" width="9.125" style="52" customWidth="1"/>
    <col min="8223" max="8223" width="11" style="52" bestFit="1" customWidth="1"/>
    <col min="8224" max="8448" width="8.875" style="52"/>
    <col min="8449" max="8449" width="10.375" style="52" bestFit="1" customWidth="1"/>
    <col min="8450" max="8460" width="0" style="52" hidden="1" customWidth="1"/>
    <col min="8461" max="8461" width="8.875" style="52"/>
    <col min="8462" max="8462" width="11.5" style="52" customWidth="1"/>
    <col min="8463" max="8463" width="13.5" style="52" bestFit="1" customWidth="1"/>
    <col min="8464" max="8464" width="41" style="52" customWidth="1"/>
    <col min="8465" max="8465" width="11.625" style="52" customWidth="1"/>
    <col min="8466" max="8466" width="14.5" style="52" customWidth="1"/>
    <col min="8467" max="8467" width="8.375" style="52" customWidth="1"/>
    <col min="8468" max="8468" width="12.5" style="52" customWidth="1"/>
    <col min="8469" max="8474" width="0" style="52" hidden="1" customWidth="1"/>
    <col min="8475" max="8478" width="9.125" style="52" customWidth="1"/>
    <col min="8479" max="8479" width="11" style="52" bestFit="1" customWidth="1"/>
    <col min="8480" max="8704" width="8.875" style="52"/>
    <col min="8705" max="8705" width="10.375" style="52" bestFit="1" customWidth="1"/>
    <col min="8706" max="8716" width="0" style="52" hidden="1" customWidth="1"/>
    <col min="8717" max="8717" width="8.875" style="52"/>
    <col min="8718" max="8718" width="11.5" style="52" customWidth="1"/>
    <col min="8719" max="8719" width="13.5" style="52" bestFit="1" customWidth="1"/>
    <col min="8720" max="8720" width="41" style="52" customWidth="1"/>
    <col min="8721" max="8721" width="11.625" style="52" customWidth="1"/>
    <col min="8722" max="8722" width="14.5" style="52" customWidth="1"/>
    <col min="8723" max="8723" width="8.375" style="52" customWidth="1"/>
    <col min="8724" max="8724" width="12.5" style="52" customWidth="1"/>
    <col min="8725" max="8730" width="0" style="52" hidden="1" customWidth="1"/>
    <col min="8731" max="8734" width="9.125" style="52" customWidth="1"/>
    <col min="8735" max="8735" width="11" style="52" bestFit="1" customWidth="1"/>
    <col min="8736" max="8960" width="8.875" style="52"/>
    <col min="8961" max="8961" width="10.375" style="52" bestFit="1" customWidth="1"/>
    <col min="8962" max="8972" width="0" style="52" hidden="1" customWidth="1"/>
    <col min="8973" max="8973" width="8.875" style="52"/>
    <col min="8974" max="8974" width="11.5" style="52" customWidth="1"/>
    <col min="8975" max="8975" width="13.5" style="52" bestFit="1" customWidth="1"/>
    <col min="8976" max="8976" width="41" style="52" customWidth="1"/>
    <col min="8977" max="8977" width="11.625" style="52" customWidth="1"/>
    <col min="8978" max="8978" width="14.5" style="52" customWidth="1"/>
    <col min="8979" max="8979" width="8.375" style="52" customWidth="1"/>
    <col min="8980" max="8980" width="12.5" style="52" customWidth="1"/>
    <col min="8981" max="8986" width="0" style="52" hidden="1" customWidth="1"/>
    <col min="8987" max="8990" width="9.125" style="52" customWidth="1"/>
    <col min="8991" max="8991" width="11" style="52" bestFit="1" customWidth="1"/>
    <col min="8992" max="9216" width="8.875" style="52"/>
    <col min="9217" max="9217" width="10.375" style="52" bestFit="1" customWidth="1"/>
    <col min="9218" max="9228" width="0" style="52" hidden="1" customWidth="1"/>
    <col min="9229" max="9229" width="8.875" style="52"/>
    <col min="9230" max="9230" width="11.5" style="52" customWidth="1"/>
    <col min="9231" max="9231" width="13.5" style="52" bestFit="1" customWidth="1"/>
    <col min="9232" max="9232" width="41" style="52" customWidth="1"/>
    <col min="9233" max="9233" width="11.625" style="52" customWidth="1"/>
    <col min="9234" max="9234" width="14.5" style="52" customWidth="1"/>
    <col min="9235" max="9235" width="8.375" style="52" customWidth="1"/>
    <col min="9236" max="9236" width="12.5" style="52" customWidth="1"/>
    <col min="9237" max="9242" width="0" style="52" hidden="1" customWidth="1"/>
    <col min="9243" max="9246" width="9.125" style="52" customWidth="1"/>
    <col min="9247" max="9247" width="11" style="52" bestFit="1" customWidth="1"/>
    <col min="9248" max="9472" width="8.875" style="52"/>
    <col min="9473" max="9473" width="10.375" style="52" bestFit="1" customWidth="1"/>
    <col min="9474" max="9484" width="0" style="52" hidden="1" customWidth="1"/>
    <col min="9485" max="9485" width="8.875" style="52"/>
    <col min="9486" max="9486" width="11.5" style="52" customWidth="1"/>
    <col min="9487" max="9487" width="13.5" style="52" bestFit="1" customWidth="1"/>
    <col min="9488" max="9488" width="41" style="52" customWidth="1"/>
    <col min="9489" max="9489" width="11.625" style="52" customWidth="1"/>
    <col min="9490" max="9490" width="14.5" style="52" customWidth="1"/>
    <col min="9491" max="9491" width="8.375" style="52" customWidth="1"/>
    <col min="9492" max="9492" width="12.5" style="52" customWidth="1"/>
    <col min="9493" max="9498" width="0" style="52" hidden="1" customWidth="1"/>
    <col min="9499" max="9502" width="9.125" style="52" customWidth="1"/>
    <col min="9503" max="9503" width="11" style="52" bestFit="1" customWidth="1"/>
    <col min="9504" max="9728" width="8.875" style="52"/>
    <col min="9729" max="9729" width="10.375" style="52" bestFit="1" customWidth="1"/>
    <col min="9730" max="9740" width="0" style="52" hidden="1" customWidth="1"/>
    <col min="9741" max="9741" width="8.875" style="52"/>
    <col min="9742" max="9742" width="11.5" style="52" customWidth="1"/>
    <col min="9743" max="9743" width="13.5" style="52" bestFit="1" customWidth="1"/>
    <col min="9744" max="9744" width="41" style="52" customWidth="1"/>
    <col min="9745" max="9745" width="11.625" style="52" customWidth="1"/>
    <col min="9746" max="9746" width="14.5" style="52" customWidth="1"/>
    <col min="9747" max="9747" width="8.375" style="52" customWidth="1"/>
    <col min="9748" max="9748" width="12.5" style="52" customWidth="1"/>
    <col min="9749" max="9754" width="0" style="52" hidden="1" customWidth="1"/>
    <col min="9755" max="9758" width="9.125" style="52" customWidth="1"/>
    <col min="9759" max="9759" width="11" style="52" bestFit="1" customWidth="1"/>
    <col min="9760" max="9984" width="8.875" style="52"/>
    <col min="9985" max="9985" width="10.375" style="52" bestFit="1" customWidth="1"/>
    <col min="9986" max="9996" width="0" style="52" hidden="1" customWidth="1"/>
    <col min="9997" max="9997" width="8.875" style="52"/>
    <col min="9998" max="9998" width="11.5" style="52" customWidth="1"/>
    <col min="9999" max="9999" width="13.5" style="52" bestFit="1" customWidth="1"/>
    <col min="10000" max="10000" width="41" style="52" customWidth="1"/>
    <col min="10001" max="10001" width="11.625" style="52" customWidth="1"/>
    <col min="10002" max="10002" width="14.5" style="52" customWidth="1"/>
    <col min="10003" max="10003" width="8.375" style="52" customWidth="1"/>
    <col min="10004" max="10004" width="12.5" style="52" customWidth="1"/>
    <col min="10005" max="10010" width="0" style="52" hidden="1" customWidth="1"/>
    <col min="10011" max="10014" width="9.125" style="52" customWidth="1"/>
    <col min="10015" max="10015" width="11" style="52" bestFit="1" customWidth="1"/>
    <col min="10016" max="10240" width="8.875" style="52"/>
    <col min="10241" max="10241" width="10.375" style="52" bestFit="1" customWidth="1"/>
    <col min="10242" max="10252" width="0" style="52" hidden="1" customWidth="1"/>
    <col min="10253" max="10253" width="8.875" style="52"/>
    <col min="10254" max="10254" width="11.5" style="52" customWidth="1"/>
    <col min="10255" max="10255" width="13.5" style="52" bestFit="1" customWidth="1"/>
    <col min="10256" max="10256" width="41" style="52" customWidth="1"/>
    <col min="10257" max="10257" width="11.625" style="52" customWidth="1"/>
    <col min="10258" max="10258" width="14.5" style="52" customWidth="1"/>
    <col min="10259" max="10259" width="8.375" style="52" customWidth="1"/>
    <col min="10260" max="10260" width="12.5" style="52" customWidth="1"/>
    <col min="10261" max="10266" width="0" style="52" hidden="1" customWidth="1"/>
    <col min="10267" max="10270" width="9.125" style="52" customWidth="1"/>
    <col min="10271" max="10271" width="11" style="52" bestFit="1" customWidth="1"/>
    <col min="10272" max="10496" width="8.875" style="52"/>
    <col min="10497" max="10497" width="10.375" style="52" bestFit="1" customWidth="1"/>
    <col min="10498" max="10508" width="0" style="52" hidden="1" customWidth="1"/>
    <col min="10509" max="10509" width="8.875" style="52"/>
    <col min="10510" max="10510" width="11.5" style="52" customWidth="1"/>
    <col min="10511" max="10511" width="13.5" style="52" bestFit="1" customWidth="1"/>
    <col min="10512" max="10512" width="41" style="52" customWidth="1"/>
    <col min="10513" max="10513" width="11.625" style="52" customWidth="1"/>
    <col min="10514" max="10514" width="14.5" style="52" customWidth="1"/>
    <col min="10515" max="10515" width="8.375" style="52" customWidth="1"/>
    <col min="10516" max="10516" width="12.5" style="52" customWidth="1"/>
    <col min="10517" max="10522" width="0" style="52" hidden="1" customWidth="1"/>
    <col min="10523" max="10526" width="9.125" style="52" customWidth="1"/>
    <col min="10527" max="10527" width="11" style="52" bestFit="1" customWidth="1"/>
    <col min="10528" max="10752" width="8.875" style="52"/>
    <col min="10753" max="10753" width="10.375" style="52" bestFit="1" customWidth="1"/>
    <col min="10754" max="10764" width="0" style="52" hidden="1" customWidth="1"/>
    <col min="10765" max="10765" width="8.875" style="52"/>
    <col min="10766" max="10766" width="11.5" style="52" customWidth="1"/>
    <col min="10767" max="10767" width="13.5" style="52" bestFit="1" customWidth="1"/>
    <col min="10768" max="10768" width="41" style="52" customWidth="1"/>
    <col min="10769" max="10769" width="11.625" style="52" customWidth="1"/>
    <col min="10770" max="10770" width="14.5" style="52" customWidth="1"/>
    <col min="10771" max="10771" width="8.375" style="52" customWidth="1"/>
    <col min="10772" max="10772" width="12.5" style="52" customWidth="1"/>
    <col min="10773" max="10778" width="0" style="52" hidden="1" customWidth="1"/>
    <col min="10779" max="10782" width="9.125" style="52" customWidth="1"/>
    <col min="10783" max="10783" width="11" style="52" bestFit="1" customWidth="1"/>
    <col min="10784" max="11008" width="8.875" style="52"/>
    <col min="11009" max="11009" width="10.375" style="52" bestFit="1" customWidth="1"/>
    <col min="11010" max="11020" width="0" style="52" hidden="1" customWidth="1"/>
    <col min="11021" max="11021" width="8.875" style="52"/>
    <col min="11022" max="11022" width="11.5" style="52" customWidth="1"/>
    <col min="11023" max="11023" width="13.5" style="52" bestFit="1" customWidth="1"/>
    <col min="11024" max="11024" width="41" style="52" customWidth="1"/>
    <col min="11025" max="11025" width="11.625" style="52" customWidth="1"/>
    <col min="11026" max="11026" width="14.5" style="52" customWidth="1"/>
    <col min="11027" max="11027" width="8.375" style="52" customWidth="1"/>
    <col min="11028" max="11028" width="12.5" style="52" customWidth="1"/>
    <col min="11029" max="11034" width="0" style="52" hidden="1" customWidth="1"/>
    <col min="11035" max="11038" width="9.125" style="52" customWidth="1"/>
    <col min="11039" max="11039" width="11" style="52" bestFit="1" customWidth="1"/>
    <col min="11040" max="11264" width="8.875" style="52"/>
    <col min="11265" max="11265" width="10.375" style="52" bestFit="1" customWidth="1"/>
    <col min="11266" max="11276" width="0" style="52" hidden="1" customWidth="1"/>
    <col min="11277" max="11277" width="8.875" style="52"/>
    <col min="11278" max="11278" width="11.5" style="52" customWidth="1"/>
    <col min="11279" max="11279" width="13.5" style="52" bestFit="1" customWidth="1"/>
    <col min="11280" max="11280" width="41" style="52" customWidth="1"/>
    <col min="11281" max="11281" width="11.625" style="52" customWidth="1"/>
    <col min="11282" max="11282" width="14.5" style="52" customWidth="1"/>
    <col min="11283" max="11283" width="8.375" style="52" customWidth="1"/>
    <col min="11284" max="11284" width="12.5" style="52" customWidth="1"/>
    <col min="11285" max="11290" width="0" style="52" hidden="1" customWidth="1"/>
    <col min="11291" max="11294" width="9.125" style="52" customWidth="1"/>
    <col min="11295" max="11295" width="11" style="52" bestFit="1" customWidth="1"/>
    <col min="11296" max="11520" width="8.875" style="52"/>
    <col min="11521" max="11521" width="10.375" style="52" bestFit="1" customWidth="1"/>
    <col min="11522" max="11532" width="0" style="52" hidden="1" customWidth="1"/>
    <col min="11533" max="11533" width="8.875" style="52"/>
    <col min="11534" max="11534" width="11.5" style="52" customWidth="1"/>
    <col min="11535" max="11535" width="13.5" style="52" bestFit="1" customWidth="1"/>
    <col min="11536" max="11536" width="41" style="52" customWidth="1"/>
    <col min="11537" max="11537" width="11.625" style="52" customWidth="1"/>
    <col min="11538" max="11538" width="14.5" style="52" customWidth="1"/>
    <col min="11539" max="11539" width="8.375" style="52" customWidth="1"/>
    <col min="11540" max="11540" width="12.5" style="52" customWidth="1"/>
    <col min="11541" max="11546" width="0" style="52" hidden="1" customWidth="1"/>
    <col min="11547" max="11550" width="9.125" style="52" customWidth="1"/>
    <col min="11551" max="11551" width="11" style="52" bestFit="1" customWidth="1"/>
    <col min="11552" max="11776" width="8.875" style="52"/>
    <col min="11777" max="11777" width="10.375" style="52" bestFit="1" customWidth="1"/>
    <col min="11778" max="11788" width="0" style="52" hidden="1" customWidth="1"/>
    <col min="11789" max="11789" width="8.875" style="52"/>
    <col min="11790" max="11790" width="11.5" style="52" customWidth="1"/>
    <col min="11791" max="11791" width="13.5" style="52" bestFit="1" customWidth="1"/>
    <col min="11792" max="11792" width="41" style="52" customWidth="1"/>
    <col min="11793" max="11793" width="11.625" style="52" customWidth="1"/>
    <col min="11794" max="11794" width="14.5" style="52" customWidth="1"/>
    <col min="11795" max="11795" width="8.375" style="52" customWidth="1"/>
    <col min="11796" max="11796" width="12.5" style="52" customWidth="1"/>
    <col min="11797" max="11802" width="0" style="52" hidden="1" customWidth="1"/>
    <col min="11803" max="11806" width="9.125" style="52" customWidth="1"/>
    <col min="11807" max="11807" width="11" style="52" bestFit="1" customWidth="1"/>
    <col min="11808" max="12032" width="8.875" style="52"/>
    <col min="12033" max="12033" width="10.375" style="52" bestFit="1" customWidth="1"/>
    <col min="12034" max="12044" width="0" style="52" hidden="1" customWidth="1"/>
    <col min="12045" max="12045" width="8.875" style="52"/>
    <col min="12046" max="12046" width="11.5" style="52" customWidth="1"/>
    <col min="12047" max="12047" width="13.5" style="52" bestFit="1" customWidth="1"/>
    <col min="12048" max="12048" width="41" style="52" customWidth="1"/>
    <col min="12049" max="12049" width="11.625" style="52" customWidth="1"/>
    <col min="12050" max="12050" width="14.5" style="52" customWidth="1"/>
    <col min="12051" max="12051" width="8.375" style="52" customWidth="1"/>
    <col min="12052" max="12052" width="12.5" style="52" customWidth="1"/>
    <col min="12053" max="12058" width="0" style="52" hidden="1" customWidth="1"/>
    <col min="12059" max="12062" width="9.125" style="52" customWidth="1"/>
    <col min="12063" max="12063" width="11" style="52" bestFit="1" customWidth="1"/>
    <col min="12064" max="12288" width="8.875" style="52"/>
    <col min="12289" max="12289" width="10.375" style="52" bestFit="1" customWidth="1"/>
    <col min="12290" max="12300" width="0" style="52" hidden="1" customWidth="1"/>
    <col min="12301" max="12301" width="8.875" style="52"/>
    <col min="12302" max="12302" width="11.5" style="52" customWidth="1"/>
    <col min="12303" max="12303" width="13.5" style="52" bestFit="1" customWidth="1"/>
    <col min="12304" max="12304" width="41" style="52" customWidth="1"/>
    <col min="12305" max="12305" width="11.625" style="52" customWidth="1"/>
    <col min="12306" max="12306" width="14.5" style="52" customWidth="1"/>
    <col min="12307" max="12307" width="8.375" style="52" customWidth="1"/>
    <col min="12308" max="12308" width="12.5" style="52" customWidth="1"/>
    <col min="12309" max="12314" width="0" style="52" hidden="1" customWidth="1"/>
    <col min="12315" max="12318" width="9.125" style="52" customWidth="1"/>
    <col min="12319" max="12319" width="11" style="52" bestFit="1" customWidth="1"/>
    <col min="12320" max="12544" width="8.875" style="52"/>
    <col min="12545" max="12545" width="10.375" style="52" bestFit="1" customWidth="1"/>
    <col min="12546" max="12556" width="0" style="52" hidden="1" customWidth="1"/>
    <col min="12557" max="12557" width="8.875" style="52"/>
    <col min="12558" max="12558" width="11.5" style="52" customWidth="1"/>
    <col min="12559" max="12559" width="13.5" style="52" bestFit="1" customWidth="1"/>
    <col min="12560" max="12560" width="41" style="52" customWidth="1"/>
    <col min="12561" max="12561" width="11.625" style="52" customWidth="1"/>
    <col min="12562" max="12562" width="14.5" style="52" customWidth="1"/>
    <col min="12563" max="12563" width="8.375" style="52" customWidth="1"/>
    <col min="12564" max="12564" width="12.5" style="52" customWidth="1"/>
    <col min="12565" max="12570" width="0" style="52" hidden="1" customWidth="1"/>
    <col min="12571" max="12574" width="9.125" style="52" customWidth="1"/>
    <col min="12575" max="12575" width="11" style="52" bestFit="1" customWidth="1"/>
    <col min="12576" max="12800" width="8.875" style="52"/>
    <col min="12801" max="12801" width="10.375" style="52" bestFit="1" customWidth="1"/>
    <col min="12802" max="12812" width="0" style="52" hidden="1" customWidth="1"/>
    <col min="12813" max="12813" width="8.875" style="52"/>
    <col min="12814" max="12814" width="11.5" style="52" customWidth="1"/>
    <col min="12815" max="12815" width="13.5" style="52" bestFit="1" customWidth="1"/>
    <col min="12816" max="12816" width="41" style="52" customWidth="1"/>
    <col min="12817" max="12817" width="11.625" style="52" customWidth="1"/>
    <col min="12818" max="12818" width="14.5" style="52" customWidth="1"/>
    <col min="12819" max="12819" width="8.375" style="52" customWidth="1"/>
    <col min="12820" max="12820" width="12.5" style="52" customWidth="1"/>
    <col min="12821" max="12826" width="0" style="52" hidden="1" customWidth="1"/>
    <col min="12827" max="12830" width="9.125" style="52" customWidth="1"/>
    <col min="12831" max="12831" width="11" style="52" bestFit="1" customWidth="1"/>
    <col min="12832" max="13056" width="8.875" style="52"/>
    <col min="13057" max="13057" width="10.375" style="52" bestFit="1" customWidth="1"/>
    <col min="13058" max="13068" width="0" style="52" hidden="1" customWidth="1"/>
    <col min="13069" max="13069" width="8.875" style="52"/>
    <col min="13070" max="13070" width="11.5" style="52" customWidth="1"/>
    <col min="13071" max="13071" width="13.5" style="52" bestFit="1" customWidth="1"/>
    <col min="13072" max="13072" width="41" style="52" customWidth="1"/>
    <col min="13073" max="13073" width="11.625" style="52" customWidth="1"/>
    <col min="13074" max="13074" width="14.5" style="52" customWidth="1"/>
    <col min="13075" max="13075" width="8.375" style="52" customWidth="1"/>
    <col min="13076" max="13076" width="12.5" style="52" customWidth="1"/>
    <col min="13077" max="13082" width="0" style="52" hidden="1" customWidth="1"/>
    <col min="13083" max="13086" width="9.125" style="52" customWidth="1"/>
    <col min="13087" max="13087" width="11" style="52" bestFit="1" customWidth="1"/>
    <col min="13088" max="13312" width="8.875" style="52"/>
    <col min="13313" max="13313" width="10.375" style="52" bestFit="1" customWidth="1"/>
    <col min="13314" max="13324" width="0" style="52" hidden="1" customWidth="1"/>
    <col min="13325" max="13325" width="8.875" style="52"/>
    <col min="13326" max="13326" width="11.5" style="52" customWidth="1"/>
    <col min="13327" max="13327" width="13.5" style="52" bestFit="1" customWidth="1"/>
    <col min="13328" max="13328" width="41" style="52" customWidth="1"/>
    <col min="13329" max="13329" width="11.625" style="52" customWidth="1"/>
    <col min="13330" max="13330" width="14.5" style="52" customWidth="1"/>
    <col min="13331" max="13331" width="8.375" style="52" customWidth="1"/>
    <col min="13332" max="13332" width="12.5" style="52" customWidth="1"/>
    <col min="13333" max="13338" width="0" style="52" hidden="1" customWidth="1"/>
    <col min="13339" max="13342" width="9.125" style="52" customWidth="1"/>
    <col min="13343" max="13343" width="11" style="52" bestFit="1" customWidth="1"/>
    <col min="13344" max="13568" width="8.875" style="52"/>
    <col min="13569" max="13569" width="10.375" style="52" bestFit="1" customWidth="1"/>
    <col min="13570" max="13580" width="0" style="52" hidden="1" customWidth="1"/>
    <col min="13581" max="13581" width="8.875" style="52"/>
    <col min="13582" max="13582" width="11.5" style="52" customWidth="1"/>
    <col min="13583" max="13583" width="13.5" style="52" bestFit="1" customWidth="1"/>
    <col min="13584" max="13584" width="41" style="52" customWidth="1"/>
    <col min="13585" max="13585" width="11.625" style="52" customWidth="1"/>
    <col min="13586" max="13586" width="14.5" style="52" customWidth="1"/>
    <col min="13587" max="13587" width="8.375" style="52" customWidth="1"/>
    <col min="13588" max="13588" width="12.5" style="52" customWidth="1"/>
    <col min="13589" max="13594" width="0" style="52" hidden="1" customWidth="1"/>
    <col min="13595" max="13598" width="9.125" style="52" customWidth="1"/>
    <col min="13599" max="13599" width="11" style="52" bestFit="1" customWidth="1"/>
    <col min="13600" max="13824" width="8.875" style="52"/>
    <col min="13825" max="13825" width="10.375" style="52" bestFit="1" customWidth="1"/>
    <col min="13826" max="13836" width="0" style="52" hidden="1" customWidth="1"/>
    <col min="13837" max="13837" width="8.875" style="52"/>
    <col min="13838" max="13838" width="11.5" style="52" customWidth="1"/>
    <col min="13839" max="13839" width="13.5" style="52" bestFit="1" customWidth="1"/>
    <col min="13840" max="13840" width="41" style="52" customWidth="1"/>
    <col min="13841" max="13841" width="11.625" style="52" customWidth="1"/>
    <col min="13842" max="13842" width="14.5" style="52" customWidth="1"/>
    <col min="13843" max="13843" width="8.375" style="52" customWidth="1"/>
    <col min="13844" max="13844" width="12.5" style="52" customWidth="1"/>
    <col min="13845" max="13850" width="0" style="52" hidden="1" customWidth="1"/>
    <col min="13851" max="13854" width="9.125" style="52" customWidth="1"/>
    <col min="13855" max="13855" width="11" style="52" bestFit="1" customWidth="1"/>
    <col min="13856" max="14080" width="8.875" style="52"/>
    <col min="14081" max="14081" width="10.375" style="52" bestFit="1" customWidth="1"/>
    <col min="14082" max="14092" width="0" style="52" hidden="1" customWidth="1"/>
    <col min="14093" max="14093" width="8.875" style="52"/>
    <col min="14094" max="14094" width="11.5" style="52" customWidth="1"/>
    <col min="14095" max="14095" width="13.5" style="52" bestFit="1" customWidth="1"/>
    <col min="14096" max="14096" width="41" style="52" customWidth="1"/>
    <col min="14097" max="14097" width="11.625" style="52" customWidth="1"/>
    <col min="14098" max="14098" width="14.5" style="52" customWidth="1"/>
    <col min="14099" max="14099" width="8.375" style="52" customWidth="1"/>
    <col min="14100" max="14100" width="12.5" style="52" customWidth="1"/>
    <col min="14101" max="14106" width="0" style="52" hidden="1" customWidth="1"/>
    <col min="14107" max="14110" width="9.125" style="52" customWidth="1"/>
    <col min="14111" max="14111" width="11" style="52" bestFit="1" customWidth="1"/>
    <col min="14112" max="14336" width="8.875" style="52"/>
    <col min="14337" max="14337" width="10.375" style="52" bestFit="1" customWidth="1"/>
    <col min="14338" max="14348" width="0" style="52" hidden="1" customWidth="1"/>
    <col min="14349" max="14349" width="8.875" style="52"/>
    <col min="14350" max="14350" width="11.5" style="52" customWidth="1"/>
    <col min="14351" max="14351" width="13.5" style="52" bestFit="1" customWidth="1"/>
    <col min="14352" max="14352" width="41" style="52" customWidth="1"/>
    <col min="14353" max="14353" width="11.625" style="52" customWidth="1"/>
    <col min="14354" max="14354" width="14.5" style="52" customWidth="1"/>
    <col min="14355" max="14355" width="8.375" style="52" customWidth="1"/>
    <col min="14356" max="14356" width="12.5" style="52" customWidth="1"/>
    <col min="14357" max="14362" width="0" style="52" hidden="1" customWidth="1"/>
    <col min="14363" max="14366" width="9.125" style="52" customWidth="1"/>
    <col min="14367" max="14367" width="11" style="52" bestFit="1" customWidth="1"/>
    <col min="14368" max="14592" width="8.875" style="52"/>
    <col min="14593" max="14593" width="10.375" style="52" bestFit="1" customWidth="1"/>
    <col min="14594" max="14604" width="0" style="52" hidden="1" customWidth="1"/>
    <col min="14605" max="14605" width="8.875" style="52"/>
    <col min="14606" max="14606" width="11.5" style="52" customWidth="1"/>
    <col min="14607" max="14607" width="13.5" style="52" bestFit="1" customWidth="1"/>
    <col min="14608" max="14608" width="41" style="52" customWidth="1"/>
    <col min="14609" max="14609" width="11.625" style="52" customWidth="1"/>
    <col min="14610" max="14610" width="14.5" style="52" customWidth="1"/>
    <col min="14611" max="14611" width="8.375" style="52" customWidth="1"/>
    <col min="14612" max="14612" width="12.5" style="52" customWidth="1"/>
    <col min="14613" max="14618" width="0" style="52" hidden="1" customWidth="1"/>
    <col min="14619" max="14622" width="9.125" style="52" customWidth="1"/>
    <col min="14623" max="14623" width="11" style="52" bestFit="1" customWidth="1"/>
    <col min="14624" max="14848" width="8.875" style="52"/>
    <col min="14849" max="14849" width="10.375" style="52" bestFit="1" customWidth="1"/>
    <col min="14850" max="14860" width="0" style="52" hidden="1" customWidth="1"/>
    <col min="14861" max="14861" width="8.875" style="52"/>
    <col min="14862" max="14862" width="11.5" style="52" customWidth="1"/>
    <col min="14863" max="14863" width="13.5" style="52" bestFit="1" customWidth="1"/>
    <col min="14864" max="14864" width="41" style="52" customWidth="1"/>
    <col min="14865" max="14865" width="11.625" style="52" customWidth="1"/>
    <col min="14866" max="14866" width="14.5" style="52" customWidth="1"/>
    <col min="14867" max="14867" width="8.375" style="52" customWidth="1"/>
    <col min="14868" max="14868" width="12.5" style="52" customWidth="1"/>
    <col min="14869" max="14874" width="0" style="52" hidden="1" customWidth="1"/>
    <col min="14875" max="14878" width="9.125" style="52" customWidth="1"/>
    <col min="14879" max="14879" width="11" style="52" bestFit="1" customWidth="1"/>
    <col min="14880" max="15104" width="8.875" style="52"/>
    <col min="15105" max="15105" width="10.375" style="52" bestFit="1" customWidth="1"/>
    <col min="15106" max="15116" width="0" style="52" hidden="1" customWidth="1"/>
    <col min="15117" max="15117" width="8.875" style="52"/>
    <col min="15118" max="15118" width="11.5" style="52" customWidth="1"/>
    <col min="15119" max="15119" width="13.5" style="52" bestFit="1" customWidth="1"/>
    <col min="15120" max="15120" width="41" style="52" customWidth="1"/>
    <col min="15121" max="15121" width="11.625" style="52" customWidth="1"/>
    <col min="15122" max="15122" width="14.5" style="52" customWidth="1"/>
    <col min="15123" max="15123" width="8.375" style="52" customWidth="1"/>
    <col min="15124" max="15124" width="12.5" style="52" customWidth="1"/>
    <col min="15125" max="15130" width="0" style="52" hidden="1" customWidth="1"/>
    <col min="15131" max="15134" width="9.125" style="52" customWidth="1"/>
    <col min="15135" max="15135" width="11" style="52" bestFit="1" customWidth="1"/>
    <col min="15136" max="15360" width="8.875" style="52"/>
    <col min="15361" max="15361" width="10.375" style="52" bestFit="1" customWidth="1"/>
    <col min="15362" max="15372" width="0" style="52" hidden="1" customWidth="1"/>
    <col min="15373" max="15373" width="8.875" style="52"/>
    <col min="15374" max="15374" width="11.5" style="52" customWidth="1"/>
    <col min="15375" max="15375" width="13.5" style="52" bestFit="1" customWidth="1"/>
    <col min="15376" max="15376" width="41" style="52" customWidth="1"/>
    <col min="15377" max="15377" width="11.625" style="52" customWidth="1"/>
    <col min="15378" max="15378" width="14.5" style="52" customWidth="1"/>
    <col min="15379" max="15379" width="8.375" style="52" customWidth="1"/>
    <col min="15380" max="15380" width="12.5" style="52" customWidth="1"/>
    <col min="15381" max="15386" width="0" style="52" hidden="1" customWidth="1"/>
    <col min="15387" max="15390" width="9.125" style="52" customWidth="1"/>
    <col min="15391" max="15391" width="11" style="52" bestFit="1" customWidth="1"/>
    <col min="15392" max="15616" width="8.875" style="52"/>
    <col min="15617" max="15617" width="10.375" style="52" bestFit="1" customWidth="1"/>
    <col min="15618" max="15628" width="0" style="52" hidden="1" customWidth="1"/>
    <col min="15629" max="15629" width="8.875" style="52"/>
    <col min="15630" max="15630" width="11.5" style="52" customWidth="1"/>
    <col min="15631" max="15631" width="13.5" style="52" bestFit="1" customWidth="1"/>
    <col min="15632" max="15632" width="41" style="52" customWidth="1"/>
    <col min="15633" max="15633" width="11.625" style="52" customWidth="1"/>
    <col min="15634" max="15634" width="14.5" style="52" customWidth="1"/>
    <col min="15635" max="15635" width="8.375" style="52" customWidth="1"/>
    <col min="15636" max="15636" width="12.5" style="52" customWidth="1"/>
    <col min="15637" max="15642" width="0" style="52" hidden="1" customWidth="1"/>
    <col min="15643" max="15646" width="9.125" style="52" customWidth="1"/>
    <col min="15647" max="15647" width="11" style="52" bestFit="1" customWidth="1"/>
    <col min="15648" max="15872" width="8.875" style="52"/>
    <col min="15873" max="15873" width="10.375" style="52" bestFit="1" customWidth="1"/>
    <col min="15874" max="15884" width="0" style="52" hidden="1" customWidth="1"/>
    <col min="15885" max="15885" width="8.875" style="52"/>
    <col min="15886" max="15886" width="11.5" style="52" customWidth="1"/>
    <col min="15887" max="15887" width="13.5" style="52" bestFit="1" customWidth="1"/>
    <col min="15888" max="15888" width="41" style="52" customWidth="1"/>
    <col min="15889" max="15889" width="11.625" style="52" customWidth="1"/>
    <col min="15890" max="15890" width="14.5" style="52" customWidth="1"/>
    <col min="15891" max="15891" width="8.375" style="52" customWidth="1"/>
    <col min="15892" max="15892" width="12.5" style="52" customWidth="1"/>
    <col min="15893" max="15898" width="0" style="52" hidden="1" customWidth="1"/>
    <col min="15899" max="15902" width="9.125" style="52" customWidth="1"/>
    <col min="15903" max="15903" width="11" style="52" bestFit="1" customWidth="1"/>
    <col min="15904" max="16128" width="8.875" style="52"/>
    <col min="16129" max="16129" width="10.375" style="52" bestFit="1" customWidth="1"/>
    <col min="16130" max="16140" width="0" style="52" hidden="1" customWidth="1"/>
    <col min="16141" max="16141" width="8.875" style="52"/>
    <col min="16142" max="16142" width="11.5" style="52" customWidth="1"/>
    <col min="16143" max="16143" width="13.5" style="52" bestFit="1" customWidth="1"/>
    <col min="16144" max="16144" width="41" style="52" customWidth="1"/>
    <col min="16145" max="16145" width="11.625" style="52" customWidth="1"/>
    <col min="16146" max="16146" width="14.5" style="52" customWidth="1"/>
    <col min="16147" max="16147" width="8.375" style="52" customWidth="1"/>
    <col min="16148" max="16148" width="12.5" style="52" customWidth="1"/>
    <col min="16149" max="16154" width="0" style="52" hidden="1" customWidth="1"/>
    <col min="16155" max="16158" width="9.125" style="52" customWidth="1"/>
    <col min="16159" max="16159" width="11" style="52" bestFit="1" customWidth="1"/>
    <col min="16160" max="16384" width="8.875" style="52"/>
  </cols>
  <sheetData>
    <row r="1" spans="1:31" ht="13.5" thickTop="1">
      <c r="A1" s="49" t="s">
        <v>466</v>
      </c>
      <c r="B1" s="50" t="s">
        <v>654</v>
      </c>
      <c r="C1" s="51" t="s">
        <v>655</v>
      </c>
      <c r="D1" s="51" t="s">
        <v>656</v>
      </c>
      <c r="E1" s="51" t="s">
        <v>657</v>
      </c>
      <c r="F1" s="51" t="s">
        <v>658</v>
      </c>
      <c r="G1" s="51" t="s">
        <v>659</v>
      </c>
      <c r="H1" s="95" t="s">
        <v>660</v>
      </c>
      <c r="I1" s="50"/>
      <c r="J1" s="95" t="s">
        <v>661</v>
      </c>
      <c r="K1" s="96" t="s">
        <v>662</v>
      </c>
      <c r="L1" s="50" t="s">
        <v>663</v>
      </c>
      <c r="N1" s="323" t="s">
        <v>466</v>
      </c>
      <c r="O1" s="323" t="s">
        <v>466</v>
      </c>
      <c r="P1" s="1089" t="s">
        <v>474</v>
      </c>
      <c r="Q1" s="323" t="s">
        <v>655</v>
      </c>
      <c r="R1" s="1091" t="s">
        <v>664</v>
      </c>
      <c r="S1" s="1091"/>
      <c r="T1" s="323" t="s">
        <v>665</v>
      </c>
      <c r="U1" s="323" t="s">
        <v>666</v>
      </c>
      <c r="V1" s="323" t="s">
        <v>9911</v>
      </c>
      <c r="W1" s="323" t="s">
        <v>670</v>
      </c>
      <c r="X1" s="1091" t="s">
        <v>671</v>
      </c>
      <c r="Y1" s="1091"/>
      <c r="Z1" s="323" t="s">
        <v>672</v>
      </c>
      <c r="AA1" s="323" t="s">
        <v>667</v>
      </c>
      <c r="AB1" s="323" t="s">
        <v>668</v>
      </c>
      <c r="AC1" s="1091" t="s">
        <v>669</v>
      </c>
      <c r="AD1" s="1091"/>
      <c r="AE1" s="1091"/>
    </row>
    <row r="2" spans="1:31" ht="13.5" thickBot="1">
      <c r="A2" s="53"/>
      <c r="B2" s="54"/>
      <c r="C2" s="56" t="s">
        <v>673</v>
      </c>
      <c r="D2" s="98"/>
      <c r="E2" s="56" t="s">
        <v>674</v>
      </c>
      <c r="F2" s="56" t="s">
        <v>674</v>
      </c>
      <c r="G2" s="56" t="s">
        <v>483</v>
      </c>
      <c r="H2" s="99" t="s">
        <v>675</v>
      </c>
      <c r="I2" s="55" t="s">
        <v>676</v>
      </c>
      <c r="J2" s="99" t="s">
        <v>677</v>
      </c>
      <c r="K2" s="100" t="s">
        <v>677</v>
      </c>
      <c r="L2" s="55" t="s">
        <v>678</v>
      </c>
      <c r="N2" s="338"/>
      <c r="O2" s="410"/>
      <c r="P2" s="1090"/>
      <c r="Q2" s="339" t="s">
        <v>673</v>
      </c>
      <c r="R2" s="339"/>
      <c r="S2" s="338"/>
      <c r="T2" s="339"/>
      <c r="U2" s="338"/>
      <c r="V2" s="338"/>
      <c r="W2" s="339" t="s">
        <v>681</v>
      </c>
      <c r="X2" s="339" t="s">
        <v>681</v>
      </c>
      <c r="Y2" s="338"/>
      <c r="Z2" s="338"/>
      <c r="AA2" s="389" t="s">
        <v>679</v>
      </c>
      <c r="AB2" s="389" t="s">
        <v>679</v>
      </c>
      <c r="AC2" s="389" t="s">
        <v>574</v>
      </c>
      <c r="AD2" s="389" t="s">
        <v>680</v>
      </c>
      <c r="AE2" s="389" t="s">
        <v>483</v>
      </c>
    </row>
    <row r="3" spans="1:31" ht="13.5" thickBot="1">
      <c r="A3" s="102" t="s">
        <v>682</v>
      </c>
      <c r="B3" s="103" t="s">
        <v>683</v>
      </c>
      <c r="C3" s="104"/>
      <c r="D3" s="105"/>
      <c r="E3" s="106"/>
      <c r="F3" s="107"/>
      <c r="G3" s="108"/>
      <c r="H3" s="109"/>
      <c r="I3" s="110"/>
      <c r="J3" s="111"/>
      <c r="K3" s="112"/>
      <c r="L3" s="113"/>
      <c r="M3" s="391" t="s">
        <v>684</v>
      </c>
      <c r="N3" s="408"/>
      <c r="O3" s="237"/>
      <c r="P3" s="237" t="s">
        <v>685</v>
      </c>
      <c r="Q3" s="409">
        <v>106</v>
      </c>
      <c r="R3" s="409"/>
      <c r="S3" s="409"/>
      <c r="T3" s="409"/>
      <c r="U3" s="409"/>
      <c r="V3" s="409"/>
      <c r="W3" s="409"/>
      <c r="X3" s="409"/>
      <c r="Y3" s="409"/>
      <c r="Z3" s="409"/>
      <c r="AA3" s="409"/>
      <c r="AB3" s="409"/>
      <c r="AC3" s="409"/>
      <c r="AD3" s="409"/>
      <c r="AE3" s="409"/>
    </row>
    <row r="4" spans="1:31" ht="13.5" thickBot="1">
      <c r="A4" s="114"/>
      <c r="B4" s="115"/>
      <c r="C4" s="116"/>
      <c r="D4" s="105"/>
      <c r="E4" s="106"/>
      <c r="F4" s="107"/>
      <c r="G4" s="117"/>
      <c r="H4" s="118"/>
      <c r="I4" s="119"/>
      <c r="J4" s="120"/>
      <c r="K4" s="121"/>
      <c r="L4" s="122"/>
      <c r="M4" s="391" t="s">
        <v>686</v>
      </c>
      <c r="N4" s="264"/>
      <c r="O4" s="161"/>
      <c r="P4" s="161" t="s">
        <v>687</v>
      </c>
      <c r="Q4" s="393">
        <v>310.517</v>
      </c>
      <c r="R4" s="393"/>
      <c r="S4" s="393"/>
      <c r="T4" s="393"/>
      <c r="U4" s="393"/>
      <c r="V4" s="393"/>
      <c r="W4" s="393"/>
      <c r="X4" s="393"/>
      <c r="Y4" s="393"/>
      <c r="Z4" s="393"/>
      <c r="AA4" s="393"/>
      <c r="AB4" s="393"/>
      <c r="AC4" s="393"/>
      <c r="AD4" s="393"/>
      <c r="AE4" s="393"/>
    </row>
    <row r="5" spans="1:31" ht="13.5" thickBot="1">
      <c r="A5" s="114"/>
      <c r="B5" s="115"/>
      <c r="C5" s="116"/>
      <c r="D5" s="105"/>
      <c r="E5" s="106"/>
      <c r="F5" s="107"/>
      <c r="G5" s="117"/>
      <c r="H5" s="118"/>
      <c r="I5" s="119"/>
      <c r="J5" s="120"/>
      <c r="K5" s="121"/>
      <c r="L5" s="122"/>
      <c r="M5" s="391" t="s">
        <v>688</v>
      </c>
      <c r="N5" s="264"/>
      <c r="O5" s="161"/>
      <c r="P5" s="161" t="s">
        <v>689</v>
      </c>
      <c r="Q5" s="393">
        <v>8.7949999999999999</v>
      </c>
      <c r="R5" s="393"/>
      <c r="S5" s="393"/>
      <c r="T5" s="393"/>
      <c r="U5" s="393"/>
      <c r="V5" s="393"/>
      <c r="W5" s="393"/>
      <c r="X5" s="393"/>
      <c r="Y5" s="393"/>
      <c r="Z5" s="393"/>
      <c r="AA5" s="393"/>
      <c r="AB5" s="393"/>
      <c r="AC5" s="393"/>
      <c r="AD5" s="393"/>
      <c r="AE5" s="393"/>
    </row>
    <row r="6" spans="1:31" ht="13.5" thickBot="1">
      <c r="A6" s="114"/>
      <c r="B6" s="115"/>
      <c r="C6" s="116"/>
      <c r="D6" s="105"/>
      <c r="E6" s="106"/>
      <c r="F6" s="107"/>
      <c r="G6" s="117"/>
      <c r="H6" s="118"/>
      <c r="I6" s="119"/>
      <c r="J6" s="120"/>
      <c r="K6" s="121"/>
      <c r="L6" s="122"/>
      <c r="M6" s="391" t="s">
        <v>690</v>
      </c>
      <c r="N6" s="264"/>
      <c r="O6" s="161"/>
      <c r="P6" s="161" t="s">
        <v>691</v>
      </c>
      <c r="Q6" s="393">
        <v>53.829000000000001</v>
      </c>
      <c r="R6" s="393"/>
      <c r="S6" s="393"/>
      <c r="T6" s="393"/>
      <c r="U6" s="393"/>
      <c r="V6" s="393"/>
      <c r="W6" s="393"/>
      <c r="X6" s="393"/>
      <c r="Y6" s="393"/>
      <c r="Z6" s="393"/>
      <c r="AA6" s="393"/>
      <c r="AB6" s="393"/>
      <c r="AC6" s="393"/>
      <c r="AD6" s="393"/>
      <c r="AE6" s="393"/>
    </row>
    <row r="7" spans="1:31" ht="13.5" thickBot="1">
      <c r="A7" s="114"/>
      <c r="B7" s="115"/>
      <c r="C7" s="116"/>
      <c r="D7" s="105"/>
      <c r="E7" s="106"/>
      <c r="F7" s="107"/>
      <c r="G7" s="117"/>
      <c r="H7" s="118"/>
      <c r="I7" s="119"/>
      <c r="J7" s="120"/>
      <c r="K7" s="121"/>
      <c r="L7" s="122"/>
      <c r="M7" s="391" t="s">
        <v>692</v>
      </c>
      <c r="N7" s="264"/>
      <c r="O7" s="161"/>
      <c r="P7" s="161" t="s">
        <v>693</v>
      </c>
      <c r="Q7" s="393">
        <v>56.707000000000001</v>
      </c>
      <c r="R7" s="393"/>
      <c r="S7" s="393"/>
      <c r="T7" s="393"/>
      <c r="U7" s="393"/>
      <c r="V7" s="393"/>
      <c r="W7" s="393"/>
      <c r="X7" s="393"/>
      <c r="Y7" s="393"/>
      <c r="Z7" s="393"/>
      <c r="AA7" s="393"/>
      <c r="AB7" s="393"/>
      <c r="AC7" s="393"/>
      <c r="AD7" s="393"/>
      <c r="AE7" s="393"/>
    </row>
    <row r="8" spans="1:31" ht="13.5" thickBot="1">
      <c r="A8" s="114"/>
      <c r="B8" s="115"/>
      <c r="C8" s="116"/>
      <c r="D8" s="105"/>
      <c r="E8" s="106"/>
      <c r="F8" s="107"/>
      <c r="G8" s="117"/>
      <c r="H8" s="118"/>
      <c r="I8" s="119"/>
      <c r="J8" s="120"/>
      <c r="K8" s="121"/>
      <c r="L8" s="122"/>
      <c r="M8" s="391" t="s">
        <v>694</v>
      </c>
      <c r="N8" s="264"/>
      <c r="O8" s="161"/>
      <c r="P8" s="161" t="s">
        <v>695</v>
      </c>
      <c r="Q8" s="393">
        <v>453.73</v>
      </c>
      <c r="R8" s="393"/>
      <c r="S8" s="393"/>
      <c r="T8" s="393"/>
      <c r="U8" s="393"/>
      <c r="V8" s="393"/>
      <c r="W8" s="393"/>
      <c r="X8" s="393"/>
      <c r="Y8" s="393"/>
      <c r="Z8" s="393"/>
      <c r="AA8" s="393"/>
      <c r="AB8" s="393"/>
      <c r="AC8" s="393"/>
      <c r="AD8" s="393"/>
      <c r="AE8" s="393"/>
    </row>
    <row r="9" spans="1:31" ht="26.25" thickBot="1">
      <c r="A9" s="114"/>
      <c r="B9" s="115"/>
      <c r="C9" s="116"/>
      <c r="D9" s="105"/>
      <c r="E9" s="106"/>
      <c r="F9" s="107"/>
      <c r="G9" s="117"/>
      <c r="H9" s="118"/>
      <c r="I9" s="119"/>
      <c r="J9" s="120"/>
      <c r="K9" s="121"/>
      <c r="L9" s="122"/>
      <c r="N9" s="264"/>
      <c r="O9" s="264" t="s">
        <v>684</v>
      </c>
      <c r="P9" s="394" t="s">
        <v>696</v>
      </c>
      <c r="Q9" s="393">
        <v>136</v>
      </c>
      <c r="R9" s="393" t="s">
        <v>697</v>
      </c>
      <c r="S9" s="393">
        <v>1</v>
      </c>
      <c r="T9" s="393" t="s">
        <v>698</v>
      </c>
      <c r="U9" s="393"/>
      <c r="V9" s="393" t="s">
        <v>699</v>
      </c>
      <c r="W9" s="393">
        <v>1</v>
      </c>
      <c r="X9" s="393">
        <v>1</v>
      </c>
      <c r="Y9" s="393">
        <f>3/3</f>
        <v>1</v>
      </c>
      <c r="Z9" s="393" t="s">
        <v>700</v>
      </c>
      <c r="AA9" s="393"/>
      <c r="AB9" s="393"/>
      <c r="AC9" s="393">
        <v>18051</v>
      </c>
      <c r="AD9" s="393">
        <v>2.4</v>
      </c>
      <c r="AE9" s="393">
        <v>41</v>
      </c>
    </row>
    <row r="10" spans="1:31" ht="26.25" thickBot="1">
      <c r="A10" s="114"/>
      <c r="B10" s="115"/>
      <c r="C10" s="116"/>
      <c r="D10" s="105"/>
      <c r="E10" s="106"/>
      <c r="F10" s="107"/>
      <c r="G10" s="117"/>
      <c r="H10" s="118"/>
      <c r="I10" s="119"/>
      <c r="J10" s="120"/>
      <c r="K10" s="121"/>
      <c r="L10" s="122"/>
      <c r="N10" s="264"/>
      <c r="O10" s="264" t="s">
        <v>686</v>
      </c>
      <c r="P10" s="394" t="s">
        <v>701</v>
      </c>
      <c r="Q10" s="393">
        <v>394</v>
      </c>
      <c r="R10" s="393" t="s">
        <v>697</v>
      </c>
      <c r="S10" s="393">
        <v>1</v>
      </c>
      <c r="T10" s="393" t="s">
        <v>698</v>
      </c>
      <c r="U10" s="393"/>
      <c r="V10" s="393" t="s">
        <v>699</v>
      </c>
      <c r="W10" s="393">
        <v>1</v>
      </c>
      <c r="X10" s="393">
        <v>1</v>
      </c>
      <c r="Y10" s="393">
        <f>6/6</f>
        <v>1</v>
      </c>
      <c r="Z10" s="393" t="s">
        <v>702</v>
      </c>
      <c r="AA10" s="393"/>
      <c r="AB10" s="393"/>
      <c r="AC10" s="393">
        <v>117992</v>
      </c>
      <c r="AD10" s="393">
        <v>2.9</v>
      </c>
      <c r="AE10" s="393">
        <v>48</v>
      </c>
    </row>
    <row r="11" spans="1:31" ht="26.25" thickBot="1">
      <c r="A11" s="114"/>
      <c r="B11" s="115"/>
      <c r="C11" s="116"/>
      <c r="D11" s="105"/>
      <c r="E11" s="106"/>
      <c r="F11" s="107"/>
      <c r="G11" s="117"/>
      <c r="H11" s="118"/>
      <c r="I11" s="119"/>
      <c r="J11" s="120"/>
      <c r="K11" s="121"/>
      <c r="L11" s="122"/>
      <c r="N11" s="264"/>
      <c r="O11" s="777" t="s">
        <v>10515</v>
      </c>
      <c r="P11" s="394" t="s">
        <v>703</v>
      </c>
      <c r="Q11" s="393">
        <v>17.2</v>
      </c>
      <c r="R11" s="393" t="s">
        <v>697</v>
      </c>
      <c r="S11" s="393">
        <v>1</v>
      </c>
      <c r="T11" s="393" t="s">
        <v>698</v>
      </c>
      <c r="U11" s="393"/>
      <c r="V11" s="393" t="s">
        <v>699</v>
      </c>
      <c r="W11" s="393">
        <v>1</v>
      </c>
      <c r="X11" s="393">
        <v>1</v>
      </c>
      <c r="Y11" s="393">
        <f>1.5/1*1.5/1</f>
        <v>2.25</v>
      </c>
      <c r="Z11" s="393" t="s">
        <v>704</v>
      </c>
      <c r="AA11" s="393"/>
      <c r="AB11" s="393"/>
      <c r="AC11" s="393">
        <v>422</v>
      </c>
      <c r="AD11" s="393">
        <v>6.1</v>
      </c>
      <c r="AE11" s="393">
        <v>47</v>
      </c>
    </row>
    <row r="12" spans="1:31" ht="26.25" thickBot="1">
      <c r="A12" s="114"/>
      <c r="B12" s="115"/>
      <c r="C12" s="116"/>
      <c r="D12" s="105"/>
      <c r="E12" s="106"/>
      <c r="F12" s="107"/>
      <c r="G12" s="117"/>
      <c r="H12" s="118"/>
      <c r="I12" s="119"/>
      <c r="J12" s="120"/>
      <c r="K12" s="121"/>
      <c r="L12" s="122"/>
      <c r="N12" s="264"/>
      <c r="O12" s="264" t="s">
        <v>690</v>
      </c>
      <c r="P12" s="394" t="s">
        <v>705</v>
      </c>
      <c r="Q12" s="393">
        <v>70.7</v>
      </c>
      <c r="R12" s="393" t="s">
        <v>697</v>
      </c>
      <c r="S12" s="393">
        <v>1</v>
      </c>
      <c r="T12" s="393" t="s">
        <v>698</v>
      </c>
      <c r="U12" s="393"/>
      <c r="V12" s="393" t="s">
        <v>699</v>
      </c>
      <c r="W12" s="393">
        <v>1</v>
      </c>
      <c r="X12" s="393">
        <v>1</v>
      </c>
      <c r="Y12" s="393">
        <f>3/3</f>
        <v>1</v>
      </c>
      <c r="Z12" s="393" t="s">
        <v>704</v>
      </c>
      <c r="AA12" s="393"/>
      <c r="AB12" s="393"/>
      <c r="AC12" s="393">
        <v>3150</v>
      </c>
      <c r="AD12" s="393">
        <v>7.1</v>
      </c>
      <c r="AE12" s="393">
        <v>53</v>
      </c>
    </row>
    <row r="13" spans="1:31" ht="26.25" thickBot="1">
      <c r="A13" s="114"/>
      <c r="B13" s="115"/>
      <c r="C13" s="116"/>
      <c r="D13" s="105"/>
      <c r="E13" s="106"/>
      <c r="F13" s="107"/>
      <c r="G13" s="117"/>
      <c r="H13" s="118"/>
      <c r="I13" s="119"/>
      <c r="J13" s="120"/>
      <c r="K13" s="121"/>
      <c r="L13" s="122"/>
      <c r="N13" s="264" t="s">
        <v>692</v>
      </c>
      <c r="O13" s="161"/>
      <c r="P13" s="394" t="s">
        <v>706</v>
      </c>
      <c r="Q13" s="393">
        <v>59.7</v>
      </c>
      <c r="R13" s="393" t="s">
        <v>697</v>
      </c>
      <c r="S13" s="393">
        <v>1</v>
      </c>
      <c r="T13" s="393" t="s">
        <v>698</v>
      </c>
      <c r="U13" s="393"/>
      <c r="V13" s="393" t="s">
        <v>699</v>
      </c>
      <c r="W13" s="393"/>
      <c r="X13" s="393"/>
      <c r="Y13" s="393"/>
      <c r="Z13" s="393"/>
      <c r="AA13" s="393"/>
      <c r="AB13" s="393"/>
      <c r="AC13" s="393">
        <v>14970</v>
      </c>
      <c r="AD13" s="393">
        <v>0.53</v>
      </c>
      <c r="AE13" s="393">
        <v>68</v>
      </c>
    </row>
    <row r="14" spans="1:31" ht="26.25" thickBot="1">
      <c r="A14" s="114"/>
      <c r="B14" s="115"/>
      <c r="C14" s="116"/>
      <c r="D14" s="105"/>
      <c r="E14" s="106"/>
      <c r="F14" s="107"/>
      <c r="G14" s="117"/>
      <c r="H14" s="118"/>
      <c r="I14" s="119"/>
      <c r="J14" s="120"/>
      <c r="K14" s="121"/>
      <c r="L14" s="122"/>
      <c r="N14" s="620" t="s">
        <v>707</v>
      </c>
      <c r="O14" s="620" t="s">
        <v>694</v>
      </c>
      <c r="P14" s="394" t="s">
        <v>708</v>
      </c>
      <c r="Q14" s="393">
        <v>539</v>
      </c>
      <c r="R14" s="393" t="s">
        <v>697</v>
      </c>
      <c r="S14" s="393">
        <v>1</v>
      </c>
      <c r="T14" s="393" t="s">
        <v>698</v>
      </c>
      <c r="U14" s="393"/>
      <c r="V14" s="393" t="s">
        <v>699</v>
      </c>
      <c r="W14" s="393">
        <v>1</v>
      </c>
      <c r="X14" s="393">
        <v>1</v>
      </c>
      <c r="Y14" s="393">
        <f>4/4</f>
        <v>1</v>
      </c>
      <c r="Z14" s="393" t="s">
        <v>709</v>
      </c>
      <c r="AA14" s="393"/>
      <c r="AB14" s="393"/>
      <c r="AC14" s="393">
        <v>69860</v>
      </c>
      <c r="AD14" s="393">
        <v>2.76</v>
      </c>
      <c r="AE14" s="393">
        <v>34</v>
      </c>
    </row>
    <row r="15" spans="1:31" ht="13.5" thickBot="1">
      <c r="A15" s="114"/>
      <c r="B15" s="115"/>
      <c r="C15" s="116"/>
      <c r="D15" s="105"/>
      <c r="E15" s="106"/>
      <c r="F15" s="107"/>
      <c r="G15" s="117"/>
      <c r="H15" s="118"/>
      <c r="I15" s="119"/>
      <c r="J15" s="120"/>
      <c r="K15" s="121"/>
      <c r="L15" s="122"/>
      <c r="N15" s="264"/>
      <c r="O15" s="264" t="s">
        <v>710</v>
      </c>
      <c r="P15" s="161" t="s">
        <v>711</v>
      </c>
      <c r="Q15" s="393">
        <v>43.7</v>
      </c>
      <c r="R15" s="393" t="s">
        <v>697</v>
      </c>
      <c r="S15" s="393">
        <v>1</v>
      </c>
      <c r="T15" s="393" t="s">
        <v>698</v>
      </c>
      <c r="U15" s="393"/>
      <c r="V15" s="393" t="s">
        <v>699</v>
      </c>
      <c r="W15" s="393">
        <v>1</v>
      </c>
      <c r="X15" s="393">
        <v>1</v>
      </c>
      <c r="Y15" s="393">
        <f>3*3/2/2</f>
        <v>2.25</v>
      </c>
      <c r="Z15" s="393" t="s">
        <v>712</v>
      </c>
      <c r="AA15" s="393"/>
      <c r="AB15" s="393"/>
      <c r="AC15" s="393">
        <v>34300</v>
      </c>
      <c r="AD15" s="393">
        <v>6.5</v>
      </c>
      <c r="AE15" s="393">
        <v>61</v>
      </c>
    </row>
    <row r="16" spans="1:31" ht="13.5" thickBot="1">
      <c r="A16" s="123"/>
      <c r="B16" s="124"/>
      <c r="C16" s="125"/>
      <c r="D16" s="105"/>
      <c r="E16" s="106"/>
      <c r="F16" s="107"/>
      <c r="G16" s="126"/>
      <c r="H16" s="127"/>
      <c r="I16" s="128"/>
      <c r="J16" s="129"/>
      <c r="K16" s="130"/>
      <c r="L16" s="131"/>
      <c r="M16" s="132"/>
      <c r="N16" s="264"/>
      <c r="O16" s="264" t="s">
        <v>713</v>
      </c>
      <c r="P16" s="161" t="s">
        <v>714</v>
      </c>
      <c r="Q16" s="395">
        <v>43.7</v>
      </c>
      <c r="R16" s="393" t="s">
        <v>697</v>
      </c>
      <c r="S16" s="393">
        <v>1</v>
      </c>
      <c r="T16" s="393" t="s">
        <v>698</v>
      </c>
      <c r="U16" s="395"/>
      <c r="V16" s="393" t="s">
        <v>699</v>
      </c>
      <c r="W16" s="393">
        <v>1</v>
      </c>
      <c r="X16" s="393">
        <v>1</v>
      </c>
      <c r="Y16" s="393">
        <f>3*3/2/2</f>
        <v>2.25</v>
      </c>
      <c r="Z16" s="393" t="s">
        <v>712</v>
      </c>
      <c r="AA16" s="395"/>
      <c r="AB16" s="395"/>
      <c r="AC16" s="393">
        <v>34300</v>
      </c>
      <c r="AD16" s="393">
        <v>6.5</v>
      </c>
      <c r="AE16" s="393">
        <v>61</v>
      </c>
    </row>
    <row r="17" spans="1:31" ht="13.5" thickBot="1">
      <c r="A17" s="114"/>
      <c r="B17" s="115"/>
      <c r="C17" s="116"/>
      <c r="D17" s="105"/>
      <c r="E17" s="106"/>
      <c r="F17" s="107"/>
      <c r="G17" s="117"/>
      <c r="H17" s="118"/>
      <c r="I17" s="119"/>
      <c r="J17" s="120"/>
      <c r="K17" s="121"/>
      <c r="L17" s="122"/>
      <c r="N17" s="264"/>
      <c r="O17" s="264" t="s">
        <v>715</v>
      </c>
      <c r="P17" s="161" t="s">
        <v>716</v>
      </c>
      <c r="Q17" s="393">
        <v>70.7</v>
      </c>
      <c r="R17" s="393" t="s">
        <v>697</v>
      </c>
      <c r="S17" s="393">
        <v>1</v>
      </c>
      <c r="T17" s="393" t="s">
        <v>698</v>
      </c>
      <c r="U17" s="393"/>
      <c r="V17" s="393" t="s">
        <v>699</v>
      </c>
      <c r="W17" s="393">
        <v>1</v>
      </c>
      <c r="X17" s="393">
        <v>1</v>
      </c>
      <c r="Y17" s="393">
        <f>3/3</f>
        <v>1</v>
      </c>
      <c r="Z17" s="393" t="s">
        <v>717</v>
      </c>
      <c r="AA17" s="393"/>
      <c r="AB17" s="393"/>
      <c r="AC17" s="393">
        <v>68600</v>
      </c>
      <c r="AD17" s="393">
        <v>6.5</v>
      </c>
      <c r="AE17" s="393">
        <v>72</v>
      </c>
    </row>
    <row r="18" spans="1:31" ht="13.5" thickBot="1">
      <c r="A18" s="114"/>
      <c r="B18" s="115"/>
      <c r="C18" s="116"/>
      <c r="D18" s="105"/>
      <c r="E18" s="106"/>
      <c r="F18" s="107"/>
      <c r="G18" s="117"/>
      <c r="H18" s="118"/>
      <c r="I18" s="119"/>
      <c r="J18" s="120"/>
      <c r="K18" s="121"/>
      <c r="L18" s="122"/>
      <c r="N18" s="777" t="s">
        <v>10461</v>
      </c>
      <c r="O18" s="777" t="s">
        <v>10462</v>
      </c>
      <c r="P18" s="161" t="s">
        <v>718</v>
      </c>
      <c r="Q18" s="393">
        <v>136</v>
      </c>
      <c r="R18" s="393" t="s">
        <v>697</v>
      </c>
      <c r="S18" s="393">
        <v>1</v>
      </c>
      <c r="T18" s="393" t="s">
        <v>698</v>
      </c>
      <c r="U18" s="393"/>
      <c r="V18" s="393" t="s">
        <v>699</v>
      </c>
      <c r="W18" s="393">
        <v>1</v>
      </c>
      <c r="X18" s="393">
        <v>1</v>
      </c>
      <c r="Y18" s="393">
        <f>3/3</f>
        <v>1</v>
      </c>
      <c r="Z18" s="393" t="s">
        <v>717</v>
      </c>
      <c r="AA18" s="393"/>
      <c r="AB18" s="393"/>
      <c r="AC18" s="393">
        <v>73500</v>
      </c>
      <c r="AD18" s="393">
        <v>2</v>
      </c>
      <c r="AE18" s="393">
        <v>68</v>
      </c>
    </row>
    <row r="19" spans="1:31" ht="13.5" thickBot="1">
      <c r="A19" s="114"/>
      <c r="B19" s="115"/>
      <c r="C19" s="116"/>
      <c r="D19" s="105"/>
      <c r="E19" s="106"/>
      <c r="F19" s="107"/>
      <c r="G19" s="117"/>
      <c r="H19" s="118"/>
      <c r="I19" s="119"/>
      <c r="J19" s="120"/>
      <c r="K19" s="121"/>
      <c r="L19" s="122"/>
      <c r="N19" s="264" t="s">
        <v>719</v>
      </c>
      <c r="O19" s="777" t="s">
        <v>719</v>
      </c>
      <c r="P19" s="161" t="s">
        <v>720</v>
      </c>
      <c r="Q19" s="393">
        <v>59.7</v>
      </c>
      <c r="R19" s="393" t="s">
        <v>697</v>
      </c>
      <c r="S19" s="393">
        <v>1</v>
      </c>
      <c r="T19" s="393" t="s">
        <v>698</v>
      </c>
      <c r="U19" s="393"/>
      <c r="V19" s="393" t="s">
        <v>699</v>
      </c>
      <c r="W19" s="393"/>
      <c r="X19" s="393"/>
      <c r="Y19" s="393"/>
      <c r="Z19" s="393"/>
      <c r="AA19" s="393"/>
      <c r="AB19" s="393"/>
      <c r="AC19" s="393">
        <v>26482</v>
      </c>
      <c r="AD19" s="393">
        <v>4.5</v>
      </c>
      <c r="AE19" s="393">
        <v>56</v>
      </c>
    </row>
    <row r="20" spans="1:31" ht="13.5" thickBot="1">
      <c r="A20" s="114"/>
      <c r="B20" s="115"/>
      <c r="C20" s="116"/>
      <c r="D20" s="105"/>
      <c r="E20" s="106"/>
      <c r="F20" s="107"/>
      <c r="G20" s="117"/>
      <c r="H20" s="118"/>
      <c r="I20" s="119"/>
      <c r="J20" s="120"/>
      <c r="K20" s="121"/>
      <c r="L20" s="122"/>
      <c r="N20" s="264" t="s">
        <v>721</v>
      </c>
      <c r="O20" s="777" t="s">
        <v>10366</v>
      </c>
      <c r="P20" s="161" t="s">
        <v>722</v>
      </c>
      <c r="Q20" s="393">
        <v>215</v>
      </c>
      <c r="R20" s="393" t="s">
        <v>723</v>
      </c>
      <c r="S20" s="393">
        <v>0</v>
      </c>
      <c r="T20" s="393" t="s">
        <v>698</v>
      </c>
      <c r="U20" s="393"/>
      <c r="V20" s="393" t="s">
        <v>699</v>
      </c>
      <c r="W20" s="393"/>
      <c r="X20" s="393"/>
      <c r="Y20" s="393"/>
      <c r="Z20" s="393"/>
      <c r="AA20" s="393"/>
      <c r="AB20" s="393"/>
      <c r="AC20" s="393">
        <v>186000</v>
      </c>
      <c r="AD20" s="393">
        <v>14.3</v>
      </c>
      <c r="AE20" s="393">
        <v>32.78</v>
      </c>
    </row>
    <row r="21" spans="1:31" ht="13.5" thickBot="1">
      <c r="A21" s="114"/>
      <c r="B21" s="115"/>
      <c r="C21" s="116"/>
      <c r="D21" s="105"/>
      <c r="E21" s="106"/>
      <c r="F21" s="107"/>
      <c r="G21" s="117"/>
      <c r="H21" s="118"/>
      <c r="I21" s="119"/>
      <c r="J21" s="120"/>
      <c r="K21" s="121"/>
      <c r="L21" s="122"/>
      <c r="N21" s="264"/>
      <c r="O21" s="264" t="s">
        <v>724</v>
      </c>
      <c r="P21" s="161" t="s">
        <v>725</v>
      </c>
      <c r="Q21" s="393">
        <v>85</v>
      </c>
      <c r="R21" s="393" t="s">
        <v>723</v>
      </c>
      <c r="S21" s="393">
        <v>0</v>
      </c>
      <c r="T21" s="393" t="s">
        <v>698</v>
      </c>
      <c r="U21" s="393"/>
      <c r="V21" s="393" t="s">
        <v>726</v>
      </c>
      <c r="W21" s="393">
        <v>0</v>
      </c>
      <c r="X21" s="393">
        <v>0</v>
      </c>
      <c r="Y21" s="393"/>
      <c r="Z21" s="393" t="s">
        <v>727</v>
      </c>
      <c r="AA21" s="393"/>
      <c r="AB21" s="393"/>
      <c r="AC21" s="393">
        <v>500</v>
      </c>
      <c r="AD21" s="393">
        <v>0.3</v>
      </c>
      <c r="AE21" s="393">
        <v>34.479999999999997</v>
      </c>
    </row>
    <row r="22" spans="1:31" ht="13.5" thickBot="1">
      <c r="A22" s="114"/>
      <c r="B22" s="115"/>
      <c r="C22" s="116"/>
      <c r="D22" s="105"/>
      <c r="E22" s="106"/>
      <c r="F22" s="107"/>
      <c r="G22" s="117"/>
      <c r="H22" s="118"/>
      <c r="I22" s="119"/>
      <c r="J22" s="120"/>
      <c r="K22" s="121"/>
      <c r="L22" s="122"/>
      <c r="N22" s="264"/>
      <c r="O22" s="264" t="s">
        <v>728</v>
      </c>
      <c r="P22" s="161" t="s">
        <v>729</v>
      </c>
      <c r="Q22" s="393">
        <v>850</v>
      </c>
      <c r="R22" s="393" t="s">
        <v>723</v>
      </c>
      <c r="S22" s="393">
        <v>0</v>
      </c>
      <c r="T22" s="393" t="s">
        <v>698</v>
      </c>
      <c r="U22" s="393"/>
      <c r="V22" s="393" t="s">
        <v>699</v>
      </c>
      <c r="W22" s="393">
        <v>0</v>
      </c>
      <c r="X22" s="393">
        <v>0</v>
      </c>
      <c r="Y22" s="393"/>
      <c r="Z22" s="393" t="s">
        <v>730</v>
      </c>
      <c r="AA22" s="393"/>
      <c r="AB22" s="393"/>
      <c r="AC22" s="393">
        <v>45050</v>
      </c>
      <c r="AD22" s="393">
        <v>1</v>
      </c>
      <c r="AE22" s="393">
        <v>8.8000000000000007</v>
      </c>
    </row>
    <row r="23" spans="1:31" ht="13.5" thickBot="1">
      <c r="A23" s="114"/>
      <c r="B23" s="115"/>
      <c r="C23" s="116"/>
      <c r="D23" s="105"/>
      <c r="E23" s="106"/>
      <c r="F23" s="107"/>
      <c r="G23" s="117"/>
      <c r="H23" s="118"/>
      <c r="I23" s="119"/>
      <c r="J23" s="120"/>
      <c r="K23" s="121"/>
      <c r="L23" s="122"/>
      <c r="N23" s="264"/>
      <c r="O23" s="264" t="s">
        <v>731</v>
      </c>
      <c r="P23" s="161" t="s">
        <v>732</v>
      </c>
      <c r="Q23" s="393">
        <v>8</v>
      </c>
      <c r="R23" s="393" t="s">
        <v>697</v>
      </c>
      <c r="S23" s="393">
        <v>1</v>
      </c>
      <c r="T23" s="393" t="s">
        <v>698</v>
      </c>
      <c r="U23" s="393"/>
      <c r="V23" s="393" t="s">
        <v>726</v>
      </c>
      <c r="W23" s="393">
        <v>1</v>
      </c>
      <c r="X23" s="393">
        <v>1</v>
      </c>
      <c r="Y23" s="393">
        <f>1/1</f>
        <v>1</v>
      </c>
      <c r="Z23" s="393" t="s">
        <v>730</v>
      </c>
      <c r="AA23" s="393"/>
      <c r="AB23" s="393"/>
      <c r="AC23" s="393">
        <v>15</v>
      </c>
      <c r="AD23" s="393">
        <v>10.199999999999999</v>
      </c>
      <c r="AE23" s="393">
        <v>79.64</v>
      </c>
    </row>
    <row r="24" spans="1:31" ht="13.5" thickBot="1">
      <c r="A24" s="114"/>
      <c r="B24" s="115"/>
      <c r="C24" s="116"/>
      <c r="D24" s="105"/>
      <c r="E24" s="106"/>
      <c r="F24" s="107"/>
      <c r="G24" s="117"/>
      <c r="H24" s="118"/>
      <c r="I24" s="119"/>
      <c r="J24" s="120"/>
      <c r="K24" s="121"/>
      <c r="L24" s="122"/>
      <c r="N24" s="264" t="s">
        <v>733</v>
      </c>
      <c r="O24" s="161" t="s">
        <v>734</v>
      </c>
      <c r="P24" s="161" t="s">
        <v>735</v>
      </c>
      <c r="Q24" s="393">
        <v>400</v>
      </c>
      <c r="R24" s="393" t="s">
        <v>697</v>
      </c>
      <c r="S24" s="393">
        <v>1</v>
      </c>
      <c r="T24" s="393" t="s">
        <v>698</v>
      </c>
      <c r="U24" s="393"/>
      <c r="V24" s="393" t="s">
        <v>699</v>
      </c>
      <c r="W24" s="393">
        <v>1</v>
      </c>
      <c r="X24" s="393">
        <v>1</v>
      </c>
      <c r="Y24" s="393">
        <f>8/8</f>
        <v>1</v>
      </c>
      <c r="Z24" s="393" t="s">
        <v>736</v>
      </c>
      <c r="AA24" s="393"/>
      <c r="AB24" s="393"/>
      <c r="AC24" s="393">
        <v>400</v>
      </c>
      <c r="AD24" s="393">
        <v>12.5</v>
      </c>
      <c r="AE24" s="393">
        <v>60.61</v>
      </c>
    </row>
    <row r="25" spans="1:31" ht="13.5" thickBot="1">
      <c r="A25" s="114"/>
      <c r="B25" s="115"/>
      <c r="C25" s="116"/>
      <c r="D25" s="105"/>
      <c r="E25" s="106"/>
      <c r="F25" s="107"/>
      <c r="G25" s="117"/>
      <c r="H25" s="118"/>
      <c r="I25" s="119"/>
      <c r="J25" s="120"/>
      <c r="K25" s="121"/>
      <c r="L25" s="122"/>
      <c r="M25" s="392" t="s">
        <v>737</v>
      </c>
      <c r="N25" s="406"/>
      <c r="O25" s="161"/>
      <c r="P25" s="161" t="s">
        <v>738</v>
      </c>
      <c r="Q25" s="393"/>
      <c r="R25" s="393"/>
      <c r="S25" s="393"/>
      <c r="T25" s="393"/>
      <c r="U25" s="393"/>
      <c r="V25" s="393"/>
      <c r="W25" s="393"/>
      <c r="X25" s="393"/>
      <c r="Y25" s="393"/>
      <c r="Z25" s="393"/>
      <c r="AA25" s="393"/>
      <c r="AB25" s="393"/>
      <c r="AC25" s="393"/>
      <c r="AD25" s="393"/>
      <c r="AE25" s="393"/>
    </row>
    <row r="26" spans="1:31" ht="13.5" thickBot="1">
      <c r="A26" s="114"/>
      <c r="B26" s="115"/>
      <c r="C26" s="116"/>
      <c r="D26" s="105"/>
      <c r="E26" s="106"/>
      <c r="F26" s="107"/>
      <c r="G26" s="117"/>
      <c r="H26" s="118"/>
      <c r="I26" s="119"/>
      <c r="J26" s="120"/>
      <c r="K26" s="121"/>
      <c r="L26" s="122"/>
      <c r="N26" s="396" t="s">
        <v>739</v>
      </c>
      <c r="O26" s="775" t="s">
        <v>10357</v>
      </c>
      <c r="P26" s="161" t="s">
        <v>740</v>
      </c>
      <c r="Q26" s="393"/>
      <c r="R26" s="393"/>
      <c r="S26" s="393"/>
      <c r="T26" s="393"/>
      <c r="U26" s="393"/>
      <c r="V26" s="393"/>
      <c r="W26" s="393"/>
      <c r="X26" s="393"/>
      <c r="Y26" s="393"/>
      <c r="Z26" s="393"/>
      <c r="AA26" s="393"/>
      <c r="AB26" s="393"/>
      <c r="AC26" s="393"/>
      <c r="AD26" s="393"/>
      <c r="AE26" s="393"/>
    </row>
    <row r="27" spans="1:31" ht="13.5" thickBot="1">
      <c r="A27" s="114"/>
      <c r="B27" s="115"/>
      <c r="C27" s="116"/>
      <c r="D27" s="105"/>
      <c r="E27" s="106"/>
      <c r="F27" s="107"/>
      <c r="G27" s="117"/>
      <c r="H27" s="118"/>
      <c r="I27" s="119"/>
      <c r="J27" s="120"/>
      <c r="K27" s="121"/>
      <c r="L27" s="122"/>
      <c r="N27" s="264" t="s">
        <v>741</v>
      </c>
      <c r="O27" s="775" t="s">
        <v>10356</v>
      </c>
      <c r="P27" s="161" t="s">
        <v>742</v>
      </c>
      <c r="Q27" s="393">
        <v>865</v>
      </c>
      <c r="R27" s="393" t="s">
        <v>697</v>
      </c>
      <c r="S27" s="393">
        <v>1</v>
      </c>
      <c r="T27" s="393" t="s">
        <v>698</v>
      </c>
      <c r="U27" s="393"/>
      <c r="V27" s="393" t="s">
        <v>726</v>
      </c>
      <c r="W27" s="393"/>
      <c r="X27" s="393"/>
      <c r="Y27" s="393"/>
      <c r="Z27" s="393"/>
      <c r="AA27" s="393"/>
      <c r="AB27" s="393"/>
      <c r="AC27" s="397">
        <v>19400</v>
      </c>
      <c r="AD27" s="393">
        <v>12</v>
      </c>
      <c r="AE27" s="393"/>
    </row>
    <row r="28" spans="1:31" ht="13.5" thickBot="1">
      <c r="A28" s="114"/>
      <c r="B28" s="115"/>
      <c r="C28" s="116"/>
      <c r="D28" s="105"/>
      <c r="E28" s="106"/>
      <c r="F28" s="107"/>
      <c r="G28" s="117"/>
      <c r="H28" s="118"/>
      <c r="I28" s="119"/>
      <c r="J28" s="120"/>
      <c r="K28" s="121"/>
      <c r="L28" s="122"/>
      <c r="N28" s="264" t="s">
        <v>743</v>
      </c>
      <c r="O28" s="161" t="s">
        <v>744</v>
      </c>
      <c r="P28" s="161" t="s">
        <v>745</v>
      </c>
      <c r="Q28" s="393">
        <v>258</v>
      </c>
      <c r="R28" s="393" t="s">
        <v>697</v>
      </c>
      <c r="S28" s="393">
        <v>1</v>
      </c>
      <c r="T28" s="393" t="s">
        <v>698</v>
      </c>
      <c r="U28" s="393"/>
      <c r="V28" s="393" t="s">
        <v>726</v>
      </c>
      <c r="W28" s="393">
        <v>1</v>
      </c>
      <c r="X28" s="393">
        <v>0</v>
      </c>
      <c r="Y28" s="393"/>
      <c r="Z28" s="393" t="s">
        <v>727</v>
      </c>
      <c r="AA28" s="393"/>
      <c r="AB28" s="393"/>
      <c r="AC28" s="397">
        <v>4000</v>
      </c>
      <c r="AD28" s="393">
        <v>1.2</v>
      </c>
      <c r="AE28" s="393">
        <v>77.3</v>
      </c>
    </row>
    <row r="29" spans="1:31" ht="13.5" thickBot="1">
      <c r="A29" s="114"/>
      <c r="B29" s="115"/>
      <c r="C29" s="116"/>
      <c r="D29" s="105"/>
      <c r="E29" s="106"/>
      <c r="F29" s="107"/>
      <c r="G29" s="117"/>
      <c r="H29" s="118"/>
      <c r="I29" s="119"/>
      <c r="J29" s="120"/>
      <c r="K29" s="121"/>
      <c r="L29" s="122"/>
      <c r="N29" s="264" t="s">
        <v>746</v>
      </c>
      <c r="O29" s="161" t="s">
        <v>747</v>
      </c>
      <c r="P29" s="161" t="s">
        <v>748</v>
      </c>
      <c r="Q29" s="393">
        <v>105</v>
      </c>
      <c r="R29" s="393" t="s">
        <v>697</v>
      </c>
      <c r="S29" s="393">
        <v>1</v>
      </c>
      <c r="T29" s="393" t="s">
        <v>698</v>
      </c>
      <c r="U29" s="393"/>
      <c r="V29" s="393" t="s">
        <v>726</v>
      </c>
      <c r="W29" s="393">
        <v>1</v>
      </c>
      <c r="X29" s="393">
        <v>0</v>
      </c>
      <c r="Y29" s="393"/>
      <c r="Z29" s="393" t="s">
        <v>727</v>
      </c>
      <c r="AA29" s="393"/>
      <c r="AB29" s="393"/>
      <c r="AC29" s="397">
        <v>1000</v>
      </c>
      <c r="AD29" s="393"/>
      <c r="AE29" s="393"/>
    </row>
    <row r="30" spans="1:31" ht="13.5" thickBot="1">
      <c r="A30" s="114"/>
      <c r="B30" s="115"/>
      <c r="C30" s="116"/>
      <c r="D30" s="105"/>
      <c r="E30" s="106"/>
      <c r="F30" s="107"/>
      <c r="G30" s="117"/>
      <c r="H30" s="118"/>
      <c r="I30" s="119"/>
      <c r="J30" s="120"/>
      <c r="K30" s="121"/>
      <c r="L30" s="122"/>
      <c r="N30" s="396" t="s">
        <v>749</v>
      </c>
      <c r="O30" s="161"/>
      <c r="P30" s="161" t="s">
        <v>750</v>
      </c>
      <c r="Q30" s="393"/>
      <c r="R30" s="393"/>
      <c r="S30" s="393"/>
      <c r="T30" s="393"/>
      <c r="U30" s="393"/>
      <c r="V30" s="393"/>
      <c r="W30" s="393"/>
      <c r="X30" s="393"/>
      <c r="Y30" s="393"/>
      <c r="Z30" s="393"/>
      <c r="AA30" s="393"/>
      <c r="AB30" s="393"/>
      <c r="AC30" s="393"/>
      <c r="AD30" s="393"/>
      <c r="AE30" s="393"/>
    </row>
    <row r="31" spans="1:31" ht="13.5" thickBot="1">
      <c r="A31" s="114"/>
      <c r="B31" s="115"/>
      <c r="C31" s="116"/>
      <c r="D31" s="105"/>
      <c r="E31" s="106"/>
      <c r="F31" s="107"/>
      <c r="G31" s="117"/>
      <c r="H31" s="118"/>
      <c r="I31" s="119"/>
      <c r="J31" s="120"/>
      <c r="K31" s="121"/>
      <c r="L31" s="122"/>
      <c r="N31" s="264" t="s">
        <v>751</v>
      </c>
      <c r="O31" s="161" t="s">
        <v>752</v>
      </c>
      <c r="P31" s="161" t="s">
        <v>753</v>
      </c>
      <c r="Q31" s="393">
        <v>1070</v>
      </c>
      <c r="R31" s="393" t="s">
        <v>697</v>
      </c>
      <c r="S31" s="393">
        <v>1</v>
      </c>
      <c r="T31" s="393" t="s">
        <v>698</v>
      </c>
      <c r="U31" s="393"/>
      <c r="V31" s="393" t="s">
        <v>726</v>
      </c>
      <c r="W31" s="393">
        <v>1</v>
      </c>
      <c r="X31" s="393">
        <v>0</v>
      </c>
      <c r="Y31" s="393"/>
      <c r="Z31" s="393" t="s">
        <v>754</v>
      </c>
      <c r="AA31" s="393"/>
      <c r="AB31" s="393"/>
      <c r="AC31" s="393">
        <v>540</v>
      </c>
      <c r="AD31" s="393">
        <v>5.4</v>
      </c>
      <c r="AE31" s="393">
        <v>56</v>
      </c>
    </row>
    <row r="32" spans="1:31" ht="13.5" thickBot="1">
      <c r="A32" s="114"/>
      <c r="B32" s="115"/>
      <c r="C32" s="116"/>
      <c r="D32" s="105"/>
      <c r="E32" s="106"/>
      <c r="F32" s="107"/>
      <c r="G32" s="117"/>
      <c r="H32" s="118"/>
      <c r="I32" s="119"/>
      <c r="J32" s="120"/>
      <c r="K32" s="121"/>
      <c r="L32" s="122"/>
      <c r="N32" s="264" t="s">
        <v>755</v>
      </c>
      <c r="O32" s="161" t="s">
        <v>799</v>
      </c>
      <c r="P32" s="161" t="s">
        <v>756</v>
      </c>
      <c r="Q32" s="393">
        <v>1.5</v>
      </c>
      <c r="R32" s="393" t="s">
        <v>697</v>
      </c>
      <c r="S32" s="393">
        <v>1</v>
      </c>
      <c r="T32" s="393" t="s">
        <v>698</v>
      </c>
      <c r="U32" s="393"/>
      <c r="V32" s="393" t="s">
        <v>699</v>
      </c>
      <c r="W32" s="393"/>
      <c r="X32" s="393"/>
      <c r="Y32" s="393"/>
      <c r="Z32" s="393"/>
      <c r="AA32" s="393"/>
      <c r="AB32" s="393"/>
      <c r="AC32" s="393">
        <v>500</v>
      </c>
      <c r="AD32" s="393">
        <v>24.6</v>
      </c>
      <c r="AE32" s="393"/>
    </row>
    <row r="33" spans="1:31" ht="13.5" thickBot="1">
      <c r="A33" s="114"/>
      <c r="B33" s="115"/>
      <c r="C33" s="116"/>
      <c r="D33" s="105"/>
      <c r="E33" s="106"/>
      <c r="F33" s="107"/>
      <c r="G33" s="117"/>
      <c r="H33" s="118"/>
      <c r="I33" s="119"/>
      <c r="J33" s="120"/>
      <c r="K33" s="121"/>
      <c r="L33" s="122"/>
      <c r="N33" s="264" t="s">
        <v>757</v>
      </c>
      <c r="O33" s="775" t="s">
        <v>10358</v>
      </c>
      <c r="P33" s="1067" t="s">
        <v>9095</v>
      </c>
      <c r="Q33" s="393">
        <v>710</v>
      </c>
      <c r="R33" s="393" t="s">
        <v>697</v>
      </c>
      <c r="S33" s="393">
        <v>1</v>
      </c>
      <c r="T33" s="393"/>
      <c r="U33" s="393"/>
      <c r="V33" s="393" t="s">
        <v>726</v>
      </c>
      <c r="W33" s="393"/>
      <c r="X33" s="393"/>
      <c r="Y33" s="393"/>
      <c r="Z33" s="393"/>
      <c r="AA33" s="393"/>
      <c r="AB33" s="393"/>
      <c r="AC33" s="393"/>
      <c r="AD33" s="393">
        <v>1.3</v>
      </c>
      <c r="AE33" s="393"/>
    </row>
    <row r="34" spans="1:31" ht="13.5" thickBot="1">
      <c r="A34" s="114"/>
      <c r="B34" s="115"/>
      <c r="C34" s="116"/>
      <c r="D34" s="105"/>
      <c r="E34" s="106"/>
      <c r="F34" s="107"/>
      <c r="G34" s="117"/>
      <c r="H34" s="118"/>
      <c r="I34" s="119"/>
      <c r="J34" s="120"/>
      <c r="K34" s="121"/>
      <c r="L34" s="122"/>
      <c r="M34" s="391" t="s">
        <v>759</v>
      </c>
      <c r="N34" s="406"/>
      <c r="O34" s="161"/>
      <c r="P34" s="1067"/>
      <c r="Q34" s="393">
        <v>710</v>
      </c>
      <c r="R34" s="393"/>
      <c r="S34" s="393"/>
      <c r="T34" s="393"/>
      <c r="U34" s="393"/>
      <c r="V34" s="393"/>
      <c r="W34" s="393"/>
      <c r="X34" s="393"/>
      <c r="Y34" s="393"/>
      <c r="Z34" s="393"/>
      <c r="AA34" s="393"/>
      <c r="AB34" s="393"/>
      <c r="AC34" s="393"/>
      <c r="AD34" s="393">
        <v>3.3</v>
      </c>
      <c r="AE34" s="393"/>
    </row>
    <row r="35" spans="1:31" ht="13.5" thickBot="1">
      <c r="A35" s="114"/>
      <c r="B35" s="115"/>
      <c r="C35" s="116"/>
      <c r="D35" s="105"/>
      <c r="E35" s="106"/>
      <c r="F35" s="107"/>
      <c r="G35" s="117"/>
      <c r="H35" s="118"/>
      <c r="I35" s="119"/>
      <c r="J35" s="120"/>
      <c r="K35" s="121"/>
      <c r="L35" s="122"/>
      <c r="N35" s="398" t="s">
        <v>760</v>
      </c>
      <c r="O35" s="161"/>
      <c r="P35" s="1067"/>
      <c r="Q35" s="393">
        <v>22.4</v>
      </c>
      <c r="R35" s="393"/>
      <c r="S35" s="393"/>
      <c r="T35" s="393"/>
      <c r="U35" s="393"/>
      <c r="V35" s="393"/>
      <c r="W35" s="393"/>
      <c r="X35" s="393"/>
      <c r="Y35" s="393"/>
      <c r="Z35" s="393"/>
      <c r="AA35" s="393"/>
      <c r="AB35" s="393"/>
      <c r="AC35" s="393"/>
      <c r="AD35" s="393">
        <v>7</v>
      </c>
      <c r="AE35" s="393"/>
    </row>
    <row r="36" spans="1:31" ht="13.5" thickBot="1">
      <c r="A36" s="114"/>
      <c r="B36" s="115"/>
      <c r="C36" s="116"/>
      <c r="D36" s="105"/>
      <c r="E36" s="106"/>
      <c r="F36" s="107"/>
      <c r="G36" s="117"/>
      <c r="H36" s="118"/>
      <c r="I36" s="119"/>
      <c r="J36" s="120"/>
      <c r="K36" s="121"/>
      <c r="L36" s="122"/>
      <c r="N36" s="264" t="s">
        <v>761</v>
      </c>
      <c r="O36" s="264" t="s">
        <v>762</v>
      </c>
      <c r="P36" s="1067"/>
      <c r="Q36" s="393">
        <v>1550</v>
      </c>
      <c r="R36" s="393" t="s">
        <v>697</v>
      </c>
      <c r="S36" s="393">
        <v>1</v>
      </c>
      <c r="T36" s="399" t="s">
        <v>763</v>
      </c>
      <c r="U36" s="393"/>
      <c r="V36" s="393" t="s">
        <v>726</v>
      </c>
      <c r="W36" s="393">
        <v>1</v>
      </c>
      <c r="X36" s="393">
        <v>1</v>
      </c>
      <c r="Y36" s="393">
        <f>8*8/12/12</f>
        <v>0.44444444444444442</v>
      </c>
      <c r="Z36" s="393" t="s">
        <v>727</v>
      </c>
      <c r="AA36" s="393"/>
      <c r="AB36" s="393"/>
      <c r="AC36" s="393"/>
      <c r="AD36" s="393">
        <v>1.6</v>
      </c>
      <c r="AE36" s="393"/>
    </row>
    <row r="37" spans="1:31" ht="13.5" thickBot="1">
      <c r="A37" s="114"/>
      <c r="B37" s="115"/>
      <c r="C37" s="116"/>
      <c r="D37" s="105"/>
      <c r="E37" s="106"/>
      <c r="F37" s="107"/>
      <c r="G37" s="117"/>
      <c r="H37" s="118"/>
      <c r="I37" s="119"/>
      <c r="J37" s="120"/>
      <c r="K37" s="121"/>
      <c r="L37" s="122"/>
      <c r="N37" s="264" t="s">
        <v>764</v>
      </c>
      <c r="O37" s="777" t="s">
        <v>7763</v>
      </c>
      <c r="P37" s="1067"/>
      <c r="Q37" s="393">
        <v>1100</v>
      </c>
      <c r="R37" s="393" t="s">
        <v>697</v>
      </c>
      <c r="S37" s="393">
        <v>1</v>
      </c>
      <c r="T37" s="393"/>
      <c r="U37" s="393"/>
      <c r="V37" s="393" t="s">
        <v>726</v>
      </c>
      <c r="W37" s="393"/>
      <c r="X37" s="393"/>
      <c r="Y37" s="393"/>
      <c r="Z37" s="393"/>
      <c r="AA37" s="393"/>
      <c r="AB37" s="393"/>
      <c r="AC37" s="393"/>
      <c r="AD37" s="393">
        <v>2.4</v>
      </c>
      <c r="AE37" s="393"/>
    </row>
    <row r="38" spans="1:31" ht="13.5" customHeight="1" thickBot="1">
      <c r="A38" s="114"/>
      <c r="B38" s="115"/>
      <c r="C38" s="116"/>
      <c r="D38" s="105"/>
      <c r="E38" s="106"/>
      <c r="F38" s="107"/>
      <c r="G38" s="117"/>
      <c r="H38" s="118"/>
      <c r="I38" s="119"/>
      <c r="J38" s="120"/>
      <c r="K38" s="121"/>
      <c r="L38" s="122"/>
      <c r="N38" s="264" t="s">
        <v>765</v>
      </c>
      <c r="O38" s="161" t="s">
        <v>766</v>
      </c>
      <c r="P38" s="1067"/>
      <c r="Q38" s="393">
        <v>1100</v>
      </c>
      <c r="R38" s="393" t="s">
        <v>697</v>
      </c>
      <c r="S38" s="393">
        <v>1</v>
      </c>
      <c r="T38" s="399" t="s">
        <v>763</v>
      </c>
      <c r="U38" s="393"/>
      <c r="V38" s="393" t="s">
        <v>726</v>
      </c>
      <c r="W38" s="393">
        <v>1</v>
      </c>
      <c r="X38" s="393">
        <v>1</v>
      </c>
      <c r="Y38" s="393">
        <f>10/10</f>
        <v>1</v>
      </c>
      <c r="Z38" s="393" t="s">
        <v>727</v>
      </c>
      <c r="AA38" s="393"/>
      <c r="AB38" s="393"/>
      <c r="AC38" s="393"/>
      <c r="AD38" s="393">
        <v>1.1000000000000001</v>
      </c>
      <c r="AE38" s="393"/>
    </row>
    <row r="39" spans="1:31" ht="13.5" thickBot="1">
      <c r="A39" s="114"/>
      <c r="B39" s="115"/>
      <c r="C39" s="116"/>
      <c r="D39" s="105"/>
      <c r="E39" s="106"/>
      <c r="F39" s="107"/>
      <c r="G39" s="117"/>
      <c r="H39" s="118"/>
      <c r="I39" s="119"/>
      <c r="J39" s="120"/>
      <c r="K39" s="121"/>
      <c r="L39" s="122"/>
      <c r="N39" s="264" t="s">
        <v>767</v>
      </c>
      <c r="O39" s="161"/>
      <c r="P39" s="1067"/>
      <c r="Q39" s="393">
        <v>400</v>
      </c>
      <c r="R39" s="393"/>
      <c r="S39" s="393"/>
      <c r="T39" s="393"/>
      <c r="U39" s="393"/>
      <c r="V39" s="393"/>
      <c r="W39" s="393"/>
      <c r="X39" s="393"/>
      <c r="Y39" s="393"/>
      <c r="Z39" s="393"/>
      <c r="AA39" s="393"/>
      <c r="AB39" s="393"/>
      <c r="AC39" s="393"/>
      <c r="AD39" s="393">
        <v>0.7</v>
      </c>
      <c r="AE39" s="393"/>
    </row>
    <row r="40" spans="1:31" ht="13.5" thickBot="1">
      <c r="A40" s="114"/>
      <c r="B40" s="115"/>
      <c r="C40" s="116"/>
      <c r="D40" s="105"/>
      <c r="E40" s="106"/>
      <c r="F40" s="107"/>
      <c r="G40" s="117"/>
      <c r="H40" s="118"/>
      <c r="I40" s="119"/>
      <c r="J40" s="120"/>
      <c r="K40" s="121"/>
      <c r="L40" s="122"/>
      <c r="N40" s="264" t="s">
        <v>768</v>
      </c>
      <c r="O40" s="161" t="s">
        <v>769</v>
      </c>
      <c r="P40" s="1067"/>
      <c r="Q40" s="393"/>
      <c r="R40" s="400"/>
      <c r="S40" s="393"/>
      <c r="T40" s="393"/>
      <c r="U40" s="393"/>
      <c r="V40" s="393"/>
      <c r="W40" s="393">
        <v>1</v>
      </c>
      <c r="X40" s="393">
        <v>1</v>
      </c>
      <c r="Y40" s="393">
        <f>6*6/4/4</f>
        <v>2.25</v>
      </c>
      <c r="Z40" s="393" t="s">
        <v>770</v>
      </c>
      <c r="AA40" s="393"/>
      <c r="AB40" s="393"/>
      <c r="AC40" s="393"/>
      <c r="AD40" s="393"/>
      <c r="AE40" s="393"/>
    </row>
    <row r="41" spans="1:31" ht="13.5" thickBot="1">
      <c r="A41" s="114"/>
      <c r="B41" s="115"/>
      <c r="C41" s="116"/>
      <c r="D41" s="105"/>
      <c r="E41" s="106"/>
      <c r="F41" s="107"/>
      <c r="G41" s="117"/>
      <c r="H41" s="118"/>
      <c r="I41" s="119"/>
      <c r="J41" s="120"/>
      <c r="K41" s="121"/>
      <c r="L41" s="122"/>
      <c r="N41" s="264" t="s">
        <v>768</v>
      </c>
      <c r="O41" s="161" t="s">
        <v>771</v>
      </c>
      <c r="P41" s="1067"/>
      <c r="Q41" s="393">
        <v>190</v>
      </c>
      <c r="R41" s="395" t="s">
        <v>10380</v>
      </c>
      <c r="S41" s="393">
        <v>1</v>
      </c>
      <c r="T41" s="393"/>
      <c r="U41" s="393"/>
      <c r="V41" s="393" t="s">
        <v>726</v>
      </c>
      <c r="W41" s="393">
        <v>0</v>
      </c>
      <c r="X41" s="393">
        <v>0</v>
      </c>
      <c r="Y41" s="393"/>
      <c r="Z41" s="393" t="s">
        <v>770</v>
      </c>
      <c r="AA41" s="393"/>
      <c r="AB41" s="393"/>
      <c r="AC41" s="393"/>
      <c r="AD41" s="393">
        <v>0.7</v>
      </c>
      <c r="AE41" s="393"/>
    </row>
    <row r="42" spans="1:31" ht="13.5" thickBot="1">
      <c r="A42" s="114"/>
      <c r="B42" s="115"/>
      <c r="C42" s="116"/>
      <c r="D42" s="105"/>
      <c r="E42" s="106"/>
      <c r="F42" s="107"/>
      <c r="G42" s="117"/>
      <c r="H42" s="118"/>
      <c r="I42" s="119"/>
      <c r="J42" s="120"/>
      <c r="K42" s="121"/>
      <c r="L42" s="122"/>
      <c r="N42" s="264" t="s">
        <v>772</v>
      </c>
      <c r="O42" s="161"/>
      <c r="P42" s="1067"/>
      <c r="Q42" s="393">
        <v>109</v>
      </c>
      <c r="R42" s="393"/>
      <c r="S42" s="393"/>
      <c r="T42" s="393"/>
      <c r="U42" s="393"/>
      <c r="V42" s="393"/>
      <c r="W42" s="393"/>
      <c r="X42" s="393"/>
      <c r="Y42" s="393"/>
      <c r="Z42" s="393"/>
      <c r="AA42" s="393"/>
      <c r="AB42" s="393"/>
      <c r="AC42" s="393"/>
      <c r="AD42" s="393">
        <v>0.7</v>
      </c>
      <c r="AE42" s="393"/>
    </row>
    <row r="43" spans="1:31" ht="13.5" thickBot="1">
      <c r="A43" s="114"/>
      <c r="B43" s="115"/>
      <c r="C43" s="116"/>
      <c r="D43" s="105"/>
      <c r="E43" s="106"/>
      <c r="F43" s="107"/>
      <c r="G43" s="117"/>
      <c r="H43" s="118"/>
      <c r="I43" s="119"/>
      <c r="J43" s="120"/>
      <c r="K43" s="121"/>
      <c r="L43" s="122"/>
      <c r="N43" s="398" t="s">
        <v>773</v>
      </c>
      <c r="O43" s="161"/>
      <c r="P43" s="1067"/>
      <c r="Q43" s="393">
        <v>17</v>
      </c>
      <c r="R43" s="393"/>
      <c r="S43" s="393"/>
      <c r="T43" s="393"/>
      <c r="U43" s="393"/>
      <c r="V43" s="393"/>
      <c r="W43" s="393"/>
      <c r="X43" s="393"/>
      <c r="Y43" s="393"/>
      <c r="Z43" s="393"/>
      <c r="AA43" s="393"/>
      <c r="AB43" s="393"/>
      <c r="AC43" s="393"/>
      <c r="AD43" s="393">
        <v>1.1000000000000001</v>
      </c>
      <c r="AE43" s="393"/>
    </row>
    <row r="44" spans="1:31" ht="13.5" thickBot="1">
      <c r="A44" s="114"/>
      <c r="B44" s="115"/>
      <c r="C44" s="116"/>
      <c r="D44" s="105"/>
      <c r="E44" s="106"/>
      <c r="F44" s="107"/>
      <c r="G44" s="117"/>
      <c r="H44" s="118"/>
      <c r="I44" s="119"/>
      <c r="J44" s="120"/>
      <c r="K44" s="121"/>
      <c r="L44" s="122"/>
      <c r="N44" s="264" t="s">
        <v>774</v>
      </c>
      <c r="O44" s="777" t="s">
        <v>774</v>
      </c>
      <c r="P44" s="161" t="s">
        <v>775</v>
      </c>
      <c r="Q44" s="393">
        <v>1070</v>
      </c>
      <c r="R44" s="393" t="s">
        <v>697</v>
      </c>
      <c r="S44" s="393">
        <v>1</v>
      </c>
      <c r="T44" s="393"/>
      <c r="U44" s="393"/>
      <c r="V44" s="393" t="s">
        <v>699</v>
      </c>
      <c r="W44" s="393"/>
      <c r="X44" s="393"/>
      <c r="Y44" s="393"/>
      <c r="Z44" s="393"/>
      <c r="AA44" s="393"/>
      <c r="AB44" s="393"/>
      <c r="AC44" s="393">
        <v>540</v>
      </c>
      <c r="AD44" s="393">
        <v>2.61</v>
      </c>
      <c r="AE44" s="393"/>
    </row>
    <row r="45" spans="1:31" ht="13.5" thickBot="1">
      <c r="A45" s="114"/>
      <c r="B45" s="115"/>
      <c r="C45" s="116"/>
      <c r="D45" s="105"/>
      <c r="E45" s="106"/>
      <c r="F45" s="107"/>
      <c r="G45" s="117"/>
      <c r="H45" s="118"/>
      <c r="I45" s="119"/>
      <c r="J45" s="120"/>
      <c r="K45" s="121"/>
      <c r="L45" s="122"/>
      <c r="N45" s="396" t="s">
        <v>776</v>
      </c>
      <c r="O45" s="161" t="s">
        <v>9134</v>
      </c>
      <c r="P45" s="161" t="s">
        <v>777</v>
      </c>
      <c r="Q45" s="393"/>
      <c r="R45" s="393"/>
      <c r="S45" s="393"/>
      <c r="T45" s="393"/>
      <c r="U45" s="393"/>
      <c r="V45" s="393"/>
      <c r="W45" s="393"/>
      <c r="X45" s="393"/>
      <c r="Y45" s="393"/>
      <c r="Z45" s="393"/>
      <c r="AA45" s="393"/>
      <c r="AB45" s="393"/>
      <c r="AC45" s="393"/>
      <c r="AD45" s="393"/>
      <c r="AE45" s="393"/>
    </row>
    <row r="46" spans="1:31" ht="13.5" thickBot="1">
      <c r="A46" s="114"/>
      <c r="B46" s="115"/>
      <c r="C46" s="116"/>
      <c r="D46" s="105"/>
      <c r="E46" s="106"/>
      <c r="F46" s="107"/>
      <c r="G46" s="117"/>
      <c r="H46" s="118"/>
      <c r="I46" s="119"/>
      <c r="J46" s="120"/>
      <c r="K46" s="121"/>
      <c r="L46" s="122"/>
      <c r="N46" s="396" t="s">
        <v>778</v>
      </c>
      <c r="O46" s="161" t="s">
        <v>778</v>
      </c>
      <c r="P46" s="161" t="s">
        <v>779</v>
      </c>
      <c r="Q46" s="393"/>
      <c r="R46" s="393"/>
      <c r="S46" s="393"/>
      <c r="T46" s="393"/>
      <c r="U46" s="393"/>
      <c r="V46" s="393" t="s">
        <v>699</v>
      </c>
      <c r="W46" s="393"/>
      <c r="X46" s="393"/>
      <c r="Y46" s="393"/>
      <c r="Z46" s="393"/>
      <c r="AA46" s="393"/>
      <c r="AB46" s="393"/>
      <c r="AC46" s="393">
        <v>145200</v>
      </c>
      <c r="AD46" s="393">
        <v>3.18</v>
      </c>
      <c r="AE46" s="393"/>
    </row>
    <row r="47" spans="1:31" ht="13.5" thickBot="1">
      <c r="A47" s="114"/>
      <c r="B47" s="115"/>
      <c r="C47" s="116"/>
      <c r="D47" s="105"/>
      <c r="E47" s="106"/>
      <c r="F47" s="107"/>
      <c r="G47" s="117"/>
      <c r="H47" s="118"/>
      <c r="I47" s="119"/>
      <c r="J47" s="120"/>
      <c r="K47" s="121"/>
      <c r="L47" s="122"/>
      <c r="N47" s="264"/>
      <c r="O47" s="264" t="s">
        <v>780</v>
      </c>
      <c r="P47" s="161" t="s">
        <v>781</v>
      </c>
      <c r="Q47" s="393">
        <v>190</v>
      </c>
      <c r="R47" s="393" t="s">
        <v>697</v>
      </c>
      <c r="S47" s="393">
        <v>1</v>
      </c>
      <c r="T47" s="399" t="s">
        <v>763</v>
      </c>
      <c r="U47" s="393">
        <v>0</v>
      </c>
      <c r="V47" s="393" t="s">
        <v>699</v>
      </c>
      <c r="W47" s="393">
        <v>1</v>
      </c>
      <c r="X47" s="393">
        <v>1</v>
      </c>
      <c r="Y47" s="393">
        <f t="shared" ref="Y47:Y54" si="0">6*6/4/4</f>
        <v>2.25</v>
      </c>
      <c r="Z47" s="393" t="s">
        <v>782</v>
      </c>
      <c r="AA47" s="393"/>
      <c r="AB47" s="393"/>
      <c r="AC47" s="393"/>
      <c r="AD47" s="393"/>
      <c r="AE47" s="393"/>
    </row>
    <row r="48" spans="1:31" ht="13.5" thickBot="1">
      <c r="A48" s="114"/>
      <c r="B48" s="115"/>
      <c r="C48" s="116"/>
      <c r="D48" s="105"/>
      <c r="E48" s="106"/>
      <c r="F48" s="107"/>
      <c r="G48" s="117"/>
      <c r="H48" s="118"/>
      <c r="I48" s="119"/>
      <c r="J48" s="120"/>
      <c r="K48" s="121"/>
      <c r="L48" s="122"/>
      <c r="N48" s="264"/>
      <c r="O48" s="264" t="s">
        <v>783</v>
      </c>
      <c r="P48" s="161" t="s">
        <v>781</v>
      </c>
      <c r="Q48" s="393">
        <v>190</v>
      </c>
      <c r="R48" s="393" t="s">
        <v>697</v>
      </c>
      <c r="S48" s="393">
        <v>1</v>
      </c>
      <c r="T48" s="399" t="s">
        <v>763</v>
      </c>
      <c r="U48" s="393"/>
      <c r="V48" s="393" t="s">
        <v>699</v>
      </c>
      <c r="W48" s="393">
        <v>1</v>
      </c>
      <c r="X48" s="393">
        <v>1</v>
      </c>
      <c r="Y48" s="393">
        <f t="shared" si="0"/>
        <v>2.25</v>
      </c>
      <c r="Z48" s="393" t="s">
        <v>782</v>
      </c>
      <c r="AA48" s="393"/>
      <c r="AB48" s="393"/>
      <c r="AC48" s="393"/>
      <c r="AD48" s="393"/>
      <c r="AE48" s="393"/>
    </row>
    <row r="49" spans="1:31" ht="13.5" thickBot="1">
      <c r="A49" s="114"/>
      <c r="B49" s="115"/>
      <c r="C49" s="116"/>
      <c r="D49" s="105"/>
      <c r="E49" s="106"/>
      <c r="F49" s="107"/>
      <c r="G49" s="117"/>
      <c r="H49" s="118"/>
      <c r="I49" s="119"/>
      <c r="J49" s="120"/>
      <c r="K49" s="121"/>
      <c r="L49" s="122"/>
      <c r="N49" s="264"/>
      <c r="O49" s="264" t="s">
        <v>784</v>
      </c>
      <c r="P49" s="161" t="s">
        <v>781</v>
      </c>
      <c r="Q49" s="393">
        <v>190</v>
      </c>
      <c r="R49" s="393" t="s">
        <v>697</v>
      </c>
      <c r="S49" s="393">
        <v>1</v>
      </c>
      <c r="T49" s="399" t="s">
        <v>763</v>
      </c>
      <c r="U49" s="393"/>
      <c r="V49" s="393" t="s">
        <v>699</v>
      </c>
      <c r="W49" s="393">
        <v>1</v>
      </c>
      <c r="X49" s="393">
        <v>1</v>
      </c>
      <c r="Y49" s="393">
        <f t="shared" si="0"/>
        <v>2.25</v>
      </c>
      <c r="Z49" s="393" t="s">
        <v>782</v>
      </c>
      <c r="AA49" s="393"/>
      <c r="AB49" s="393"/>
      <c r="AC49" s="393"/>
      <c r="AD49" s="393"/>
      <c r="AE49" s="393"/>
    </row>
    <row r="50" spans="1:31" ht="13.5" thickBot="1">
      <c r="A50" s="114"/>
      <c r="B50" s="115"/>
      <c r="C50" s="116"/>
      <c r="D50" s="105"/>
      <c r="E50" s="106"/>
      <c r="F50" s="107"/>
      <c r="G50" s="117"/>
      <c r="H50" s="118"/>
      <c r="I50" s="119"/>
      <c r="J50" s="120"/>
      <c r="K50" s="121"/>
      <c r="L50" s="122"/>
      <c r="N50" s="264"/>
      <c r="O50" s="264" t="s">
        <v>785</v>
      </c>
      <c r="P50" s="161" t="s">
        <v>781</v>
      </c>
      <c r="Q50" s="393">
        <v>190</v>
      </c>
      <c r="R50" s="393" t="s">
        <v>697</v>
      </c>
      <c r="S50" s="393">
        <v>1</v>
      </c>
      <c r="T50" s="399" t="s">
        <v>763</v>
      </c>
      <c r="U50" s="393"/>
      <c r="V50" s="393" t="s">
        <v>699</v>
      </c>
      <c r="W50" s="393">
        <v>1</v>
      </c>
      <c r="X50" s="393">
        <v>1</v>
      </c>
      <c r="Y50" s="393">
        <f t="shared" si="0"/>
        <v>2.25</v>
      </c>
      <c r="Z50" s="393" t="s">
        <v>782</v>
      </c>
      <c r="AA50" s="393"/>
      <c r="AB50" s="393"/>
      <c r="AC50" s="393"/>
      <c r="AD50" s="393"/>
      <c r="AE50" s="393"/>
    </row>
    <row r="51" spans="1:31" ht="13.5" thickBot="1">
      <c r="A51" s="114"/>
      <c r="B51" s="115"/>
      <c r="C51" s="116"/>
      <c r="D51" s="105"/>
      <c r="E51" s="106"/>
      <c r="F51" s="107"/>
      <c r="G51" s="117"/>
      <c r="H51" s="118"/>
      <c r="I51" s="119"/>
      <c r="J51" s="120"/>
      <c r="K51" s="121"/>
      <c r="L51" s="122"/>
      <c r="N51" s="264"/>
      <c r="O51" s="264" t="s">
        <v>786</v>
      </c>
      <c r="P51" s="161" t="s">
        <v>781</v>
      </c>
      <c r="Q51" s="393">
        <v>190</v>
      </c>
      <c r="R51" s="393" t="s">
        <v>697</v>
      </c>
      <c r="S51" s="393">
        <v>1</v>
      </c>
      <c r="T51" s="399" t="s">
        <v>763</v>
      </c>
      <c r="U51" s="393"/>
      <c r="V51" s="393" t="s">
        <v>699</v>
      </c>
      <c r="W51" s="393">
        <v>1</v>
      </c>
      <c r="X51" s="393">
        <v>1</v>
      </c>
      <c r="Y51" s="393">
        <f t="shared" si="0"/>
        <v>2.25</v>
      </c>
      <c r="Z51" s="393" t="s">
        <v>782</v>
      </c>
      <c r="AA51" s="393"/>
      <c r="AB51" s="393"/>
      <c r="AC51" s="393"/>
      <c r="AD51" s="393"/>
      <c r="AE51" s="393"/>
    </row>
    <row r="52" spans="1:31" ht="13.5" thickBot="1">
      <c r="A52" s="114"/>
      <c r="B52" s="115"/>
      <c r="C52" s="116"/>
      <c r="D52" s="105"/>
      <c r="E52" s="106"/>
      <c r="F52" s="107"/>
      <c r="G52" s="117"/>
      <c r="H52" s="118"/>
      <c r="I52" s="119"/>
      <c r="J52" s="120"/>
      <c r="K52" s="121"/>
      <c r="L52" s="122"/>
      <c r="N52" s="264"/>
      <c r="O52" s="264" t="s">
        <v>787</v>
      </c>
      <c r="P52" s="161" t="s">
        <v>781</v>
      </c>
      <c r="Q52" s="393">
        <v>190</v>
      </c>
      <c r="R52" s="393" t="s">
        <v>697</v>
      </c>
      <c r="S52" s="393">
        <v>1</v>
      </c>
      <c r="T52" s="399" t="s">
        <v>763</v>
      </c>
      <c r="U52" s="393"/>
      <c r="V52" s="393" t="s">
        <v>699</v>
      </c>
      <c r="W52" s="393">
        <v>1</v>
      </c>
      <c r="X52" s="393">
        <v>1</v>
      </c>
      <c r="Y52" s="393">
        <f t="shared" si="0"/>
        <v>2.25</v>
      </c>
      <c r="Z52" s="393" t="s">
        <v>782</v>
      </c>
      <c r="AA52" s="393"/>
      <c r="AB52" s="393"/>
      <c r="AC52" s="393"/>
      <c r="AD52" s="393"/>
      <c r="AE52" s="393"/>
    </row>
    <row r="53" spans="1:31" ht="13.5" thickBot="1">
      <c r="A53" s="114"/>
      <c r="B53" s="115"/>
      <c r="C53" s="116"/>
      <c r="D53" s="105"/>
      <c r="E53" s="106"/>
      <c r="F53" s="107"/>
      <c r="G53" s="117"/>
      <c r="H53" s="118"/>
      <c r="I53" s="119"/>
      <c r="J53" s="120"/>
      <c r="K53" s="121"/>
      <c r="L53" s="122"/>
      <c r="N53" s="264"/>
      <c r="O53" s="264" t="s">
        <v>788</v>
      </c>
      <c r="P53" s="161" t="s">
        <v>781</v>
      </c>
      <c r="Q53" s="393">
        <v>190</v>
      </c>
      <c r="R53" s="393" t="s">
        <v>697</v>
      </c>
      <c r="S53" s="393">
        <v>1</v>
      </c>
      <c r="T53" s="399" t="s">
        <v>763</v>
      </c>
      <c r="U53" s="393"/>
      <c r="V53" s="393" t="s">
        <v>699</v>
      </c>
      <c r="W53" s="393">
        <v>1</v>
      </c>
      <c r="X53" s="393">
        <v>1</v>
      </c>
      <c r="Y53" s="393">
        <f t="shared" si="0"/>
        <v>2.25</v>
      </c>
      <c r="Z53" s="393" t="s">
        <v>782</v>
      </c>
      <c r="AA53" s="393"/>
      <c r="AB53" s="393"/>
      <c r="AC53" s="393"/>
      <c r="AD53" s="393"/>
      <c r="AE53" s="393"/>
    </row>
    <row r="54" spans="1:31" ht="13.5" thickBot="1">
      <c r="A54" s="114"/>
      <c r="B54" s="115"/>
      <c r="C54" s="116"/>
      <c r="D54" s="105"/>
      <c r="E54" s="106"/>
      <c r="F54" s="107"/>
      <c r="G54" s="117"/>
      <c r="H54" s="118"/>
      <c r="I54" s="119"/>
      <c r="J54" s="120"/>
      <c r="K54" s="121"/>
      <c r="L54" s="122"/>
      <c r="N54" s="264"/>
      <c r="O54" s="264" t="s">
        <v>789</v>
      </c>
      <c r="P54" s="161" t="s">
        <v>781</v>
      </c>
      <c r="Q54" s="393">
        <v>190</v>
      </c>
      <c r="R54" s="393" t="s">
        <v>697</v>
      </c>
      <c r="S54" s="393">
        <v>1</v>
      </c>
      <c r="T54" s="399" t="s">
        <v>763</v>
      </c>
      <c r="U54" s="393"/>
      <c r="V54" s="393" t="s">
        <v>699</v>
      </c>
      <c r="W54" s="393">
        <v>1</v>
      </c>
      <c r="X54" s="393">
        <v>1</v>
      </c>
      <c r="Y54" s="393">
        <f t="shared" si="0"/>
        <v>2.25</v>
      </c>
      <c r="Z54" s="393" t="s">
        <v>782</v>
      </c>
      <c r="AA54" s="393"/>
      <c r="AB54" s="393"/>
      <c r="AC54" s="393"/>
      <c r="AD54" s="393"/>
      <c r="AE54" s="393"/>
    </row>
    <row r="55" spans="1:31" ht="13.5" thickBot="1">
      <c r="A55" s="114"/>
      <c r="B55" s="115"/>
      <c r="C55" s="116"/>
      <c r="D55" s="105"/>
      <c r="E55" s="106"/>
      <c r="F55" s="107"/>
      <c r="G55" s="117"/>
      <c r="H55" s="118"/>
      <c r="I55" s="119"/>
      <c r="J55" s="120"/>
      <c r="K55" s="121"/>
      <c r="L55" s="122"/>
      <c r="N55" s="264"/>
      <c r="O55" s="264" t="s">
        <v>790</v>
      </c>
      <c r="P55" s="161" t="s">
        <v>791</v>
      </c>
      <c r="Q55" s="393">
        <v>300</v>
      </c>
      <c r="R55" s="393" t="s">
        <v>723</v>
      </c>
      <c r="S55" s="393">
        <v>0</v>
      </c>
      <c r="T55" s="393" t="s">
        <v>698</v>
      </c>
      <c r="U55" s="393"/>
      <c r="V55" s="393" t="s">
        <v>699</v>
      </c>
      <c r="W55" s="393">
        <v>1</v>
      </c>
      <c r="X55" s="393">
        <v>1</v>
      </c>
      <c r="Y55" s="393">
        <f>6/6</f>
        <v>1</v>
      </c>
      <c r="Z55" s="393" t="s">
        <v>770</v>
      </c>
      <c r="AA55" s="393"/>
      <c r="AB55" s="393"/>
      <c r="AC55" s="393"/>
      <c r="AD55" s="393"/>
      <c r="AE55" s="393"/>
    </row>
    <row r="56" spans="1:31" ht="13.5" thickBot="1">
      <c r="A56" s="114"/>
      <c r="B56" s="115"/>
      <c r="C56" s="116"/>
      <c r="D56" s="105"/>
      <c r="E56" s="106"/>
      <c r="F56" s="107"/>
      <c r="G56" s="117"/>
      <c r="H56" s="118"/>
      <c r="I56" s="119"/>
      <c r="J56" s="120"/>
      <c r="K56" s="121"/>
      <c r="L56" s="122"/>
      <c r="N56" s="264"/>
      <c r="O56" s="264" t="s">
        <v>792</v>
      </c>
      <c r="P56" s="161" t="s">
        <v>793</v>
      </c>
      <c r="Q56" s="393">
        <v>1750</v>
      </c>
      <c r="R56" s="393" t="s">
        <v>697</v>
      </c>
      <c r="S56" s="393">
        <v>1</v>
      </c>
      <c r="T56" s="393" t="s">
        <v>698</v>
      </c>
      <c r="U56" s="393"/>
      <c r="V56" s="393" t="s">
        <v>726</v>
      </c>
      <c r="W56" s="393">
        <v>0</v>
      </c>
      <c r="X56" s="393">
        <v>0</v>
      </c>
      <c r="Y56" s="393"/>
      <c r="Z56" s="393" t="s">
        <v>770</v>
      </c>
      <c r="AA56" s="393"/>
      <c r="AB56" s="393"/>
      <c r="AC56" s="393"/>
      <c r="AD56" s="393"/>
      <c r="AE56" s="393"/>
    </row>
    <row r="57" spans="1:31" ht="13.5" thickBot="1">
      <c r="A57" s="114"/>
      <c r="B57" s="115"/>
      <c r="C57" s="116"/>
      <c r="D57" s="105"/>
      <c r="E57" s="106"/>
      <c r="F57" s="107"/>
      <c r="G57" s="117"/>
      <c r="H57" s="118"/>
      <c r="I57" s="119"/>
      <c r="J57" s="120"/>
      <c r="K57" s="121"/>
      <c r="L57" s="122"/>
      <c r="N57" s="264"/>
      <c r="O57" s="161" t="s">
        <v>794</v>
      </c>
      <c r="P57" s="161" t="s">
        <v>795</v>
      </c>
      <c r="Q57" s="393">
        <v>19.7</v>
      </c>
      <c r="R57" s="393" t="s">
        <v>697</v>
      </c>
      <c r="S57" s="393">
        <v>1</v>
      </c>
      <c r="T57" s="393" t="s">
        <v>698</v>
      </c>
      <c r="U57" s="393"/>
      <c r="V57" s="393" t="s">
        <v>699</v>
      </c>
      <c r="W57" s="393">
        <v>1</v>
      </c>
      <c r="X57" s="393">
        <v>1</v>
      </c>
      <c r="Y57" s="393">
        <f>1/1.5/1.5</f>
        <v>0.44444444444444442</v>
      </c>
      <c r="Z57" s="393" t="s">
        <v>796</v>
      </c>
      <c r="AA57" s="393"/>
      <c r="AB57" s="393"/>
      <c r="AC57" s="393">
        <v>26850</v>
      </c>
      <c r="AD57" s="393">
        <v>8.6</v>
      </c>
      <c r="AE57" s="393">
        <v>83</v>
      </c>
    </row>
    <row r="58" spans="1:31" ht="13.5" thickBot="1">
      <c r="A58" s="114"/>
      <c r="B58" s="115"/>
      <c r="C58" s="116"/>
      <c r="D58" s="105"/>
      <c r="E58" s="106"/>
      <c r="F58" s="107"/>
      <c r="G58" s="117"/>
      <c r="H58" s="118"/>
      <c r="I58" s="119"/>
      <c r="J58" s="120"/>
      <c r="K58" s="121"/>
      <c r="L58" s="122"/>
      <c r="N58" s="264"/>
      <c r="O58" s="264" t="s">
        <v>797</v>
      </c>
      <c r="P58" s="1066" t="s">
        <v>9100</v>
      </c>
      <c r="Q58" s="393">
        <v>400</v>
      </c>
      <c r="R58" s="393" t="s">
        <v>697</v>
      </c>
      <c r="S58" s="393">
        <v>1</v>
      </c>
      <c r="T58" s="393" t="s">
        <v>698</v>
      </c>
      <c r="U58" s="393"/>
      <c r="V58" s="393" t="s">
        <v>726</v>
      </c>
      <c r="W58" s="393">
        <v>0</v>
      </c>
      <c r="X58" s="393">
        <v>0</v>
      </c>
      <c r="Y58" s="393"/>
      <c r="Z58" s="393" t="s">
        <v>730</v>
      </c>
      <c r="AA58" s="393"/>
      <c r="AB58" s="393"/>
      <c r="AC58" s="393"/>
      <c r="AD58" s="393">
        <v>3.1</v>
      </c>
      <c r="AE58" s="393"/>
    </row>
    <row r="59" spans="1:31" ht="13.5" thickBot="1">
      <c r="A59" s="114"/>
      <c r="B59" s="115"/>
      <c r="C59" s="116"/>
      <c r="D59" s="105"/>
      <c r="E59" s="106"/>
      <c r="F59" s="107"/>
      <c r="G59" s="117"/>
      <c r="H59" s="118"/>
      <c r="I59" s="119"/>
      <c r="J59" s="120"/>
      <c r="K59" s="121"/>
      <c r="L59" s="122"/>
      <c r="N59" s="264" t="s">
        <v>752</v>
      </c>
      <c r="O59" s="777" t="s">
        <v>752</v>
      </c>
      <c r="P59" s="1066"/>
      <c r="Q59" s="393">
        <v>710</v>
      </c>
      <c r="R59" s="393"/>
      <c r="S59" s="393"/>
      <c r="T59" s="393"/>
      <c r="U59" s="393"/>
      <c r="V59" s="393"/>
      <c r="W59" s="393"/>
      <c r="X59" s="393"/>
      <c r="Y59" s="393"/>
      <c r="Z59" s="393"/>
      <c r="AA59" s="393"/>
      <c r="AB59" s="393"/>
      <c r="AC59" s="393"/>
      <c r="AD59" s="393">
        <v>0.7</v>
      </c>
      <c r="AE59" s="393"/>
    </row>
    <row r="60" spans="1:31" ht="13.5" thickBot="1">
      <c r="A60" s="114"/>
      <c r="B60" s="115"/>
      <c r="C60" s="116"/>
      <c r="D60" s="105"/>
      <c r="E60" s="106"/>
      <c r="F60" s="107"/>
      <c r="G60" s="117"/>
      <c r="H60" s="118"/>
      <c r="I60" s="119"/>
      <c r="J60" s="120"/>
      <c r="K60" s="121"/>
      <c r="L60" s="122"/>
      <c r="N60" s="264" t="s">
        <v>799</v>
      </c>
      <c r="O60" s="777" t="s">
        <v>799</v>
      </c>
      <c r="P60" s="1066"/>
      <c r="Q60" s="393">
        <v>1.5</v>
      </c>
      <c r="R60" s="393"/>
      <c r="S60" s="393"/>
      <c r="T60" s="393"/>
      <c r="U60" s="393"/>
      <c r="V60" s="393"/>
      <c r="W60" s="393"/>
      <c r="X60" s="393"/>
      <c r="Y60" s="393"/>
      <c r="Z60" s="393"/>
      <c r="AA60" s="393"/>
      <c r="AB60" s="393"/>
      <c r="AC60" s="393"/>
      <c r="AD60" s="393">
        <v>24.6</v>
      </c>
      <c r="AE60" s="393"/>
    </row>
    <row r="61" spans="1:31" ht="13.5" thickBot="1">
      <c r="A61" s="114"/>
      <c r="B61" s="115"/>
      <c r="C61" s="116"/>
      <c r="D61" s="105"/>
      <c r="E61" s="106"/>
      <c r="F61" s="107"/>
      <c r="G61" s="117"/>
      <c r="H61" s="118"/>
      <c r="I61" s="119"/>
      <c r="J61" s="120"/>
      <c r="K61" s="121"/>
      <c r="L61" s="122"/>
      <c r="M61" s="391" t="s">
        <v>800</v>
      </c>
      <c r="N61" s="264"/>
      <c r="O61" s="391" t="s">
        <v>800</v>
      </c>
      <c r="P61" s="1066"/>
      <c r="Q61" s="393">
        <v>32</v>
      </c>
      <c r="R61" s="393"/>
      <c r="S61" s="393"/>
      <c r="T61" s="393"/>
      <c r="U61" s="393"/>
      <c r="V61" s="393"/>
      <c r="W61" s="393"/>
      <c r="X61" s="393"/>
      <c r="Y61" s="393"/>
      <c r="Z61" s="393"/>
      <c r="AA61" s="393"/>
      <c r="AB61" s="393"/>
      <c r="AC61" s="393"/>
      <c r="AD61" s="393">
        <v>0.35</v>
      </c>
      <c r="AE61" s="393"/>
    </row>
    <row r="62" spans="1:31" ht="13.5" thickBot="1">
      <c r="A62" s="114"/>
      <c r="B62" s="115"/>
      <c r="C62" s="116"/>
      <c r="D62" s="105"/>
      <c r="E62" s="106"/>
      <c r="F62" s="107"/>
      <c r="G62" s="117"/>
      <c r="H62" s="118"/>
      <c r="I62" s="119"/>
      <c r="J62" s="120"/>
      <c r="K62" s="121"/>
      <c r="L62" s="122"/>
      <c r="M62" s="391" t="s">
        <v>801</v>
      </c>
      <c r="N62" s="264"/>
      <c r="O62" s="391" t="s">
        <v>801</v>
      </c>
      <c r="P62" s="1066"/>
      <c r="Q62" s="393">
        <v>32</v>
      </c>
      <c r="R62" s="393"/>
      <c r="S62" s="393"/>
      <c r="T62" s="393"/>
      <c r="U62" s="393"/>
      <c r="V62" s="393"/>
      <c r="W62" s="393"/>
      <c r="X62" s="393"/>
      <c r="Y62" s="393"/>
      <c r="Z62" s="393"/>
      <c r="AA62" s="393"/>
      <c r="AB62" s="393"/>
      <c r="AC62" s="393"/>
      <c r="AD62" s="393">
        <v>7</v>
      </c>
      <c r="AE62" s="393"/>
    </row>
    <row r="63" spans="1:31" ht="13.5" thickBot="1">
      <c r="A63" s="114"/>
      <c r="B63" s="115"/>
      <c r="C63" s="116"/>
      <c r="D63" s="105"/>
      <c r="E63" s="106"/>
      <c r="F63" s="107"/>
      <c r="G63" s="117"/>
      <c r="H63" s="118"/>
      <c r="I63" s="119"/>
      <c r="J63" s="120"/>
      <c r="K63" s="121"/>
      <c r="L63" s="122"/>
      <c r="N63" s="264" t="s">
        <v>802</v>
      </c>
      <c r="O63" s="777" t="s">
        <v>802</v>
      </c>
      <c r="P63" s="1066"/>
      <c r="Q63" s="393">
        <v>390</v>
      </c>
      <c r="R63" s="393"/>
      <c r="S63" s="393"/>
      <c r="T63" s="393"/>
      <c r="U63" s="393"/>
      <c r="V63" s="393"/>
      <c r="W63" s="393"/>
      <c r="X63" s="393"/>
      <c r="Y63" s="393"/>
      <c r="Z63" s="393"/>
      <c r="AA63" s="393"/>
      <c r="AB63" s="393"/>
      <c r="AC63" s="393"/>
      <c r="AD63" s="393">
        <v>24.4</v>
      </c>
      <c r="AE63" s="393"/>
    </row>
    <row r="64" spans="1:31" ht="13.5" thickBot="1">
      <c r="A64" s="114"/>
      <c r="B64" s="115"/>
      <c r="C64" s="116"/>
      <c r="D64" s="105"/>
      <c r="E64" s="106"/>
      <c r="F64" s="107"/>
      <c r="G64" s="117"/>
      <c r="H64" s="118"/>
      <c r="I64" s="119"/>
      <c r="J64" s="120"/>
      <c r="K64" s="121"/>
      <c r="L64" s="122"/>
      <c r="N64" s="264"/>
      <c r="O64" s="264" t="s">
        <v>803</v>
      </c>
      <c r="P64" s="1066"/>
      <c r="Q64" s="393">
        <v>32</v>
      </c>
      <c r="R64" s="393"/>
      <c r="S64" s="393"/>
      <c r="T64" s="399" t="s">
        <v>698</v>
      </c>
      <c r="U64" s="393"/>
      <c r="V64" s="393"/>
      <c r="W64" s="393">
        <v>1</v>
      </c>
      <c r="X64" s="393">
        <v>1</v>
      </c>
      <c r="Y64" s="393">
        <f>0.5*0.5/1.5/1.5</f>
        <v>0.1111111111111111</v>
      </c>
      <c r="Z64" s="393" t="s">
        <v>754</v>
      </c>
      <c r="AA64" s="393"/>
      <c r="AB64" s="393"/>
      <c r="AC64" s="393"/>
      <c r="AD64" s="393">
        <v>3106</v>
      </c>
      <c r="AE64" s="393"/>
    </row>
    <row r="65" spans="1:31" ht="13.5" thickBot="1">
      <c r="A65" s="114"/>
      <c r="B65" s="115"/>
      <c r="C65" s="116"/>
      <c r="D65" s="105"/>
      <c r="E65" s="106"/>
      <c r="F65" s="107"/>
      <c r="G65" s="117"/>
      <c r="H65" s="118"/>
      <c r="I65" s="119"/>
      <c r="J65" s="120"/>
      <c r="K65" s="121"/>
      <c r="L65" s="122"/>
      <c r="N65" s="264" t="s">
        <v>804</v>
      </c>
      <c r="O65" s="161"/>
      <c r="P65" s="1066"/>
      <c r="Q65" s="393">
        <v>13</v>
      </c>
      <c r="R65" s="393"/>
      <c r="S65" s="393"/>
      <c r="T65" s="393"/>
      <c r="U65" s="393"/>
      <c r="V65" s="393"/>
      <c r="W65" s="393"/>
      <c r="X65" s="393"/>
      <c r="Y65" s="393"/>
      <c r="Z65" s="393"/>
      <c r="AA65" s="393"/>
      <c r="AB65" s="393"/>
      <c r="AC65" s="393"/>
      <c r="AD65" s="393">
        <v>3</v>
      </c>
      <c r="AE65" s="393"/>
    </row>
    <row r="66" spans="1:31" ht="13.5" thickBot="1">
      <c r="A66" s="114"/>
      <c r="B66" s="115"/>
      <c r="C66" s="116"/>
      <c r="D66" s="105"/>
      <c r="E66" s="106"/>
      <c r="F66" s="107"/>
      <c r="G66" s="117"/>
      <c r="H66" s="118"/>
      <c r="I66" s="119"/>
      <c r="J66" s="120"/>
      <c r="K66" s="121"/>
      <c r="L66" s="122"/>
      <c r="N66" s="264" t="s">
        <v>804</v>
      </c>
      <c r="O66" s="161"/>
      <c r="P66" s="1066"/>
      <c r="Q66" s="393">
        <v>4</v>
      </c>
      <c r="R66" s="393"/>
      <c r="S66" s="393"/>
      <c r="T66" s="393"/>
      <c r="U66" s="393"/>
      <c r="V66" s="393"/>
      <c r="W66" s="393"/>
      <c r="X66" s="393"/>
      <c r="Y66" s="393"/>
      <c r="Z66" s="393"/>
      <c r="AA66" s="393"/>
      <c r="AB66" s="393"/>
      <c r="AC66" s="393"/>
      <c r="AD66" s="393">
        <v>7</v>
      </c>
      <c r="AE66" s="393"/>
    </row>
    <row r="67" spans="1:31" ht="13.5" thickBot="1">
      <c r="A67" s="114"/>
      <c r="B67" s="115"/>
      <c r="C67" s="116"/>
      <c r="D67" s="105"/>
      <c r="E67" s="106"/>
      <c r="F67" s="107"/>
      <c r="G67" s="117"/>
      <c r="H67" s="118"/>
      <c r="I67" s="119"/>
      <c r="J67" s="120"/>
      <c r="K67" s="121"/>
      <c r="L67" s="122"/>
      <c r="N67" s="264" t="s">
        <v>804</v>
      </c>
      <c r="O67" s="161"/>
      <c r="P67" s="1066"/>
      <c r="Q67" s="393">
        <v>0.95</v>
      </c>
      <c r="R67" s="393"/>
      <c r="S67" s="393"/>
      <c r="T67" s="393"/>
      <c r="U67" s="393"/>
      <c r="V67" s="393"/>
      <c r="W67" s="393"/>
      <c r="X67" s="393"/>
      <c r="Y67" s="393"/>
      <c r="Z67" s="393"/>
      <c r="AA67" s="393"/>
      <c r="AB67" s="393"/>
      <c r="AC67" s="393"/>
      <c r="AD67" s="393">
        <v>1.5</v>
      </c>
      <c r="AE67" s="393"/>
    </row>
    <row r="68" spans="1:31" ht="13.5" thickBot="1">
      <c r="A68" s="114"/>
      <c r="B68" s="115"/>
      <c r="C68" s="116"/>
      <c r="D68" s="105"/>
      <c r="E68" s="106"/>
      <c r="F68" s="107"/>
      <c r="G68" s="117"/>
      <c r="H68" s="118"/>
      <c r="I68" s="119"/>
      <c r="J68" s="120"/>
      <c r="K68" s="121"/>
      <c r="L68" s="122"/>
      <c r="N68" s="264" t="s">
        <v>805</v>
      </c>
      <c r="O68" s="161" t="s">
        <v>806</v>
      </c>
      <c r="P68" s="1065" t="s">
        <v>9085</v>
      </c>
      <c r="Q68" s="393">
        <v>400</v>
      </c>
      <c r="R68" s="393" t="s">
        <v>697</v>
      </c>
      <c r="S68" s="393">
        <v>1</v>
      </c>
      <c r="T68" s="399" t="s">
        <v>763</v>
      </c>
      <c r="U68" s="393"/>
      <c r="V68" s="393" t="s">
        <v>726</v>
      </c>
      <c r="W68" s="393">
        <v>0</v>
      </c>
      <c r="X68" s="393">
        <v>0</v>
      </c>
      <c r="Y68" s="393"/>
      <c r="Z68" s="393" t="s">
        <v>700</v>
      </c>
      <c r="AA68" s="393"/>
      <c r="AB68" s="393"/>
      <c r="AC68" s="393"/>
      <c r="AD68" s="393"/>
      <c r="AE68" s="393"/>
    </row>
    <row r="69" spans="1:31" ht="13.5" thickBot="1">
      <c r="A69" s="114"/>
      <c r="B69" s="115"/>
      <c r="C69" s="116"/>
      <c r="D69" s="105"/>
      <c r="E69" s="106"/>
      <c r="F69" s="107"/>
      <c r="G69" s="117"/>
      <c r="H69" s="118"/>
      <c r="I69" s="119"/>
      <c r="J69" s="120"/>
      <c r="K69" s="121"/>
      <c r="L69" s="122"/>
      <c r="N69" s="264" t="s">
        <v>808</v>
      </c>
      <c r="O69" s="161" t="s">
        <v>809</v>
      </c>
      <c r="P69" s="1065"/>
      <c r="Q69" s="393">
        <v>1550</v>
      </c>
      <c r="R69" s="393" t="s">
        <v>697</v>
      </c>
      <c r="S69" s="393">
        <v>1</v>
      </c>
      <c r="T69" s="399" t="s">
        <v>698</v>
      </c>
      <c r="U69" s="393"/>
      <c r="V69" s="393" t="s">
        <v>699</v>
      </c>
      <c r="W69" s="393">
        <v>1</v>
      </c>
      <c r="X69" s="393">
        <v>1</v>
      </c>
      <c r="Y69" s="393">
        <f>12/12</f>
        <v>1</v>
      </c>
      <c r="Z69" s="393" t="s">
        <v>700</v>
      </c>
      <c r="AA69" s="393"/>
      <c r="AB69" s="393"/>
      <c r="AC69" s="393"/>
      <c r="AD69" s="393"/>
      <c r="AE69" s="393"/>
    </row>
    <row r="70" spans="1:31" ht="13.5" thickBot="1">
      <c r="A70" s="114"/>
      <c r="B70" s="115"/>
      <c r="C70" s="116"/>
      <c r="D70" s="105"/>
      <c r="E70" s="106"/>
      <c r="F70" s="107"/>
      <c r="G70" s="117"/>
      <c r="H70" s="118"/>
      <c r="I70" s="119"/>
      <c r="J70" s="120"/>
      <c r="K70" s="121"/>
      <c r="L70" s="122"/>
      <c r="N70" s="264" t="s">
        <v>810</v>
      </c>
      <c r="O70" s="161" t="s">
        <v>811</v>
      </c>
      <c r="P70" s="1065"/>
      <c r="Q70" s="393">
        <v>1550</v>
      </c>
      <c r="R70" s="393" t="s">
        <v>697</v>
      </c>
      <c r="S70" s="393">
        <v>1</v>
      </c>
      <c r="T70" s="393"/>
      <c r="U70" s="393"/>
      <c r="V70" s="393" t="s">
        <v>726</v>
      </c>
      <c r="W70" s="393"/>
      <c r="X70" s="393"/>
      <c r="Y70" s="393"/>
      <c r="Z70" s="393"/>
      <c r="AA70" s="393"/>
      <c r="AB70" s="393"/>
      <c r="AC70" s="393"/>
      <c r="AD70" s="393"/>
      <c r="AE70" s="393"/>
    </row>
    <row r="71" spans="1:31" ht="13.5" thickBot="1">
      <c r="A71" s="114"/>
      <c r="B71" s="115"/>
      <c r="C71" s="116"/>
      <c r="D71" s="105"/>
      <c r="E71" s="106"/>
      <c r="F71" s="107"/>
      <c r="G71" s="117"/>
      <c r="H71" s="118"/>
      <c r="I71" s="119"/>
      <c r="J71" s="120"/>
      <c r="K71" s="121"/>
      <c r="L71" s="122"/>
      <c r="N71" s="264" t="s">
        <v>812</v>
      </c>
      <c r="O71" s="161" t="s">
        <v>813</v>
      </c>
      <c r="P71" s="1065"/>
      <c r="Q71" s="393">
        <v>710</v>
      </c>
      <c r="R71" s="393" t="s">
        <v>697</v>
      </c>
      <c r="S71" s="393">
        <v>1</v>
      </c>
      <c r="T71" s="399" t="s">
        <v>698</v>
      </c>
      <c r="U71" s="393"/>
      <c r="V71" s="393" t="s">
        <v>726</v>
      </c>
      <c r="W71" s="393">
        <v>0</v>
      </c>
      <c r="X71" s="393">
        <v>0</v>
      </c>
      <c r="Y71" s="393"/>
      <c r="Z71" s="393" t="s">
        <v>814</v>
      </c>
      <c r="AA71" s="393"/>
      <c r="AB71" s="393"/>
      <c r="AC71" s="393"/>
      <c r="AD71" s="393"/>
      <c r="AE71" s="393"/>
    </row>
    <row r="72" spans="1:31" ht="13.5" thickBot="1">
      <c r="A72" s="114"/>
      <c r="B72" s="115"/>
      <c r="C72" s="116"/>
      <c r="D72" s="105"/>
      <c r="E72" s="106"/>
      <c r="F72" s="107"/>
      <c r="G72" s="117"/>
      <c r="H72" s="118"/>
      <c r="I72" s="119"/>
      <c r="J72" s="120"/>
      <c r="K72" s="121"/>
      <c r="L72" s="122"/>
      <c r="N72" s="264" t="s">
        <v>815</v>
      </c>
      <c r="O72" s="161" t="s">
        <v>816</v>
      </c>
      <c r="P72" s="1065"/>
      <c r="Q72" s="393">
        <v>190</v>
      </c>
      <c r="R72" s="393" t="s">
        <v>697</v>
      </c>
      <c r="S72" s="393">
        <v>1</v>
      </c>
      <c r="T72" s="399" t="s">
        <v>763</v>
      </c>
      <c r="U72" s="393"/>
      <c r="V72" s="393" t="s">
        <v>726</v>
      </c>
      <c r="W72" s="393">
        <v>1</v>
      </c>
      <c r="X72" s="393">
        <v>1</v>
      </c>
      <c r="Y72" s="393">
        <f>6*6/4/4</f>
        <v>2.25</v>
      </c>
      <c r="Z72" s="393" t="s">
        <v>817</v>
      </c>
      <c r="AA72" s="393"/>
      <c r="AB72" s="393"/>
      <c r="AC72" s="393"/>
      <c r="AD72" s="393"/>
      <c r="AE72" s="393"/>
    </row>
    <row r="73" spans="1:31" ht="13.5" thickBot="1">
      <c r="A73" s="114"/>
      <c r="B73" s="115"/>
      <c r="C73" s="116"/>
      <c r="D73" s="105"/>
      <c r="E73" s="106"/>
      <c r="F73" s="107"/>
      <c r="G73" s="117"/>
      <c r="H73" s="118"/>
      <c r="I73" s="119"/>
      <c r="J73" s="120"/>
      <c r="K73" s="121"/>
      <c r="L73" s="122"/>
      <c r="N73" s="264" t="s">
        <v>818</v>
      </c>
      <c r="O73" s="161" t="s">
        <v>819</v>
      </c>
      <c r="P73" s="1065"/>
      <c r="Q73" s="393">
        <v>190</v>
      </c>
      <c r="R73" s="393" t="s">
        <v>697</v>
      </c>
      <c r="S73" s="393">
        <v>1</v>
      </c>
      <c r="T73" s="399" t="s">
        <v>763</v>
      </c>
      <c r="U73" s="393"/>
      <c r="V73" s="393" t="s">
        <v>726</v>
      </c>
      <c r="W73" s="393">
        <v>1</v>
      </c>
      <c r="X73" s="393">
        <v>1</v>
      </c>
      <c r="Y73" s="393">
        <f t="shared" ref="Y73:Y79" si="1">6*6/4/4</f>
        <v>2.25</v>
      </c>
      <c r="Z73" s="393" t="s">
        <v>817</v>
      </c>
      <c r="AA73" s="393"/>
      <c r="AB73" s="393"/>
      <c r="AC73" s="393"/>
      <c r="AD73" s="393"/>
      <c r="AE73" s="393"/>
    </row>
    <row r="74" spans="1:31" ht="13.5" thickBot="1">
      <c r="A74" s="114"/>
      <c r="B74" s="115"/>
      <c r="C74" s="116"/>
      <c r="D74" s="105"/>
      <c r="E74" s="106"/>
      <c r="F74" s="107"/>
      <c r="G74" s="117"/>
      <c r="H74" s="118"/>
      <c r="I74" s="119"/>
      <c r="J74" s="120"/>
      <c r="K74" s="121"/>
      <c r="L74" s="122"/>
      <c r="N74" s="264" t="s">
        <v>820</v>
      </c>
      <c r="O74" s="161" t="s">
        <v>821</v>
      </c>
      <c r="P74" s="1065"/>
      <c r="Q74" s="393">
        <v>190</v>
      </c>
      <c r="R74" s="393" t="s">
        <v>697</v>
      </c>
      <c r="S74" s="393">
        <v>1</v>
      </c>
      <c r="T74" s="399" t="s">
        <v>763</v>
      </c>
      <c r="U74" s="393"/>
      <c r="V74" s="393" t="s">
        <v>726</v>
      </c>
      <c r="W74" s="393">
        <v>1</v>
      </c>
      <c r="X74" s="393">
        <v>1</v>
      </c>
      <c r="Y74" s="393">
        <f t="shared" si="1"/>
        <v>2.25</v>
      </c>
      <c r="Z74" s="393" t="s">
        <v>817</v>
      </c>
      <c r="AA74" s="393"/>
      <c r="AB74" s="393"/>
      <c r="AC74" s="393"/>
      <c r="AD74" s="393"/>
      <c r="AE74" s="393"/>
    </row>
    <row r="75" spans="1:31" ht="13.5" thickBot="1">
      <c r="A75" s="114"/>
      <c r="B75" s="115"/>
      <c r="C75" s="116"/>
      <c r="D75" s="105"/>
      <c r="E75" s="106"/>
      <c r="F75" s="107"/>
      <c r="G75" s="117"/>
      <c r="H75" s="118"/>
      <c r="I75" s="119"/>
      <c r="J75" s="120"/>
      <c r="K75" s="121"/>
      <c r="L75" s="122"/>
      <c r="N75" s="264" t="s">
        <v>822</v>
      </c>
      <c r="O75" s="161" t="s">
        <v>823</v>
      </c>
      <c r="P75" s="1065"/>
      <c r="Q75" s="393">
        <v>190</v>
      </c>
      <c r="R75" s="393" t="s">
        <v>697</v>
      </c>
      <c r="S75" s="393">
        <v>1</v>
      </c>
      <c r="T75" s="399" t="s">
        <v>763</v>
      </c>
      <c r="U75" s="393"/>
      <c r="V75" s="393" t="s">
        <v>726</v>
      </c>
      <c r="W75" s="393">
        <v>1</v>
      </c>
      <c r="X75" s="393">
        <v>1</v>
      </c>
      <c r="Y75" s="393">
        <f t="shared" si="1"/>
        <v>2.25</v>
      </c>
      <c r="Z75" s="393" t="s">
        <v>817</v>
      </c>
      <c r="AA75" s="393"/>
      <c r="AB75" s="393"/>
      <c r="AC75" s="393"/>
      <c r="AD75" s="393"/>
      <c r="AE75" s="393"/>
    </row>
    <row r="76" spans="1:31" ht="13.5" thickBot="1">
      <c r="A76" s="114"/>
      <c r="B76" s="115"/>
      <c r="C76" s="116"/>
      <c r="D76" s="105"/>
      <c r="E76" s="106"/>
      <c r="F76" s="107"/>
      <c r="G76" s="117"/>
      <c r="H76" s="118"/>
      <c r="I76" s="119"/>
      <c r="J76" s="120"/>
      <c r="K76" s="121"/>
      <c r="L76" s="122"/>
      <c r="N76" s="264" t="s">
        <v>824</v>
      </c>
      <c r="O76" s="161" t="s">
        <v>825</v>
      </c>
      <c r="P76" s="1065"/>
      <c r="Q76" s="393">
        <v>190</v>
      </c>
      <c r="R76" s="393" t="s">
        <v>697</v>
      </c>
      <c r="S76" s="393">
        <v>1</v>
      </c>
      <c r="T76" s="399" t="s">
        <v>763</v>
      </c>
      <c r="U76" s="393"/>
      <c r="V76" s="393" t="s">
        <v>726</v>
      </c>
      <c r="W76" s="393">
        <v>1</v>
      </c>
      <c r="X76" s="393">
        <v>1</v>
      </c>
      <c r="Y76" s="393">
        <f t="shared" si="1"/>
        <v>2.25</v>
      </c>
      <c r="Z76" s="393" t="s">
        <v>817</v>
      </c>
      <c r="AA76" s="393"/>
      <c r="AB76" s="393"/>
      <c r="AC76" s="393"/>
      <c r="AD76" s="393"/>
      <c r="AE76" s="393"/>
    </row>
    <row r="77" spans="1:31" ht="13.5" thickBot="1">
      <c r="A77" s="114"/>
      <c r="B77" s="115"/>
      <c r="C77" s="116"/>
      <c r="D77" s="105"/>
      <c r="E77" s="106"/>
      <c r="F77" s="107"/>
      <c r="G77" s="117"/>
      <c r="H77" s="118"/>
      <c r="I77" s="119"/>
      <c r="J77" s="120"/>
      <c r="K77" s="121"/>
      <c r="L77" s="122"/>
      <c r="N77" s="264" t="s">
        <v>826</v>
      </c>
      <c r="O77" s="161" t="s">
        <v>827</v>
      </c>
      <c r="P77" s="1065"/>
      <c r="Q77" s="393">
        <v>190</v>
      </c>
      <c r="R77" s="393" t="s">
        <v>697</v>
      </c>
      <c r="S77" s="393">
        <v>1</v>
      </c>
      <c r="T77" s="399" t="s">
        <v>763</v>
      </c>
      <c r="U77" s="393"/>
      <c r="V77" s="393" t="s">
        <v>726</v>
      </c>
      <c r="W77" s="393">
        <v>1</v>
      </c>
      <c r="X77" s="393">
        <v>1</v>
      </c>
      <c r="Y77" s="393">
        <f t="shared" si="1"/>
        <v>2.25</v>
      </c>
      <c r="Z77" s="393" t="s">
        <v>817</v>
      </c>
      <c r="AA77" s="393"/>
      <c r="AB77" s="393"/>
      <c r="AC77" s="393"/>
      <c r="AD77" s="393"/>
      <c r="AE77" s="393"/>
    </row>
    <row r="78" spans="1:31" ht="13.5" thickBot="1">
      <c r="A78" s="114"/>
      <c r="B78" s="115"/>
      <c r="C78" s="116"/>
      <c r="D78" s="105"/>
      <c r="E78" s="106"/>
      <c r="F78" s="107"/>
      <c r="G78" s="117"/>
      <c r="H78" s="118"/>
      <c r="I78" s="119"/>
      <c r="J78" s="120"/>
      <c r="K78" s="121"/>
      <c r="L78" s="122"/>
      <c r="N78" s="264" t="s">
        <v>828</v>
      </c>
      <c r="O78" s="161" t="s">
        <v>829</v>
      </c>
      <c r="P78" s="1065"/>
      <c r="Q78" s="393">
        <v>190</v>
      </c>
      <c r="R78" s="393" t="s">
        <v>697</v>
      </c>
      <c r="S78" s="393">
        <v>1</v>
      </c>
      <c r="T78" s="399" t="s">
        <v>763</v>
      </c>
      <c r="U78" s="393"/>
      <c r="V78" s="393" t="s">
        <v>726</v>
      </c>
      <c r="W78" s="393">
        <v>1</v>
      </c>
      <c r="X78" s="393">
        <v>1</v>
      </c>
      <c r="Y78" s="393">
        <f t="shared" si="1"/>
        <v>2.25</v>
      </c>
      <c r="Z78" s="393" t="s">
        <v>817</v>
      </c>
      <c r="AA78" s="393"/>
      <c r="AB78" s="393"/>
      <c r="AC78" s="393"/>
      <c r="AD78" s="393"/>
      <c r="AE78" s="393"/>
    </row>
    <row r="79" spans="1:31" ht="13.5" thickBot="1">
      <c r="A79" s="114"/>
      <c r="B79" s="115"/>
      <c r="C79" s="116"/>
      <c r="D79" s="105"/>
      <c r="E79" s="106"/>
      <c r="F79" s="107"/>
      <c r="G79" s="117"/>
      <c r="H79" s="118"/>
      <c r="I79" s="119"/>
      <c r="J79" s="120"/>
      <c r="K79" s="121"/>
      <c r="L79" s="122"/>
      <c r="N79" s="264" t="s">
        <v>830</v>
      </c>
      <c r="O79" s="161" t="s">
        <v>831</v>
      </c>
      <c r="P79" s="1065"/>
      <c r="Q79" s="393">
        <v>190</v>
      </c>
      <c r="R79" s="393" t="s">
        <v>697</v>
      </c>
      <c r="S79" s="393">
        <v>1</v>
      </c>
      <c r="T79" s="399" t="s">
        <v>763</v>
      </c>
      <c r="U79" s="393"/>
      <c r="V79" s="393" t="s">
        <v>726</v>
      </c>
      <c r="W79" s="393">
        <v>1</v>
      </c>
      <c r="X79" s="393">
        <v>1</v>
      </c>
      <c r="Y79" s="393">
        <f t="shared" si="1"/>
        <v>2.25</v>
      </c>
      <c r="Z79" s="393" t="s">
        <v>817</v>
      </c>
      <c r="AA79" s="393"/>
      <c r="AB79" s="393"/>
      <c r="AC79" s="393"/>
      <c r="AD79" s="393"/>
      <c r="AE79" s="393"/>
    </row>
    <row r="80" spans="1:31" ht="13.5" thickBot="1">
      <c r="A80" s="114"/>
      <c r="B80" s="115"/>
      <c r="C80" s="116"/>
      <c r="D80" s="105"/>
      <c r="E80" s="106"/>
      <c r="F80" s="107"/>
      <c r="G80" s="117"/>
      <c r="H80" s="118"/>
      <c r="I80" s="119"/>
      <c r="J80" s="120"/>
      <c r="K80" s="121"/>
      <c r="L80" s="122"/>
      <c r="N80" s="264" t="s">
        <v>832</v>
      </c>
      <c r="O80" s="161" t="s">
        <v>833</v>
      </c>
      <c r="P80" s="1065"/>
      <c r="Q80" s="393">
        <v>44.2</v>
      </c>
      <c r="R80" s="393"/>
      <c r="S80" s="393"/>
      <c r="T80" s="393"/>
      <c r="U80" s="393"/>
      <c r="V80" s="393"/>
      <c r="W80" s="393"/>
      <c r="X80" s="393"/>
      <c r="Y80" s="393"/>
      <c r="Z80" s="393"/>
      <c r="AA80" s="393"/>
      <c r="AB80" s="393"/>
      <c r="AC80" s="393"/>
      <c r="AD80" s="393"/>
      <c r="AE80" s="393"/>
    </row>
    <row r="81" spans="1:31" ht="13.5" thickBot="1">
      <c r="A81" s="114"/>
      <c r="B81" s="115"/>
      <c r="C81" s="116"/>
      <c r="D81" s="105"/>
      <c r="E81" s="106"/>
      <c r="F81" s="107"/>
      <c r="G81" s="117"/>
      <c r="H81" s="118"/>
      <c r="I81" s="119"/>
      <c r="J81" s="120"/>
      <c r="K81" s="121"/>
      <c r="L81" s="122"/>
      <c r="N81" s="264" t="s">
        <v>834</v>
      </c>
      <c r="O81" s="161" t="s">
        <v>835</v>
      </c>
      <c r="P81" s="1065"/>
      <c r="Q81" s="393">
        <v>32</v>
      </c>
      <c r="R81" s="623" t="s">
        <v>10379</v>
      </c>
      <c r="S81" s="393">
        <v>1</v>
      </c>
      <c r="T81" s="623" t="s">
        <v>881</v>
      </c>
      <c r="U81" s="393"/>
      <c r="V81" s="393"/>
      <c r="W81" s="393">
        <v>1</v>
      </c>
      <c r="X81" s="393">
        <v>1</v>
      </c>
      <c r="Y81" s="393">
        <f>0.75/1.5*0.75/1.5</f>
        <v>0.25</v>
      </c>
      <c r="Z81" s="393" t="s">
        <v>814</v>
      </c>
      <c r="AA81" s="393"/>
      <c r="AB81" s="393"/>
      <c r="AC81" s="393"/>
      <c r="AD81" s="393"/>
      <c r="AE81" s="393"/>
    </row>
    <row r="82" spans="1:31" ht="13.5" thickBot="1">
      <c r="A82" s="114"/>
      <c r="B82" s="115"/>
      <c r="C82" s="116"/>
      <c r="D82" s="105"/>
      <c r="E82" s="106"/>
      <c r="F82" s="107"/>
      <c r="G82" s="117"/>
      <c r="H82" s="118"/>
      <c r="I82" s="119"/>
      <c r="J82" s="120"/>
      <c r="K82" s="121"/>
      <c r="L82" s="122"/>
      <c r="N82" s="264" t="s">
        <v>836</v>
      </c>
      <c r="O82" s="161" t="s">
        <v>837</v>
      </c>
      <c r="P82" s="1065"/>
      <c r="Q82" s="393">
        <v>400</v>
      </c>
      <c r="R82" s="393"/>
      <c r="S82" s="393"/>
      <c r="T82" s="393"/>
      <c r="U82" s="393"/>
      <c r="V82" s="393"/>
      <c r="W82" s="393"/>
      <c r="X82" s="393"/>
      <c r="Y82" s="393"/>
      <c r="Z82" s="393"/>
      <c r="AA82" s="393"/>
      <c r="AB82" s="393"/>
      <c r="AC82" s="393"/>
      <c r="AD82" s="393"/>
      <c r="AE82" s="393"/>
    </row>
    <row r="83" spans="1:31" ht="13.5" thickBot="1">
      <c r="A83" s="114"/>
      <c r="B83" s="115"/>
      <c r="C83" s="116"/>
      <c r="D83" s="105"/>
      <c r="E83" s="106"/>
      <c r="F83" s="107"/>
      <c r="G83" s="117"/>
      <c r="H83" s="118"/>
      <c r="I83" s="119"/>
      <c r="J83" s="120"/>
      <c r="K83" s="121"/>
      <c r="L83" s="122"/>
      <c r="N83" s="401" t="s">
        <v>838</v>
      </c>
      <c r="O83" s="402" t="s">
        <v>839</v>
      </c>
      <c r="P83" s="1065"/>
      <c r="Q83" s="393">
        <v>400</v>
      </c>
      <c r="R83" s="393" t="s">
        <v>697</v>
      </c>
      <c r="S83" s="393">
        <v>1</v>
      </c>
      <c r="T83" s="399" t="s">
        <v>698</v>
      </c>
      <c r="U83" s="393"/>
      <c r="V83" s="393" t="s">
        <v>726</v>
      </c>
      <c r="W83" s="393">
        <v>0</v>
      </c>
      <c r="X83" s="393">
        <v>0</v>
      </c>
      <c r="Y83" s="393"/>
      <c r="Z83" s="393" t="s">
        <v>814</v>
      </c>
      <c r="AA83" s="393"/>
      <c r="AB83" s="393"/>
      <c r="AC83" s="393"/>
      <c r="AD83" s="393"/>
      <c r="AE83" s="393"/>
    </row>
    <row r="84" spans="1:31" ht="13.5" thickBot="1">
      <c r="A84" s="114"/>
      <c r="B84" s="115"/>
      <c r="C84" s="116"/>
      <c r="D84" s="105"/>
      <c r="E84" s="106"/>
      <c r="F84" s="107"/>
      <c r="G84" s="117"/>
      <c r="H84" s="118"/>
      <c r="I84" s="119"/>
      <c r="J84" s="120"/>
      <c r="K84" s="121"/>
      <c r="L84" s="122"/>
      <c r="N84" s="264" t="s">
        <v>840</v>
      </c>
      <c r="O84" s="161" t="s">
        <v>841</v>
      </c>
      <c r="P84" s="1065"/>
      <c r="Q84" s="393">
        <v>190</v>
      </c>
      <c r="R84" s="393"/>
      <c r="S84" s="393"/>
      <c r="T84" s="393"/>
      <c r="U84" s="393"/>
      <c r="V84" s="393"/>
      <c r="W84" s="393"/>
      <c r="X84" s="393"/>
      <c r="Y84" s="393"/>
      <c r="Z84" s="393"/>
      <c r="AA84" s="393"/>
      <c r="AB84" s="393"/>
      <c r="AC84" s="393"/>
      <c r="AD84" s="393"/>
      <c r="AE84" s="393"/>
    </row>
    <row r="85" spans="1:31" ht="13.5" thickBot="1">
      <c r="A85" s="114"/>
      <c r="B85" s="115"/>
      <c r="C85" s="116"/>
      <c r="D85" s="105"/>
      <c r="E85" s="106"/>
      <c r="F85" s="107"/>
      <c r="G85" s="117"/>
      <c r="H85" s="118"/>
      <c r="I85" s="119"/>
      <c r="J85" s="120"/>
      <c r="K85" s="121"/>
      <c r="L85" s="122"/>
      <c r="N85" s="396" t="s">
        <v>842</v>
      </c>
      <c r="O85" s="161"/>
      <c r="P85" s="161" t="s">
        <v>843</v>
      </c>
      <c r="Q85" s="393"/>
      <c r="R85" s="393"/>
      <c r="S85" s="393"/>
      <c r="T85" s="393"/>
      <c r="U85" s="393"/>
      <c r="V85" s="393"/>
      <c r="W85" s="393"/>
      <c r="X85" s="393"/>
      <c r="Y85" s="393"/>
      <c r="Z85" s="393"/>
      <c r="AA85" s="393"/>
      <c r="AB85" s="393"/>
      <c r="AC85" s="393"/>
      <c r="AD85" s="393"/>
      <c r="AE85" s="393"/>
    </row>
    <row r="86" spans="1:31" ht="13.5" thickBot="1">
      <c r="A86" s="114"/>
      <c r="B86" s="115"/>
      <c r="C86" s="116"/>
      <c r="D86" s="105"/>
      <c r="E86" s="106"/>
      <c r="F86" s="107"/>
      <c r="G86" s="117"/>
      <c r="H86" s="118"/>
      <c r="I86" s="119"/>
      <c r="J86" s="120"/>
      <c r="K86" s="121"/>
      <c r="L86" s="122"/>
      <c r="N86" s="396" t="s">
        <v>844</v>
      </c>
      <c r="O86" s="161"/>
      <c r="P86" s="161" t="s">
        <v>845</v>
      </c>
      <c r="Q86" s="393"/>
      <c r="R86" s="393"/>
      <c r="S86" s="393"/>
      <c r="T86" s="393"/>
      <c r="U86" s="393"/>
      <c r="V86" s="393"/>
      <c r="W86" s="393"/>
      <c r="X86" s="393"/>
      <c r="Y86" s="393"/>
      <c r="Z86" s="393"/>
      <c r="AA86" s="393"/>
      <c r="AB86" s="393"/>
      <c r="AC86" s="393"/>
      <c r="AD86" s="393"/>
      <c r="AE86" s="393"/>
    </row>
    <row r="87" spans="1:31" ht="13.5" thickBot="1">
      <c r="A87" s="114"/>
      <c r="B87" s="115"/>
      <c r="C87" s="116"/>
      <c r="D87" s="105"/>
      <c r="E87" s="106"/>
      <c r="F87" s="107"/>
      <c r="G87" s="117"/>
      <c r="H87" s="118"/>
      <c r="I87" s="119"/>
      <c r="J87" s="120"/>
      <c r="K87" s="121"/>
      <c r="L87" s="122"/>
      <c r="N87" s="264" t="s">
        <v>846</v>
      </c>
      <c r="O87" s="161" t="s">
        <v>847</v>
      </c>
      <c r="P87" s="1065" t="s">
        <v>9084</v>
      </c>
      <c r="Q87" s="393">
        <v>350</v>
      </c>
      <c r="R87" s="393"/>
      <c r="S87" s="393"/>
      <c r="T87" s="393"/>
      <c r="U87" s="393"/>
      <c r="V87" s="393"/>
      <c r="W87" s="393">
        <v>1</v>
      </c>
      <c r="X87" s="393">
        <v>1</v>
      </c>
      <c r="Y87" s="393">
        <f>8/8</f>
        <v>1</v>
      </c>
      <c r="Z87" s="393" t="s">
        <v>849</v>
      </c>
      <c r="AA87" s="393"/>
      <c r="AB87" s="393"/>
      <c r="AC87" s="393"/>
      <c r="AD87" s="393"/>
      <c r="AE87" s="393"/>
    </row>
    <row r="88" spans="1:31" ht="13.5" thickBot="1">
      <c r="A88" s="114"/>
      <c r="B88" s="115"/>
      <c r="C88" s="116"/>
      <c r="D88" s="105"/>
      <c r="E88" s="106"/>
      <c r="F88" s="107"/>
      <c r="G88" s="117"/>
      <c r="H88" s="118"/>
      <c r="I88" s="119"/>
      <c r="J88" s="120"/>
      <c r="K88" s="121"/>
      <c r="L88" s="122"/>
      <c r="N88" s="264" t="s">
        <v>850</v>
      </c>
      <c r="O88" s="161" t="s">
        <v>851</v>
      </c>
      <c r="P88" s="1065"/>
      <c r="Q88" s="393">
        <v>190</v>
      </c>
      <c r="R88" s="393" t="s">
        <v>697</v>
      </c>
      <c r="S88" s="393">
        <v>1</v>
      </c>
      <c r="T88" s="393"/>
      <c r="U88" s="393"/>
      <c r="V88" s="393" t="s">
        <v>726</v>
      </c>
      <c r="W88" s="393">
        <v>0</v>
      </c>
      <c r="X88" s="393">
        <v>0</v>
      </c>
      <c r="Y88" s="393"/>
      <c r="Z88" s="393" t="s">
        <v>736</v>
      </c>
      <c r="AA88" s="393"/>
      <c r="AB88" s="393"/>
      <c r="AC88" s="393"/>
      <c r="AD88" s="393"/>
      <c r="AE88" s="393"/>
    </row>
    <row r="89" spans="1:31" ht="13.5" thickBot="1">
      <c r="A89" s="114"/>
      <c r="B89" s="115"/>
      <c r="C89" s="116"/>
      <c r="D89" s="105"/>
      <c r="E89" s="106"/>
      <c r="F89" s="107"/>
      <c r="G89" s="117"/>
      <c r="H89" s="118"/>
      <c r="I89" s="119"/>
      <c r="J89" s="120"/>
      <c r="K89" s="121"/>
      <c r="L89" s="122"/>
      <c r="N89" s="264" t="s">
        <v>852</v>
      </c>
      <c r="O89" s="161"/>
      <c r="P89" s="1065"/>
      <c r="Q89" s="393">
        <v>12</v>
      </c>
      <c r="R89" s="393"/>
      <c r="S89" s="393"/>
      <c r="T89" s="393"/>
      <c r="U89" s="393"/>
      <c r="V89" s="393"/>
      <c r="W89" s="393"/>
      <c r="X89" s="393"/>
      <c r="Y89" s="393"/>
      <c r="Z89" s="393"/>
      <c r="AA89" s="393"/>
      <c r="AB89" s="393"/>
      <c r="AC89" s="393"/>
      <c r="AD89" s="393"/>
      <c r="AE89" s="393"/>
    </row>
    <row r="90" spans="1:31" ht="13.5" thickBot="1">
      <c r="A90" s="114"/>
      <c r="B90" s="115"/>
      <c r="C90" s="116"/>
      <c r="D90" s="105"/>
      <c r="E90" s="106"/>
      <c r="F90" s="107"/>
      <c r="G90" s="117"/>
      <c r="H90" s="118"/>
      <c r="I90" s="119"/>
      <c r="J90" s="120"/>
      <c r="K90" s="121"/>
      <c r="L90" s="122"/>
      <c r="N90" s="264" t="s">
        <v>853</v>
      </c>
      <c r="O90" s="161" t="s">
        <v>854</v>
      </c>
      <c r="P90" s="1065"/>
      <c r="Q90" s="393">
        <v>105</v>
      </c>
      <c r="R90" s="393"/>
      <c r="S90" s="393"/>
      <c r="T90" s="399" t="s">
        <v>698</v>
      </c>
      <c r="U90" s="393"/>
      <c r="V90" s="393"/>
      <c r="W90" s="393">
        <v>1</v>
      </c>
      <c r="X90" s="393">
        <v>1</v>
      </c>
      <c r="Y90" s="393">
        <f>4*4/3/3</f>
        <v>1.7777777777777777</v>
      </c>
      <c r="Z90" s="393" t="s">
        <v>855</v>
      </c>
      <c r="AA90" s="393"/>
      <c r="AB90" s="393"/>
      <c r="AC90" s="393"/>
      <c r="AD90" s="393"/>
      <c r="AE90" s="393"/>
    </row>
    <row r="91" spans="1:31" ht="14.25" customHeight="1" thickBot="1">
      <c r="A91" s="114"/>
      <c r="B91" s="115"/>
      <c r="C91" s="116"/>
      <c r="D91" s="105"/>
      <c r="E91" s="106"/>
      <c r="F91" s="107"/>
      <c r="G91" s="117"/>
      <c r="H91" s="118"/>
      <c r="I91" s="119"/>
      <c r="J91" s="120"/>
      <c r="K91" s="121"/>
      <c r="L91" s="122"/>
      <c r="N91" s="264" t="s">
        <v>856</v>
      </c>
      <c r="O91" s="161" t="s">
        <v>857</v>
      </c>
      <c r="P91" s="1065"/>
      <c r="Q91" s="393">
        <v>105</v>
      </c>
      <c r="R91" s="393" t="s">
        <v>697</v>
      </c>
      <c r="S91" s="393">
        <v>1</v>
      </c>
      <c r="T91" s="399" t="s">
        <v>698</v>
      </c>
      <c r="U91" s="393"/>
      <c r="V91" s="393" t="s">
        <v>699</v>
      </c>
      <c r="W91" s="393">
        <v>1</v>
      </c>
      <c r="X91" s="393">
        <v>1</v>
      </c>
      <c r="Y91" s="393">
        <f>4*4/3/3</f>
        <v>1.7777777777777777</v>
      </c>
      <c r="Z91" s="393" t="s">
        <v>855</v>
      </c>
      <c r="AA91" s="393"/>
      <c r="AB91" s="393"/>
      <c r="AC91" s="393"/>
      <c r="AD91" s="393"/>
      <c r="AE91" s="393"/>
    </row>
    <row r="92" spans="1:31" ht="13.5" thickBot="1">
      <c r="A92" s="114"/>
      <c r="B92" s="115"/>
      <c r="C92" s="116"/>
      <c r="D92" s="105"/>
      <c r="E92" s="106"/>
      <c r="F92" s="107"/>
      <c r="G92" s="117"/>
      <c r="H92" s="118"/>
      <c r="I92" s="119"/>
      <c r="J92" s="120"/>
      <c r="K92" s="121"/>
      <c r="L92" s="122"/>
      <c r="N92" s="264" t="s">
        <v>858</v>
      </c>
      <c r="O92" s="161" t="s">
        <v>859</v>
      </c>
      <c r="P92" s="1065"/>
      <c r="Q92" s="393">
        <v>2.5</v>
      </c>
      <c r="R92" s="393"/>
      <c r="S92" s="393"/>
      <c r="T92" s="393"/>
      <c r="U92" s="393"/>
      <c r="V92" s="393"/>
      <c r="W92" s="393">
        <v>1</v>
      </c>
      <c r="X92" s="393">
        <v>1</v>
      </c>
      <c r="Y92" s="393">
        <f>1</f>
        <v>1</v>
      </c>
      <c r="Z92" s="393" t="s">
        <v>782</v>
      </c>
      <c r="AA92" s="393"/>
      <c r="AB92" s="393"/>
      <c r="AC92" s="393"/>
      <c r="AD92" s="393"/>
      <c r="AE92" s="393"/>
    </row>
    <row r="93" spans="1:31" ht="13.5" thickBot="1">
      <c r="A93" s="114"/>
      <c r="B93" s="115"/>
      <c r="C93" s="116"/>
      <c r="D93" s="105"/>
      <c r="E93" s="106"/>
      <c r="F93" s="107"/>
      <c r="G93" s="117"/>
      <c r="H93" s="118"/>
      <c r="I93" s="119"/>
      <c r="J93" s="120"/>
      <c r="K93" s="121"/>
      <c r="L93" s="122"/>
      <c r="N93" s="264" t="s">
        <v>860</v>
      </c>
      <c r="O93" s="161" t="s">
        <v>861</v>
      </c>
      <c r="P93" s="1065"/>
      <c r="Q93" s="393">
        <v>190</v>
      </c>
      <c r="R93" s="393" t="s">
        <v>697</v>
      </c>
      <c r="S93" s="393">
        <v>1</v>
      </c>
      <c r="T93" s="399" t="s">
        <v>698</v>
      </c>
      <c r="U93" s="393"/>
      <c r="V93" s="393" t="s">
        <v>699</v>
      </c>
      <c r="W93" s="393">
        <v>1</v>
      </c>
      <c r="X93" s="393">
        <v>1</v>
      </c>
      <c r="Y93" s="393">
        <f>8*8/4/4</f>
        <v>4</v>
      </c>
      <c r="Z93" s="393" t="s">
        <v>862</v>
      </c>
      <c r="AA93" s="393"/>
      <c r="AB93" s="393"/>
      <c r="AC93" s="393"/>
      <c r="AD93" s="393"/>
      <c r="AE93" s="393"/>
    </row>
    <row r="94" spans="1:31" ht="13.5" thickBot="1">
      <c r="A94" s="114"/>
      <c r="B94" s="115"/>
      <c r="C94" s="116"/>
      <c r="D94" s="105"/>
      <c r="E94" s="106"/>
      <c r="F94" s="107"/>
      <c r="G94" s="117"/>
      <c r="H94" s="118"/>
      <c r="I94" s="119"/>
      <c r="J94" s="120"/>
      <c r="K94" s="121"/>
      <c r="L94" s="122"/>
      <c r="N94" s="264" t="s">
        <v>863</v>
      </c>
      <c r="O94" s="161" t="s">
        <v>864</v>
      </c>
      <c r="P94" s="1065"/>
      <c r="Q94" s="393">
        <v>1100</v>
      </c>
      <c r="R94" s="393" t="s">
        <v>697</v>
      </c>
      <c r="S94" s="393">
        <v>1</v>
      </c>
      <c r="T94" s="399" t="s">
        <v>763</v>
      </c>
      <c r="U94" s="393"/>
      <c r="V94" s="393" t="s">
        <v>726</v>
      </c>
      <c r="W94" s="393">
        <v>0</v>
      </c>
      <c r="X94" s="393">
        <v>0</v>
      </c>
      <c r="Y94" s="393"/>
      <c r="Z94" s="393" t="s">
        <v>712</v>
      </c>
      <c r="AA94" s="393"/>
      <c r="AB94" s="393"/>
      <c r="AC94" s="393"/>
      <c r="AD94" s="393"/>
      <c r="AE94" s="393"/>
    </row>
    <row r="95" spans="1:31" ht="13.5" thickBot="1">
      <c r="A95" s="114"/>
      <c r="B95" s="115"/>
      <c r="C95" s="116"/>
      <c r="D95" s="105"/>
      <c r="E95" s="106"/>
      <c r="F95" s="107"/>
      <c r="G95" s="117"/>
      <c r="H95" s="118"/>
      <c r="I95" s="119"/>
      <c r="J95" s="120"/>
      <c r="K95" s="121"/>
      <c r="L95" s="122"/>
      <c r="N95" s="264" t="s">
        <v>865</v>
      </c>
      <c r="O95" s="161" t="s">
        <v>866</v>
      </c>
      <c r="P95" s="1065"/>
      <c r="Q95" s="393">
        <v>1100</v>
      </c>
      <c r="R95" s="393" t="s">
        <v>697</v>
      </c>
      <c r="S95" s="393">
        <v>1</v>
      </c>
      <c r="T95" s="399" t="s">
        <v>698</v>
      </c>
      <c r="U95" s="393"/>
      <c r="V95" s="393" t="s">
        <v>726</v>
      </c>
      <c r="W95" s="393">
        <v>0</v>
      </c>
      <c r="X95" s="393">
        <v>0</v>
      </c>
      <c r="Y95" s="393"/>
      <c r="Z95" s="393" t="s">
        <v>712</v>
      </c>
      <c r="AA95" s="393"/>
      <c r="AB95" s="393"/>
      <c r="AC95" s="393"/>
      <c r="AD95" s="393"/>
      <c r="AE95" s="393"/>
    </row>
    <row r="96" spans="1:31" ht="13.5" thickBot="1">
      <c r="A96" s="114"/>
      <c r="B96" s="115"/>
      <c r="C96" s="116"/>
      <c r="D96" s="105"/>
      <c r="E96" s="106"/>
      <c r="F96" s="107"/>
      <c r="G96" s="117"/>
      <c r="H96" s="118"/>
      <c r="I96" s="119"/>
      <c r="J96" s="120"/>
      <c r="K96" s="121"/>
      <c r="L96" s="122"/>
      <c r="N96" s="264" t="s">
        <v>867</v>
      </c>
      <c r="O96" s="264" t="s">
        <v>868</v>
      </c>
      <c r="P96" s="1065"/>
      <c r="Q96" s="393">
        <v>1100</v>
      </c>
      <c r="R96" s="393" t="s">
        <v>869</v>
      </c>
      <c r="S96" s="393">
        <v>1</v>
      </c>
      <c r="T96" s="399" t="s">
        <v>870</v>
      </c>
      <c r="U96" s="393"/>
      <c r="V96" s="393" t="s">
        <v>871</v>
      </c>
      <c r="W96" s="393">
        <v>0</v>
      </c>
      <c r="X96" s="393">
        <v>0</v>
      </c>
      <c r="Y96" s="393"/>
      <c r="Z96" s="393" t="s">
        <v>872</v>
      </c>
      <c r="AA96" s="393"/>
      <c r="AB96" s="393"/>
      <c r="AC96" s="393"/>
      <c r="AD96" s="393"/>
      <c r="AE96" s="393"/>
    </row>
    <row r="97" spans="1:31" ht="13.5" thickBot="1">
      <c r="A97" s="114"/>
      <c r="B97" s="115"/>
      <c r="C97" s="116"/>
      <c r="D97" s="105"/>
      <c r="E97" s="106"/>
      <c r="F97" s="107"/>
      <c r="G97" s="117"/>
      <c r="H97" s="118"/>
      <c r="I97" s="119"/>
      <c r="J97" s="120"/>
      <c r="K97" s="121"/>
      <c r="L97" s="122"/>
      <c r="N97" s="264" t="s">
        <v>873</v>
      </c>
      <c r="O97" s="264" t="s">
        <v>874</v>
      </c>
      <c r="P97" s="1065" t="s">
        <v>9083</v>
      </c>
      <c r="Q97" s="393">
        <v>1100</v>
      </c>
      <c r="R97" s="393" t="s">
        <v>869</v>
      </c>
      <c r="S97" s="393">
        <v>1</v>
      </c>
      <c r="T97" s="399" t="s">
        <v>870</v>
      </c>
      <c r="U97" s="393"/>
      <c r="V97" s="393" t="s">
        <v>871</v>
      </c>
      <c r="W97" s="393">
        <v>0</v>
      </c>
      <c r="X97" s="393">
        <v>0</v>
      </c>
      <c r="Y97" s="393"/>
      <c r="Z97" s="393" t="s">
        <v>872</v>
      </c>
      <c r="AA97" s="393"/>
      <c r="AB97" s="393"/>
      <c r="AC97" s="393"/>
      <c r="AD97" s="393"/>
      <c r="AE97" s="393"/>
    </row>
    <row r="98" spans="1:31" ht="13.5" thickBot="1">
      <c r="A98" s="114"/>
      <c r="B98" s="115"/>
      <c r="C98" s="116"/>
      <c r="D98" s="105"/>
      <c r="E98" s="106"/>
      <c r="F98" s="107"/>
      <c r="G98" s="117"/>
      <c r="H98" s="118"/>
      <c r="I98" s="119"/>
      <c r="J98" s="120"/>
      <c r="K98" s="121"/>
      <c r="L98" s="122"/>
      <c r="N98" s="264" t="s">
        <v>875</v>
      </c>
      <c r="O98" s="161" t="s">
        <v>876</v>
      </c>
      <c r="P98" s="1065"/>
      <c r="Q98" s="393">
        <v>44</v>
      </c>
      <c r="R98" s="393"/>
      <c r="S98" s="393"/>
      <c r="T98" s="399" t="s">
        <v>870</v>
      </c>
      <c r="U98" s="393"/>
      <c r="V98" s="393"/>
      <c r="W98" s="393">
        <v>1</v>
      </c>
      <c r="X98" s="393">
        <v>0</v>
      </c>
      <c r="Y98" s="393"/>
      <c r="Z98" s="393" t="s">
        <v>877</v>
      </c>
      <c r="AA98" s="393"/>
      <c r="AB98" s="393"/>
      <c r="AC98" s="393"/>
      <c r="AD98" s="393"/>
      <c r="AE98" s="393"/>
    </row>
    <row r="99" spans="1:31" ht="13.5" thickBot="1">
      <c r="A99" s="114"/>
      <c r="B99" s="115"/>
      <c r="C99" s="116"/>
      <c r="D99" s="105"/>
      <c r="E99" s="106"/>
      <c r="F99" s="107"/>
      <c r="G99" s="117"/>
      <c r="H99" s="118"/>
      <c r="I99" s="119"/>
      <c r="J99" s="120"/>
      <c r="K99" s="121"/>
      <c r="L99" s="122"/>
      <c r="N99" s="264" t="s">
        <v>878</v>
      </c>
      <c r="O99" s="161"/>
      <c r="P99" s="1065"/>
      <c r="Q99" s="393"/>
      <c r="R99" s="393"/>
      <c r="S99" s="393"/>
      <c r="T99" s="393"/>
      <c r="U99" s="393"/>
      <c r="V99" s="393"/>
      <c r="W99" s="393"/>
      <c r="X99" s="393"/>
      <c r="Y99" s="393"/>
      <c r="Z99" s="393"/>
      <c r="AA99" s="393"/>
      <c r="AB99" s="393"/>
      <c r="AC99" s="393"/>
      <c r="AD99" s="393"/>
      <c r="AE99" s="393"/>
    </row>
    <row r="100" spans="1:31" ht="13.5" thickBot="1">
      <c r="A100" s="114"/>
      <c r="B100" s="115"/>
      <c r="C100" s="116"/>
      <c r="D100" s="105"/>
      <c r="E100" s="106"/>
      <c r="F100" s="107"/>
      <c r="G100" s="117"/>
      <c r="H100" s="118"/>
      <c r="I100" s="119"/>
      <c r="J100" s="120"/>
      <c r="K100" s="121"/>
      <c r="L100" s="122"/>
      <c r="N100" s="264" t="s">
        <v>879</v>
      </c>
      <c r="O100" s="161" t="s">
        <v>880</v>
      </c>
      <c r="P100" s="1065"/>
      <c r="Q100" s="393"/>
      <c r="R100" s="393"/>
      <c r="S100" s="393"/>
      <c r="T100" s="399" t="s">
        <v>881</v>
      </c>
      <c r="U100" s="393"/>
      <c r="V100" s="393"/>
      <c r="W100" s="393">
        <v>0</v>
      </c>
      <c r="X100" s="393">
        <v>0</v>
      </c>
      <c r="Y100" s="393"/>
      <c r="Z100" s="393" t="s">
        <v>882</v>
      </c>
      <c r="AA100" s="393"/>
      <c r="AB100" s="393"/>
      <c r="AC100" s="393"/>
      <c r="AD100" s="393"/>
      <c r="AE100" s="393"/>
    </row>
    <row r="101" spans="1:31" ht="13.5" thickBot="1">
      <c r="A101" s="114"/>
      <c r="B101" s="115"/>
      <c r="C101" s="116"/>
      <c r="D101" s="105"/>
      <c r="E101" s="106"/>
      <c r="F101" s="107"/>
      <c r="G101" s="117"/>
      <c r="H101" s="118"/>
      <c r="I101" s="119"/>
      <c r="J101" s="120"/>
      <c r="K101" s="121"/>
      <c r="L101" s="122"/>
      <c r="N101" s="264" t="s">
        <v>883</v>
      </c>
      <c r="O101" s="264" t="s">
        <v>884</v>
      </c>
      <c r="P101" s="1065"/>
      <c r="Q101" s="393">
        <v>92.4</v>
      </c>
      <c r="R101" s="393"/>
      <c r="S101" s="393"/>
      <c r="T101" s="393"/>
      <c r="U101" s="393"/>
      <c r="V101" s="393"/>
      <c r="W101" s="393">
        <v>1</v>
      </c>
      <c r="X101" s="393">
        <v>1</v>
      </c>
      <c r="Y101" s="393">
        <f>4*4/3/3</f>
        <v>1.7777777777777777</v>
      </c>
      <c r="Z101" s="393" t="s">
        <v>885</v>
      </c>
      <c r="AA101" s="393"/>
      <c r="AB101" s="393"/>
      <c r="AC101" s="393"/>
      <c r="AD101" s="393"/>
      <c r="AE101" s="393"/>
    </row>
    <row r="102" spans="1:31" ht="13.5" thickBot="1">
      <c r="A102" s="114"/>
      <c r="B102" s="115"/>
      <c r="C102" s="116"/>
      <c r="D102" s="105"/>
      <c r="E102" s="106"/>
      <c r="F102" s="107"/>
      <c r="G102" s="117"/>
      <c r="H102" s="118"/>
      <c r="I102" s="119"/>
      <c r="J102" s="120"/>
      <c r="K102" s="121"/>
      <c r="L102" s="122"/>
      <c r="N102" s="264" t="s">
        <v>886</v>
      </c>
      <c r="O102" s="161" t="s">
        <v>887</v>
      </c>
      <c r="P102" s="1065"/>
      <c r="Q102" s="393">
        <v>540</v>
      </c>
      <c r="R102" s="393"/>
      <c r="S102" s="393"/>
      <c r="T102" s="399" t="s">
        <v>870</v>
      </c>
      <c r="U102" s="393"/>
      <c r="V102" s="393"/>
      <c r="W102" s="393">
        <v>1</v>
      </c>
      <c r="X102" s="393">
        <v>0</v>
      </c>
      <c r="Y102" s="393"/>
      <c r="Z102" s="393" t="s">
        <v>888</v>
      </c>
      <c r="AA102" s="393"/>
      <c r="AB102" s="393"/>
      <c r="AC102" s="393"/>
      <c r="AD102" s="393"/>
      <c r="AE102" s="393"/>
    </row>
    <row r="103" spans="1:31" ht="13.5" thickBot="1">
      <c r="A103" s="114"/>
      <c r="B103" s="115"/>
      <c r="C103" s="116"/>
      <c r="D103" s="105"/>
      <c r="E103" s="106"/>
      <c r="F103" s="107"/>
      <c r="G103" s="117"/>
      <c r="H103" s="118"/>
      <c r="I103" s="119"/>
      <c r="J103" s="120"/>
      <c r="K103" s="121"/>
      <c r="L103" s="122"/>
      <c r="N103" s="264" t="s">
        <v>889</v>
      </c>
      <c r="O103" s="161"/>
      <c r="P103" s="1065"/>
      <c r="Q103" s="393"/>
      <c r="R103" s="393"/>
      <c r="S103" s="393"/>
      <c r="T103" s="393"/>
      <c r="U103" s="393"/>
      <c r="V103" s="393"/>
      <c r="W103" s="393"/>
      <c r="X103" s="393"/>
      <c r="Y103" s="393"/>
      <c r="Z103" s="393"/>
      <c r="AA103" s="393"/>
      <c r="AB103" s="393"/>
      <c r="AC103" s="393"/>
      <c r="AD103" s="393"/>
      <c r="AE103" s="393"/>
    </row>
    <row r="104" spans="1:31" ht="13.5" thickBot="1">
      <c r="A104" s="114"/>
      <c r="B104" s="115"/>
      <c r="C104" s="116"/>
      <c r="D104" s="105"/>
      <c r="E104" s="106"/>
      <c r="F104" s="107"/>
      <c r="G104" s="117"/>
      <c r="H104" s="118"/>
      <c r="I104" s="119"/>
      <c r="J104" s="120"/>
      <c r="K104" s="121"/>
      <c r="L104" s="122"/>
      <c r="N104" s="264" t="s">
        <v>890</v>
      </c>
      <c r="O104" s="161"/>
      <c r="P104" s="1065"/>
      <c r="Q104" s="393"/>
      <c r="R104" s="393"/>
      <c r="S104" s="393"/>
      <c r="T104" s="393"/>
      <c r="U104" s="393"/>
      <c r="V104" s="393"/>
      <c r="W104" s="393"/>
      <c r="X104" s="393"/>
      <c r="Y104" s="393"/>
      <c r="Z104" s="393"/>
      <c r="AA104" s="393"/>
      <c r="AB104" s="393"/>
      <c r="AC104" s="393"/>
      <c r="AD104" s="393"/>
      <c r="AE104" s="393"/>
    </row>
    <row r="105" spans="1:31" ht="13.5" thickBot="1">
      <c r="A105" s="114"/>
      <c r="B105" s="115"/>
      <c r="C105" s="116"/>
      <c r="D105" s="105"/>
      <c r="E105" s="106"/>
      <c r="F105" s="107"/>
      <c r="G105" s="117"/>
      <c r="H105" s="118"/>
      <c r="I105" s="119"/>
      <c r="J105" s="120"/>
      <c r="K105" s="121"/>
      <c r="L105" s="122"/>
      <c r="N105" s="264" t="s">
        <v>891</v>
      </c>
      <c r="O105" s="264" t="s">
        <v>892</v>
      </c>
      <c r="P105" s="161" t="s">
        <v>893</v>
      </c>
      <c r="Q105" s="393">
        <v>150</v>
      </c>
      <c r="R105" s="393" t="s">
        <v>869</v>
      </c>
      <c r="S105" s="393">
        <v>1</v>
      </c>
      <c r="T105" s="399" t="s">
        <v>870</v>
      </c>
      <c r="U105" s="393"/>
      <c r="V105" s="393" t="s">
        <v>871</v>
      </c>
      <c r="W105" s="393">
        <v>1</v>
      </c>
      <c r="X105" s="393">
        <v>1</v>
      </c>
      <c r="Y105" s="393">
        <f>4/4</f>
        <v>1</v>
      </c>
      <c r="Z105" s="393" t="s">
        <v>894</v>
      </c>
      <c r="AA105" s="393"/>
      <c r="AB105" s="393"/>
      <c r="AC105" s="393"/>
      <c r="AD105" s="393"/>
      <c r="AE105" s="393"/>
    </row>
    <row r="106" spans="1:31" ht="13.5" thickBot="1">
      <c r="A106" s="114"/>
      <c r="B106" s="115"/>
      <c r="C106" s="116"/>
      <c r="D106" s="105"/>
      <c r="E106" s="106"/>
      <c r="F106" s="107"/>
      <c r="G106" s="117"/>
      <c r="H106" s="118"/>
      <c r="I106" s="119"/>
      <c r="J106" s="120"/>
      <c r="K106" s="121"/>
      <c r="L106" s="122"/>
      <c r="N106" s="264"/>
      <c r="O106" s="627" t="s">
        <v>8863</v>
      </c>
      <c r="P106" s="161" t="s">
        <v>895</v>
      </c>
      <c r="Q106" s="393"/>
      <c r="R106" s="393"/>
      <c r="S106" s="393"/>
      <c r="T106" s="399" t="s">
        <v>881</v>
      </c>
      <c r="U106" s="393"/>
      <c r="V106" s="393"/>
      <c r="W106" s="393">
        <v>1</v>
      </c>
      <c r="X106" s="393">
        <v>1</v>
      </c>
      <c r="Y106" s="393">
        <f>1.5*1.5/1</f>
        <v>2.25</v>
      </c>
      <c r="Z106" s="393" t="s">
        <v>896</v>
      </c>
      <c r="AA106" s="393"/>
      <c r="AB106" s="393"/>
      <c r="AC106" s="393"/>
      <c r="AD106" s="393"/>
      <c r="AE106" s="393"/>
    </row>
    <row r="107" spans="1:31" ht="13.5" thickBot="1">
      <c r="A107" s="114"/>
      <c r="B107" s="115"/>
      <c r="C107" s="116"/>
      <c r="D107" s="105"/>
      <c r="E107" s="106"/>
      <c r="F107" s="107"/>
      <c r="G107" s="117"/>
      <c r="H107" s="118"/>
      <c r="I107" s="119"/>
      <c r="J107" s="120"/>
      <c r="K107" s="121"/>
      <c r="L107" s="122"/>
      <c r="N107" s="264"/>
      <c r="O107" s="264" t="s">
        <v>5378</v>
      </c>
      <c r="P107" s="161" t="s">
        <v>897</v>
      </c>
      <c r="Q107" s="393">
        <v>149</v>
      </c>
      <c r="R107" s="393" t="s">
        <v>869</v>
      </c>
      <c r="S107" s="393">
        <v>1</v>
      </c>
      <c r="T107" s="393" t="s">
        <v>881</v>
      </c>
      <c r="U107" s="393"/>
      <c r="V107" s="393" t="s">
        <v>898</v>
      </c>
      <c r="W107" s="393">
        <v>1</v>
      </c>
      <c r="X107" s="393">
        <v>0</v>
      </c>
      <c r="Y107" s="393"/>
      <c r="Z107" s="393" t="s">
        <v>899</v>
      </c>
      <c r="AA107" s="393"/>
      <c r="AB107" s="393"/>
      <c r="AC107" s="393">
        <v>599</v>
      </c>
      <c r="AD107" s="393">
        <v>20.7</v>
      </c>
      <c r="AE107" s="393">
        <v>71</v>
      </c>
    </row>
    <row r="108" spans="1:31" ht="13.5" thickBot="1">
      <c r="A108" s="114"/>
      <c r="B108" s="115"/>
      <c r="C108" s="116"/>
      <c r="D108" s="105"/>
      <c r="E108" s="106"/>
      <c r="F108" s="107"/>
      <c r="G108" s="117"/>
      <c r="H108" s="118"/>
      <c r="I108" s="119"/>
      <c r="J108" s="120"/>
      <c r="K108" s="121"/>
      <c r="L108" s="122"/>
      <c r="N108" s="396" t="s">
        <v>900</v>
      </c>
      <c r="O108" s="161" t="s">
        <v>4580</v>
      </c>
      <c r="P108" s="161" t="s">
        <v>901</v>
      </c>
      <c r="Q108" s="393"/>
      <c r="R108" s="393" t="s">
        <v>869</v>
      </c>
      <c r="S108" s="393">
        <v>1</v>
      </c>
      <c r="T108" s="393" t="s">
        <v>870</v>
      </c>
      <c r="U108" s="393"/>
      <c r="V108" s="393" t="s">
        <v>898</v>
      </c>
      <c r="W108" s="393"/>
      <c r="X108" s="393"/>
      <c r="Y108" s="393"/>
      <c r="Z108" s="393"/>
      <c r="AA108" s="393"/>
      <c r="AB108" s="393"/>
      <c r="AC108" s="393"/>
      <c r="AD108" s="393"/>
      <c r="AE108" s="393">
        <v>56</v>
      </c>
    </row>
    <row r="109" spans="1:31" ht="13.5" thickBot="1">
      <c r="A109" s="114"/>
      <c r="B109" s="115"/>
      <c r="C109" s="116"/>
      <c r="D109" s="105"/>
      <c r="E109" s="106"/>
      <c r="F109" s="107"/>
      <c r="G109" s="117"/>
      <c r="H109" s="118"/>
      <c r="I109" s="119"/>
      <c r="J109" s="120"/>
      <c r="K109" s="121"/>
      <c r="L109" s="122"/>
      <c r="N109" s="620" t="s">
        <v>902</v>
      </c>
      <c r="O109" s="626" t="s">
        <v>8858</v>
      </c>
      <c r="P109" s="161" t="s">
        <v>903</v>
      </c>
      <c r="Q109" s="393">
        <v>7.51</v>
      </c>
      <c r="R109" s="393" t="s">
        <v>869</v>
      </c>
      <c r="S109" s="393">
        <v>1</v>
      </c>
      <c r="T109" s="393" t="s">
        <v>881</v>
      </c>
      <c r="U109" s="393"/>
      <c r="V109" s="393" t="s">
        <v>898</v>
      </c>
      <c r="W109" s="393"/>
      <c r="X109" s="393"/>
      <c r="Y109" s="393"/>
      <c r="Z109" s="393"/>
      <c r="AA109" s="393"/>
      <c r="AB109" s="393"/>
      <c r="AC109" s="393">
        <v>2230</v>
      </c>
      <c r="AD109" s="393">
        <v>0.7</v>
      </c>
      <c r="AE109" s="393"/>
    </row>
    <row r="110" spans="1:31" ht="13.5" thickBot="1">
      <c r="A110" s="114"/>
      <c r="B110" s="115"/>
      <c r="C110" s="116"/>
      <c r="D110" s="105"/>
      <c r="E110" s="106"/>
      <c r="F110" s="107"/>
      <c r="G110" s="117"/>
      <c r="H110" s="118"/>
      <c r="I110" s="119"/>
      <c r="J110" s="120"/>
      <c r="K110" s="121"/>
      <c r="L110" s="122"/>
      <c r="N110" s="264" t="s">
        <v>904</v>
      </c>
      <c r="O110" s="161" t="s">
        <v>8859</v>
      </c>
      <c r="P110" s="161" t="s">
        <v>905</v>
      </c>
      <c r="Q110" s="393">
        <v>35.799999999999997</v>
      </c>
      <c r="R110" s="393" t="s">
        <v>869</v>
      </c>
      <c r="S110" s="393">
        <v>1</v>
      </c>
      <c r="T110" s="393" t="s">
        <v>881</v>
      </c>
      <c r="U110" s="393"/>
      <c r="V110" s="393" t="s">
        <v>898</v>
      </c>
      <c r="W110" s="393">
        <v>1</v>
      </c>
      <c r="X110" s="393">
        <v>1</v>
      </c>
      <c r="Y110" s="393">
        <f>2/2</f>
        <v>1</v>
      </c>
      <c r="Z110" s="393" t="s">
        <v>896</v>
      </c>
      <c r="AA110" s="393"/>
      <c r="AB110" s="393"/>
      <c r="AC110" s="393">
        <v>12600</v>
      </c>
      <c r="AD110" s="393">
        <v>0.7</v>
      </c>
      <c r="AE110" s="393">
        <v>72</v>
      </c>
    </row>
    <row r="111" spans="1:31" ht="13.5" thickBot="1">
      <c r="A111" s="114"/>
      <c r="B111" s="115"/>
      <c r="C111" s="116"/>
      <c r="D111" s="105"/>
      <c r="E111" s="106"/>
      <c r="F111" s="107"/>
      <c r="G111" s="117"/>
      <c r="H111" s="118"/>
      <c r="I111" s="119"/>
      <c r="J111" s="120"/>
      <c r="K111" s="121"/>
      <c r="L111" s="122"/>
      <c r="N111" s="264" t="s">
        <v>906</v>
      </c>
      <c r="O111" s="161" t="s">
        <v>907</v>
      </c>
      <c r="P111" s="161" t="s">
        <v>908</v>
      </c>
      <c r="Q111" s="393">
        <v>35.799999999999997</v>
      </c>
      <c r="R111" s="393" t="s">
        <v>869</v>
      </c>
      <c r="S111" s="393">
        <v>1</v>
      </c>
      <c r="T111" s="393" t="s">
        <v>881</v>
      </c>
      <c r="U111" s="393"/>
      <c r="V111" s="393" t="s">
        <v>898</v>
      </c>
      <c r="W111" s="393">
        <v>1</v>
      </c>
      <c r="X111" s="393">
        <v>1</v>
      </c>
      <c r="Y111" s="393">
        <f>2*2/1.5/1.5</f>
        <v>1.7777777777777777</v>
      </c>
      <c r="Z111" s="393" t="s">
        <v>899</v>
      </c>
      <c r="AA111" s="393"/>
      <c r="AB111" s="393"/>
      <c r="AC111" s="393"/>
      <c r="AD111" s="393"/>
      <c r="AE111" s="393"/>
    </row>
    <row r="112" spans="1:31" ht="13.5" thickBot="1">
      <c r="A112" s="114"/>
      <c r="B112" s="115"/>
      <c r="C112" s="116"/>
      <c r="D112" s="105"/>
      <c r="E112" s="106"/>
      <c r="F112" s="107"/>
      <c r="G112" s="117"/>
      <c r="H112" s="118"/>
      <c r="I112" s="119"/>
      <c r="J112" s="120"/>
      <c r="K112" s="121"/>
      <c r="L112" s="122"/>
      <c r="N112" s="264" t="s">
        <v>909</v>
      </c>
      <c r="O112" s="161" t="s">
        <v>910</v>
      </c>
      <c r="P112" s="161" t="s">
        <v>911</v>
      </c>
      <c r="Q112" s="393">
        <v>28.9</v>
      </c>
      <c r="R112" s="393" t="s">
        <v>869</v>
      </c>
      <c r="S112" s="393">
        <v>1</v>
      </c>
      <c r="T112" s="393" t="s">
        <v>881</v>
      </c>
      <c r="U112" s="393"/>
      <c r="V112" s="393" t="s">
        <v>898</v>
      </c>
      <c r="W112" s="393">
        <v>1</v>
      </c>
      <c r="X112" s="393">
        <v>1</v>
      </c>
      <c r="Y112" s="393">
        <f>0.75*0.75/1.5/1.5</f>
        <v>0.25</v>
      </c>
      <c r="Z112" s="393" t="s">
        <v>899</v>
      </c>
      <c r="AA112" s="393"/>
      <c r="AB112" s="393"/>
      <c r="AC112" s="393">
        <v>62687</v>
      </c>
      <c r="AD112" s="393">
        <v>7</v>
      </c>
      <c r="AE112" s="393">
        <v>61</v>
      </c>
    </row>
    <row r="113" spans="1:31" ht="13.5" thickBot="1">
      <c r="A113" s="114"/>
      <c r="B113" s="115"/>
      <c r="C113" s="116"/>
      <c r="D113" s="105"/>
      <c r="E113" s="106"/>
      <c r="F113" s="107"/>
      <c r="G113" s="117"/>
      <c r="H113" s="118"/>
      <c r="I113" s="119"/>
      <c r="J113" s="120"/>
      <c r="K113" s="121"/>
      <c r="L113" s="122"/>
      <c r="N113" s="161" t="s">
        <v>912</v>
      </c>
      <c r="O113" s="161"/>
      <c r="P113" s="161" t="s">
        <v>913</v>
      </c>
      <c r="Q113" s="393">
        <v>28.9</v>
      </c>
      <c r="R113" s="393" t="s">
        <v>869</v>
      </c>
      <c r="S113" s="393">
        <v>1</v>
      </c>
      <c r="T113" s="393" t="s">
        <v>881</v>
      </c>
      <c r="U113" s="393"/>
      <c r="V113" s="393" t="s">
        <v>898</v>
      </c>
      <c r="W113" s="393"/>
      <c r="X113" s="393"/>
      <c r="Y113" s="393"/>
      <c r="Z113" s="393"/>
      <c r="AA113" s="393"/>
      <c r="AB113" s="393"/>
      <c r="AC113" s="393">
        <v>79110</v>
      </c>
      <c r="AD113" s="393">
        <v>11.5</v>
      </c>
      <c r="AE113" s="393"/>
    </row>
    <row r="114" spans="1:31" ht="13.5" thickBot="1">
      <c r="A114" s="114"/>
      <c r="B114" s="115"/>
      <c r="C114" s="116"/>
      <c r="D114" s="105"/>
      <c r="E114" s="106"/>
      <c r="F114" s="107"/>
      <c r="G114" s="117"/>
      <c r="H114" s="118"/>
      <c r="I114" s="119"/>
      <c r="J114" s="120"/>
      <c r="K114" s="121"/>
      <c r="L114" s="122"/>
      <c r="N114" s="161" t="s">
        <v>914</v>
      </c>
      <c r="O114" s="161" t="s">
        <v>915</v>
      </c>
      <c r="P114" s="161" t="s">
        <v>916</v>
      </c>
      <c r="Q114" s="393">
        <v>11.6</v>
      </c>
      <c r="R114" s="393" t="s">
        <v>869</v>
      </c>
      <c r="S114" s="393">
        <v>1</v>
      </c>
      <c r="T114" s="393" t="s">
        <v>881</v>
      </c>
      <c r="U114" s="393"/>
      <c r="V114" s="393" t="s">
        <v>898</v>
      </c>
      <c r="W114" s="393">
        <v>1</v>
      </c>
      <c r="X114" s="393">
        <v>1</v>
      </c>
      <c r="Y114" s="393">
        <f>2/2</f>
        <v>1</v>
      </c>
      <c r="Z114" s="393" t="s">
        <v>917</v>
      </c>
      <c r="AA114" s="393"/>
      <c r="AB114" s="393"/>
      <c r="AC114" s="393">
        <v>841.4</v>
      </c>
      <c r="AD114" s="393">
        <v>3.5</v>
      </c>
      <c r="AE114" s="393"/>
    </row>
    <row r="115" spans="1:31" ht="13.5" thickBot="1">
      <c r="A115" s="114"/>
      <c r="B115" s="115"/>
      <c r="C115" s="116"/>
      <c r="D115" s="105"/>
      <c r="E115" s="106"/>
      <c r="F115" s="107"/>
      <c r="G115" s="117"/>
      <c r="H115" s="118"/>
      <c r="I115" s="119"/>
      <c r="J115" s="120"/>
      <c r="K115" s="121"/>
      <c r="L115" s="122"/>
      <c r="N115" s="161" t="s">
        <v>918</v>
      </c>
      <c r="O115" s="161" t="s">
        <v>919</v>
      </c>
      <c r="P115" s="161" t="s">
        <v>920</v>
      </c>
      <c r="Q115" s="393">
        <v>39.200000000000003</v>
      </c>
      <c r="R115" s="393" t="s">
        <v>869</v>
      </c>
      <c r="S115" s="393">
        <v>1</v>
      </c>
      <c r="T115" s="393" t="s">
        <v>881</v>
      </c>
      <c r="U115" s="393"/>
      <c r="V115" s="393" t="s">
        <v>898</v>
      </c>
      <c r="W115" s="393">
        <v>0</v>
      </c>
      <c r="X115" s="393">
        <v>0</v>
      </c>
      <c r="Y115" s="393"/>
      <c r="Z115" s="393" t="s">
        <v>917</v>
      </c>
      <c r="AA115" s="393"/>
      <c r="AB115" s="393"/>
      <c r="AC115" s="393">
        <v>13734</v>
      </c>
      <c r="AD115" s="393">
        <v>0.35</v>
      </c>
      <c r="AE115" s="393">
        <v>74</v>
      </c>
    </row>
    <row r="116" spans="1:31" s="132" customFormat="1" ht="13.5" thickBot="1">
      <c r="A116" s="114"/>
      <c r="B116" s="115"/>
      <c r="C116" s="116"/>
      <c r="D116" s="105"/>
      <c r="E116" s="106"/>
      <c r="F116" s="107"/>
      <c r="G116" s="117"/>
      <c r="H116" s="118"/>
      <c r="I116" s="119"/>
      <c r="J116" s="120"/>
      <c r="K116" s="121"/>
      <c r="L116" s="122"/>
      <c r="M116" s="52"/>
      <c r="N116" s="161" t="s">
        <v>921</v>
      </c>
      <c r="O116" s="161" t="s">
        <v>922</v>
      </c>
      <c r="P116" s="161" t="s">
        <v>923</v>
      </c>
      <c r="Q116" s="393">
        <v>39.299999999999997</v>
      </c>
      <c r="R116" s="393" t="s">
        <v>869</v>
      </c>
      <c r="S116" s="393">
        <v>1</v>
      </c>
      <c r="T116" s="393" t="s">
        <v>870</v>
      </c>
      <c r="U116" s="393"/>
      <c r="V116" s="393" t="s">
        <v>898</v>
      </c>
      <c r="W116" s="393">
        <v>1</v>
      </c>
      <c r="X116" s="393">
        <v>1</v>
      </c>
      <c r="Y116" s="393">
        <f>2/2</f>
        <v>1</v>
      </c>
      <c r="Z116" s="393" t="s">
        <v>924</v>
      </c>
      <c r="AA116" s="393"/>
      <c r="AB116" s="393"/>
      <c r="AC116" s="393">
        <v>42300</v>
      </c>
      <c r="AD116" s="393">
        <v>2.8</v>
      </c>
      <c r="AE116" s="393"/>
    </row>
    <row r="117" spans="1:31" ht="13.5" thickBot="1">
      <c r="A117" s="114"/>
      <c r="B117" s="115"/>
      <c r="C117" s="116"/>
      <c r="D117" s="105"/>
      <c r="E117" s="106"/>
      <c r="F117" s="107"/>
      <c r="G117" s="117"/>
      <c r="H117" s="118"/>
      <c r="I117" s="119"/>
      <c r="J117" s="120"/>
      <c r="K117" s="121"/>
      <c r="L117" s="122"/>
      <c r="N117" s="264" t="s">
        <v>925</v>
      </c>
      <c r="O117" s="161" t="s">
        <v>926</v>
      </c>
      <c r="P117" s="161" t="s">
        <v>927</v>
      </c>
      <c r="Q117" s="393">
        <v>1750</v>
      </c>
      <c r="R117" s="393" t="s">
        <v>869</v>
      </c>
      <c r="S117" s="393">
        <v>1</v>
      </c>
      <c r="T117" s="393" t="s">
        <v>870</v>
      </c>
      <c r="U117" s="393"/>
      <c r="V117" s="393" t="s">
        <v>898</v>
      </c>
      <c r="W117" s="393">
        <v>1</v>
      </c>
      <c r="X117" s="393">
        <v>1</v>
      </c>
      <c r="Y117" s="393">
        <f>6*6/8/8</f>
        <v>0.5625</v>
      </c>
      <c r="Z117" s="393" t="s">
        <v>877</v>
      </c>
      <c r="AA117" s="393"/>
      <c r="AB117" s="393"/>
      <c r="AC117" s="393">
        <v>250</v>
      </c>
      <c r="AD117" s="393">
        <v>0.7</v>
      </c>
      <c r="AE117" s="393"/>
    </row>
    <row r="118" spans="1:31" ht="13.5" thickBot="1">
      <c r="A118" s="114"/>
      <c r="B118" s="115"/>
      <c r="C118" s="116"/>
      <c r="D118" s="105"/>
      <c r="E118" s="106"/>
      <c r="F118" s="107"/>
      <c r="G118" s="117"/>
      <c r="H118" s="118"/>
      <c r="I118" s="119"/>
      <c r="J118" s="120"/>
      <c r="K118" s="121"/>
      <c r="L118" s="122"/>
      <c r="N118" s="161" t="s">
        <v>928</v>
      </c>
      <c r="O118" s="161" t="s">
        <v>929</v>
      </c>
      <c r="P118" s="161" t="s">
        <v>930</v>
      </c>
      <c r="Q118" s="393">
        <v>2100</v>
      </c>
      <c r="R118" s="393" t="s">
        <v>931</v>
      </c>
      <c r="S118" s="393">
        <v>0</v>
      </c>
      <c r="T118" s="393" t="s">
        <v>881</v>
      </c>
      <c r="U118" s="393"/>
      <c r="V118" s="767" t="s">
        <v>10376</v>
      </c>
      <c r="W118" s="393">
        <v>1</v>
      </c>
      <c r="X118" s="393">
        <v>0</v>
      </c>
      <c r="Y118" s="393"/>
      <c r="Z118" s="393" t="s">
        <v>877</v>
      </c>
      <c r="AA118" s="393"/>
      <c r="AB118" s="393"/>
      <c r="AC118" s="393">
        <v>250</v>
      </c>
      <c r="AD118" s="393">
        <v>0.12</v>
      </c>
      <c r="AE118" s="393">
        <v>38</v>
      </c>
    </row>
    <row r="119" spans="1:31" ht="13.5" thickBot="1">
      <c r="A119" s="114"/>
      <c r="B119" s="115"/>
      <c r="C119" s="116"/>
      <c r="D119" s="105"/>
      <c r="E119" s="106"/>
      <c r="F119" s="107"/>
      <c r="G119" s="117"/>
      <c r="H119" s="118"/>
      <c r="I119" s="119"/>
      <c r="J119" s="120"/>
      <c r="K119" s="121"/>
      <c r="L119" s="122"/>
      <c r="N119" s="161" t="s">
        <v>928</v>
      </c>
      <c r="O119" s="161" t="s">
        <v>932</v>
      </c>
      <c r="P119" s="161" t="s">
        <v>930</v>
      </c>
      <c r="Q119" s="393">
        <v>2100</v>
      </c>
      <c r="R119" s="393" t="s">
        <v>931</v>
      </c>
      <c r="S119" s="393">
        <v>0</v>
      </c>
      <c r="T119" s="393" t="s">
        <v>881</v>
      </c>
      <c r="U119" s="393"/>
      <c r="V119" s="767" t="s">
        <v>10376</v>
      </c>
      <c r="W119" s="393">
        <v>1</v>
      </c>
      <c r="X119" s="393">
        <v>0</v>
      </c>
      <c r="Y119" s="393"/>
      <c r="Z119" s="393" t="s">
        <v>877</v>
      </c>
      <c r="AA119" s="393"/>
      <c r="AB119" s="393"/>
      <c r="AC119" s="393">
        <v>250</v>
      </c>
      <c r="AD119" s="393">
        <v>0.12</v>
      </c>
      <c r="AE119" s="393">
        <v>38</v>
      </c>
    </row>
    <row r="120" spans="1:31" ht="13.5" thickBot="1">
      <c r="A120" s="114"/>
      <c r="B120" s="115"/>
      <c r="C120" s="116"/>
      <c r="D120" s="105"/>
      <c r="E120" s="106"/>
      <c r="F120" s="107"/>
      <c r="G120" s="117"/>
      <c r="H120" s="118"/>
      <c r="I120" s="119"/>
      <c r="J120" s="120"/>
      <c r="K120" s="121"/>
      <c r="L120" s="122"/>
      <c r="N120" s="161" t="s">
        <v>933</v>
      </c>
      <c r="O120" s="161" t="s">
        <v>934</v>
      </c>
      <c r="P120" s="161" t="s">
        <v>935</v>
      </c>
      <c r="Q120" s="393">
        <v>2100</v>
      </c>
      <c r="R120" s="393"/>
      <c r="S120" s="393"/>
      <c r="T120" s="399" t="s">
        <v>881</v>
      </c>
      <c r="U120" s="393"/>
      <c r="V120" s="393" t="s">
        <v>898</v>
      </c>
      <c r="W120" s="393">
        <v>1</v>
      </c>
      <c r="X120" s="393">
        <v>1</v>
      </c>
      <c r="Y120" s="393">
        <f>10/10</f>
        <v>1</v>
      </c>
      <c r="Z120" s="393" t="s">
        <v>877</v>
      </c>
      <c r="AA120" s="393"/>
      <c r="AB120" s="393"/>
      <c r="AC120" s="393"/>
      <c r="AD120" s="393"/>
      <c r="AE120" s="393"/>
    </row>
    <row r="121" spans="1:31" ht="13.5" thickBot="1">
      <c r="A121" s="114"/>
      <c r="B121" s="115"/>
      <c r="C121" s="116"/>
      <c r="D121" s="105"/>
      <c r="E121" s="106"/>
      <c r="F121" s="107"/>
      <c r="G121" s="117"/>
      <c r="H121" s="118"/>
      <c r="I121" s="119"/>
      <c r="J121" s="120"/>
      <c r="K121" s="121"/>
      <c r="L121" s="122"/>
      <c r="N121" s="161" t="s">
        <v>936</v>
      </c>
      <c r="O121" s="626" t="s">
        <v>8861</v>
      </c>
      <c r="P121" s="161" t="s">
        <v>937</v>
      </c>
      <c r="Q121" s="393">
        <v>7.51</v>
      </c>
      <c r="R121" s="393" t="s">
        <v>869</v>
      </c>
      <c r="S121" s="393">
        <v>1</v>
      </c>
      <c r="T121" s="393" t="s">
        <v>881</v>
      </c>
      <c r="U121" s="393"/>
      <c r="V121" s="393" t="s">
        <v>898</v>
      </c>
      <c r="W121" s="393">
        <v>1</v>
      </c>
      <c r="X121" s="393">
        <v>1</v>
      </c>
      <c r="Y121" s="393">
        <f>2*2/1</f>
        <v>4</v>
      </c>
      <c r="Z121" s="393" t="s">
        <v>938</v>
      </c>
      <c r="AA121" s="393"/>
      <c r="AB121" s="393"/>
      <c r="AC121" s="393">
        <v>800</v>
      </c>
      <c r="AD121" s="393">
        <v>0.18</v>
      </c>
      <c r="AE121" s="393"/>
    </row>
    <row r="122" spans="1:31" ht="13.5" thickBot="1">
      <c r="A122" s="114"/>
      <c r="B122" s="115"/>
      <c r="C122" s="116"/>
      <c r="D122" s="105"/>
      <c r="E122" s="106"/>
      <c r="F122" s="107"/>
      <c r="G122" s="117"/>
      <c r="H122" s="118"/>
      <c r="I122" s="119"/>
      <c r="J122" s="120"/>
      <c r="K122" s="121"/>
      <c r="L122" s="122"/>
      <c r="N122" s="161" t="s">
        <v>939</v>
      </c>
      <c r="O122" s="626" t="s">
        <v>8862</v>
      </c>
      <c r="P122" s="161" t="s">
        <v>940</v>
      </c>
      <c r="Q122" s="393">
        <v>4.62</v>
      </c>
      <c r="R122" s="393" t="s">
        <v>869</v>
      </c>
      <c r="S122" s="393">
        <v>1</v>
      </c>
      <c r="T122" s="393" t="s">
        <v>881</v>
      </c>
      <c r="U122" s="393"/>
      <c r="V122" s="393" t="s">
        <v>898</v>
      </c>
      <c r="W122" s="393">
        <v>1</v>
      </c>
      <c r="X122" s="393">
        <v>1</v>
      </c>
      <c r="Y122" s="393">
        <f>2*2/1</f>
        <v>4</v>
      </c>
      <c r="Z122" s="393" t="s">
        <v>938</v>
      </c>
      <c r="AA122" s="393"/>
      <c r="AB122" s="393"/>
      <c r="AC122" s="393">
        <v>800</v>
      </c>
      <c r="AD122" s="393">
        <v>0.5</v>
      </c>
      <c r="AE122" s="393"/>
    </row>
    <row r="123" spans="1:31" ht="13.5" thickBot="1">
      <c r="A123" s="114"/>
      <c r="B123" s="115"/>
      <c r="C123" s="116"/>
      <c r="D123" s="105"/>
      <c r="E123" s="106"/>
      <c r="F123" s="107"/>
      <c r="G123" s="117"/>
      <c r="H123" s="118"/>
      <c r="I123" s="119"/>
      <c r="J123" s="120"/>
      <c r="K123" s="121"/>
      <c r="L123" s="122"/>
      <c r="N123" s="161" t="s">
        <v>941</v>
      </c>
      <c r="O123" s="161" t="s">
        <v>942</v>
      </c>
      <c r="P123" s="161" t="s">
        <v>943</v>
      </c>
      <c r="Q123" s="393">
        <v>13.2</v>
      </c>
      <c r="R123" s="393" t="s">
        <v>869</v>
      </c>
      <c r="S123" s="393">
        <v>1</v>
      </c>
      <c r="T123" s="393" t="s">
        <v>881</v>
      </c>
      <c r="U123" s="393"/>
      <c r="V123" s="393" t="s">
        <v>898</v>
      </c>
      <c r="W123" s="393">
        <v>1</v>
      </c>
      <c r="X123" s="393">
        <v>1</v>
      </c>
      <c r="Y123" s="393">
        <f>1/1</f>
        <v>1</v>
      </c>
      <c r="Z123" s="393" t="s">
        <v>944</v>
      </c>
      <c r="AA123" s="393"/>
      <c r="AB123" s="393"/>
      <c r="AC123" s="393"/>
      <c r="AD123" s="393"/>
      <c r="AE123" s="393"/>
    </row>
    <row r="124" spans="1:31" ht="13.5" thickBot="1">
      <c r="A124" s="114"/>
      <c r="B124" s="115"/>
      <c r="C124" s="116"/>
      <c r="D124" s="105"/>
      <c r="E124" s="106"/>
      <c r="F124" s="107"/>
      <c r="G124" s="117"/>
      <c r="H124" s="118"/>
      <c r="I124" s="119"/>
      <c r="J124" s="120"/>
      <c r="K124" s="121"/>
      <c r="L124" s="122"/>
      <c r="N124" s="161" t="s">
        <v>945</v>
      </c>
      <c r="O124" s="161"/>
      <c r="P124" s="161" t="s">
        <v>946</v>
      </c>
      <c r="Q124" s="393">
        <v>35.799999999999997</v>
      </c>
      <c r="R124" s="393" t="s">
        <v>869</v>
      </c>
      <c r="S124" s="393">
        <v>1</v>
      </c>
      <c r="T124" s="393" t="s">
        <v>881</v>
      </c>
      <c r="U124" s="393"/>
      <c r="V124" s="393" t="s">
        <v>898</v>
      </c>
      <c r="W124" s="393"/>
      <c r="X124" s="393"/>
      <c r="Y124" s="393"/>
      <c r="Z124" s="393"/>
      <c r="AA124" s="393"/>
      <c r="AB124" s="393"/>
      <c r="AC124" s="393">
        <v>155329</v>
      </c>
      <c r="AD124" s="393">
        <v>33.5</v>
      </c>
      <c r="AE124" s="393"/>
    </row>
    <row r="125" spans="1:31" ht="13.5" thickBot="1">
      <c r="A125" s="114"/>
      <c r="B125" s="115"/>
      <c r="C125" s="116"/>
      <c r="D125" s="105"/>
      <c r="E125" s="106"/>
      <c r="F125" s="107"/>
      <c r="G125" s="117"/>
      <c r="H125" s="118"/>
      <c r="I125" s="119"/>
      <c r="J125" s="120"/>
      <c r="K125" s="121"/>
      <c r="L125" s="122"/>
      <c r="N125" s="264" t="s">
        <v>838</v>
      </c>
      <c r="O125" s="161"/>
      <c r="P125" s="161" t="s">
        <v>947</v>
      </c>
      <c r="Q125" s="393">
        <v>400</v>
      </c>
      <c r="R125" s="393" t="s">
        <v>869</v>
      </c>
      <c r="S125" s="393">
        <v>1</v>
      </c>
      <c r="T125" s="393"/>
      <c r="U125" s="393"/>
      <c r="V125" s="393" t="s">
        <v>871</v>
      </c>
      <c r="W125" s="393"/>
      <c r="X125" s="393"/>
      <c r="Y125" s="393"/>
      <c r="Z125" s="393"/>
      <c r="AA125" s="393"/>
      <c r="AB125" s="393"/>
      <c r="AC125" s="393"/>
      <c r="AD125" s="393"/>
      <c r="AE125" s="393"/>
    </row>
    <row r="126" spans="1:31" ht="13.5" thickBot="1">
      <c r="A126" s="114"/>
      <c r="B126" s="115"/>
      <c r="C126" s="116"/>
      <c r="D126" s="105"/>
      <c r="E126" s="106"/>
      <c r="F126" s="107"/>
      <c r="G126" s="117"/>
      <c r="H126" s="118"/>
      <c r="I126" s="119"/>
      <c r="J126" s="120"/>
      <c r="K126" s="121"/>
      <c r="L126" s="122"/>
      <c r="M126" s="391" t="s">
        <v>921</v>
      </c>
      <c r="N126" s="406"/>
      <c r="O126" s="161"/>
      <c r="P126" s="1065" t="s">
        <v>9096</v>
      </c>
      <c r="Q126" s="393">
        <v>41</v>
      </c>
      <c r="R126" s="393"/>
      <c r="S126" s="393"/>
      <c r="T126" s="393"/>
      <c r="U126" s="393"/>
      <c r="V126" s="393"/>
      <c r="W126" s="393"/>
      <c r="X126" s="393"/>
      <c r="Y126" s="393"/>
      <c r="Z126" s="393"/>
      <c r="AA126" s="393"/>
      <c r="AB126" s="393"/>
      <c r="AC126" s="393"/>
      <c r="AD126" s="393"/>
      <c r="AE126" s="393"/>
    </row>
    <row r="127" spans="1:31" ht="13.5" thickBot="1">
      <c r="A127" s="114"/>
      <c r="B127" s="115"/>
      <c r="C127" s="116"/>
      <c r="D127" s="105"/>
      <c r="E127" s="106"/>
      <c r="F127" s="107"/>
      <c r="G127" s="117"/>
      <c r="H127" s="118"/>
      <c r="I127" s="119"/>
      <c r="J127" s="120"/>
      <c r="K127" s="121"/>
      <c r="L127" s="122"/>
      <c r="N127" s="264" t="s">
        <v>948</v>
      </c>
      <c r="O127" s="161"/>
      <c r="P127" s="1065"/>
      <c r="Q127" s="393">
        <v>160</v>
      </c>
      <c r="R127" s="393"/>
      <c r="S127" s="393"/>
      <c r="T127" s="393"/>
      <c r="U127" s="393"/>
      <c r="V127" s="393"/>
      <c r="W127" s="393"/>
      <c r="X127" s="393"/>
      <c r="Y127" s="393"/>
      <c r="Z127" s="393"/>
      <c r="AA127" s="393"/>
      <c r="AB127" s="393"/>
      <c r="AC127" s="393"/>
      <c r="AD127" s="393"/>
      <c r="AE127" s="393"/>
    </row>
    <row r="128" spans="1:31" ht="13.5" thickBot="1">
      <c r="A128" s="114"/>
      <c r="B128" s="115"/>
      <c r="C128" s="116"/>
      <c r="D128" s="105"/>
      <c r="E128" s="106"/>
      <c r="F128" s="107"/>
      <c r="G128" s="117"/>
      <c r="H128" s="118"/>
      <c r="I128" s="119"/>
      <c r="J128" s="120"/>
      <c r="K128" s="121"/>
      <c r="L128" s="122"/>
      <c r="N128" s="264" t="s">
        <v>949</v>
      </c>
      <c r="O128" s="161" t="s">
        <v>950</v>
      </c>
      <c r="P128" s="1065"/>
      <c r="Q128" s="393">
        <v>105</v>
      </c>
      <c r="R128" s="393" t="s">
        <v>869</v>
      </c>
      <c r="S128" s="393">
        <v>1</v>
      </c>
      <c r="T128" s="393"/>
      <c r="U128" s="393"/>
      <c r="V128" s="393" t="s">
        <v>871</v>
      </c>
      <c r="W128" s="393">
        <v>0</v>
      </c>
      <c r="X128" s="393">
        <v>0</v>
      </c>
      <c r="Y128" s="393"/>
      <c r="Z128" s="393" t="s">
        <v>924</v>
      </c>
      <c r="AA128" s="393"/>
      <c r="AB128" s="393"/>
      <c r="AC128" s="393"/>
      <c r="AD128" s="393"/>
      <c r="AE128" s="393"/>
    </row>
    <row r="129" spans="1:31" ht="13.5" thickBot="1">
      <c r="A129" s="114"/>
      <c r="B129" s="115"/>
      <c r="C129" s="116"/>
      <c r="D129" s="105"/>
      <c r="E129" s="106"/>
      <c r="F129" s="107"/>
      <c r="G129" s="117"/>
      <c r="H129" s="118"/>
      <c r="I129" s="119"/>
      <c r="J129" s="120"/>
      <c r="K129" s="121"/>
      <c r="L129" s="122"/>
      <c r="N129" s="264" t="s">
        <v>951</v>
      </c>
      <c r="O129" s="161"/>
      <c r="P129" s="1065"/>
      <c r="Q129" s="393">
        <v>12</v>
      </c>
      <c r="R129" s="393"/>
      <c r="S129" s="393"/>
      <c r="T129" s="393"/>
      <c r="U129" s="393"/>
      <c r="V129" s="393"/>
      <c r="W129" s="393"/>
      <c r="X129" s="393"/>
      <c r="Y129" s="393"/>
      <c r="Z129" s="393"/>
      <c r="AA129" s="393"/>
      <c r="AB129" s="393"/>
      <c r="AC129" s="393"/>
      <c r="AD129" s="393"/>
      <c r="AE129" s="393"/>
    </row>
    <row r="130" spans="1:31" ht="13.5" thickBot="1">
      <c r="A130" s="114"/>
      <c r="B130" s="115"/>
      <c r="C130" s="116"/>
      <c r="D130" s="105"/>
      <c r="E130" s="106"/>
      <c r="F130" s="107"/>
      <c r="G130" s="117"/>
      <c r="H130" s="118"/>
      <c r="I130" s="119"/>
      <c r="J130" s="120"/>
      <c r="K130" s="121"/>
      <c r="L130" s="122"/>
      <c r="N130" s="264" t="s">
        <v>952</v>
      </c>
      <c r="O130" s="161"/>
      <c r="P130" s="1065"/>
      <c r="Q130" s="393">
        <v>105</v>
      </c>
      <c r="R130" s="393"/>
      <c r="S130" s="393"/>
      <c r="T130" s="393"/>
      <c r="U130" s="393"/>
      <c r="V130" s="393"/>
      <c r="W130" s="393"/>
      <c r="X130" s="393"/>
      <c r="Y130" s="393"/>
      <c r="Z130" s="393"/>
      <c r="AA130" s="393"/>
      <c r="AB130" s="393"/>
      <c r="AC130" s="393"/>
      <c r="AD130" s="393"/>
      <c r="AE130" s="393"/>
    </row>
    <row r="131" spans="1:31" ht="13.5" thickBot="1">
      <c r="A131" s="114"/>
      <c r="B131" s="115"/>
      <c r="C131" s="116"/>
      <c r="D131" s="105"/>
      <c r="E131" s="106"/>
      <c r="F131" s="107"/>
      <c r="G131" s="117"/>
      <c r="H131" s="118"/>
      <c r="I131" s="119"/>
      <c r="J131" s="120"/>
      <c r="K131" s="121"/>
      <c r="L131" s="122"/>
      <c r="N131" s="264" t="s">
        <v>953</v>
      </c>
      <c r="O131" s="161" t="s">
        <v>5382</v>
      </c>
      <c r="P131" s="1065"/>
      <c r="Q131" s="393">
        <v>100</v>
      </c>
      <c r="R131" s="393" t="s">
        <v>869</v>
      </c>
      <c r="S131" s="393">
        <v>1</v>
      </c>
      <c r="T131" s="393"/>
      <c r="U131" s="393"/>
      <c r="V131" s="393" t="s">
        <v>898</v>
      </c>
      <c r="W131" s="393"/>
      <c r="X131" s="393"/>
      <c r="Y131" s="393"/>
      <c r="Z131" s="393"/>
      <c r="AA131" s="393"/>
      <c r="AB131" s="393"/>
      <c r="AC131" s="393"/>
      <c r="AD131" s="393"/>
      <c r="AE131" s="393"/>
    </row>
    <row r="132" spans="1:31" ht="13.5" thickBot="1">
      <c r="A132" s="114"/>
      <c r="B132" s="115"/>
      <c r="C132" s="116"/>
      <c r="D132" s="105"/>
      <c r="E132" s="106"/>
      <c r="F132" s="107"/>
      <c r="G132" s="117"/>
      <c r="H132" s="118"/>
      <c r="I132" s="119"/>
      <c r="J132" s="120"/>
      <c r="K132" s="121"/>
      <c r="L132" s="122"/>
      <c r="N132" s="264" t="s">
        <v>954</v>
      </c>
      <c r="O132" s="161" t="s">
        <v>5383</v>
      </c>
      <c r="P132" s="1065"/>
      <c r="Q132" s="393">
        <v>105</v>
      </c>
      <c r="R132" s="393" t="s">
        <v>869</v>
      </c>
      <c r="S132" s="393">
        <v>1</v>
      </c>
      <c r="T132" s="393"/>
      <c r="U132" s="393"/>
      <c r="V132" s="393" t="s">
        <v>898</v>
      </c>
      <c r="W132" s="393"/>
      <c r="X132" s="393"/>
      <c r="Y132" s="393"/>
      <c r="Z132" s="393"/>
      <c r="AA132" s="393"/>
      <c r="AB132" s="393"/>
      <c r="AC132" s="393"/>
      <c r="AD132" s="393"/>
      <c r="AE132" s="393"/>
    </row>
    <row r="133" spans="1:31" ht="13.5" thickBot="1">
      <c r="A133" s="114"/>
      <c r="B133" s="115"/>
      <c r="C133" s="116"/>
      <c r="D133" s="105"/>
      <c r="E133" s="106"/>
      <c r="F133" s="107"/>
      <c r="G133" s="117"/>
      <c r="H133" s="118"/>
      <c r="I133" s="119"/>
      <c r="J133" s="120"/>
      <c r="K133" s="121"/>
      <c r="L133" s="122"/>
      <c r="N133" s="264" t="s">
        <v>955</v>
      </c>
      <c r="O133" s="161"/>
      <c r="P133" s="1065"/>
      <c r="Q133" s="393">
        <v>710</v>
      </c>
      <c r="R133" s="393"/>
      <c r="S133" s="393"/>
      <c r="T133" s="393"/>
      <c r="U133" s="393"/>
      <c r="V133" s="393"/>
      <c r="W133" s="393"/>
      <c r="X133" s="393"/>
      <c r="Y133" s="393"/>
      <c r="Z133" s="393"/>
      <c r="AA133" s="393"/>
      <c r="AB133" s="393"/>
      <c r="AC133" s="393"/>
      <c r="AD133" s="393"/>
      <c r="AE133" s="393"/>
    </row>
    <row r="134" spans="1:31" ht="13.5" thickBot="1">
      <c r="A134" s="114"/>
      <c r="B134" s="115"/>
      <c r="C134" s="116"/>
      <c r="D134" s="105"/>
      <c r="E134" s="106"/>
      <c r="F134" s="107"/>
      <c r="G134" s="117"/>
      <c r="H134" s="118"/>
      <c r="I134" s="119"/>
      <c r="J134" s="120"/>
      <c r="K134" s="121"/>
      <c r="L134" s="122"/>
      <c r="N134" s="264" t="s">
        <v>956</v>
      </c>
      <c r="O134" s="161" t="s">
        <v>957</v>
      </c>
      <c r="P134" s="1065"/>
      <c r="Q134" s="393">
        <v>400</v>
      </c>
      <c r="R134" s="393" t="s">
        <v>869</v>
      </c>
      <c r="S134" s="393">
        <v>1</v>
      </c>
      <c r="T134" s="399" t="s">
        <v>881</v>
      </c>
      <c r="U134" s="393"/>
      <c r="V134" s="393" t="s">
        <v>898</v>
      </c>
      <c r="W134" s="393">
        <v>1</v>
      </c>
      <c r="X134" s="393">
        <v>1</v>
      </c>
      <c r="Y134" s="393">
        <f>6/6</f>
        <v>1</v>
      </c>
      <c r="Z134" s="393" t="s">
        <v>877</v>
      </c>
      <c r="AA134" s="393"/>
      <c r="AB134" s="393"/>
      <c r="AC134" s="393"/>
      <c r="AD134" s="393"/>
      <c r="AE134" s="393"/>
    </row>
    <row r="135" spans="1:31" ht="13.5" thickBot="1">
      <c r="A135" s="114"/>
      <c r="B135" s="115"/>
      <c r="C135" s="116"/>
      <c r="D135" s="105"/>
      <c r="E135" s="106"/>
      <c r="F135" s="107"/>
      <c r="G135" s="117"/>
      <c r="H135" s="118"/>
      <c r="I135" s="119"/>
      <c r="J135" s="120"/>
      <c r="K135" s="121"/>
      <c r="L135" s="122"/>
      <c r="N135" s="264" t="s">
        <v>958</v>
      </c>
      <c r="O135" s="161"/>
      <c r="P135" s="1065"/>
      <c r="Q135" s="393">
        <v>6</v>
      </c>
      <c r="R135" s="393"/>
      <c r="S135" s="393"/>
      <c r="T135" s="393"/>
      <c r="U135" s="393"/>
      <c r="V135" s="393"/>
      <c r="W135" s="393"/>
      <c r="X135" s="393"/>
      <c r="Y135" s="393"/>
      <c r="Z135" s="393"/>
      <c r="AA135" s="393"/>
      <c r="AB135" s="393"/>
      <c r="AC135" s="393"/>
      <c r="AD135" s="393"/>
      <c r="AE135" s="393"/>
    </row>
    <row r="136" spans="1:31" ht="13.5" thickBot="1">
      <c r="A136" s="114"/>
      <c r="B136" s="115"/>
      <c r="C136" s="116"/>
      <c r="D136" s="105"/>
      <c r="E136" s="106"/>
      <c r="F136" s="107"/>
      <c r="G136" s="117"/>
      <c r="H136" s="118"/>
      <c r="I136" s="119"/>
      <c r="J136" s="120"/>
      <c r="K136" s="121"/>
      <c r="L136" s="122"/>
      <c r="N136" s="264" t="s">
        <v>959</v>
      </c>
      <c r="O136" s="161"/>
      <c r="P136" s="161" t="s">
        <v>960</v>
      </c>
      <c r="Q136" s="393">
        <v>3.2</v>
      </c>
      <c r="R136" s="393" t="s">
        <v>931</v>
      </c>
      <c r="S136" s="393">
        <v>0</v>
      </c>
      <c r="T136" s="393" t="s">
        <v>870</v>
      </c>
      <c r="U136" s="393"/>
      <c r="V136" s="393" t="s">
        <v>898</v>
      </c>
      <c r="W136" s="393"/>
      <c r="X136" s="393"/>
      <c r="Y136" s="393"/>
      <c r="Z136" s="393"/>
      <c r="AA136" s="393"/>
      <c r="AB136" s="393"/>
      <c r="AC136" s="393"/>
      <c r="AD136" s="393"/>
      <c r="AE136" s="393"/>
    </row>
    <row r="137" spans="1:31" ht="13.5" thickBot="1">
      <c r="A137" s="114"/>
      <c r="B137" s="115"/>
      <c r="C137" s="116"/>
      <c r="D137" s="105"/>
      <c r="E137" s="106"/>
      <c r="F137" s="107"/>
      <c r="G137" s="117"/>
      <c r="H137" s="118"/>
      <c r="I137" s="119"/>
      <c r="J137" s="120"/>
      <c r="K137" s="121"/>
      <c r="L137" s="122"/>
      <c r="N137" s="264" t="s">
        <v>961</v>
      </c>
      <c r="O137" s="161"/>
      <c r="P137" s="161" t="s">
        <v>960</v>
      </c>
      <c r="Q137" s="393">
        <f>Q136</f>
        <v>3.2</v>
      </c>
      <c r="R137" s="393" t="s">
        <v>931</v>
      </c>
      <c r="S137" s="393">
        <v>0</v>
      </c>
      <c r="T137" s="393" t="s">
        <v>870</v>
      </c>
      <c r="U137" s="393"/>
      <c r="V137" s="393" t="s">
        <v>898</v>
      </c>
      <c r="W137" s="393"/>
      <c r="X137" s="393"/>
      <c r="Y137" s="393"/>
      <c r="Z137" s="393"/>
      <c r="AA137" s="393"/>
      <c r="AB137" s="393"/>
      <c r="AC137" s="393"/>
      <c r="AD137" s="393"/>
      <c r="AE137" s="393"/>
    </row>
    <row r="138" spans="1:31" ht="13.5" thickBot="1">
      <c r="A138" s="114"/>
      <c r="B138" s="115"/>
      <c r="C138" s="116"/>
      <c r="D138" s="105"/>
      <c r="E138" s="106"/>
      <c r="F138" s="107"/>
      <c r="G138" s="117"/>
      <c r="H138" s="118"/>
      <c r="I138" s="119"/>
      <c r="J138" s="120"/>
      <c r="K138" s="121"/>
      <c r="L138" s="122"/>
      <c r="N138" s="264" t="s">
        <v>962</v>
      </c>
      <c r="O138" s="161" t="s">
        <v>5379</v>
      </c>
      <c r="P138" s="161" t="s">
        <v>963</v>
      </c>
      <c r="Q138" s="393">
        <v>52</v>
      </c>
      <c r="R138" s="393" t="s">
        <v>931</v>
      </c>
      <c r="S138" s="393">
        <v>0</v>
      </c>
      <c r="T138" s="393" t="s">
        <v>881</v>
      </c>
      <c r="U138" s="393"/>
      <c r="V138" s="393" t="s">
        <v>898</v>
      </c>
      <c r="W138" s="393"/>
      <c r="X138" s="393"/>
      <c r="Y138" s="393"/>
      <c r="Z138" s="393"/>
      <c r="AA138" s="393"/>
      <c r="AB138" s="393"/>
      <c r="AC138" s="393">
        <v>1740</v>
      </c>
      <c r="AD138" s="393">
        <v>1</v>
      </c>
      <c r="AE138" s="393"/>
    </row>
    <row r="139" spans="1:31" ht="13.5" thickBot="1">
      <c r="A139" s="114"/>
      <c r="B139" s="115"/>
      <c r="C139" s="116"/>
      <c r="D139" s="105"/>
      <c r="E139" s="106"/>
      <c r="F139" s="107"/>
      <c r="G139" s="117"/>
      <c r="H139" s="118"/>
      <c r="I139" s="119"/>
      <c r="J139" s="120"/>
      <c r="K139" s="121"/>
      <c r="L139" s="122"/>
      <c r="N139" s="264" t="s">
        <v>964</v>
      </c>
      <c r="O139" s="161"/>
      <c r="P139" s="1066" t="s">
        <v>965</v>
      </c>
      <c r="Q139" s="393">
        <v>3.5</v>
      </c>
      <c r="R139" s="393"/>
      <c r="S139" s="393"/>
      <c r="T139" s="393"/>
      <c r="U139" s="393"/>
      <c r="V139" s="393"/>
      <c r="W139" s="393"/>
      <c r="X139" s="393"/>
      <c r="Y139" s="393"/>
      <c r="Z139" s="393"/>
      <c r="AA139" s="393"/>
      <c r="AB139" s="393"/>
      <c r="AC139" s="393"/>
      <c r="AD139" s="393"/>
      <c r="AE139" s="393"/>
    </row>
    <row r="140" spans="1:31" ht="13.5" thickBot="1">
      <c r="A140" s="114"/>
      <c r="B140" s="115"/>
      <c r="C140" s="116"/>
      <c r="D140" s="105"/>
      <c r="E140" s="106"/>
      <c r="F140" s="107"/>
      <c r="G140" s="117"/>
      <c r="H140" s="118"/>
      <c r="I140" s="119"/>
      <c r="J140" s="120"/>
      <c r="K140" s="121"/>
      <c r="L140" s="122"/>
      <c r="N140" s="264" t="s">
        <v>966</v>
      </c>
      <c r="O140" s="161" t="s">
        <v>967</v>
      </c>
      <c r="P140" s="1066"/>
      <c r="Q140" s="393">
        <v>67</v>
      </c>
      <c r="R140" s="393" t="s">
        <v>869</v>
      </c>
      <c r="S140" s="393">
        <v>1</v>
      </c>
      <c r="T140" s="399" t="s">
        <v>881</v>
      </c>
      <c r="U140" s="393"/>
      <c r="V140" s="393" t="s">
        <v>898</v>
      </c>
      <c r="W140" s="393">
        <v>1</v>
      </c>
      <c r="X140" s="393">
        <v>1</v>
      </c>
      <c r="Y140" s="393">
        <f>4*4/3/3</f>
        <v>1.7777777777777777</v>
      </c>
      <c r="Z140" s="393" t="s">
        <v>968</v>
      </c>
      <c r="AA140" s="393"/>
      <c r="AB140" s="393"/>
      <c r="AC140" s="393"/>
      <c r="AD140" s="393"/>
      <c r="AE140" s="393"/>
    </row>
    <row r="141" spans="1:31" ht="13.5" thickBot="1">
      <c r="A141" s="114"/>
      <c r="B141" s="115"/>
      <c r="C141" s="116"/>
      <c r="D141" s="105"/>
      <c r="E141" s="106"/>
      <c r="F141" s="107"/>
      <c r="G141" s="117"/>
      <c r="H141" s="118"/>
      <c r="I141" s="119"/>
      <c r="J141" s="120"/>
      <c r="K141" s="121"/>
      <c r="L141" s="122"/>
      <c r="N141" s="264" t="s">
        <v>969</v>
      </c>
      <c r="O141" s="161"/>
      <c r="P141" s="1066"/>
      <c r="Q141" s="393">
        <v>104</v>
      </c>
      <c r="R141" s="393"/>
      <c r="S141" s="393"/>
      <c r="T141" s="393"/>
      <c r="U141" s="393"/>
      <c r="V141" s="393"/>
      <c r="W141" s="393"/>
      <c r="X141" s="393"/>
      <c r="Y141" s="393"/>
      <c r="Z141" s="393"/>
      <c r="AA141" s="393"/>
      <c r="AB141" s="393"/>
      <c r="AC141" s="393"/>
      <c r="AD141" s="393"/>
      <c r="AE141" s="393"/>
    </row>
    <row r="142" spans="1:31" ht="13.5" thickBot="1">
      <c r="A142" s="114"/>
      <c r="B142" s="115"/>
      <c r="C142" s="116"/>
      <c r="D142" s="105"/>
      <c r="E142" s="106"/>
      <c r="F142" s="107"/>
      <c r="G142" s="117"/>
      <c r="H142" s="118"/>
      <c r="I142" s="119"/>
      <c r="J142" s="120"/>
      <c r="K142" s="121"/>
      <c r="L142" s="122"/>
      <c r="N142" s="264" t="s">
        <v>970</v>
      </c>
      <c r="O142" s="161"/>
      <c r="P142" s="1066"/>
      <c r="Q142" s="393"/>
      <c r="R142" s="393"/>
      <c r="S142" s="393"/>
      <c r="T142" s="393"/>
      <c r="U142" s="393"/>
      <c r="V142" s="393"/>
      <c r="W142" s="393"/>
      <c r="X142" s="393"/>
      <c r="Y142" s="393"/>
      <c r="Z142" s="393"/>
      <c r="AA142" s="393"/>
      <c r="AB142" s="393"/>
      <c r="AC142" s="393"/>
      <c r="AD142" s="393"/>
      <c r="AE142" s="393"/>
    </row>
    <row r="143" spans="1:31" ht="13.5" thickBot="1">
      <c r="A143" s="114"/>
      <c r="B143" s="115"/>
      <c r="C143" s="116"/>
      <c r="D143" s="105"/>
      <c r="E143" s="106"/>
      <c r="F143" s="107"/>
      <c r="G143" s="117"/>
      <c r="H143" s="118"/>
      <c r="I143" s="119"/>
      <c r="J143" s="120"/>
      <c r="K143" s="121"/>
      <c r="L143" s="122"/>
      <c r="N143" s="264" t="s">
        <v>971</v>
      </c>
      <c r="O143" s="161" t="s">
        <v>972</v>
      </c>
      <c r="P143" s="1066"/>
      <c r="Q143" s="393"/>
      <c r="R143" s="393"/>
      <c r="S143" s="393"/>
      <c r="T143" s="393"/>
      <c r="U143" s="393"/>
      <c r="V143" s="393"/>
      <c r="W143" s="393">
        <v>0</v>
      </c>
      <c r="X143" s="393">
        <v>0</v>
      </c>
      <c r="Y143" s="393"/>
      <c r="Z143" s="393" t="s">
        <v>968</v>
      </c>
      <c r="AA143" s="393"/>
      <c r="AB143" s="393"/>
      <c r="AC143" s="393"/>
      <c r="AD143" s="393"/>
      <c r="AE143" s="393"/>
    </row>
    <row r="144" spans="1:31" ht="13.5" thickBot="1">
      <c r="A144" s="114"/>
      <c r="B144" s="115"/>
      <c r="C144" s="116"/>
      <c r="D144" s="105"/>
      <c r="E144" s="106"/>
      <c r="F144" s="107"/>
      <c r="G144" s="117"/>
      <c r="H144" s="118"/>
      <c r="I144" s="119"/>
      <c r="J144" s="120"/>
      <c r="K144" s="121"/>
      <c r="L144" s="122"/>
      <c r="N144" s="264" t="s">
        <v>973</v>
      </c>
      <c r="O144" s="161"/>
      <c r="P144" s="1066"/>
      <c r="Q144" s="393"/>
      <c r="R144" s="393"/>
      <c r="S144" s="393"/>
      <c r="T144" s="393"/>
      <c r="U144" s="393"/>
      <c r="V144" s="393"/>
      <c r="W144" s="393"/>
      <c r="X144" s="393"/>
      <c r="Y144" s="393"/>
      <c r="Z144" s="393"/>
      <c r="AA144" s="393"/>
      <c r="AB144" s="393"/>
      <c r="AC144" s="393"/>
      <c r="AD144" s="393"/>
      <c r="AE144" s="393"/>
    </row>
    <row r="145" spans="1:31" ht="13.5" thickBot="1">
      <c r="A145" s="114"/>
      <c r="B145" s="115"/>
      <c r="C145" s="116"/>
      <c r="D145" s="105"/>
      <c r="E145" s="106"/>
      <c r="F145" s="107"/>
      <c r="G145" s="117"/>
      <c r="H145" s="118"/>
      <c r="I145" s="119"/>
      <c r="J145" s="120"/>
      <c r="K145" s="121"/>
      <c r="L145" s="122"/>
      <c r="N145" s="264" t="s">
        <v>974</v>
      </c>
      <c r="O145" s="161"/>
      <c r="P145" s="1066"/>
      <c r="Q145" s="393">
        <v>4.3</v>
      </c>
      <c r="R145" s="393"/>
      <c r="S145" s="393"/>
      <c r="T145" s="393"/>
      <c r="U145" s="393"/>
      <c r="V145" s="393"/>
      <c r="W145" s="393"/>
      <c r="X145" s="393"/>
      <c r="Y145" s="393"/>
      <c r="Z145" s="393"/>
      <c r="AA145" s="393"/>
      <c r="AB145" s="393"/>
      <c r="AC145" s="393"/>
      <c r="AD145" s="393"/>
      <c r="AE145" s="393"/>
    </row>
    <row r="146" spans="1:31" ht="13.5" thickBot="1">
      <c r="A146" s="114"/>
      <c r="B146" s="115"/>
      <c r="C146" s="116"/>
      <c r="D146" s="105"/>
      <c r="E146" s="106"/>
      <c r="F146" s="107"/>
      <c r="G146" s="117"/>
      <c r="H146" s="118"/>
      <c r="I146" s="119"/>
      <c r="J146" s="120"/>
      <c r="K146" s="121"/>
      <c r="L146" s="122"/>
      <c r="N146" s="264" t="s">
        <v>975</v>
      </c>
      <c r="O146" s="161"/>
      <c r="P146" s="1066"/>
      <c r="Q146" s="393">
        <v>17</v>
      </c>
      <c r="R146" s="393"/>
      <c r="S146" s="393"/>
      <c r="T146" s="393"/>
      <c r="U146" s="393"/>
      <c r="V146" s="393"/>
      <c r="W146" s="393"/>
      <c r="X146" s="393"/>
      <c r="Y146" s="393"/>
      <c r="Z146" s="393"/>
      <c r="AA146" s="393"/>
      <c r="AB146" s="393"/>
      <c r="AC146" s="393"/>
      <c r="AD146" s="393"/>
      <c r="AE146" s="393"/>
    </row>
    <row r="147" spans="1:31" ht="13.5" thickBot="1">
      <c r="A147" s="114"/>
      <c r="B147" s="115"/>
      <c r="C147" s="116"/>
      <c r="D147" s="105"/>
      <c r="E147" s="106"/>
      <c r="F147" s="107"/>
      <c r="G147" s="117"/>
      <c r="H147" s="118"/>
      <c r="I147" s="119"/>
      <c r="J147" s="120"/>
      <c r="K147" s="121"/>
      <c r="L147" s="122"/>
      <c r="N147" s="264" t="s">
        <v>976</v>
      </c>
      <c r="O147" s="161"/>
      <c r="P147" s="1066"/>
      <c r="Q147" s="393">
        <v>40</v>
      </c>
      <c r="R147" s="393"/>
      <c r="S147" s="393"/>
      <c r="T147" s="393"/>
      <c r="U147" s="393"/>
      <c r="V147" s="393"/>
      <c r="W147" s="393"/>
      <c r="X147" s="393"/>
      <c r="Y147" s="393"/>
      <c r="Z147" s="393"/>
      <c r="AA147" s="393"/>
      <c r="AB147" s="393"/>
      <c r="AC147" s="393"/>
      <c r="AD147" s="393"/>
      <c r="AE147" s="393"/>
    </row>
    <row r="148" spans="1:31" ht="13.5" thickBot="1">
      <c r="A148" s="114"/>
      <c r="B148" s="115"/>
      <c r="C148" s="116"/>
      <c r="D148" s="105"/>
      <c r="E148" s="106"/>
      <c r="F148" s="107"/>
      <c r="G148" s="117"/>
      <c r="H148" s="118"/>
      <c r="I148" s="119"/>
      <c r="J148" s="120"/>
      <c r="K148" s="121"/>
      <c r="L148" s="122"/>
      <c r="N148" s="264" t="s">
        <v>977</v>
      </c>
      <c r="O148" s="161" t="s">
        <v>978</v>
      </c>
      <c r="P148" s="1065" t="s">
        <v>9092</v>
      </c>
      <c r="Q148" s="393">
        <v>105</v>
      </c>
      <c r="R148" s="393" t="s">
        <v>869</v>
      </c>
      <c r="S148" s="393">
        <v>1</v>
      </c>
      <c r="T148" s="399" t="s">
        <v>881</v>
      </c>
      <c r="U148" s="393"/>
      <c r="V148" s="393" t="s">
        <v>898</v>
      </c>
      <c r="W148" s="393">
        <v>0</v>
      </c>
      <c r="X148" s="393">
        <v>0</v>
      </c>
      <c r="Y148" s="393"/>
      <c r="Z148" s="393" t="s">
        <v>980</v>
      </c>
      <c r="AA148" s="393"/>
      <c r="AB148" s="393"/>
      <c r="AC148" s="393"/>
      <c r="AD148" s="393"/>
      <c r="AE148" s="393"/>
    </row>
    <row r="149" spans="1:31" ht="13.5" thickBot="1">
      <c r="A149" s="114"/>
      <c r="B149" s="115"/>
      <c r="C149" s="116"/>
      <c r="D149" s="105"/>
      <c r="E149" s="106"/>
      <c r="F149" s="107"/>
      <c r="G149" s="117"/>
      <c r="H149" s="118"/>
      <c r="I149" s="119"/>
      <c r="J149" s="120"/>
      <c r="K149" s="121"/>
      <c r="L149" s="122"/>
      <c r="M149" s="391" t="s">
        <v>981</v>
      </c>
      <c r="N149" s="264"/>
      <c r="O149" s="161"/>
      <c r="P149" s="1065"/>
      <c r="Q149" s="393">
        <v>32</v>
      </c>
      <c r="R149" s="393"/>
      <c r="S149" s="393"/>
      <c r="T149" s="393"/>
      <c r="U149" s="393"/>
      <c r="V149" s="393"/>
      <c r="W149" s="393"/>
      <c r="X149" s="393"/>
      <c r="Y149" s="393"/>
      <c r="Z149" s="393"/>
      <c r="AA149" s="393"/>
      <c r="AB149" s="393"/>
      <c r="AC149" s="393"/>
      <c r="AD149" s="393"/>
      <c r="AE149" s="393"/>
    </row>
    <row r="150" spans="1:31" ht="13.5" thickBot="1">
      <c r="A150" s="114"/>
      <c r="B150" s="115"/>
      <c r="C150" s="116"/>
      <c r="D150" s="105"/>
      <c r="E150" s="106"/>
      <c r="F150" s="107"/>
      <c r="G150" s="117"/>
      <c r="H150" s="118"/>
      <c r="I150" s="119"/>
      <c r="J150" s="120"/>
      <c r="K150" s="121"/>
      <c r="L150" s="122"/>
      <c r="N150" s="264" t="s">
        <v>982</v>
      </c>
      <c r="O150" s="161" t="s">
        <v>5389</v>
      </c>
      <c r="P150" s="1065"/>
      <c r="Q150" s="393">
        <v>3.5</v>
      </c>
      <c r="R150" s="393"/>
      <c r="S150" s="393"/>
      <c r="T150" s="393"/>
      <c r="U150" s="393"/>
      <c r="V150" s="393"/>
      <c r="W150" s="393"/>
      <c r="X150" s="393"/>
      <c r="Y150" s="393"/>
      <c r="Z150" s="393"/>
      <c r="AA150" s="393"/>
      <c r="AB150" s="393"/>
      <c r="AC150" s="393"/>
      <c r="AD150" s="393"/>
      <c r="AE150" s="393"/>
    </row>
    <row r="151" spans="1:31" ht="13.5" thickBot="1">
      <c r="A151" s="114"/>
      <c r="B151" s="115"/>
      <c r="C151" s="116"/>
      <c r="D151" s="105"/>
      <c r="E151" s="106"/>
      <c r="F151" s="107"/>
      <c r="G151" s="117"/>
      <c r="H151" s="118"/>
      <c r="I151" s="119"/>
      <c r="J151" s="120"/>
      <c r="K151" s="121"/>
      <c r="L151" s="122"/>
      <c r="N151" s="264" t="s">
        <v>983</v>
      </c>
      <c r="O151" s="161" t="s">
        <v>5390</v>
      </c>
      <c r="P151" s="1065"/>
      <c r="Q151" s="393">
        <v>8</v>
      </c>
      <c r="R151" s="393"/>
      <c r="S151" s="393"/>
      <c r="T151" s="393"/>
      <c r="U151" s="393"/>
      <c r="V151" s="393"/>
      <c r="W151" s="393"/>
      <c r="X151" s="393"/>
      <c r="Y151" s="393"/>
      <c r="Z151" s="393"/>
      <c r="AA151" s="393"/>
      <c r="AB151" s="393"/>
      <c r="AC151" s="393"/>
      <c r="AD151" s="393"/>
      <c r="AE151" s="393"/>
    </row>
    <row r="152" spans="1:31" ht="13.5" thickBot="1">
      <c r="A152" s="114"/>
      <c r="B152" s="115"/>
      <c r="C152" s="116"/>
      <c r="D152" s="105"/>
      <c r="E152" s="106"/>
      <c r="F152" s="107"/>
      <c r="G152" s="117"/>
      <c r="H152" s="118"/>
      <c r="I152" s="119"/>
      <c r="J152" s="120"/>
      <c r="K152" s="121"/>
      <c r="L152" s="122"/>
      <c r="N152" s="264" t="s">
        <v>984</v>
      </c>
      <c r="O152" s="161" t="s">
        <v>985</v>
      </c>
      <c r="P152" s="1065"/>
      <c r="Q152" s="393">
        <v>240</v>
      </c>
      <c r="R152" s="393" t="s">
        <v>869</v>
      </c>
      <c r="S152" s="393">
        <v>1</v>
      </c>
      <c r="T152" s="399" t="s">
        <v>881</v>
      </c>
      <c r="U152" s="393"/>
      <c r="V152" s="393" t="s">
        <v>898</v>
      </c>
      <c r="W152" s="393">
        <v>1</v>
      </c>
      <c r="X152" s="393">
        <v>1</v>
      </c>
      <c r="Y152" s="393">
        <f>6/6</f>
        <v>1</v>
      </c>
      <c r="Z152" s="393" t="s">
        <v>986</v>
      </c>
      <c r="AA152" s="393"/>
      <c r="AB152" s="393"/>
      <c r="AC152" s="393"/>
      <c r="AD152" s="393"/>
      <c r="AE152" s="393"/>
    </row>
    <row r="153" spans="1:31" ht="13.5" thickBot="1">
      <c r="A153" s="114"/>
      <c r="B153" s="115"/>
      <c r="C153" s="116"/>
      <c r="D153" s="105"/>
      <c r="E153" s="106"/>
      <c r="F153" s="107"/>
      <c r="G153" s="117"/>
      <c r="H153" s="118"/>
      <c r="I153" s="119"/>
      <c r="J153" s="120"/>
      <c r="K153" s="121"/>
      <c r="L153" s="122"/>
      <c r="N153" s="264" t="s">
        <v>987</v>
      </c>
      <c r="O153" s="161" t="s">
        <v>5391</v>
      </c>
      <c r="P153" s="1065"/>
      <c r="Q153" s="393">
        <v>400</v>
      </c>
      <c r="R153" s="393"/>
      <c r="S153" s="393"/>
      <c r="T153" s="393"/>
      <c r="U153" s="393"/>
      <c r="V153" s="393"/>
      <c r="W153" s="393"/>
      <c r="X153" s="393"/>
      <c r="Y153" s="393"/>
      <c r="Z153" s="393"/>
      <c r="AA153" s="393"/>
      <c r="AB153" s="393"/>
      <c r="AC153" s="393"/>
      <c r="AD153" s="393"/>
      <c r="AE153" s="393"/>
    </row>
    <row r="154" spans="1:31" ht="13.5" thickBot="1">
      <c r="A154" s="114"/>
      <c r="B154" s="115"/>
      <c r="C154" s="116"/>
      <c r="D154" s="105"/>
      <c r="E154" s="106"/>
      <c r="F154" s="107"/>
      <c r="G154" s="117"/>
      <c r="H154" s="118"/>
      <c r="I154" s="119"/>
      <c r="J154" s="120"/>
      <c r="K154" s="121"/>
      <c r="L154" s="122"/>
      <c r="N154" s="264" t="s">
        <v>988</v>
      </c>
      <c r="O154" s="161" t="s">
        <v>5388</v>
      </c>
      <c r="P154" s="1065"/>
      <c r="Q154" s="393">
        <v>710</v>
      </c>
      <c r="R154" s="393" t="s">
        <v>869</v>
      </c>
      <c r="S154" s="393">
        <v>1</v>
      </c>
      <c r="T154" s="399" t="s">
        <v>870</v>
      </c>
      <c r="U154" s="393"/>
      <c r="V154" s="393" t="s">
        <v>898</v>
      </c>
      <c r="W154" s="393">
        <v>1</v>
      </c>
      <c r="X154" s="393">
        <v>1</v>
      </c>
      <c r="Y154" s="393">
        <f>8/8</f>
        <v>1</v>
      </c>
      <c r="Z154" s="393" t="s">
        <v>989</v>
      </c>
      <c r="AA154" s="393"/>
      <c r="AB154" s="393"/>
      <c r="AC154" s="393"/>
      <c r="AD154" s="393"/>
      <c r="AE154" s="393"/>
    </row>
    <row r="155" spans="1:31" ht="13.5" thickBot="1">
      <c r="A155" s="114"/>
      <c r="B155" s="115"/>
      <c r="C155" s="116"/>
      <c r="D155" s="105"/>
      <c r="E155" s="106"/>
      <c r="F155" s="107"/>
      <c r="G155" s="117"/>
      <c r="H155" s="118"/>
      <c r="I155" s="119"/>
      <c r="J155" s="120"/>
      <c r="K155" s="121"/>
      <c r="L155" s="122"/>
      <c r="N155" s="264" t="s">
        <v>990</v>
      </c>
      <c r="O155" s="161" t="s">
        <v>5399</v>
      </c>
      <c r="P155" s="1065"/>
      <c r="Q155" s="393">
        <v>710</v>
      </c>
      <c r="R155" s="393" t="s">
        <v>869</v>
      </c>
      <c r="S155" s="393">
        <v>1</v>
      </c>
      <c r="T155" s="399" t="s">
        <v>870</v>
      </c>
      <c r="U155" s="393"/>
      <c r="V155" s="393" t="s">
        <v>898</v>
      </c>
      <c r="W155" s="393">
        <v>1</v>
      </c>
      <c r="X155" s="393">
        <v>1</v>
      </c>
      <c r="Y155" s="393">
        <f>8/8</f>
        <v>1</v>
      </c>
      <c r="Z155" s="393" t="s">
        <v>989</v>
      </c>
      <c r="AA155" s="393"/>
      <c r="AB155" s="393"/>
      <c r="AC155" s="393"/>
      <c r="AD155" s="393"/>
      <c r="AE155" s="393"/>
    </row>
    <row r="156" spans="1:31" ht="13.5" thickBot="1">
      <c r="A156" s="114"/>
      <c r="B156" s="115"/>
      <c r="C156" s="116"/>
      <c r="D156" s="105"/>
      <c r="E156" s="106"/>
      <c r="F156" s="107"/>
      <c r="G156" s="117"/>
      <c r="H156" s="118"/>
      <c r="I156" s="119"/>
      <c r="J156" s="120"/>
      <c r="K156" s="121"/>
      <c r="L156" s="122"/>
      <c r="N156" s="401" t="s">
        <v>991</v>
      </c>
      <c r="O156" s="402" t="s">
        <v>992</v>
      </c>
      <c r="P156" s="1065"/>
      <c r="Q156" s="393">
        <v>1100</v>
      </c>
      <c r="R156" s="393"/>
      <c r="S156" s="393"/>
      <c r="T156" s="399" t="s">
        <v>870</v>
      </c>
      <c r="U156" s="393"/>
      <c r="V156" s="393"/>
      <c r="W156" s="393">
        <v>1</v>
      </c>
      <c r="X156" s="393">
        <v>1</v>
      </c>
      <c r="Y156" s="393">
        <f>10/10</f>
        <v>1</v>
      </c>
      <c r="Z156" s="393" t="s">
        <v>993</v>
      </c>
      <c r="AA156" s="393"/>
      <c r="AB156" s="393"/>
      <c r="AC156" s="393"/>
      <c r="AD156" s="393"/>
      <c r="AE156" s="393"/>
    </row>
    <row r="157" spans="1:31" ht="13.5" thickBot="1">
      <c r="A157" s="114"/>
      <c r="B157" s="115"/>
      <c r="C157" s="116"/>
      <c r="D157" s="105"/>
      <c r="E157" s="106"/>
      <c r="F157" s="107"/>
      <c r="G157" s="117"/>
      <c r="H157" s="118"/>
      <c r="I157" s="119"/>
      <c r="J157" s="120"/>
      <c r="K157" s="121"/>
      <c r="L157" s="122"/>
      <c r="N157" s="401" t="s">
        <v>991</v>
      </c>
      <c r="O157" s="402" t="s">
        <v>994</v>
      </c>
      <c r="P157" s="1065"/>
      <c r="Q157" s="393">
        <v>1100</v>
      </c>
      <c r="R157" s="393"/>
      <c r="S157" s="393"/>
      <c r="T157" s="399" t="s">
        <v>881</v>
      </c>
      <c r="U157" s="393"/>
      <c r="V157" s="393"/>
      <c r="W157" s="393">
        <v>0</v>
      </c>
      <c r="X157" s="393">
        <v>0</v>
      </c>
      <c r="Y157" s="393"/>
      <c r="Z157" s="393" t="s">
        <v>993</v>
      </c>
      <c r="AA157" s="393"/>
      <c r="AB157" s="393"/>
      <c r="AC157" s="393"/>
      <c r="AD157" s="393"/>
      <c r="AE157" s="393"/>
    </row>
    <row r="158" spans="1:31" ht="13.5" thickBot="1">
      <c r="A158" s="114"/>
      <c r="B158" s="115"/>
      <c r="C158" s="116"/>
      <c r="D158" s="105"/>
      <c r="E158" s="106"/>
      <c r="F158" s="107"/>
      <c r="G158" s="117"/>
      <c r="H158" s="118"/>
      <c r="I158" s="119"/>
      <c r="J158" s="120"/>
      <c r="K158" s="121"/>
      <c r="L158" s="122"/>
      <c r="N158" s="264" t="s">
        <v>995</v>
      </c>
      <c r="O158" s="161" t="s">
        <v>5392</v>
      </c>
      <c r="P158" s="1065"/>
      <c r="Q158" s="393">
        <v>190</v>
      </c>
      <c r="R158" s="393"/>
      <c r="S158" s="393"/>
      <c r="T158" s="393"/>
      <c r="U158" s="393"/>
      <c r="V158" s="393"/>
      <c r="W158" s="393"/>
      <c r="X158" s="393"/>
      <c r="Y158" s="393"/>
      <c r="Z158" s="393"/>
      <c r="AA158" s="393"/>
      <c r="AB158" s="393"/>
      <c r="AC158" s="393"/>
      <c r="AD158" s="393"/>
      <c r="AE158" s="393"/>
    </row>
    <row r="159" spans="1:31" ht="13.5" thickBot="1">
      <c r="A159" s="114"/>
      <c r="B159" s="115"/>
      <c r="C159" s="116"/>
      <c r="D159" s="105"/>
      <c r="E159" s="106"/>
      <c r="F159" s="107"/>
      <c r="G159" s="117"/>
      <c r="H159" s="118"/>
      <c r="I159" s="119"/>
      <c r="J159" s="120"/>
      <c r="K159" s="121"/>
      <c r="L159" s="122"/>
      <c r="N159" s="264" t="s">
        <v>996</v>
      </c>
      <c r="O159" s="161" t="s">
        <v>5393</v>
      </c>
      <c r="P159" s="161" t="s">
        <v>997</v>
      </c>
      <c r="Q159" s="393"/>
      <c r="R159" s="393" t="s">
        <v>869</v>
      </c>
      <c r="S159" s="393">
        <v>1</v>
      </c>
      <c r="T159" s="393"/>
      <c r="U159" s="393"/>
      <c r="V159" s="393" t="s">
        <v>898</v>
      </c>
      <c r="W159" s="393"/>
      <c r="X159" s="393"/>
      <c r="Y159" s="393"/>
      <c r="Z159" s="393"/>
      <c r="AA159" s="393"/>
      <c r="AB159" s="393"/>
      <c r="AC159" s="393"/>
      <c r="AD159" s="393"/>
      <c r="AE159" s="393"/>
    </row>
    <row r="160" spans="1:31" ht="13.5" thickBot="1">
      <c r="A160" s="114"/>
      <c r="B160" s="115"/>
      <c r="C160" s="116"/>
      <c r="D160" s="105"/>
      <c r="E160" s="106"/>
      <c r="F160" s="107"/>
      <c r="G160" s="117"/>
      <c r="H160" s="118"/>
      <c r="I160" s="119"/>
      <c r="J160" s="120"/>
      <c r="K160" s="121"/>
      <c r="L160" s="122"/>
      <c r="N160" s="264" t="s">
        <v>998</v>
      </c>
      <c r="O160" s="161" t="s">
        <v>999</v>
      </c>
      <c r="P160" s="161" t="s">
        <v>9093</v>
      </c>
      <c r="Q160" s="393">
        <v>140</v>
      </c>
      <c r="R160" s="393"/>
      <c r="S160" s="393"/>
      <c r="T160" s="399" t="s">
        <v>881</v>
      </c>
      <c r="U160" s="393"/>
      <c r="V160" s="393"/>
      <c r="W160" s="393">
        <v>1</v>
      </c>
      <c r="X160" s="393">
        <v>1</v>
      </c>
      <c r="Y160" s="393">
        <f>6/6</f>
        <v>1</v>
      </c>
      <c r="Z160" s="393" t="s">
        <v>980</v>
      </c>
      <c r="AA160" s="393"/>
      <c r="AB160" s="393"/>
      <c r="AC160" s="393"/>
      <c r="AD160" s="393"/>
      <c r="AE160" s="393"/>
    </row>
    <row r="161" spans="1:31" ht="13.9" customHeight="1" thickBot="1">
      <c r="A161" s="114"/>
      <c r="B161" s="115"/>
      <c r="C161" s="116"/>
      <c r="D161" s="105"/>
      <c r="E161" s="106"/>
      <c r="F161" s="107"/>
      <c r="G161" s="117"/>
      <c r="H161" s="118"/>
      <c r="I161" s="119"/>
      <c r="J161" s="120"/>
      <c r="K161" s="121"/>
      <c r="L161" s="122"/>
      <c r="N161" s="264" t="s">
        <v>1001</v>
      </c>
      <c r="O161" s="161" t="s">
        <v>1002</v>
      </c>
      <c r="P161" s="1065" t="s">
        <v>1003</v>
      </c>
      <c r="Q161" s="393">
        <v>16</v>
      </c>
      <c r="R161" s="393"/>
      <c r="S161" s="393"/>
      <c r="T161" s="399" t="s">
        <v>881</v>
      </c>
      <c r="U161" s="393"/>
      <c r="V161" s="393"/>
      <c r="W161" s="393">
        <v>1</v>
      </c>
      <c r="X161" s="393">
        <v>1</v>
      </c>
      <c r="Y161" s="393">
        <f>2*2/1.5/1.5</f>
        <v>1.7777777777777777</v>
      </c>
      <c r="Z161" s="393" t="s">
        <v>917</v>
      </c>
      <c r="AA161" s="393"/>
      <c r="AB161" s="393"/>
      <c r="AC161" s="393"/>
      <c r="AD161" s="393"/>
      <c r="AE161" s="393"/>
    </row>
    <row r="162" spans="1:31" ht="13.5" thickBot="1">
      <c r="A162" s="114"/>
      <c r="B162" s="115"/>
      <c r="C162" s="116"/>
      <c r="D162" s="105"/>
      <c r="E162" s="106"/>
      <c r="F162" s="107"/>
      <c r="G162" s="117"/>
      <c r="H162" s="118"/>
      <c r="I162" s="119"/>
      <c r="J162" s="120"/>
      <c r="K162" s="121"/>
      <c r="L162" s="122"/>
      <c r="N162" s="264" t="s">
        <v>1004</v>
      </c>
      <c r="O162" s="161"/>
      <c r="P162" s="1065"/>
      <c r="Q162" s="393"/>
      <c r="R162" s="393"/>
      <c r="S162" s="393"/>
      <c r="T162" s="393"/>
      <c r="U162" s="393"/>
      <c r="V162" s="393"/>
      <c r="W162" s="393"/>
      <c r="X162" s="393"/>
      <c r="Y162" s="393"/>
      <c r="Z162" s="393"/>
      <c r="AA162" s="393"/>
      <c r="AB162" s="393"/>
      <c r="AC162" s="393"/>
      <c r="AD162" s="393"/>
      <c r="AE162" s="393"/>
    </row>
    <row r="163" spans="1:31" ht="13.5" thickBot="1">
      <c r="A163" s="114"/>
      <c r="B163" s="115"/>
      <c r="C163" s="116"/>
      <c r="D163" s="105"/>
      <c r="E163" s="106"/>
      <c r="F163" s="107"/>
      <c r="G163" s="117"/>
      <c r="H163" s="118"/>
      <c r="I163" s="119"/>
      <c r="J163" s="120"/>
      <c r="K163" s="121"/>
      <c r="L163" s="122"/>
      <c r="M163" s="391" t="s">
        <v>1005</v>
      </c>
      <c r="N163" s="264"/>
      <c r="O163" s="161"/>
      <c r="P163" s="1065"/>
      <c r="Q163" s="393">
        <v>10</v>
      </c>
      <c r="R163" s="393"/>
      <c r="S163" s="393"/>
      <c r="T163" s="393"/>
      <c r="U163" s="393"/>
      <c r="V163" s="393"/>
      <c r="W163" s="393"/>
      <c r="X163" s="393"/>
      <c r="Y163" s="393"/>
      <c r="Z163" s="393"/>
      <c r="AA163" s="393"/>
      <c r="AB163" s="393"/>
      <c r="AC163" s="393"/>
      <c r="AD163" s="393"/>
      <c r="AE163" s="393"/>
    </row>
    <row r="164" spans="1:31" ht="13.5" thickBot="1">
      <c r="A164" s="114"/>
      <c r="B164" s="115"/>
      <c r="C164" s="116"/>
      <c r="D164" s="105"/>
      <c r="E164" s="106"/>
      <c r="F164" s="107"/>
      <c r="G164" s="117"/>
      <c r="H164" s="118"/>
      <c r="I164" s="119"/>
      <c r="J164" s="120"/>
      <c r="K164" s="121"/>
      <c r="L164" s="122"/>
      <c r="N164" s="264" t="s">
        <v>1006</v>
      </c>
      <c r="O164" s="161"/>
      <c r="P164" s="1065"/>
      <c r="Q164" s="393">
        <v>90.1</v>
      </c>
      <c r="R164" s="393"/>
      <c r="S164" s="393"/>
      <c r="T164" s="393"/>
      <c r="U164" s="393"/>
      <c r="V164" s="393"/>
      <c r="W164" s="393"/>
      <c r="X164" s="393"/>
      <c r="Y164" s="393"/>
      <c r="Z164" s="393"/>
      <c r="AA164" s="393"/>
      <c r="AB164" s="393"/>
      <c r="AC164" s="393"/>
      <c r="AD164" s="393"/>
      <c r="AE164" s="393"/>
    </row>
    <row r="165" spans="1:31" ht="13.5" thickBot="1">
      <c r="A165" s="114"/>
      <c r="B165" s="115"/>
      <c r="C165" s="116"/>
      <c r="D165" s="105"/>
      <c r="E165" s="106"/>
      <c r="F165" s="107"/>
      <c r="G165" s="117"/>
      <c r="H165" s="118"/>
      <c r="I165" s="119"/>
      <c r="J165" s="120"/>
      <c r="K165" s="121"/>
      <c r="L165" s="122"/>
      <c r="N165" s="264" t="s">
        <v>1006</v>
      </c>
      <c r="O165" s="161"/>
      <c r="P165" s="1065"/>
      <c r="Q165" s="393">
        <v>2.5</v>
      </c>
      <c r="R165" s="393"/>
      <c r="S165" s="393"/>
      <c r="T165" s="393"/>
      <c r="U165" s="393"/>
      <c r="V165" s="393"/>
      <c r="W165" s="393"/>
      <c r="X165" s="393"/>
      <c r="Y165" s="393"/>
      <c r="Z165" s="393"/>
      <c r="AA165" s="393"/>
      <c r="AB165" s="393"/>
      <c r="AC165" s="393"/>
      <c r="AD165" s="393"/>
      <c r="AE165" s="393"/>
    </row>
    <row r="166" spans="1:31" ht="13.5" thickBot="1">
      <c r="A166" s="114"/>
      <c r="B166" s="115"/>
      <c r="C166" s="116"/>
      <c r="D166" s="105"/>
      <c r="E166" s="106"/>
      <c r="F166" s="107"/>
      <c r="G166" s="117"/>
      <c r="H166" s="118"/>
      <c r="I166" s="119"/>
      <c r="J166" s="120"/>
      <c r="K166" s="121"/>
      <c r="L166" s="122"/>
      <c r="M166" s="391" t="s">
        <v>1007</v>
      </c>
      <c r="N166" s="264"/>
      <c r="O166" s="161"/>
      <c r="P166" s="1065"/>
      <c r="Q166" s="393">
        <v>10.5</v>
      </c>
      <c r="R166" s="393"/>
      <c r="S166" s="393"/>
      <c r="T166" s="393"/>
      <c r="U166" s="393"/>
      <c r="V166" s="393"/>
      <c r="W166" s="393"/>
      <c r="X166" s="393"/>
      <c r="Y166" s="393"/>
      <c r="Z166" s="393"/>
      <c r="AA166" s="393"/>
      <c r="AB166" s="393"/>
      <c r="AC166" s="393"/>
      <c r="AD166" s="393"/>
      <c r="AE166" s="393"/>
    </row>
    <row r="167" spans="1:31" ht="13.5" thickBot="1">
      <c r="A167" s="114"/>
      <c r="B167" s="115"/>
      <c r="C167" s="116"/>
      <c r="D167" s="105"/>
      <c r="E167" s="106"/>
      <c r="F167" s="107"/>
      <c r="G167" s="117"/>
      <c r="H167" s="118"/>
      <c r="I167" s="119"/>
      <c r="J167" s="120"/>
      <c r="K167" s="121"/>
      <c r="L167" s="122"/>
      <c r="N167" s="264" t="s">
        <v>1008</v>
      </c>
      <c r="O167" s="161"/>
      <c r="P167" s="1065"/>
      <c r="Q167" s="393">
        <v>47</v>
      </c>
      <c r="R167" s="393"/>
      <c r="S167" s="393"/>
      <c r="T167" s="393"/>
      <c r="U167" s="393"/>
      <c r="V167" s="393"/>
      <c r="W167" s="393"/>
      <c r="X167" s="393"/>
      <c r="Y167" s="393"/>
      <c r="Z167" s="393"/>
      <c r="AA167" s="393"/>
      <c r="AB167" s="393"/>
      <c r="AC167" s="393"/>
      <c r="AD167" s="393"/>
      <c r="AE167" s="393"/>
    </row>
    <row r="168" spans="1:31" ht="13.5" thickBot="1">
      <c r="A168" s="114"/>
      <c r="B168" s="115"/>
      <c r="C168" s="116"/>
      <c r="D168" s="105"/>
      <c r="E168" s="106"/>
      <c r="F168" s="107"/>
      <c r="G168" s="117"/>
      <c r="H168" s="118"/>
      <c r="I168" s="119"/>
      <c r="J168" s="120"/>
      <c r="K168" s="121"/>
      <c r="L168" s="122"/>
      <c r="N168" s="264" t="s">
        <v>1009</v>
      </c>
      <c r="O168" s="161"/>
      <c r="P168" s="1065"/>
      <c r="Q168" s="393"/>
      <c r="R168" s="393"/>
      <c r="S168" s="393"/>
      <c r="T168" s="393"/>
      <c r="U168" s="393"/>
      <c r="V168" s="393"/>
      <c r="W168" s="393"/>
      <c r="X168" s="393"/>
      <c r="Y168" s="393"/>
      <c r="Z168" s="393"/>
      <c r="AA168" s="393"/>
      <c r="AB168" s="393"/>
      <c r="AC168" s="393"/>
      <c r="AD168" s="393"/>
      <c r="AE168" s="393"/>
    </row>
    <row r="169" spans="1:31" ht="13.5" thickBot="1">
      <c r="A169" s="114"/>
      <c r="B169" s="115"/>
      <c r="C169" s="116"/>
      <c r="D169" s="105"/>
      <c r="E169" s="106"/>
      <c r="F169" s="107"/>
      <c r="G169" s="117"/>
      <c r="H169" s="118"/>
      <c r="I169" s="119"/>
      <c r="J169" s="120"/>
      <c r="K169" s="121"/>
      <c r="L169" s="122"/>
      <c r="N169" s="264" t="s">
        <v>1010</v>
      </c>
      <c r="O169" s="161"/>
      <c r="P169" s="1065"/>
      <c r="Q169" s="393">
        <v>350</v>
      </c>
      <c r="R169" s="393"/>
      <c r="S169" s="393"/>
      <c r="T169" s="399" t="s">
        <v>881</v>
      </c>
      <c r="U169" s="393"/>
      <c r="V169" s="393"/>
      <c r="W169" s="393">
        <v>0</v>
      </c>
      <c r="X169" s="393">
        <v>0</v>
      </c>
      <c r="Y169" s="393"/>
      <c r="Z169" s="393" t="s">
        <v>986</v>
      </c>
      <c r="AA169" s="393"/>
      <c r="AB169" s="393"/>
      <c r="AC169" s="393"/>
      <c r="AD169" s="393"/>
      <c r="AE169" s="393"/>
    </row>
    <row r="170" spans="1:31" ht="13.5" thickBot="1">
      <c r="A170" s="114"/>
      <c r="B170" s="115"/>
      <c r="C170" s="116"/>
      <c r="D170" s="105"/>
      <c r="E170" s="106"/>
      <c r="F170" s="107"/>
      <c r="G170" s="117"/>
      <c r="H170" s="118"/>
      <c r="I170" s="119"/>
      <c r="J170" s="120"/>
      <c r="K170" s="121"/>
      <c r="L170" s="122"/>
      <c r="N170" s="264" t="s">
        <v>1011</v>
      </c>
      <c r="O170" s="161" t="s">
        <v>1012</v>
      </c>
      <c r="P170" s="161" t="s">
        <v>1013</v>
      </c>
      <c r="Q170" s="393">
        <v>350</v>
      </c>
      <c r="R170" s="393" t="s">
        <v>869</v>
      </c>
      <c r="S170" s="393">
        <v>1</v>
      </c>
      <c r="T170" s="399" t="s">
        <v>881</v>
      </c>
      <c r="U170" s="393"/>
      <c r="V170" s="393" t="s">
        <v>898</v>
      </c>
      <c r="W170" s="393">
        <v>1</v>
      </c>
      <c r="X170" s="393">
        <v>0</v>
      </c>
      <c r="Y170" s="393"/>
      <c r="Z170" s="393" t="s">
        <v>986</v>
      </c>
      <c r="AA170" s="393"/>
      <c r="AB170" s="393"/>
      <c r="AC170" s="393"/>
      <c r="AD170" s="393"/>
      <c r="AE170" s="393"/>
    </row>
    <row r="171" spans="1:31" s="134" customFormat="1" ht="13.5" thickBot="1">
      <c r="A171" s="133"/>
      <c r="B171" s="115"/>
      <c r="C171" s="116"/>
      <c r="D171" s="105"/>
      <c r="E171" s="106"/>
      <c r="F171" s="107"/>
      <c r="G171" s="117"/>
      <c r="H171" s="118"/>
      <c r="I171" s="119"/>
      <c r="J171" s="120"/>
      <c r="K171" s="121"/>
      <c r="L171" s="122"/>
      <c r="N171" s="161" t="s">
        <v>1014</v>
      </c>
      <c r="O171" s="161" t="s">
        <v>1015</v>
      </c>
      <c r="P171" s="161" t="s">
        <v>1016</v>
      </c>
      <c r="Q171" s="393">
        <v>28.9</v>
      </c>
      <c r="R171" s="393" t="s">
        <v>869</v>
      </c>
      <c r="S171" s="393">
        <v>1</v>
      </c>
      <c r="T171" s="393" t="s">
        <v>870</v>
      </c>
      <c r="U171" s="393"/>
      <c r="V171" s="393" t="s">
        <v>898</v>
      </c>
      <c r="W171" s="393">
        <v>0</v>
      </c>
      <c r="X171" s="393">
        <v>0</v>
      </c>
      <c r="Y171" s="393"/>
      <c r="Z171" s="393" t="s">
        <v>894</v>
      </c>
      <c r="AA171" s="393"/>
      <c r="AB171" s="393"/>
      <c r="AC171" s="393">
        <v>800</v>
      </c>
      <c r="AD171" s="393">
        <v>1.5</v>
      </c>
      <c r="AE171" s="393">
        <v>61</v>
      </c>
    </row>
    <row r="172" spans="1:31" ht="13.5" thickBot="1">
      <c r="A172" s="114"/>
      <c r="B172" s="115"/>
      <c r="C172" s="116"/>
      <c r="D172" s="105"/>
      <c r="E172" s="106"/>
      <c r="F172" s="107"/>
      <c r="G172" s="117"/>
      <c r="H172" s="118"/>
      <c r="I172" s="119"/>
      <c r="J172" s="120"/>
      <c r="K172" s="121"/>
      <c r="L172" s="122"/>
      <c r="N172" s="161" t="s">
        <v>1017</v>
      </c>
      <c r="O172" s="403" t="s">
        <v>1018</v>
      </c>
      <c r="P172" s="161" t="s">
        <v>1019</v>
      </c>
      <c r="Q172" s="393">
        <v>105</v>
      </c>
      <c r="R172" s="393" t="s">
        <v>869</v>
      </c>
      <c r="S172" s="393">
        <v>1</v>
      </c>
      <c r="T172" s="393"/>
      <c r="U172" s="393"/>
      <c r="V172" s="393" t="s">
        <v>871</v>
      </c>
      <c r="W172" s="393">
        <v>1</v>
      </c>
      <c r="X172" s="393">
        <v>0</v>
      </c>
      <c r="Y172" s="393"/>
      <c r="Z172" s="393" t="s">
        <v>917</v>
      </c>
      <c r="AA172" s="393"/>
      <c r="AB172" s="393"/>
      <c r="AC172" s="393"/>
      <c r="AD172" s="393"/>
      <c r="AE172" s="393"/>
    </row>
    <row r="173" spans="1:31" ht="13.5" thickBot="1">
      <c r="A173" s="114"/>
      <c r="B173" s="115"/>
      <c r="C173" s="116"/>
      <c r="D173" s="105"/>
      <c r="E173" s="106"/>
      <c r="F173" s="107"/>
      <c r="G173" s="117"/>
      <c r="H173" s="118"/>
      <c r="I173" s="119"/>
      <c r="J173" s="120"/>
      <c r="K173" s="121"/>
      <c r="L173" s="122"/>
      <c r="N173" s="161" t="s">
        <v>1020</v>
      </c>
      <c r="O173" s="161"/>
      <c r="P173" s="407" t="s">
        <v>4584</v>
      </c>
      <c r="Q173" s="393"/>
      <c r="R173" s="393"/>
      <c r="S173" s="393"/>
      <c r="T173" s="393"/>
      <c r="U173" s="393"/>
      <c r="V173" s="393"/>
      <c r="W173" s="393"/>
      <c r="X173" s="393"/>
      <c r="Y173" s="393"/>
      <c r="Z173" s="393"/>
      <c r="AA173" s="393"/>
      <c r="AB173" s="393"/>
      <c r="AC173" s="393"/>
      <c r="AD173" s="393"/>
      <c r="AE173" s="393"/>
    </row>
    <row r="174" spans="1:31" ht="13.5" thickBot="1">
      <c r="A174" s="114"/>
      <c r="B174" s="115"/>
      <c r="C174" s="116"/>
      <c r="D174" s="105"/>
      <c r="E174" s="106"/>
      <c r="F174" s="107"/>
      <c r="G174" s="117"/>
      <c r="H174" s="118"/>
      <c r="I174" s="119"/>
      <c r="J174" s="120"/>
      <c r="K174" s="121"/>
      <c r="L174" s="122"/>
      <c r="N174" s="161" t="s">
        <v>1021</v>
      </c>
      <c r="O174" s="161"/>
      <c r="P174" s="407" t="s">
        <v>4584</v>
      </c>
      <c r="Q174" s="393"/>
      <c r="R174" s="393"/>
      <c r="S174" s="393"/>
      <c r="T174" s="393"/>
      <c r="U174" s="393"/>
      <c r="V174" s="393"/>
      <c r="W174" s="393"/>
      <c r="X174" s="393"/>
      <c r="Y174" s="393"/>
      <c r="Z174" s="393"/>
      <c r="AA174" s="393"/>
      <c r="AB174" s="393"/>
      <c r="AC174" s="393"/>
      <c r="AD174" s="393"/>
      <c r="AE174" s="393"/>
    </row>
    <row r="175" spans="1:31" ht="13.5" thickBot="1">
      <c r="A175" s="114"/>
      <c r="B175" s="115"/>
      <c r="C175" s="116"/>
      <c r="D175" s="105"/>
      <c r="E175" s="106"/>
      <c r="F175" s="107"/>
      <c r="G175" s="117"/>
      <c r="H175" s="118"/>
      <c r="I175" s="119"/>
      <c r="J175" s="120"/>
      <c r="K175" s="121"/>
      <c r="L175" s="122"/>
      <c r="N175" s="161" t="s">
        <v>1022</v>
      </c>
      <c r="O175" s="161" t="s">
        <v>1023</v>
      </c>
      <c r="P175" s="407" t="s">
        <v>4584</v>
      </c>
      <c r="Q175" s="393">
        <v>710</v>
      </c>
      <c r="R175" s="393"/>
      <c r="S175" s="393"/>
      <c r="T175" s="393"/>
      <c r="U175" s="393"/>
      <c r="V175" s="780" t="s">
        <v>10376</v>
      </c>
      <c r="W175" s="393">
        <v>0</v>
      </c>
      <c r="X175" s="393">
        <v>0</v>
      </c>
      <c r="Y175" s="393"/>
      <c r="Z175" s="393" t="s">
        <v>1024</v>
      </c>
      <c r="AA175" s="393"/>
      <c r="AB175" s="393"/>
      <c r="AC175" s="393"/>
      <c r="AD175" s="393"/>
      <c r="AE175" s="393"/>
    </row>
    <row r="176" spans="1:31" ht="13.5" thickBot="1">
      <c r="A176" s="114"/>
      <c r="B176" s="115"/>
      <c r="C176" s="116"/>
      <c r="D176" s="105"/>
      <c r="E176" s="106"/>
      <c r="F176" s="107"/>
      <c r="G176" s="117"/>
      <c r="H176" s="118"/>
      <c r="I176" s="119"/>
      <c r="J176" s="120"/>
      <c r="K176" s="121"/>
      <c r="L176" s="122"/>
      <c r="N176" s="161" t="s">
        <v>1025</v>
      </c>
      <c r="O176" s="161" t="s">
        <v>4581</v>
      </c>
      <c r="P176" s="407" t="s">
        <v>4584</v>
      </c>
      <c r="Q176" s="393">
        <v>13</v>
      </c>
      <c r="R176" s="393"/>
      <c r="S176" s="393"/>
      <c r="T176" s="393"/>
      <c r="U176" s="393"/>
      <c r="V176" s="393"/>
      <c r="W176" s="393"/>
      <c r="X176" s="393"/>
      <c r="Y176" s="393"/>
      <c r="Z176" s="393"/>
      <c r="AA176" s="393"/>
      <c r="AB176" s="393"/>
      <c r="AC176" s="393"/>
      <c r="AD176" s="393"/>
      <c r="AE176" s="393"/>
    </row>
    <row r="177" spans="1:31" ht="13.5" thickBot="1">
      <c r="A177" s="114"/>
      <c r="B177" s="115"/>
      <c r="C177" s="116"/>
      <c r="D177" s="105"/>
      <c r="E177" s="106"/>
      <c r="F177" s="107"/>
      <c r="G177" s="117"/>
      <c r="H177" s="118"/>
      <c r="I177" s="119"/>
      <c r="J177" s="120"/>
      <c r="K177" s="121"/>
      <c r="L177" s="122"/>
      <c r="N177" s="264" t="s">
        <v>1026</v>
      </c>
      <c r="O177" s="161" t="s">
        <v>1027</v>
      </c>
      <c r="P177" s="407" t="s">
        <v>4584</v>
      </c>
      <c r="Q177" s="393">
        <v>400</v>
      </c>
      <c r="R177" s="393" t="s">
        <v>869</v>
      </c>
      <c r="S177" s="393">
        <v>1</v>
      </c>
      <c r="T177" s="399" t="s">
        <v>881</v>
      </c>
      <c r="U177" s="393"/>
      <c r="V177" s="393" t="s">
        <v>898</v>
      </c>
      <c r="W177" s="393">
        <v>1</v>
      </c>
      <c r="X177" s="393">
        <v>0</v>
      </c>
      <c r="Y177" s="393"/>
      <c r="Z177" s="393" t="s">
        <v>1024</v>
      </c>
      <c r="AA177" s="393"/>
      <c r="AB177" s="393"/>
      <c r="AC177" s="393"/>
      <c r="AD177" s="393"/>
      <c r="AE177" s="393"/>
    </row>
    <row r="178" spans="1:31" ht="13.5" thickBot="1">
      <c r="A178" s="114"/>
      <c r="B178" s="115"/>
      <c r="C178" s="116"/>
      <c r="D178" s="105"/>
      <c r="E178" s="106"/>
      <c r="F178" s="107"/>
      <c r="G178" s="117"/>
      <c r="H178" s="118"/>
      <c r="I178" s="119"/>
      <c r="J178" s="120"/>
      <c r="K178" s="121"/>
      <c r="L178" s="122"/>
      <c r="N178" s="264" t="s">
        <v>1028</v>
      </c>
      <c r="O178" s="161" t="s">
        <v>4582</v>
      </c>
      <c r="P178" s="407" t="s">
        <v>4584</v>
      </c>
      <c r="Q178" s="393">
        <v>75</v>
      </c>
      <c r="R178" s="393"/>
      <c r="S178" s="393"/>
      <c r="T178" s="393"/>
      <c r="U178" s="393"/>
      <c r="V178" s="393"/>
      <c r="W178" s="393"/>
      <c r="X178" s="393"/>
      <c r="Y178" s="393"/>
      <c r="Z178" s="393"/>
      <c r="AA178" s="393"/>
      <c r="AB178" s="393"/>
      <c r="AC178" s="393"/>
      <c r="AD178" s="393"/>
      <c r="AE178" s="393"/>
    </row>
    <row r="179" spans="1:31" ht="13.5" thickBot="1">
      <c r="A179" s="114"/>
      <c r="B179" s="115"/>
      <c r="C179" s="116"/>
      <c r="D179" s="105"/>
      <c r="E179" s="106"/>
      <c r="F179" s="107"/>
      <c r="G179" s="117"/>
      <c r="H179" s="118"/>
      <c r="I179" s="119"/>
      <c r="J179" s="120"/>
      <c r="K179" s="121"/>
      <c r="L179" s="122"/>
      <c r="N179" s="264" t="s">
        <v>1029</v>
      </c>
      <c r="O179" s="161" t="s">
        <v>4583</v>
      </c>
      <c r="P179" s="407" t="s">
        <v>4584</v>
      </c>
      <c r="Q179" s="393">
        <v>350</v>
      </c>
      <c r="R179" s="393"/>
      <c r="S179" s="393"/>
      <c r="T179" s="393"/>
      <c r="U179" s="393"/>
      <c r="V179" s="393"/>
      <c r="W179" s="393"/>
      <c r="X179" s="393"/>
      <c r="Y179" s="393"/>
      <c r="Z179" s="393"/>
      <c r="AA179" s="393"/>
      <c r="AB179" s="393"/>
      <c r="AC179" s="393"/>
      <c r="AD179" s="393"/>
      <c r="AE179" s="393"/>
    </row>
    <row r="180" spans="1:31" ht="13.5" thickBot="1">
      <c r="A180" s="114"/>
      <c r="B180" s="115"/>
      <c r="C180" s="116"/>
      <c r="D180" s="105"/>
      <c r="E180" s="106"/>
      <c r="F180" s="107"/>
      <c r="G180" s="117"/>
      <c r="H180" s="118"/>
      <c r="I180" s="119"/>
      <c r="J180" s="120"/>
      <c r="K180" s="121"/>
      <c r="L180" s="122"/>
      <c r="N180" s="264" t="s">
        <v>1030</v>
      </c>
      <c r="O180" s="161" t="s">
        <v>1031</v>
      </c>
      <c r="P180" s="407" t="s">
        <v>4584</v>
      </c>
      <c r="Q180" s="393">
        <v>39.200000000000003</v>
      </c>
      <c r="R180" s="393" t="s">
        <v>869</v>
      </c>
      <c r="S180" s="393">
        <v>1</v>
      </c>
      <c r="T180" s="399" t="s">
        <v>881</v>
      </c>
      <c r="U180" s="393"/>
      <c r="V180" s="393" t="s">
        <v>871</v>
      </c>
      <c r="W180" s="393">
        <v>1</v>
      </c>
      <c r="X180" s="393">
        <v>0</v>
      </c>
      <c r="Y180" s="393"/>
      <c r="Z180" s="393" t="s">
        <v>1024</v>
      </c>
      <c r="AA180" s="393"/>
      <c r="AB180" s="393"/>
      <c r="AC180" s="393">
        <v>2500</v>
      </c>
      <c r="AD180" s="393">
        <v>1.04</v>
      </c>
      <c r="AE180" s="393">
        <v>23</v>
      </c>
    </row>
    <row r="181" spans="1:31" ht="13.5" thickBot="1">
      <c r="A181" s="114"/>
      <c r="B181" s="115"/>
      <c r="C181" s="116"/>
      <c r="D181" s="105"/>
      <c r="E181" s="106"/>
      <c r="F181" s="107"/>
      <c r="G181" s="117"/>
      <c r="H181" s="118"/>
      <c r="I181" s="119"/>
      <c r="J181" s="120"/>
      <c r="K181" s="121"/>
      <c r="L181" s="122"/>
      <c r="N181" s="264" t="s">
        <v>1032</v>
      </c>
      <c r="O181" s="161"/>
      <c r="P181" s="407" t="s">
        <v>4584</v>
      </c>
      <c r="Q181" s="393">
        <v>12</v>
      </c>
      <c r="R181" s="393"/>
      <c r="S181" s="393"/>
      <c r="T181" s="393"/>
      <c r="U181" s="393"/>
      <c r="V181" s="393"/>
      <c r="W181" s="393"/>
      <c r="X181" s="393"/>
      <c r="Y181" s="393"/>
      <c r="Z181" s="393"/>
      <c r="AA181" s="393"/>
      <c r="AB181" s="393"/>
      <c r="AC181" s="393"/>
      <c r="AD181" s="393"/>
      <c r="AE181" s="393"/>
    </row>
    <row r="182" spans="1:31" ht="13.5" thickBot="1">
      <c r="A182" s="114"/>
      <c r="B182" s="115"/>
      <c r="C182" s="116"/>
      <c r="D182" s="105"/>
      <c r="E182" s="106"/>
      <c r="F182" s="107"/>
      <c r="G182" s="117"/>
      <c r="H182" s="118"/>
      <c r="I182" s="119"/>
      <c r="J182" s="120"/>
      <c r="K182" s="121"/>
      <c r="L182" s="122"/>
      <c r="N182" s="264" t="s">
        <v>1033</v>
      </c>
      <c r="O182" s="161"/>
      <c r="P182" s="407" t="s">
        <v>4584</v>
      </c>
      <c r="Q182" s="393">
        <v>0.4</v>
      </c>
      <c r="R182" s="393"/>
      <c r="S182" s="393"/>
      <c r="T182" s="393"/>
      <c r="U182" s="393"/>
      <c r="V182" s="393"/>
      <c r="W182" s="393"/>
      <c r="X182" s="393"/>
      <c r="Y182" s="393"/>
      <c r="Z182" s="393"/>
      <c r="AA182" s="393"/>
      <c r="AB182" s="393"/>
      <c r="AC182" s="393"/>
      <c r="AD182" s="393"/>
      <c r="AE182" s="393"/>
    </row>
    <row r="183" spans="1:31" ht="13.5" thickBot="1">
      <c r="A183" s="114"/>
      <c r="B183" s="115"/>
      <c r="C183" s="116"/>
      <c r="D183" s="105"/>
      <c r="E183" s="106"/>
      <c r="F183" s="107"/>
      <c r="G183" s="117"/>
      <c r="H183" s="118"/>
      <c r="I183" s="119"/>
      <c r="J183" s="120"/>
      <c r="K183" s="121"/>
      <c r="L183" s="122"/>
      <c r="N183" s="161" t="s">
        <v>1034</v>
      </c>
      <c r="O183" s="775" t="s">
        <v>1034</v>
      </c>
      <c r="P183" s="161" t="s">
        <v>1035</v>
      </c>
      <c r="Q183" s="393">
        <f>16800/40/POWER(0.75,0.5)</f>
        <v>484.97422611928567</v>
      </c>
      <c r="R183" s="393" t="s">
        <v>869</v>
      </c>
      <c r="S183" s="393">
        <v>1</v>
      </c>
      <c r="T183" s="393" t="s">
        <v>881</v>
      </c>
      <c r="U183" s="393"/>
      <c r="V183" s="393" t="s">
        <v>898</v>
      </c>
      <c r="W183" s="393">
        <v>0</v>
      </c>
      <c r="X183" s="393">
        <v>0</v>
      </c>
      <c r="Y183" s="393"/>
      <c r="Z183" s="393" t="s">
        <v>917</v>
      </c>
      <c r="AA183" s="393"/>
      <c r="AB183" s="393"/>
      <c r="AC183" s="393">
        <v>8472</v>
      </c>
      <c r="AD183" s="393">
        <v>0.1</v>
      </c>
      <c r="AE183" s="393">
        <v>85</v>
      </c>
    </row>
    <row r="184" spans="1:31" ht="13.5" thickBot="1">
      <c r="A184" s="114"/>
      <c r="B184" s="115"/>
      <c r="C184" s="116"/>
      <c r="D184" s="105"/>
      <c r="E184" s="106"/>
      <c r="F184" s="107"/>
      <c r="G184" s="117"/>
      <c r="H184" s="118"/>
      <c r="I184" s="119"/>
      <c r="J184" s="120"/>
      <c r="K184" s="121"/>
      <c r="L184" s="122"/>
      <c r="N184" s="264" t="s">
        <v>1036</v>
      </c>
      <c r="O184" s="777" t="s">
        <v>1036</v>
      </c>
      <c r="P184" s="161" t="s">
        <v>1037</v>
      </c>
      <c r="Q184" s="393"/>
      <c r="R184" s="393"/>
      <c r="S184" s="393"/>
      <c r="T184" s="393" t="s">
        <v>881</v>
      </c>
      <c r="U184" s="393"/>
      <c r="V184" s="393" t="s">
        <v>898</v>
      </c>
      <c r="W184" s="393"/>
      <c r="X184" s="393"/>
      <c r="Y184" s="393"/>
      <c r="Z184" s="393"/>
      <c r="AA184" s="393"/>
      <c r="AB184" s="393"/>
      <c r="AC184" s="393">
        <v>2618</v>
      </c>
      <c r="AD184" s="393">
        <v>0.1</v>
      </c>
      <c r="AE184" s="393"/>
    </row>
    <row r="185" spans="1:31" ht="13.5" thickBot="1">
      <c r="A185" s="114"/>
      <c r="B185" s="115"/>
      <c r="C185" s="116"/>
      <c r="D185" s="105"/>
      <c r="E185" s="106"/>
      <c r="F185" s="107"/>
      <c r="G185" s="117"/>
      <c r="H185" s="118"/>
      <c r="I185" s="119"/>
      <c r="J185" s="120"/>
      <c r="K185" s="121"/>
      <c r="L185" s="122"/>
      <c r="N185" s="161" t="s">
        <v>1038</v>
      </c>
      <c r="O185" s="161"/>
      <c r="P185" s="161" t="s">
        <v>1039</v>
      </c>
      <c r="Q185" s="393">
        <v>1.49</v>
      </c>
      <c r="R185" s="393" t="s">
        <v>869</v>
      </c>
      <c r="S185" s="393">
        <v>1</v>
      </c>
      <c r="T185" s="393" t="s">
        <v>881</v>
      </c>
      <c r="U185" s="393"/>
      <c r="V185" s="393" t="s">
        <v>898</v>
      </c>
      <c r="W185" s="393"/>
      <c r="X185" s="393"/>
      <c r="Y185" s="393"/>
      <c r="Z185" s="393"/>
      <c r="AA185" s="393"/>
      <c r="AB185" s="393"/>
      <c r="AC185" s="393">
        <v>2600</v>
      </c>
      <c r="AD185" s="393">
        <v>46</v>
      </c>
      <c r="AE185" s="393">
        <v>96</v>
      </c>
    </row>
    <row r="186" spans="1:31" ht="13.5" thickBot="1">
      <c r="A186" s="114"/>
      <c r="B186" s="115"/>
      <c r="C186" s="116"/>
      <c r="D186" s="105"/>
      <c r="E186" s="106"/>
      <c r="F186" s="107"/>
      <c r="G186" s="117"/>
      <c r="H186" s="118"/>
      <c r="I186" s="119"/>
      <c r="J186" s="120"/>
      <c r="K186" s="121"/>
      <c r="L186" s="122"/>
      <c r="N186" s="396" t="s">
        <v>1040</v>
      </c>
      <c r="O186" s="162" t="s">
        <v>1040</v>
      </c>
      <c r="P186" s="161" t="s">
        <v>1041</v>
      </c>
      <c r="Q186" s="393"/>
      <c r="R186" s="393"/>
      <c r="S186" s="393"/>
      <c r="T186" s="393"/>
      <c r="U186" s="393"/>
      <c r="V186" s="393"/>
      <c r="W186" s="393">
        <v>0</v>
      </c>
      <c r="X186" s="393">
        <v>0</v>
      </c>
      <c r="Y186" s="393"/>
      <c r="Z186" s="393" t="s">
        <v>1042</v>
      </c>
      <c r="AA186" s="393"/>
      <c r="AB186" s="393"/>
      <c r="AC186" s="393"/>
      <c r="AD186" s="393"/>
      <c r="AE186" s="393"/>
    </row>
    <row r="187" spans="1:31" s="134" customFormat="1" ht="13.5" thickBot="1">
      <c r="A187" s="133"/>
      <c r="B187" s="115"/>
      <c r="C187" s="116"/>
      <c r="D187" s="105"/>
      <c r="E187" s="106"/>
      <c r="F187" s="107"/>
      <c r="G187" s="117"/>
      <c r="H187" s="118"/>
      <c r="I187" s="119"/>
      <c r="J187" s="120"/>
      <c r="K187" s="121"/>
      <c r="L187" s="122"/>
      <c r="N187" s="396" t="s">
        <v>1043</v>
      </c>
      <c r="O187" s="161" t="s">
        <v>8865</v>
      </c>
      <c r="P187" s="161" t="s">
        <v>1044</v>
      </c>
      <c r="Q187" s="393"/>
      <c r="R187" s="393"/>
      <c r="S187" s="393"/>
      <c r="T187" s="393"/>
      <c r="U187" s="393"/>
      <c r="V187" s="393"/>
      <c r="W187" s="393"/>
      <c r="X187" s="393"/>
      <c r="Y187" s="393"/>
      <c r="Z187" s="393"/>
      <c r="AA187" s="393"/>
      <c r="AB187" s="393"/>
      <c r="AC187" s="393"/>
      <c r="AD187" s="393"/>
      <c r="AE187" s="393"/>
    </row>
    <row r="188" spans="1:31" ht="13.5" thickBot="1">
      <c r="A188" s="114"/>
      <c r="B188" s="115"/>
      <c r="C188" s="116"/>
      <c r="D188" s="105"/>
      <c r="E188" s="106"/>
      <c r="F188" s="107"/>
      <c r="G188" s="117"/>
      <c r="H188" s="118"/>
      <c r="I188" s="119"/>
      <c r="J188" s="120"/>
      <c r="K188" s="121"/>
      <c r="L188" s="122"/>
      <c r="N188" s="161" t="s">
        <v>1045</v>
      </c>
      <c r="O188" s="161" t="s">
        <v>1046</v>
      </c>
      <c r="P188" s="161" t="s">
        <v>1047</v>
      </c>
      <c r="Q188" s="393">
        <v>104</v>
      </c>
      <c r="R188" s="393" t="s">
        <v>869</v>
      </c>
      <c r="S188" s="393">
        <v>1</v>
      </c>
      <c r="T188" s="393" t="s">
        <v>881</v>
      </c>
      <c r="U188" s="393"/>
      <c r="V188" s="393" t="s">
        <v>898</v>
      </c>
      <c r="W188" s="393">
        <v>1</v>
      </c>
      <c r="X188" s="393">
        <v>1</v>
      </c>
      <c r="Y188" s="393"/>
      <c r="Z188" s="393" t="s">
        <v>980</v>
      </c>
      <c r="AA188" s="393"/>
      <c r="AB188" s="393"/>
      <c r="AC188" s="393">
        <v>40</v>
      </c>
      <c r="AD188" s="393">
        <v>1.2</v>
      </c>
      <c r="AE188" s="393"/>
    </row>
    <row r="189" spans="1:31" ht="13.5" thickBot="1">
      <c r="A189" s="114"/>
      <c r="B189" s="115"/>
      <c r="C189" s="116"/>
      <c r="D189" s="105"/>
      <c r="E189" s="106"/>
      <c r="F189" s="107"/>
      <c r="G189" s="117"/>
      <c r="H189" s="118"/>
      <c r="I189" s="119"/>
      <c r="J189" s="120"/>
      <c r="K189" s="121"/>
      <c r="L189" s="122"/>
      <c r="N189" s="264"/>
      <c r="O189" s="161"/>
      <c r="P189" s="161"/>
      <c r="Q189" s="393"/>
      <c r="R189" s="393"/>
      <c r="S189" s="393"/>
      <c r="T189" s="393"/>
      <c r="U189" s="393"/>
      <c r="V189" s="393"/>
      <c r="W189" s="393"/>
      <c r="X189" s="393"/>
      <c r="Y189" s="393"/>
      <c r="Z189" s="393"/>
      <c r="AA189" s="393"/>
      <c r="AB189" s="393"/>
      <c r="AC189" s="393"/>
      <c r="AD189" s="393"/>
      <c r="AE189" s="393"/>
    </row>
    <row r="190" spans="1:31" ht="13.5" thickBot="1">
      <c r="A190" s="114"/>
      <c r="B190" s="115"/>
      <c r="C190" s="116"/>
      <c r="D190" s="105"/>
      <c r="E190" s="106"/>
      <c r="F190" s="107"/>
      <c r="G190" s="117"/>
      <c r="H190" s="118"/>
      <c r="I190" s="119"/>
      <c r="J190" s="120"/>
      <c r="K190" s="121"/>
      <c r="L190" s="122"/>
      <c r="N190" s="264"/>
      <c r="O190" s="254" t="s">
        <v>1048</v>
      </c>
      <c r="P190" s="161"/>
      <c r="Q190" s="393"/>
      <c r="R190" s="393"/>
      <c r="S190" s="393"/>
      <c r="T190" s="393"/>
      <c r="U190" s="393"/>
      <c r="V190" s="393"/>
      <c r="W190" s="393">
        <v>0</v>
      </c>
      <c r="X190" s="393">
        <v>0</v>
      </c>
      <c r="Y190" s="393"/>
      <c r="Z190" s="393" t="s">
        <v>1049</v>
      </c>
      <c r="AA190" s="393"/>
      <c r="AB190" s="393"/>
      <c r="AC190" s="393"/>
      <c r="AD190" s="393"/>
      <c r="AE190" s="393"/>
    </row>
    <row r="191" spans="1:31" ht="13.5" thickBot="1">
      <c r="A191" s="114"/>
      <c r="B191" s="115"/>
      <c r="C191" s="116"/>
      <c r="D191" s="105"/>
      <c r="E191" s="106"/>
      <c r="F191" s="107"/>
      <c r="G191" s="117"/>
      <c r="H191" s="118"/>
      <c r="I191" s="119"/>
      <c r="J191" s="120"/>
      <c r="K191" s="121"/>
      <c r="L191" s="122"/>
      <c r="N191" s="264"/>
      <c r="O191" s="254" t="s">
        <v>1050</v>
      </c>
      <c r="P191" s="161"/>
      <c r="Q191" s="393"/>
      <c r="R191" s="393"/>
      <c r="S191" s="393"/>
      <c r="T191" s="399" t="s">
        <v>881</v>
      </c>
      <c r="U191" s="393"/>
      <c r="V191" s="393"/>
      <c r="W191" s="393">
        <v>0</v>
      </c>
      <c r="X191" s="393">
        <v>0</v>
      </c>
      <c r="Y191" s="393"/>
      <c r="Z191" s="393" t="s">
        <v>1051</v>
      </c>
      <c r="AA191" s="393"/>
      <c r="AB191" s="393"/>
      <c r="AC191" s="393"/>
      <c r="AD191" s="393"/>
      <c r="AE191" s="393"/>
    </row>
    <row r="192" spans="1:31" ht="13.5" thickBot="1">
      <c r="A192" s="114"/>
      <c r="B192" s="115"/>
      <c r="C192" s="116"/>
      <c r="D192" s="105"/>
      <c r="E192" s="106"/>
      <c r="F192" s="107"/>
      <c r="G192" s="117"/>
      <c r="H192" s="118"/>
      <c r="I192" s="119"/>
      <c r="J192" s="120"/>
      <c r="K192" s="121"/>
      <c r="L192" s="122"/>
      <c r="N192" s="264" t="s">
        <v>1052</v>
      </c>
      <c r="O192" s="161" t="s">
        <v>4588</v>
      </c>
      <c r="P192" s="161" t="s">
        <v>1053</v>
      </c>
      <c r="Q192" s="393">
        <v>155</v>
      </c>
      <c r="R192" s="393" t="s">
        <v>869</v>
      </c>
      <c r="S192" s="393">
        <v>1</v>
      </c>
      <c r="T192" s="399" t="s">
        <v>881</v>
      </c>
      <c r="U192" s="393"/>
      <c r="V192" s="393" t="s">
        <v>871</v>
      </c>
      <c r="W192" s="393">
        <v>0</v>
      </c>
      <c r="X192" s="393">
        <v>0</v>
      </c>
      <c r="Y192" s="393"/>
      <c r="Z192" s="393" t="s">
        <v>1051</v>
      </c>
      <c r="AA192" s="393"/>
      <c r="AB192" s="393"/>
      <c r="AC192" s="393"/>
      <c r="AD192" s="393"/>
      <c r="AE192" s="393"/>
    </row>
    <row r="193" spans="1:31" ht="13.5" thickBot="1">
      <c r="A193" s="114"/>
      <c r="B193" s="115"/>
      <c r="C193" s="116"/>
      <c r="D193" s="105"/>
      <c r="E193" s="106"/>
      <c r="F193" s="107"/>
      <c r="G193" s="117"/>
      <c r="H193" s="118"/>
      <c r="I193" s="119"/>
      <c r="J193" s="120"/>
      <c r="K193" s="121"/>
      <c r="L193" s="122"/>
      <c r="N193" s="264"/>
      <c r="O193" s="254" t="s">
        <v>1054</v>
      </c>
      <c r="P193" s="161"/>
      <c r="Q193" s="393"/>
      <c r="R193" s="393"/>
      <c r="S193" s="393"/>
      <c r="T193" s="399" t="s">
        <v>881</v>
      </c>
      <c r="U193" s="393"/>
      <c r="V193" s="393"/>
      <c r="W193" s="393">
        <v>0</v>
      </c>
      <c r="X193" s="393">
        <v>0</v>
      </c>
      <c r="Y193" s="393"/>
      <c r="Z193" s="393" t="s">
        <v>1055</v>
      </c>
      <c r="AA193" s="393"/>
      <c r="AB193" s="393"/>
      <c r="AC193" s="393"/>
      <c r="AD193" s="393"/>
      <c r="AE193" s="393"/>
    </row>
    <row r="194" spans="1:31" ht="13.5" thickBot="1">
      <c r="A194" s="114"/>
      <c r="B194" s="115"/>
      <c r="C194" s="116"/>
      <c r="D194" s="105"/>
      <c r="E194" s="106"/>
      <c r="F194" s="107"/>
      <c r="G194" s="117"/>
      <c r="H194" s="118"/>
      <c r="I194" s="119"/>
      <c r="J194" s="120"/>
      <c r="K194" s="121"/>
      <c r="L194" s="122"/>
      <c r="N194" s="264"/>
      <c r="O194" s="254" t="s">
        <v>1056</v>
      </c>
      <c r="P194" s="161"/>
      <c r="Q194" s="393"/>
      <c r="R194" s="393"/>
      <c r="S194" s="393"/>
      <c r="T194" s="399" t="s">
        <v>881</v>
      </c>
      <c r="U194" s="393"/>
      <c r="V194" s="393"/>
      <c r="W194" s="393">
        <v>0</v>
      </c>
      <c r="X194" s="393">
        <v>0</v>
      </c>
      <c r="Y194" s="393"/>
      <c r="Z194" s="1092" t="s">
        <v>968</v>
      </c>
      <c r="AA194" s="393"/>
      <c r="AB194" s="393"/>
      <c r="AC194" s="393"/>
      <c r="AD194" s="393"/>
      <c r="AE194" s="393"/>
    </row>
    <row r="195" spans="1:31" ht="13.5" thickBot="1">
      <c r="A195" s="114"/>
      <c r="B195" s="115"/>
      <c r="C195" s="116"/>
      <c r="D195" s="105"/>
      <c r="E195" s="106"/>
      <c r="F195" s="107"/>
      <c r="G195" s="117"/>
      <c r="H195" s="118"/>
      <c r="I195" s="119"/>
      <c r="J195" s="120"/>
      <c r="K195" s="121"/>
      <c r="L195" s="122"/>
      <c r="N195" s="264"/>
      <c r="O195" s="254" t="s">
        <v>1057</v>
      </c>
      <c r="P195" s="161"/>
      <c r="Q195" s="393"/>
      <c r="R195" s="393"/>
      <c r="S195" s="393"/>
      <c r="T195" s="399" t="s">
        <v>881</v>
      </c>
      <c r="U195" s="393"/>
      <c r="V195" s="393"/>
      <c r="W195" s="393">
        <v>0</v>
      </c>
      <c r="X195" s="393">
        <v>0</v>
      </c>
      <c r="Y195" s="393"/>
      <c r="Z195" s="1092"/>
      <c r="AA195" s="393"/>
      <c r="AB195" s="393"/>
      <c r="AC195" s="393"/>
      <c r="AD195" s="393"/>
      <c r="AE195" s="393"/>
    </row>
    <row r="196" spans="1:31" ht="13.5" thickBot="1">
      <c r="A196" s="114"/>
      <c r="B196" s="115"/>
      <c r="C196" s="116"/>
      <c r="D196" s="105"/>
      <c r="E196" s="106"/>
      <c r="F196" s="107"/>
      <c r="G196" s="117"/>
      <c r="H196" s="118"/>
      <c r="I196" s="119"/>
      <c r="J196" s="120"/>
      <c r="K196" s="121"/>
      <c r="L196" s="122"/>
      <c r="N196" s="264"/>
      <c r="O196" s="254" t="s">
        <v>1058</v>
      </c>
      <c r="P196" s="161"/>
      <c r="Q196" s="393"/>
      <c r="R196" s="393"/>
      <c r="S196" s="393"/>
      <c r="T196" s="399" t="s">
        <v>881</v>
      </c>
      <c r="U196" s="393"/>
      <c r="V196" s="393"/>
      <c r="W196" s="393">
        <v>0</v>
      </c>
      <c r="X196" s="393">
        <v>0</v>
      </c>
      <c r="Y196" s="393"/>
      <c r="Z196" s="1092"/>
      <c r="AA196" s="393"/>
      <c r="AB196" s="393"/>
      <c r="AC196" s="393"/>
      <c r="AD196" s="393"/>
      <c r="AE196" s="393"/>
    </row>
    <row r="197" spans="1:31" ht="13.5" thickBot="1">
      <c r="A197" s="114"/>
      <c r="B197" s="115"/>
      <c r="C197" s="116"/>
      <c r="D197" s="105"/>
      <c r="E197" s="106"/>
      <c r="F197" s="107"/>
      <c r="G197" s="117"/>
      <c r="H197" s="118"/>
      <c r="I197" s="119"/>
      <c r="J197" s="120"/>
      <c r="K197" s="121"/>
      <c r="L197" s="122"/>
      <c r="N197" s="264"/>
      <c r="O197" s="254" t="s">
        <v>1059</v>
      </c>
      <c r="P197" s="161"/>
      <c r="Q197" s="393"/>
      <c r="R197" s="393"/>
      <c r="S197" s="393"/>
      <c r="T197" s="399" t="s">
        <v>881</v>
      </c>
      <c r="U197" s="393"/>
      <c r="V197" s="393"/>
      <c r="W197" s="393">
        <v>0</v>
      </c>
      <c r="X197" s="393">
        <v>0</v>
      </c>
      <c r="Y197" s="393"/>
      <c r="Z197" s="1092"/>
      <c r="AA197" s="393"/>
      <c r="AB197" s="393"/>
      <c r="AC197" s="393"/>
      <c r="AD197" s="393"/>
      <c r="AE197" s="393"/>
    </row>
    <row r="198" spans="1:31" s="134" customFormat="1" ht="13.5" thickBot="1">
      <c r="A198" s="133"/>
      <c r="B198" s="115"/>
      <c r="C198" s="116"/>
      <c r="D198" s="105"/>
      <c r="E198" s="106"/>
      <c r="F198" s="107"/>
      <c r="G198" s="117"/>
      <c r="H198" s="118"/>
      <c r="I198" s="119"/>
      <c r="J198" s="120"/>
      <c r="K198" s="121"/>
      <c r="L198" s="122"/>
      <c r="N198" s="264"/>
      <c r="O198" s="254" t="s">
        <v>1060</v>
      </c>
      <c r="P198" s="161"/>
      <c r="Q198" s="393"/>
      <c r="R198" s="393"/>
      <c r="S198" s="393"/>
      <c r="T198" s="399" t="s">
        <v>881</v>
      </c>
      <c r="U198" s="393"/>
      <c r="V198" s="393"/>
      <c r="W198" s="393">
        <v>0</v>
      </c>
      <c r="X198" s="393">
        <v>0</v>
      </c>
      <c r="Y198" s="393"/>
      <c r="Z198" s="1092"/>
      <c r="AA198" s="393"/>
      <c r="AB198" s="393"/>
      <c r="AC198" s="393"/>
      <c r="AD198" s="393"/>
      <c r="AE198" s="393"/>
    </row>
    <row r="199" spans="1:31" ht="13.5" thickBot="1">
      <c r="A199" s="114"/>
      <c r="B199" s="115"/>
      <c r="C199" s="116"/>
      <c r="D199" s="105"/>
      <c r="E199" s="106"/>
      <c r="F199" s="107"/>
      <c r="G199" s="117"/>
      <c r="H199" s="118"/>
      <c r="I199" s="119"/>
      <c r="J199" s="120"/>
      <c r="K199" s="121"/>
      <c r="L199" s="122"/>
      <c r="N199" s="264"/>
      <c r="O199" s="254" t="s">
        <v>1061</v>
      </c>
      <c r="P199" s="161"/>
      <c r="Q199" s="393"/>
      <c r="R199" s="393"/>
      <c r="S199" s="393"/>
      <c r="T199" s="399" t="s">
        <v>881</v>
      </c>
      <c r="U199" s="393"/>
      <c r="V199" s="393"/>
      <c r="W199" s="393">
        <v>0</v>
      </c>
      <c r="X199" s="393">
        <v>0</v>
      </c>
      <c r="Y199" s="393"/>
      <c r="Z199" s="1092"/>
      <c r="AA199" s="393"/>
      <c r="AB199" s="393"/>
      <c r="AC199" s="393"/>
      <c r="AD199" s="393"/>
      <c r="AE199" s="393"/>
    </row>
    <row r="200" spans="1:31" ht="13.5" thickBot="1">
      <c r="A200" s="114"/>
      <c r="B200" s="115"/>
      <c r="C200" s="116"/>
      <c r="D200" s="105"/>
      <c r="E200" s="106"/>
      <c r="F200" s="107"/>
      <c r="G200" s="117"/>
      <c r="H200" s="118"/>
      <c r="I200" s="119"/>
      <c r="J200" s="120"/>
      <c r="K200" s="121"/>
      <c r="L200" s="122"/>
      <c r="N200" s="264"/>
      <c r="O200" s="254" t="s">
        <v>1062</v>
      </c>
      <c r="P200" s="161"/>
      <c r="Q200" s="393"/>
      <c r="R200" s="393"/>
      <c r="S200" s="393"/>
      <c r="T200" s="399" t="s">
        <v>881</v>
      </c>
      <c r="U200" s="393"/>
      <c r="V200" s="393"/>
      <c r="W200" s="393">
        <v>0</v>
      </c>
      <c r="X200" s="393">
        <v>0</v>
      </c>
      <c r="Y200" s="393"/>
      <c r="Z200" s="1092"/>
      <c r="AA200" s="393"/>
      <c r="AB200" s="393"/>
      <c r="AC200" s="393"/>
      <c r="AD200" s="393"/>
      <c r="AE200" s="393"/>
    </row>
    <row r="201" spans="1:31" ht="13.5" thickBot="1">
      <c r="A201" s="114"/>
      <c r="B201" s="115"/>
      <c r="C201" s="116"/>
      <c r="D201" s="105"/>
      <c r="E201" s="106"/>
      <c r="F201" s="107"/>
      <c r="G201" s="117"/>
      <c r="H201" s="118"/>
      <c r="I201" s="119"/>
      <c r="J201" s="120"/>
      <c r="K201" s="121"/>
      <c r="L201" s="122"/>
      <c r="N201" s="264"/>
      <c r="O201" s="254" t="s">
        <v>1063</v>
      </c>
      <c r="P201" s="161"/>
      <c r="Q201" s="393"/>
      <c r="R201" s="393"/>
      <c r="S201" s="393"/>
      <c r="T201" s="399" t="s">
        <v>881</v>
      </c>
      <c r="U201" s="393"/>
      <c r="V201" s="393"/>
      <c r="W201" s="393">
        <v>0</v>
      </c>
      <c r="X201" s="393">
        <v>0</v>
      </c>
      <c r="Y201" s="393"/>
      <c r="Z201" s="1092"/>
      <c r="AA201" s="393"/>
      <c r="AB201" s="393"/>
      <c r="AC201" s="393"/>
      <c r="AD201" s="393"/>
      <c r="AE201" s="393"/>
    </row>
    <row r="202" spans="1:31" ht="13.5" thickBot="1">
      <c r="A202" s="114"/>
      <c r="B202" s="115"/>
      <c r="C202" s="116"/>
      <c r="D202" s="105"/>
      <c r="E202" s="106"/>
      <c r="F202" s="107"/>
      <c r="G202" s="117"/>
      <c r="H202" s="118"/>
      <c r="I202" s="119"/>
      <c r="J202" s="120"/>
      <c r="K202" s="121"/>
      <c r="L202" s="122"/>
      <c r="N202" s="264"/>
      <c r="O202" s="254" t="s">
        <v>1064</v>
      </c>
      <c r="P202" s="161"/>
      <c r="Q202" s="393"/>
      <c r="R202" s="393"/>
      <c r="S202" s="393"/>
      <c r="T202" s="399" t="s">
        <v>881</v>
      </c>
      <c r="U202" s="393"/>
      <c r="V202" s="393"/>
      <c r="W202" s="393">
        <v>0</v>
      </c>
      <c r="X202" s="393">
        <v>0</v>
      </c>
      <c r="Y202" s="393"/>
      <c r="Z202" s="393" t="s">
        <v>917</v>
      </c>
      <c r="AA202" s="393"/>
      <c r="AB202" s="393"/>
      <c r="AC202" s="393"/>
      <c r="AD202" s="393"/>
      <c r="AE202" s="393"/>
    </row>
    <row r="203" spans="1:31" ht="13.5" thickBot="1">
      <c r="A203" s="114"/>
      <c r="B203" s="115"/>
      <c r="C203" s="116"/>
      <c r="D203" s="105"/>
      <c r="E203" s="106"/>
      <c r="F203" s="107"/>
      <c r="G203" s="117"/>
      <c r="H203" s="118"/>
      <c r="I203" s="119"/>
      <c r="J203" s="120"/>
      <c r="K203" s="121"/>
      <c r="L203" s="122"/>
      <c r="N203" s="264"/>
      <c r="O203" s="254" t="s">
        <v>1065</v>
      </c>
      <c r="P203" s="161"/>
      <c r="Q203" s="393"/>
      <c r="R203" s="393"/>
      <c r="S203" s="393"/>
      <c r="T203" s="399" t="s">
        <v>881</v>
      </c>
      <c r="U203" s="393"/>
      <c r="V203" s="393"/>
      <c r="W203" s="393">
        <v>0</v>
      </c>
      <c r="X203" s="393">
        <v>0</v>
      </c>
      <c r="Y203" s="393"/>
      <c r="Z203" s="393" t="s">
        <v>924</v>
      </c>
      <c r="AA203" s="393"/>
      <c r="AB203" s="393"/>
      <c r="AC203" s="393"/>
      <c r="AD203" s="393"/>
      <c r="AE203" s="393"/>
    </row>
    <row r="204" spans="1:31" ht="13.5" thickBot="1">
      <c r="A204" s="114"/>
      <c r="B204" s="115"/>
      <c r="C204" s="116"/>
      <c r="D204" s="105"/>
      <c r="E204" s="106"/>
      <c r="F204" s="107"/>
      <c r="G204" s="117"/>
      <c r="H204" s="118"/>
      <c r="I204" s="119"/>
      <c r="J204" s="120"/>
      <c r="K204" s="121"/>
      <c r="L204" s="122"/>
      <c r="N204" s="264"/>
      <c r="O204" s="254" t="s">
        <v>1066</v>
      </c>
      <c r="P204" s="161"/>
      <c r="Q204" s="393"/>
      <c r="R204" s="393"/>
      <c r="S204" s="393"/>
      <c r="T204" s="399" t="s">
        <v>881</v>
      </c>
      <c r="U204" s="393"/>
      <c r="V204" s="393"/>
      <c r="W204" s="393">
        <v>0</v>
      </c>
      <c r="X204" s="393">
        <v>0</v>
      </c>
      <c r="Y204" s="393"/>
      <c r="Z204" s="393" t="s">
        <v>924</v>
      </c>
      <c r="AA204" s="393"/>
      <c r="AB204" s="393"/>
      <c r="AC204" s="393"/>
      <c r="AD204" s="393"/>
      <c r="AE204" s="393"/>
    </row>
    <row r="205" spans="1:31" ht="13.5" thickBot="1">
      <c r="A205" s="114"/>
      <c r="B205" s="115"/>
      <c r="C205" s="116"/>
      <c r="D205" s="105"/>
      <c r="E205" s="106"/>
      <c r="F205" s="107"/>
      <c r="G205" s="117"/>
      <c r="H205" s="118"/>
      <c r="I205" s="119"/>
      <c r="J205" s="120"/>
      <c r="K205" s="121"/>
      <c r="L205" s="122"/>
      <c r="N205" s="264"/>
      <c r="O205" s="254" t="s">
        <v>1067</v>
      </c>
      <c r="P205" s="161"/>
      <c r="Q205" s="393"/>
      <c r="R205" s="393"/>
      <c r="S205" s="393"/>
      <c r="T205" s="399" t="s">
        <v>881</v>
      </c>
      <c r="U205" s="393"/>
      <c r="V205" s="393"/>
      <c r="W205" s="393">
        <v>0</v>
      </c>
      <c r="X205" s="393">
        <v>0</v>
      </c>
      <c r="Y205" s="393"/>
      <c r="Z205" s="393" t="s">
        <v>924</v>
      </c>
      <c r="AA205" s="393"/>
      <c r="AB205" s="393"/>
      <c r="AC205" s="393"/>
      <c r="AD205" s="393"/>
      <c r="AE205" s="393"/>
    </row>
    <row r="206" spans="1:31" ht="13.5" thickBot="1">
      <c r="A206" s="114"/>
      <c r="B206" s="115"/>
      <c r="C206" s="116"/>
      <c r="D206" s="105"/>
      <c r="E206" s="106"/>
      <c r="F206" s="107"/>
      <c r="G206" s="117"/>
      <c r="H206" s="118"/>
      <c r="I206" s="119"/>
      <c r="J206" s="120"/>
      <c r="K206" s="121"/>
      <c r="L206" s="122"/>
      <c r="N206" s="264" t="s">
        <v>1068</v>
      </c>
      <c r="O206" s="162" t="s">
        <v>1069</v>
      </c>
      <c r="P206" s="161"/>
      <c r="Q206" s="393"/>
      <c r="R206" s="393"/>
      <c r="S206" s="393"/>
      <c r="T206" s="399" t="s">
        <v>881</v>
      </c>
      <c r="U206" s="393"/>
      <c r="V206" s="393"/>
      <c r="W206" s="393">
        <v>1</v>
      </c>
      <c r="X206" s="393">
        <v>1</v>
      </c>
      <c r="Y206" s="393">
        <f>2*2/1.5/1.5</f>
        <v>1.7777777777777777</v>
      </c>
      <c r="Z206" s="393" t="s">
        <v>924</v>
      </c>
      <c r="AA206" s="393"/>
      <c r="AB206" s="393"/>
      <c r="AC206" s="393"/>
      <c r="AD206" s="393"/>
      <c r="AE206" s="393"/>
    </row>
    <row r="207" spans="1:31" ht="13.5" thickBot="1">
      <c r="A207" s="114"/>
      <c r="B207" s="115"/>
      <c r="C207" s="116"/>
      <c r="D207" s="105"/>
      <c r="E207" s="106"/>
      <c r="F207" s="107"/>
      <c r="G207" s="117"/>
      <c r="H207" s="118"/>
      <c r="I207" s="119"/>
      <c r="J207" s="120"/>
      <c r="K207" s="121"/>
      <c r="L207" s="122"/>
      <c r="N207" s="264" t="s">
        <v>1070</v>
      </c>
      <c r="O207" s="161" t="s">
        <v>1071</v>
      </c>
      <c r="P207" s="161" t="s">
        <v>1072</v>
      </c>
      <c r="Q207" s="393">
        <v>14.6</v>
      </c>
      <c r="R207" s="393" t="s">
        <v>869</v>
      </c>
      <c r="S207" s="393">
        <v>1</v>
      </c>
      <c r="T207" s="399" t="s">
        <v>881</v>
      </c>
      <c r="U207" s="393"/>
      <c r="V207" s="393" t="s">
        <v>898</v>
      </c>
      <c r="W207" s="393">
        <v>1</v>
      </c>
      <c r="X207" s="393">
        <v>1</v>
      </c>
      <c r="Y207" s="393">
        <f>2/2</f>
        <v>1</v>
      </c>
      <c r="Z207" s="393" t="s">
        <v>924</v>
      </c>
      <c r="AA207" s="393"/>
      <c r="AB207" s="393"/>
      <c r="AC207" s="393"/>
      <c r="AD207" s="393"/>
      <c r="AE207" s="393"/>
    </row>
    <row r="208" spans="1:31" ht="13.5" thickBot="1">
      <c r="A208" s="114"/>
      <c r="B208" s="115"/>
      <c r="C208" s="116"/>
      <c r="D208" s="105"/>
      <c r="E208" s="106"/>
      <c r="F208" s="107"/>
      <c r="G208" s="117"/>
      <c r="H208" s="118"/>
      <c r="I208" s="119"/>
      <c r="J208" s="120"/>
      <c r="K208" s="121"/>
      <c r="L208" s="122"/>
      <c r="N208" s="264" t="s">
        <v>1073</v>
      </c>
      <c r="O208" s="161" t="s">
        <v>1074</v>
      </c>
      <c r="P208" s="161" t="s">
        <v>1075</v>
      </c>
      <c r="Q208" s="393">
        <v>4100</v>
      </c>
      <c r="R208" s="404"/>
      <c r="S208" s="393"/>
      <c r="T208" s="399" t="s">
        <v>870</v>
      </c>
      <c r="U208" s="393"/>
      <c r="V208" s="393" t="s">
        <v>871</v>
      </c>
      <c r="W208" s="393">
        <v>0</v>
      </c>
      <c r="X208" s="393">
        <v>0</v>
      </c>
      <c r="Y208" s="393"/>
      <c r="Z208" s="393" t="s">
        <v>877</v>
      </c>
      <c r="AA208" s="393"/>
      <c r="AB208" s="393"/>
      <c r="AC208" s="393"/>
      <c r="AD208" s="393"/>
      <c r="AE208" s="393"/>
    </row>
    <row r="209" spans="1:31" ht="13.5" thickBot="1">
      <c r="A209" s="114"/>
      <c r="B209" s="115"/>
      <c r="C209" s="116"/>
      <c r="D209" s="105"/>
      <c r="E209" s="106"/>
      <c r="F209" s="107"/>
      <c r="G209" s="117"/>
      <c r="H209" s="118"/>
      <c r="I209" s="119"/>
      <c r="J209" s="120"/>
      <c r="K209" s="121"/>
      <c r="L209" s="122"/>
      <c r="N209" s="264" t="s">
        <v>1076</v>
      </c>
      <c r="O209" s="161" t="s">
        <v>1077</v>
      </c>
      <c r="P209" s="161" t="s">
        <v>1078</v>
      </c>
      <c r="Q209" s="393">
        <v>1750</v>
      </c>
      <c r="R209" s="393" t="s">
        <v>869</v>
      </c>
      <c r="S209" s="393">
        <v>1</v>
      </c>
      <c r="T209" s="399" t="s">
        <v>881</v>
      </c>
      <c r="U209" s="393"/>
      <c r="V209" s="393" t="s">
        <v>871</v>
      </c>
      <c r="W209" s="393">
        <v>0</v>
      </c>
      <c r="X209" s="393">
        <v>0</v>
      </c>
      <c r="Y209" s="393"/>
      <c r="Z209" s="393" t="s">
        <v>938</v>
      </c>
      <c r="AA209" s="393"/>
      <c r="AB209" s="393"/>
      <c r="AC209" s="393"/>
      <c r="AD209" s="393"/>
      <c r="AE209" s="393"/>
    </row>
    <row r="210" spans="1:31" ht="13.5" thickBot="1">
      <c r="A210" s="114"/>
      <c r="B210" s="115"/>
      <c r="C210" s="116"/>
      <c r="D210" s="105"/>
      <c r="E210" s="106"/>
      <c r="F210" s="107"/>
      <c r="G210" s="117"/>
      <c r="H210" s="118"/>
      <c r="I210" s="119"/>
      <c r="J210" s="120"/>
      <c r="K210" s="121"/>
      <c r="L210" s="122"/>
      <c r="N210" s="264" t="s">
        <v>1079</v>
      </c>
      <c r="O210" s="626" t="s">
        <v>8864</v>
      </c>
      <c r="P210" s="161" t="s">
        <v>1080</v>
      </c>
      <c r="Q210" s="393">
        <v>500</v>
      </c>
      <c r="R210" s="393" t="s">
        <v>869</v>
      </c>
      <c r="S210" s="393">
        <v>1</v>
      </c>
      <c r="T210" s="399" t="s">
        <v>881</v>
      </c>
      <c r="U210" s="393"/>
      <c r="V210" s="393" t="s">
        <v>898</v>
      </c>
      <c r="W210" s="393">
        <v>1</v>
      </c>
      <c r="X210" s="393">
        <v>1</v>
      </c>
      <c r="Y210" s="393">
        <f>4*4/6/6</f>
        <v>0.44444444444444442</v>
      </c>
      <c r="Z210" s="393" t="s">
        <v>938</v>
      </c>
      <c r="AA210" s="393"/>
      <c r="AB210" s="393"/>
      <c r="AC210" s="393"/>
      <c r="AD210" s="393"/>
      <c r="AE210" s="393"/>
    </row>
    <row r="211" spans="1:31" ht="13.5" thickBot="1">
      <c r="A211" s="114"/>
      <c r="B211" s="115"/>
      <c r="C211" s="116"/>
      <c r="D211" s="105"/>
      <c r="E211" s="106"/>
      <c r="F211" s="107"/>
      <c r="G211" s="117"/>
      <c r="H211" s="118"/>
      <c r="I211" s="119"/>
      <c r="J211" s="120"/>
      <c r="K211" s="121"/>
      <c r="L211" s="122"/>
      <c r="N211" s="264" t="s">
        <v>1081</v>
      </c>
      <c r="O211" s="162" t="s">
        <v>1082</v>
      </c>
      <c r="P211" s="161"/>
      <c r="Q211" s="393"/>
      <c r="R211" s="393"/>
      <c r="S211" s="393"/>
      <c r="T211" s="399" t="s">
        <v>881</v>
      </c>
      <c r="U211" s="393"/>
      <c r="V211" s="393"/>
      <c r="W211" s="393">
        <v>1</v>
      </c>
      <c r="X211" s="393">
        <v>1</v>
      </c>
      <c r="Y211" s="393">
        <f>6*6/4/4</f>
        <v>2.25</v>
      </c>
      <c r="Z211" s="393" t="s">
        <v>938</v>
      </c>
      <c r="AA211" s="393"/>
      <c r="AB211" s="393"/>
      <c r="AC211" s="393"/>
      <c r="AD211" s="393"/>
      <c r="AE211" s="393"/>
    </row>
    <row r="212" spans="1:31" ht="13.5" thickBot="1">
      <c r="A212" s="114"/>
      <c r="B212" s="115"/>
      <c r="C212" s="116"/>
      <c r="D212" s="105"/>
      <c r="E212" s="106"/>
      <c r="F212" s="107"/>
      <c r="G212" s="117"/>
      <c r="H212" s="118"/>
      <c r="I212" s="119"/>
      <c r="J212" s="120"/>
      <c r="K212" s="121"/>
      <c r="L212" s="122"/>
      <c r="N212" s="264"/>
      <c r="O212" s="162" t="s">
        <v>1083</v>
      </c>
      <c r="P212" s="161"/>
      <c r="Q212" s="393"/>
      <c r="R212" s="393"/>
      <c r="S212" s="393"/>
      <c r="T212" s="393"/>
      <c r="U212" s="393"/>
      <c r="V212" s="393"/>
      <c r="W212" s="393">
        <v>0</v>
      </c>
      <c r="X212" s="393">
        <v>0</v>
      </c>
      <c r="Y212" s="393"/>
      <c r="Z212" s="393" t="s">
        <v>938</v>
      </c>
      <c r="AA212" s="393"/>
      <c r="AB212" s="393"/>
      <c r="AC212" s="393"/>
      <c r="AD212" s="393"/>
      <c r="AE212" s="393"/>
    </row>
    <row r="213" spans="1:31" ht="13.5" thickBot="1">
      <c r="A213" s="114"/>
      <c r="B213" s="115"/>
      <c r="C213" s="116"/>
      <c r="D213" s="105"/>
      <c r="E213" s="106"/>
      <c r="F213" s="107"/>
      <c r="G213" s="117"/>
      <c r="H213" s="118"/>
      <c r="I213" s="119"/>
      <c r="J213" s="120"/>
      <c r="K213" s="121"/>
      <c r="L213" s="122"/>
      <c r="N213" s="264"/>
      <c r="O213" s="162" t="s">
        <v>1084</v>
      </c>
      <c r="P213" s="161"/>
      <c r="Q213" s="393"/>
      <c r="R213" s="393"/>
      <c r="S213" s="393"/>
      <c r="T213" s="399" t="s">
        <v>881</v>
      </c>
      <c r="U213" s="393"/>
      <c r="V213" s="393"/>
      <c r="W213" s="393">
        <v>0</v>
      </c>
      <c r="X213" s="393">
        <v>0</v>
      </c>
      <c r="Y213" s="393"/>
      <c r="Z213" s="393" t="s">
        <v>882</v>
      </c>
      <c r="AA213" s="393"/>
      <c r="AB213" s="393"/>
      <c r="AC213" s="393"/>
      <c r="AD213" s="393"/>
      <c r="AE213" s="393"/>
    </row>
    <row r="214" spans="1:31" ht="13.5" thickBot="1">
      <c r="A214" s="114"/>
      <c r="B214" s="115"/>
      <c r="C214" s="116"/>
      <c r="D214" s="105"/>
      <c r="E214" s="106"/>
      <c r="F214" s="107"/>
      <c r="G214" s="117"/>
      <c r="H214" s="118"/>
      <c r="I214" s="119"/>
      <c r="J214" s="120"/>
      <c r="K214" s="121"/>
      <c r="L214" s="122"/>
      <c r="N214" s="264"/>
      <c r="O214" s="162" t="s">
        <v>1085</v>
      </c>
      <c r="P214" s="161"/>
      <c r="Q214" s="393"/>
      <c r="R214" s="393"/>
      <c r="S214" s="393"/>
      <c r="T214" s="399" t="s">
        <v>881</v>
      </c>
      <c r="U214" s="393"/>
      <c r="V214" s="393"/>
      <c r="W214" s="393">
        <v>0</v>
      </c>
      <c r="X214" s="393">
        <v>0</v>
      </c>
      <c r="Y214" s="393"/>
      <c r="Z214" s="393" t="s">
        <v>882</v>
      </c>
      <c r="AA214" s="393"/>
      <c r="AB214" s="393"/>
      <c r="AC214" s="393"/>
      <c r="AD214" s="393"/>
      <c r="AE214" s="393"/>
    </row>
    <row r="215" spans="1:31" ht="13.5" thickBot="1">
      <c r="A215" s="114"/>
      <c r="B215" s="115"/>
      <c r="C215" s="116"/>
      <c r="D215" s="105"/>
      <c r="E215" s="106"/>
      <c r="F215" s="107"/>
      <c r="G215" s="117"/>
      <c r="H215" s="118"/>
      <c r="I215" s="119"/>
      <c r="J215" s="120"/>
      <c r="K215" s="121"/>
      <c r="L215" s="122"/>
      <c r="N215" s="264"/>
      <c r="O215" s="162" t="s">
        <v>1086</v>
      </c>
      <c r="P215" s="161"/>
      <c r="Q215" s="393"/>
      <c r="R215" s="393"/>
      <c r="S215" s="393"/>
      <c r="T215" s="399" t="s">
        <v>881</v>
      </c>
      <c r="U215" s="393"/>
      <c r="V215" s="393"/>
      <c r="W215" s="393">
        <v>0</v>
      </c>
      <c r="X215" s="393">
        <v>0</v>
      </c>
      <c r="Y215" s="393"/>
      <c r="Z215" s="393" t="s">
        <v>882</v>
      </c>
      <c r="AA215" s="393"/>
      <c r="AB215" s="393"/>
      <c r="AC215" s="393"/>
      <c r="AD215" s="393"/>
      <c r="AE215" s="393"/>
    </row>
    <row r="216" spans="1:31" ht="13.5" thickBot="1">
      <c r="A216" s="114"/>
      <c r="B216" s="115"/>
      <c r="C216" s="116"/>
      <c r="D216" s="105"/>
      <c r="E216" s="106"/>
      <c r="F216" s="107"/>
      <c r="G216" s="117"/>
      <c r="H216" s="118"/>
      <c r="I216" s="119"/>
      <c r="J216" s="120"/>
      <c r="K216" s="121"/>
      <c r="L216" s="122"/>
      <c r="N216" s="264"/>
      <c r="O216" s="162" t="s">
        <v>1087</v>
      </c>
      <c r="P216" s="161"/>
      <c r="Q216" s="393"/>
      <c r="R216" s="393"/>
      <c r="S216" s="393"/>
      <c r="T216" s="399"/>
      <c r="U216" s="393"/>
      <c r="V216" s="393"/>
      <c r="W216" s="393">
        <v>0</v>
      </c>
      <c r="X216" s="393">
        <v>0</v>
      </c>
      <c r="Y216" s="393"/>
      <c r="Z216" s="393" t="s">
        <v>1088</v>
      </c>
      <c r="AA216" s="393"/>
      <c r="AB216" s="393"/>
      <c r="AC216" s="393"/>
      <c r="AD216" s="393"/>
      <c r="AE216" s="393"/>
    </row>
    <row r="217" spans="1:31" ht="13.5" thickBot="1">
      <c r="A217" s="114"/>
      <c r="B217" s="115"/>
      <c r="C217" s="116"/>
      <c r="D217" s="105"/>
      <c r="E217" s="106"/>
      <c r="F217" s="107"/>
      <c r="G217" s="117"/>
      <c r="H217" s="118"/>
      <c r="I217" s="119"/>
      <c r="J217" s="120"/>
      <c r="K217" s="121"/>
      <c r="L217" s="122"/>
      <c r="N217" s="264"/>
      <c r="O217" s="162" t="s">
        <v>1089</v>
      </c>
      <c r="P217" s="161"/>
      <c r="Q217" s="393"/>
      <c r="R217" s="393"/>
      <c r="S217" s="393"/>
      <c r="T217" s="393"/>
      <c r="U217" s="393"/>
      <c r="V217" s="393"/>
      <c r="W217" s="393">
        <v>0</v>
      </c>
      <c r="X217" s="393">
        <v>0</v>
      </c>
      <c r="Y217" s="393"/>
      <c r="Z217" s="393" t="s">
        <v>1088</v>
      </c>
      <c r="AA217" s="393"/>
      <c r="AB217" s="393"/>
      <c r="AC217" s="393"/>
      <c r="AD217" s="393"/>
      <c r="AE217" s="393"/>
    </row>
    <row r="218" spans="1:31" ht="13.5" thickBot="1">
      <c r="A218" s="114"/>
      <c r="B218" s="115"/>
      <c r="C218" s="116"/>
      <c r="D218" s="105"/>
      <c r="E218" s="106"/>
      <c r="F218" s="107"/>
      <c r="G218" s="117"/>
      <c r="H218" s="118"/>
      <c r="I218" s="119"/>
      <c r="J218" s="120"/>
      <c r="K218" s="121"/>
      <c r="L218" s="122"/>
      <c r="N218" s="264"/>
      <c r="O218" s="162" t="s">
        <v>1090</v>
      </c>
      <c r="P218" s="161"/>
      <c r="Q218" s="393"/>
      <c r="R218" s="393"/>
      <c r="S218" s="393"/>
      <c r="T218" s="393"/>
      <c r="U218" s="393"/>
      <c r="V218" s="393"/>
      <c r="W218" s="393">
        <v>0</v>
      </c>
      <c r="X218" s="393">
        <v>0</v>
      </c>
      <c r="Y218" s="393"/>
      <c r="Z218" s="393" t="s">
        <v>1088</v>
      </c>
      <c r="AA218" s="393"/>
      <c r="AB218" s="393"/>
      <c r="AC218" s="393"/>
      <c r="AD218" s="393"/>
      <c r="AE218" s="393"/>
    </row>
    <row r="219" spans="1:31" ht="13.5" thickBot="1">
      <c r="A219" s="114"/>
      <c r="B219" s="115"/>
      <c r="C219" s="116"/>
      <c r="D219" s="105"/>
      <c r="E219" s="106"/>
      <c r="F219" s="107"/>
      <c r="G219" s="117"/>
      <c r="H219" s="118"/>
      <c r="I219" s="119"/>
      <c r="J219" s="120"/>
      <c r="K219" s="121"/>
      <c r="L219" s="122"/>
      <c r="N219" s="264" t="s">
        <v>1091</v>
      </c>
      <c r="O219" s="162" t="s">
        <v>1092</v>
      </c>
      <c r="P219" s="161"/>
      <c r="Q219" s="393"/>
      <c r="R219" s="393"/>
      <c r="S219" s="393"/>
      <c r="T219" s="393"/>
      <c r="U219" s="393"/>
      <c r="V219" s="393"/>
      <c r="W219" s="393">
        <v>0</v>
      </c>
      <c r="X219" s="393">
        <v>0</v>
      </c>
      <c r="Y219" s="393"/>
      <c r="Z219" s="393" t="s">
        <v>1088</v>
      </c>
      <c r="AA219" s="393"/>
      <c r="AB219" s="393"/>
      <c r="AC219" s="393"/>
      <c r="AD219" s="393"/>
      <c r="AE219" s="393"/>
    </row>
    <row r="220" spans="1:31" ht="13.5" thickBot="1">
      <c r="A220" s="114"/>
      <c r="B220" s="115"/>
      <c r="C220" s="116"/>
      <c r="D220" s="105"/>
      <c r="E220" s="106"/>
      <c r="F220" s="107"/>
      <c r="G220" s="117"/>
      <c r="H220" s="118"/>
      <c r="I220" s="119"/>
      <c r="J220" s="120"/>
      <c r="K220" s="121"/>
      <c r="L220" s="122"/>
      <c r="N220" s="264" t="s">
        <v>1093</v>
      </c>
      <c r="O220" s="162" t="s">
        <v>1094</v>
      </c>
      <c r="P220" s="161" t="s">
        <v>1095</v>
      </c>
      <c r="Q220" s="404"/>
      <c r="R220" s="404"/>
      <c r="S220" s="393"/>
      <c r="T220" s="399" t="s">
        <v>881</v>
      </c>
      <c r="U220" s="393"/>
      <c r="V220" s="404"/>
      <c r="W220" s="393">
        <v>1</v>
      </c>
      <c r="X220" s="393">
        <v>1</v>
      </c>
      <c r="Y220" s="393"/>
      <c r="Z220" s="393" t="s">
        <v>1096</v>
      </c>
      <c r="AA220" s="393"/>
      <c r="AB220" s="393"/>
      <c r="AC220" s="393"/>
      <c r="AD220" s="393"/>
      <c r="AE220" s="393"/>
    </row>
    <row r="221" spans="1:31" ht="13.5" thickBot="1">
      <c r="A221" s="114"/>
      <c r="B221" s="115"/>
      <c r="C221" s="116"/>
      <c r="D221" s="105"/>
      <c r="E221" s="106"/>
      <c r="F221" s="107"/>
      <c r="G221" s="117"/>
      <c r="H221" s="118"/>
      <c r="I221" s="119"/>
      <c r="J221" s="120"/>
      <c r="K221" s="121"/>
      <c r="L221" s="122"/>
      <c r="N221" s="264" t="s">
        <v>1097</v>
      </c>
      <c r="O221" s="162" t="s">
        <v>1098</v>
      </c>
      <c r="P221" s="161"/>
      <c r="Q221" s="393"/>
      <c r="R221" s="393"/>
      <c r="S221" s="393"/>
      <c r="T221" s="399" t="s">
        <v>870</v>
      </c>
      <c r="U221" s="393"/>
      <c r="V221" s="393"/>
      <c r="W221" s="393">
        <v>1</v>
      </c>
      <c r="X221" s="393">
        <v>0</v>
      </c>
      <c r="Y221" s="393"/>
      <c r="Z221" s="393" t="s">
        <v>989</v>
      </c>
      <c r="AA221" s="393"/>
      <c r="AB221" s="393"/>
      <c r="AC221" s="393"/>
      <c r="AD221" s="393"/>
      <c r="AE221" s="393"/>
    </row>
    <row r="222" spans="1:31" ht="13.5" thickBot="1">
      <c r="A222" s="114"/>
      <c r="B222" s="115"/>
      <c r="C222" s="116"/>
      <c r="D222" s="105"/>
      <c r="E222" s="106"/>
      <c r="F222" s="107"/>
      <c r="G222" s="117"/>
      <c r="H222" s="118"/>
      <c r="I222" s="119"/>
      <c r="J222" s="120"/>
      <c r="K222" s="121"/>
      <c r="L222" s="122"/>
      <c r="N222" s="264" t="s">
        <v>1097</v>
      </c>
      <c r="O222" s="162" t="s">
        <v>1099</v>
      </c>
      <c r="P222" s="161"/>
      <c r="Q222" s="393"/>
      <c r="R222" s="393"/>
      <c r="S222" s="393"/>
      <c r="T222" s="393"/>
      <c r="U222" s="393"/>
      <c r="V222" s="393"/>
      <c r="W222" s="393">
        <v>0</v>
      </c>
      <c r="X222" s="393">
        <v>0</v>
      </c>
      <c r="Y222" s="393"/>
      <c r="Z222" s="393" t="s">
        <v>989</v>
      </c>
      <c r="AA222" s="393"/>
      <c r="AB222" s="393"/>
      <c r="AC222" s="393"/>
      <c r="AD222" s="393"/>
      <c r="AE222" s="393"/>
    </row>
    <row r="223" spans="1:31" ht="13.5" thickBot="1">
      <c r="A223" s="114"/>
      <c r="B223" s="115"/>
      <c r="C223" s="116"/>
      <c r="D223" s="105"/>
      <c r="E223" s="106"/>
      <c r="F223" s="107"/>
      <c r="G223" s="117"/>
      <c r="H223" s="118"/>
      <c r="I223" s="119"/>
      <c r="J223" s="120"/>
      <c r="K223" s="121"/>
      <c r="L223" s="122"/>
      <c r="N223" s="264"/>
      <c r="O223" s="162" t="s">
        <v>1100</v>
      </c>
      <c r="P223" s="161"/>
      <c r="Q223" s="393"/>
      <c r="R223" s="393"/>
      <c r="S223" s="393"/>
      <c r="T223" s="399" t="s">
        <v>881</v>
      </c>
      <c r="U223" s="393"/>
      <c r="V223" s="393"/>
      <c r="W223" s="393">
        <v>0</v>
      </c>
      <c r="X223" s="393">
        <v>0</v>
      </c>
      <c r="Y223" s="393"/>
      <c r="Z223" s="393" t="s">
        <v>989</v>
      </c>
      <c r="AA223" s="393"/>
      <c r="AB223" s="393"/>
      <c r="AC223" s="393"/>
      <c r="AD223" s="393"/>
      <c r="AE223" s="393"/>
    </row>
    <row r="224" spans="1:31" ht="13.5" thickBot="1">
      <c r="A224" s="114"/>
      <c r="B224" s="115"/>
      <c r="C224" s="116"/>
      <c r="D224" s="105"/>
      <c r="E224" s="106"/>
      <c r="F224" s="107"/>
      <c r="G224" s="117"/>
      <c r="H224" s="118"/>
      <c r="I224" s="119"/>
      <c r="J224" s="120"/>
      <c r="K224" s="121"/>
      <c r="L224" s="122"/>
      <c r="N224" s="264"/>
      <c r="O224" s="162" t="s">
        <v>1101</v>
      </c>
      <c r="P224" s="161"/>
      <c r="Q224" s="393"/>
      <c r="R224" s="393"/>
      <c r="S224" s="393"/>
      <c r="T224" s="399" t="s">
        <v>881</v>
      </c>
      <c r="U224" s="393"/>
      <c r="V224" s="393"/>
      <c r="W224" s="393">
        <v>0</v>
      </c>
      <c r="X224" s="393">
        <v>0</v>
      </c>
      <c r="Y224" s="393"/>
      <c r="Z224" s="393" t="s">
        <v>989</v>
      </c>
      <c r="AA224" s="393"/>
      <c r="AB224" s="393"/>
      <c r="AC224" s="393"/>
      <c r="AD224" s="393"/>
      <c r="AE224" s="393"/>
    </row>
    <row r="225" spans="1:31" ht="13.5" thickBot="1">
      <c r="A225" s="114"/>
      <c r="B225" s="115"/>
      <c r="C225" s="116"/>
      <c r="D225" s="105"/>
      <c r="E225" s="106"/>
      <c r="F225" s="107"/>
      <c r="G225" s="117"/>
      <c r="H225" s="118"/>
      <c r="I225" s="119"/>
      <c r="J225" s="120"/>
      <c r="K225" s="121"/>
      <c r="L225" s="122"/>
      <c r="N225" s="264"/>
      <c r="O225" s="162" t="s">
        <v>1102</v>
      </c>
      <c r="P225" s="161"/>
      <c r="Q225" s="393"/>
      <c r="R225" s="393"/>
      <c r="S225" s="393"/>
      <c r="T225" s="399"/>
      <c r="U225" s="393"/>
      <c r="V225" s="393"/>
      <c r="W225" s="393">
        <v>0</v>
      </c>
      <c r="X225" s="393">
        <v>0</v>
      </c>
      <c r="Y225" s="393"/>
      <c r="Z225" s="393" t="s">
        <v>817</v>
      </c>
      <c r="AA225" s="393"/>
      <c r="AB225" s="393"/>
      <c r="AC225" s="393"/>
      <c r="AD225" s="393"/>
      <c r="AE225" s="393"/>
    </row>
    <row r="226" spans="1:31" ht="13.5" thickBot="1">
      <c r="A226" s="114"/>
      <c r="B226" s="115"/>
      <c r="C226" s="116"/>
      <c r="D226" s="105"/>
      <c r="E226" s="106"/>
      <c r="F226" s="107"/>
      <c r="G226" s="117"/>
      <c r="H226" s="118"/>
      <c r="I226" s="119"/>
      <c r="J226" s="120"/>
      <c r="K226" s="121"/>
      <c r="L226" s="122"/>
      <c r="N226" s="264"/>
      <c r="O226" s="162" t="s">
        <v>1103</v>
      </c>
      <c r="P226" s="161"/>
      <c r="Q226" s="393"/>
      <c r="R226" s="393"/>
      <c r="S226" s="393"/>
      <c r="T226" s="399" t="s">
        <v>881</v>
      </c>
      <c r="U226" s="393"/>
      <c r="V226" s="393"/>
      <c r="W226" s="393">
        <v>0</v>
      </c>
      <c r="X226" s="393">
        <v>0</v>
      </c>
      <c r="Y226" s="393"/>
      <c r="Z226" s="393" t="s">
        <v>817</v>
      </c>
      <c r="AA226" s="393"/>
      <c r="AB226" s="393"/>
      <c r="AC226" s="393"/>
      <c r="AD226" s="393"/>
      <c r="AE226" s="393"/>
    </row>
    <row r="227" spans="1:31" ht="13.5" thickBot="1">
      <c r="A227" s="114"/>
      <c r="B227" s="115"/>
      <c r="C227" s="116"/>
      <c r="D227" s="105"/>
      <c r="E227" s="106"/>
      <c r="F227" s="107"/>
      <c r="G227" s="117"/>
      <c r="H227" s="118"/>
      <c r="I227" s="119"/>
      <c r="J227" s="120"/>
      <c r="K227" s="121"/>
      <c r="L227" s="122"/>
      <c r="N227" s="264"/>
      <c r="O227" s="162" t="s">
        <v>1104</v>
      </c>
      <c r="P227" s="161"/>
      <c r="Q227" s="393"/>
      <c r="R227" s="393"/>
      <c r="S227" s="393"/>
      <c r="T227" s="399" t="s">
        <v>870</v>
      </c>
      <c r="U227" s="393"/>
      <c r="V227" s="393"/>
      <c r="W227" s="393">
        <v>0</v>
      </c>
      <c r="X227" s="393">
        <v>0</v>
      </c>
      <c r="Y227" s="393"/>
      <c r="Z227" s="393" t="s">
        <v>817</v>
      </c>
      <c r="AA227" s="393"/>
      <c r="AB227" s="393"/>
      <c r="AC227" s="393"/>
      <c r="AD227" s="393"/>
      <c r="AE227" s="393"/>
    </row>
    <row r="228" spans="1:31" ht="13.5" thickBot="1">
      <c r="A228" s="114"/>
      <c r="B228" s="115"/>
      <c r="C228" s="116"/>
      <c r="D228" s="105"/>
      <c r="E228" s="106"/>
      <c r="F228" s="107"/>
      <c r="G228" s="117"/>
      <c r="H228" s="118"/>
      <c r="I228" s="119"/>
      <c r="J228" s="120"/>
      <c r="K228" s="121"/>
      <c r="L228" s="122"/>
      <c r="N228" s="264"/>
      <c r="O228" s="162" t="s">
        <v>1105</v>
      </c>
      <c r="P228" s="161" t="s">
        <v>1106</v>
      </c>
      <c r="Q228" s="393">
        <v>12.371</v>
      </c>
      <c r="R228" s="404"/>
      <c r="S228" s="393"/>
      <c r="T228" s="404"/>
      <c r="U228" s="404"/>
      <c r="V228" s="404"/>
      <c r="W228" s="393">
        <v>0</v>
      </c>
      <c r="X228" s="393">
        <v>0</v>
      </c>
      <c r="Y228" s="393"/>
      <c r="Z228" s="393" t="s">
        <v>986</v>
      </c>
      <c r="AA228" s="404"/>
      <c r="AB228" s="404"/>
      <c r="AC228" s="404"/>
      <c r="AD228" s="404"/>
      <c r="AE228" s="404"/>
    </row>
    <row r="229" spans="1:31" ht="13.5" thickBot="1">
      <c r="A229" s="114"/>
      <c r="B229" s="115"/>
      <c r="C229" s="116"/>
      <c r="D229" s="105"/>
      <c r="E229" s="106"/>
      <c r="F229" s="107"/>
      <c r="G229" s="117"/>
      <c r="H229" s="118"/>
      <c r="I229" s="119"/>
      <c r="J229" s="120"/>
      <c r="K229" s="121"/>
      <c r="L229" s="122"/>
      <c r="N229" s="264"/>
      <c r="O229" s="162" t="s">
        <v>1107</v>
      </c>
      <c r="P229" s="161"/>
      <c r="Q229" s="393"/>
      <c r="R229" s="393"/>
      <c r="S229" s="393"/>
      <c r="T229" s="393"/>
      <c r="U229" s="393"/>
      <c r="V229" s="393"/>
      <c r="W229" s="393">
        <v>0</v>
      </c>
      <c r="X229" s="393">
        <v>0</v>
      </c>
      <c r="Y229" s="393"/>
      <c r="Z229" s="393" t="s">
        <v>986</v>
      </c>
      <c r="AA229" s="393"/>
      <c r="AB229" s="393"/>
      <c r="AC229" s="393"/>
      <c r="AD229" s="393"/>
      <c r="AE229" s="393"/>
    </row>
    <row r="230" spans="1:31" ht="13.5" thickBot="1">
      <c r="A230" s="114"/>
      <c r="B230" s="115"/>
      <c r="C230" s="116"/>
      <c r="D230" s="105"/>
      <c r="E230" s="106"/>
      <c r="F230" s="107"/>
      <c r="G230" s="117"/>
      <c r="H230" s="118"/>
      <c r="I230" s="119"/>
      <c r="J230" s="120"/>
      <c r="K230" s="121"/>
      <c r="L230" s="122"/>
      <c r="N230" s="264"/>
      <c r="O230" s="162" t="s">
        <v>1108</v>
      </c>
      <c r="P230" s="161"/>
      <c r="Q230" s="393"/>
      <c r="R230" s="393"/>
      <c r="S230" s="393"/>
      <c r="T230" s="393"/>
      <c r="U230" s="393"/>
      <c r="V230" s="393"/>
      <c r="W230" s="393">
        <v>0</v>
      </c>
      <c r="X230" s="393">
        <v>0</v>
      </c>
      <c r="Y230" s="393"/>
      <c r="Z230" s="393" t="s">
        <v>986</v>
      </c>
      <c r="AA230" s="393"/>
      <c r="AB230" s="393"/>
      <c r="AC230" s="393"/>
      <c r="AD230" s="393"/>
      <c r="AE230" s="393"/>
    </row>
    <row r="231" spans="1:31" ht="13.5" thickBot="1">
      <c r="A231" s="114"/>
      <c r="B231" s="115"/>
      <c r="C231" s="116"/>
      <c r="D231" s="105"/>
      <c r="E231" s="106"/>
      <c r="F231" s="107"/>
      <c r="G231" s="117"/>
      <c r="H231" s="118"/>
      <c r="I231" s="119"/>
      <c r="J231" s="120"/>
      <c r="K231" s="121"/>
      <c r="L231" s="122"/>
      <c r="N231" s="264"/>
      <c r="O231" s="161"/>
      <c r="P231" s="161"/>
      <c r="Q231" s="393"/>
      <c r="R231" s="393"/>
      <c r="S231" s="393"/>
      <c r="T231" s="393"/>
      <c r="U231" s="393"/>
      <c r="V231" s="393"/>
      <c r="W231" s="393"/>
      <c r="X231" s="393"/>
      <c r="Y231" s="393"/>
      <c r="Z231" s="393"/>
      <c r="AA231" s="393"/>
      <c r="AB231" s="393"/>
      <c r="AC231" s="393"/>
      <c r="AD231" s="393"/>
      <c r="AE231" s="393"/>
    </row>
    <row r="232" spans="1:31" ht="13.5" thickBot="1">
      <c r="A232" s="114"/>
      <c r="B232" s="115"/>
      <c r="C232" s="116"/>
      <c r="D232" s="105"/>
      <c r="E232" s="106"/>
      <c r="F232" s="107"/>
      <c r="G232" s="117"/>
      <c r="H232" s="118"/>
      <c r="I232" s="119"/>
      <c r="J232" s="120"/>
      <c r="K232" s="121"/>
      <c r="L232" s="122"/>
      <c r="N232" s="264"/>
      <c r="O232" s="161"/>
      <c r="P232" s="161"/>
      <c r="Q232" s="393"/>
      <c r="R232" s="393"/>
      <c r="S232" s="393"/>
      <c r="T232" s="393"/>
      <c r="U232" s="393"/>
      <c r="V232" s="393"/>
      <c r="W232" s="393"/>
      <c r="X232" s="393"/>
      <c r="Y232" s="393"/>
      <c r="Z232" s="393"/>
      <c r="AA232" s="393"/>
      <c r="AB232" s="393"/>
      <c r="AC232" s="393"/>
      <c r="AD232" s="393"/>
      <c r="AE232" s="393"/>
    </row>
    <row r="233" spans="1:31" ht="13.5" thickBot="1">
      <c r="A233" s="114"/>
      <c r="B233" s="115"/>
      <c r="C233" s="116"/>
      <c r="D233" s="105"/>
      <c r="E233" s="106"/>
      <c r="F233" s="107"/>
      <c r="G233" s="117"/>
      <c r="H233" s="118"/>
      <c r="I233" s="119"/>
      <c r="J233" s="120"/>
      <c r="K233" s="121"/>
      <c r="L233" s="122"/>
      <c r="N233" s="264"/>
      <c r="O233" s="161"/>
      <c r="P233" s="161"/>
      <c r="Q233" s="393"/>
      <c r="R233" s="393"/>
      <c r="S233" s="393"/>
      <c r="T233" s="393"/>
      <c r="U233" s="393"/>
      <c r="V233" s="393"/>
      <c r="W233" s="393"/>
      <c r="X233" s="393"/>
      <c r="Y233" s="393"/>
      <c r="Z233" s="393"/>
      <c r="AA233" s="393"/>
      <c r="AB233" s="393"/>
      <c r="AC233" s="393"/>
      <c r="AD233" s="393"/>
      <c r="AE233" s="393"/>
    </row>
    <row r="234" spans="1:31" ht="13.5" thickBot="1">
      <c r="A234" s="114"/>
      <c r="B234" s="115"/>
      <c r="C234" s="116"/>
      <c r="D234" s="105"/>
      <c r="E234" s="106"/>
      <c r="F234" s="107"/>
      <c r="G234" s="117"/>
      <c r="H234" s="118"/>
      <c r="I234" s="119"/>
      <c r="J234" s="120"/>
      <c r="K234" s="121"/>
      <c r="L234" s="122"/>
      <c r="N234" s="264"/>
      <c r="O234" s="161"/>
      <c r="P234" s="161"/>
      <c r="Q234" s="393"/>
      <c r="R234" s="393"/>
      <c r="S234" s="393"/>
      <c r="T234" s="393"/>
      <c r="U234" s="393"/>
      <c r="V234" s="393"/>
      <c r="W234" s="393"/>
      <c r="X234" s="393"/>
      <c r="Y234" s="393"/>
      <c r="Z234" s="393"/>
      <c r="AA234" s="393"/>
      <c r="AB234" s="393"/>
      <c r="AC234" s="393"/>
      <c r="AD234" s="393"/>
      <c r="AE234" s="393"/>
    </row>
    <row r="235" spans="1:31" ht="13.5" thickBot="1">
      <c r="A235" s="114"/>
      <c r="B235" s="115"/>
      <c r="C235" s="116"/>
      <c r="D235" s="105"/>
      <c r="E235" s="106"/>
      <c r="F235" s="107"/>
      <c r="G235" s="117"/>
      <c r="H235" s="118"/>
      <c r="I235" s="119"/>
      <c r="J235" s="120"/>
      <c r="K235" s="121"/>
      <c r="L235" s="122"/>
      <c r="N235" s="264"/>
      <c r="O235" s="161"/>
      <c r="P235" s="161"/>
      <c r="Q235" s="393"/>
      <c r="R235" s="393"/>
      <c r="S235" s="393"/>
      <c r="T235" s="393"/>
      <c r="U235" s="393"/>
      <c r="V235" s="393"/>
      <c r="W235" s="393"/>
      <c r="X235" s="393"/>
      <c r="Y235" s="393"/>
      <c r="Z235" s="393"/>
      <c r="AA235" s="393"/>
      <c r="AB235" s="393"/>
      <c r="AC235" s="393"/>
      <c r="AD235" s="393"/>
      <c r="AE235" s="393"/>
    </row>
    <row r="236" spans="1:31" ht="13.5" thickBot="1">
      <c r="A236" s="114"/>
      <c r="B236" s="115"/>
      <c r="C236" s="116"/>
      <c r="D236" s="105"/>
      <c r="E236" s="106"/>
      <c r="F236" s="107"/>
      <c r="G236" s="117"/>
      <c r="H236" s="118"/>
      <c r="I236" s="119"/>
      <c r="J236" s="120"/>
      <c r="K236" s="121"/>
      <c r="L236" s="122"/>
      <c r="N236" s="264"/>
      <c r="O236" s="161"/>
      <c r="P236" s="161"/>
      <c r="Q236" s="393"/>
      <c r="R236" s="393"/>
      <c r="S236" s="393"/>
      <c r="T236" s="393"/>
      <c r="U236" s="393"/>
      <c r="V236" s="393"/>
      <c r="W236" s="393"/>
      <c r="X236" s="393"/>
      <c r="Y236" s="393"/>
      <c r="Z236" s="393"/>
      <c r="AA236" s="393"/>
      <c r="AB236" s="393"/>
      <c r="AC236" s="393"/>
      <c r="AD236" s="393"/>
      <c r="AE236" s="393"/>
    </row>
    <row r="237" spans="1:31" ht="13.5" thickBot="1">
      <c r="A237" s="114"/>
      <c r="B237" s="115"/>
      <c r="C237" s="116"/>
      <c r="D237" s="105"/>
      <c r="E237" s="106"/>
      <c r="F237" s="107"/>
      <c r="G237" s="117"/>
      <c r="H237" s="118"/>
      <c r="I237" s="119"/>
      <c r="J237" s="120"/>
      <c r="K237" s="121"/>
      <c r="L237" s="122"/>
      <c r="N237" s="264"/>
      <c r="O237" s="161"/>
      <c r="P237" s="161"/>
      <c r="Q237" s="393"/>
      <c r="R237" s="393"/>
      <c r="S237" s="393"/>
      <c r="T237" s="393"/>
      <c r="U237" s="393"/>
      <c r="V237" s="393"/>
      <c r="W237" s="393"/>
      <c r="X237" s="393"/>
      <c r="Y237" s="393"/>
      <c r="Z237" s="393"/>
      <c r="AA237" s="393"/>
      <c r="AB237" s="393"/>
      <c r="AC237" s="393"/>
      <c r="AD237" s="393"/>
      <c r="AE237" s="393"/>
    </row>
    <row r="238" spans="1:31" ht="13.5" thickBot="1">
      <c r="A238" s="114"/>
      <c r="B238" s="115"/>
      <c r="C238" s="116"/>
      <c r="D238" s="105"/>
      <c r="E238" s="106"/>
      <c r="F238" s="107"/>
      <c r="G238" s="117"/>
      <c r="H238" s="118"/>
      <c r="I238" s="119"/>
      <c r="J238" s="120"/>
      <c r="K238" s="121"/>
      <c r="L238" s="122"/>
      <c r="N238" s="264"/>
      <c r="O238" s="161"/>
      <c r="P238" s="161"/>
      <c r="Q238" s="393"/>
      <c r="R238" s="393"/>
      <c r="S238" s="393"/>
      <c r="T238" s="393"/>
      <c r="U238" s="393"/>
      <c r="V238" s="393"/>
      <c r="W238" s="393"/>
      <c r="X238" s="393"/>
      <c r="Y238" s="393"/>
      <c r="Z238" s="393"/>
      <c r="AA238" s="393"/>
      <c r="AB238" s="393"/>
      <c r="AC238" s="393"/>
      <c r="AD238" s="393"/>
      <c r="AE238" s="393"/>
    </row>
    <row r="239" spans="1:31" ht="13.5" thickBot="1">
      <c r="A239" s="114"/>
      <c r="B239" s="115"/>
      <c r="C239" s="116"/>
      <c r="D239" s="105"/>
      <c r="E239" s="106"/>
      <c r="F239" s="107"/>
      <c r="G239" s="117"/>
      <c r="H239" s="118"/>
      <c r="I239" s="119"/>
      <c r="J239" s="120"/>
      <c r="K239" s="121"/>
      <c r="L239" s="122"/>
      <c r="N239" s="264"/>
      <c r="O239" s="161"/>
      <c r="P239" s="161"/>
      <c r="Q239" s="393"/>
      <c r="R239" s="393"/>
      <c r="S239" s="393"/>
      <c r="T239" s="393"/>
      <c r="U239" s="393"/>
      <c r="V239" s="393"/>
      <c r="W239" s="393"/>
      <c r="X239" s="393"/>
      <c r="Y239" s="393"/>
      <c r="Z239" s="393"/>
      <c r="AA239" s="393"/>
      <c r="AB239" s="393"/>
      <c r="AC239" s="393"/>
      <c r="AD239" s="393"/>
      <c r="AE239" s="393"/>
    </row>
    <row r="240" spans="1:31" ht="13.5" thickBot="1">
      <c r="A240" s="114"/>
      <c r="B240" s="115"/>
      <c r="C240" s="116"/>
      <c r="D240" s="105"/>
      <c r="E240" s="106"/>
      <c r="F240" s="107"/>
      <c r="G240" s="117"/>
      <c r="H240" s="118"/>
      <c r="I240" s="119"/>
      <c r="J240" s="120"/>
      <c r="K240" s="121"/>
      <c r="L240" s="122"/>
      <c r="N240" s="264"/>
      <c r="O240" s="161"/>
      <c r="P240" s="161"/>
      <c r="Q240" s="393"/>
      <c r="R240" s="393"/>
      <c r="S240" s="393"/>
      <c r="T240" s="393"/>
      <c r="U240" s="393"/>
      <c r="V240" s="393"/>
      <c r="W240" s="393"/>
      <c r="X240" s="393"/>
      <c r="Y240" s="393"/>
      <c r="Z240" s="393"/>
      <c r="AA240" s="393"/>
      <c r="AB240" s="393"/>
      <c r="AC240" s="393"/>
      <c r="AD240" s="393"/>
      <c r="AE240" s="393"/>
    </row>
    <row r="241" spans="1:31" ht="13.5" thickBot="1">
      <c r="A241" s="114"/>
      <c r="B241" s="115"/>
      <c r="C241" s="116"/>
      <c r="D241" s="105"/>
      <c r="E241" s="106"/>
      <c r="F241" s="107"/>
      <c r="G241" s="117"/>
      <c r="H241" s="118"/>
      <c r="I241" s="119"/>
      <c r="J241" s="120"/>
      <c r="K241" s="121"/>
      <c r="L241" s="122"/>
      <c r="N241" s="264"/>
      <c r="O241" s="161"/>
      <c r="P241" s="161"/>
      <c r="Q241" s="393"/>
      <c r="R241" s="393"/>
      <c r="S241" s="393"/>
      <c r="T241" s="393"/>
      <c r="U241" s="393"/>
      <c r="V241" s="393"/>
      <c r="W241" s="393"/>
      <c r="X241" s="393"/>
      <c r="Y241" s="393"/>
      <c r="Z241" s="393"/>
      <c r="AA241" s="393"/>
      <c r="AB241" s="393"/>
      <c r="AC241" s="393"/>
      <c r="AD241" s="393"/>
      <c r="AE241" s="393"/>
    </row>
    <row r="242" spans="1:31" ht="13.5" thickBot="1">
      <c r="A242" s="114"/>
      <c r="B242" s="115"/>
      <c r="C242" s="116"/>
      <c r="D242" s="105"/>
      <c r="E242" s="106"/>
      <c r="F242" s="107"/>
      <c r="G242" s="117"/>
      <c r="H242" s="118"/>
      <c r="I242" s="119"/>
      <c r="J242" s="120"/>
      <c r="K242" s="121"/>
      <c r="L242" s="122"/>
      <c r="N242" s="264"/>
      <c r="O242" s="161"/>
      <c r="P242" s="161"/>
      <c r="Q242" s="393"/>
      <c r="R242" s="393"/>
      <c r="S242" s="393"/>
      <c r="T242" s="393"/>
      <c r="U242" s="393"/>
      <c r="V242" s="393"/>
      <c r="W242" s="393"/>
      <c r="X242" s="393"/>
      <c r="Y242" s="393"/>
      <c r="Z242" s="393"/>
      <c r="AA242" s="393"/>
      <c r="AB242" s="393"/>
      <c r="AC242" s="393"/>
      <c r="AD242" s="393"/>
      <c r="AE242" s="393"/>
    </row>
    <row r="243" spans="1:31" ht="13.5" thickBot="1">
      <c r="A243" s="114"/>
      <c r="B243" s="115"/>
      <c r="C243" s="116"/>
      <c r="D243" s="105"/>
      <c r="E243" s="106"/>
      <c r="F243" s="107"/>
      <c r="G243" s="117"/>
      <c r="H243" s="118"/>
      <c r="I243" s="119"/>
      <c r="J243" s="120"/>
      <c r="K243" s="121"/>
      <c r="L243" s="122"/>
      <c r="N243" s="264"/>
      <c r="O243" s="161"/>
      <c r="P243" s="161"/>
      <c r="Q243" s="393"/>
      <c r="R243" s="393"/>
      <c r="S243" s="393"/>
      <c r="T243" s="393"/>
      <c r="U243" s="393"/>
      <c r="V243" s="393"/>
      <c r="W243" s="393"/>
      <c r="X243" s="393"/>
      <c r="Y243" s="393"/>
      <c r="Z243" s="393"/>
      <c r="AA243" s="393"/>
      <c r="AB243" s="393"/>
      <c r="AC243" s="393"/>
      <c r="AD243" s="393"/>
      <c r="AE243" s="393"/>
    </row>
    <row r="244" spans="1:31" ht="13.5" thickBot="1">
      <c r="A244" s="114"/>
      <c r="B244" s="115"/>
      <c r="C244" s="116"/>
      <c r="D244" s="105"/>
      <c r="E244" s="106"/>
      <c r="F244" s="107"/>
      <c r="G244" s="117"/>
      <c r="H244" s="118"/>
      <c r="I244" s="119"/>
      <c r="J244" s="120"/>
      <c r="K244" s="121"/>
      <c r="L244" s="122"/>
      <c r="N244" s="264"/>
      <c r="O244" s="161"/>
      <c r="P244" s="161"/>
      <c r="Q244" s="393"/>
      <c r="R244" s="393"/>
      <c r="S244" s="393"/>
      <c r="T244" s="393"/>
      <c r="U244" s="393"/>
      <c r="V244" s="393"/>
      <c r="W244" s="393"/>
      <c r="X244" s="393"/>
      <c r="Y244" s="393"/>
      <c r="Z244" s="393"/>
      <c r="AA244" s="393"/>
      <c r="AB244" s="393"/>
      <c r="AC244" s="393"/>
      <c r="AD244" s="393"/>
      <c r="AE244" s="393"/>
    </row>
    <row r="245" spans="1:31" ht="13.5" thickBot="1">
      <c r="A245" s="114"/>
      <c r="B245" s="115"/>
      <c r="C245" s="116"/>
      <c r="D245" s="105"/>
      <c r="E245" s="106"/>
      <c r="F245" s="107"/>
      <c r="G245" s="117"/>
      <c r="H245" s="118"/>
      <c r="I245" s="119"/>
      <c r="J245" s="120"/>
      <c r="K245" s="121"/>
      <c r="L245" s="122"/>
      <c r="N245" s="264"/>
      <c r="O245" s="161"/>
      <c r="P245" s="161"/>
      <c r="Q245" s="393"/>
      <c r="R245" s="393"/>
      <c r="S245" s="393"/>
      <c r="T245" s="393"/>
      <c r="U245" s="393"/>
      <c r="V245" s="393"/>
      <c r="W245" s="393"/>
      <c r="X245" s="393"/>
      <c r="Y245" s="393"/>
      <c r="Z245" s="393"/>
      <c r="AA245" s="393"/>
      <c r="AB245" s="393"/>
      <c r="AC245" s="393"/>
      <c r="AD245" s="393"/>
      <c r="AE245" s="393"/>
    </row>
    <row r="246" spans="1:31" ht="13.5" thickBot="1">
      <c r="A246" s="114"/>
      <c r="B246" s="115"/>
      <c r="C246" s="116"/>
      <c r="D246" s="105"/>
      <c r="E246" s="106"/>
      <c r="F246" s="107"/>
      <c r="G246" s="117"/>
      <c r="H246" s="118"/>
      <c r="I246" s="119"/>
      <c r="J246" s="120"/>
      <c r="K246" s="121"/>
      <c r="L246" s="122"/>
      <c r="N246" s="264"/>
      <c r="O246" s="161"/>
      <c r="P246" s="161"/>
      <c r="Q246" s="393"/>
      <c r="R246" s="393"/>
      <c r="S246" s="393"/>
      <c r="T246" s="393"/>
      <c r="U246" s="393"/>
      <c r="V246" s="393"/>
      <c r="W246" s="393"/>
      <c r="X246" s="393"/>
      <c r="Y246" s="393"/>
      <c r="Z246" s="393"/>
      <c r="AA246" s="393"/>
      <c r="AB246" s="393"/>
      <c r="AC246" s="393"/>
      <c r="AD246" s="393"/>
      <c r="AE246" s="393"/>
    </row>
    <row r="247" spans="1:31" ht="13.5" thickBot="1">
      <c r="A247" s="114"/>
      <c r="B247" s="115"/>
      <c r="C247" s="116"/>
      <c r="D247" s="105"/>
      <c r="E247" s="106"/>
      <c r="F247" s="107"/>
      <c r="G247" s="117"/>
      <c r="H247" s="118"/>
      <c r="I247" s="119"/>
      <c r="J247" s="120"/>
      <c r="K247" s="121"/>
      <c r="L247" s="122"/>
      <c r="N247" s="264"/>
      <c r="O247" s="161"/>
      <c r="P247" s="161"/>
      <c r="Q247" s="393"/>
      <c r="R247" s="393"/>
      <c r="S247" s="393"/>
      <c r="T247" s="393"/>
      <c r="U247" s="393"/>
      <c r="V247" s="393"/>
      <c r="W247" s="393"/>
      <c r="X247" s="393"/>
      <c r="Y247" s="393"/>
      <c r="Z247" s="393"/>
      <c r="AA247" s="393"/>
      <c r="AB247" s="393"/>
      <c r="AC247" s="393"/>
      <c r="AD247" s="393"/>
      <c r="AE247" s="393"/>
    </row>
    <row r="248" spans="1:31" ht="13.5" thickBot="1">
      <c r="A248" s="114"/>
      <c r="B248" s="115"/>
      <c r="C248" s="116"/>
      <c r="D248" s="105"/>
      <c r="E248" s="106"/>
      <c r="F248" s="107"/>
      <c r="G248" s="117"/>
      <c r="H248" s="118"/>
      <c r="I248" s="119"/>
      <c r="J248" s="120"/>
      <c r="K248" s="121"/>
      <c r="L248" s="122"/>
      <c r="N248" s="264"/>
      <c r="O248" s="161"/>
      <c r="P248" s="161"/>
      <c r="Q248" s="393"/>
      <c r="R248" s="393"/>
      <c r="S248" s="393"/>
      <c r="T248" s="393"/>
      <c r="U248" s="393"/>
      <c r="V248" s="393"/>
      <c r="W248" s="393"/>
      <c r="X248" s="393"/>
      <c r="Y248" s="393"/>
      <c r="Z248" s="393"/>
      <c r="AA248" s="393"/>
      <c r="AB248" s="393"/>
      <c r="AC248" s="393"/>
      <c r="AD248" s="393"/>
      <c r="AE248" s="393"/>
    </row>
    <row r="249" spans="1:31" ht="13.5" thickBot="1">
      <c r="A249" s="114"/>
      <c r="B249" s="115"/>
      <c r="C249" s="116"/>
      <c r="D249" s="105"/>
      <c r="E249" s="106"/>
      <c r="F249" s="107"/>
      <c r="G249" s="117"/>
      <c r="H249" s="118"/>
      <c r="I249" s="119"/>
      <c r="J249" s="120"/>
      <c r="K249" s="121"/>
      <c r="L249" s="122"/>
      <c r="N249" s="264"/>
      <c r="O249" s="161"/>
      <c r="P249" s="161"/>
      <c r="Q249" s="393"/>
      <c r="R249" s="393"/>
      <c r="S249" s="393"/>
      <c r="T249" s="393"/>
      <c r="U249" s="393"/>
      <c r="V249" s="393"/>
      <c r="W249" s="393"/>
      <c r="X249" s="393"/>
      <c r="Y249" s="393"/>
      <c r="Z249" s="393"/>
      <c r="AA249" s="393"/>
      <c r="AB249" s="393"/>
      <c r="AC249" s="393"/>
      <c r="AD249" s="393"/>
      <c r="AE249" s="393"/>
    </row>
    <row r="250" spans="1:31" ht="13.5" thickBot="1">
      <c r="A250" s="114"/>
      <c r="B250" s="115"/>
      <c r="C250" s="116"/>
      <c r="D250" s="105"/>
      <c r="E250" s="106"/>
      <c r="F250" s="107"/>
      <c r="G250" s="117"/>
      <c r="H250" s="118"/>
      <c r="I250" s="119"/>
      <c r="J250" s="120"/>
      <c r="K250" s="121"/>
      <c r="L250" s="122"/>
      <c r="N250" s="264"/>
      <c r="O250" s="161"/>
      <c r="P250" s="161"/>
      <c r="Q250" s="393"/>
      <c r="R250" s="393"/>
      <c r="S250" s="393"/>
      <c r="T250" s="393"/>
      <c r="U250" s="393"/>
      <c r="V250" s="393"/>
      <c r="W250" s="393"/>
      <c r="X250" s="393"/>
      <c r="Y250" s="393"/>
      <c r="Z250" s="393"/>
      <c r="AA250" s="393"/>
      <c r="AB250" s="393"/>
      <c r="AC250" s="393"/>
      <c r="AD250" s="393"/>
      <c r="AE250" s="393"/>
    </row>
    <row r="251" spans="1:31" ht="13.5" thickBot="1">
      <c r="A251" s="114"/>
      <c r="B251" s="115"/>
      <c r="C251" s="116"/>
      <c r="D251" s="105"/>
      <c r="E251" s="106"/>
      <c r="F251" s="107"/>
      <c r="G251" s="117"/>
      <c r="H251" s="118"/>
      <c r="I251" s="119"/>
      <c r="J251" s="120"/>
      <c r="K251" s="121"/>
      <c r="L251" s="122"/>
      <c r="N251" s="264"/>
      <c r="O251" s="161"/>
      <c r="P251" s="161"/>
      <c r="Q251" s="393"/>
      <c r="R251" s="393"/>
      <c r="S251" s="393"/>
      <c r="T251" s="393"/>
      <c r="U251" s="393"/>
      <c r="V251" s="393"/>
      <c r="W251" s="393"/>
      <c r="X251" s="393"/>
      <c r="Y251" s="393"/>
      <c r="Z251" s="393"/>
      <c r="AA251" s="393"/>
      <c r="AB251" s="393"/>
      <c r="AC251" s="393"/>
      <c r="AD251" s="393"/>
      <c r="AE251" s="393"/>
    </row>
    <row r="252" spans="1:31" ht="13.5" thickBot="1">
      <c r="A252" s="114"/>
      <c r="B252" s="115"/>
      <c r="C252" s="116"/>
      <c r="D252" s="105"/>
      <c r="E252" s="106"/>
      <c r="F252" s="107"/>
      <c r="G252" s="117"/>
      <c r="H252" s="118"/>
      <c r="I252" s="119"/>
      <c r="J252" s="120"/>
      <c r="K252" s="121"/>
      <c r="L252" s="122"/>
      <c r="N252" s="264"/>
      <c r="O252" s="161"/>
      <c r="P252" s="161"/>
      <c r="Q252" s="393"/>
      <c r="R252" s="393"/>
      <c r="S252" s="393"/>
      <c r="T252" s="393"/>
      <c r="U252" s="393"/>
      <c r="V252" s="393"/>
      <c r="W252" s="393"/>
      <c r="X252" s="393"/>
      <c r="Y252" s="393"/>
      <c r="Z252" s="393"/>
      <c r="AA252" s="393"/>
      <c r="AB252" s="393"/>
      <c r="AC252" s="393"/>
      <c r="AD252" s="393"/>
      <c r="AE252" s="393"/>
    </row>
    <row r="253" spans="1:31" ht="13.5" thickBot="1">
      <c r="A253" s="114"/>
      <c r="B253" s="115"/>
      <c r="C253" s="116"/>
      <c r="D253" s="105"/>
      <c r="E253" s="106"/>
      <c r="F253" s="107"/>
      <c r="G253" s="117"/>
      <c r="H253" s="118"/>
      <c r="I253" s="119"/>
      <c r="J253" s="120"/>
      <c r="K253" s="121"/>
      <c r="L253" s="122"/>
      <c r="N253" s="264"/>
      <c r="O253" s="161"/>
      <c r="P253" s="161"/>
      <c r="Q253" s="393"/>
      <c r="R253" s="393"/>
      <c r="S253" s="393"/>
      <c r="T253" s="393"/>
      <c r="U253" s="393"/>
      <c r="V253" s="393"/>
      <c r="W253" s="393"/>
      <c r="X253" s="393"/>
      <c r="Y253" s="393"/>
      <c r="Z253" s="393"/>
      <c r="AA253" s="393"/>
      <c r="AB253" s="393"/>
      <c r="AC253" s="393"/>
      <c r="AD253" s="393"/>
      <c r="AE253" s="393"/>
    </row>
    <row r="254" spans="1:31" ht="13.5" thickBot="1">
      <c r="A254" s="114"/>
      <c r="B254" s="115"/>
      <c r="C254" s="116"/>
      <c r="D254" s="105"/>
      <c r="E254" s="106"/>
      <c r="F254" s="107"/>
      <c r="G254" s="117"/>
      <c r="H254" s="118"/>
      <c r="I254" s="119"/>
      <c r="J254" s="120"/>
      <c r="K254" s="121"/>
      <c r="L254" s="122"/>
      <c r="N254" s="264"/>
      <c r="O254" s="161"/>
      <c r="P254" s="161"/>
      <c r="Q254" s="393"/>
      <c r="R254" s="393"/>
      <c r="S254" s="393"/>
      <c r="T254" s="393"/>
      <c r="U254" s="393"/>
      <c r="V254" s="393"/>
      <c r="W254" s="393"/>
      <c r="X254" s="393"/>
      <c r="Y254" s="393"/>
      <c r="Z254" s="393"/>
      <c r="AA254" s="393"/>
      <c r="AB254" s="393"/>
      <c r="AC254" s="393"/>
      <c r="AD254" s="393"/>
      <c r="AE254" s="393"/>
    </row>
    <row r="255" spans="1:31" ht="13.5" thickBot="1">
      <c r="A255" s="114"/>
      <c r="B255" s="115"/>
      <c r="C255" s="116"/>
      <c r="D255" s="105"/>
      <c r="E255" s="106"/>
      <c r="F255" s="107"/>
      <c r="G255" s="117"/>
      <c r="H255" s="118"/>
      <c r="I255" s="119"/>
      <c r="J255" s="120"/>
      <c r="K255" s="121"/>
      <c r="L255" s="122"/>
      <c r="N255" s="264"/>
      <c r="O255" s="161"/>
      <c r="P255" s="161"/>
      <c r="Q255" s="393"/>
      <c r="R255" s="393"/>
      <c r="S255" s="393"/>
      <c r="T255" s="393"/>
      <c r="U255" s="393"/>
      <c r="V255" s="393"/>
      <c r="W255" s="393"/>
      <c r="X255" s="393"/>
      <c r="Y255" s="393"/>
      <c r="Z255" s="393"/>
      <c r="AA255" s="393"/>
      <c r="AB255" s="393"/>
      <c r="AC255" s="393"/>
      <c r="AD255" s="393"/>
      <c r="AE255" s="393"/>
    </row>
    <row r="256" spans="1:31" ht="13.5" thickBot="1">
      <c r="A256" s="114"/>
      <c r="B256" s="115"/>
      <c r="C256" s="116"/>
      <c r="D256" s="105"/>
      <c r="E256" s="106"/>
      <c r="F256" s="107"/>
      <c r="G256" s="117"/>
      <c r="H256" s="118"/>
      <c r="I256" s="119"/>
      <c r="J256" s="120"/>
      <c r="K256" s="121"/>
      <c r="L256" s="122"/>
      <c r="N256" s="264"/>
      <c r="O256" s="161"/>
      <c r="P256" s="161"/>
      <c r="Q256" s="393"/>
      <c r="R256" s="393"/>
      <c r="S256" s="393"/>
      <c r="T256" s="393"/>
      <c r="U256" s="393"/>
      <c r="V256" s="393"/>
      <c r="W256" s="393"/>
      <c r="X256" s="393"/>
      <c r="Y256" s="393"/>
      <c r="Z256" s="393"/>
      <c r="AA256" s="393"/>
      <c r="AB256" s="393"/>
      <c r="AC256" s="393"/>
      <c r="AD256" s="393"/>
      <c r="AE256" s="393"/>
    </row>
    <row r="257" spans="1:31" ht="13.5" thickBot="1">
      <c r="A257" s="114"/>
      <c r="B257" s="115"/>
      <c r="C257" s="116"/>
      <c r="D257" s="105"/>
      <c r="E257" s="106"/>
      <c r="F257" s="107"/>
      <c r="G257" s="117"/>
      <c r="H257" s="118"/>
      <c r="I257" s="119"/>
      <c r="J257" s="120"/>
      <c r="K257" s="121"/>
      <c r="L257" s="122"/>
      <c r="N257" s="264"/>
      <c r="O257" s="161"/>
      <c r="P257" s="161"/>
      <c r="Q257" s="393"/>
      <c r="R257" s="393"/>
      <c r="S257" s="393"/>
      <c r="T257" s="393"/>
      <c r="U257" s="393"/>
      <c r="V257" s="393"/>
      <c r="W257" s="393"/>
      <c r="X257" s="393"/>
      <c r="Y257" s="393"/>
      <c r="Z257" s="393"/>
      <c r="AA257" s="393"/>
      <c r="AB257" s="393"/>
      <c r="AC257" s="393"/>
      <c r="AD257" s="393"/>
      <c r="AE257" s="393"/>
    </row>
    <row r="258" spans="1:31" ht="13.5" thickBot="1">
      <c r="A258" s="114"/>
      <c r="B258" s="115"/>
      <c r="C258" s="116"/>
      <c r="D258" s="105"/>
      <c r="E258" s="106"/>
      <c r="F258" s="107"/>
      <c r="G258" s="117"/>
      <c r="H258" s="118"/>
      <c r="I258" s="119"/>
      <c r="J258" s="120"/>
      <c r="K258" s="121"/>
      <c r="L258" s="122"/>
      <c r="N258" s="264"/>
      <c r="O258" s="161"/>
      <c r="P258" s="161"/>
      <c r="Q258" s="393"/>
      <c r="R258" s="393"/>
      <c r="S258" s="393"/>
      <c r="T258" s="393"/>
      <c r="U258" s="393"/>
      <c r="V258" s="393"/>
      <c r="W258" s="393"/>
      <c r="X258" s="393"/>
      <c r="Y258" s="393"/>
      <c r="Z258" s="393"/>
      <c r="AA258" s="393"/>
      <c r="AB258" s="393"/>
      <c r="AC258" s="393"/>
      <c r="AD258" s="393"/>
      <c r="AE258" s="393"/>
    </row>
    <row r="259" spans="1:31" ht="13.5" thickBot="1">
      <c r="A259" s="114"/>
      <c r="B259" s="115"/>
      <c r="C259" s="116"/>
      <c r="D259" s="105"/>
      <c r="E259" s="106"/>
      <c r="F259" s="107"/>
      <c r="G259" s="117"/>
      <c r="H259" s="118"/>
      <c r="I259" s="119"/>
      <c r="J259" s="120"/>
      <c r="K259" s="121"/>
      <c r="L259" s="122"/>
      <c r="N259" s="264"/>
      <c r="O259" s="161"/>
      <c r="P259" s="161"/>
      <c r="Q259" s="393"/>
      <c r="R259" s="393"/>
      <c r="S259" s="393"/>
      <c r="T259" s="393"/>
      <c r="U259" s="393"/>
      <c r="V259" s="393"/>
      <c r="W259" s="393"/>
      <c r="X259" s="393"/>
      <c r="Y259" s="393"/>
      <c r="Z259" s="393"/>
      <c r="AA259" s="393"/>
      <c r="AB259" s="393"/>
      <c r="AC259" s="393"/>
      <c r="AD259" s="393"/>
      <c r="AE259" s="393"/>
    </row>
    <row r="260" spans="1:31" ht="13.5" thickBot="1">
      <c r="A260" s="114"/>
      <c r="B260" s="115"/>
      <c r="C260" s="116"/>
      <c r="D260" s="105"/>
      <c r="E260" s="106"/>
      <c r="F260" s="107"/>
      <c r="G260" s="117"/>
      <c r="H260" s="118"/>
      <c r="I260" s="119"/>
      <c r="J260" s="120"/>
      <c r="K260" s="121"/>
      <c r="L260" s="122"/>
      <c r="N260" s="264"/>
      <c r="O260" s="161"/>
      <c r="P260" s="161"/>
      <c r="Q260" s="393"/>
      <c r="R260" s="393"/>
      <c r="S260" s="393"/>
      <c r="T260" s="393"/>
      <c r="U260" s="393"/>
      <c r="V260" s="393"/>
      <c r="W260" s="393"/>
      <c r="X260" s="393"/>
      <c r="Y260" s="393"/>
      <c r="Z260" s="393"/>
      <c r="AA260" s="393"/>
      <c r="AB260" s="393"/>
      <c r="AC260" s="393"/>
      <c r="AD260" s="393"/>
      <c r="AE260" s="393"/>
    </row>
    <row r="261" spans="1:31" ht="13.5" thickBot="1">
      <c r="A261" s="114"/>
      <c r="B261" s="115"/>
      <c r="C261" s="116"/>
      <c r="D261" s="105"/>
      <c r="E261" s="106"/>
      <c r="F261" s="107"/>
      <c r="G261" s="117"/>
      <c r="H261" s="118"/>
      <c r="I261" s="119"/>
      <c r="J261" s="120"/>
      <c r="K261" s="121"/>
      <c r="L261" s="122"/>
      <c r="N261" s="264"/>
      <c r="O261" s="161"/>
      <c r="P261" s="161"/>
      <c r="Q261" s="393"/>
      <c r="R261" s="393"/>
      <c r="S261" s="393"/>
      <c r="T261" s="393"/>
      <c r="U261" s="393"/>
      <c r="V261" s="393"/>
      <c r="W261" s="393"/>
      <c r="X261" s="393"/>
      <c r="Y261" s="393"/>
      <c r="Z261" s="393"/>
      <c r="AA261" s="393"/>
      <c r="AB261" s="393"/>
      <c r="AC261" s="393"/>
      <c r="AD261" s="393"/>
      <c r="AE261" s="393"/>
    </row>
    <row r="262" spans="1:31" ht="13.5" thickBot="1">
      <c r="A262" s="114"/>
      <c r="B262" s="115"/>
      <c r="C262" s="116"/>
      <c r="D262" s="105"/>
      <c r="E262" s="106"/>
      <c r="F262" s="107"/>
      <c r="G262" s="117"/>
      <c r="H262" s="118"/>
      <c r="I262" s="119"/>
      <c r="J262" s="120"/>
      <c r="K262" s="121"/>
      <c r="L262" s="122"/>
      <c r="N262" s="264"/>
      <c r="O262" s="161"/>
      <c r="P262" s="161"/>
      <c r="Q262" s="393"/>
      <c r="R262" s="393"/>
      <c r="S262" s="393"/>
      <c r="T262" s="393"/>
      <c r="U262" s="393"/>
      <c r="V262" s="393"/>
      <c r="W262" s="393"/>
      <c r="X262" s="393"/>
      <c r="Y262" s="393"/>
      <c r="Z262" s="393"/>
      <c r="AA262" s="393"/>
      <c r="AB262" s="393"/>
      <c r="AC262" s="393"/>
      <c r="AD262" s="393"/>
      <c r="AE262" s="393"/>
    </row>
    <row r="263" spans="1:31" ht="13.5" thickBot="1">
      <c r="A263" s="114"/>
      <c r="B263" s="115"/>
      <c r="C263" s="116"/>
      <c r="D263" s="105"/>
      <c r="E263" s="106"/>
      <c r="F263" s="107"/>
      <c r="G263" s="117"/>
      <c r="H263" s="118"/>
      <c r="I263" s="119"/>
      <c r="J263" s="120"/>
      <c r="K263" s="121"/>
      <c r="L263" s="122"/>
      <c r="N263" s="264"/>
      <c r="O263" s="161"/>
      <c r="P263" s="161"/>
      <c r="Q263" s="393"/>
      <c r="R263" s="393"/>
      <c r="S263" s="393"/>
      <c r="T263" s="393"/>
      <c r="U263" s="393"/>
      <c r="V263" s="393"/>
      <c r="W263" s="393"/>
      <c r="X263" s="393"/>
      <c r="Y263" s="393"/>
      <c r="Z263" s="393"/>
      <c r="AA263" s="393"/>
      <c r="AB263" s="393"/>
      <c r="AC263" s="393"/>
      <c r="AD263" s="393"/>
      <c r="AE263" s="393"/>
    </row>
    <row r="264" spans="1:31" ht="13.5" thickBot="1">
      <c r="A264" s="114"/>
      <c r="B264" s="115"/>
      <c r="C264" s="116"/>
      <c r="D264" s="105"/>
      <c r="E264" s="106"/>
      <c r="F264" s="107"/>
      <c r="G264" s="117"/>
      <c r="H264" s="118"/>
      <c r="I264" s="119"/>
      <c r="J264" s="120"/>
      <c r="K264" s="121"/>
      <c r="L264" s="122"/>
      <c r="N264" s="264"/>
      <c r="O264" s="161"/>
      <c r="P264" s="161"/>
      <c r="Q264" s="393"/>
      <c r="R264" s="393"/>
      <c r="S264" s="393"/>
      <c r="T264" s="393"/>
      <c r="U264" s="393"/>
      <c r="V264" s="393"/>
      <c r="W264" s="393"/>
      <c r="X264" s="393"/>
      <c r="Y264" s="393"/>
      <c r="Z264" s="393"/>
      <c r="AA264" s="393"/>
      <c r="AB264" s="393"/>
      <c r="AC264" s="393"/>
      <c r="AD264" s="393"/>
      <c r="AE264" s="393"/>
    </row>
    <row r="265" spans="1:31" ht="13.5" thickBot="1">
      <c r="A265" s="114"/>
      <c r="B265" s="115"/>
      <c r="C265" s="116"/>
      <c r="D265" s="105"/>
      <c r="E265" s="106"/>
      <c r="F265" s="107"/>
      <c r="G265" s="117"/>
      <c r="H265" s="118"/>
      <c r="I265" s="119"/>
      <c r="J265" s="120"/>
      <c r="K265" s="121"/>
      <c r="L265" s="122"/>
      <c r="N265" s="264"/>
      <c r="O265" s="161"/>
      <c r="P265" s="161"/>
      <c r="Q265" s="393"/>
      <c r="R265" s="393"/>
      <c r="S265" s="393"/>
      <c r="T265" s="393"/>
      <c r="U265" s="393"/>
      <c r="V265" s="393"/>
      <c r="W265" s="393"/>
      <c r="X265" s="393"/>
      <c r="Y265" s="393"/>
      <c r="Z265" s="393"/>
      <c r="AA265" s="393"/>
      <c r="AB265" s="393"/>
      <c r="AC265" s="393"/>
      <c r="AD265" s="393"/>
      <c r="AE265" s="393"/>
    </row>
    <row r="266" spans="1:31" ht="13.5" thickBot="1">
      <c r="A266" s="114"/>
      <c r="B266" s="115"/>
      <c r="C266" s="116"/>
      <c r="D266" s="105"/>
      <c r="E266" s="106"/>
      <c r="F266" s="107"/>
      <c r="G266" s="117"/>
      <c r="H266" s="118"/>
      <c r="I266" s="119"/>
      <c r="J266" s="120"/>
      <c r="K266" s="121"/>
      <c r="L266" s="122"/>
      <c r="N266" s="264"/>
      <c r="O266" s="161"/>
      <c r="P266" s="161"/>
      <c r="Q266" s="393"/>
      <c r="R266" s="393"/>
      <c r="S266" s="393"/>
      <c r="T266" s="393"/>
      <c r="U266" s="393"/>
      <c r="V266" s="393"/>
      <c r="W266" s="393"/>
      <c r="X266" s="393"/>
      <c r="Y266" s="393"/>
      <c r="Z266" s="393"/>
      <c r="AA266" s="393"/>
      <c r="AB266" s="393"/>
      <c r="AC266" s="393"/>
      <c r="AD266" s="393"/>
      <c r="AE266" s="393"/>
    </row>
    <row r="267" spans="1:31" ht="13.5" thickBot="1">
      <c r="A267" s="114"/>
      <c r="B267" s="115"/>
      <c r="C267" s="116"/>
      <c r="D267" s="105"/>
      <c r="E267" s="106"/>
      <c r="F267" s="107"/>
      <c r="G267" s="117"/>
      <c r="H267" s="118"/>
      <c r="I267" s="119"/>
      <c r="J267" s="120"/>
      <c r="K267" s="121"/>
      <c r="L267" s="122"/>
      <c r="N267" s="264"/>
      <c r="O267" s="161"/>
      <c r="P267" s="161"/>
      <c r="Q267" s="393"/>
      <c r="R267" s="393"/>
      <c r="S267" s="393"/>
      <c r="T267" s="393"/>
      <c r="U267" s="393"/>
      <c r="V267" s="393"/>
      <c r="W267" s="393"/>
      <c r="X267" s="393"/>
      <c r="Y267" s="393"/>
      <c r="Z267" s="393"/>
      <c r="AA267" s="393"/>
      <c r="AB267" s="393"/>
      <c r="AC267" s="393"/>
      <c r="AD267" s="393"/>
      <c r="AE267" s="393"/>
    </row>
    <row r="268" spans="1:31" ht="13.5" thickBot="1">
      <c r="A268" s="114"/>
      <c r="B268" s="115"/>
      <c r="C268" s="116"/>
      <c r="D268" s="105"/>
      <c r="E268" s="106"/>
      <c r="F268" s="107"/>
      <c r="G268" s="117"/>
      <c r="H268" s="118"/>
      <c r="I268" s="119"/>
      <c r="J268" s="120"/>
      <c r="K268" s="121"/>
      <c r="L268" s="122"/>
      <c r="N268" s="264"/>
      <c r="O268" s="161"/>
      <c r="P268" s="161"/>
      <c r="Q268" s="393"/>
      <c r="R268" s="393"/>
      <c r="S268" s="393"/>
      <c r="T268" s="393"/>
      <c r="U268" s="393"/>
      <c r="V268" s="393"/>
      <c r="W268" s="393"/>
      <c r="X268" s="393"/>
      <c r="Y268" s="393"/>
      <c r="Z268" s="393"/>
      <c r="AA268" s="393"/>
      <c r="AB268" s="393"/>
      <c r="AC268" s="393"/>
      <c r="AD268" s="393"/>
      <c r="AE268" s="393"/>
    </row>
    <row r="269" spans="1:31" ht="13.5" thickBot="1">
      <c r="A269" s="114"/>
      <c r="B269" s="115"/>
      <c r="C269" s="116"/>
      <c r="D269" s="105"/>
      <c r="E269" s="106"/>
      <c r="F269" s="107"/>
      <c r="G269" s="117"/>
      <c r="H269" s="118"/>
      <c r="I269" s="119"/>
      <c r="J269" s="120"/>
      <c r="K269" s="121"/>
      <c r="L269" s="122"/>
      <c r="N269" s="264"/>
      <c r="O269" s="161"/>
      <c r="P269" s="161"/>
      <c r="Q269" s="393"/>
      <c r="R269" s="393"/>
      <c r="S269" s="393"/>
      <c r="T269" s="393"/>
      <c r="U269" s="393"/>
      <c r="V269" s="393"/>
      <c r="W269" s="393"/>
      <c r="X269" s="393"/>
      <c r="Y269" s="393"/>
      <c r="Z269" s="393"/>
      <c r="AA269" s="393"/>
      <c r="AB269" s="393"/>
      <c r="AC269" s="393"/>
      <c r="AD269" s="393"/>
      <c r="AE269" s="393"/>
    </row>
    <row r="270" spans="1:31" ht="13.5" thickBot="1">
      <c r="A270" s="114"/>
      <c r="B270" s="115"/>
      <c r="C270" s="116"/>
      <c r="D270" s="105"/>
      <c r="E270" s="106"/>
      <c r="F270" s="107"/>
      <c r="G270" s="117"/>
      <c r="H270" s="118"/>
      <c r="I270" s="119"/>
      <c r="J270" s="120"/>
      <c r="K270" s="121"/>
      <c r="L270" s="122"/>
      <c r="N270" s="265"/>
      <c r="O270" s="238"/>
      <c r="P270" s="238"/>
      <c r="Q270" s="405"/>
      <c r="R270" s="405"/>
      <c r="S270" s="405"/>
      <c r="T270" s="405"/>
      <c r="U270" s="405"/>
      <c r="V270" s="405"/>
      <c r="W270" s="405"/>
      <c r="X270" s="405"/>
      <c r="Y270" s="405"/>
      <c r="Z270" s="405"/>
      <c r="AA270" s="405"/>
      <c r="AB270" s="405"/>
      <c r="AC270" s="405"/>
      <c r="AD270" s="405"/>
      <c r="AE270" s="405"/>
    </row>
  </sheetData>
  <mergeCells count="14">
    <mergeCell ref="P161:P169"/>
    <mergeCell ref="Z194:Z201"/>
    <mergeCell ref="P68:P84"/>
    <mergeCell ref="P87:P96"/>
    <mergeCell ref="P97:P104"/>
    <mergeCell ref="P126:P135"/>
    <mergeCell ref="P139:P147"/>
    <mergeCell ref="P148:P158"/>
    <mergeCell ref="P58:P67"/>
    <mergeCell ref="P1:P2"/>
    <mergeCell ref="R1:S1"/>
    <mergeCell ref="AC1:AE1"/>
    <mergeCell ref="X1:Y1"/>
    <mergeCell ref="P33:P43"/>
  </mergeCells>
  <phoneticPr fontId="14" type="noConversion"/>
  <pageMargins left="0.7" right="0.7" top="0.75" bottom="0.75" header="0.3" footer="0.3"/>
  <pageSetup paperSize="9" orientation="portrait" r:id="rId1"/>
  <legacyDrawing r:id="rId2"/>
</worksheet>
</file>

<file path=xl/worksheets/sheet37.xml><?xml version="1.0" encoding="utf-8"?>
<worksheet xmlns="http://schemas.openxmlformats.org/spreadsheetml/2006/main" xmlns:r="http://schemas.openxmlformats.org/officeDocument/2006/relationships">
  <sheetPr>
    <tabColor rgb="FFFFFF00"/>
  </sheetPr>
  <dimension ref="A1:L131"/>
  <sheetViews>
    <sheetView topLeftCell="E1" zoomScaleNormal="100" workbookViewId="0">
      <selection activeCell="E3" sqref="E3"/>
    </sheetView>
  </sheetViews>
  <sheetFormatPr defaultRowHeight="12.75"/>
  <cols>
    <col min="1" max="1" width="14.375" style="52" bestFit="1" customWidth="1"/>
    <col min="2" max="2" width="8.875" style="52"/>
    <col min="3" max="3" width="25.125" style="52" customWidth="1"/>
    <col min="4" max="4" width="24.375" style="52" customWidth="1"/>
    <col min="5" max="5" width="8.875" style="52"/>
    <col min="6" max="6" width="12.625" style="52" customWidth="1"/>
    <col min="7" max="7" width="24.625" style="52" customWidth="1"/>
    <col min="8" max="11" width="12.625" style="52" customWidth="1"/>
    <col min="12" max="12" width="16.625" style="52" customWidth="1"/>
    <col min="13" max="256" width="8.875" style="52"/>
    <col min="257" max="257" width="14.375" style="52" bestFit="1" customWidth="1"/>
    <col min="258" max="258" width="8.875" style="52"/>
    <col min="259" max="259" width="25.125" style="52" customWidth="1"/>
    <col min="260" max="260" width="24.375" style="52" customWidth="1"/>
    <col min="261" max="261" width="8.875" style="52"/>
    <col min="262" max="262" width="10.375" style="52" bestFit="1" customWidth="1"/>
    <col min="263" max="263" width="20.625" style="52" customWidth="1"/>
    <col min="264" max="266" width="11.625" style="52" customWidth="1"/>
    <col min="267" max="267" width="10.875" style="52" customWidth="1"/>
    <col min="268" max="268" width="20.125" style="52" bestFit="1" customWidth="1"/>
    <col min="269" max="512" width="8.875" style="52"/>
    <col min="513" max="513" width="14.375" style="52" bestFit="1" customWidth="1"/>
    <col min="514" max="514" width="8.875" style="52"/>
    <col min="515" max="515" width="25.125" style="52" customWidth="1"/>
    <col min="516" max="516" width="24.375" style="52" customWidth="1"/>
    <col min="517" max="517" width="8.875" style="52"/>
    <col min="518" max="518" width="10.375" style="52" bestFit="1" customWidth="1"/>
    <col min="519" max="519" width="20.625" style="52" customWidth="1"/>
    <col min="520" max="522" width="11.625" style="52" customWidth="1"/>
    <col min="523" max="523" width="10.875" style="52" customWidth="1"/>
    <col min="524" max="524" width="20.125" style="52" bestFit="1" customWidth="1"/>
    <col min="525" max="768" width="8.875" style="52"/>
    <col min="769" max="769" width="14.375" style="52" bestFit="1" customWidth="1"/>
    <col min="770" max="770" width="8.875" style="52"/>
    <col min="771" max="771" width="25.125" style="52" customWidth="1"/>
    <col min="772" max="772" width="24.375" style="52" customWidth="1"/>
    <col min="773" max="773" width="8.875" style="52"/>
    <col min="774" max="774" width="10.375" style="52" bestFit="1" customWidth="1"/>
    <col min="775" max="775" width="20.625" style="52" customWidth="1"/>
    <col min="776" max="778" width="11.625" style="52" customWidth="1"/>
    <col min="779" max="779" width="10.875" style="52" customWidth="1"/>
    <col min="780" max="780" width="20.125" style="52" bestFit="1" customWidth="1"/>
    <col min="781" max="1024" width="8.875" style="52"/>
    <col min="1025" max="1025" width="14.375" style="52" bestFit="1" customWidth="1"/>
    <col min="1026" max="1026" width="8.875" style="52"/>
    <col min="1027" max="1027" width="25.125" style="52" customWidth="1"/>
    <col min="1028" max="1028" width="24.375" style="52" customWidth="1"/>
    <col min="1029" max="1029" width="8.875" style="52"/>
    <col min="1030" max="1030" width="10.375" style="52" bestFit="1" customWidth="1"/>
    <col min="1031" max="1031" width="20.625" style="52" customWidth="1"/>
    <col min="1032" max="1034" width="11.625" style="52" customWidth="1"/>
    <col min="1035" max="1035" width="10.875" style="52" customWidth="1"/>
    <col min="1036" max="1036" width="20.125" style="52" bestFit="1" customWidth="1"/>
    <col min="1037" max="1280" width="8.875" style="52"/>
    <col min="1281" max="1281" width="14.375" style="52" bestFit="1" customWidth="1"/>
    <col min="1282" max="1282" width="8.875" style="52"/>
    <col min="1283" max="1283" width="25.125" style="52" customWidth="1"/>
    <col min="1284" max="1284" width="24.375" style="52" customWidth="1"/>
    <col min="1285" max="1285" width="8.875" style="52"/>
    <col min="1286" max="1286" width="10.375" style="52" bestFit="1" customWidth="1"/>
    <col min="1287" max="1287" width="20.625" style="52" customWidth="1"/>
    <col min="1288" max="1290" width="11.625" style="52" customWidth="1"/>
    <col min="1291" max="1291" width="10.875" style="52" customWidth="1"/>
    <col min="1292" max="1292" width="20.125" style="52" bestFit="1" customWidth="1"/>
    <col min="1293" max="1536" width="8.875" style="52"/>
    <col min="1537" max="1537" width="14.375" style="52" bestFit="1" customWidth="1"/>
    <col min="1538" max="1538" width="8.875" style="52"/>
    <col min="1539" max="1539" width="25.125" style="52" customWidth="1"/>
    <col min="1540" max="1540" width="24.375" style="52" customWidth="1"/>
    <col min="1541" max="1541" width="8.875" style="52"/>
    <col min="1542" max="1542" width="10.375" style="52" bestFit="1" customWidth="1"/>
    <col min="1543" max="1543" width="20.625" style="52" customWidth="1"/>
    <col min="1544" max="1546" width="11.625" style="52" customWidth="1"/>
    <col min="1547" max="1547" width="10.875" style="52" customWidth="1"/>
    <col min="1548" max="1548" width="20.125" style="52" bestFit="1" customWidth="1"/>
    <col min="1549" max="1792" width="8.875" style="52"/>
    <col min="1793" max="1793" width="14.375" style="52" bestFit="1" customWidth="1"/>
    <col min="1794" max="1794" width="8.875" style="52"/>
    <col min="1795" max="1795" width="25.125" style="52" customWidth="1"/>
    <col min="1796" max="1796" width="24.375" style="52" customWidth="1"/>
    <col min="1797" max="1797" width="8.875" style="52"/>
    <col min="1798" max="1798" width="10.375" style="52" bestFit="1" customWidth="1"/>
    <col min="1799" max="1799" width="20.625" style="52" customWidth="1"/>
    <col min="1800" max="1802" width="11.625" style="52" customWidth="1"/>
    <col min="1803" max="1803" width="10.875" style="52" customWidth="1"/>
    <col min="1804" max="1804" width="20.125" style="52" bestFit="1" customWidth="1"/>
    <col min="1805" max="2048" width="8.875" style="52"/>
    <col min="2049" max="2049" width="14.375" style="52" bestFit="1" customWidth="1"/>
    <col min="2050" max="2050" width="8.875" style="52"/>
    <col min="2051" max="2051" width="25.125" style="52" customWidth="1"/>
    <col min="2052" max="2052" width="24.375" style="52" customWidth="1"/>
    <col min="2053" max="2053" width="8.875" style="52"/>
    <col min="2054" max="2054" width="10.375" style="52" bestFit="1" customWidth="1"/>
    <col min="2055" max="2055" width="20.625" style="52" customWidth="1"/>
    <col min="2056" max="2058" width="11.625" style="52" customWidth="1"/>
    <col min="2059" max="2059" width="10.875" style="52" customWidth="1"/>
    <col min="2060" max="2060" width="20.125" style="52" bestFit="1" customWidth="1"/>
    <col min="2061" max="2304" width="8.875" style="52"/>
    <col min="2305" max="2305" width="14.375" style="52" bestFit="1" customWidth="1"/>
    <col min="2306" max="2306" width="8.875" style="52"/>
    <col min="2307" max="2307" width="25.125" style="52" customWidth="1"/>
    <col min="2308" max="2308" width="24.375" style="52" customWidth="1"/>
    <col min="2309" max="2309" width="8.875" style="52"/>
    <col min="2310" max="2310" width="10.375" style="52" bestFit="1" customWidth="1"/>
    <col min="2311" max="2311" width="20.625" style="52" customWidth="1"/>
    <col min="2312" max="2314" width="11.625" style="52" customWidth="1"/>
    <col min="2315" max="2315" width="10.875" style="52" customWidth="1"/>
    <col min="2316" max="2316" width="20.125" style="52" bestFit="1" customWidth="1"/>
    <col min="2317" max="2560" width="8.875" style="52"/>
    <col min="2561" max="2561" width="14.375" style="52" bestFit="1" customWidth="1"/>
    <col min="2562" max="2562" width="8.875" style="52"/>
    <col min="2563" max="2563" width="25.125" style="52" customWidth="1"/>
    <col min="2564" max="2564" width="24.375" style="52" customWidth="1"/>
    <col min="2565" max="2565" width="8.875" style="52"/>
    <col min="2566" max="2566" width="10.375" style="52" bestFit="1" customWidth="1"/>
    <col min="2567" max="2567" width="20.625" style="52" customWidth="1"/>
    <col min="2568" max="2570" width="11.625" style="52" customWidth="1"/>
    <col min="2571" max="2571" width="10.875" style="52" customWidth="1"/>
    <col min="2572" max="2572" width="20.125" style="52" bestFit="1" customWidth="1"/>
    <col min="2573" max="2816" width="8.875" style="52"/>
    <col min="2817" max="2817" width="14.375" style="52" bestFit="1" customWidth="1"/>
    <col min="2818" max="2818" width="8.875" style="52"/>
    <col min="2819" max="2819" width="25.125" style="52" customWidth="1"/>
    <col min="2820" max="2820" width="24.375" style="52" customWidth="1"/>
    <col min="2821" max="2821" width="8.875" style="52"/>
    <col min="2822" max="2822" width="10.375" style="52" bestFit="1" customWidth="1"/>
    <col min="2823" max="2823" width="20.625" style="52" customWidth="1"/>
    <col min="2824" max="2826" width="11.625" style="52" customWidth="1"/>
    <col min="2827" max="2827" width="10.875" style="52" customWidth="1"/>
    <col min="2828" max="2828" width="20.125" style="52" bestFit="1" customWidth="1"/>
    <col min="2829" max="3072" width="8.875" style="52"/>
    <col min="3073" max="3073" width="14.375" style="52" bestFit="1" customWidth="1"/>
    <col min="3074" max="3074" width="8.875" style="52"/>
    <col min="3075" max="3075" width="25.125" style="52" customWidth="1"/>
    <col min="3076" max="3076" width="24.375" style="52" customWidth="1"/>
    <col min="3077" max="3077" width="8.875" style="52"/>
    <col min="3078" max="3078" width="10.375" style="52" bestFit="1" customWidth="1"/>
    <col min="3079" max="3079" width="20.625" style="52" customWidth="1"/>
    <col min="3080" max="3082" width="11.625" style="52" customWidth="1"/>
    <col min="3083" max="3083" width="10.875" style="52" customWidth="1"/>
    <col min="3084" max="3084" width="20.125" style="52" bestFit="1" customWidth="1"/>
    <col min="3085" max="3328" width="8.875" style="52"/>
    <col min="3329" max="3329" width="14.375" style="52" bestFit="1" customWidth="1"/>
    <col min="3330" max="3330" width="8.875" style="52"/>
    <col min="3331" max="3331" width="25.125" style="52" customWidth="1"/>
    <col min="3332" max="3332" width="24.375" style="52" customWidth="1"/>
    <col min="3333" max="3333" width="8.875" style="52"/>
    <col min="3334" max="3334" width="10.375" style="52" bestFit="1" customWidth="1"/>
    <col min="3335" max="3335" width="20.625" style="52" customWidth="1"/>
    <col min="3336" max="3338" width="11.625" style="52" customWidth="1"/>
    <col min="3339" max="3339" width="10.875" style="52" customWidth="1"/>
    <col min="3340" max="3340" width="20.125" style="52" bestFit="1" customWidth="1"/>
    <col min="3341" max="3584" width="8.875" style="52"/>
    <col min="3585" max="3585" width="14.375" style="52" bestFit="1" customWidth="1"/>
    <col min="3586" max="3586" width="8.875" style="52"/>
    <col min="3587" max="3587" width="25.125" style="52" customWidth="1"/>
    <col min="3588" max="3588" width="24.375" style="52" customWidth="1"/>
    <col min="3589" max="3589" width="8.875" style="52"/>
    <col min="3590" max="3590" width="10.375" style="52" bestFit="1" customWidth="1"/>
    <col min="3591" max="3591" width="20.625" style="52" customWidth="1"/>
    <col min="3592" max="3594" width="11.625" style="52" customWidth="1"/>
    <col min="3595" max="3595" width="10.875" style="52" customWidth="1"/>
    <col min="3596" max="3596" width="20.125" style="52" bestFit="1" customWidth="1"/>
    <col min="3597" max="3840" width="8.875" style="52"/>
    <col min="3841" max="3841" width="14.375" style="52" bestFit="1" customWidth="1"/>
    <col min="3842" max="3842" width="8.875" style="52"/>
    <col min="3843" max="3843" width="25.125" style="52" customWidth="1"/>
    <col min="3844" max="3844" width="24.375" style="52" customWidth="1"/>
    <col min="3845" max="3845" width="8.875" style="52"/>
    <col min="3846" max="3846" width="10.375" style="52" bestFit="1" customWidth="1"/>
    <col min="3847" max="3847" width="20.625" style="52" customWidth="1"/>
    <col min="3848" max="3850" width="11.625" style="52" customWidth="1"/>
    <col min="3851" max="3851" width="10.875" style="52" customWidth="1"/>
    <col min="3852" max="3852" width="20.125" style="52" bestFit="1" customWidth="1"/>
    <col min="3853" max="4096" width="8.875" style="52"/>
    <col min="4097" max="4097" width="14.375" style="52" bestFit="1" customWidth="1"/>
    <col min="4098" max="4098" width="8.875" style="52"/>
    <col min="4099" max="4099" width="25.125" style="52" customWidth="1"/>
    <col min="4100" max="4100" width="24.375" style="52" customWidth="1"/>
    <col min="4101" max="4101" width="8.875" style="52"/>
    <col min="4102" max="4102" width="10.375" style="52" bestFit="1" customWidth="1"/>
    <col min="4103" max="4103" width="20.625" style="52" customWidth="1"/>
    <col min="4104" max="4106" width="11.625" style="52" customWidth="1"/>
    <col min="4107" max="4107" width="10.875" style="52" customWidth="1"/>
    <col min="4108" max="4108" width="20.125" style="52" bestFit="1" customWidth="1"/>
    <col min="4109" max="4352" width="8.875" style="52"/>
    <col min="4353" max="4353" width="14.375" style="52" bestFit="1" customWidth="1"/>
    <col min="4354" max="4354" width="8.875" style="52"/>
    <col min="4355" max="4355" width="25.125" style="52" customWidth="1"/>
    <col min="4356" max="4356" width="24.375" style="52" customWidth="1"/>
    <col min="4357" max="4357" width="8.875" style="52"/>
    <col min="4358" max="4358" width="10.375" style="52" bestFit="1" customWidth="1"/>
    <col min="4359" max="4359" width="20.625" style="52" customWidth="1"/>
    <col min="4360" max="4362" width="11.625" style="52" customWidth="1"/>
    <col min="4363" max="4363" width="10.875" style="52" customWidth="1"/>
    <col min="4364" max="4364" width="20.125" style="52" bestFit="1" customWidth="1"/>
    <col min="4365" max="4608" width="8.875" style="52"/>
    <col min="4609" max="4609" width="14.375" style="52" bestFit="1" customWidth="1"/>
    <col min="4610" max="4610" width="8.875" style="52"/>
    <col min="4611" max="4611" width="25.125" style="52" customWidth="1"/>
    <col min="4612" max="4612" width="24.375" style="52" customWidth="1"/>
    <col min="4613" max="4613" width="8.875" style="52"/>
    <col min="4614" max="4614" width="10.375" style="52" bestFit="1" customWidth="1"/>
    <col min="4615" max="4615" width="20.625" style="52" customWidth="1"/>
    <col min="4616" max="4618" width="11.625" style="52" customWidth="1"/>
    <col min="4619" max="4619" width="10.875" style="52" customWidth="1"/>
    <col min="4620" max="4620" width="20.125" style="52" bestFit="1" customWidth="1"/>
    <col min="4621" max="4864" width="8.875" style="52"/>
    <col min="4865" max="4865" width="14.375" style="52" bestFit="1" customWidth="1"/>
    <col min="4866" max="4866" width="8.875" style="52"/>
    <col min="4867" max="4867" width="25.125" style="52" customWidth="1"/>
    <col min="4868" max="4868" width="24.375" style="52" customWidth="1"/>
    <col min="4869" max="4869" width="8.875" style="52"/>
    <col min="4870" max="4870" width="10.375" style="52" bestFit="1" customWidth="1"/>
    <col min="4871" max="4871" width="20.625" style="52" customWidth="1"/>
    <col min="4872" max="4874" width="11.625" style="52" customWidth="1"/>
    <col min="4875" max="4875" width="10.875" style="52" customWidth="1"/>
    <col min="4876" max="4876" width="20.125" style="52" bestFit="1" customWidth="1"/>
    <col min="4877" max="5120" width="8.875" style="52"/>
    <col min="5121" max="5121" width="14.375" style="52" bestFit="1" customWidth="1"/>
    <col min="5122" max="5122" width="8.875" style="52"/>
    <col min="5123" max="5123" width="25.125" style="52" customWidth="1"/>
    <col min="5124" max="5124" width="24.375" style="52" customWidth="1"/>
    <col min="5125" max="5125" width="8.875" style="52"/>
    <col min="5126" max="5126" width="10.375" style="52" bestFit="1" customWidth="1"/>
    <col min="5127" max="5127" width="20.625" style="52" customWidth="1"/>
    <col min="5128" max="5130" width="11.625" style="52" customWidth="1"/>
    <col min="5131" max="5131" width="10.875" style="52" customWidth="1"/>
    <col min="5132" max="5132" width="20.125" style="52" bestFit="1" customWidth="1"/>
    <col min="5133" max="5376" width="8.875" style="52"/>
    <col min="5377" max="5377" width="14.375" style="52" bestFit="1" customWidth="1"/>
    <col min="5378" max="5378" width="8.875" style="52"/>
    <col min="5379" max="5379" width="25.125" style="52" customWidth="1"/>
    <col min="5380" max="5380" width="24.375" style="52" customWidth="1"/>
    <col min="5381" max="5381" width="8.875" style="52"/>
    <col min="5382" max="5382" width="10.375" style="52" bestFit="1" customWidth="1"/>
    <col min="5383" max="5383" width="20.625" style="52" customWidth="1"/>
    <col min="5384" max="5386" width="11.625" style="52" customWidth="1"/>
    <col min="5387" max="5387" width="10.875" style="52" customWidth="1"/>
    <col min="5388" max="5388" width="20.125" style="52" bestFit="1" customWidth="1"/>
    <col min="5389" max="5632" width="8.875" style="52"/>
    <col min="5633" max="5633" width="14.375" style="52" bestFit="1" customWidth="1"/>
    <col min="5634" max="5634" width="8.875" style="52"/>
    <col min="5635" max="5635" width="25.125" style="52" customWidth="1"/>
    <col min="5636" max="5636" width="24.375" style="52" customWidth="1"/>
    <col min="5637" max="5637" width="8.875" style="52"/>
    <col min="5638" max="5638" width="10.375" style="52" bestFit="1" customWidth="1"/>
    <col min="5639" max="5639" width="20.625" style="52" customWidth="1"/>
    <col min="5640" max="5642" width="11.625" style="52" customWidth="1"/>
    <col min="5643" max="5643" width="10.875" style="52" customWidth="1"/>
    <col min="5644" max="5644" width="20.125" style="52" bestFit="1" customWidth="1"/>
    <col min="5645" max="5888" width="8.875" style="52"/>
    <col min="5889" max="5889" width="14.375" style="52" bestFit="1" customWidth="1"/>
    <col min="5890" max="5890" width="8.875" style="52"/>
    <col min="5891" max="5891" width="25.125" style="52" customWidth="1"/>
    <col min="5892" max="5892" width="24.375" style="52" customWidth="1"/>
    <col min="5893" max="5893" width="8.875" style="52"/>
    <col min="5894" max="5894" width="10.375" style="52" bestFit="1" customWidth="1"/>
    <col min="5895" max="5895" width="20.625" style="52" customWidth="1"/>
    <col min="5896" max="5898" width="11.625" style="52" customWidth="1"/>
    <col min="5899" max="5899" width="10.875" style="52" customWidth="1"/>
    <col min="5900" max="5900" width="20.125" style="52" bestFit="1" customWidth="1"/>
    <col min="5901" max="6144" width="8.875" style="52"/>
    <col min="6145" max="6145" width="14.375" style="52" bestFit="1" customWidth="1"/>
    <col min="6146" max="6146" width="8.875" style="52"/>
    <col min="6147" max="6147" width="25.125" style="52" customWidth="1"/>
    <col min="6148" max="6148" width="24.375" style="52" customWidth="1"/>
    <col min="6149" max="6149" width="8.875" style="52"/>
    <col min="6150" max="6150" width="10.375" style="52" bestFit="1" customWidth="1"/>
    <col min="6151" max="6151" width="20.625" style="52" customWidth="1"/>
    <col min="6152" max="6154" width="11.625" style="52" customWidth="1"/>
    <col min="6155" max="6155" width="10.875" style="52" customWidth="1"/>
    <col min="6156" max="6156" width="20.125" style="52" bestFit="1" customWidth="1"/>
    <col min="6157" max="6400" width="8.875" style="52"/>
    <col min="6401" max="6401" width="14.375" style="52" bestFit="1" customWidth="1"/>
    <col min="6402" max="6402" width="8.875" style="52"/>
    <col min="6403" max="6403" width="25.125" style="52" customWidth="1"/>
    <col min="6404" max="6404" width="24.375" style="52" customWidth="1"/>
    <col min="6405" max="6405" width="8.875" style="52"/>
    <col min="6406" max="6406" width="10.375" style="52" bestFit="1" customWidth="1"/>
    <col min="6407" max="6407" width="20.625" style="52" customWidth="1"/>
    <col min="6408" max="6410" width="11.625" style="52" customWidth="1"/>
    <col min="6411" max="6411" width="10.875" style="52" customWidth="1"/>
    <col min="6412" max="6412" width="20.125" style="52" bestFit="1" customWidth="1"/>
    <col min="6413" max="6656" width="8.875" style="52"/>
    <col min="6657" max="6657" width="14.375" style="52" bestFit="1" customWidth="1"/>
    <col min="6658" max="6658" width="8.875" style="52"/>
    <col min="6659" max="6659" width="25.125" style="52" customWidth="1"/>
    <col min="6660" max="6660" width="24.375" style="52" customWidth="1"/>
    <col min="6661" max="6661" width="8.875" style="52"/>
    <col min="6662" max="6662" width="10.375" style="52" bestFit="1" customWidth="1"/>
    <col min="6663" max="6663" width="20.625" style="52" customWidth="1"/>
    <col min="6664" max="6666" width="11.625" style="52" customWidth="1"/>
    <col min="6667" max="6667" width="10.875" style="52" customWidth="1"/>
    <col min="6668" max="6668" width="20.125" style="52" bestFit="1" customWidth="1"/>
    <col min="6669" max="6912" width="8.875" style="52"/>
    <col min="6913" max="6913" width="14.375" style="52" bestFit="1" customWidth="1"/>
    <col min="6914" max="6914" width="8.875" style="52"/>
    <col min="6915" max="6915" width="25.125" style="52" customWidth="1"/>
    <col min="6916" max="6916" width="24.375" style="52" customWidth="1"/>
    <col min="6917" max="6917" width="8.875" style="52"/>
    <col min="6918" max="6918" width="10.375" style="52" bestFit="1" customWidth="1"/>
    <col min="6919" max="6919" width="20.625" style="52" customWidth="1"/>
    <col min="6920" max="6922" width="11.625" style="52" customWidth="1"/>
    <col min="6923" max="6923" width="10.875" style="52" customWidth="1"/>
    <col min="6924" max="6924" width="20.125" style="52" bestFit="1" customWidth="1"/>
    <col min="6925" max="7168" width="8.875" style="52"/>
    <col min="7169" max="7169" width="14.375" style="52" bestFit="1" customWidth="1"/>
    <col min="7170" max="7170" width="8.875" style="52"/>
    <col min="7171" max="7171" width="25.125" style="52" customWidth="1"/>
    <col min="7172" max="7172" width="24.375" style="52" customWidth="1"/>
    <col min="7173" max="7173" width="8.875" style="52"/>
    <col min="7174" max="7174" width="10.375" style="52" bestFit="1" customWidth="1"/>
    <col min="7175" max="7175" width="20.625" style="52" customWidth="1"/>
    <col min="7176" max="7178" width="11.625" style="52" customWidth="1"/>
    <col min="7179" max="7179" width="10.875" style="52" customWidth="1"/>
    <col min="7180" max="7180" width="20.125" style="52" bestFit="1" customWidth="1"/>
    <col min="7181" max="7424" width="8.875" style="52"/>
    <col min="7425" max="7425" width="14.375" style="52" bestFit="1" customWidth="1"/>
    <col min="7426" max="7426" width="8.875" style="52"/>
    <col min="7427" max="7427" width="25.125" style="52" customWidth="1"/>
    <col min="7428" max="7428" width="24.375" style="52" customWidth="1"/>
    <col min="7429" max="7429" width="8.875" style="52"/>
    <col min="7430" max="7430" width="10.375" style="52" bestFit="1" customWidth="1"/>
    <col min="7431" max="7431" width="20.625" style="52" customWidth="1"/>
    <col min="7432" max="7434" width="11.625" style="52" customWidth="1"/>
    <col min="7435" max="7435" width="10.875" style="52" customWidth="1"/>
    <col min="7436" max="7436" width="20.125" style="52" bestFit="1" customWidth="1"/>
    <col min="7437" max="7680" width="8.875" style="52"/>
    <col min="7681" max="7681" width="14.375" style="52" bestFit="1" customWidth="1"/>
    <col min="7682" max="7682" width="8.875" style="52"/>
    <col min="7683" max="7683" width="25.125" style="52" customWidth="1"/>
    <col min="7684" max="7684" width="24.375" style="52" customWidth="1"/>
    <col min="7685" max="7685" width="8.875" style="52"/>
    <col min="7686" max="7686" width="10.375" style="52" bestFit="1" customWidth="1"/>
    <col min="7687" max="7687" width="20.625" style="52" customWidth="1"/>
    <col min="7688" max="7690" width="11.625" style="52" customWidth="1"/>
    <col min="7691" max="7691" width="10.875" style="52" customWidth="1"/>
    <col min="7692" max="7692" width="20.125" style="52" bestFit="1" customWidth="1"/>
    <col min="7693" max="7936" width="8.875" style="52"/>
    <col min="7937" max="7937" width="14.375" style="52" bestFit="1" customWidth="1"/>
    <col min="7938" max="7938" width="8.875" style="52"/>
    <col min="7939" max="7939" width="25.125" style="52" customWidth="1"/>
    <col min="7940" max="7940" width="24.375" style="52" customWidth="1"/>
    <col min="7941" max="7941" width="8.875" style="52"/>
    <col min="7942" max="7942" width="10.375" style="52" bestFit="1" customWidth="1"/>
    <col min="7943" max="7943" width="20.625" style="52" customWidth="1"/>
    <col min="7944" max="7946" width="11.625" style="52" customWidth="1"/>
    <col min="7947" max="7947" width="10.875" style="52" customWidth="1"/>
    <col min="7948" max="7948" width="20.125" style="52" bestFit="1" customWidth="1"/>
    <col min="7949" max="8192" width="8.875" style="52"/>
    <col min="8193" max="8193" width="14.375" style="52" bestFit="1" customWidth="1"/>
    <col min="8194" max="8194" width="8.875" style="52"/>
    <col min="8195" max="8195" width="25.125" style="52" customWidth="1"/>
    <col min="8196" max="8196" width="24.375" style="52" customWidth="1"/>
    <col min="8197" max="8197" width="8.875" style="52"/>
    <col min="8198" max="8198" width="10.375" style="52" bestFit="1" customWidth="1"/>
    <col min="8199" max="8199" width="20.625" style="52" customWidth="1"/>
    <col min="8200" max="8202" width="11.625" style="52" customWidth="1"/>
    <col min="8203" max="8203" width="10.875" style="52" customWidth="1"/>
    <col min="8204" max="8204" width="20.125" style="52" bestFit="1" customWidth="1"/>
    <col min="8205" max="8448" width="8.875" style="52"/>
    <col min="8449" max="8449" width="14.375" style="52" bestFit="1" customWidth="1"/>
    <col min="8450" max="8450" width="8.875" style="52"/>
    <col min="8451" max="8451" width="25.125" style="52" customWidth="1"/>
    <col min="8452" max="8452" width="24.375" style="52" customWidth="1"/>
    <col min="8453" max="8453" width="8.875" style="52"/>
    <col min="8454" max="8454" width="10.375" style="52" bestFit="1" customWidth="1"/>
    <col min="8455" max="8455" width="20.625" style="52" customWidth="1"/>
    <col min="8456" max="8458" width="11.625" style="52" customWidth="1"/>
    <col min="8459" max="8459" width="10.875" style="52" customWidth="1"/>
    <col min="8460" max="8460" width="20.125" style="52" bestFit="1" customWidth="1"/>
    <col min="8461" max="8704" width="8.875" style="52"/>
    <col min="8705" max="8705" width="14.375" style="52" bestFit="1" customWidth="1"/>
    <col min="8706" max="8706" width="8.875" style="52"/>
    <col min="8707" max="8707" width="25.125" style="52" customWidth="1"/>
    <col min="8708" max="8708" width="24.375" style="52" customWidth="1"/>
    <col min="8709" max="8709" width="8.875" style="52"/>
    <col min="8710" max="8710" width="10.375" style="52" bestFit="1" customWidth="1"/>
    <col min="8711" max="8711" width="20.625" style="52" customWidth="1"/>
    <col min="8712" max="8714" width="11.625" style="52" customWidth="1"/>
    <col min="8715" max="8715" width="10.875" style="52" customWidth="1"/>
    <col min="8716" max="8716" width="20.125" style="52" bestFit="1" customWidth="1"/>
    <col min="8717" max="8960" width="8.875" style="52"/>
    <col min="8961" max="8961" width="14.375" style="52" bestFit="1" customWidth="1"/>
    <col min="8962" max="8962" width="8.875" style="52"/>
    <col min="8963" max="8963" width="25.125" style="52" customWidth="1"/>
    <col min="8964" max="8964" width="24.375" style="52" customWidth="1"/>
    <col min="8965" max="8965" width="8.875" style="52"/>
    <col min="8966" max="8966" width="10.375" style="52" bestFit="1" customWidth="1"/>
    <col min="8967" max="8967" width="20.625" style="52" customWidth="1"/>
    <col min="8968" max="8970" width="11.625" style="52" customWidth="1"/>
    <col min="8971" max="8971" width="10.875" style="52" customWidth="1"/>
    <col min="8972" max="8972" width="20.125" style="52" bestFit="1" customWidth="1"/>
    <col min="8973" max="9216" width="8.875" style="52"/>
    <col min="9217" max="9217" width="14.375" style="52" bestFit="1" customWidth="1"/>
    <col min="9218" max="9218" width="8.875" style="52"/>
    <col min="9219" max="9219" width="25.125" style="52" customWidth="1"/>
    <col min="9220" max="9220" width="24.375" style="52" customWidth="1"/>
    <col min="9221" max="9221" width="8.875" style="52"/>
    <col min="9222" max="9222" width="10.375" style="52" bestFit="1" customWidth="1"/>
    <col min="9223" max="9223" width="20.625" style="52" customWidth="1"/>
    <col min="9224" max="9226" width="11.625" style="52" customWidth="1"/>
    <col min="9227" max="9227" width="10.875" style="52" customWidth="1"/>
    <col min="9228" max="9228" width="20.125" style="52" bestFit="1" customWidth="1"/>
    <col min="9229" max="9472" width="8.875" style="52"/>
    <col min="9473" max="9473" width="14.375" style="52" bestFit="1" customWidth="1"/>
    <col min="9474" max="9474" width="8.875" style="52"/>
    <col min="9475" max="9475" width="25.125" style="52" customWidth="1"/>
    <col min="9476" max="9476" width="24.375" style="52" customWidth="1"/>
    <col min="9477" max="9477" width="8.875" style="52"/>
    <col min="9478" max="9478" width="10.375" style="52" bestFit="1" customWidth="1"/>
    <col min="9479" max="9479" width="20.625" style="52" customWidth="1"/>
    <col min="9480" max="9482" width="11.625" style="52" customWidth="1"/>
    <col min="9483" max="9483" width="10.875" style="52" customWidth="1"/>
    <col min="9484" max="9484" width="20.125" style="52" bestFit="1" customWidth="1"/>
    <col min="9485" max="9728" width="8.875" style="52"/>
    <col min="9729" max="9729" width="14.375" style="52" bestFit="1" customWidth="1"/>
    <col min="9730" max="9730" width="8.875" style="52"/>
    <col min="9731" max="9731" width="25.125" style="52" customWidth="1"/>
    <col min="9732" max="9732" width="24.375" style="52" customWidth="1"/>
    <col min="9733" max="9733" width="8.875" style="52"/>
    <col min="9734" max="9734" width="10.375" style="52" bestFit="1" customWidth="1"/>
    <col min="9735" max="9735" width="20.625" style="52" customWidth="1"/>
    <col min="9736" max="9738" width="11.625" style="52" customWidth="1"/>
    <col min="9739" max="9739" width="10.875" style="52" customWidth="1"/>
    <col min="9740" max="9740" width="20.125" style="52" bestFit="1" customWidth="1"/>
    <col min="9741" max="9984" width="8.875" style="52"/>
    <col min="9985" max="9985" width="14.375" style="52" bestFit="1" customWidth="1"/>
    <col min="9986" max="9986" width="8.875" style="52"/>
    <col min="9987" max="9987" width="25.125" style="52" customWidth="1"/>
    <col min="9988" max="9988" width="24.375" style="52" customWidth="1"/>
    <col min="9989" max="9989" width="8.875" style="52"/>
    <col min="9990" max="9990" width="10.375" style="52" bestFit="1" customWidth="1"/>
    <col min="9991" max="9991" width="20.625" style="52" customWidth="1"/>
    <col min="9992" max="9994" width="11.625" style="52" customWidth="1"/>
    <col min="9995" max="9995" width="10.875" style="52" customWidth="1"/>
    <col min="9996" max="9996" width="20.125" style="52" bestFit="1" customWidth="1"/>
    <col min="9997" max="10240" width="8.875" style="52"/>
    <col min="10241" max="10241" width="14.375" style="52" bestFit="1" customWidth="1"/>
    <col min="10242" max="10242" width="8.875" style="52"/>
    <col min="10243" max="10243" width="25.125" style="52" customWidth="1"/>
    <col min="10244" max="10244" width="24.375" style="52" customWidth="1"/>
    <col min="10245" max="10245" width="8.875" style="52"/>
    <col min="10246" max="10246" width="10.375" style="52" bestFit="1" customWidth="1"/>
    <col min="10247" max="10247" width="20.625" style="52" customWidth="1"/>
    <col min="10248" max="10250" width="11.625" style="52" customWidth="1"/>
    <col min="10251" max="10251" width="10.875" style="52" customWidth="1"/>
    <col min="10252" max="10252" width="20.125" style="52" bestFit="1" customWidth="1"/>
    <col min="10253" max="10496" width="8.875" style="52"/>
    <col min="10497" max="10497" width="14.375" style="52" bestFit="1" customWidth="1"/>
    <col min="10498" max="10498" width="8.875" style="52"/>
    <col min="10499" max="10499" width="25.125" style="52" customWidth="1"/>
    <col min="10500" max="10500" width="24.375" style="52" customWidth="1"/>
    <col min="10501" max="10501" width="8.875" style="52"/>
    <col min="10502" max="10502" width="10.375" style="52" bestFit="1" customWidth="1"/>
    <col min="10503" max="10503" width="20.625" style="52" customWidth="1"/>
    <col min="10504" max="10506" width="11.625" style="52" customWidth="1"/>
    <col min="10507" max="10507" width="10.875" style="52" customWidth="1"/>
    <col min="10508" max="10508" width="20.125" style="52" bestFit="1" customWidth="1"/>
    <col min="10509" max="10752" width="8.875" style="52"/>
    <col min="10753" max="10753" width="14.375" style="52" bestFit="1" customWidth="1"/>
    <col min="10754" max="10754" width="8.875" style="52"/>
    <col min="10755" max="10755" width="25.125" style="52" customWidth="1"/>
    <col min="10756" max="10756" width="24.375" style="52" customWidth="1"/>
    <col min="10757" max="10757" width="8.875" style="52"/>
    <col min="10758" max="10758" width="10.375" style="52" bestFit="1" customWidth="1"/>
    <col min="10759" max="10759" width="20.625" style="52" customWidth="1"/>
    <col min="10760" max="10762" width="11.625" style="52" customWidth="1"/>
    <col min="10763" max="10763" width="10.875" style="52" customWidth="1"/>
    <col min="10764" max="10764" width="20.125" style="52" bestFit="1" customWidth="1"/>
    <col min="10765" max="11008" width="8.875" style="52"/>
    <col min="11009" max="11009" width="14.375" style="52" bestFit="1" customWidth="1"/>
    <col min="11010" max="11010" width="8.875" style="52"/>
    <col min="11011" max="11011" width="25.125" style="52" customWidth="1"/>
    <col min="11012" max="11012" width="24.375" style="52" customWidth="1"/>
    <col min="11013" max="11013" width="8.875" style="52"/>
    <col min="11014" max="11014" width="10.375" style="52" bestFit="1" customWidth="1"/>
    <col min="11015" max="11015" width="20.625" style="52" customWidth="1"/>
    <col min="11016" max="11018" width="11.625" style="52" customWidth="1"/>
    <col min="11019" max="11019" width="10.875" style="52" customWidth="1"/>
    <col min="11020" max="11020" width="20.125" style="52" bestFit="1" customWidth="1"/>
    <col min="11021" max="11264" width="8.875" style="52"/>
    <col min="11265" max="11265" width="14.375" style="52" bestFit="1" customWidth="1"/>
    <col min="11266" max="11266" width="8.875" style="52"/>
    <col min="11267" max="11267" width="25.125" style="52" customWidth="1"/>
    <col min="11268" max="11268" width="24.375" style="52" customWidth="1"/>
    <col min="11269" max="11269" width="8.875" style="52"/>
    <col min="11270" max="11270" width="10.375" style="52" bestFit="1" customWidth="1"/>
    <col min="11271" max="11271" width="20.625" style="52" customWidth="1"/>
    <col min="11272" max="11274" width="11.625" style="52" customWidth="1"/>
    <col min="11275" max="11275" width="10.875" style="52" customWidth="1"/>
    <col min="11276" max="11276" width="20.125" style="52" bestFit="1" customWidth="1"/>
    <col min="11277" max="11520" width="8.875" style="52"/>
    <col min="11521" max="11521" width="14.375" style="52" bestFit="1" customWidth="1"/>
    <col min="11522" max="11522" width="8.875" style="52"/>
    <col min="11523" max="11523" width="25.125" style="52" customWidth="1"/>
    <col min="11524" max="11524" width="24.375" style="52" customWidth="1"/>
    <col min="11525" max="11525" width="8.875" style="52"/>
    <col min="11526" max="11526" width="10.375" style="52" bestFit="1" customWidth="1"/>
    <col min="11527" max="11527" width="20.625" style="52" customWidth="1"/>
    <col min="11528" max="11530" width="11.625" style="52" customWidth="1"/>
    <col min="11531" max="11531" width="10.875" style="52" customWidth="1"/>
    <col min="11532" max="11532" width="20.125" style="52" bestFit="1" customWidth="1"/>
    <col min="11533" max="11776" width="8.875" style="52"/>
    <col min="11777" max="11777" width="14.375" style="52" bestFit="1" customWidth="1"/>
    <col min="11778" max="11778" width="8.875" style="52"/>
    <col min="11779" max="11779" width="25.125" style="52" customWidth="1"/>
    <col min="11780" max="11780" width="24.375" style="52" customWidth="1"/>
    <col min="11781" max="11781" width="8.875" style="52"/>
    <col min="11782" max="11782" width="10.375" style="52" bestFit="1" customWidth="1"/>
    <col min="11783" max="11783" width="20.625" style="52" customWidth="1"/>
    <col min="11784" max="11786" width="11.625" style="52" customWidth="1"/>
    <col min="11787" max="11787" width="10.875" style="52" customWidth="1"/>
    <col min="11788" max="11788" width="20.125" style="52" bestFit="1" customWidth="1"/>
    <col min="11789" max="12032" width="8.875" style="52"/>
    <col min="12033" max="12033" width="14.375" style="52" bestFit="1" customWidth="1"/>
    <col min="12034" max="12034" width="8.875" style="52"/>
    <col min="12035" max="12035" width="25.125" style="52" customWidth="1"/>
    <col min="12036" max="12036" width="24.375" style="52" customWidth="1"/>
    <col min="12037" max="12037" width="8.875" style="52"/>
    <col min="12038" max="12038" width="10.375" style="52" bestFit="1" customWidth="1"/>
    <col min="12039" max="12039" width="20.625" style="52" customWidth="1"/>
    <col min="12040" max="12042" width="11.625" style="52" customWidth="1"/>
    <col min="12043" max="12043" width="10.875" style="52" customWidth="1"/>
    <col min="12044" max="12044" width="20.125" style="52" bestFit="1" customWidth="1"/>
    <col min="12045" max="12288" width="8.875" style="52"/>
    <col min="12289" max="12289" width="14.375" style="52" bestFit="1" customWidth="1"/>
    <col min="12290" max="12290" width="8.875" style="52"/>
    <col min="12291" max="12291" width="25.125" style="52" customWidth="1"/>
    <col min="12292" max="12292" width="24.375" style="52" customWidth="1"/>
    <col min="12293" max="12293" width="8.875" style="52"/>
    <col min="12294" max="12294" width="10.375" style="52" bestFit="1" customWidth="1"/>
    <col min="12295" max="12295" width="20.625" style="52" customWidth="1"/>
    <col min="12296" max="12298" width="11.625" style="52" customWidth="1"/>
    <col min="12299" max="12299" width="10.875" style="52" customWidth="1"/>
    <col min="12300" max="12300" width="20.125" style="52" bestFit="1" customWidth="1"/>
    <col min="12301" max="12544" width="8.875" style="52"/>
    <col min="12545" max="12545" width="14.375" style="52" bestFit="1" customWidth="1"/>
    <col min="12546" max="12546" width="8.875" style="52"/>
    <col min="12547" max="12547" width="25.125" style="52" customWidth="1"/>
    <col min="12548" max="12548" width="24.375" style="52" customWidth="1"/>
    <col min="12549" max="12549" width="8.875" style="52"/>
    <col min="12550" max="12550" width="10.375" style="52" bestFit="1" customWidth="1"/>
    <col min="12551" max="12551" width="20.625" style="52" customWidth="1"/>
    <col min="12552" max="12554" width="11.625" style="52" customWidth="1"/>
    <col min="12555" max="12555" width="10.875" style="52" customWidth="1"/>
    <col min="12556" max="12556" width="20.125" style="52" bestFit="1" customWidth="1"/>
    <col min="12557" max="12800" width="8.875" style="52"/>
    <col min="12801" max="12801" width="14.375" style="52" bestFit="1" customWidth="1"/>
    <col min="12802" max="12802" width="8.875" style="52"/>
    <col min="12803" max="12803" width="25.125" style="52" customWidth="1"/>
    <col min="12804" max="12804" width="24.375" style="52" customWidth="1"/>
    <col min="12805" max="12805" width="8.875" style="52"/>
    <col min="12806" max="12806" width="10.375" style="52" bestFit="1" customWidth="1"/>
    <col min="12807" max="12807" width="20.625" style="52" customWidth="1"/>
    <col min="12808" max="12810" width="11.625" style="52" customWidth="1"/>
    <col min="12811" max="12811" width="10.875" style="52" customWidth="1"/>
    <col min="12812" max="12812" width="20.125" style="52" bestFit="1" customWidth="1"/>
    <col min="12813" max="13056" width="8.875" style="52"/>
    <col min="13057" max="13057" width="14.375" style="52" bestFit="1" customWidth="1"/>
    <col min="13058" max="13058" width="8.875" style="52"/>
    <col min="13059" max="13059" width="25.125" style="52" customWidth="1"/>
    <col min="13060" max="13060" width="24.375" style="52" customWidth="1"/>
    <col min="13061" max="13061" width="8.875" style="52"/>
    <col min="13062" max="13062" width="10.375" style="52" bestFit="1" customWidth="1"/>
    <col min="13063" max="13063" width="20.625" style="52" customWidth="1"/>
    <col min="13064" max="13066" width="11.625" style="52" customWidth="1"/>
    <col min="13067" max="13067" width="10.875" style="52" customWidth="1"/>
    <col min="13068" max="13068" width="20.125" style="52" bestFit="1" customWidth="1"/>
    <col min="13069" max="13312" width="8.875" style="52"/>
    <col min="13313" max="13313" width="14.375" style="52" bestFit="1" customWidth="1"/>
    <col min="13314" max="13314" width="8.875" style="52"/>
    <col min="13315" max="13315" width="25.125" style="52" customWidth="1"/>
    <col min="13316" max="13316" width="24.375" style="52" customWidth="1"/>
    <col min="13317" max="13317" width="8.875" style="52"/>
    <col min="13318" max="13318" width="10.375" style="52" bestFit="1" customWidth="1"/>
    <col min="13319" max="13319" width="20.625" style="52" customWidth="1"/>
    <col min="13320" max="13322" width="11.625" style="52" customWidth="1"/>
    <col min="13323" max="13323" width="10.875" style="52" customWidth="1"/>
    <col min="13324" max="13324" width="20.125" style="52" bestFit="1" customWidth="1"/>
    <col min="13325" max="13568" width="8.875" style="52"/>
    <col min="13569" max="13569" width="14.375" style="52" bestFit="1" customWidth="1"/>
    <col min="13570" max="13570" width="8.875" style="52"/>
    <col min="13571" max="13571" width="25.125" style="52" customWidth="1"/>
    <col min="13572" max="13572" width="24.375" style="52" customWidth="1"/>
    <col min="13573" max="13573" width="8.875" style="52"/>
    <col min="13574" max="13574" width="10.375" style="52" bestFit="1" customWidth="1"/>
    <col min="13575" max="13575" width="20.625" style="52" customWidth="1"/>
    <col min="13576" max="13578" width="11.625" style="52" customWidth="1"/>
    <col min="13579" max="13579" width="10.875" style="52" customWidth="1"/>
    <col min="13580" max="13580" width="20.125" style="52" bestFit="1" customWidth="1"/>
    <col min="13581" max="13824" width="8.875" style="52"/>
    <col min="13825" max="13825" width="14.375" style="52" bestFit="1" customWidth="1"/>
    <col min="13826" max="13826" width="8.875" style="52"/>
    <col min="13827" max="13827" width="25.125" style="52" customWidth="1"/>
    <col min="13828" max="13828" width="24.375" style="52" customWidth="1"/>
    <col min="13829" max="13829" width="8.875" style="52"/>
    <col min="13830" max="13830" width="10.375" style="52" bestFit="1" customWidth="1"/>
    <col min="13831" max="13831" width="20.625" style="52" customWidth="1"/>
    <col min="13832" max="13834" width="11.625" style="52" customWidth="1"/>
    <col min="13835" max="13835" width="10.875" style="52" customWidth="1"/>
    <col min="13836" max="13836" width="20.125" style="52" bestFit="1" customWidth="1"/>
    <col min="13837" max="14080" width="8.875" style="52"/>
    <col min="14081" max="14081" width="14.375" style="52" bestFit="1" customWidth="1"/>
    <col min="14082" max="14082" width="8.875" style="52"/>
    <col min="14083" max="14083" width="25.125" style="52" customWidth="1"/>
    <col min="14084" max="14084" width="24.375" style="52" customWidth="1"/>
    <col min="14085" max="14085" width="8.875" style="52"/>
    <col min="14086" max="14086" width="10.375" style="52" bestFit="1" customWidth="1"/>
    <col min="14087" max="14087" width="20.625" style="52" customWidth="1"/>
    <col min="14088" max="14090" width="11.625" style="52" customWidth="1"/>
    <col min="14091" max="14091" width="10.875" style="52" customWidth="1"/>
    <col min="14092" max="14092" width="20.125" style="52" bestFit="1" customWidth="1"/>
    <col min="14093" max="14336" width="8.875" style="52"/>
    <col min="14337" max="14337" width="14.375" style="52" bestFit="1" customWidth="1"/>
    <col min="14338" max="14338" width="8.875" style="52"/>
    <col min="14339" max="14339" width="25.125" style="52" customWidth="1"/>
    <col min="14340" max="14340" width="24.375" style="52" customWidth="1"/>
    <col min="14341" max="14341" width="8.875" style="52"/>
    <col min="14342" max="14342" width="10.375" style="52" bestFit="1" customWidth="1"/>
    <col min="14343" max="14343" width="20.625" style="52" customWidth="1"/>
    <col min="14344" max="14346" width="11.625" style="52" customWidth="1"/>
    <col min="14347" max="14347" width="10.875" style="52" customWidth="1"/>
    <col min="14348" max="14348" width="20.125" style="52" bestFit="1" customWidth="1"/>
    <col min="14349" max="14592" width="8.875" style="52"/>
    <col min="14593" max="14593" width="14.375" style="52" bestFit="1" customWidth="1"/>
    <col min="14594" max="14594" width="8.875" style="52"/>
    <col min="14595" max="14595" width="25.125" style="52" customWidth="1"/>
    <col min="14596" max="14596" width="24.375" style="52" customWidth="1"/>
    <col min="14597" max="14597" width="8.875" style="52"/>
    <col min="14598" max="14598" width="10.375" style="52" bestFit="1" customWidth="1"/>
    <col min="14599" max="14599" width="20.625" style="52" customWidth="1"/>
    <col min="14600" max="14602" width="11.625" style="52" customWidth="1"/>
    <col min="14603" max="14603" width="10.875" style="52" customWidth="1"/>
    <col min="14604" max="14604" width="20.125" style="52" bestFit="1" customWidth="1"/>
    <col min="14605" max="14848" width="8.875" style="52"/>
    <col min="14849" max="14849" width="14.375" style="52" bestFit="1" customWidth="1"/>
    <col min="14850" max="14850" width="8.875" style="52"/>
    <col min="14851" max="14851" width="25.125" style="52" customWidth="1"/>
    <col min="14852" max="14852" width="24.375" style="52" customWidth="1"/>
    <col min="14853" max="14853" width="8.875" style="52"/>
    <col min="14854" max="14854" width="10.375" style="52" bestFit="1" customWidth="1"/>
    <col min="14855" max="14855" width="20.625" style="52" customWidth="1"/>
    <col min="14856" max="14858" width="11.625" style="52" customWidth="1"/>
    <col min="14859" max="14859" width="10.875" style="52" customWidth="1"/>
    <col min="14860" max="14860" width="20.125" style="52" bestFit="1" customWidth="1"/>
    <col min="14861" max="15104" width="8.875" style="52"/>
    <col min="15105" max="15105" width="14.375" style="52" bestFit="1" customWidth="1"/>
    <col min="15106" max="15106" width="8.875" style="52"/>
    <col min="15107" max="15107" width="25.125" style="52" customWidth="1"/>
    <col min="15108" max="15108" width="24.375" style="52" customWidth="1"/>
    <col min="15109" max="15109" width="8.875" style="52"/>
    <col min="15110" max="15110" width="10.375" style="52" bestFit="1" customWidth="1"/>
    <col min="15111" max="15111" width="20.625" style="52" customWidth="1"/>
    <col min="15112" max="15114" width="11.625" style="52" customWidth="1"/>
    <col min="15115" max="15115" width="10.875" style="52" customWidth="1"/>
    <col min="15116" max="15116" width="20.125" style="52" bestFit="1" customWidth="1"/>
    <col min="15117" max="15360" width="8.875" style="52"/>
    <col min="15361" max="15361" width="14.375" style="52" bestFit="1" customWidth="1"/>
    <col min="15362" max="15362" width="8.875" style="52"/>
    <col min="15363" max="15363" width="25.125" style="52" customWidth="1"/>
    <col min="15364" max="15364" width="24.375" style="52" customWidth="1"/>
    <col min="15365" max="15365" width="8.875" style="52"/>
    <col min="15366" max="15366" width="10.375" style="52" bestFit="1" customWidth="1"/>
    <col min="15367" max="15367" width="20.625" style="52" customWidth="1"/>
    <col min="15368" max="15370" width="11.625" style="52" customWidth="1"/>
    <col min="15371" max="15371" width="10.875" style="52" customWidth="1"/>
    <col min="15372" max="15372" width="20.125" style="52" bestFit="1" customWidth="1"/>
    <col min="15373" max="15616" width="8.875" style="52"/>
    <col min="15617" max="15617" width="14.375" style="52" bestFit="1" customWidth="1"/>
    <col min="15618" max="15618" width="8.875" style="52"/>
    <col min="15619" max="15619" width="25.125" style="52" customWidth="1"/>
    <col min="15620" max="15620" width="24.375" style="52" customWidth="1"/>
    <col min="15621" max="15621" width="8.875" style="52"/>
    <col min="15622" max="15622" width="10.375" style="52" bestFit="1" customWidth="1"/>
    <col min="15623" max="15623" width="20.625" style="52" customWidth="1"/>
    <col min="15624" max="15626" width="11.625" style="52" customWidth="1"/>
    <col min="15627" max="15627" width="10.875" style="52" customWidth="1"/>
    <col min="15628" max="15628" width="20.125" style="52" bestFit="1" customWidth="1"/>
    <col min="15629" max="15872" width="8.875" style="52"/>
    <col min="15873" max="15873" width="14.375" style="52" bestFit="1" customWidth="1"/>
    <col min="15874" max="15874" width="8.875" style="52"/>
    <col min="15875" max="15875" width="25.125" style="52" customWidth="1"/>
    <col min="15876" max="15876" width="24.375" style="52" customWidth="1"/>
    <col min="15877" max="15877" width="8.875" style="52"/>
    <col min="15878" max="15878" width="10.375" style="52" bestFit="1" customWidth="1"/>
    <col min="15879" max="15879" width="20.625" style="52" customWidth="1"/>
    <col min="15880" max="15882" width="11.625" style="52" customWidth="1"/>
    <col min="15883" max="15883" width="10.875" style="52" customWidth="1"/>
    <col min="15884" max="15884" width="20.125" style="52" bestFit="1" customWidth="1"/>
    <col min="15885" max="16128" width="8.875" style="52"/>
    <col min="16129" max="16129" width="14.375" style="52" bestFit="1" customWidth="1"/>
    <col min="16130" max="16130" width="8.875" style="52"/>
    <col min="16131" max="16131" width="25.125" style="52" customWidth="1"/>
    <col min="16132" max="16132" width="24.375" style="52" customWidth="1"/>
    <col min="16133" max="16133" width="8.875" style="52"/>
    <col min="16134" max="16134" width="10.375" style="52" bestFit="1" customWidth="1"/>
    <col min="16135" max="16135" width="20.625" style="52" customWidth="1"/>
    <col min="16136" max="16138" width="11.625" style="52" customWidth="1"/>
    <col min="16139" max="16139" width="10.875" style="52" customWidth="1"/>
    <col min="16140" max="16140" width="20.125" style="52" bestFit="1" customWidth="1"/>
    <col min="16141" max="16384" width="8.875" style="52"/>
  </cols>
  <sheetData>
    <row r="1" spans="1:12" ht="12.75" customHeight="1">
      <c r="A1" s="323" t="s">
        <v>466</v>
      </c>
      <c r="B1" s="323" t="s">
        <v>1109</v>
      </c>
      <c r="C1" s="323" t="s">
        <v>1110</v>
      </c>
      <c r="D1" s="323" t="s">
        <v>1111</v>
      </c>
      <c r="F1" s="323" t="s">
        <v>466</v>
      </c>
      <c r="G1" s="1089" t="s">
        <v>1112</v>
      </c>
      <c r="H1" s="323" t="s">
        <v>1113</v>
      </c>
      <c r="I1" s="323" t="s">
        <v>1114</v>
      </c>
      <c r="J1" s="323" t="s">
        <v>467</v>
      </c>
      <c r="K1" s="323" t="s">
        <v>1115</v>
      </c>
      <c r="L1" s="323" t="s">
        <v>1116</v>
      </c>
    </row>
    <row r="2" spans="1:12" ht="12.75" customHeight="1" thickBot="1">
      <c r="A2" s="338"/>
      <c r="B2" s="338"/>
      <c r="C2" s="339"/>
      <c r="D2" s="339"/>
      <c r="F2" s="338"/>
      <c r="G2" s="1090"/>
      <c r="H2" s="389" t="s">
        <v>1117</v>
      </c>
      <c r="I2" s="389" t="s">
        <v>1117</v>
      </c>
      <c r="J2" s="339"/>
      <c r="K2" s="389" t="s">
        <v>1118</v>
      </c>
      <c r="L2" s="390" t="s">
        <v>1119</v>
      </c>
    </row>
    <row r="3" spans="1:12" ht="12.75" customHeight="1">
      <c r="A3" s="327"/>
      <c r="B3" s="336"/>
      <c r="C3" s="337"/>
      <c r="D3" s="337"/>
      <c r="F3" s="383" t="s">
        <v>1120</v>
      </c>
      <c r="G3" s="384" t="s">
        <v>1121</v>
      </c>
      <c r="H3" s="385">
        <v>1</v>
      </c>
      <c r="I3" s="386">
        <v>1</v>
      </c>
      <c r="J3" s="387"/>
      <c r="K3" s="387">
        <v>0.11</v>
      </c>
      <c r="L3" s="388">
        <v>28</v>
      </c>
    </row>
    <row r="4" spans="1:12" ht="12.75" customHeight="1">
      <c r="A4" s="258"/>
      <c r="B4" s="135"/>
      <c r="C4" s="117"/>
      <c r="D4" s="117"/>
      <c r="F4" s="340" t="s">
        <v>1122</v>
      </c>
      <c r="G4" s="341" t="s">
        <v>1121</v>
      </c>
      <c r="H4" s="342">
        <v>1</v>
      </c>
      <c r="I4" s="343">
        <v>1</v>
      </c>
      <c r="J4" s="344"/>
      <c r="K4" s="344">
        <v>0.11</v>
      </c>
      <c r="L4" s="345">
        <v>28</v>
      </c>
    </row>
    <row r="5" spans="1:12" ht="12.75" customHeight="1">
      <c r="A5" s="258"/>
      <c r="B5" s="135"/>
      <c r="C5" s="117"/>
      <c r="D5" s="117"/>
      <c r="F5" s="340" t="s">
        <v>1123</v>
      </c>
      <c r="G5" s="341" t="s">
        <v>1124</v>
      </c>
      <c r="H5" s="342">
        <v>1</v>
      </c>
      <c r="I5" s="343">
        <v>1</v>
      </c>
      <c r="J5" s="344"/>
      <c r="K5" s="344">
        <v>0.11</v>
      </c>
      <c r="L5" s="345">
        <v>24</v>
      </c>
    </row>
    <row r="6" spans="1:12" ht="12.75" customHeight="1">
      <c r="A6" s="258"/>
      <c r="B6" s="135"/>
      <c r="C6" s="117"/>
      <c r="D6" s="117"/>
      <c r="F6" s="340" t="s">
        <v>1125</v>
      </c>
      <c r="G6" s="346" t="s">
        <v>1126</v>
      </c>
      <c r="H6" s="347">
        <v>1</v>
      </c>
      <c r="I6" s="348">
        <v>1</v>
      </c>
      <c r="J6" s="344"/>
      <c r="K6" s="344">
        <v>0.11</v>
      </c>
      <c r="L6" s="345">
        <v>6.7</v>
      </c>
    </row>
    <row r="7" spans="1:12" ht="12.75" customHeight="1">
      <c r="A7" s="258"/>
      <c r="B7" s="135"/>
      <c r="C7" s="117"/>
      <c r="D7" s="117"/>
      <c r="F7" s="340" t="s">
        <v>1127</v>
      </c>
      <c r="G7" s="346" t="s">
        <v>1126</v>
      </c>
      <c r="H7" s="347">
        <v>1</v>
      </c>
      <c r="I7" s="348">
        <v>1</v>
      </c>
      <c r="J7" s="344"/>
      <c r="K7" s="344">
        <v>0.11</v>
      </c>
      <c r="L7" s="345">
        <v>6.7</v>
      </c>
    </row>
    <row r="8" spans="1:12" ht="12.75" customHeight="1">
      <c r="A8" s="258"/>
      <c r="B8" s="135"/>
      <c r="C8" s="117"/>
      <c r="D8" s="117"/>
      <c r="F8" s="340" t="s">
        <v>1128</v>
      </c>
      <c r="G8" s="346" t="s">
        <v>1129</v>
      </c>
      <c r="H8" s="349">
        <v>1</v>
      </c>
      <c r="I8" s="349">
        <v>1</v>
      </c>
      <c r="J8" s="344"/>
      <c r="K8" s="344">
        <v>0.11</v>
      </c>
      <c r="L8" s="345">
        <v>33.200000000000003</v>
      </c>
    </row>
    <row r="9" spans="1:12" ht="12.75" customHeight="1">
      <c r="A9" s="258"/>
      <c r="B9" s="135"/>
      <c r="C9" s="117"/>
      <c r="D9" s="117"/>
      <c r="F9" s="340" t="s">
        <v>1130</v>
      </c>
      <c r="G9" s="346" t="s">
        <v>1129</v>
      </c>
      <c r="H9" s="350">
        <v>1</v>
      </c>
      <c r="I9" s="351">
        <v>1</v>
      </c>
      <c r="J9" s="344"/>
      <c r="K9" s="344">
        <v>0.11</v>
      </c>
      <c r="L9" s="345">
        <v>33.200000000000003</v>
      </c>
    </row>
    <row r="10" spans="1:12" ht="12.75" customHeight="1">
      <c r="A10" s="258"/>
      <c r="B10" s="135"/>
      <c r="C10" s="117"/>
      <c r="D10" s="117"/>
      <c r="F10" s="352" t="s">
        <v>1131</v>
      </c>
      <c r="G10" s="353" t="s">
        <v>1132</v>
      </c>
      <c r="H10" s="354">
        <v>1.5</v>
      </c>
      <c r="I10" s="354">
        <v>3</v>
      </c>
      <c r="J10" s="344"/>
      <c r="K10" s="344">
        <v>0.307</v>
      </c>
      <c r="L10" s="354">
        <v>3.5</v>
      </c>
    </row>
    <row r="11" spans="1:12" ht="12.75" customHeight="1">
      <c r="A11" s="258"/>
      <c r="B11" s="135"/>
      <c r="C11" s="117"/>
      <c r="D11" s="117"/>
      <c r="F11" s="352" t="s">
        <v>1133</v>
      </c>
      <c r="G11" s="353" t="s">
        <v>1134</v>
      </c>
      <c r="H11" s="354">
        <v>1.5</v>
      </c>
      <c r="I11" s="354">
        <v>3</v>
      </c>
      <c r="J11" s="344"/>
      <c r="K11" s="344">
        <v>0.307</v>
      </c>
      <c r="L11" s="354">
        <v>3.5</v>
      </c>
    </row>
    <row r="12" spans="1:12" ht="12.75" customHeight="1">
      <c r="A12" s="258"/>
      <c r="B12" s="135"/>
      <c r="C12" s="117"/>
      <c r="D12" s="117"/>
      <c r="F12" s="340" t="s">
        <v>1135</v>
      </c>
      <c r="G12" s="355" t="s">
        <v>1136</v>
      </c>
      <c r="H12" s="342">
        <v>6</v>
      </c>
      <c r="I12" s="343">
        <v>8</v>
      </c>
      <c r="J12" s="344" t="s">
        <v>1137</v>
      </c>
      <c r="K12" s="344">
        <v>11.05</v>
      </c>
      <c r="L12" s="345">
        <v>3.5</v>
      </c>
    </row>
    <row r="13" spans="1:12" ht="12.75" customHeight="1">
      <c r="A13" s="258"/>
      <c r="B13" s="135"/>
      <c r="C13" s="117"/>
      <c r="D13" s="117"/>
      <c r="F13" s="340" t="s">
        <v>1138</v>
      </c>
      <c r="G13" s="355" t="s">
        <v>1136</v>
      </c>
      <c r="H13" s="342">
        <v>6</v>
      </c>
      <c r="I13" s="343">
        <v>8</v>
      </c>
      <c r="J13" s="344" t="s">
        <v>1137</v>
      </c>
      <c r="K13" s="344">
        <v>11.05</v>
      </c>
      <c r="L13" s="345">
        <v>3.5</v>
      </c>
    </row>
    <row r="14" spans="1:12" ht="12.75" customHeight="1">
      <c r="A14" s="258"/>
      <c r="B14" s="135"/>
      <c r="C14" s="117"/>
      <c r="D14" s="117"/>
      <c r="F14" s="352" t="s">
        <v>1139</v>
      </c>
      <c r="G14" s="356" t="s">
        <v>1140</v>
      </c>
      <c r="H14" s="357">
        <v>0.75</v>
      </c>
      <c r="I14" s="354">
        <v>1</v>
      </c>
      <c r="J14" s="344"/>
      <c r="K14" s="344"/>
      <c r="L14" s="358">
        <v>10</v>
      </c>
    </row>
    <row r="15" spans="1:12" ht="12.75" customHeight="1">
      <c r="A15" s="258"/>
      <c r="B15" s="135"/>
      <c r="C15" s="117"/>
      <c r="D15" s="117"/>
      <c r="F15" s="352" t="s">
        <v>1141</v>
      </c>
      <c r="G15" s="359" t="s">
        <v>1142</v>
      </c>
      <c r="H15" s="357">
        <v>0.75</v>
      </c>
      <c r="I15" s="354">
        <v>1</v>
      </c>
      <c r="J15" s="344"/>
      <c r="K15" s="344"/>
      <c r="L15" s="358">
        <v>10</v>
      </c>
    </row>
    <row r="16" spans="1:12" ht="12.75" customHeight="1">
      <c r="A16" s="258"/>
      <c r="B16" s="135"/>
      <c r="C16" s="117"/>
      <c r="D16" s="117"/>
      <c r="F16" s="352" t="s">
        <v>1143</v>
      </c>
      <c r="G16" s="359" t="s">
        <v>1144</v>
      </c>
      <c r="H16" s="357">
        <v>0.75</v>
      </c>
      <c r="I16" s="354">
        <v>1</v>
      </c>
      <c r="J16" s="344"/>
      <c r="K16" s="344"/>
      <c r="L16" s="358">
        <v>10</v>
      </c>
    </row>
    <row r="17" spans="1:12" ht="12.75" customHeight="1">
      <c r="A17" s="258"/>
      <c r="B17" s="135"/>
      <c r="C17" s="117"/>
      <c r="D17" s="117"/>
      <c r="F17" s="340" t="s">
        <v>1145</v>
      </c>
      <c r="G17" s="346" t="s">
        <v>1146</v>
      </c>
      <c r="H17" s="342">
        <v>1</v>
      </c>
      <c r="I17" s="343">
        <v>1</v>
      </c>
      <c r="J17" s="344"/>
      <c r="K17" s="344">
        <v>0.11</v>
      </c>
      <c r="L17" s="345">
        <v>24.4</v>
      </c>
    </row>
    <row r="18" spans="1:12" ht="12.75" customHeight="1">
      <c r="A18" s="258"/>
      <c r="B18" s="135"/>
      <c r="C18" s="117"/>
      <c r="D18" s="117"/>
      <c r="F18" s="340" t="s">
        <v>1147</v>
      </c>
      <c r="G18" s="346" t="s">
        <v>1148</v>
      </c>
      <c r="H18" s="342">
        <v>1</v>
      </c>
      <c r="I18" s="343">
        <v>1</v>
      </c>
      <c r="J18" s="344"/>
      <c r="K18" s="344">
        <v>0.11</v>
      </c>
      <c r="L18" s="345">
        <v>24.4</v>
      </c>
    </row>
    <row r="19" spans="1:12" ht="12.75" customHeight="1">
      <c r="A19" s="258"/>
      <c r="B19" s="135"/>
      <c r="C19" s="117"/>
      <c r="D19" s="117"/>
      <c r="F19" s="340" t="s">
        <v>1149</v>
      </c>
      <c r="G19" s="346" t="s">
        <v>1150</v>
      </c>
      <c r="H19" s="360">
        <v>1</v>
      </c>
      <c r="I19" s="360">
        <v>1</v>
      </c>
      <c r="J19" s="344"/>
      <c r="K19" s="344">
        <v>0.11</v>
      </c>
      <c r="L19" s="345">
        <v>40</v>
      </c>
    </row>
    <row r="20" spans="1:12" ht="12.75" customHeight="1">
      <c r="A20" s="258"/>
      <c r="B20" s="135"/>
      <c r="C20" s="117"/>
      <c r="D20" s="117"/>
      <c r="F20" s="340" t="s">
        <v>1151</v>
      </c>
      <c r="G20" s="346" t="s">
        <v>1152</v>
      </c>
      <c r="H20" s="360">
        <v>1</v>
      </c>
      <c r="I20" s="360">
        <v>1</v>
      </c>
      <c r="J20" s="344"/>
      <c r="K20" s="344">
        <v>0.11</v>
      </c>
      <c r="L20" s="345">
        <v>40</v>
      </c>
    </row>
    <row r="21" spans="1:12" ht="12.75" customHeight="1">
      <c r="A21" s="258"/>
      <c r="B21" s="135"/>
      <c r="C21" s="117"/>
      <c r="D21" s="117"/>
      <c r="F21" s="340" t="s">
        <v>1153</v>
      </c>
      <c r="G21" s="341" t="s">
        <v>1154</v>
      </c>
      <c r="H21" s="342">
        <v>0.75</v>
      </c>
      <c r="I21" s="343">
        <v>0.75</v>
      </c>
      <c r="J21" s="344"/>
      <c r="K21" s="344"/>
      <c r="L21" s="361">
        <v>20</v>
      </c>
    </row>
    <row r="22" spans="1:12" ht="12.75" customHeight="1">
      <c r="A22" s="258"/>
      <c r="B22" s="135"/>
      <c r="C22" s="117"/>
      <c r="D22" s="117"/>
      <c r="F22" s="340" t="s">
        <v>1155</v>
      </c>
      <c r="G22" s="355" t="s">
        <v>1140</v>
      </c>
      <c r="H22" s="342">
        <v>3</v>
      </c>
      <c r="I22" s="343">
        <v>4</v>
      </c>
      <c r="J22" s="362" t="s">
        <v>1156</v>
      </c>
      <c r="K22" s="344">
        <v>1.8380000000000001</v>
      </c>
      <c r="L22" s="345">
        <v>4.5</v>
      </c>
    </row>
    <row r="23" spans="1:12" ht="12.75" customHeight="1">
      <c r="A23" s="258"/>
      <c r="B23" s="135"/>
      <c r="C23" s="117"/>
      <c r="D23" s="117"/>
      <c r="F23" s="340" t="s">
        <v>1157</v>
      </c>
      <c r="G23" s="346" t="s">
        <v>1158</v>
      </c>
      <c r="H23" s="342">
        <v>8</v>
      </c>
      <c r="I23" s="343">
        <v>10</v>
      </c>
      <c r="J23" s="344" t="s">
        <v>1159</v>
      </c>
      <c r="K23" s="344">
        <v>26</v>
      </c>
      <c r="L23" s="345">
        <v>2.9</v>
      </c>
    </row>
    <row r="24" spans="1:12" ht="12.75" customHeight="1">
      <c r="A24" s="258"/>
      <c r="B24" s="135"/>
      <c r="C24" s="117"/>
      <c r="D24" s="117"/>
      <c r="F24" s="340" t="s">
        <v>1160</v>
      </c>
      <c r="G24" s="346" t="s">
        <v>1158</v>
      </c>
      <c r="H24" s="342">
        <v>8</v>
      </c>
      <c r="I24" s="343">
        <v>10</v>
      </c>
      <c r="J24" s="344" t="s">
        <v>1159</v>
      </c>
      <c r="K24" s="344">
        <v>26</v>
      </c>
      <c r="L24" s="345">
        <v>2.9</v>
      </c>
    </row>
    <row r="25" spans="1:12" ht="12.75" customHeight="1">
      <c r="A25" s="258"/>
      <c r="B25" s="135"/>
      <c r="C25" s="117"/>
      <c r="D25" s="117"/>
      <c r="F25" s="363" t="s">
        <v>1161</v>
      </c>
      <c r="G25" s="364" t="s">
        <v>1158</v>
      </c>
      <c r="H25" s="342">
        <v>8</v>
      </c>
      <c r="I25" s="343">
        <v>10</v>
      </c>
      <c r="J25" s="344" t="s">
        <v>1159</v>
      </c>
      <c r="K25" s="344">
        <v>26</v>
      </c>
      <c r="L25" s="345">
        <v>3.3</v>
      </c>
    </row>
    <row r="26" spans="1:12" ht="12.75" customHeight="1">
      <c r="A26" s="258"/>
      <c r="B26" s="135"/>
      <c r="C26" s="117"/>
      <c r="D26" s="117"/>
      <c r="F26" s="363" t="s">
        <v>1162</v>
      </c>
      <c r="G26" s="364" t="s">
        <v>1163</v>
      </c>
      <c r="H26" s="342">
        <v>8</v>
      </c>
      <c r="I26" s="343">
        <v>10</v>
      </c>
      <c r="J26" s="344" t="s">
        <v>1159</v>
      </c>
      <c r="K26" s="344">
        <v>26</v>
      </c>
      <c r="L26" s="345">
        <v>3.3</v>
      </c>
    </row>
    <row r="27" spans="1:12" ht="12.75" customHeight="1">
      <c r="A27" s="258"/>
      <c r="B27" s="135"/>
      <c r="C27" s="117"/>
      <c r="D27" s="117"/>
      <c r="F27" s="363" t="s">
        <v>1164</v>
      </c>
      <c r="G27" s="364" t="s">
        <v>1163</v>
      </c>
      <c r="H27" s="342">
        <v>8</v>
      </c>
      <c r="I27" s="343">
        <v>10</v>
      </c>
      <c r="J27" s="344" t="s">
        <v>1159</v>
      </c>
      <c r="K27" s="344">
        <v>26</v>
      </c>
      <c r="L27" s="345">
        <v>3.3</v>
      </c>
    </row>
    <row r="28" spans="1:12" ht="12.75" customHeight="1">
      <c r="A28" s="258"/>
      <c r="B28" s="135"/>
      <c r="C28" s="117"/>
      <c r="D28" s="117"/>
      <c r="F28" s="363" t="s">
        <v>1165</v>
      </c>
      <c r="G28" s="364" t="s">
        <v>1163</v>
      </c>
      <c r="H28" s="342">
        <v>8</v>
      </c>
      <c r="I28" s="343">
        <v>10</v>
      </c>
      <c r="J28" s="344" t="s">
        <v>1159</v>
      </c>
      <c r="K28" s="344">
        <v>26</v>
      </c>
      <c r="L28" s="345">
        <v>3.3</v>
      </c>
    </row>
    <row r="29" spans="1:12" ht="12.75" customHeight="1">
      <c r="A29" s="258"/>
      <c r="B29" s="135"/>
      <c r="C29" s="117"/>
      <c r="D29" s="117"/>
      <c r="F29" s="363" t="s">
        <v>1166</v>
      </c>
      <c r="G29" s="364" t="s">
        <v>1163</v>
      </c>
      <c r="H29" s="342">
        <v>8</v>
      </c>
      <c r="I29" s="343">
        <v>10</v>
      </c>
      <c r="J29" s="344" t="s">
        <v>1159</v>
      </c>
      <c r="K29" s="344">
        <v>26</v>
      </c>
      <c r="L29" s="345">
        <v>3.3</v>
      </c>
    </row>
    <row r="30" spans="1:12" ht="12.75" customHeight="1">
      <c r="A30" s="258"/>
      <c r="B30" s="135"/>
      <c r="C30" s="117"/>
      <c r="D30" s="117"/>
      <c r="F30" s="363" t="s">
        <v>1167</v>
      </c>
      <c r="G30" s="364" t="s">
        <v>1163</v>
      </c>
      <c r="H30" s="342">
        <v>8</v>
      </c>
      <c r="I30" s="343">
        <v>10</v>
      </c>
      <c r="J30" s="344" t="s">
        <v>1159</v>
      </c>
      <c r="K30" s="344">
        <v>26</v>
      </c>
      <c r="L30" s="345">
        <v>3.3</v>
      </c>
    </row>
    <row r="31" spans="1:12" ht="12.75" customHeight="1">
      <c r="A31" s="258"/>
      <c r="B31" s="135"/>
      <c r="C31" s="117"/>
      <c r="D31" s="117"/>
      <c r="F31" s="363" t="s">
        <v>1168</v>
      </c>
      <c r="G31" s="364" t="s">
        <v>1158</v>
      </c>
      <c r="H31" s="342">
        <v>8</v>
      </c>
      <c r="I31" s="343">
        <v>10</v>
      </c>
      <c r="J31" s="344" t="s">
        <v>1159</v>
      </c>
      <c r="K31" s="344">
        <v>26</v>
      </c>
      <c r="L31" s="345">
        <v>3.3</v>
      </c>
    </row>
    <row r="32" spans="1:12" ht="12.75" customHeight="1">
      <c r="A32" s="258"/>
      <c r="B32" s="135"/>
      <c r="C32" s="117"/>
      <c r="D32" s="117"/>
      <c r="F32" s="363" t="s">
        <v>1169</v>
      </c>
      <c r="G32" s="364" t="s">
        <v>1158</v>
      </c>
      <c r="H32" s="342">
        <v>8</v>
      </c>
      <c r="I32" s="343">
        <v>10</v>
      </c>
      <c r="J32" s="344" t="s">
        <v>1159</v>
      </c>
      <c r="K32" s="344">
        <v>26</v>
      </c>
      <c r="L32" s="345">
        <v>3.3</v>
      </c>
    </row>
    <row r="33" spans="1:12" ht="12.75" customHeight="1">
      <c r="A33" s="258"/>
      <c r="B33" s="135"/>
      <c r="C33" s="117"/>
      <c r="D33" s="117"/>
      <c r="F33" s="363" t="s">
        <v>1170</v>
      </c>
      <c r="G33" s="364" t="s">
        <v>1171</v>
      </c>
      <c r="H33" s="342">
        <v>6</v>
      </c>
      <c r="I33" s="343">
        <v>10</v>
      </c>
      <c r="J33" s="344" t="s">
        <v>1172</v>
      </c>
      <c r="K33" s="344">
        <v>16</v>
      </c>
      <c r="L33" s="345">
        <v>9.9</v>
      </c>
    </row>
    <row r="34" spans="1:12" ht="12.75" customHeight="1">
      <c r="A34" s="258"/>
      <c r="B34" s="135"/>
      <c r="C34" s="117"/>
      <c r="D34" s="117"/>
      <c r="F34" s="363" t="s">
        <v>1173</v>
      </c>
      <c r="G34" s="364" t="s">
        <v>1171</v>
      </c>
      <c r="H34" s="342">
        <v>6</v>
      </c>
      <c r="I34" s="343">
        <v>10</v>
      </c>
      <c r="J34" s="344" t="s">
        <v>1172</v>
      </c>
      <c r="K34" s="344">
        <v>16</v>
      </c>
      <c r="L34" s="345">
        <v>9.9</v>
      </c>
    </row>
    <row r="35" spans="1:12" ht="12.75" customHeight="1">
      <c r="A35" s="258"/>
      <c r="B35" s="135"/>
      <c r="C35" s="117"/>
      <c r="D35" s="117"/>
      <c r="F35" s="363" t="s">
        <v>1174</v>
      </c>
      <c r="G35" s="364" t="s">
        <v>1171</v>
      </c>
      <c r="H35" s="342">
        <v>6</v>
      </c>
      <c r="I35" s="343">
        <v>10</v>
      </c>
      <c r="J35" s="344" t="s">
        <v>1172</v>
      </c>
      <c r="K35" s="344">
        <v>16</v>
      </c>
      <c r="L35" s="345">
        <v>9.9</v>
      </c>
    </row>
    <row r="36" spans="1:12" ht="12.75" customHeight="1">
      <c r="A36" s="258"/>
      <c r="B36" s="135"/>
      <c r="C36" s="117"/>
      <c r="D36" s="117"/>
      <c r="F36" s="363" t="s">
        <v>1175</v>
      </c>
      <c r="G36" s="364" t="s">
        <v>1176</v>
      </c>
      <c r="H36" s="342">
        <v>6</v>
      </c>
      <c r="I36" s="343">
        <v>10</v>
      </c>
      <c r="J36" s="344" t="s">
        <v>1172</v>
      </c>
      <c r="K36" s="344">
        <v>16</v>
      </c>
      <c r="L36" s="345">
        <v>9.9</v>
      </c>
    </row>
    <row r="37" spans="1:12" ht="12.75" customHeight="1">
      <c r="A37" s="258"/>
      <c r="B37" s="135"/>
      <c r="C37" s="117"/>
      <c r="D37" s="117"/>
      <c r="F37" s="363" t="s">
        <v>1177</v>
      </c>
      <c r="G37" s="364" t="s">
        <v>1178</v>
      </c>
      <c r="H37" s="342">
        <v>6</v>
      </c>
      <c r="I37" s="343">
        <v>10</v>
      </c>
      <c r="J37" s="344" t="s">
        <v>1172</v>
      </c>
      <c r="K37" s="344">
        <v>16</v>
      </c>
      <c r="L37" s="345">
        <v>9.9</v>
      </c>
    </row>
    <row r="38" spans="1:12" ht="12.75" customHeight="1" thickBot="1">
      <c r="A38" s="259"/>
      <c r="B38" s="334"/>
      <c r="C38" s="335"/>
      <c r="D38" s="335"/>
      <c r="F38" s="363" t="s">
        <v>1179</v>
      </c>
      <c r="G38" s="364" t="s">
        <v>1176</v>
      </c>
      <c r="H38" s="342">
        <v>6</v>
      </c>
      <c r="I38" s="343">
        <v>10</v>
      </c>
      <c r="J38" s="344" t="s">
        <v>1172</v>
      </c>
      <c r="K38" s="344">
        <v>16</v>
      </c>
      <c r="L38" s="345">
        <v>9.9</v>
      </c>
    </row>
    <row r="39" spans="1:12" ht="12.75" customHeight="1">
      <c r="A39" s="331"/>
      <c r="B39" s="332"/>
      <c r="C39" s="333"/>
      <c r="D39" s="333"/>
      <c r="F39" s="363" t="s">
        <v>1180</v>
      </c>
      <c r="G39" s="364" t="s">
        <v>1181</v>
      </c>
      <c r="H39" s="342">
        <v>6</v>
      </c>
      <c r="I39" s="343">
        <v>8</v>
      </c>
      <c r="J39" s="344" t="s">
        <v>1137</v>
      </c>
      <c r="K39" s="344">
        <v>11.05</v>
      </c>
      <c r="L39" s="345">
        <v>3.5</v>
      </c>
    </row>
    <row r="40" spans="1:12" ht="12.75" customHeight="1" thickBot="1">
      <c r="F40" s="363" t="s">
        <v>1182</v>
      </c>
      <c r="G40" s="364" t="s">
        <v>1181</v>
      </c>
      <c r="H40" s="342">
        <v>6</v>
      </c>
      <c r="I40" s="343">
        <v>8</v>
      </c>
      <c r="J40" s="344" t="s">
        <v>1137</v>
      </c>
      <c r="K40" s="344">
        <v>11.05</v>
      </c>
      <c r="L40" s="345">
        <v>3.5</v>
      </c>
    </row>
    <row r="41" spans="1:12" ht="12.75" customHeight="1">
      <c r="A41" s="136"/>
      <c r="B41" s="103"/>
      <c r="C41" s="137"/>
      <c r="F41" s="363" t="s">
        <v>1183</v>
      </c>
      <c r="G41" s="355" t="s">
        <v>1184</v>
      </c>
      <c r="H41" s="342">
        <v>4</v>
      </c>
      <c r="I41" s="343">
        <v>6</v>
      </c>
      <c r="J41" s="344" t="s">
        <v>1185</v>
      </c>
      <c r="K41" s="344">
        <v>4.34</v>
      </c>
      <c r="L41" s="345">
        <v>4.5</v>
      </c>
    </row>
    <row r="42" spans="1:12" ht="12.75" customHeight="1">
      <c r="A42" s="138" t="s">
        <v>1186</v>
      </c>
      <c r="B42" s="139"/>
      <c r="C42" s="140"/>
      <c r="F42" s="340" t="s">
        <v>1187</v>
      </c>
      <c r="G42" s="346" t="s">
        <v>1188</v>
      </c>
      <c r="H42" s="342">
        <v>1</v>
      </c>
      <c r="I42" s="348">
        <v>1</v>
      </c>
      <c r="J42" s="344"/>
      <c r="K42" s="344">
        <v>0.11</v>
      </c>
      <c r="L42" s="345">
        <v>40.4</v>
      </c>
    </row>
    <row r="43" spans="1:12" ht="12.75" customHeight="1">
      <c r="A43" s="138"/>
      <c r="B43" s="139"/>
      <c r="C43" s="140"/>
      <c r="F43" s="340" t="s">
        <v>1189</v>
      </c>
      <c r="G43" s="355" t="s">
        <v>1190</v>
      </c>
      <c r="H43" s="342">
        <v>3</v>
      </c>
      <c r="I43" s="343">
        <v>4</v>
      </c>
      <c r="J43" s="362" t="s">
        <v>1156</v>
      </c>
      <c r="K43" s="344">
        <v>1.8380000000000001</v>
      </c>
      <c r="L43" s="345">
        <v>4.5</v>
      </c>
    </row>
    <row r="44" spans="1:12" ht="12.75" customHeight="1">
      <c r="A44" s="138" t="s">
        <v>1191</v>
      </c>
      <c r="B44" s="139">
        <v>39.370078739999997</v>
      </c>
      <c r="C44" s="140" t="s">
        <v>1117</v>
      </c>
      <c r="F44" s="340" t="s">
        <v>1192</v>
      </c>
      <c r="G44" s="346" t="s">
        <v>1193</v>
      </c>
      <c r="H44" s="347" t="s">
        <v>1194</v>
      </c>
      <c r="I44" s="348">
        <v>1</v>
      </c>
      <c r="J44" s="344"/>
      <c r="K44" s="344"/>
      <c r="L44" s="345">
        <v>6</v>
      </c>
    </row>
    <row r="45" spans="1:12" ht="12.75" customHeight="1" thickBot="1">
      <c r="A45" s="141" t="s">
        <v>1195</v>
      </c>
      <c r="B45" s="142">
        <v>1.5500030999999999E-3</v>
      </c>
      <c r="C45" s="143" t="s">
        <v>1196</v>
      </c>
      <c r="F45" s="340" t="s">
        <v>8103</v>
      </c>
      <c r="G45" s="355" t="s">
        <v>1197</v>
      </c>
      <c r="H45" s="342">
        <v>3</v>
      </c>
      <c r="I45" s="343">
        <v>4</v>
      </c>
      <c r="J45" s="362" t="s">
        <v>1156</v>
      </c>
      <c r="K45" s="344">
        <v>1.8380000000000001</v>
      </c>
      <c r="L45" s="345">
        <v>3.2</v>
      </c>
    </row>
    <row r="46" spans="1:12" ht="12.75" customHeight="1">
      <c r="F46" s="340" t="s">
        <v>1198</v>
      </c>
      <c r="G46" s="355" t="s">
        <v>1197</v>
      </c>
      <c r="H46" s="342">
        <v>3</v>
      </c>
      <c r="I46" s="343">
        <v>4</v>
      </c>
      <c r="J46" s="362" t="s">
        <v>1156</v>
      </c>
      <c r="K46" s="344">
        <v>1.8380000000000001</v>
      </c>
      <c r="L46" s="345">
        <v>3.2</v>
      </c>
    </row>
    <row r="47" spans="1:12" ht="12.75" customHeight="1">
      <c r="F47" s="340" t="s">
        <v>1199</v>
      </c>
      <c r="G47" s="346" t="s">
        <v>1200</v>
      </c>
      <c r="H47" s="360">
        <v>1</v>
      </c>
      <c r="I47" s="365">
        <v>1</v>
      </c>
      <c r="J47" s="344"/>
      <c r="K47" s="344">
        <v>0.11</v>
      </c>
      <c r="L47" s="345">
        <v>40.4</v>
      </c>
    </row>
    <row r="48" spans="1:12" ht="12.75" customHeight="1">
      <c r="F48" s="340" t="s">
        <v>1201</v>
      </c>
      <c r="G48" s="346" t="s">
        <v>1202</v>
      </c>
      <c r="H48" s="342">
        <v>1</v>
      </c>
      <c r="I48" s="348">
        <v>1</v>
      </c>
      <c r="J48" s="344"/>
      <c r="K48" s="344">
        <v>0.11</v>
      </c>
      <c r="L48" s="345">
        <v>6</v>
      </c>
    </row>
    <row r="49" spans="6:12" ht="12.75" customHeight="1">
      <c r="F49" s="340" t="s">
        <v>1203</v>
      </c>
      <c r="G49" s="346" t="s">
        <v>1204</v>
      </c>
      <c r="H49" s="342">
        <v>1.5</v>
      </c>
      <c r="I49" s="348">
        <v>1</v>
      </c>
      <c r="J49" s="344"/>
      <c r="K49" s="344">
        <v>0.11</v>
      </c>
      <c r="L49" s="361">
        <v>1.8</v>
      </c>
    </row>
    <row r="50" spans="6:12" ht="12.75" customHeight="1">
      <c r="F50" s="340" t="s">
        <v>1205</v>
      </c>
      <c r="G50" s="346" t="s">
        <v>1171</v>
      </c>
      <c r="H50" s="342">
        <v>1.5</v>
      </c>
      <c r="I50" s="348">
        <v>1</v>
      </c>
      <c r="J50" s="344"/>
      <c r="K50" s="344">
        <v>0.11</v>
      </c>
      <c r="L50" s="361">
        <v>1.8</v>
      </c>
    </row>
    <row r="51" spans="6:12" ht="12.75" customHeight="1">
      <c r="F51" s="340" t="s">
        <v>1206</v>
      </c>
      <c r="G51" s="346" t="s">
        <v>1171</v>
      </c>
      <c r="H51" s="342">
        <v>1.5</v>
      </c>
      <c r="I51" s="348">
        <v>1</v>
      </c>
      <c r="J51" s="344"/>
      <c r="K51" s="344">
        <v>0.11</v>
      </c>
      <c r="L51" s="361">
        <v>1.8</v>
      </c>
    </row>
    <row r="52" spans="6:12" ht="12.75" customHeight="1">
      <c r="F52" s="340" t="s">
        <v>1207</v>
      </c>
      <c r="G52" s="346" t="s">
        <v>1208</v>
      </c>
      <c r="H52" s="342">
        <v>1.5</v>
      </c>
      <c r="I52" s="348">
        <v>1</v>
      </c>
      <c r="J52" s="344"/>
      <c r="K52" s="344">
        <v>0.11</v>
      </c>
      <c r="L52" s="361">
        <v>1.8</v>
      </c>
    </row>
    <row r="53" spans="6:12" ht="12.75" customHeight="1">
      <c r="F53" s="340" t="s">
        <v>1209</v>
      </c>
      <c r="G53" s="346" t="s">
        <v>1208</v>
      </c>
      <c r="H53" s="342">
        <v>1.5</v>
      </c>
      <c r="I53" s="348">
        <v>1</v>
      </c>
      <c r="J53" s="344"/>
      <c r="K53" s="344">
        <v>0.11</v>
      </c>
      <c r="L53" s="361">
        <v>1.8</v>
      </c>
    </row>
    <row r="54" spans="6:12" ht="12.75" customHeight="1">
      <c r="F54" s="340" t="s">
        <v>1210</v>
      </c>
      <c r="G54" s="346" t="s">
        <v>1208</v>
      </c>
      <c r="H54" s="342">
        <v>1.5</v>
      </c>
      <c r="I54" s="348">
        <v>1</v>
      </c>
      <c r="J54" s="344"/>
      <c r="K54" s="344">
        <v>0.11</v>
      </c>
      <c r="L54" s="361">
        <v>1.8</v>
      </c>
    </row>
    <row r="55" spans="6:12" ht="12.75" customHeight="1">
      <c r="F55" s="340" t="s">
        <v>1211</v>
      </c>
      <c r="G55" s="355" t="s">
        <v>1212</v>
      </c>
      <c r="H55" s="342">
        <v>2</v>
      </c>
      <c r="I55" s="343">
        <v>3</v>
      </c>
      <c r="J55" s="344" t="s">
        <v>1213</v>
      </c>
      <c r="K55" s="344">
        <v>0.78500000000000003</v>
      </c>
      <c r="L55" s="345">
        <v>3.5</v>
      </c>
    </row>
    <row r="56" spans="6:12" ht="12.75" customHeight="1">
      <c r="F56" s="340" t="s">
        <v>1214</v>
      </c>
      <c r="G56" s="346" t="s">
        <v>1215</v>
      </c>
      <c r="H56" s="342">
        <v>2</v>
      </c>
      <c r="I56" s="343">
        <v>3</v>
      </c>
      <c r="J56" s="344" t="s">
        <v>1213</v>
      </c>
      <c r="K56" s="344">
        <v>0.78500000000000003</v>
      </c>
      <c r="L56" s="345">
        <v>4.5</v>
      </c>
    </row>
    <row r="57" spans="6:12" ht="12.75" customHeight="1">
      <c r="F57" s="352" t="s">
        <v>1216</v>
      </c>
      <c r="G57" s="359" t="s">
        <v>1217</v>
      </c>
      <c r="H57" s="366">
        <v>1</v>
      </c>
      <c r="I57" s="354">
        <v>1</v>
      </c>
      <c r="J57" s="344"/>
      <c r="K57" s="344">
        <v>0.11</v>
      </c>
      <c r="L57" s="354">
        <v>38</v>
      </c>
    </row>
    <row r="58" spans="6:12" ht="12.75" customHeight="1">
      <c r="F58" s="340" t="s">
        <v>1218</v>
      </c>
      <c r="G58" s="346" t="s">
        <v>1219</v>
      </c>
      <c r="H58" s="347">
        <v>1.5</v>
      </c>
      <c r="I58" s="348">
        <v>2</v>
      </c>
      <c r="J58" s="344" t="s">
        <v>1220</v>
      </c>
      <c r="K58" s="344">
        <v>0.19600000000000001</v>
      </c>
      <c r="L58" s="345">
        <v>7.1</v>
      </c>
    </row>
    <row r="59" spans="6:12" ht="12.75" customHeight="1">
      <c r="F59" s="340" t="s">
        <v>1221</v>
      </c>
      <c r="G59" s="346" t="s">
        <v>1222</v>
      </c>
      <c r="H59" s="347">
        <v>2</v>
      </c>
      <c r="I59" s="343">
        <v>3</v>
      </c>
      <c r="J59" s="344" t="s">
        <v>1213</v>
      </c>
      <c r="K59" s="344">
        <v>0.78500000000000003</v>
      </c>
      <c r="L59" s="345">
        <v>9.8000000000000007</v>
      </c>
    </row>
    <row r="60" spans="6:12" ht="12.75" customHeight="1">
      <c r="F60" s="340" t="s">
        <v>1223</v>
      </c>
      <c r="G60" s="346" t="s">
        <v>1224</v>
      </c>
      <c r="H60" s="347">
        <v>0.75</v>
      </c>
      <c r="I60" s="348">
        <v>1</v>
      </c>
      <c r="J60" s="344"/>
      <c r="K60" s="344"/>
      <c r="L60" s="345">
        <v>4.79</v>
      </c>
    </row>
    <row r="61" spans="6:12" ht="12.75" customHeight="1">
      <c r="F61" s="340" t="s">
        <v>1225</v>
      </c>
      <c r="G61" s="346" t="s">
        <v>1226</v>
      </c>
      <c r="H61" s="347">
        <v>6</v>
      </c>
      <c r="I61" s="343">
        <v>8</v>
      </c>
      <c r="J61" s="344" t="s">
        <v>1137</v>
      </c>
      <c r="K61" s="344">
        <v>11.05</v>
      </c>
      <c r="L61" s="345">
        <v>5.0999999999999996</v>
      </c>
    </row>
    <row r="62" spans="6:12" ht="12.75" customHeight="1">
      <c r="F62" s="340" t="s">
        <v>1227</v>
      </c>
      <c r="G62" s="346" t="s">
        <v>1226</v>
      </c>
      <c r="H62" s="347">
        <v>6</v>
      </c>
      <c r="I62" s="343">
        <v>8</v>
      </c>
      <c r="J62" s="344" t="s">
        <v>1137</v>
      </c>
      <c r="K62" s="344">
        <v>11.05</v>
      </c>
      <c r="L62" s="345">
        <v>5.0999999999999996</v>
      </c>
    </row>
    <row r="63" spans="6:12" ht="12.75" customHeight="1">
      <c r="F63" s="340" t="s">
        <v>1228</v>
      </c>
      <c r="G63" s="364" t="s">
        <v>1229</v>
      </c>
      <c r="H63" s="347">
        <v>0.5</v>
      </c>
      <c r="I63" s="343">
        <v>0.5</v>
      </c>
      <c r="J63" s="344"/>
      <c r="K63" s="344"/>
      <c r="L63" s="345">
        <v>19</v>
      </c>
    </row>
    <row r="64" spans="6:12" ht="12.75" customHeight="1">
      <c r="F64" s="340" t="s">
        <v>1230</v>
      </c>
      <c r="G64" s="341" t="s">
        <v>1231</v>
      </c>
      <c r="H64" s="347">
        <v>0.5</v>
      </c>
      <c r="I64" s="343">
        <v>0.5</v>
      </c>
      <c r="J64" s="344"/>
      <c r="K64" s="344"/>
      <c r="L64" s="345">
        <v>19</v>
      </c>
    </row>
    <row r="65" spans="6:12" ht="12.75" customHeight="1">
      <c r="F65" s="340" t="s">
        <v>1232</v>
      </c>
      <c r="G65" s="341" t="s">
        <v>1233</v>
      </c>
      <c r="H65" s="347">
        <v>1</v>
      </c>
      <c r="I65" s="343">
        <v>1</v>
      </c>
      <c r="J65" s="344"/>
      <c r="K65" s="344">
        <v>0.11</v>
      </c>
      <c r="L65" s="345">
        <v>25</v>
      </c>
    </row>
    <row r="66" spans="6:12" ht="12.75" customHeight="1">
      <c r="F66" s="367" t="s">
        <v>1234</v>
      </c>
      <c r="G66" s="341" t="s">
        <v>1235</v>
      </c>
      <c r="H66" s="347">
        <v>0.25</v>
      </c>
      <c r="I66" s="343">
        <v>0.25</v>
      </c>
      <c r="J66" s="344"/>
      <c r="K66" s="344"/>
      <c r="L66" s="345">
        <v>19.5</v>
      </c>
    </row>
    <row r="67" spans="6:12" ht="12.75" customHeight="1">
      <c r="F67" s="367" t="s">
        <v>1236</v>
      </c>
      <c r="G67" s="368" t="s">
        <v>1237</v>
      </c>
      <c r="H67" s="347">
        <v>4</v>
      </c>
      <c r="I67" s="343">
        <v>6</v>
      </c>
      <c r="J67" s="344" t="s">
        <v>1185</v>
      </c>
      <c r="K67" s="344">
        <v>4.34</v>
      </c>
      <c r="L67" s="361">
        <v>12.5</v>
      </c>
    </row>
    <row r="68" spans="6:12" ht="12.75" customHeight="1">
      <c r="F68" s="340" t="s">
        <v>1238</v>
      </c>
      <c r="G68" s="346" t="s">
        <v>1239</v>
      </c>
      <c r="H68" s="347">
        <v>4</v>
      </c>
      <c r="I68" s="343">
        <v>6</v>
      </c>
      <c r="J68" s="344" t="s">
        <v>1185</v>
      </c>
      <c r="K68" s="344">
        <v>4.34</v>
      </c>
      <c r="L68" s="361">
        <v>12.5</v>
      </c>
    </row>
    <row r="69" spans="6:12" ht="12.75" customHeight="1">
      <c r="F69" s="340" t="s">
        <v>1240</v>
      </c>
      <c r="G69" s="341" t="s">
        <v>1241</v>
      </c>
      <c r="H69" s="347">
        <v>2</v>
      </c>
      <c r="I69" s="343">
        <v>3</v>
      </c>
      <c r="J69" s="344" t="s">
        <v>1213</v>
      </c>
      <c r="K69" s="344">
        <v>0.78500000000000003</v>
      </c>
      <c r="L69" s="361">
        <v>16</v>
      </c>
    </row>
    <row r="70" spans="6:12" ht="12.75" customHeight="1">
      <c r="F70" s="340" t="s">
        <v>1242</v>
      </c>
      <c r="G70" s="341" t="s">
        <v>1243</v>
      </c>
      <c r="H70" s="347">
        <v>2</v>
      </c>
      <c r="I70" s="343">
        <v>3</v>
      </c>
      <c r="J70" s="344" t="s">
        <v>1213</v>
      </c>
      <c r="K70" s="344">
        <v>0.78500000000000003</v>
      </c>
      <c r="L70" s="361">
        <v>16</v>
      </c>
    </row>
    <row r="71" spans="6:12" ht="12.75" customHeight="1">
      <c r="F71" s="340" t="s">
        <v>1244</v>
      </c>
      <c r="G71" s="369" t="s">
        <v>1245</v>
      </c>
      <c r="H71" s="347">
        <v>0.25</v>
      </c>
      <c r="I71" s="343">
        <v>0.25</v>
      </c>
      <c r="J71" s="344"/>
      <c r="K71" s="344"/>
      <c r="L71" s="345">
        <v>14</v>
      </c>
    </row>
    <row r="72" spans="6:12" ht="12.75" customHeight="1">
      <c r="F72" s="370" t="s">
        <v>1246</v>
      </c>
      <c r="G72" s="369" t="s">
        <v>1247</v>
      </c>
      <c r="H72" s="347">
        <v>0.25</v>
      </c>
      <c r="I72" s="343">
        <v>0.25</v>
      </c>
      <c r="J72" s="344"/>
      <c r="K72" s="344"/>
      <c r="L72" s="345">
        <v>14</v>
      </c>
    </row>
    <row r="73" spans="6:12" ht="12.75" customHeight="1">
      <c r="F73" s="370" t="s">
        <v>1248</v>
      </c>
      <c r="G73" s="369" t="s">
        <v>1249</v>
      </c>
      <c r="H73" s="347">
        <v>0.25</v>
      </c>
      <c r="I73" s="343">
        <v>0.25</v>
      </c>
      <c r="J73" s="344"/>
      <c r="K73" s="344"/>
      <c r="L73" s="345">
        <v>14</v>
      </c>
    </row>
    <row r="74" spans="6:12" ht="12.75" customHeight="1">
      <c r="F74" s="352" t="s">
        <v>1250</v>
      </c>
      <c r="G74" s="371" t="s">
        <v>1251</v>
      </c>
      <c r="H74" s="354"/>
      <c r="I74" s="372"/>
      <c r="J74" s="344"/>
      <c r="K74" s="344"/>
      <c r="L74" s="354"/>
    </row>
    <row r="75" spans="6:12" ht="12.75" customHeight="1">
      <c r="F75" s="340" t="s">
        <v>1252</v>
      </c>
      <c r="G75" s="346" t="s">
        <v>1253</v>
      </c>
      <c r="H75" s="347">
        <v>1</v>
      </c>
      <c r="I75" s="348">
        <v>2</v>
      </c>
      <c r="J75" s="344" t="s">
        <v>1254</v>
      </c>
      <c r="K75" s="344">
        <v>0.19600000000000001</v>
      </c>
      <c r="L75" s="345">
        <v>40.4</v>
      </c>
    </row>
    <row r="76" spans="6:12" ht="12.75" customHeight="1">
      <c r="F76" s="340" t="s">
        <v>1255</v>
      </c>
      <c r="G76" s="346" t="s">
        <v>1256</v>
      </c>
      <c r="H76" s="347">
        <v>1</v>
      </c>
      <c r="I76" s="348">
        <v>2</v>
      </c>
      <c r="J76" s="344" t="s">
        <v>1254</v>
      </c>
      <c r="K76" s="344">
        <v>0.19600000000000001</v>
      </c>
      <c r="L76" s="345">
        <v>40.4</v>
      </c>
    </row>
    <row r="77" spans="6:12" ht="12.75" customHeight="1">
      <c r="F77" s="340" t="s">
        <v>1257</v>
      </c>
      <c r="G77" s="341" t="s">
        <v>1258</v>
      </c>
      <c r="H77" s="347">
        <v>1</v>
      </c>
      <c r="I77" s="348">
        <v>1</v>
      </c>
      <c r="J77" s="344"/>
      <c r="K77" s="344">
        <v>0.11</v>
      </c>
      <c r="L77" s="345">
        <v>8.5</v>
      </c>
    </row>
    <row r="78" spans="6:12" ht="12.75" customHeight="1">
      <c r="F78" s="373" t="s">
        <v>1259</v>
      </c>
      <c r="G78" s="374" t="s">
        <v>1260</v>
      </c>
      <c r="H78" s="350">
        <v>3</v>
      </c>
      <c r="I78" s="351">
        <v>4</v>
      </c>
      <c r="J78" s="362" t="s">
        <v>1156</v>
      </c>
      <c r="K78" s="344">
        <v>1.8380000000000001</v>
      </c>
      <c r="L78" s="345">
        <v>48</v>
      </c>
    </row>
    <row r="79" spans="6:12" ht="12.75" customHeight="1">
      <c r="F79" s="373" t="s">
        <v>1261</v>
      </c>
      <c r="G79" s="374" t="s">
        <v>1260</v>
      </c>
      <c r="H79" s="350">
        <v>3</v>
      </c>
      <c r="I79" s="351">
        <v>4</v>
      </c>
      <c r="J79" s="362" t="s">
        <v>1156</v>
      </c>
      <c r="K79" s="344">
        <v>1.8380000000000001</v>
      </c>
      <c r="L79" s="345">
        <v>48</v>
      </c>
    </row>
    <row r="80" spans="6:12" ht="12.75" customHeight="1">
      <c r="F80" s="373" t="s">
        <v>1262</v>
      </c>
      <c r="G80" s="374" t="s">
        <v>1263</v>
      </c>
      <c r="H80" s="350">
        <v>8</v>
      </c>
      <c r="I80" s="351">
        <v>10</v>
      </c>
      <c r="J80" s="344" t="s">
        <v>1159</v>
      </c>
      <c r="K80" s="344">
        <v>26</v>
      </c>
      <c r="L80" s="345">
        <v>8.8000000000000007</v>
      </c>
    </row>
    <row r="81" spans="6:12" ht="12.75" customHeight="1">
      <c r="F81" s="373" t="s">
        <v>1264</v>
      </c>
      <c r="G81" s="374" t="s">
        <v>1263</v>
      </c>
      <c r="H81" s="350">
        <v>8</v>
      </c>
      <c r="I81" s="351">
        <v>10</v>
      </c>
      <c r="J81" s="344" t="s">
        <v>1159</v>
      </c>
      <c r="K81" s="344">
        <v>26</v>
      </c>
      <c r="L81" s="345">
        <v>8.8000000000000007</v>
      </c>
    </row>
    <row r="82" spans="6:12" ht="12.75" customHeight="1">
      <c r="F82" s="373" t="s">
        <v>1265</v>
      </c>
      <c r="G82" s="374" t="s">
        <v>1266</v>
      </c>
      <c r="H82" s="350">
        <v>4</v>
      </c>
      <c r="I82" s="351">
        <v>6</v>
      </c>
      <c r="J82" s="344" t="s">
        <v>1185</v>
      </c>
      <c r="K82" s="344">
        <v>4.34</v>
      </c>
      <c r="L82" s="345">
        <v>35.4</v>
      </c>
    </row>
    <row r="83" spans="6:12" ht="12.75" customHeight="1">
      <c r="F83" s="373" t="s">
        <v>1267</v>
      </c>
      <c r="G83" s="374" t="s">
        <v>1268</v>
      </c>
      <c r="H83" s="350">
        <v>4</v>
      </c>
      <c r="I83" s="351">
        <v>6</v>
      </c>
      <c r="J83" s="344" t="s">
        <v>1185</v>
      </c>
      <c r="K83" s="344">
        <v>4.34</v>
      </c>
      <c r="L83" s="345">
        <v>35.4</v>
      </c>
    </row>
    <row r="84" spans="6:12" ht="12.75" customHeight="1">
      <c r="F84" s="373" t="s">
        <v>1269</v>
      </c>
      <c r="G84" s="374" t="s">
        <v>1268</v>
      </c>
      <c r="H84" s="350">
        <v>4</v>
      </c>
      <c r="I84" s="351">
        <v>6</v>
      </c>
      <c r="J84" s="344" t="s">
        <v>1185</v>
      </c>
      <c r="K84" s="344">
        <v>4.34</v>
      </c>
      <c r="L84" s="345">
        <v>35.4</v>
      </c>
    </row>
    <row r="85" spans="6:12" ht="12.75" customHeight="1">
      <c r="F85" s="373" t="s">
        <v>1270</v>
      </c>
      <c r="G85" s="374" t="s">
        <v>1271</v>
      </c>
      <c r="H85" s="350">
        <v>4</v>
      </c>
      <c r="I85" s="351">
        <v>6</v>
      </c>
      <c r="J85" s="344" t="s">
        <v>1185</v>
      </c>
      <c r="K85" s="344">
        <v>4.34</v>
      </c>
      <c r="L85" s="345">
        <v>48.2</v>
      </c>
    </row>
    <row r="86" spans="6:12" ht="12.75" customHeight="1">
      <c r="F86" s="373" t="s">
        <v>1272</v>
      </c>
      <c r="G86" s="374" t="s">
        <v>1271</v>
      </c>
      <c r="H86" s="350">
        <v>4</v>
      </c>
      <c r="I86" s="351">
        <v>6</v>
      </c>
      <c r="J86" s="344" t="s">
        <v>1185</v>
      </c>
      <c r="K86" s="344">
        <v>4.34</v>
      </c>
      <c r="L86" s="345">
        <v>48.2</v>
      </c>
    </row>
    <row r="87" spans="6:12" ht="12.75" customHeight="1">
      <c r="F87" s="373" t="s">
        <v>1273</v>
      </c>
      <c r="G87" s="374" t="s">
        <v>1274</v>
      </c>
      <c r="H87" s="350">
        <v>6</v>
      </c>
      <c r="I87" s="351">
        <v>8</v>
      </c>
      <c r="J87" s="344" t="s">
        <v>1137</v>
      </c>
      <c r="K87" s="344">
        <v>11.05</v>
      </c>
      <c r="L87" s="345">
        <v>22.1</v>
      </c>
    </row>
    <row r="88" spans="6:12" ht="12.75" customHeight="1">
      <c r="F88" s="373" t="s">
        <v>1275</v>
      </c>
      <c r="G88" s="374" t="s">
        <v>1274</v>
      </c>
      <c r="H88" s="350">
        <v>6</v>
      </c>
      <c r="I88" s="351">
        <v>8</v>
      </c>
      <c r="J88" s="344" t="s">
        <v>1137</v>
      </c>
      <c r="K88" s="344">
        <v>11.05</v>
      </c>
      <c r="L88" s="345">
        <v>22.1</v>
      </c>
    </row>
    <row r="89" spans="6:12" ht="12.75" customHeight="1">
      <c r="F89" s="375" t="s">
        <v>1276</v>
      </c>
      <c r="G89" s="371" t="s">
        <v>1277</v>
      </c>
      <c r="H89" s="354">
        <v>2</v>
      </c>
      <c r="I89" s="354">
        <v>2</v>
      </c>
      <c r="J89" s="344"/>
      <c r="K89" s="344">
        <v>0.78500000000000003</v>
      </c>
      <c r="L89" s="354">
        <v>10</v>
      </c>
    </row>
    <row r="90" spans="6:12" ht="12.75" customHeight="1">
      <c r="F90" s="340" t="s">
        <v>1278</v>
      </c>
      <c r="G90" s="341" t="s">
        <v>1279</v>
      </c>
      <c r="H90" s="350">
        <v>0.75</v>
      </c>
      <c r="I90" s="351">
        <v>0.5</v>
      </c>
      <c r="J90" s="344"/>
      <c r="K90" s="344"/>
      <c r="L90" s="345">
        <v>22.1</v>
      </c>
    </row>
    <row r="91" spans="6:12" ht="12.75" customHeight="1">
      <c r="F91" s="373" t="s">
        <v>1280</v>
      </c>
      <c r="G91" s="374" t="s">
        <v>1281</v>
      </c>
      <c r="H91" s="350">
        <v>6</v>
      </c>
      <c r="I91" s="351">
        <v>8</v>
      </c>
      <c r="J91" s="344" t="s">
        <v>1137</v>
      </c>
      <c r="K91" s="344">
        <v>11.05</v>
      </c>
      <c r="L91" s="361">
        <v>9.9</v>
      </c>
    </row>
    <row r="92" spans="6:12" ht="12.75" customHeight="1">
      <c r="F92" s="373" t="s">
        <v>1282</v>
      </c>
      <c r="G92" s="374" t="s">
        <v>1281</v>
      </c>
      <c r="H92" s="350">
        <v>6</v>
      </c>
      <c r="I92" s="351">
        <v>8</v>
      </c>
      <c r="J92" s="344" t="s">
        <v>1137</v>
      </c>
      <c r="K92" s="344">
        <v>11.05</v>
      </c>
      <c r="L92" s="361">
        <v>9.9</v>
      </c>
    </row>
    <row r="93" spans="6:12" ht="12.75" customHeight="1">
      <c r="F93" s="373" t="s">
        <v>1283</v>
      </c>
      <c r="G93" s="374" t="s">
        <v>1281</v>
      </c>
      <c r="H93" s="350">
        <v>6</v>
      </c>
      <c r="I93" s="351">
        <v>8</v>
      </c>
      <c r="J93" s="344" t="s">
        <v>1137</v>
      </c>
      <c r="K93" s="344">
        <v>11.05</v>
      </c>
      <c r="L93" s="361">
        <v>9.9</v>
      </c>
    </row>
    <row r="94" spans="6:12" ht="12.75" customHeight="1">
      <c r="F94" s="340" t="s">
        <v>1284</v>
      </c>
      <c r="G94" s="374" t="s">
        <v>1285</v>
      </c>
      <c r="H94" s="350">
        <v>6</v>
      </c>
      <c r="I94" s="351">
        <v>10</v>
      </c>
      <c r="J94" s="344" t="s">
        <v>1172</v>
      </c>
      <c r="K94" s="344">
        <v>16</v>
      </c>
      <c r="L94" s="345">
        <v>14.1</v>
      </c>
    </row>
    <row r="95" spans="6:12" ht="12.75" customHeight="1">
      <c r="F95" s="340" t="s">
        <v>1286</v>
      </c>
      <c r="G95" s="374" t="s">
        <v>1287</v>
      </c>
      <c r="H95" s="350">
        <v>6</v>
      </c>
      <c r="I95" s="351">
        <v>10</v>
      </c>
      <c r="J95" s="344" t="s">
        <v>1172</v>
      </c>
      <c r="K95" s="344">
        <v>16</v>
      </c>
      <c r="L95" s="345">
        <v>14.1</v>
      </c>
    </row>
    <row r="96" spans="6:12" ht="12.75" customHeight="1">
      <c r="F96" s="340" t="s">
        <v>1288</v>
      </c>
      <c r="G96" s="374" t="s">
        <v>1289</v>
      </c>
      <c r="H96" s="350">
        <v>8</v>
      </c>
      <c r="I96" s="351">
        <v>10</v>
      </c>
      <c r="J96" s="344" t="s">
        <v>1159</v>
      </c>
      <c r="K96" s="344">
        <v>26</v>
      </c>
      <c r="L96" s="345">
        <v>3.3</v>
      </c>
    </row>
    <row r="97" spans="6:12" ht="12.75" customHeight="1">
      <c r="F97" s="340" t="s">
        <v>1290</v>
      </c>
      <c r="G97" s="374" t="s">
        <v>1289</v>
      </c>
      <c r="H97" s="350">
        <v>8</v>
      </c>
      <c r="I97" s="351">
        <v>10</v>
      </c>
      <c r="J97" s="344" t="s">
        <v>1159</v>
      </c>
      <c r="K97" s="344">
        <v>26</v>
      </c>
      <c r="L97" s="345">
        <v>3.3</v>
      </c>
    </row>
    <row r="98" spans="6:12" ht="12.75" customHeight="1">
      <c r="F98" s="340" t="s">
        <v>1291</v>
      </c>
      <c r="G98" s="374" t="s">
        <v>1289</v>
      </c>
      <c r="H98" s="350">
        <v>8</v>
      </c>
      <c r="I98" s="351">
        <v>10</v>
      </c>
      <c r="J98" s="344" t="s">
        <v>1159</v>
      </c>
      <c r="K98" s="344">
        <v>26</v>
      </c>
      <c r="L98" s="345">
        <v>3.3</v>
      </c>
    </row>
    <row r="99" spans="6:12" ht="12.75" customHeight="1">
      <c r="F99" s="340" t="s">
        <v>1292</v>
      </c>
      <c r="G99" s="374" t="s">
        <v>1289</v>
      </c>
      <c r="H99" s="350">
        <v>8</v>
      </c>
      <c r="I99" s="351">
        <v>10</v>
      </c>
      <c r="J99" s="344" t="s">
        <v>1159</v>
      </c>
      <c r="K99" s="344">
        <v>26</v>
      </c>
      <c r="L99" s="345">
        <v>3.3</v>
      </c>
    </row>
    <row r="100" spans="6:12" ht="12.75" customHeight="1">
      <c r="F100" s="340" t="s">
        <v>1293</v>
      </c>
      <c r="G100" s="374" t="s">
        <v>1289</v>
      </c>
      <c r="H100" s="350">
        <v>8</v>
      </c>
      <c r="I100" s="351">
        <v>10</v>
      </c>
      <c r="J100" s="344" t="s">
        <v>1159</v>
      </c>
      <c r="K100" s="344">
        <v>26</v>
      </c>
      <c r="L100" s="345">
        <v>3.3</v>
      </c>
    </row>
    <row r="101" spans="6:12" ht="12.75" customHeight="1">
      <c r="F101" s="340" t="s">
        <v>1294</v>
      </c>
      <c r="G101" s="374" t="s">
        <v>1289</v>
      </c>
      <c r="H101" s="350">
        <v>8</v>
      </c>
      <c r="I101" s="351">
        <v>10</v>
      </c>
      <c r="J101" s="344" t="s">
        <v>1159</v>
      </c>
      <c r="K101" s="344">
        <v>26</v>
      </c>
      <c r="L101" s="345">
        <v>3.3</v>
      </c>
    </row>
    <row r="102" spans="6:12" ht="12.75" customHeight="1">
      <c r="F102" s="340" t="s">
        <v>1295</v>
      </c>
      <c r="G102" s="374" t="s">
        <v>1289</v>
      </c>
      <c r="H102" s="350">
        <v>8</v>
      </c>
      <c r="I102" s="351">
        <v>10</v>
      </c>
      <c r="J102" s="344" t="s">
        <v>1159</v>
      </c>
      <c r="K102" s="344">
        <v>26</v>
      </c>
      <c r="L102" s="345">
        <v>3.3</v>
      </c>
    </row>
    <row r="103" spans="6:12" ht="12.75" customHeight="1">
      <c r="F103" s="340" t="s">
        <v>1296</v>
      </c>
      <c r="G103" s="374" t="s">
        <v>1289</v>
      </c>
      <c r="H103" s="350">
        <v>8</v>
      </c>
      <c r="I103" s="351">
        <v>10</v>
      </c>
      <c r="J103" s="344" t="s">
        <v>1159</v>
      </c>
      <c r="K103" s="344">
        <v>26</v>
      </c>
      <c r="L103" s="345">
        <v>3.3</v>
      </c>
    </row>
    <row r="104" spans="6:12" ht="12.75" customHeight="1">
      <c r="F104" s="340" t="s">
        <v>1297</v>
      </c>
      <c r="G104" s="374" t="s">
        <v>1289</v>
      </c>
      <c r="H104" s="350">
        <v>8</v>
      </c>
      <c r="I104" s="351">
        <v>10</v>
      </c>
      <c r="J104" s="344" t="s">
        <v>1159</v>
      </c>
      <c r="K104" s="344">
        <v>26</v>
      </c>
      <c r="L104" s="345">
        <v>3.3</v>
      </c>
    </row>
    <row r="105" spans="6:12" ht="12.75" customHeight="1">
      <c r="F105" s="340" t="s">
        <v>1298</v>
      </c>
      <c r="G105" s="374" t="s">
        <v>1299</v>
      </c>
      <c r="H105" s="350">
        <v>8</v>
      </c>
      <c r="I105" s="351">
        <v>10</v>
      </c>
      <c r="J105" s="344" t="s">
        <v>1159</v>
      </c>
      <c r="K105" s="344">
        <v>26</v>
      </c>
      <c r="L105" s="345">
        <v>3.3</v>
      </c>
    </row>
    <row r="106" spans="6:12" ht="12.75" customHeight="1">
      <c r="F106" s="340" t="s">
        <v>1300</v>
      </c>
      <c r="G106" s="374" t="s">
        <v>1289</v>
      </c>
      <c r="H106" s="350">
        <v>8</v>
      </c>
      <c r="I106" s="351">
        <v>10</v>
      </c>
      <c r="J106" s="344" t="s">
        <v>1159</v>
      </c>
      <c r="K106" s="344">
        <v>26</v>
      </c>
      <c r="L106" s="345">
        <v>2.8</v>
      </c>
    </row>
    <row r="107" spans="6:12" ht="12.75" customHeight="1">
      <c r="F107" s="340" t="s">
        <v>1301</v>
      </c>
      <c r="G107" s="374" t="s">
        <v>1299</v>
      </c>
      <c r="H107" s="350">
        <v>8</v>
      </c>
      <c r="I107" s="351">
        <v>10</v>
      </c>
      <c r="J107" s="344" t="s">
        <v>1159</v>
      </c>
      <c r="K107" s="344">
        <v>26</v>
      </c>
      <c r="L107" s="345">
        <v>2.8</v>
      </c>
    </row>
    <row r="108" spans="6:12" ht="12.75" customHeight="1">
      <c r="F108" s="340" t="s">
        <v>1302</v>
      </c>
      <c r="G108" s="369" t="s">
        <v>1303</v>
      </c>
      <c r="H108" s="350">
        <v>4</v>
      </c>
      <c r="I108" s="351">
        <v>6</v>
      </c>
      <c r="J108" s="344" t="s">
        <v>1185</v>
      </c>
      <c r="K108" s="344">
        <v>4.34</v>
      </c>
      <c r="L108" s="345">
        <v>3.5</v>
      </c>
    </row>
    <row r="109" spans="6:12" ht="12.75" customHeight="1">
      <c r="F109" s="340" t="s">
        <v>1304</v>
      </c>
      <c r="G109" s="369" t="s">
        <v>1305</v>
      </c>
      <c r="H109" s="350">
        <v>4</v>
      </c>
      <c r="I109" s="351">
        <v>6</v>
      </c>
      <c r="J109" s="344" t="s">
        <v>1185</v>
      </c>
      <c r="K109" s="344">
        <v>4.34</v>
      </c>
      <c r="L109" s="345">
        <v>4.5</v>
      </c>
    </row>
    <row r="110" spans="6:12" ht="12.75" customHeight="1">
      <c r="F110" s="340" t="s">
        <v>1306</v>
      </c>
      <c r="G110" s="369" t="s">
        <v>1307</v>
      </c>
      <c r="H110" s="350">
        <v>1</v>
      </c>
      <c r="I110" s="351">
        <v>1</v>
      </c>
      <c r="J110" s="344"/>
      <c r="K110" s="344">
        <v>0.11</v>
      </c>
      <c r="L110" s="345">
        <v>16.3</v>
      </c>
    </row>
    <row r="111" spans="6:12" ht="12.75" customHeight="1">
      <c r="F111" s="340" t="s">
        <v>1308</v>
      </c>
      <c r="G111" s="346" t="s">
        <v>1309</v>
      </c>
      <c r="H111" s="347">
        <v>1</v>
      </c>
      <c r="I111" s="348">
        <v>3</v>
      </c>
      <c r="J111" s="344"/>
      <c r="K111" s="344">
        <v>0.11</v>
      </c>
      <c r="L111" s="345">
        <v>2</v>
      </c>
    </row>
    <row r="112" spans="6:12" ht="12.75" customHeight="1">
      <c r="F112" s="340" t="s">
        <v>1310</v>
      </c>
      <c r="G112" s="346" t="s">
        <v>1309</v>
      </c>
      <c r="H112" s="347">
        <v>1</v>
      </c>
      <c r="I112" s="348">
        <v>3</v>
      </c>
      <c r="J112" s="344"/>
      <c r="K112" s="344">
        <v>0.11</v>
      </c>
      <c r="L112" s="345">
        <v>2</v>
      </c>
    </row>
    <row r="113" spans="1:12" ht="12.75" customHeight="1">
      <c r="F113" s="367" t="s">
        <v>1311</v>
      </c>
      <c r="G113" s="341" t="s">
        <v>1312</v>
      </c>
      <c r="H113" s="347">
        <v>0.25</v>
      </c>
      <c r="I113" s="351">
        <v>0.25</v>
      </c>
      <c r="J113" s="344"/>
      <c r="K113" s="344"/>
      <c r="L113" s="376">
        <v>10</v>
      </c>
    </row>
    <row r="114" spans="1:12" ht="12.75" customHeight="1">
      <c r="F114" s="367" t="s">
        <v>1313</v>
      </c>
      <c r="G114" s="341" t="s">
        <v>1314</v>
      </c>
      <c r="H114" s="347">
        <v>0.25</v>
      </c>
      <c r="I114" s="351">
        <v>0.25</v>
      </c>
      <c r="J114" s="344"/>
      <c r="K114" s="344"/>
      <c r="L114" s="376">
        <v>10</v>
      </c>
    </row>
    <row r="115" spans="1:12" ht="12.75" customHeight="1">
      <c r="F115" s="340" t="s">
        <v>1315</v>
      </c>
      <c r="G115" s="374" t="s">
        <v>1316</v>
      </c>
      <c r="H115" s="350">
        <v>4</v>
      </c>
      <c r="I115" s="351">
        <v>6</v>
      </c>
      <c r="J115" s="344" t="s">
        <v>1185</v>
      </c>
      <c r="K115" s="344">
        <v>4.34</v>
      </c>
      <c r="L115" s="345">
        <v>6.2</v>
      </c>
    </row>
    <row r="116" spans="1:12" ht="12.75" customHeight="1">
      <c r="F116" s="340" t="s">
        <v>1317</v>
      </c>
      <c r="G116" s="374" t="s">
        <v>1316</v>
      </c>
      <c r="H116" s="350">
        <v>4</v>
      </c>
      <c r="I116" s="351">
        <v>6</v>
      </c>
      <c r="J116" s="344" t="s">
        <v>1185</v>
      </c>
      <c r="K116" s="344">
        <v>4.34</v>
      </c>
      <c r="L116" s="345">
        <v>6.2</v>
      </c>
    </row>
    <row r="117" spans="1:12" ht="12.75" customHeight="1">
      <c r="F117" s="370" t="s">
        <v>1523</v>
      </c>
      <c r="G117" s="374" t="s">
        <v>1318</v>
      </c>
      <c r="H117" s="350">
        <v>6</v>
      </c>
      <c r="I117" s="351">
        <v>8</v>
      </c>
      <c r="J117" s="344" t="s">
        <v>1137</v>
      </c>
      <c r="K117" s="344">
        <v>11.05</v>
      </c>
      <c r="L117" s="345">
        <v>4.3</v>
      </c>
    </row>
    <row r="118" spans="1:12" ht="12.75" customHeight="1">
      <c r="F118" s="370" t="s">
        <v>465</v>
      </c>
      <c r="G118" s="374" t="s">
        <v>1318</v>
      </c>
      <c r="H118" s="350">
        <v>6</v>
      </c>
      <c r="I118" s="351">
        <v>8</v>
      </c>
      <c r="J118" s="344" t="s">
        <v>1137</v>
      </c>
      <c r="K118" s="344">
        <v>11.05</v>
      </c>
      <c r="L118" s="345">
        <v>4.3</v>
      </c>
    </row>
    <row r="119" spans="1:12" ht="12.75" customHeight="1">
      <c r="F119" s="370" t="s">
        <v>1319</v>
      </c>
      <c r="G119" s="341" t="s">
        <v>1320</v>
      </c>
      <c r="H119" s="350">
        <v>4</v>
      </c>
      <c r="I119" s="351">
        <v>6</v>
      </c>
      <c r="J119" s="344" t="s">
        <v>1185</v>
      </c>
      <c r="K119" s="344">
        <v>4.34</v>
      </c>
      <c r="L119" s="345">
        <v>4.5</v>
      </c>
    </row>
    <row r="120" spans="1:12" ht="12.75" customHeight="1">
      <c r="F120" s="370" t="s">
        <v>1321</v>
      </c>
      <c r="G120" s="341" t="s">
        <v>1322</v>
      </c>
      <c r="H120" s="350">
        <v>4</v>
      </c>
      <c r="I120" s="351">
        <v>6</v>
      </c>
      <c r="J120" s="344" t="s">
        <v>1185</v>
      </c>
      <c r="K120" s="344">
        <v>4.34</v>
      </c>
      <c r="L120" s="345">
        <v>4.5</v>
      </c>
    </row>
    <row r="121" spans="1:12" ht="12.75" customHeight="1">
      <c r="A121" s="134"/>
      <c r="B121" s="134"/>
      <c r="C121" s="134"/>
      <c r="F121" s="370" t="s">
        <v>1323</v>
      </c>
      <c r="G121" s="369" t="s">
        <v>1324</v>
      </c>
      <c r="H121" s="350">
        <v>8</v>
      </c>
      <c r="I121" s="351">
        <v>10</v>
      </c>
      <c r="J121" s="344" t="s">
        <v>1159</v>
      </c>
      <c r="K121" s="344">
        <v>26</v>
      </c>
      <c r="L121" s="345">
        <v>8.4</v>
      </c>
    </row>
    <row r="122" spans="1:12" ht="12.75" customHeight="1">
      <c r="A122" s="134"/>
      <c r="B122" s="134"/>
      <c r="C122" s="134"/>
      <c r="F122" s="370" t="s">
        <v>1325</v>
      </c>
      <c r="G122" s="369" t="s">
        <v>1326</v>
      </c>
      <c r="H122" s="350">
        <v>8</v>
      </c>
      <c r="I122" s="351">
        <v>10</v>
      </c>
      <c r="J122" s="344" t="s">
        <v>1159</v>
      </c>
      <c r="K122" s="344">
        <v>26</v>
      </c>
      <c r="L122" s="345">
        <v>8.4</v>
      </c>
    </row>
    <row r="123" spans="1:12" ht="12.75" customHeight="1">
      <c r="A123" s="134"/>
      <c r="B123" s="134"/>
      <c r="C123" s="134"/>
      <c r="F123" s="370" t="s">
        <v>1327</v>
      </c>
      <c r="G123" s="346" t="s">
        <v>1328</v>
      </c>
      <c r="H123" s="347">
        <v>1.5</v>
      </c>
      <c r="I123" s="348">
        <v>2</v>
      </c>
      <c r="J123" s="344" t="s">
        <v>1220</v>
      </c>
      <c r="K123" s="344">
        <v>0.19600000000000001</v>
      </c>
      <c r="L123" s="345">
        <v>8.8000000000000007</v>
      </c>
    </row>
    <row r="124" spans="1:12" ht="12.75" customHeight="1">
      <c r="A124" s="134"/>
      <c r="B124" s="134"/>
      <c r="C124" s="134"/>
      <c r="D124" s="134"/>
      <c r="F124" s="367" t="s">
        <v>1329</v>
      </c>
      <c r="G124" s="341" t="s">
        <v>1330</v>
      </c>
      <c r="H124" s="347">
        <v>1</v>
      </c>
      <c r="I124" s="348" t="s">
        <v>1331</v>
      </c>
      <c r="J124" s="344"/>
      <c r="K124" s="344">
        <v>0.11</v>
      </c>
      <c r="L124" s="345" t="s">
        <v>1332</v>
      </c>
    </row>
    <row r="125" spans="1:12" ht="12.75" customHeight="1" thickBot="1">
      <c r="A125" s="134"/>
      <c r="B125" s="134"/>
      <c r="C125" s="134"/>
      <c r="D125" s="134"/>
      <c r="F125" s="377" t="s">
        <v>1333</v>
      </c>
      <c r="G125" s="378" t="s">
        <v>1334</v>
      </c>
      <c r="H125" s="379">
        <v>1</v>
      </c>
      <c r="I125" s="380">
        <v>1.5</v>
      </c>
      <c r="J125" s="381"/>
      <c r="K125" s="381">
        <v>0.11</v>
      </c>
      <c r="L125" s="382">
        <v>51</v>
      </c>
    </row>
    <row r="126" spans="1:12">
      <c r="A126" s="134"/>
      <c r="B126" s="134"/>
      <c r="C126" s="134"/>
      <c r="D126" s="134"/>
    </row>
    <row r="127" spans="1:12">
      <c r="A127" s="134"/>
      <c r="B127" s="134"/>
      <c r="C127" s="134"/>
      <c r="D127" s="134"/>
    </row>
    <row r="128" spans="1:12">
      <c r="A128" s="134"/>
      <c r="B128" s="134"/>
      <c r="C128" s="134"/>
    </row>
    <row r="129" spans="1:3">
      <c r="A129" s="134"/>
      <c r="B129" s="134"/>
      <c r="C129" s="134"/>
    </row>
    <row r="130" spans="1:3">
      <c r="A130" s="134"/>
      <c r="B130" s="134"/>
      <c r="C130" s="134"/>
    </row>
    <row r="131" spans="1:3">
      <c r="A131" s="134"/>
      <c r="B131" s="134"/>
      <c r="C131" s="134"/>
    </row>
  </sheetData>
  <mergeCells count="1">
    <mergeCell ref="G1:G2"/>
  </mergeCells>
  <phoneticPr fontId="14" type="noConversion"/>
  <hyperlinks>
    <hyperlink ref="L2" r:id="rId1"/>
  </hyperlinks>
  <pageMargins left="0.7" right="0.7" top="0.75" bottom="0.75" header="0.3" footer="0.3"/>
  <drawing r:id="rId2"/>
  <legacyDrawing r:id="rId3"/>
</worksheet>
</file>

<file path=xl/worksheets/sheet38.xml><?xml version="1.0" encoding="utf-8"?>
<worksheet xmlns="http://schemas.openxmlformats.org/spreadsheetml/2006/main" xmlns:r="http://schemas.openxmlformats.org/officeDocument/2006/relationships">
  <sheetPr>
    <tabColor rgb="FFFFFF00"/>
  </sheetPr>
  <dimension ref="A1:K56"/>
  <sheetViews>
    <sheetView workbookViewId="0"/>
  </sheetViews>
  <sheetFormatPr defaultRowHeight="12.75"/>
  <cols>
    <col min="1" max="1" width="8.875" style="52"/>
    <col min="2" max="2" width="16.625" style="52" bestFit="1" customWidth="1"/>
    <col min="3" max="3" width="27.625" style="52" customWidth="1"/>
    <col min="4" max="4" width="16.625" style="52" bestFit="1" customWidth="1"/>
    <col min="5" max="5" width="36.625" style="52" customWidth="1"/>
    <col min="6" max="6" width="17.875" style="52" bestFit="1" customWidth="1"/>
    <col min="7" max="7" width="16.625" style="52" bestFit="1" customWidth="1"/>
    <col min="8" max="8" width="19" style="52" bestFit="1" customWidth="1"/>
    <col min="9" max="9" width="17.875" style="52" bestFit="1" customWidth="1"/>
    <col min="10" max="10" width="19" style="52" bestFit="1" customWidth="1"/>
    <col min="11" max="11" width="17.875" style="52" bestFit="1" customWidth="1"/>
    <col min="12" max="257" width="8.875" style="52"/>
    <col min="258" max="258" width="16.625" style="52" bestFit="1" customWidth="1"/>
    <col min="259" max="259" width="60.375" style="52" bestFit="1" customWidth="1"/>
    <col min="260" max="260" width="16.625" style="52" bestFit="1" customWidth="1"/>
    <col min="261" max="261" width="19" style="52" bestFit="1" customWidth="1"/>
    <col min="262" max="262" width="17.875" style="52" bestFit="1" customWidth="1"/>
    <col min="263" max="263" width="16.625" style="52" bestFit="1" customWidth="1"/>
    <col min="264" max="264" width="19" style="52" bestFit="1" customWidth="1"/>
    <col min="265" max="265" width="17.875" style="52" bestFit="1" customWidth="1"/>
    <col min="266" max="266" width="19" style="52" bestFit="1" customWidth="1"/>
    <col min="267" max="267" width="17.875" style="52" bestFit="1" customWidth="1"/>
    <col min="268" max="513" width="8.875" style="52"/>
    <col min="514" max="514" width="16.625" style="52" bestFit="1" customWidth="1"/>
    <col min="515" max="515" width="60.375" style="52" bestFit="1" customWidth="1"/>
    <col min="516" max="516" width="16.625" style="52" bestFit="1" customWidth="1"/>
    <col min="517" max="517" width="19" style="52" bestFit="1" customWidth="1"/>
    <col min="518" max="518" width="17.875" style="52" bestFit="1" customWidth="1"/>
    <col min="519" max="519" width="16.625" style="52" bestFit="1" customWidth="1"/>
    <col min="520" max="520" width="19" style="52" bestFit="1" customWidth="1"/>
    <col min="521" max="521" width="17.875" style="52" bestFit="1" customWidth="1"/>
    <col min="522" max="522" width="19" style="52" bestFit="1" customWidth="1"/>
    <col min="523" max="523" width="17.875" style="52" bestFit="1" customWidth="1"/>
    <col min="524" max="769" width="8.875" style="52"/>
    <col min="770" max="770" width="16.625" style="52" bestFit="1" customWidth="1"/>
    <col min="771" max="771" width="60.375" style="52" bestFit="1" customWidth="1"/>
    <col min="772" max="772" width="16.625" style="52" bestFit="1" customWidth="1"/>
    <col min="773" max="773" width="19" style="52" bestFit="1" customWidth="1"/>
    <col min="774" max="774" width="17.875" style="52" bestFit="1" customWidth="1"/>
    <col min="775" max="775" width="16.625" style="52" bestFit="1" customWidth="1"/>
    <col min="776" max="776" width="19" style="52" bestFit="1" customWidth="1"/>
    <col min="777" max="777" width="17.875" style="52" bestFit="1" customWidth="1"/>
    <col min="778" max="778" width="19" style="52" bestFit="1" customWidth="1"/>
    <col min="779" max="779" width="17.875" style="52" bestFit="1" customWidth="1"/>
    <col min="780" max="1025" width="8.875" style="52"/>
    <col min="1026" max="1026" width="16.625" style="52" bestFit="1" customWidth="1"/>
    <col min="1027" max="1027" width="60.375" style="52" bestFit="1" customWidth="1"/>
    <col min="1028" max="1028" width="16.625" style="52" bestFit="1" customWidth="1"/>
    <col min="1029" max="1029" width="19" style="52" bestFit="1" customWidth="1"/>
    <col min="1030" max="1030" width="17.875" style="52" bestFit="1" customWidth="1"/>
    <col min="1031" max="1031" width="16.625" style="52" bestFit="1" customWidth="1"/>
    <col min="1032" max="1032" width="19" style="52" bestFit="1" customWidth="1"/>
    <col min="1033" max="1033" width="17.875" style="52" bestFit="1" customWidth="1"/>
    <col min="1034" max="1034" width="19" style="52" bestFit="1" customWidth="1"/>
    <col min="1035" max="1035" width="17.875" style="52" bestFit="1" customWidth="1"/>
    <col min="1036" max="1281" width="8.875" style="52"/>
    <col min="1282" max="1282" width="16.625" style="52" bestFit="1" customWidth="1"/>
    <col min="1283" max="1283" width="60.375" style="52" bestFit="1" customWidth="1"/>
    <col min="1284" max="1284" width="16.625" style="52" bestFit="1" customWidth="1"/>
    <col min="1285" max="1285" width="19" style="52" bestFit="1" customWidth="1"/>
    <col min="1286" max="1286" width="17.875" style="52" bestFit="1" customWidth="1"/>
    <col min="1287" max="1287" width="16.625" style="52" bestFit="1" customWidth="1"/>
    <col min="1288" max="1288" width="19" style="52" bestFit="1" customWidth="1"/>
    <col min="1289" max="1289" width="17.875" style="52" bestFit="1" customWidth="1"/>
    <col min="1290" max="1290" width="19" style="52" bestFit="1" customWidth="1"/>
    <col min="1291" max="1291" width="17.875" style="52" bestFit="1" customWidth="1"/>
    <col min="1292" max="1537" width="8.875" style="52"/>
    <col min="1538" max="1538" width="16.625" style="52" bestFit="1" customWidth="1"/>
    <col min="1539" max="1539" width="60.375" style="52" bestFit="1" customWidth="1"/>
    <col min="1540" max="1540" width="16.625" style="52" bestFit="1" customWidth="1"/>
    <col min="1541" max="1541" width="19" style="52" bestFit="1" customWidth="1"/>
    <col min="1542" max="1542" width="17.875" style="52" bestFit="1" customWidth="1"/>
    <col min="1543" max="1543" width="16.625" style="52" bestFit="1" customWidth="1"/>
    <col min="1544" max="1544" width="19" style="52" bestFit="1" customWidth="1"/>
    <col min="1545" max="1545" width="17.875" style="52" bestFit="1" customWidth="1"/>
    <col min="1546" max="1546" width="19" style="52" bestFit="1" customWidth="1"/>
    <col min="1547" max="1547" width="17.875" style="52" bestFit="1" customWidth="1"/>
    <col min="1548" max="1793" width="8.875" style="52"/>
    <col min="1794" max="1794" width="16.625" style="52" bestFit="1" customWidth="1"/>
    <col min="1795" max="1795" width="60.375" style="52" bestFit="1" customWidth="1"/>
    <col min="1796" max="1796" width="16.625" style="52" bestFit="1" customWidth="1"/>
    <col min="1797" max="1797" width="19" style="52" bestFit="1" customWidth="1"/>
    <col min="1798" max="1798" width="17.875" style="52" bestFit="1" customWidth="1"/>
    <col min="1799" max="1799" width="16.625" style="52" bestFit="1" customWidth="1"/>
    <col min="1800" max="1800" width="19" style="52" bestFit="1" customWidth="1"/>
    <col min="1801" max="1801" width="17.875" style="52" bestFit="1" customWidth="1"/>
    <col min="1802" max="1802" width="19" style="52" bestFit="1" customWidth="1"/>
    <col min="1803" max="1803" width="17.875" style="52" bestFit="1" customWidth="1"/>
    <col min="1804" max="2049" width="8.875" style="52"/>
    <col min="2050" max="2050" width="16.625" style="52" bestFit="1" customWidth="1"/>
    <col min="2051" max="2051" width="60.375" style="52" bestFit="1" customWidth="1"/>
    <col min="2052" max="2052" width="16.625" style="52" bestFit="1" customWidth="1"/>
    <col min="2053" max="2053" width="19" style="52" bestFit="1" customWidth="1"/>
    <col min="2054" max="2054" width="17.875" style="52" bestFit="1" customWidth="1"/>
    <col min="2055" max="2055" width="16.625" style="52" bestFit="1" customWidth="1"/>
    <col min="2056" max="2056" width="19" style="52" bestFit="1" customWidth="1"/>
    <col min="2057" max="2057" width="17.875" style="52" bestFit="1" customWidth="1"/>
    <col min="2058" max="2058" width="19" style="52" bestFit="1" customWidth="1"/>
    <col min="2059" max="2059" width="17.875" style="52" bestFit="1" customWidth="1"/>
    <col min="2060" max="2305" width="8.875" style="52"/>
    <col min="2306" max="2306" width="16.625" style="52" bestFit="1" customWidth="1"/>
    <col min="2307" max="2307" width="60.375" style="52" bestFit="1" customWidth="1"/>
    <col min="2308" max="2308" width="16.625" style="52" bestFit="1" customWidth="1"/>
    <col min="2309" max="2309" width="19" style="52" bestFit="1" customWidth="1"/>
    <col min="2310" max="2310" width="17.875" style="52" bestFit="1" customWidth="1"/>
    <col min="2311" max="2311" width="16.625" style="52" bestFit="1" customWidth="1"/>
    <col min="2312" max="2312" width="19" style="52" bestFit="1" customWidth="1"/>
    <col min="2313" max="2313" width="17.875" style="52" bestFit="1" customWidth="1"/>
    <col min="2314" max="2314" width="19" style="52" bestFit="1" customWidth="1"/>
    <col min="2315" max="2315" width="17.875" style="52" bestFit="1" customWidth="1"/>
    <col min="2316" max="2561" width="8.875" style="52"/>
    <col min="2562" max="2562" width="16.625" style="52" bestFit="1" customWidth="1"/>
    <col min="2563" max="2563" width="60.375" style="52" bestFit="1" customWidth="1"/>
    <col min="2564" max="2564" width="16.625" style="52" bestFit="1" customWidth="1"/>
    <col min="2565" max="2565" width="19" style="52" bestFit="1" customWidth="1"/>
    <col min="2566" max="2566" width="17.875" style="52" bestFit="1" customWidth="1"/>
    <col min="2567" max="2567" width="16.625" style="52" bestFit="1" customWidth="1"/>
    <col min="2568" max="2568" width="19" style="52" bestFit="1" customWidth="1"/>
    <col min="2569" max="2569" width="17.875" style="52" bestFit="1" customWidth="1"/>
    <col min="2570" max="2570" width="19" style="52" bestFit="1" customWidth="1"/>
    <col min="2571" max="2571" width="17.875" style="52" bestFit="1" customWidth="1"/>
    <col min="2572" max="2817" width="8.875" style="52"/>
    <col min="2818" max="2818" width="16.625" style="52" bestFit="1" customWidth="1"/>
    <col min="2819" max="2819" width="60.375" style="52" bestFit="1" customWidth="1"/>
    <col min="2820" max="2820" width="16.625" style="52" bestFit="1" customWidth="1"/>
    <col min="2821" max="2821" width="19" style="52" bestFit="1" customWidth="1"/>
    <col min="2822" max="2822" width="17.875" style="52" bestFit="1" customWidth="1"/>
    <col min="2823" max="2823" width="16.625" style="52" bestFit="1" customWidth="1"/>
    <col min="2824" max="2824" width="19" style="52" bestFit="1" customWidth="1"/>
    <col min="2825" max="2825" width="17.875" style="52" bestFit="1" customWidth="1"/>
    <col min="2826" max="2826" width="19" style="52" bestFit="1" customWidth="1"/>
    <col min="2827" max="2827" width="17.875" style="52" bestFit="1" customWidth="1"/>
    <col min="2828" max="3073" width="8.875" style="52"/>
    <col min="3074" max="3074" width="16.625" style="52" bestFit="1" customWidth="1"/>
    <col min="3075" max="3075" width="60.375" style="52" bestFit="1" customWidth="1"/>
    <col min="3076" max="3076" width="16.625" style="52" bestFit="1" customWidth="1"/>
    <col min="3077" max="3077" width="19" style="52" bestFit="1" customWidth="1"/>
    <col min="3078" max="3078" width="17.875" style="52" bestFit="1" customWidth="1"/>
    <col min="3079" max="3079" width="16.625" style="52" bestFit="1" customWidth="1"/>
    <col min="3080" max="3080" width="19" style="52" bestFit="1" customWidth="1"/>
    <col min="3081" max="3081" width="17.875" style="52" bestFit="1" customWidth="1"/>
    <col min="3082" max="3082" width="19" style="52" bestFit="1" customWidth="1"/>
    <col min="3083" max="3083" width="17.875" style="52" bestFit="1" customWidth="1"/>
    <col min="3084" max="3329" width="8.875" style="52"/>
    <col min="3330" max="3330" width="16.625" style="52" bestFit="1" customWidth="1"/>
    <col min="3331" max="3331" width="60.375" style="52" bestFit="1" customWidth="1"/>
    <col min="3332" max="3332" width="16.625" style="52" bestFit="1" customWidth="1"/>
    <col min="3333" max="3333" width="19" style="52" bestFit="1" customWidth="1"/>
    <col min="3334" max="3334" width="17.875" style="52" bestFit="1" customWidth="1"/>
    <col min="3335" max="3335" width="16.625" style="52" bestFit="1" customWidth="1"/>
    <col min="3336" max="3336" width="19" style="52" bestFit="1" customWidth="1"/>
    <col min="3337" max="3337" width="17.875" style="52" bestFit="1" customWidth="1"/>
    <col min="3338" max="3338" width="19" style="52" bestFit="1" customWidth="1"/>
    <col min="3339" max="3339" width="17.875" style="52" bestFit="1" customWidth="1"/>
    <col min="3340" max="3585" width="8.875" style="52"/>
    <col min="3586" max="3586" width="16.625" style="52" bestFit="1" customWidth="1"/>
    <col min="3587" max="3587" width="60.375" style="52" bestFit="1" customWidth="1"/>
    <col min="3588" max="3588" width="16.625" style="52" bestFit="1" customWidth="1"/>
    <col min="3589" max="3589" width="19" style="52" bestFit="1" customWidth="1"/>
    <col min="3590" max="3590" width="17.875" style="52" bestFit="1" customWidth="1"/>
    <col min="3591" max="3591" width="16.625" style="52" bestFit="1" customWidth="1"/>
    <col min="3592" max="3592" width="19" style="52" bestFit="1" customWidth="1"/>
    <col min="3593" max="3593" width="17.875" style="52" bestFit="1" customWidth="1"/>
    <col min="3594" max="3594" width="19" style="52" bestFit="1" customWidth="1"/>
    <col min="3595" max="3595" width="17.875" style="52" bestFit="1" customWidth="1"/>
    <col min="3596" max="3841" width="8.875" style="52"/>
    <col min="3842" max="3842" width="16.625" style="52" bestFit="1" customWidth="1"/>
    <col min="3843" max="3843" width="60.375" style="52" bestFit="1" customWidth="1"/>
    <col min="3844" max="3844" width="16.625" style="52" bestFit="1" customWidth="1"/>
    <col min="3845" max="3845" width="19" style="52" bestFit="1" customWidth="1"/>
    <col min="3846" max="3846" width="17.875" style="52" bestFit="1" customWidth="1"/>
    <col min="3847" max="3847" width="16.625" style="52" bestFit="1" customWidth="1"/>
    <col min="3848" max="3848" width="19" style="52" bestFit="1" customWidth="1"/>
    <col min="3849" max="3849" width="17.875" style="52" bestFit="1" customWidth="1"/>
    <col min="3850" max="3850" width="19" style="52" bestFit="1" customWidth="1"/>
    <col min="3851" max="3851" width="17.875" style="52" bestFit="1" customWidth="1"/>
    <col min="3852" max="4097" width="8.875" style="52"/>
    <col min="4098" max="4098" width="16.625" style="52" bestFit="1" customWidth="1"/>
    <col min="4099" max="4099" width="60.375" style="52" bestFit="1" customWidth="1"/>
    <col min="4100" max="4100" width="16.625" style="52" bestFit="1" customWidth="1"/>
    <col min="4101" max="4101" width="19" style="52" bestFit="1" customWidth="1"/>
    <col min="4102" max="4102" width="17.875" style="52" bestFit="1" customWidth="1"/>
    <col min="4103" max="4103" width="16.625" style="52" bestFit="1" customWidth="1"/>
    <col min="4104" max="4104" width="19" style="52" bestFit="1" customWidth="1"/>
    <col min="4105" max="4105" width="17.875" style="52" bestFit="1" customWidth="1"/>
    <col min="4106" max="4106" width="19" style="52" bestFit="1" customWidth="1"/>
    <col min="4107" max="4107" width="17.875" style="52" bestFit="1" customWidth="1"/>
    <col min="4108" max="4353" width="8.875" style="52"/>
    <col min="4354" max="4354" width="16.625" style="52" bestFit="1" customWidth="1"/>
    <col min="4355" max="4355" width="60.375" style="52" bestFit="1" customWidth="1"/>
    <col min="4356" max="4356" width="16.625" style="52" bestFit="1" customWidth="1"/>
    <col min="4357" max="4357" width="19" style="52" bestFit="1" customWidth="1"/>
    <col min="4358" max="4358" width="17.875" style="52" bestFit="1" customWidth="1"/>
    <col min="4359" max="4359" width="16.625" style="52" bestFit="1" customWidth="1"/>
    <col min="4360" max="4360" width="19" style="52" bestFit="1" customWidth="1"/>
    <col min="4361" max="4361" width="17.875" style="52" bestFit="1" customWidth="1"/>
    <col min="4362" max="4362" width="19" style="52" bestFit="1" customWidth="1"/>
    <col min="4363" max="4363" width="17.875" style="52" bestFit="1" customWidth="1"/>
    <col min="4364" max="4609" width="8.875" style="52"/>
    <col min="4610" max="4610" width="16.625" style="52" bestFit="1" customWidth="1"/>
    <col min="4611" max="4611" width="60.375" style="52" bestFit="1" customWidth="1"/>
    <col min="4612" max="4612" width="16.625" style="52" bestFit="1" customWidth="1"/>
    <col min="4613" max="4613" width="19" style="52" bestFit="1" customWidth="1"/>
    <col min="4614" max="4614" width="17.875" style="52" bestFit="1" customWidth="1"/>
    <col min="4615" max="4615" width="16.625" style="52" bestFit="1" customWidth="1"/>
    <col min="4616" max="4616" width="19" style="52" bestFit="1" customWidth="1"/>
    <col min="4617" max="4617" width="17.875" style="52" bestFit="1" customWidth="1"/>
    <col min="4618" max="4618" width="19" style="52" bestFit="1" customWidth="1"/>
    <col min="4619" max="4619" width="17.875" style="52" bestFit="1" customWidth="1"/>
    <col min="4620" max="4865" width="8.875" style="52"/>
    <col min="4866" max="4866" width="16.625" style="52" bestFit="1" customWidth="1"/>
    <col min="4867" max="4867" width="60.375" style="52" bestFit="1" customWidth="1"/>
    <col min="4868" max="4868" width="16.625" style="52" bestFit="1" customWidth="1"/>
    <col min="4869" max="4869" width="19" style="52" bestFit="1" customWidth="1"/>
    <col min="4870" max="4870" width="17.875" style="52" bestFit="1" customWidth="1"/>
    <col min="4871" max="4871" width="16.625" style="52" bestFit="1" customWidth="1"/>
    <col min="4872" max="4872" width="19" style="52" bestFit="1" customWidth="1"/>
    <col min="4873" max="4873" width="17.875" style="52" bestFit="1" customWidth="1"/>
    <col min="4874" max="4874" width="19" style="52" bestFit="1" customWidth="1"/>
    <col min="4875" max="4875" width="17.875" style="52" bestFit="1" customWidth="1"/>
    <col min="4876" max="5121" width="8.875" style="52"/>
    <col min="5122" max="5122" width="16.625" style="52" bestFit="1" customWidth="1"/>
    <col min="5123" max="5123" width="60.375" style="52" bestFit="1" customWidth="1"/>
    <col min="5124" max="5124" width="16.625" style="52" bestFit="1" customWidth="1"/>
    <col min="5125" max="5125" width="19" style="52" bestFit="1" customWidth="1"/>
    <col min="5126" max="5126" width="17.875" style="52" bestFit="1" customWidth="1"/>
    <col min="5127" max="5127" width="16.625" style="52" bestFit="1" customWidth="1"/>
    <col min="5128" max="5128" width="19" style="52" bestFit="1" customWidth="1"/>
    <col min="5129" max="5129" width="17.875" style="52" bestFit="1" customWidth="1"/>
    <col min="5130" max="5130" width="19" style="52" bestFit="1" customWidth="1"/>
    <col min="5131" max="5131" width="17.875" style="52" bestFit="1" customWidth="1"/>
    <col min="5132" max="5377" width="8.875" style="52"/>
    <col min="5378" max="5378" width="16.625" style="52" bestFit="1" customWidth="1"/>
    <col min="5379" max="5379" width="60.375" style="52" bestFit="1" customWidth="1"/>
    <col min="5380" max="5380" width="16.625" style="52" bestFit="1" customWidth="1"/>
    <col min="5381" max="5381" width="19" style="52" bestFit="1" customWidth="1"/>
    <col min="5382" max="5382" width="17.875" style="52" bestFit="1" customWidth="1"/>
    <col min="5383" max="5383" width="16.625" style="52" bestFit="1" customWidth="1"/>
    <col min="5384" max="5384" width="19" style="52" bestFit="1" customWidth="1"/>
    <col min="5385" max="5385" width="17.875" style="52" bestFit="1" customWidth="1"/>
    <col min="5386" max="5386" width="19" style="52" bestFit="1" customWidth="1"/>
    <col min="5387" max="5387" width="17.875" style="52" bestFit="1" customWidth="1"/>
    <col min="5388" max="5633" width="8.875" style="52"/>
    <col min="5634" max="5634" width="16.625" style="52" bestFit="1" customWidth="1"/>
    <col min="5635" max="5635" width="60.375" style="52" bestFit="1" customWidth="1"/>
    <col min="5636" max="5636" width="16.625" style="52" bestFit="1" customWidth="1"/>
    <col min="5637" max="5637" width="19" style="52" bestFit="1" customWidth="1"/>
    <col min="5638" max="5638" width="17.875" style="52" bestFit="1" customWidth="1"/>
    <col min="5639" max="5639" width="16.625" style="52" bestFit="1" customWidth="1"/>
    <col min="5640" max="5640" width="19" style="52" bestFit="1" customWidth="1"/>
    <col min="5641" max="5641" width="17.875" style="52" bestFit="1" customWidth="1"/>
    <col min="5642" max="5642" width="19" style="52" bestFit="1" customWidth="1"/>
    <col min="5643" max="5643" width="17.875" style="52" bestFit="1" customWidth="1"/>
    <col min="5644" max="5889" width="8.875" style="52"/>
    <col min="5890" max="5890" width="16.625" style="52" bestFit="1" customWidth="1"/>
    <col min="5891" max="5891" width="60.375" style="52" bestFit="1" customWidth="1"/>
    <col min="5892" max="5892" width="16.625" style="52" bestFit="1" customWidth="1"/>
    <col min="5893" max="5893" width="19" style="52" bestFit="1" customWidth="1"/>
    <col min="5894" max="5894" width="17.875" style="52" bestFit="1" customWidth="1"/>
    <col min="5895" max="5895" width="16.625" style="52" bestFit="1" customWidth="1"/>
    <col min="5896" max="5896" width="19" style="52" bestFit="1" customWidth="1"/>
    <col min="5897" max="5897" width="17.875" style="52" bestFit="1" customWidth="1"/>
    <col min="5898" max="5898" width="19" style="52" bestFit="1" customWidth="1"/>
    <col min="5899" max="5899" width="17.875" style="52" bestFit="1" customWidth="1"/>
    <col min="5900" max="6145" width="8.875" style="52"/>
    <col min="6146" max="6146" width="16.625" style="52" bestFit="1" customWidth="1"/>
    <col min="6147" max="6147" width="60.375" style="52" bestFit="1" customWidth="1"/>
    <col min="6148" max="6148" width="16.625" style="52" bestFit="1" customWidth="1"/>
    <col min="6149" max="6149" width="19" style="52" bestFit="1" customWidth="1"/>
    <col min="6150" max="6150" width="17.875" style="52" bestFit="1" customWidth="1"/>
    <col min="6151" max="6151" width="16.625" style="52" bestFit="1" customWidth="1"/>
    <col min="6152" max="6152" width="19" style="52" bestFit="1" customWidth="1"/>
    <col min="6153" max="6153" width="17.875" style="52" bestFit="1" customWidth="1"/>
    <col min="6154" max="6154" width="19" style="52" bestFit="1" customWidth="1"/>
    <col min="6155" max="6155" width="17.875" style="52" bestFit="1" customWidth="1"/>
    <col min="6156" max="6401" width="8.875" style="52"/>
    <col min="6402" max="6402" width="16.625" style="52" bestFit="1" customWidth="1"/>
    <col min="6403" max="6403" width="60.375" style="52" bestFit="1" customWidth="1"/>
    <col min="6404" max="6404" width="16.625" style="52" bestFit="1" customWidth="1"/>
    <col min="6405" max="6405" width="19" style="52" bestFit="1" customWidth="1"/>
    <col min="6406" max="6406" width="17.875" style="52" bestFit="1" customWidth="1"/>
    <col min="6407" max="6407" width="16.625" style="52" bestFit="1" customWidth="1"/>
    <col min="6408" max="6408" width="19" style="52" bestFit="1" customWidth="1"/>
    <col min="6409" max="6409" width="17.875" style="52" bestFit="1" customWidth="1"/>
    <col min="6410" max="6410" width="19" style="52" bestFit="1" customWidth="1"/>
    <col min="6411" max="6411" width="17.875" style="52" bestFit="1" customWidth="1"/>
    <col min="6412" max="6657" width="8.875" style="52"/>
    <col min="6658" max="6658" width="16.625" style="52" bestFit="1" customWidth="1"/>
    <col min="6659" max="6659" width="60.375" style="52" bestFit="1" customWidth="1"/>
    <col min="6660" max="6660" width="16.625" style="52" bestFit="1" customWidth="1"/>
    <col min="6661" max="6661" width="19" style="52" bestFit="1" customWidth="1"/>
    <col min="6662" max="6662" width="17.875" style="52" bestFit="1" customWidth="1"/>
    <col min="6663" max="6663" width="16.625" style="52" bestFit="1" customWidth="1"/>
    <col min="6664" max="6664" width="19" style="52" bestFit="1" customWidth="1"/>
    <col min="6665" max="6665" width="17.875" style="52" bestFit="1" customWidth="1"/>
    <col min="6666" max="6666" width="19" style="52" bestFit="1" customWidth="1"/>
    <col min="6667" max="6667" width="17.875" style="52" bestFit="1" customWidth="1"/>
    <col min="6668" max="6913" width="8.875" style="52"/>
    <col min="6914" max="6914" width="16.625" style="52" bestFit="1" customWidth="1"/>
    <col min="6915" max="6915" width="60.375" style="52" bestFit="1" customWidth="1"/>
    <col min="6916" max="6916" width="16.625" style="52" bestFit="1" customWidth="1"/>
    <col min="6917" max="6917" width="19" style="52" bestFit="1" customWidth="1"/>
    <col min="6918" max="6918" width="17.875" style="52" bestFit="1" customWidth="1"/>
    <col min="6919" max="6919" width="16.625" style="52" bestFit="1" customWidth="1"/>
    <col min="6920" max="6920" width="19" style="52" bestFit="1" customWidth="1"/>
    <col min="6921" max="6921" width="17.875" style="52" bestFit="1" customWidth="1"/>
    <col min="6922" max="6922" width="19" style="52" bestFit="1" customWidth="1"/>
    <col min="6923" max="6923" width="17.875" style="52" bestFit="1" customWidth="1"/>
    <col min="6924" max="7169" width="8.875" style="52"/>
    <col min="7170" max="7170" width="16.625" style="52" bestFit="1" customWidth="1"/>
    <col min="7171" max="7171" width="60.375" style="52" bestFit="1" customWidth="1"/>
    <col min="7172" max="7172" width="16.625" style="52" bestFit="1" customWidth="1"/>
    <col min="7173" max="7173" width="19" style="52" bestFit="1" customWidth="1"/>
    <col min="7174" max="7174" width="17.875" style="52" bestFit="1" customWidth="1"/>
    <col min="7175" max="7175" width="16.625" style="52" bestFit="1" customWidth="1"/>
    <col min="7176" max="7176" width="19" style="52" bestFit="1" customWidth="1"/>
    <col min="7177" max="7177" width="17.875" style="52" bestFit="1" customWidth="1"/>
    <col min="7178" max="7178" width="19" style="52" bestFit="1" customWidth="1"/>
    <col min="7179" max="7179" width="17.875" style="52" bestFit="1" customWidth="1"/>
    <col min="7180" max="7425" width="8.875" style="52"/>
    <col min="7426" max="7426" width="16.625" style="52" bestFit="1" customWidth="1"/>
    <col min="7427" max="7427" width="60.375" style="52" bestFit="1" customWidth="1"/>
    <col min="7428" max="7428" width="16.625" style="52" bestFit="1" customWidth="1"/>
    <col min="7429" max="7429" width="19" style="52" bestFit="1" customWidth="1"/>
    <col min="7430" max="7430" width="17.875" style="52" bestFit="1" customWidth="1"/>
    <col min="7431" max="7431" width="16.625" style="52" bestFit="1" customWidth="1"/>
    <col min="7432" max="7432" width="19" style="52" bestFit="1" customWidth="1"/>
    <col min="7433" max="7433" width="17.875" style="52" bestFit="1" customWidth="1"/>
    <col min="7434" max="7434" width="19" style="52" bestFit="1" customWidth="1"/>
    <col min="7435" max="7435" width="17.875" style="52" bestFit="1" customWidth="1"/>
    <col min="7436" max="7681" width="8.875" style="52"/>
    <col min="7682" max="7682" width="16.625" style="52" bestFit="1" customWidth="1"/>
    <col min="7683" max="7683" width="60.375" style="52" bestFit="1" customWidth="1"/>
    <col min="7684" max="7684" width="16.625" style="52" bestFit="1" customWidth="1"/>
    <col min="7685" max="7685" width="19" style="52" bestFit="1" customWidth="1"/>
    <col min="7686" max="7686" width="17.875" style="52" bestFit="1" customWidth="1"/>
    <col min="7687" max="7687" width="16.625" style="52" bestFit="1" customWidth="1"/>
    <col min="7688" max="7688" width="19" style="52" bestFit="1" customWidth="1"/>
    <col min="7689" max="7689" width="17.875" style="52" bestFit="1" customWidth="1"/>
    <col min="7690" max="7690" width="19" style="52" bestFit="1" customWidth="1"/>
    <col min="7691" max="7691" width="17.875" style="52" bestFit="1" customWidth="1"/>
    <col min="7692" max="7937" width="8.875" style="52"/>
    <col min="7938" max="7938" width="16.625" style="52" bestFit="1" customWidth="1"/>
    <col min="7939" max="7939" width="60.375" style="52" bestFit="1" customWidth="1"/>
    <col min="7940" max="7940" width="16.625" style="52" bestFit="1" customWidth="1"/>
    <col min="7941" max="7941" width="19" style="52" bestFit="1" customWidth="1"/>
    <col min="7942" max="7942" width="17.875" style="52" bestFit="1" customWidth="1"/>
    <col min="7943" max="7943" width="16.625" style="52" bestFit="1" customWidth="1"/>
    <col min="7944" max="7944" width="19" style="52" bestFit="1" customWidth="1"/>
    <col min="7945" max="7945" width="17.875" style="52" bestFit="1" customWidth="1"/>
    <col min="7946" max="7946" width="19" style="52" bestFit="1" customWidth="1"/>
    <col min="7947" max="7947" width="17.875" style="52" bestFit="1" customWidth="1"/>
    <col min="7948" max="8193" width="8.875" style="52"/>
    <col min="8194" max="8194" width="16.625" style="52" bestFit="1" customWidth="1"/>
    <col min="8195" max="8195" width="60.375" style="52" bestFit="1" customWidth="1"/>
    <col min="8196" max="8196" width="16.625" style="52" bestFit="1" customWidth="1"/>
    <col min="8197" max="8197" width="19" style="52" bestFit="1" customWidth="1"/>
    <col min="8198" max="8198" width="17.875" style="52" bestFit="1" customWidth="1"/>
    <col min="8199" max="8199" width="16.625" style="52" bestFit="1" customWidth="1"/>
    <col min="8200" max="8200" width="19" style="52" bestFit="1" customWidth="1"/>
    <col min="8201" max="8201" width="17.875" style="52" bestFit="1" customWidth="1"/>
    <col min="8202" max="8202" width="19" style="52" bestFit="1" customWidth="1"/>
    <col min="8203" max="8203" width="17.875" style="52" bestFit="1" customWidth="1"/>
    <col min="8204" max="8449" width="8.875" style="52"/>
    <col min="8450" max="8450" width="16.625" style="52" bestFit="1" customWidth="1"/>
    <col min="8451" max="8451" width="60.375" style="52" bestFit="1" customWidth="1"/>
    <col min="8452" max="8452" width="16.625" style="52" bestFit="1" customWidth="1"/>
    <col min="8453" max="8453" width="19" style="52" bestFit="1" customWidth="1"/>
    <col min="8454" max="8454" width="17.875" style="52" bestFit="1" customWidth="1"/>
    <col min="8455" max="8455" width="16.625" style="52" bestFit="1" customWidth="1"/>
    <col min="8456" max="8456" width="19" style="52" bestFit="1" customWidth="1"/>
    <col min="8457" max="8457" width="17.875" style="52" bestFit="1" customWidth="1"/>
    <col min="8458" max="8458" width="19" style="52" bestFit="1" customWidth="1"/>
    <col min="8459" max="8459" width="17.875" style="52" bestFit="1" customWidth="1"/>
    <col min="8460" max="8705" width="8.875" style="52"/>
    <col min="8706" max="8706" width="16.625" style="52" bestFit="1" customWidth="1"/>
    <col min="8707" max="8707" width="60.375" style="52" bestFit="1" customWidth="1"/>
    <col min="8708" max="8708" width="16.625" style="52" bestFit="1" customWidth="1"/>
    <col min="8709" max="8709" width="19" style="52" bestFit="1" customWidth="1"/>
    <col min="8710" max="8710" width="17.875" style="52" bestFit="1" customWidth="1"/>
    <col min="8711" max="8711" width="16.625" style="52" bestFit="1" customWidth="1"/>
    <col min="8712" max="8712" width="19" style="52" bestFit="1" customWidth="1"/>
    <col min="8713" max="8713" width="17.875" style="52" bestFit="1" customWidth="1"/>
    <col min="8714" max="8714" width="19" style="52" bestFit="1" customWidth="1"/>
    <col min="8715" max="8715" width="17.875" style="52" bestFit="1" customWidth="1"/>
    <col min="8716" max="8961" width="8.875" style="52"/>
    <col min="8962" max="8962" width="16.625" style="52" bestFit="1" customWidth="1"/>
    <col min="8963" max="8963" width="60.375" style="52" bestFit="1" customWidth="1"/>
    <col min="8964" max="8964" width="16.625" style="52" bestFit="1" customWidth="1"/>
    <col min="8965" max="8965" width="19" style="52" bestFit="1" customWidth="1"/>
    <col min="8966" max="8966" width="17.875" style="52" bestFit="1" customWidth="1"/>
    <col min="8967" max="8967" width="16.625" style="52" bestFit="1" customWidth="1"/>
    <col min="8968" max="8968" width="19" style="52" bestFit="1" customWidth="1"/>
    <col min="8969" max="8969" width="17.875" style="52" bestFit="1" customWidth="1"/>
    <col min="8970" max="8970" width="19" style="52" bestFit="1" customWidth="1"/>
    <col min="8971" max="8971" width="17.875" style="52" bestFit="1" customWidth="1"/>
    <col min="8972" max="9217" width="8.875" style="52"/>
    <col min="9218" max="9218" width="16.625" style="52" bestFit="1" customWidth="1"/>
    <col min="9219" max="9219" width="60.375" style="52" bestFit="1" customWidth="1"/>
    <col min="9220" max="9220" width="16.625" style="52" bestFit="1" customWidth="1"/>
    <col min="9221" max="9221" width="19" style="52" bestFit="1" customWidth="1"/>
    <col min="9222" max="9222" width="17.875" style="52" bestFit="1" customWidth="1"/>
    <col min="9223" max="9223" width="16.625" style="52" bestFit="1" customWidth="1"/>
    <col min="9224" max="9224" width="19" style="52" bestFit="1" customWidth="1"/>
    <col min="9225" max="9225" width="17.875" style="52" bestFit="1" customWidth="1"/>
    <col min="9226" max="9226" width="19" style="52" bestFit="1" customWidth="1"/>
    <col min="9227" max="9227" width="17.875" style="52" bestFit="1" customWidth="1"/>
    <col min="9228" max="9473" width="8.875" style="52"/>
    <col min="9474" max="9474" width="16.625" style="52" bestFit="1" customWidth="1"/>
    <col min="9475" max="9475" width="60.375" style="52" bestFit="1" customWidth="1"/>
    <col min="9476" max="9476" width="16.625" style="52" bestFit="1" customWidth="1"/>
    <col min="9477" max="9477" width="19" style="52" bestFit="1" customWidth="1"/>
    <col min="9478" max="9478" width="17.875" style="52" bestFit="1" customWidth="1"/>
    <col min="9479" max="9479" width="16.625" style="52" bestFit="1" customWidth="1"/>
    <col min="9480" max="9480" width="19" style="52" bestFit="1" customWidth="1"/>
    <col min="9481" max="9481" width="17.875" style="52" bestFit="1" customWidth="1"/>
    <col min="9482" max="9482" width="19" style="52" bestFit="1" customWidth="1"/>
    <col min="9483" max="9483" width="17.875" style="52" bestFit="1" customWidth="1"/>
    <col min="9484" max="9729" width="8.875" style="52"/>
    <col min="9730" max="9730" width="16.625" style="52" bestFit="1" customWidth="1"/>
    <col min="9731" max="9731" width="60.375" style="52" bestFit="1" customWidth="1"/>
    <col min="9732" max="9732" width="16.625" style="52" bestFit="1" customWidth="1"/>
    <col min="9733" max="9733" width="19" style="52" bestFit="1" customWidth="1"/>
    <col min="9734" max="9734" width="17.875" style="52" bestFit="1" customWidth="1"/>
    <col min="9735" max="9735" width="16.625" style="52" bestFit="1" customWidth="1"/>
    <col min="9736" max="9736" width="19" style="52" bestFit="1" customWidth="1"/>
    <col min="9737" max="9737" width="17.875" style="52" bestFit="1" customWidth="1"/>
    <col min="9738" max="9738" width="19" style="52" bestFit="1" customWidth="1"/>
    <col min="9739" max="9739" width="17.875" style="52" bestFit="1" customWidth="1"/>
    <col min="9740" max="9985" width="8.875" style="52"/>
    <col min="9986" max="9986" width="16.625" style="52" bestFit="1" customWidth="1"/>
    <col min="9987" max="9987" width="60.375" style="52" bestFit="1" customWidth="1"/>
    <col min="9988" max="9988" width="16.625" style="52" bestFit="1" customWidth="1"/>
    <col min="9989" max="9989" width="19" style="52" bestFit="1" customWidth="1"/>
    <col min="9990" max="9990" width="17.875" style="52" bestFit="1" customWidth="1"/>
    <col min="9991" max="9991" width="16.625" style="52" bestFit="1" customWidth="1"/>
    <col min="9992" max="9992" width="19" style="52" bestFit="1" customWidth="1"/>
    <col min="9993" max="9993" width="17.875" style="52" bestFit="1" customWidth="1"/>
    <col min="9994" max="9994" width="19" style="52" bestFit="1" customWidth="1"/>
    <col min="9995" max="9995" width="17.875" style="52" bestFit="1" customWidth="1"/>
    <col min="9996" max="10241" width="8.875" style="52"/>
    <col min="10242" max="10242" width="16.625" style="52" bestFit="1" customWidth="1"/>
    <col min="10243" max="10243" width="60.375" style="52" bestFit="1" customWidth="1"/>
    <col min="10244" max="10244" width="16.625" style="52" bestFit="1" customWidth="1"/>
    <col min="10245" max="10245" width="19" style="52" bestFit="1" customWidth="1"/>
    <col min="10246" max="10246" width="17.875" style="52" bestFit="1" customWidth="1"/>
    <col min="10247" max="10247" width="16.625" style="52" bestFit="1" customWidth="1"/>
    <col min="10248" max="10248" width="19" style="52" bestFit="1" customWidth="1"/>
    <col min="10249" max="10249" width="17.875" style="52" bestFit="1" customWidth="1"/>
    <col min="10250" max="10250" width="19" style="52" bestFit="1" customWidth="1"/>
    <col min="10251" max="10251" width="17.875" style="52" bestFit="1" customWidth="1"/>
    <col min="10252" max="10497" width="8.875" style="52"/>
    <col min="10498" max="10498" width="16.625" style="52" bestFit="1" customWidth="1"/>
    <col min="10499" max="10499" width="60.375" style="52" bestFit="1" customWidth="1"/>
    <col min="10500" max="10500" width="16.625" style="52" bestFit="1" customWidth="1"/>
    <col min="10501" max="10501" width="19" style="52" bestFit="1" customWidth="1"/>
    <col min="10502" max="10502" width="17.875" style="52" bestFit="1" customWidth="1"/>
    <col min="10503" max="10503" width="16.625" style="52" bestFit="1" customWidth="1"/>
    <col min="10504" max="10504" width="19" style="52" bestFit="1" customWidth="1"/>
    <col min="10505" max="10505" width="17.875" style="52" bestFit="1" customWidth="1"/>
    <col min="10506" max="10506" width="19" style="52" bestFit="1" customWidth="1"/>
    <col min="10507" max="10507" width="17.875" style="52" bestFit="1" customWidth="1"/>
    <col min="10508" max="10753" width="8.875" style="52"/>
    <col min="10754" max="10754" width="16.625" style="52" bestFit="1" customWidth="1"/>
    <col min="10755" max="10755" width="60.375" style="52" bestFit="1" customWidth="1"/>
    <col min="10756" max="10756" width="16.625" style="52" bestFit="1" customWidth="1"/>
    <col min="10757" max="10757" width="19" style="52" bestFit="1" customWidth="1"/>
    <col min="10758" max="10758" width="17.875" style="52" bestFit="1" customWidth="1"/>
    <col min="10759" max="10759" width="16.625" style="52" bestFit="1" customWidth="1"/>
    <col min="10760" max="10760" width="19" style="52" bestFit="1" customWidth="1"/>
    <col min="10761" max="10761" width="17.875" style="52" bestFit="1" customWidth="1"/>
    <col min="10762" max="10762" width="19" style="52" bestFit="1" customWidth="1"/>
    <col min="10763" max="10763" width="17.875" style="52" bestFit="1" customWidth="1"/>
    <col min="10764" max="11009" width="8.875" style="52"/>
    <col min="11010" max="11010" width="16.625" style="52" bestFit="1" customWidth="1"/>
    <col min="11011" max="11011" width="60.375" style="52" bestFit="1" customWidth="1"/>
    <col min="11012" max="11012" width="16.625" style="52" bestFit="1" customWidth="1"/>
    <col min="11013" max="11013" width="19" style="52" bestFit="1" customWidth="1"/>
    <col min="11014" max="11014" width="17.875" style="52" bestFit="1" customWidth="1"/>
    <col min="11015" max="11015" width="16.625" style="52" bestFit="1" customWidth="1"/>
    <col min="11016" max="11016" width="19" style="52" bestFit="1" customWidth="1"/>
    <col min="11017" max="11017" width="17.875" style="52" bestFit="1" customWidth="1"/>
    <col min="11018" max="11018" width="19" style="52" bestFit="1" customWidth="1"/>
    <col min="11019" max="11019" width="17.875" style="52" bestFit="1" customWidth="1"/>
    <col min="11020" max="11265" width="8.875" style="52"/>
    <col min="11266" max="11266" width="16.625" style="52" bestFit="1" customWidth="1"/>
    <col min="11267" max="11267" width="60.375" style="52" bestFit="1" customWidth="1"/>
    <col min="11268" max="11268" width="16.625" style="52" bestFit="1" customWidth="1"/>
    <col min="11269" max="11269" width="19" style="52" bestFit="1" customWidth="1"/>
    <col min="11270" max="11270" width="17.875" style="52" bestFit="1" customWidth="1"/>
    <col min="11271" max="11271" width="16.625" style="52" bestFit="1" customWidth="1"/>
    <col min="11272" max="11272" width="19" style="52" bestFit="1" customWidth="1"/>
    <col min="11273" max="11273" width="17.875" style="52" bestFit="1" customWidth="1"/>
    <col min="11274" max="11274" width="19" style="52" bestFit="1" customWidth="1"/>
    <col min="11275" max="11275" width="17.875" style="52" bestFit="1" customWidth="1"/>
    <col min="11276" max="11521" width="8.875" style="52"/>
    <col min="11522" max="11522" width="16.625" style="52" bestFit="1" customWidth="1"/>
    <col min="11523" max="11523" width="60.375" style="52" bestFit="1" customWidth="1"/>
    <col min="11524" max="11524" width="16.625" style="52" bestFit="1" customWidth="1"/>
    <col min="11525" max="11525" width="19" style="52" bestFit="1" customWidth="1"/>
    <col min="11526" max="11526" width="17.875" style="52" bestFit="1" customWidth="1"/>
    <col min="11527" max="11527" width="16.625" style="52" bestFit="1" customWidth="1"/>
    <col min="11528" max="11528" width="19" style="52" bestFit="1" customWidth="1"/>
    <col min="11529" max="11529" width="17.875" style="52" bestFit="1" customWidth="1"/>
    <col min="11530" max="11530" width="19" style="52" bestFit="1" customWidth="1"/>
    <col min="11531" max="11531" width="17.875" style="52" bestFit="1" customWidth="1"/>
    <col min="11532" max="11777" width="8.875" style="52"/>
    <col min="11778" max="11778" width="16.625" style="52" bestFit="1" customWidth="1"/>
    <col min="11779" max="11779" width="60.375" style="52" bestFit="1" customWidth="1"/>
    <col min="11780" max="11780" width="16.625" style="52" bestFit="1" customWidth="1"/>
    <col min="11781" max="11781" width="19" style="52" bestFit="1" customWidth="1"/>
    <col min="11782" max="11782" width="17.875" style="52" bestFit="1" customWidth="1"/>
    <col min="11783" max="11783" width="16.625" style="52" bestFit="1" customWidth="1"/>
    <col min="11784" max="11784" width="19" style="52" bestFit="1" customWidth="1"/>
    <col min="11785" max="11785" width="17.875" style="52" bestFit="1" customWidth="1"/>
    <col min="11786" max="11786" width="19" style="52" bestFit="1" customWidth="1"/>
    <col min="11787" max="11787" width="17.875" style="52" bestFit="1" customWidth="1"/>
    <col min="11788" max="12033" width="8.875" style="52"/>
    <col min="12034" max="12034" width="16.625" style="52" bestFit="1" customWidth="1"/>
    <col min="12035" max="12035" width="60.375" style="52" bestFit="1" customWidth="1"/>
    <col min="12036" max="12036" width="16.625" style="52" bestFit="1" customWidth="1"/>
    <col min="12037" max="12037" width="19" style="52" bestFit="1" customWidth="1"/>
    <col min="12038" max="12038" width="17.875" style="52" bestFit="1" customWidth="1"/>
    <col min="12039" max="12039" width="16.625" style="52" bestFit="1" customWidth="1"/>
    <col min="12040" max="12040" width="19" style="52" bestFit="1" customWidth="1"/>
    <col min="12041" max="12041" width="17.875" style="52" bestFit="1" customWidth="1"/>
    <col min="12042" max="12042" width="19" style="52" bestFit="1" customWidth="1"/>
    <col min="12043" max="12043" width="17.875" style="52" bestFit="1" customWidth="1"/>
    <col min="12044" max="12289" width="8.875" style="52"/>
    <col min="12290" max="12290" width="16.625" style="52" bestFit="1" customWidth="1"/>
    <col min="12291" max="12291" width="60.375" style="52" bestFit="1" customWidth="1"/>
    <col min="12292" max="12292" width="16.625" style="52" bestFit="1" customWidth="1"/>
    <col min="12293" max="12293" width="19" style="52" bestFit="1" customWidth="1"/>
    <col min="12294" max="12294" width="17.875" style="52" bestFit="1" customWidth="1"/>
    <col min="12295" max="12295" width="16.625" style="52" bestFit="1" customWidth="1"/>
    <col min="12296" max="12296" width="19" style="52" bestFit="1" customWidth="1"/>
    <col min="12297" max="12297" width="17.875" style="52" bestFit="1" customWidth="1"/>
    <col min="12298" max="12298" width="19" style="52" bestFit="1" customWidth="1"/>
    <col min="12299" max="12299" width="17.875" style="52" bestFit="1" customWidth="1"/>
    <col min="12300" max="12545" width="8.875" style="52"/>
    <col min="12546" max="12546" width="16.625" style="52" bestFit="1" customWidth="1"/>
    <col min="12547" max="12547" width="60.375" style="52" bestFit="1" customWidth="1"/>
    <col min="12548" max="12548" width="16.625" style="52" bestFit="1" customWidth="1"/>
    <col min="12549" max="12549" width="19" style="52" bestFit="1" customWidth="1"/>
    <col min="12550" max="12550" width="17.875" style="52" bestFit="1" customWidth="1"/>
    <col min="12551" max="12551" width="16.625" style="52" bestFit="1" customWidth="1"/>
    <col min="12552" max="12552" width="19" style="52" bestFit="1" customWidth="1"/>
    <col min="12553" max="12553" width="17.875" style="52" bestFit="1" customWidth="1"/>
    <col min="12554" max="12554" width="19" style="52" bestFit="1" customWidth="1"/>
    <col min="12555" max="12555" width="17.875" style="52" bestFit="1" customWidth="1"/>
    <col min="12556" max="12801" width="8.875" style="52"/>
    <col min="12802" max="12802" width="16.625" style="52" bestFit="1" customWidth="1"/>
    <col min="12803" max="12803" width="60.375" style="52" bestFit="1" customWidth="1"/>
    <col min="12804" max="12804" width="16.625" style="52" bestFit="1" customWidth="1"/>
    <col min="12805" max="12805" width="19" style="52" bestFit="1" customWidth="1"/>
    <col min="12806" max="12806" width="17.875" style="52" bestFit="1" customWidth="1"/>
    <col min="12807" max="12807" width="16.625" style="52" bestFit="1" customWidth="1"/>
    <col min="12808" max="12808" width="19" style="52" bestFit="1" customWidth="1"/>
    <col min="12809" max="12809" width="17.875" style="52" bestFit="1" customWidth="1"/>
    <col min="12810" max="12810" width="19" style="52" bestFit="1" customWidth="1"/>
    <col min="12811" max="12811" width="17.875" style="52" bestFit="1" customWidth="1"/>
    <col min="12812" max="13057" width="8.875" style="52"/>
    <col min="13058" max="13058" width="16.625" style="52" bestFit="1" customWidth="1"/>
    <col min="13059" max="13059" width="60.375" style="52" bestFit="1" customWidth="1"/>
    <col min="13060" max="13060" width="16.625" style="52" bestFit="1" customWidth="1"/>
    <col min="13061" max="13061" width="19" style="52" bestFit="1" customWidth="1"/>
    <col min="13062" max="13062" width="17.875" style="52" bestFit="1" customWidth="1"/>
    <col min="13063" max="13063" width="16.625" style="52" bestFit="1" customWidth="1"/>
    <col min="13064" max="13064" width="19" style="52" bestFit="1" customWidth="1"/>
    <col min="13065" max="13065" width="17.875" style="52" bestFit="1" customWidth="1"/>
    <col min="13066" max="13066" width="19" style="52" bestFit="1" customWidth="1"/>
    <col min="13067" max="13067" width="17.875" style="52" bestFit="1" customWidth="1"/>
    <col min="13068" max="13313" width="8.875" style="52"/>
    <col min="13314" max="13314" width="16.625" style="52" bestFit="1" customWidth="1"/>
    <col min="13315" max="13315" width="60.375" style="52" bestFit="1" customWidth="1"/>
    <col min="13316" max="13316" width="16.625" style="52" bestFit="1" customWidth="1"/>
    <col min="13317" max="13317" width="19" style="52" bestFit="1" customWidth="1"/>
    <col min="13318" max="13318" width="17.875" style="52" bestFit="1" customWidth="1"/>
    <col min="13319" max="13319" width="16.625" style="52" bestFit="1" customWidth="1"/>
    <col min="13320" max="13320" width="19" style="52" bestFit="1" customWidth="1"/>
    <col min="13321" max="13321" width="17.875" style="52" bestFit="1" customWidth="1"/>
    <col min="13322" max="13322" width="19" style="52" bestFit="1" customWidth="1"/>
    <col min="13323" max="13323" width="17.875" style="52" bestFit="1" customWidth="1"/>
    <col min="13324" max="13569" width="8.875" style="52"/>
    <col min="13570" max="13570" width="16.625" style="52" bestFit="1" customWidth="1"/>
    <col min="13571" max="13571" width="60.375" style="52" bestFit="1" customWidth="1"/>
    <col min="13572" max="13572" width="16.625" style="52" bestFit="1" customWidth="1"/>
    <col min="13573" max="13573" width="19" style="52" bestFit="1" customWidth="1"/>
    <col min="13574" max="13574" width="17.875" style="52" bestFit="1" customWidth="1"/>
    <col min="13575" max="13575" width="16.625" style="52" bestFit="1" customWidth="1"/>
    <col min="13576" max="13576" width="19" style="52" bestFit="1" customWidth="1"/>
    <col min="13577" max="13577" width="17.875" style="52" bestFit="1" customWidth="1"/>
    <col min="13578" max="13578" width="19" style="52" bestFit="1" customWidth="1"/>
    <col min="13579" max="13579" width="17.875" style="52" bestFit="1" customWidth="1"/>
    <col min="13580" max="13825" width="8.875" style="52"/>
    <col min="13826" max="13826" width="16.625" style="52" bestFit="1" customWidth="1"/>
    <col min="13827" max="13827" width="60.375" style="52" bestFit="1" customWidth="1"/>
    <col min="13828" max="13828" width="16.625" style="52" bestFit="1" customWidth="1"/>
    <col min="13829" max="13829" width="19" style="52" bestFit="1" customWidth="1"/>
    <col min="13830" max="13830" width="17.875" style="52" bestFit="1" customWidth="1"/>
    <col min="13831" max="13831" width="16.625" style="52" bestFit="1" customWidth="1"/>
    <col min="13832" max="13832" width="19" style="52" bestFit="1" customWidth="1"/>
    <col min="13833" max="13833" width="17.875" style="52" bestFit="1" customWidth="1"/>
    <col min="13834" max="13834" width="19" style="52" bestFit="1" customWidth="1"/>
    <col min="13835" max="13835" width="17.875" style="52" bestFit="1" customWidth="1"/>
    <col min="13836" max="14081" width="8.875" style="52"/>
    <col min="14082" max="14082" width="16.625" style="52" bestFit="1" customWidth="1"/>
    <col min="14083" max="14083" width="60.375" style="52" bestFit="1" customWidth="1"/>
    <col min="14084" max="14084" width="16.625" style="52" bestFit="1" customWidth="1"/>
    <col min="14085" max="14085" width="19" style="52" bestFit="1" customWidth="1"/>
    <col min="14086" max="14086" width="17.875" style="52" bestFit="1" customWidth="1"/>
    <col min="14087" max="14087" width="16.625" style="52" bestFit="1" customWidth="1"/>
    <col min="14088" max="14088" width="19" style="52" bestFit="1" customWidth="1"/>
    <col min="14089" max="14089" width="17.875" style="52" bestFit="1" customWidth="1"/>
    <col min="14090" max="14090" width="19" style="52" bestFit="1" customWidth="1"/>
    <col min="14091" max="14091" width="17.875" style="52" bestFit="1" customWidth="1"/>
    <col min="14092" max="14337" width="8.875" style="52"/>
    <col min="14338" max="14338" width="16.625" style="52" bestFit="1" customWidth="1"/>
    <col min="14339" max="14339" width="60.375" style="52" bestFit="1" customWidth="1"/>
    <col min="14340" max="14340" width="16.625" style="52" bestFit="1" customWidth="1"/>
    <col min="14341" max="14341" width="19" style="52" bestFit="1" customWidth="1"/>
    <col min="14342" max="14342" width="17.875" style="52" bestFit="1" customWidth="1"/>
    <col min="14343" max="14343" width="16.625" style="52" bestFit="1" customWidth="1"/>
    <col min="14344" max="14344" width="19" style="52" bestFit="1" customWidth="1"/>
    <col min="14345" max="14345" width="17.875" style="52" bestFit="1" customWidth="1"/>
    <col min="14346" max="14346" width="19" style="52" bestFit="1" customWidth="1"/>
    <col min="14347" max="14347" width="17.875" style="52" bestFit="1" customWidth="1"/>
    <col min="14348" max="14593" width="8.875" style="52"/>
    <col min="14594" max="14594" width="16.625" style="52" bestFit="1" customWidth="1"/>
    <col min="14595" max="14595" width="60.375" style="52" bestFit="1" customWidth="1"/>
    <col min="14596" max="14596" width="16.625" style="52" bestFit="1" customWidth="1"/>
    <col min="14597" max="14597" width="19" style="52" bestFit="1" customWidth="1"/>
    <col min="14598" max="14598" width="17.875" style="52" bestFit="1" customWidth="1"/>
    <col min="14599" max="14599" width="16.625" style="52" bestFit="1" customWidth="1"/>
    <col min="14600" max="14600" width="19" style="52" bestFit="1" customWidth="1"/>
    <col min="14601" max="14601" width="17.875" style="52" bestFit="1" customWidth="1"/>
    <col min="14602" max="14602" width="19" style="52" bestFit="1" customWidth="1"/>
    <col min="14603" max="14603" width="17.875" style="52" bestFit="1" customWidth="1"/>
    <col min="14604" max="14849" width="8.875" style="52"/>
    <col min="14850" max="14850" width="16.625" style="52" bestFit="1" customWidth="1"/>
    <col min="14851" max="14851" width="60.375" style="52" bestFit="1" customWidth="1"/>
    <col min="14852" max="14852" width="16.625" style="52" bestFit="1" customWidth="1"/>
    <col min="14853" max="14853" width="19" style="52" bestFit="1" customWidth="1"/>
    <col min="14854" max="14854" width="17.875" style="52" bestFit="1" customWidth="1"/>
    <col min="14855" max="14855" width="16.625" style="52" bestFit="1" customWidth="1"/>
    <col min="14856" max="14856" width="19" style="52" bestFit="1" customWidth="1"/>
    <col min="14857" max="14857" width="17.875" style="52" bestFit="1" customWidth="1"/>
    <col min="14858" max="14858" width="19" style="52" bestFit="1" customWidth="1"/>
    <col min="14859" max="14859" width="17.875" style="52" bestFit="1" customWidth="1"/>
    <col min="14860" max="15105" width="8.875" style="52"/>
    <col min="15106" max="15106" width="16.625" style="52" bestFit="1" customWidth="1"/>
    <col min="15107" max="15107" width="60.375" style="52" bestFit="1" customWidth="1"/>
    <col min="15108" max="15108" width="16.625" style="52" bestFit="1" customWidth="1"/>
    <col min="15109" max="15109" width="19" style="52" bestFit="1" customWidth="1"/>
    <col min="15110" max="15110" width="17.875" style="52" bestFit="1" customWidth="1"/>
    <col min="15111" max="15111" width="16.625" style="52" bestFit="1" customWidth="1"/>
    <col min="15112" max="15112" width="19" style="52" bestFit="1" customWidth="1"/>
    <col min="15113" max="15113" width="17.875" style="52" bestFit="1" customWidth="1"/>
    <col min="15114" max="15114" width="19" style="52" bestFit="1" customWidth="1"/>
    <col min="15115" max="15115" width="17.875" style="52" bestFit="1" customWidth="1"/>
    <col min="15116" max="15361" width="8.875" style="52"/>
    <col min="15362" max="15362" width="16.625" style="52" bestFit="1" customWidth="1"/>
    <col min="15363" max="15363" width="60.375" style="52" bestFit="1" customWidth="1"/>
    <col min="15364" max="15364" width="16.625" style="52" bestFit="1" customWidth="1"/>
    <col min="15365" max="15365" width="19" style="52" bestFit="1" customWidth="1"/>
    <col min="15366" max="15366" width="17.875" style="52" bestFit="1" customWidth="1"/>
    <col min="15367" max="15367" width="16.625" style="52" bestFit="1" customWidth="1"/>
    <col min="15368" max="15368" width="19" style="52" bestFit="1" customWidth="1"/>
    <col min="15369" max="15369" width="17.875" style="52" bestFit="1" customWidth="1"/>
    <col min="15370" max="15370" width="19" style="52" bestFit="1" customWidth="1"/>
    <col min="15371" max="15371" width="17.875" style="52" bestFit="1" customWidth="1"/>
    <col min="15372" max="15617" width="8.875" style="52"/>
    <col min="15618" max="15618" width="16.625" style="52" bestFit="1" customWidth="1"/>
    <col min="15619" max="15619" width="60.375" style="52" bestFit="1" customWidth="1"/>
    <col min="15620" max="15620" width="16.625" style="52" bestFit="1" customWidth="1"/>
    <col min="15621" max="15621" width="19" style="52" bestFit="1" customWidth="1"/>
    <col min="15622" max="15622" width="17.875" style="52" bestFit="1" customWidth="1"/>
    <col min="15623" max="15623" width="16.625" style="52" bestFit="1" customWidth="1"/>
    <col min="15624" max="15624" width="19" style="52" bestFit="1" customWidth="1"/>
    <col min="15625" max="15625" width="17.875" style="52" bestFit="1" customWidth="1"/>
    <col min="15626" max="15626" width="19" style="52" bestFit="1" customWidth="1"/>
    <col min="15627" max="15627" width="17.875" style="52" bestFit="1" customWidth="1"/>
    <col min="15628" max="15873" width="8.875" style="52"/>
    <col min="15874" max="15874" width="16.625" style="52" bestFit="1" customWidth="1"/>
    <col min="15875" max="15875" width="60.375" style="52" bestFit="1" customWidth="1"/>
    <col min="15876" max="15876" width="16.625" style="52" bestFit="1" customWidth="1"/>
    <col min="15877" max="15877" width="19" style="52" bestFit="1" customWidth="1"/>
    <col min="15878" max="15878" width="17.875" style="52" bestFit="1" customWidth="1"/>
    <col min="15879" max="15879" width="16.625" style="52" bestFit="1" customWidth="1"/>
    <col min="15880" max="15880" width="19" style="52" bestFit="1" customWidth="1"/>
    <col min="15881" max="15881" width="17.875" style="52" bestFit="1" customWidth="1"/>
    <col min="15882" max="15882" width="19" style="52" bestFit="1" customWidth="1"/>
    <col min="15883" max="15883" width="17.875" style="52" bestFit="1" customWidth="1"/>
    <col min="15884" max="16129" width="8.875" style="52"/>
    <col min="16130" max="16130" width="16.625" style="52" bestFit="1" customWidth="1"/>
    <col min="16131" max="16131" width="60.375" style="52" bestFit="1" customWidth="1"/>
    <col min="16132" max="16132" width="16.625" style="52" bestFit="1" customWidth="1"/>
    <col min="16133" max="16133" width="19" style="52" bestFit="1" customWidth="1"/>
    <col min="16134" max="16134" width="17.875" style="52" bestFit="1" customWidth="1"/>
    <col min="16135" max="16135" width="16.625" style="52" bestFit="1" customWidth="1"/>
    <col min="16136" max="16136" width="19" style="52" bestFit="1" customWidth="1"/>
    <col min="16137" max="16137" width="17.875" style="52" bestFit="1" customWidth="1"/>
    <col min="16138" max="16138" width="19" style="52" bestFit="1" customWidth="1"/>
    <col min="16139" max="16139" width="17.875" style="52" bestFit="1" customWidth="1"/>
    <col min="16140" max="16384" width="8.875" style="52"/>
  </cols>
  <sheetData>
    <row r="1" spans="1:11">
      <c r="A1" s="249" t="s">
        <v>1398</v>
      </c>
      <c r="B1" s="323" t="s">
        <v>6145</v>
      </c>
      <c r="C1" s="323" t="s">
        <v>1399</v>
      </c>
      <c r="D1" s="323" t="s">
        <v>1400</v>
      </c>
      <c r="E1" s="323" t="s">
        <v>6146</v>
      </c>
      <c r="F1" s="323" t="s">
        <v>1401</v>
      </c>
      <c r="G1" s="323" t="s">
        <v>6142</v>
      </c>
      <c r="H1" s="323" t="s">
        <v>1402</v>
      </c>
      <c r="I1" s="323" t="s">
        <v>6143</v>
      </c>
      <c r="J1" s="323" t="s">
        <v>6144</v>
      </c>
      <c r="K1" s="323" t="s">
        <v>1403</v>
      </c>
    </row>
    <row r="2" spans="1:11" ht="13.5" thickBot="1">
      <c r="A2" s="329"/>
      <c r="B2" s="330"/>
      <c r="C2" s="330"/>
      <c r="D2" s="330"/>
      <c r="E2" s="330"/>
      <c r="F2" s="330" t="s">
        <v>1404</v>
      </c>
      <c r="G2" s="330" t="s">
        <v>479</v>
      </c>
      <c r="H2" s="330" t="s">
        <v>479</v>
      </c>
      <c r="I2" s="330" t="s">
        <v>1405</v>
      </c>
      <c r="J2" s="330" t="s">
        <v>463</v>
      </c>
      <c r="K2" s="330"/>
    </row>
    <row r="3" spans="1:11" s="860" customFormat="1">
      <c r="A3" s="622" t="s">
        <v>10595</v>
      </c>
      <c r="B3" s="154" t="str">
        <f t="shared" ref="B3:B5" si="0">"M_"&amp;A3</f>
        <v>M_PZ2101A</v>
      </c>
      <c r="C3" s="154" t="s">
        <v>10598</v>
      </c>
      <c r="D3" s="154" t="s">
        <v>10599</v>
      </c>
      <c r="E3" s="154" t="s">
        <v>10601</v>
      </c>
      <c r="F3" s="154">
        <v>395.6</v>
      </c>
      <c r="G3" s="154">
        <v>371.3</v>
      </c>
      <c r="H3" s="154">
        <v>289.77</v>
      </c>
      <c r="I3" s="154">
        <v>2910</v>
      </c>
      <c r="J3" s="154">
        <v>66.95</v>
      </c>
      <c r="K3" s="328"/>
    </row>
    <row r="4" spans="1:11" s="860" customFormat="1">
      <c r="A4" s="258" t="s">
        <v>10596</v>
      </c>
      <c r="B4" s="116" t="str">
        <f t="shared" si="0"/>
        <v>M_PZ2101B</v>
      </c>
      <c r="C4" s="116" t="s">
        <v>10598</v>
      </c>
      <c r="D4" s="116" t="s">
        <v>10600</v>
      </c>
      <c r="E4" s="116" t="s">
        <v>10602</v>
      </c>
      <c r="F4" s="154">
        <v>395.6</v>
      </c>
      <c r="G4" s="154">
        <v>371.3</v>
      </c>
      <c r="H4" s="154">
        <v>289.77</v>
      </c>
      <c r="I4" s="154">
        <v>2910</v>
      </c>
      <c r="J4" s="154">
        <v>66.95</v>
      </c>
      <c r="K4" s="166"/>
    </row>
    <row r="5" spans="1:11" s="860" customFormat="1">
      <c r="A5" s="258" t="s">
        <v>10597</v>
      </c>
      <c r="B5" s="116" t="str">
        <f t="shared" si="0"/>
        <v>M_PZ2101C</v>
      </c>
      <c r="C5" s="116" t="s">
        <v>10598</v>
      </c>
      <c r="D5" s="116" t="s">
        <v>10600</v>
      </c>
      <c r="E5" s="116" t="s">
        <v>10603</v>
      </c>
      <c r="F5" s="154">
        <v>395.6</v>
      </c>
      <c r="G5" s="154">
        <v>371.3</v>
      </c>
      <c r="H5" s="154">
        <v>289.77</v>
      </c>
      <c r="I5" s="154">
        <v>2910</v>
      </c>
      <c r="J5" s="154">
        <v>66.95</v>
      </c>
      <c r="K5" s="166"/>
    </row>
    <row r="6" spans="1:11">
      <c r="A6" s="327" t="s">
        <v>1406</v>
      </c>
      <c r="B6" s="154" t="str">
        <f t="shared" ref="B6:B51" si="1">"M_"&amp;A6</f>
        <v>M_PZ2102A</v>
      </c>
      <c r="C6" s="154" t="s">
        <v>1407</v>
      </c>
      <c r="D6" s="154" t="s">
        <v>1408</v>
      </c>
      <c r="E6" s="154" t="s">
        <v>9059</v>
      </c>
      <c r="F6" s="154">
        <v>510</v>
      </c>
      <c r="G6" s="154">
        <v>370</v>
      </c>
      <c r="H6" s="154">
        <v>325</v>
      </c>
      <c r="I6" s="154">
        <v>2980</v>
      </c>
      <c r="J6" s="154">
        <v>72.069999999999993</v>
      </c>
      <c r="K6" s="328" t="s">
        <v>1409</v>
      </c>
    </row>
    <row r="7" spans="1:11">
      <c r="A7" s="258" t="s">
        <v>1410</v>
      </c>
      <c r="B7" s="116" t="str">
        <f t="shared" si="1"/>
        <v>M_PZ2102B</v>
      </c>
      <c r="C7" s="116" t="s">
        <v>1407</v>
      </c>
      <c r="D7" s="116" t="s">
        <v>1408</v>
      </c>
      <c r="E7" s="116" t="s">
        <v>9060</v>
      </c>
      <c r="F7" s="116">
        <v>510</v>
      </c>
      <c r="G7" s="116">
        <v>370</v>
      </c>
      <c r="H7" s="116">
        <v>325</v>
      </c>
      <c r="I7" s="116">
        <v>2980</v>
      </c>
      <c r="J7" s="116">
        <v>72.069999999999993</v>
      </c>
      <c r="K7" s="166"/>
    </row>
    <row r="8" spans="1:11">
      <c r="A8" s="258" t="s">
        <v>1411</v>
      </c>
      <c r="B8" s="116" t="str">
        <f t="shared" si="1"/>
        <v>M_PZ2102C</v>
      </c>
      <c r="C8" s="116" t="s">
        <v>1407</v>
      </c>
      <c r="D8" s="116" t="s">
        <v>1408</v>
      </c>
      <c r="E8" s="116" t="s">
        <v>9061</v>
      </c>
      <c r="F8" s="116">
        <v>510</v>
      </c>
      <c r="G8" s="116">
        <v>370</v>
      </c>
      <c r="H8" s="116">
        <v>325</v>
      </c>
      <c r="I8" s="116">
        <v>2980</v>
      </c>
      <c r="J8" s="116">
        <v>72.069999999999993</v>
      </c>
      <c r="K8" s="166"/>
    </row>
    <row r="9" spans="1:11">
      <c r="A9" s="258" t="s">
        <v>1412</v>
      </c>
      <c r="B9" s="116" t="str">
        <f t="shared" si="1"/>
        <v>M_PZ2103A</v>
      </c>
      <c r="C9" s="116" t="s">
        <v>1413</v>
      </c>
      <c r="D9" s="116" t="s">
        <v>1414</v>
      </c>
      <c r="E9" s="116" t="s">
        <v>1415</v>
      </c>
      <c r="F9" s="116">
        <v>644</v>
      </c>
      <c r="G9" s="116">
        <v>120</v>
      </c>
      <c r="H9" s="116">
        <v>89.5</v>
      </c>
      <c r="I9" s="116">
        <v>2950</v>
      </c>
      <c r="J9" s="116">
        <v>80.39</v>
      </c>
      <c r="K9" s="166"/>
    </row>
    <row r="10" spans="1:11">
      <c r="A10" s="258" t="s">
        <v>1416</v>
      </c>
      <c r="B10" s="116" t="str">
        <f t="shared" si="1"/>
        <v>M_PZ2103B</v>
      </c>
      <c r="C10" s="116" t="s">
        <v>1413</v>
      </c>
      <c r="D10" s="116" t="s">
        <v>1414</v>
      </c>
      <c r="E10" s="116" t="s">
        <v>1415</v>
      </c>
      <c r="F10" s="116">
        <v>644</v>
      </c>
      <c r="G10" s="116">
        <v>120</v>
      </c>
      <c r="H10" s="116">
        <v>89.5</v>
      </c>
      <c r="I10" s="116">
        <v>2950</v>
      </c>
      <c r="J10" s="116">
        <v>80.39</v>
      </c>
      <c r="K10" s="166"/>
    </row>
    <row r="11" spans="1:11">
      <c r="A11" s="258" t="s">
        <v>1417</v>
      </c>
      <c r="B11" s="116" t="str">
        <f t="shared" si="1"/>
        <v>M_PZ2103C</v>
      </c>
      <c r="C11" s="116" t="s">
        <v>1413</v>
      </c>
      <c r="D11" s="116" t="s">
        <v>1414</v>
      </c>
      <c r="E11" s="116" t="s">
        <v>1415</v>
      </c>
      <c r="F11" s="116">
        <v>644</v>
      </c>
      <c r="G11" s="116">
        <v>120</v>
      </c>
      <c r="H11" s="116">
        <v>89.5</v>
      </c>
      <c r="I11" s="116">
        <v>2950</v>
      </c>
      <c r="J11" s="116">
        <v>80.39</v>
      </c>
      <c r="K11" s="166"/>
    </row>
    <row r="12" spans="1:11">
      <c r="A12" s="258" t="s">
        <v>1418</v>
      </c>
      <c r="B12" s="116" t="str">
        <f t="shared" si="1"/>
        <v>M_PZ2104A</v>
      </c>
      <c r="C12" s="116" t="s">
        <v>1419</v>
      </c>
      <c r="D12" s="116" t="s">
        <v>1420</v>
      </c>
      <c r="E12" s="116" t="s">
        <v>1421</v>
      </c>
      <c r="F12" s="116">
        <v>613.6</v>
      </c>
      <c r="G12" s="116">
        <v>142</v>
      </c>
      <c r="H12" s="116">
        <v>108.2</v>
      </c>
      <c r="I12" s="116">
        <v>2950</v>
      </c>
      <c r="J12" s="116">
        <v>84.89</v>
      </c>
      <c r="K12" s="166"/>
    </row>
    <row r="13" spans="1:11">
      <c r="A13" s="258" t="s">
        <v>1422</v>
      </c>
      <c r="B13" s="116" t="str">
        <f t="shared" si="1"/>
        <v>M_PZ2104B</v>
      </c>
      <c r="C13" s="116" t="s">
        <v>1419</v>
      </c>
      <c r="D13" s="116" t="s">
        <v>1420</v>
      </c>
      <c r="E13" s="116" t="s">
        <v>1421</v>
      </c>
      <c r="F13" s="116">
        <v>613.6</v>
      </c>
      <c r="G13" s="116">
        <v>142</v>
      </c>
      <c r="H13" s="116">
        <v>108.2</v>
      </c>
      <c r="I13" s="116">
        <v>2950</v>
      </c>
      <c r="J13" s="116">
        <v>84.89</v>
      </c>
      <c r="K13" s="166"/>
    </row>
    <row r="14" spans="1:11">
      <c r="A14" s="258" t="s">
        <v>1423</v>
      </c>
      <c r="B14" s="116" t="str">
        <f t="shared" si="1"/>
        <v>M_PZ2104C</v>
      </c>
      <c r="C14" s="116" t="s">
        <v>1419</v>
      </c>
      <c r="D14" s="116" t="s">
        <v>1420</v>
      </c>
      <c r="E14" s="116" t="s">
        <v>1421</v>
      </c>
      <c r="F14" s="116">
        <v>613.6</v>
      </c>
      <c r="G14" s="116">
        <v>142</v>
      </c>
      <c r="H14" s="116">
        <v>108.2</v>
      </c>
      <c r="I14" s="116">
        <v>2950</v>
      </c>
      <c r="J14" s="116">
        <v>84.89</v>
      </c>
      <c r="K14" s="166"/>
    </row>
    <row r="15" spans="1:11">
      <c r="A15" s="258" t="s">
        <v>1424</v>
      </c>
      <c r="B15" s="116" t="str">
        <f t="shared" si="1"/>
        <v>M_PZ2105A</v>
      </c>
      <c r="C15" s="116" t="s">
        <v>1425</v>
      </c>
      <c r="D15" s="116" t="s">
        <v>1420</v>
      </c>
      <c r="E15" s="116" t="s">
        <v>1426</v>
      </c>
      <c r="F15" s="116">
        <v>936</v>
      </c>
      <c r="G15" s="116">
        <v>57</v>
      </c>
      <c r="H15" s="116">
        <v>55.2</v>
      </c>
      <c r="I15" s="116">
        <v>1450</v>
      </c>
      <c r="J15" s="116">
        <v>88.38</v>
      </c>
      <c r="K15" s="166"/>
    </row>
    <row r="16" spans="1:11">
      <c r="A16" s="258" t="s">
        <v>1427</v>
      </c>
      <c r="B16" s="116" t="str">
        <f t="shared" si="1"/>
        <v>M_PZ2105B</v>
      </c>
      <c r="C16" s="116" t="s">
        <v>1425</v>
      </c>
      <c r="D16" s="116" t="s">
        <v>1420</v>
      </c>
      <c r="E16" s="116" t="s">
        <v>1426</v>
      </c>
      <c r="F16" s="116">
        <v>936</v>
      </c>
      <c r="G16" s="116">
        <v>57</v>
      </c>
      <c r="H16" s="116">
        <v>55.2</v>
      </c>
      <c r="I16" s="116">
        <v>1450</v>
      </c>
      <c r="J16" s="116">
        <v>88.38</v>
      </c>
      <c r="K16" s="166"/>
    </row>
    <row r="17" spans="1:11">
      <c r="A17" s="258" t="s">
        <v>1428</v>
      </c>
      <c r="B17" s="116" t="str">
        <f t="shared" si="1"/>
        <v>M_PZ2106A</v>
      </c>
      <c r="C17" s="116" t="s">
        <v>1429</v>
      </c>
      <c r="D17" s="116" t="s">
        <v>1414</v>
      </c>
      <c r="E17" s="116" t="s">
        <v>1430</v>
      </c>
      <c r="F17" s="116">
        <v>418</v>
      </c>
      <c r="G17" s="116">
        <f>950*0.3048</f>
        <v>289.56</v>
      </c>
      <c r="H17" s="116">
        <f>810*0.3048</f>
        <v>246.88800000000001</v>
      </c>
      <c r="I17" s="116">
        <v>2950</v>
      </c>
      <c r="J17" s="116">
        <v>80.59</v>
      </c>
      <c r="K17" s="166"/>
    </row>
    <row r="18" spans="1:11">
      <c r="A18" s="258" t="s">
        <v>1431</v>
      </c>
      <c r="B18" s="116" t="str">
        <f t="shared" si="1"/>
        <v>M_PZ2106B</v>
      </c>
      <c r="C18" s="116" t="s">
        <v>1429</v>
      </c>
      <c r="D18" s="116" t="s">
        <v>1414</v>
      </c>
      <c r="E18" s="116" t="s">
        <v>1430</v>
      </c>
      <c r="F18" s="116">
        <v>418</v>
      </c>
      <c r="G18" s="116">
        <f>950*0.3048</f>
        <v>289.56</v>
      </c>
      <c r="H18" s="116">
        <f>810*0.3048</f>
        <v>246.88800000000001</v>
      </c>
      <c r="I18" s="116">
        <v>2950</v>
      </c>
      <c r="J18" s="116">
        <v>80.59</v>
      </c>
      <c r="K18" s="166"/>
    </row>
    <row r="19" spans="1:11">
      <c r="A19" s="258" t="s">
        <v>1432</v>
      </c>
      <c r="B19" s="116" t="str">
        <f t="shared" si="1"/>
        <v>M_PZ2106C</v>
      </c>
      <c r="C19" s="116" t="s">
        <v>1429</v>
      </c>
      <c r="D19" s="116" t="s">
        <v>1414</v>
      </c>
      <c r="E19" s="116" t="s">
        <v>1430</v>
      </c>
      <c r="F19" s="116">
        <v>418</v>
      </c>
      <c r="G19" s="116">
        <f>950*0.3048</f>
        <v>289.56</v>
      </c>
      <c r="H19" s="116">
        <f>810*0.3048</f>
        <v>246.88800000000001</v>
      </c>
      <c r="I19" s="116">
        <v>2950</v>
      </c>
      <c r="J19" s="116">
        <v>80.59</v>
      </c>
      <c r="K19" s="166"/>
    </row>
    <row r="20" spans="1:11">
      <c r="A20" s="258" t="s">
        <v>1433</v>
      </c>
      <c r="B20" s="116" t="str">
        <f t="shared" si="1"/>
        <v>M_PZ2107A</v>
      </c>
      <c r="C20" s="116" t="s">
        <v>1434</v>
      </c>
      <c r="D20" s="116" t="s">
        <v>1435</v>
      </c>
      <c r="E20" s="116" t="s">
        <v>1436</v>
      </c>
      <c r="F20" s="116">
        <v>268</v>
      </c>
      <c r="G20" s="116">
        <v>161</v>
      </c>
      <c r="H20" s="116">
        <v>142</v>
      </c>
      <c r="I20" s="116">
        <v>2950</v>
      </c>
      <c r="J20" s="116">
        <v>77</v>
      </c>
      <c r="K20" s="166"/>
    </row>
    <row r="21" spans="1:11">
      <c r="A21" s="258" t="s">
        <v>1437</v>
      </c>
      <c r="B21" s="116" t="str">
        <f t="shared" si="1"/>
        <v>M_PZ2107B</v>
      </c>
      <c r="C21" s="116" t="s">
        <v>1434</v>
      </c>
      <c r="D21" s="116" t="s">
        <v>1435</v>
      </c>
      <c r="E21" s="116" t="s">
        <v>1438</v>
      </c>
      <c r="F21" s="116">
        <v>268</v>
      </c>
      <c r="G21" s="116">
        <v>161</v>
      </c>
      <c r="H21" s="116">
        <v>142</v>
      </c>
      <c r="I21" s="116">
        <v>2950</v>
      </c>
      <c r="J21" s="116">
        <v>77</v>
      </c>
      <c r="K21" s="166"/>
    </row>
    <row r="22" spans="1:11">
      <c r="A22" s="258" t="s">
        <v>1439</v>
      </c>
      <c r="B22" s="116" t="str">
        <f t="shared" si="1"/>
        <v>M_PZ2108</v>
      </c>
      <c r="C22" s="116" t="s">
        <v>1440</v>
      </c>
      <c r="D22" s="116" t="s">
        <v>1435</v>
      </c>
      <c r="E22" s="116" t="s">
        <v>1441</v>
      </c>
      <c r="F22" s="116">
        <v>153</v>
      </c>
      <c r="G22" s="116">
        <v>155</v>
      </c>
      <c r="H22" s="116">
        <v>140</v>
      </c>
      <c r="I22" s="116">
        <v>2950</v>
      </c>
      <c r="J22" s="116">
        <v>71</v>
      </c>
      <c r="K22" s="166"/>
    </row>
    <row r="23" spans="1:11">
      <c r="A23" s="258" t="s">
        <v>1442</v>
      </c>
      <c r="B23" s="116" t="str">
        <f t="shared" si="1"/>
        <v>M_PZ2109A</v>
      </c>
      <c r="C23" s="116" t="s">
        <v>1443</v>
      </c>
      <c r="D23" s="116" t="s">
        <v>1435</v>
      </c>
      <c r="E23" s="116" t="s">
        <v>1444</v>
      </c>
      <c r="F23" s="116">
        <v>15</v>
      </c>
      <c r="G23" s="116">
        <v>258</v>
      </c>
      <c r="H23" s="116">
        <v>252</v>
      </c>
      <c r="I23" s="116">
        <v>2950</v>
      </c>
      <c r="J23" s="116">
        <v>26</v>
      </c>
      <c r="K23" s="166"/>
    </row>
    <row r="24" spans="1:11">
      <c r="A24" s="258" t="s">
        <v>1445</v>
      </c>
      <c r="B24" s="116" t="str">
        <f t="shared" si="1"/>
        <v>M_PZ2109B</v>
      </c>
      <c r="C24" s="116" t="s">
        <v>1443</v>
      </c>
      <c r="D24" s="116" t="s">
        <v>1435</v>
      </c>
      <c r="E24" s="116" t="s">
        <v>1444</v>
      </c>
      <c r="F24" s="116">
        <v>15</v>
      </c>
      <c r="G24" s="116">
        <v>258</v>
      </c>
      <c r="H24" s="116">
        <v>252</v>
      </c>
      <c r="I24" s="116">
        <v>2950</v>
      </c>
      <c r="J24" s="116">
        <v>26</v>
      </c>
      <c r="K24" s="166"/>
    </row>
    <row r="25" spans="1:11">
      <c r="A25" s="258" t="s">
        <v>1446</v>
      </c>
      <c r="B25" s="116" t="str">
        <f t="shared" si="1"/>
        <v>M_PZ2110A</v>
      </c>
      <c r="C25" s="116" t="s">
        <v>1447</v>
      </c>
      <c r="D25" s="116" t="s">
        <v>1435</v>
      </c>
      <c r="E25" s="116" t="s">
        <v>1448</v>
      </c>
      <c r="F25" s="116">
        <v>5.6</v>
      </c>
      <c r="G25" s="116">
        <v>25.47</v>
      </c>
      <c r="H25" s="116">
        <v>24.16</v>
      </c>
      <c r="I25" s="116">
        <v>2900</v>
      </c>
      <c r="J25" s="116">
        <v>45.16</v>
      </c>
      <c r="K25" s="166"/>
    </row>
    <row r="26" spans="1:11">
      <c r="A26" s="258" t="s">
        <v>1449</v>
      </c>
      <c r="B26" s="116" t="str">
        <f t="shared" si="1"/>
        <v>M_PZ2110B</v>
      </c>
      <c r="C26" s="116" t="s">
        <v>1447</v>
      </c>
      <c r="D26" s="116" t="s">
        <v>1435</v>
      </c>
      <c r="E26" s="116" t="s">
        <v>1448</v>
      </c>
      <c r="F26" s="116">
        <v>5.6</v>
      </c>
      <c r="G26" s="116">
        <v>25.47</v>
      </c>
      <c r="H26" s="116">
        <v>24.16</v>
      </c>
      <c r="I26" s="116">
        <v>2900</v>
      </c>
      <c r="J26" s="116">
        <v>45.16</v>
      </c>
      <c r="K26" s="166"/>
    </row>
    <row r="27" spans="1:11">
      <c r="A27" s="258" t="s">
        <v>1450</v>
      </c>
      <c r="B27" s="116" t="str">
        <f t="shared" si="1"/>
        <v>M_PZ2111</v>
      </c>
      <c r="C27" s="116" t="s">
        <v>1451</v>
      </c>
      <c r="D27" s="116" t="s">
        <v>1452</v>
      </c>
      <c r="E27" s="116" t="s">
        <v>1453</v>
      </c>
      <c r="F27" s="116">
        <v>68.5</v>
      </c>
      <c r="G27" s="116">
        <v>214</v>
      </c>
      <c r="H27" s="116">
        <v>206</v>
      </c>
      <c r="I27" s="116">
        <v>2950</v>
      </c>
      <c r="J27" s="116">
        <v>45</v>
      </c>
      <c r="K27" s="166"/>
    </row>
    <row r="28" spans="1:11">
      <c r="A28" s="258" t="s">
        <v>1454</v>
      </c>
      <c r="B28" s="116" t="str">
        <f t="shared" si="1"/>
        <v>M_PZ2112A</v>
      </c>
      <c r="C28" s="116" t="s">
        <v>1455</v>
      </c>
      <c r="D28" s="116" t="s">
        <v>1456</v>
      </c>
      <c r="E28" s="116" t="s">
        <v>1457</v>
      </c>
      <c r="F28" s="116">
        <v>415</v>
      </c>
      <c r="G28" s="116">
        <v>67</v>
      </c>
      <c r="H28" s="116">
        <v>46</v>
      </c>
      <c r="I28" s="116">
        <v>2950</v>
      </c>
      <c r="J28" s="116">
        <v>77.5</v>
      </c>
      <c r="K28" s="166"/>
    </row>
    <row r="29" spans="1:11">
      <c r="A29" s="258" t="s">
        <v>1458</v>
      </c>
      <c r="B29" s="116" t="str">
        <f t="shared" si="1"/>
        <v>M_PZ2112B</v>
      </c>
      <c r="C29" s="116" t="s">
        <v>1459</v>
      </c>
      <c r="D29" s="116" t="s">
        <v>1456</v>
      </c>
      <c r="E29" s="116" t="s">
        <v>1457</v>
      </c>
      <c r="F29" s="116">
        <v>415</v>
      </c>
      <c r="G29" s="116">
        <v>67</v>
      </c>
      <c r="H29" s="116">
        <v>46</v>
      </c>
      <c r="I29" s="116">
        <v>2950</v>
      </c>
      <c r="J29" s="116">
        <v>77.5</v>
      </c>
      <c r="K29" s="166"/>
    </row>
    <row r="30" spans="1:11">
      <c r="A30" s="258" t="s">
        <v>1460</v>
      </c>
      <c r="B30" s="116" t="str">
        <f t="shared" si="1"/>
        <v>M_PZ2117A</v>
      </c>
      <c r="C30" s="116" t="s">
        <v>1461</v>
      </c>
      <c r="D30" s="116" t="s">
        <v>1456</v>
      </c>
      <c r="E30" s="116" t="s">
        <v>1462</v>
      </c>
      <c r="F30" s="116">
        <v>0.8</v>
      </c>
      <c r="G30" s="324"/>
      <c r="H30" s="116">
        <v>20</v>
      </c>
      <c r="I30" s="116">
        <v>170</v>
      </c>
      <c r="J30" s="324"/>
      <c r="K30" s="166"/>
    </row>
    <row r="31" spans="1:11">
      <c r="A31" s="258" t="s">
        <v>1463</v>
      </c>
      <c r="B31" s="116" t="str">
        <f t="shared" si="1"/>
        <v>M_PZ2118A</v>
      </c>
      <c r="C31" s="116" t="s">
        <v>1464</v>
      </c>
      <c r="D31" s="116" t="s">
        <v>1465</v>
      </c>
      <c r="E31" s="325" t="s">
        <v>1466</v>
      </c>
      <c r="F31" s="116">
        <v>72</v>
      </c>
      <c r="G31" s="116">
        <v>85</v>
      </c>
      <c r="H31" s="116">
        <v>73</v>
      </c>
      <c r="I31" s="116">
        <v>2950</v>
      </c>
      <c r="J31" s="116">
        <v>71</v>
      </c>
      <c r="K31" s="166"/>
    </row>
    <row r="32" spans="1:11">
      <c r="A32" s="258" t="s">
        <v>1467</v>
      </c>
      <c r="B32" s="116" t="str">
        <f>"M_"&amp;A32</f>
        <v>M_PZ2118B</v>
      </c>
      <c r="C32" s="116" t="s">
        <v>1464</v>
      </c>
      <c r="D32" s="116" t="s">
        <v>1465</v>
      </c>
      <c r="E32" s="325" t="s">
        <v>1466</v>
      </c>
      <c r="F32" s="116">
        <v>72</v>
      </c>
      <c r="G32" s="116">
        <v>85</v>
      </c>
      <c r="H32" s="116">
        <v>73</v>
      </c>
      <c r="I32" s="116">
        <v>2950</v>
      </c>
      <c r="J32" s="116">
        <v>71</v>
      </c>
      <c r="K32" s="166"/>
    </row>
    <row r="33" spans="1:11">
      <c r="A33" s="258" t="s">
        <v>1468</v>
      </c>
      <c r="B33" s="116" t="str">
        <f t="shared" si="1"/>
        <v>M_PZ2122</v>
      </c>
      <c r="C33" s="116" t="s">
        <v>1469</v>
      </c>
      <c r="D33" s="116" t="s">
        <v>1470</v>
      </c>
      <c r="E33" s="116" t="s">
        <v>1471</v>
      </c>
      <c r="F33" s="116">
        <v>68.5</v>
      </c>
      <c r="G33" s="116">
        <v>211</v>
      </c>
      <c r="H33" s="116">
        <v>206</v>
      </c>
      <c r="I33" s="116">
        <v>2950</v>
      </c>
      <c r="J33" s="324">
        <v>45</v>
      </c>
      <c r="K33" s="166"/>
    </row>
    <row r="34" spans="1:11">
      <c r="A34" s="258" t="s">
        <v>1472</v>
      </c>
      <c r="B34" s="116" t="str">
        <f t="shared" si="1"/>
        <v>M_PZ2151A</v>
      </c>
      <c r="C34" s="116" t="s">
        <v>1473</v>
      </c>
      <c r="D34" s="116" t="s">
        <v>1474</v>
      </c>
      <c r="E34" s="116" t="s">
        <v>1475</v>
      </c>
      <c r="F34" s="116">
        <v>477</v>
      </c>
      <c r="G34" s="116">
        <v>710</v>
      </c>
      <c r="H34" s="116">
        <v>656</v>
      </c>
      <c r="I34" s="116">
        <v>2980</v>
      </c>
      <c r="J34" s="116">
        <v>77</v>
      </c>
      <c r="K34" s="166"/>
    </row>
    <row r="35" spans="1:11">
      <c r="A35" s="258" t="s">
        <v>1476</v>
      </c>
      <c r="B35" s="116" t="str">
        <f t="shared" si="1"/>
        <v>M_PZ2151B</v>
      </c>
      <c r="C35" s="116" t="s">
        <v>1473</v>
      </c>
      <c r="D35" s="116" t="s">
        <v>1474</v>
      </c>
      <c r="E35" s="116" t="s">
        <v>1475</v>
      </c>
      <c r="F35" s="116">
        <v>477</v>
      </c>
      <c r="G35" s="116">
        <v>710</v>
      </c>
      <c r="H35" s="116">
        <v>656</v>
      </c>
      <c r="I35" s="116">
        <v>2980</v>
      </c>
      <c r="J35" s="116">
        <v>77</v>
      </c>
      <c r="K35" s="166"/>
    </row>
    <row r="36" spans="1:11">
      <c r="A36" s="258" t="s">
        <v>1477</v>
      </c>
      <c r="B36" s="116" t="str">
        <f t="shared" si="1"/>
        <v>M_PZ2153A</v>
      </c>
      <c r="C36" s="116" t="s">
        <v>1478</v>
      </c>
      <c r="D36" s="116" t="s">
        <v>1479</v>
      </c>
      <c r="E36" s="116" t="s">
        <v>9011</v>
      </c>
      <c r="F36" s="116">
        <v>617</v>
      </c>
      <c r="G36" s="116">
        <v>168</v>
      </c>
      <c r="H36" s="116">
        <v>155</v>
      </c>
      <c r="I36" s="116">
        <v>1500</v>
      </c>
      <c r="J36" s="116">
        <v>72</v>
      </c>
      <c r="K36" s="166"/>
    </row>
    <row r="37" spans="1:11">
      <c r="A37" s="258" t="s">
        <v>1480</v>
      </c>
      <c r="B37" s="116" t="str">
        <f t="shared" si="1"/>
        <v>M_PZ2153B</v>
      </c>
      <c r="C37" s="116" t="s">
        <v>1478</v>
      </c>
      <c r="D37" s="116" t="s">
        <v>1479</v>
      </c>
      <c r="E37" s="116" t="s">
        <v>9011</v>
      </c>
      <c r="F37" s="116">
        <v>617</v>
      </c>
      <c r="G37" s="116">
        <v>168</v>
      </c>
      <c r="H37" s="116">
        <v>155</v>
      </c>
      <c r="I37" s="116">
        <v>1500</v>
      </c>
      <c r="J37" s="116">
        <v>72</v>
      </c>
      <c r="K37" s="166"/>
    </row>
    <row r="38" spans="1:11">
      <c r="A38" s="258" t="s">
        <v>1481</v>
      </c>
      <c r="B38" s="116" t="str">
        <f t="shared" si="1"/>
        <v>M_PZ2158</v>
      </c>
      <c r="C38" s="116" t="s">
        <v>1482</v>
      </c>
      <c r="D38" s="116" t="s">
        <v>1470</v>
      </c>
      <c r="E38" s="116" t="s">
        <v>9010</v>
      </c>
      <c r="F38" s="116">
        <v>10</v>
      </c>
      <c r="G38" s="116">
        <v>120</v>
      </c>
      <c r="H38" s="116">
        <v>109</v>
      </c>
      <c r="I38" s="116">
        <v>2900</v>
      </c>
      <c r="J38" s="116">
        <v>23</v>
      </c>
      <c r="K38" s="166"/>
    </row>
    <row r="39" spans="1:11">
      <c r="A39" s="258" t="s">
        <v>1483</v>
      </c>
      <c r="B39" s="116" t="str">
        <f t="shared" si="1"/>
        <v>M_PZ2161A</v>
      </c>
      <c r="C39" s="116" t="s">
        <v>1484</v>
      </c>
      <c r="D39" s="116" t="s">
        <v>1485</v>
      </c>
      <c r="E39" s="116" t="s">
        <v>1486</v>
      </c>
      <c r="F39" s="116">
        <v>75</v>
      </c>
      <c r="G39" s="116">
        <v>138</v>
      </c>
      <c r="H39" s="116">
        <v>128</v>
      </c>
      <c r="I39" s="116">
        <v>3000</v>
      </c>
      <c r="J39" s="324"/>
      <c r="K39" s="166"/>
    </row>
    <row r="40" spans="1:11">
      <c r="A40" s="258" t="s">
        <v>1487</v>
      </c>
      <c r="B40" s="116" t="str">
        <f t="shared" si="1"/>
        <v>M_PZ2161B</v>
      </c>
      <c r="C40" s="116" t="s">
        <v>1484</v>
      </c>
      <c r="D40" s="116" t="s">
        <v>1485</v>
      </c>
      <c r="E40" s="116" t="s">
        <v>1486</v>
      </c>
      <c r="F40" s="116">
        <v>75</v>
      </c>
      <c r="G40" s="116">
        <v>138</v>
      </c>
      <c r="H40" s="116">
        <v>128</v>
      </c>
      <c r="I40" s="116">
        <v>3000</v>
      </c>
      <c r="J40" s="324"/>
      <c r="K40" s="166"/>
    </row>
    <row r="41" spans="1:11">
      <c r="A41" s="258" t="s">
        <v>1488</v>
      </c>
      <c r="B41" s="116" t="str">
        <f t="shared" si="1"/>
        <v>M_PZ2201A</v>
      </c>
      <c r="C41" s="116" t="s">
        <v>1489</v>
      </c>
      <c r="D41" s="116" t="s">
        <v>1490</v>
      </c>
      <c r="E41" s="116" t="s">
        <v>1491</v>
      </c>
      <c r="F41" s="116">
        <v>202</v>
      </c>
      <c r="G41" s="116">
        <v>90.2</v>
      </c>
      <c r="H41" s="116">
        <v>67.5</v>
      </c>
      <c r="I41" s="116">
        <v>2950</v>
      </c>
      <c r="J41" s="116">
        <v>79</v>
      </c>
      <c r="K41" s="166"/>
    </row>
    <row r="42" spans="1:11">
      <c r="A42" s="258" t="s">
        <v>1492</v>
      </c>
      <c r="B42" s="116" t="str">
        <f t="shared" si="1"/>
        <v>M_PZ2201B</v>
      </c>
      <c r="C42" s="116" t="s">
        <v>1489</v>
      </c>
      <c r="D42" s="116" t="s">
        <v>1490</v>
      </c>
      <c r="E42" s="116" t="s">
        <v>1491</v>
      </c>
      <c r="F42" s="116">
        <v>202</v>
      </c>
      <c r="G42" s="116">
        <v>90.2</v>
      </c>
      <c r="H42" s="116">
        <v>67.5</v>
      </c>
      <c r="I42" s="116">
        <v>2950</v>
      </c>
      <c r="J42" s="116">
        <v>79</v>
      </c>
      <c r="K42" s="166"/>
    </row>
    <row r="43" spans="1:11">
      <c r="A43" s="258" t="s">
        <v>1493</v>
      </c>
      <c r="B43" s="116" t="str">
        <f t="shared" si="1"/>
        <v>M_PZ2202A</v>
      </c>
      <c r="C43" s="116" t="s">
        <v>1494</v>
      </c>
      <c r="D43" s="116" t="s">
        <v>1490</v>
      </c>
      <c r="E43" s="116" t="s">
        <v>9009</v>
      </c>
      <c r="F43" s="116">
        <v>38</v>
      </c>
      <c r="G43" s="116">
        <v>320</v>
      </c>
      <c r="H43" s="116">
        <v>316</v>
      </c>
      <c r="I43" s="116">
        <v>2950</v>
      </c>
      <c r="J43" s="116">
        <v>46</v>
      </c>
      <c r="K43" s="166"/>
    </row>
    <row r="44" spans="1:11">
      <c r="A44" s="258" t="s">
        <v>1495</v>
      </c>
      <c r="B44" s="116" t="str">
        <f t="shared" si="1"/>
        <v>M_PZ2202B</v>
      </c>
      <c r="C44" s="116" t="s">
        <v>1494</v>
      </c>
      <c r="D44" s="116" t="s">
        <v>1490</v>
      </c>
      <c r="E44" s="116" t="s">
        <v>9009</v>
      </c>
      <c r="F44" s="116">
        <v>38</v>
      </c>
      <c r="G44" s="116">
        <v>320</v>
      </c>
      <c r="H44" s="116">
        <v>316</v>
      </c>
      <c r="I44" s="116">
        <v>2950</v>
      </c>
      <c r="J44" s="116">
        <v>46</v>
      </c>
      <c r="K44" s="166"/>
    </row>
    <row r="45" spans="1:11">
      <c r="A45" s="258" t="s">
        <v>1496</v>
      </c>
      <c r="B45" s="116" t="str">
        <f t="shared" si="1"/>
        <v>M_PZ2203A</v>
      </c>
      <c r="C45" s="116" t="s">
        <v>1497</v>
      </c>
      <c r="D45" s="116" t="s">
        <v>1498</v>
      </c>
      <c r="E45" s="116" t="s">
        <v>1499</v>
      </c>
      <c r="F45" s="116">
        <v>902</v>
      </c>
      <c r="G45" s="116">
        <v>76</v>
      </c>
      <c r="H45" s="116">
        <v>61.2</v>
      </c>
      <c r="I45" s="116">
        <v>1460</v>
      </c>
      <c r="J45" s="116">
        <v>78</v>
      </c>
      <c r="K45" s="166"/>
    </row>
    <row r="46" spans="1:11">
      <c r="A46" s="258" t="s">
        <v>1500</v>
      </c>
      <c r="B46" s="116" t="str">
        <f t="shared" si="1"/>
        <v>M_PZ2203B</v>
      </c>
      <c r="C46" s="116" t="s">
        <v>1497</v>
      </c>
      <c r="D46" s="116" t="s">
        <v>1498</v>
      </c>
      <c r="E46" s="116" t="s">
        <v>1501</v>
      </c>
      <c r="F46" s="116">
        <v>902</v>
      </c>
      <c r="G46" s="116">
        <v>76</v>
      </c>
      <c r="H46" s="116">
        <v>61.2</v>
      </c>
      <c r="I46" s="116">
        <v>1460</v>
      </c>
      <c r="J46" s="116">
        <v>78</v>
      </c>
      <c r="K46" s="166"/>
    </row>
    <row r="47" spans="1:11">
      <c r="A47" s="258" t="s">
        <v>1502</v>
      </c>
      <c r="B47" s="116" t="str">
        <f t="shared" si="1"/>
        <v>M_PZ2204A</v>
      </c>
      <c r="C47" s="116" t="s">
        <v>1503</v>
      </c>
      <c r="D47" s="116" t="s">
        <v>1504</v>
      </c>
      <c r="E47" s="116" t="s">
        <v>1505</v>
      </c>
      <c r="F47" s="116">
        <v>560</v>
      </c>
      <c r="G47" s="116">
        <v>231</v>
      </c>
      <c r="H47" s="116">
        <v>208</v>
      </c>
      <c r="I47" s="116">
        <v>1460</v>
      </c>
      <c r="J47" s="116">
        <v>75</v>
      </c>
      <c r="K47" s="166"/>
    </row>
    <row r="48" spans="1:11">
      <c r="A48" s="258" t="s">
        <v>1506</v>
      </c>
      <c r="B48" s="116" t="str">
        <f t="shared" si="1"/>
        <v>M_PZ2204B</v>
      </c>
      <c r="C48" s="116" t="s">
        <v>1503</v>
      </c>
      <c r="D48" s="116" t="s">
        <v>1504</v>
      </c>
      <c r="E48" s="116" t="s">
        <v>1505</v>
      </c>
      <c r="F48" s="116">
        <v>560</v>
      </c>
      <c r="G48" s="116">
        <v>231</v>
      </c>
      <c r="H48" s="116">
        <v>208</v>
      </c>
      <c r="I48" s="116">
        <v>1460</v>
      </c>
      <c r="J48" s="116">
        <v>75</v>
      </c>
      <c r="K48" s="166"/>
    </row>
    <row r="49" spans="1:11">
      <c r="A49" s="258" t="s">
        <v>1507</v>
      </c>
      <c r="B49" s="116" t="str">
        <f t="shared" si="1"/>
        <v>M_PZ2204C</v>
      </c>
      <c r="C49" s="116" t="s">
        <v>1503</v>
      </c>
      <c r="D49" s="116" t="s">
        <v>1504</v>
      </c>
      <c r="E49" s="116" t="s">
        <v>1505</v>
      </c>
      <c r="F49" s="116">
        <v>560</v>
      </c>
      <c r="G49" s="116">
        <v>231</v>
      </c>
      <c r="H49" s="116">
        <v>208</v>
      </c>
      <c r="I49" s="116">
        <v>1460</v>
      </c>
      <c r="J49" s="116">
        <v>75</v>
      </c>
      <c r="K49" s="166"/>
    </row>
    <row r="50" spans="1:11">
      <c r="A50" s="258" t="s">
        <v>1508</v>
      </c>
      <c r="B50" s="116" t="str">
        <f t="shared" si="1"/>
        <v>M_PZ2205A</v>
      </c>
      <c r="C50" s="116" t="s">
        <v>1509</v>
      </c>
      <c r="D50" s="116" t="s">
        <v>1498</v>
      </c>
      <c r="E50" s="116" t="s">
        <v>1510</v>
      </c>
      <c r="F50" s="116">
        <v>162</v>
      </c>
      <c r="G50" s="116">
        <v>138</v>
      </c>
      <c r="H50" s="116">
        <v>120</v>
      </c>
      <c r="I50" s="116">
        <v>2950</v>
      </c>
      <c r="J50" s="116">
        <v>72</v>
      </c>
      <c r="K50" s="166"/>
    </row>
    <row r="51" spans="1:11">
      <c r="A51" s="258" t="s">
        <v>1511</v>
      </c>
      <c r="B51" s="116" t="str">
        <f t="shared" si="1"/>
        <v>M_PZ2205B</v>
      </c>
      <c r="C51" s="116" t="s">
        <v>1509</v>
      </c>
      <c r="D51" s="116" t="s">
        <v>1498</v>
      </c>
      <c r="E51" s="116" t="s">
        <v>1510</v>
      </c>
      <c r="F51" s="116">
        <v>162</v>
      </c>
      <c r="G51" s="116">
        <v>138</v>
      </c>
      <c r="H51" s="116">
        <v>120</v>
      </c>
      <c r="I51" s="116">
        <v>2950</v>
      </c>
      <c r="J51" s="116">
        <v>72</v>
      </c>
      <c r="K51" s="166"/>
    </row>
    <row r="52" spans="1:11">
      <c r="A52" s="258" t="s">
        <v>1512</v>
      </c>
      <c r="B52" s="116" t="str">
        <f>"M_"&amp;A52</f>
        <v>M_PZ2206A</v>
      </c>
      <c r="C52" s="116" t="s">
        <v>1513</v>
      </c>
      <c r="D52" s="116" t="s">
        <v>1504</v>
      </c>
      <c r="E52" s="116" t="s">
        <v>1514</v>
      </c>
      <c r="F52" s="116">
        <v>246</v>
      </c>
      <c r="G52" s="116">
        <v>124</v>
      </c>
      <c r="H52" s="116">
        <v>100.6</v>
      </c>
      <c r="I52" s="116">
        <v>2950</v>
      </c>
      <c r="J52" s="116">
        <v>73</v>
      </c>
      <c r="K52" s="166"/>
    </row>
    <row r="53" spans="1:11">
      <c r="A53" s="258" t="s">
        <v>1515</v>
      </c>
      <c r="B53" s="116" t="str">
        <f>"M_"&amp;A53</f>
        <v>M_PZ2206B</v>
      </c>
      <c r="C53" s="116" t="s">
        <v>1513</v>
      </c>
      <c r="D53" s="116" t="s">
        <v>1504</v>
      </c>
      <c r="E53" s="116" t="s">
        <v>1514</v>
      </c>
      <c r="F53" s="116">
        <v>246</v>
      </c>
      <c r="G53" s="116">
        <v>124</v>
      </c>
      <c r="H53" s="116">
        <v>100.6</v>
      </c>
      <c r="I53" s="116">
        <v>2950</v>
      </c>
      <c r="J53" s="116">
        <v>73</v>
      </c>
      <c r="K53" s="166"/>
    </row>
    <row r="54" spans="1:11">
      <c r="A54" s="258" t="s">
        <v>1516</v>
      </c>
      <c r="B54" s="116" t="str">
        <f>"M_"&amp;A54</f>
        <v>M_PZ2207</v>
      </c>
      <c r="C54" s="116" t="s">
        <v>1517</v>
      </c>
      <c r="D54" s="116" t="s">
        <v>1504</v>
      </c>
      <c r="E54" s="116" t="s">
        <v>1518</v>
      </c>
      <c r="F54" s="116">
        <v>251</v>
      </c>
      <c r="G54" s="116">
        <v>134.9</v>
      </c>
      <c r="H54" s="116">
        <v>115.7</v>
      </c>
      <c r="I54" s="116">
        <v>2950</v>
      </c>
      <c r="J54" s="116">
        <v>76</v>
      </c>
      <c r="K54" s="166"/>
    </row>
    <row r="55" spans="1:11">
      <c r="A55" s="258" t="s">
        <v>1519</v>
      </c>
      <c r="B55" s="116" t="str">
        <f>"M_"&amp;A55</f>
        <v>M_PZ2855A</v>
      </c>
      <c r="C55" s="116" t="s">
        <v>1520</v>
      </c>
      <c r="D55" s="116" t="s">
        <v>1521</v>
      </c>
      <c r="E55" s="116" t="s">
        <v>9012</v>
      </c>
      <c r="F55" s="116">
        <v>21.2</v>
      </c>
      <c r="G55" s="116">
        <v>24.2</v>
      </c>
      <c r="H55" s="116">
        <v>21.2</v>
      </c>
      <c r="I55" s="116">
        <v>1450</v>
      </c>
      <c r="J55" s="116">
        <v>46.6</v>
      </c>
      <c r="K55" s="166"/>
    </row>
    <row r="56" spans="1:11" ht="13.5" thickBot="1">
      <c r="A56" s="259" t="s">
        <v>1522</v>
      </c>
      <c r="B56" s="262" t="str">
        <f>"M_"&amp;A56</f>
        <v>M_PZ2855B</v>
      </c>
      <c r="C56" s="262" t="s">
        <v>1520</v>
      </c>
      <c r="D56" s="262" t="s">
        <v>1521</v>
      </c>
      <c r="E56" s="262" t="s">
        <v>9012</v>
      </c>
      <c r="F56" s="262">
        <v>21.2</v>
      </c>
      <c r="G56" s="262">
        <v>24.2</v>
      </c>
      <c r="H56" s="262">
        <v>21.2</v>
      </c>
      <c r="I56" s="262">
        <v>1450</v>
      </c>
      <c r="J56" s="262">
        <v>46.6</v>
      </c>
      <c r="K56" s="326"/>
    </row>
  </sheetData>
  <phoneticPr fontId="14" type="noConversion"/>
  <pageMargins left="0.7" right="0.7" top="0.75" bottom="0.75" header="0.3" footer="0.3"/>
  <pageSetup paperSize="9" orientation="portrait" horizontalDpi="4294967295" verticalDpi="4294967295" r:id="rId1"/>
  <legacyDrawing r:id="rId2"/>
</worksheet>
</file>

<file path=xl/worksheets/sheet39.xml><?xml version="1.0" encoding="utf-8"?>
<worksheet xmlns="http://schemas.openxmlformats.org/spreadsheetml/2006/main" xmlns:r="http://schemas.openxmlformats.org/officeDocument/2006/relationships">
  <sheetPr>
    <tabColor rgb="FFFFFF00"/>
  </sheetPr>
  <dimension ref="A1:AE58"/>
  <sheetViews>
    <sheetView zoomScaleNormal="100" workbookViewId="0">
      <pane xSplit="1" ySplit="2" topLeftCell="B3" activePane="bottomRight" state="frozen"/>
      <selection activeCell="I58" sqref="I58"/>
      <selection pane="topRight" activeCell="I58" sqref="I58"/>
      <selection pane="bottomLeft" activeCell="I58" sqref="I58"/>
      <selection pane="bottomRight" activeCell="O28" sqref="O28"/>
    </sheetView>
  </sheetViews>
  <sheetFormatPr defaultRowHeight="12.75"/>
  <cols>
    <col min="1" max="1" width="10.5" style="52" bestFit="1" customWidth="1"/>
    <col min="2" max="4" width="0" style="52" hidden="1" customWidth="1"/>
    <col min="5" max="5" width="9.125" style="52" hidden="1" customWidth="1"/>
    <col min="6" max="6" width="9.375" style="52" hidden="1" customWidth="1"/>
    <col min="7" max="7" width="11.5" style="52" hidden="1" customWidth="1"/>
    <col min="8" max="8" width="10.625" style="52" hidden="1" customWidth="1"/>
    <col min="9" max="9" width="8.5" style="52" hidden="1" customWidth="1"/>
    <col min="10" max="10" width="13.625" style="52" hidden="1" customWidth="1"/>
    <col min="11" max="11" width="13" style="52" hidden="1" customWidth="1"/>
    <col min="12" max="12" width="12" style="52" hidden="1" customWidth="1"/>
    <col min="13" max="13" width="13" style="52" hidden="1" customWidth="1"/>
    <col min="14" max="14" width="12.375" style="52" hidden="1" customWidth="1"/>
    <col min="15" max="15" width="8.875" style="52"/>
    <col min="16" max="16" width="11.5" style="52" bestFit="1" customWidth="1"/>
    <col min="17" max="18" width="40.625" style="52" customWidth="1"/>
    <col min="19" max="19" width="9.625" style="52" bestFit="1" customWidth="1"/>
    <col min="20" max="27" width="16.625" style="52" customWidth="1"/>
    <col min="28" max="28" width="12.375" style="52" bestFit="1" customWidth="1"/>
    <col min="29" max="30" width="8.875" style="52"/>
    <col min="31" max="31" width="12.375" style="52" bestFit="1" customWidth="1"/>
    <col min="32" max="256" width="8.875" style="52"/>
    <col min="257" max="257" width="10.5" style="52" bestFit="1" customWidth="1"/>
    <col min="258" max="270" width="0" style="52" hidden="1" customWidth="1"/>
    <col min="271" max="271" width="8.875" style="52"/>
    <col min="272" max="272" width="11.5" style="52" bestFit="1" customWidth="1"/>
    <col min="273" max="273" width="34.5" style="52" bestFit="1" customWidth="1"/>
    <col min="274" max="274" width="51" style="52" bestFit="1" customWidth="1"/>
    <col min="275" max="275" width="9.625" style="52" bestFit="1" customWidth="1"/>
    <col min="276" max="276" width="13" style="52" customWidth="1"/>
    <col min="277" max="277" width="16.625" style="52" customWidth="1"/>
    <col min="278" max="279" width="11.5" style="52" customWidth="1"/>
    <col min="280" max="280" width="11.625" style="52" customWidth="1"/>
    <col min="281" max="281" width="9.375" style="52" customWidth="1"/>
    <col min="282" max="282" width="9.5" style="52" customWidth="1"/>
    <col min="283" max="283" width="8.625" style="52" customWidth="1"/>
    <col min="284" max="284" width="12.375" style="52" bestFit="1" customWidth="1"/>
    <col min="285" max="286" width="8.875" style="52"/>
    <col min="287" max="287" width="12.375" style="52" bestFit="1" customWidth="1"/>
    <col min="288" max="512" width="8.875" style="52"/>
    <col min="513" max="513" width="10.5" style="52" bestFit="1" customWidth="1"/>
    <col min="514" max="526" width="0" style="52" hidden="1" customWidth="1"/>
    <col min="527" max="527" width="8.875" style="52"/>
    <col min="528" max="528" width="11.5" style="52" bestFit="1" customWidth="1"/>
    <col min="529" max="529" width="34.5" style="52" bestFit="1" customWidth="1"/>
    <col min="530" max="530" width="51" style="52" bestFit="1" customWidth="1"/>
    <col min="531" max="531" width="9.625" style="52" bestFit="1" customWidth="1"/>
    <col min="532" max="532" width="13" style="52" customWidth="1"/>
    <col min="533" max="533" width="16.625" style="52" customWidth="1"/>
    <col min="534" max="535" width="11.5" style="52" customWidth="1"/>
    <col min="536" max="536" width="11.625" style="52" customWidth="1"/>
    <col min="537" max="537" width="9.375" style="52" customWidth="1"/>
    <col min="538" max="538" width="9.5" style="52" customWidth="1"/>
    <col min="539" max="539" width="8.625" style="52" customWidth="1"/>
    <col min="540" max="540" width="12.375" style="52" bestFit="1" customWidth="1"/>
    <col min="541" max="542" width="8.875" style="52"/>
    <col min="543" max="543" width="12.375" style="52" bestFit="1" customWidth="1"/>
    <col min="544" max="768" width="8.875" style="52"/>
    <col min="769" max="769" width="10.5" style="52" bestFit="1" customWidth="1"/>
    <col min="770" max="782" width="0" style="52" hidden="1" customWidth="1"/>
    <col min="783" max="783" width="8.875" style="52"/>
    <col min="784" max="784" width="11.5" style="52" bestFit="1" customWidth="1"/>
    <col min="785" max="785" width="34.5" style="52" bestFit="1" customWidth="1"/>
    <col min="786" max="786" width="51" style="52" bestFit="1" customWidth="1"/>
    <col min="787" max="787" width="9.625" style="52" bestFit="1" customWidth="1"/>
    <col min="788" max="788" width="13" style="52" customWidth="1"/>
    <col min="789" max="789" width="16.625" style="52" customWidth="1"/>
    <col min="790" max="791" width="11.5" style="52" customWidth="1"/>
    <col min="792" max="792" width="11.625" style="52" customWidth="1"/>
    <col min="793" max="793" width="9.375" style="52" customWidth="1"/>
    <col min="794" max="794" width="9.5" style="52" customWidth="1"/>
    <col min="795" max="795" width="8.625" style="52" customWidth="1"/>
    <col min="796" max="796" width="12.375" style="52" bestFit="1" customWidth="1"/>
    <col min="797" max="798" width="8.875" style="52"/>
    <col min="799" max="799" width="12.375" style="52" bestFit="1" customWidth="1"/>
    <col min="800" max="1024" width="8.875" style="52"/>
    <col min="1025" max="1025" width="10.5" style="52" bestFit="1" customWidth="1"/>
    <col min="1026" max="1038" width="0" style="52" hidden="1" customWidth="1"/>
    <col min="1039" max="1039" width="8.875" style="52"/>
    <col min="1040" max="1040" width="11.5" style="52" bestFit="1" customWidth="1"/>
    <col min="1041" max="1041" width="34.5" style="52" bestFit="1" customWidth="1"/>
    <col min="1042" max="1042" width="51" style="52" bestFit="1" customWidth="1"/>
    <col min="1043" max="1043" width="9.625" style="52" bestFit="1" customWidth="1"/>
    <col min="1044" max="1044" width="13" style="52" customWidth="1"/>
    <col min="1045" max="1045" width="16.625" style="52" customWidth="1"/>
    <col min="1046" max="1047" width="11.5" style="52" customWidth="1"/>
    <col min="1048" max="1048" width="11.625" style="52" customWidth="1"/>
    <col min="1049" max="1049" width="9.375" style="52" customWidth="1"/>
    <col min="1050" max="1050" width="9.5" style="52" customWidth="1"/>
    <col min="1051" max="1051" width="8.625" style="52" customWidth="1"/>
    <col min="1052" max="1052" width="12.375" style="52" bestFit="1" customWidth="1"/>
    <col min="1053" max="1054" width="8.875" style="52"/>
    <col min="1055" max="1055" width="12.375" style="52" bestFit="1" customWidth="1"/>
    <col min="1056" max="1280" width="8.875" style="52"/>
    <col min="1281" max="1281" width="10.5" style="52" bestFit="1" customWidth="1"/>
    <col min="1282" max="1294" width="0" style="52" hidden="1" customWidth="1"/>
    <col min="1295" max="1295" width="8.875" style="52"/>
    <col min="1296" max="1296" width="11.5" style="52" bestFit="1" customWidth="1"/>
    <col min="1297" max="1297" width="34.5" style="52" bestFit="1" customWidth="1"/>
    <col min="1298" max="1298" width="51" style="52" bestFit="1" customWidth="1"/>
    <col min="1299" max="1299" width="9.625" style="52" bestFit="1" customWidth="1"/>
    <col min="1300" max="1300" width="13" style="52" customWidth="1"/>
    <col min="1301" max="1301" width="16.625" style="52" customWidth="1"/>
    <col min="1302" max="1303" width="11.5" style="52" customWidth="1"/>
    <col min="1304" max="1304" width="11.625" style="52" customWidth="1"/>
    <col min="1305" max="1305" width="9.375" style="52" customWidth="1"/>
    <col min="1306" max="1306" width="9.5" style="52" customWidth="1"/>
    <col min="1307" max="1307" width="8.625" style="52" customWidth="1"/>
    <col min="1308" max="1308" width="12.375" style="52" bestFit="1" customWidth="1"/>
    <col min="1309" max="1310" width="8.875" style="52"/>
    <col min="1311" max="1311" width="12.375" style="52" bestFit="1" customWidth="1"/>
    <col min="1312" max="1536" width="8.875" style="52"/>
    <col min="1537" max="1537" width="10.5" style="52" bestFit="1" customWidth="1"/>
    <col min="1538" max="1550" width="0" style="52" hidden="1" customWidth="1"/>
    <col min="1551" max="1551" width="8.875" style="52"/>
    <col min="1552" max="1552" width="11.5" style="52" bestFit="1" customWidth="1"/>
    <col min="1553" max="1553" width="34.5" style="52" bestFit="1" customWidth="1"/>
    <col min="1554" max="1554" width="51" style="52" bestFit="1" customWidth="1"/>
    <col min="1555" max="1555" width="9.625" style="52" bestFit="1" customWidth="1"/>
    <col min="1556" max="1556" width="13" style="52" customWidth="1"/>
    <col min="1557" max="1557" width="16.625" style="52" customWidth="1"/>
    <col min="1558" max="1559" width="11.5" style="52" customWidth="1"/>
    <col min="1560" max="1560" width="11.625" style="52" customWidth="1"/>
    <col min="1561" max="1561" width="9.375" style="52" customWidth="1"/>
    <col min="1562" max="1562" width="9.5" style="52" customWidth="1"/>
    <col min="1563" max="1563" width="8.625" style="52" customWidth="1"/>
    <col min="1564" max="1564" width="12.375" style="52" bestFit="1" customWidth="1"/>
    <col min="1565" max="1566" width="8.875" style="52"/>
    <col min="1567" max="1567" width="12.375" style="52" bestFit="1" customWidth="1"/>
    <col min="1568" max="1792" width="8.875" style="52"/>
    <col min="1793" max="1793" width="10.5" style="52" bestFit="1" customWidth="1"/>
    <col min="1794" max="1806" width="0" style="52" hidden="1" customWidth="1"/>
    <col min="1807" max="1807" width="8.875" style="52"/>
    <col min="1808" max="1808" width="11.5" style="52" bestFit="1" customWidth="1"/>
    <col min="1809" max="1809" width="34.5" style="52" bestFit="1" customWidth="1"/>
    <col min="1810" max="1810" width="51" style="52" bestFit="1" customWidth="1"/>
    <col min="1811" max="1811" width="9.625" style="52" bestFit="1" customWidth="1"/>
    <col min="1812" max="1812" width="13" style="52" customWidth="1"/>
    <col min="1813" max="1813" width="16.625" style="52" customWidth="1"/>
    <col min="1814" max="1815" width="11.5" style="52" customWidth="1"/>
    <col min="1816" max="1816" width="11.625" style="52" customWidth="1"/>
    <col min="1817" max="1817" width="9.375" style="52" customWidth="1"/>
    <col min="1818" max="1818" width="9.5" style="52" customWidth="1"/>
    <col min="1819" max="1819" width="8.625" style="52" customWidth="1"/>
    <col min="1820" max="1820" width="12.375" style="52" bestFit="1" customWidth="1"/>
    <col min="1821" max="1822" width="8.875" style="52"/>
    <col min="1823" max="1823" width="12.375" style="52" bestFit="1" customWidth="1"/>
    <col min="1824" max="2048" width="8.875" style="52"/>
    <col min="2049" max="2049" width="10.5" style="52" bestFit="1" customWidth="1"/>
    <col min="2050" max="2062" width="0" style="52" hidden="1" customWidth="1"/>
    <col min="2063" max="2063" width="8.875" style="52"/>
    <col min="2064" max="2064" width="11.5" style="52" bestFit="1" customWidth="1"/>
    <col min="2065" max="2065" width="34.5" style="52" bestFit="1" customWidth="1"/>
    <col min="2066" max="2066" width="51" style="52" bestFit="1" customWidth="1"/>
    <col min="2067" max="2067" width="9.625" style="52" bestFit="1" customWidth="1"/>
    <col min="2068" max="2068" width="13" style="52" customWidth="1"/>
    <col min="2069" max="2069" width="16.625" style="52" customWidth="1"/>
    <col min="2070" max="2071" width="11.5" style="52" customWidth="1"/>
    <col min="2072" max="2072" width="11.625" style="52" customWidth="1"/>
    <col min="2073" max="2073" width="9.375" style="52" customWidth="1"/>
    <col min="2074" max="2074" width="9.5" style="52" customWidth="1"/>
    <col min="2075" max="2075" width="8.625" style="52" customWidth="1"/>
    <col min="2076" max="2076" width="12.375" style="52" bestFit="1" customWidth="1"/>
    <col min="2077" max="2078" width="8.875" style="52"/>
    <col min="2079" max="2079" width="12.375" style="52" bestFit="1" customWidth="1"/>
    <col min="2080" max="2304" width="8.875" style="52"/>
    <col min="2305" max="2305" width="10.5" style="52" bestFit="1" customWidth="1"/>
    <col min="2306" max="2318" width="0" style="52" hidden="1" customWidth="1"/>
    <col min="2319" max="2319" width="8.875" style="52"/>
    <col min="2320" max="2320" width="11.5" style="52" bestFit="1" customWidth="1"/>
    <col min="2321" max="2321" width="34.5" style="52" bestFit="1" customWidth="1"/>
    <col min="2322" max="2322" width="51" style="52" bestFit="1" customWidth="1"/>
    <col min="2323" max="2323" width="9.625" style="52" bestFit="1" customWidth="1"/>
    <col min="2324" max="2324" width="13" style="52" customWidth="1"/>
    <col min="2325" max="2325" width="16.625" style="52" customWidth="1"/>
    <col min="2326" max="2327" width="11.5" style="52" customWidth="1"/>
    <col min="2328" max="2328" width="11.625" style="52" customWidth="1"/>
    <col min="2329" max="2329" width="9.375" style="52" customWidth="1"/>
    <col min="2330" max="2330" width="9.5" style="52" customWidth="1"/>
    <col min="2331" max="2331" width="8.625" style="52" customWidth="1"/>
    <col min="2332" max="2332" width="12.375" style="52" bestFit="1" customWidth="1"/>
    <col min="2333" max="2334" width="8.875" style="52"/>
    <col min="2335" max="2335" width="12.375" style="52" bestFit="1" customWidth="1"/>
    <col min="2336" max="2560" width="8.875" style="52"/>
    <col min="2561" max="2561" width="10.5" style="52" bestFit="1" customWidth="1"/>
    <col min="2562" max="2574" width="0" style="52" hidden="1" customWidth="1"/>
    <col min="2575" max="2575" width="8.875" style="52"/>
    <col min="2576" max="2576" width="11.5" style="52" bestFit="1" customWidth="1"/>
    <col min="2577" max="2577" width="34.5" style="52" bestFit="1" customWidth="1"/>
    <col min="2578" max="2578" width="51" style="52" bestFit="1" customWidth="1"/>
    <col min="2579" max="2579" width="9.625" style="52" bestFit="1" customWidth="1"/>
    <col min="2580" max="2580" width="13" style="52" customWidth="1"/>
    <col min="2581" max="2581" width="16.625" style="52" customWidth="1"/>
    <col min="2582" max="2583" width="11.5" style="52" customWidth="1"/>
    <col min="2584" max="2584" width="11.625" style="52" customWidth="1"/>
    <col min="2585" max="2585" width="9.375" style="52" customWidth="1"/>
    <col min="2586" max="2586" width="9.5" style="52" customWidth="1"/>
    <col min="2587" max="2587" width="8.625" style="52" customWidth="1"/>
    <col min="2588" max="2588" width="12.375" style="52" bestFit="1" customWidth="1"/>
    <col min="2589" max="2590" width="8.875" style="52"/>
    <col min="2591" max="2591" width="12.375" style="52" bestFit="1" customWidth="1"/>
    <col min="2592" max="2816" width="8.875" style="52"/>
    <col min="2817" max="2817" width="10.5" style="52" bestFit="1" customWidth="1"/>
    <col min="2818" max="2830" width="0" style="52" hidden="1" customWidth="1"/>
    <col min="2831" max="2831" width="8.875" style="52"/>
    <col min="2832" max="2832" width="11.5" style="52" bestFit="1" customWidth="1"/>
    <col min="2833" max="2833" width="34.5" style="52" bestFit="1" customWidth="1"/>
    <col min="2834" max="2834" width="51" style="52" bestFit="1" customWidth="1"/>
    <col min="2835" max="2835" width="9.625" style="52" bestFit="1" customWidth="1"/>
    <col min="2836" max="2836" width="13" style="52" customWidth="1"/>
    <col min="2837" max="2837" width="16.625" style="52" customWidth="1"/>
    <col min="2838" max="2839" width="11.5" style="52" customWidth="1"/>
    <col min="2840" max="2840" width="11.625" style="52" customWidth="1"/>
    <col min="2841" max="2841" width="9.375" style="52" customWidth="1"/>
    <col min="2842" max="2842" width="9.5" style="52" customWidth="1"/>
    <col min="2843" max="2843" width="8.625" style="52" customWidth="1"/>
    <col min="2844" max="2844" width="12.375" style="52" bestFit="1" customWidth="1"/>
    <col min="2845" max="2846" width="8.875" style="52"/>
    <col min="2847" max="2847" width="12.375" style="52" bestFit="1" customWidth="1"/>
    <col min="2848" max="3072" width="8.875" style="52"/>
    <col min="3073" max="3073" width="10.5" style="52" bestFit="1" customWidth="1"/>
    <col min="3074" max="3086" width="0" style="52" hidden="1" customWidth="1"/>
    <col min="3087" max="3087" width="8.875" style="52"/>
    <col min="3088" max="3088" width="11.5" style="52" bestFit="1" customWidth="1"/>
    <col min="3089" max="3089" width="34.5" style="52" bestFit="1" customWidth="1"/>
    <col min="3090" max="3090" width="51" style="52" bestFit="1" customWidth="1"/>
    <col min="3091" max="3091" width="9.625" style="52" bestFit="1" customWidth="1"/>
    <col min="3092" max="3092" width="13" style="52" customWidth="1"/>
    <col min="3093" max="3093" width="16.625" style="52" customWidth="1"/>
    <col min="3094" max="3095" width="11.5" style="52" customWidth="1"/>
    <col min="3096" max="3096" width="11.625" style="52" customWidth="1"/>
    <col min="3097" max="3097" width="9.375" style="52" customWidth="1"/>
    <col min="3098" max="3098" width="9.5" style="52" customWidth="1"/>
    <col min="3099" max="3099" width="8.625" style="52" customWidth="1"/>
    <col min="3100" max="3100" width="12.375" style="52" bestFit="1" customWidth="1"/>
    <col min="3101" max="3102" width="8.875" style="52"/>
    <col min="3103" max="3103" width="12.375" style="52" bestFit="1" customWidth="1"/>
    <col min="3104" max="3328" width="8.875" style="52"/>
    <col min="3329" max="3329" width="10.5" style="52" bestFit="1" customWidth="1"/>
    <col min="3330" max="3342" width="0" style="52" hidden="1" customWidth="1"/>
    <col min="3343" max="3343" width="8.875" style="52"/>
    <col min="3344" max="3344" width="11.5" style="52" bestFit="1" customWidth="1"/>
    <col min="3345" max="3345" width="34.5" style="52" bestFit="1" customWidth="1"/>
    <col min="3346" max="3346" width="51" style="52" bestFit="1" customWidth="1"/>
    <col min="3347" max="3347" width="9.625" style="52" bestFit="1" customWidth="1"/>
    <col min="3348" max="3348" width="13" style="52" customWidth="1"/>
    <col min="3349" max="3349" width="16.625" style="52" customWidth="1"/>
    <col min="3350" max="3351" width="11.5" style="52" customWidth="1"/>
    <col min="3352" max="3352" width="11.625" style="52" customWidth="1"/>
    <col min="3353" max="3353" width="9.375" style="52" customWidth="1"/>
    <col min="3354" max="3354" width="9.5" style="52" customWidth="1"/>
    <col min="3355" max="3355" width="8.625" style="52" customWidth="1"/>
    <col min="3356" max="3356" width="12.375" style="52" bestFit="1" customWidth="1"/>
    <col min="3357" max="3358" width="8.875" style="52"/>
    <col min="3359" max="3359" width="12.375" style="52" bestFit="1" customWidth="1"/>
    <col min="3360" max="3584" width="8.875" style="52"/>
    <col min="3585" max="3585" width="10.5" style="52" bestFit="1" customWidth="1"/>
    <col min="3586" max="3598" width="0" style="52" hidden="1" customWidth="1"/>
    <col min="3599" max="3599" width="8.875" style="52"/>
    <col min="3600" max="3600" width="11.5" style="52" bestFit="1" customWidth="1"/>
    <col min="3601" max="3601" width="34.5" style="52" bestFit="1" customWidth="1"/>
    <col min="3602" max="3602" width="51" style="52" bestFit="1" customWidth="1"/>
    <col min="3603" max="3603" width="9.625" style="52" bestFit="1" customWidth="1"/>
    <col min="3604" max="3604" width="13" style="52" customWidth="1"/>
    <col min="3605" max="3605" width="16.625" style="52" customWidth="1"/>
    <col min="3606" max="3607" width="11.5" style="52" customWidth="1"/>
    <col min="3608" max="3608" width="11.625" style="52" customWidth="1"/>
    <col min="3609" max="3609" width="9.375" style="52" customWidth="1"/>
    <col min="3610" max="3610" width="9.5" style="52" customWidth="1"/>
    <col min="3611" max="3611" width="8.625" style="52" customWidth="1"/>
    <col min="3612" max="3612" width="12.375" style="52" bestFit="1" customWidth="1"/>
    <col min="3613" max="3614" width="8.875" style="52"/>
    <col min="3615" max="3615" width="12.375" style="52" bestFit="1" customWidth="1"/>
    <col min="3616" max="3840" width="8.875" style="52"/>
    <col min="3841" max="3841" width="10.5" style="52" bestFit="1" customWidth="1"/>
    <col min="3842" max="3854" width="0" style="52" hidden="1" customWidth="1"/>
    <col min="3855" max="3855" width="8.875" style="52"/>
    <col min="3856" max="3856" width="11.5" style="52" bestFit="1" customWidth="1"/>
    <col min="3857" max="3857" width="34.5" style="52" bestFit="1" customWidth="1"/>
    <col min="3858" max="3858" width="51" style="52" bestFit="1" customWidth="1"/>
    <col min="3859" max="3859" width="9.625" style="52" bestFit="1" customWidth="1"/>
    <col min="3860" max="3860" width="13" style="52" customWidth="1"/>
    <col min="3861" max="3861" width="16.625" style="52" customWidth="1"/>
    <col min="3862" max="3863" width="11.5" style="52" customWidth="1"/>
    <col min="3864" max="3864" width="11.625" style="52" customWidth="1"/>
    <col min="3865" max="3865" width="9.375" style="52" customWidth="1"/>
    <col min="3866" max="3866" width="9.5" style="52" customWidth="1"/>
    <col min="3867" max="3867" width="8.625" style="52" customWidth="1"/>
    <col min="3868" max="3868" width="12.375" style="52" bestFit="1" customWidth="1"/>
    <col min="3869" max="3870" width="8.875" style="52"/>
    <col min="3871" max="3871" width="12.375" style="52" bestFit="1" customWidth="1"/>
    <col min="3872" max="4096" width="8.875" style="52"/>
    <col min="4097" max="4097" width="10.5" style="52" bestFit="1" customWidth="1"/>
    <col min="4098" max="4110" width="0" style="52" hidden="1" customWidth="1"/>
    <col min="4111" max="4111" width="8.875" style="52"/>
    <col min="4112" max="4112" width="11.5" style="52" bestFit="1" customWidth="1"/>
    <col min="4113" max="4113" width="34.5" style="52" bestFit="1" customWidth="1"/>
    <col min="4114" max="4114" width="51" style="52" bestFit="1" customWidth="1"/>
    <col min="4115" max="4115" width="9.625" style="52" bestFit="1" customWidth="1"/>
    <col min="4116" max="4116" width="13" style="52" customWidth="1"/>
    <col min="4117" max="4117" width="16.625" style="52" customWidth="1"/>
    <col min="4118" max="4119" width="11.5" style="52" customWidth="1"/>
    <col min="4120" max="4120" width="11.625" style="52" customWidth="1"/>
    <col min="4121" max="4121" width="9.375" style="52" customWidth="1"/>
    <col min="4122" max="4122" width="9.5" style="52" customWidth="1"/>
    <col min="4123" max="4123" width="8.625" style="52" customWidth="1"/>
    <col min="4124" max="4124" width="12.375" style="52" bestFit="1" customWidth="1"/>
    <col min="4125" max="4126" width="8.875" style="52"/>
    <col min="4127" max="4127" width="12.375" style="52" bestFit="1" customWidth="1"/>
    <col min="4128" max="4352" width="8.875" style="52"/>
    <col min="4353" max="4353" width="10.5" style="52" bestFit="1" customWidth="1"/>
    <col min="4354" max="4366" width="0" style="52" hidden="1" customWidth="1"/>
    <col min="4367" max="4367" width="8.875" style="52"/>
    <col min="4368" max="4368" width="11.5" style="52" bestFit="1" customWidth="1"/>
    <col min="4369" max="4369" width="34.5" style="52" bestFit="1" customWidth="1"/>
    <col min="4370" max="4370" width="51" style="52" bestFit="1" customWidth="1"/>
    <col min="4371" max="4371" width="9.625" style="52" bestFit="1" customWidth="1"/>
    <col min="4372" max="4372" width="13" style="52" customWidth="1"/>
    <col min="4373" max="4373" width="16.625" style="52" customWidth="1"/>
    <col min="4374" max="4375" width="11.5" style="52" customWidth="1"/>
    <col min="4376" max="4376" width="11.625" style="52" customWidth="1"/>
    <col min="4377" max="4377" width="9.375" style="52" customWidth="1"/>
    <col min="4378" max="4378" width="9.5" style="52" customWidth="1"/>
    <col min="4379" max="4379" width="8.625" style="52" customWidth="1"/>
    <col min="4380" max="4380" width="12.375" style="52" bestFit="1" customWidth="1"/>
    <col min="4381" max="4382" width="8.875" style="52"/>
    <col min="4383" max="4383" width="12.375" style="52" bestFit="1" customWidth="1"/>
    <col min="4384" max="4608" width="8.875" style="52"/>
    <col min="4609" max="4609" width="10.5" style="52" bestFit="1" customWidth="1"/>
    <col min="4610" max="4622" width="0" style="52" hidden="1" customWidth="1"/>
    <col min="4623" max="4623" width="8.875" style="52"/>
    <col min="4624" max="4624" width="11.5" style="52" bestFit="1" customWidth="1"/>
    <col min="4625" max="4625" width="34.5" style="52" bestFit="1" customWidth="1"/>
    <col min="4626" max="4626" width="51" style="52" bestFit="1" customWidth="1"/>
    <col min="4627" max="4627" width="9.625" style="52" bestFit="1" customWidth="1"/>
    <col min="4628" max="4628" width="13" style="52" customWidth="1"/>
    <col min="4629" max="4629" width="16.625" style="52" customWidth="1"/>
    <col min="4630" max="4631" width="11.5" style="52" customWidth="1"/>
    <col min="4632" max="4632" width="11.625" style="52" customWidth="1"/>
    <col min="4633" max="4633" width="9.375" style="52" customWidth="1"/>
    <col min="4634" max="4634" width="9.5" style="52" customWidth="1"/>
    <col min="4635" max="4635" width="8.625" style="52" customWidth="1"/>
    <col min="4636" max="4636" width="12.375" style="52" bestFit="1" customWidth="1"/>
    <col min="4637" max="4638" width="8.875" style="52"/>
    <col min="4639" max="4639" width="12.375" style="52" bestFit="1" customWidth="1"/>
    <col min="4640" max="4864" width="8.875" style="52"/>
    <col min="4865" max="4865" width="10.5" style="52" bestFit="1" customWidth="1"/>
    <col min="4866" max="4878" width="0" style="52" hidden="1" customWidth="1"/>
    <col min="4879" max="4879" width="8.875" style="52"/>
    <col min="4880" max="4880" width="11.5" style="52" bestFit="1" customWidth="1"/>
    <col min="4881" max="4881" width="34.5" style="52" bestFit="1" customWidth="1"/>
    <col min="4882" max="4882" width="51" style="52" bestFit="1" customWidth="1"/>
    <col min="4883" max="4883" width="9.625" style="52" bestFit="1" customWidth="1"/>
    <col min="4884" max="4884" width="13" style="52" customWidth="1"/>
    <col min="4885" max="4885" width="16.625" style="52" customWidth="1"/>
    <col min="4886" max="4887" width="11.5" style="52" customWidth="1"/>
    <col min="4888" max="4888" width="11.625" style="52" customWidth="1"/>
    <col min="4889" max="4889" width="9.375" style="52" customWidth="1"/>
    <col min="4890" max="4890" width="9.5" style="52" customWidth="1"/>
    <col min="4891" max="4891" width="8.625" style="52" customWidth="1"/>
    <col min="4892" max="4892" width="12.375" style="52" bestFit="1" customWidth="1"/>
    <col min="4893" max="4894" width="8.875" style="52"/>
    <col min="4895" max="4895" width="12.375" style="52" bestFit="1" customWidth="1"/>
    <col min="4896" max="5120" width="8.875" style="52"/>
    <col min="5121" max="5121" width="10.5" style="52" bestFit="1" customWidth="1"/>
    <col min="5122" max="5134" width="0" style="52" hidden="1" customWidth="1"/>
    <col min="5135" max="5135" width="8.875" style="52"/>
    <col min="5136" max="5136" width="11.5" style="52" bestFit="1" customWidth="1"/>
    <col min="5137" max="5137" width="34.5" style="52" bestFit="1" customWidth="1"/>
    <col min="5138" max="5138" width="51" style="52" bestFit="1" customWidth="1"/>
    <col min="5139" max="5139" width="9.625" style="52" bestFit="1" customWidth="1"/>
    <col min="5140" max="5140" width="13" style="52" customWidth="1"/>
    <col min="5141" max="5141" width="16.625" style="52" customWidth="1"/>
    <col min="5142" max="5143" width="11.5" style="52" customWidth="1"/>
    <col min="5144" max="5144" width="11.625" style="52" customWidth="1"/>
    <col min="5145" max="5145" width="9.375" style="52" customWidth="1"/>
    <col min="5146" max="5146" width="9.5" style="52" customWidth="1"/>
    <col min="5147" max="5147" width="8.625" style="52" customWidth="1"/>
    <col min="5148" max="5148" width="12.375" style="52" bestFit="1" customWidth="1"/>
    <col min="5149" max="5150" width="8.875" style="52"/>
    <col min="5151" max="5151" width="12.375" style="52" bestFit="1" customWidth="1"/>
    <col min="5152" max="5376" width="8.875" style="52"/>
    <col min="5377" max="5377" width="10.5" style="52" bestFit="1" customWidth="1"/>
    <col min="5378" max="5390" width="0" style="52" hidden="1" customWidth="1"/>
    <col min="5391" max="5391" width="8.875" style="52"/>
    <col min="5392" max="5392" width="11.5" style="52" bestFit="1" customWidth="1"/>
    <col min="5393" max="5393" width="34.5" style="52" bestFit="1" customWidth="1"/>
    <col min="5394" max="5394" width="51" style="52" bestFit="1" customWidth="1"/>
    <col min="5395" max="5395" width="9.625" style="52" bestFit="1" customWidth="1"/>
    <col min="5396" max="5396" width="13" style="52" customWidth="1"/>
    <col min="5397" max="5397" width="16.625" style="52" customWidth="1"/>
    <col min="5398" max="5399" width="11.5" style="52" customWidth="1"/>
    <col min="5400" max="5400" width="11.625" style="52" customWidth="1"/>
    <col min="5401" max="5401" width="9.375" style="52" customWidth="1"/>
    <col min="5402" max="5402" width="9.5" style="52" customWidth="1"/>
    <col min="5403" max="5403" width="8.625" style="52" customWidth="1"/>
    <col min="5404" max="5404" width="12.375" style="52" bestFit="1" customWidth="1"/>
    <col min="5405" max="5406" width="8.875" style="52"/>
    <col min="5407" max="5407" width="12.375" style="52" bestFit="1" customWidth="1"/>
    <col min="5408" max="5632" width="8.875" style="52"/>
    <col min="5633" max="5633" width="10.5" style="52" bestFit="1" customWidth="1"/>
    <col min="5634" max="5646" width="0" style="52" hidden="1" customWidth="1"/>
    <col min="5647" max="5647" width="8.875" style="52"/>
    <col min="5648" max="5648" width="11.5" style="52" bestFit="1" customWidth="1"/>
    <col min="5649" max="5649" width="34.5" style="52" bestFit="1" customWidth="1"/>
    <col min="5650" max="5650" width="51" style="52" bestFit="1" customWidth="1"/>
    <col min="5651" max="5651" width="9.625" style="52" bestFit="1" customWidth="1"/>
    <col min="5652" max="5652" width="13" style="52" customWidth="1"/>
    <col min="5653" max="5653" width="16.625" style="52" customWidth="1"/>
    <col min="5654" max="5655" width="11.5" style="52" customWidth="1"/>
    <col min="5656" max="5656" width="11.625" style="52" customWidth="1"/>
    <col min="5657" max="5657" width="9.375" style="52" customWidth="1"/>
    <col min="5658" max="5658" width="9.5" style="52" customWidth="1"/>
    <col min="5659" max="5659" width="8.625" style="52" customWidth="1"/>
    <col min="5660" max="5660" width="12.375" style="52" bestFit="1" customWidth="1"/>
    <col min="5661" max="5662" width="8.875" style="52"/>
    <col min="5663" max="5663" width="12.375" style="52" bestFit="1" customWidth="1"/>
    <col min="5664" max="5888" width="8.875" style="52"/>
    <col min="5889" max="5889" width="10.5" style="52" bestFit="1" customWidth="1"/>
    <col min="5890" max="5902" width="0" style="52" hidden="1" customWidth="1"/>
    <col min="5903" max="5903" width="8.875" style="52"/>
    <col min="5904" max="5904" width="11.5" style="52" bestFit="1" customWidth="1"/>
    <col min="5905" max="5905" width="34.5" style="52" bestFit="1" customWidth="1"/>
    <col min="5906" max="5906" width="51" style="52" bestFit="1" customWidth="1"/>
    <col min="5907" max="5907" width="9.625" style="52" bestFit="1" customWidth="1"/>
    <col min="5908" max="5908" width="13" style="52" customWidth="1"/>
    <col min="5909" max="5909" width="16.625" style="52" customWidth="1"/>
    <col min="5910" max="5911" width="11.5" style="52" customWidth="1"/>
    <col min="5912" max="5912" width="11.625" style="52" customWidth="1"/>
    <col min="5913" max="5913" width="9.375" style="52" customWidth="1"/>
    <col min="5914" max="5914" width="9.5" style="52" customWidth="1"/>
    <col min="5915" max="5915" width="8.625" style="52" customWidth="1"/>
    <col min="5916" max="5916" width="12.375" style="52" bestFit="1" customWidth="1"/>
    <col min="5917" max="5918" width="8.875" style="52"/>
    <col min="5919" max="5919" width="12.375" style="52" bestFit="1" customWidth="1"/>
    <col min="5920" max="6144" width="8.875" style="52"/>
    <col min="6145" max="6145" width="10.5" style="52" bestFit="1" customWidth="1"/>
    <col min="6146" max="6158" width="0" style="52" hidden="1" customWidth="1"/>
    <col min="6159" max="6159" width="8.875" style="52"/>
    <col min="6160" max="6160" width="11.5" style="52" bestFit="1" customWidth="1"/>
    <col min="6161" max="6161" width="34.5" style="52" bestFit="1" customWidth="1"/>
    <col min="6162" max="6162" width="51" style="52" bestFit="1" customWidth="1"/>
    <col min="6163" max="6163" width="9.625" style="52" bestFit="1" customWidth="1"/>
    <col min="6164" max="6164" width="13" style="52" customWidth="1"/>
    <col min="6165" max="6165" width="16.625" style="52" customWidth="1"/>
    <col min="6166" max="6167" width="11.5" style="52" customWidth="1"/>
    <col min="6168" max="6168" width="11.625" style="52" customWidth="1"/>
    <col min="6169" max="6169" width="9.375" style="52" customWidth="1"/>
    <col min="6170" max="6170" width="9.5" style="52" customWidth="1"/>
    <col min="6171" max="6171" width="8.625" style="52" customWidth="1"/>
    <col min="6172" max="6172" width="12.375" style="52" bestFit="1" customWidth="1"/>
    <col min="6173" max="6174" width="8.875" style="52"/>
    <col min="6175" max="6175" width="12.375" style="52" bestFit="1" customWidth="1"/>
    <col min="6176" max="6400" width="8.875" style="52"/>
    <col min="6401" max="6401" width="10.5" style="52" bestFit="1" customWidth="1"/>
    <col min="6402" max="6414" width="0" style="52" hidden="1" customWidth="1"/>
    <col min="6415" max="6415" width="8.875" style="52"/>
    <col min="6416" max="6416" width="11.5" style="52" bestFit="1" customWidth="1"/>
    <col min="6417" max="6417" width="34.5" style="52" bestFit="1" customWidth="1"/>
    <col min="6418" max="6418" width="51" style="52" bestFit="1" customWidth="1"/>
    <col min="6419" max="6419" width="9.625" style="52" bestFit="1" customWidth="1"/>
    <col min="6420" max="6420" width="13" style="52" customWidth="1"/>
    <col min="6421" max="6421" width="16.625" style="52" customWidth="1"/>
    <col min="6422" max="6423" width="11.5" style="52" customWidth="1"/>
    <col min="6424" max="6424" width="11.625" style="52" customWidth="1"/>
    <col min="6425" max="6425" width="9.375" style="52" customWidth="1"/>
    <col min="6426" max="6426" width="9.5" style="52" customWidth="1"/>
    <col min="6427" max="6427" width="8.625" style="52" customWidth="1"/>
    <col min="6428" max="6428" width="12.375" style="52" bestFit="1" customWidth="1"/>
    <col min="6429" max="6430" width="8.875" style="52"/>
    <col min="6431" max="6431" width="12.375" style="52" bestFit="1" customWidth="1"/>
    <col min="6432" max="6656" width="8.875" style="52"/>
    <col min="6657" max="6657" width="10.5" style="52" bestFit="1" customWidth="1"/>
    <col min="6658" max="6670" width="0" style="52" hidden="1" customWidth="1"/>
    <col min="6671" max="6671" width="8.875" style="52"/>
    <col min="6672" max="6672" width="11.5" style="52" bestFit="1" customWidth="1"/>
    <col min="6673" max="6673" width="34.5" style="52" bestFit="1" customWidth="1"/>
    <col min="6674" max="6674" width="51" style="52" bestFit="1" customWidth="1"/>
    <col min="6675" max="6675" width="9.625" style="52" bestFit="1" customWidth="1"/>
    <col min="6676" max="6676" width="13" style="52" customWidth="1"/>
    <col min="6677" max="6677" width="16.625" style="52" customWidth="1"/>
    <col min="6678" max="6679" width="11.5" style="52" customWidth="1"/>
    <col min="6680" max="6680" width="11.625" style="52" customWidth="1"/>
    <col min="6681" max="6681" width="9.375" style="52" customWidth="1"/>
    <col min="6682" max="6682" width="9.5" style="52" customWidth="1"/>
    <col min="6683" max="6683" width="8.625" style="52" customWidth="1"/>
    <col min="6684" max="6684" width="12.375" style="52" bestFit="1" customWidth="1"/>
    <col min="6685" max="6686" width="8.875" style="52"/>
    <col min="6687" max="6687" width="12.375" style="52" bestFit="1" customWidth="1"/>
    <col min="6688" max="6912" width="8.875" style="52"/>
    <col min="6913" max="6913" width="10.5" style="52" bestFit="1" customWidth="1"/>
    <col min="6914" max="6926" width="0" style="52" hidden="1" customWidth="1"/>
    <col min="6927" max="6927" width="8.875" style="52"/>
    <col min="6928" max="6928" width="11.5" style="52" bestFit="1" customWidth="1"/>
    <col min="6929" max="6929" width="34.5" style="52" bestFit="1" customWidth="1"/>
    <col min="6930" max="6930" width="51" style="52" bestFit="1" customWidth="1"/>
    <col min="6931" max="6931" width="9.625" style="52" bestFit="1" customWidth="1"/>
    <col min="6932" max="6932" width="13" style="52" customWidth="1"/>
    <col min="6933" max="6933" width="16.625" style="52" customWidth="1"/>
    <col min="6934" max="6935" width="11.5" style="52" customWidth="1"/>
    <col min="6936" max="6936" width="11.625" style="52" customWidth="1"/>
    <col min="6937" max="6937" width="9.375" style="52" customWidth="1"/>
    <col min="6938" max="6938" width="9.5" style="52" customWidth="1"/>
    <col min="6939" max="6939" width="8.625" style="52" customWidth="1"/>
    <col min="6940" max="6940" width="12.375" style="52" bestFit="1" customWidth="1"/>
    <col min="6941" max="6942" width="8.875" style="52"/>
    <col min="6943" max="6943" width="12.375" style="52" bestFit="1" customWidth="1"/>
    <col min="6944" max="7168" width="8.875" style="52"/>
    <col min="7169" max="7169" width="10.5" style="52" bestFit="1" customWidth="1"/>
    <col min="7170" max="7182" width="0" style="52" hidden="1" customWidth="1"/>
    <col min="7183" max="7183" width="8.875" style="52"/>
    <col min="7184" max="7184" width="11.5" style="52" bestFit="1" customWidth="1"/>
    <col min="7185" max="7185" width="34.5" style="52" bestFit="1" customWidth="1"/>
    <col min="7186" max="7186" width="51" style="52" bestFit="1" customWidth="1"/>
    <col min="7187" max="7187" width="9.625" style="52" bestFit="1" customWidth="1"/>
    <col min="7188" max="7188" width="13" style="52" customWidth="1"/>
    <col min="7189" max="7189" width="16.625" style="52" customWidth="1"/>
    <col min="7190" max="7191" width="11.5" style="52" customWidth="1"/>
    <col min="7192" max="7192" width="11.625" style="52" customWidth="1"/>
    <col min="7193" max="7193" width="9.375" style="52" customWidth="1"/>
    <col min="7194" max="7194" width="9.5" style="52" customWidth="1"/>
    <col min="7195" max="7195" width="8.625" style="52" customWidth="1"/>
    <col min="7196" max="7196" width="12.375" style="52" bestFit="1" customWidth="1"/>
    <col min="7197" max="7198" width="8.875" style="52"/>
    <col min="7199" max="7199" width="12.375" style="52" bestFit="1" customWidth="1"/>
    <col min="7200" max="7424" width="8.875" style="52"/>
    <col min="7425" max="7425" width="10.5" style="52" bestFit="1" customWidth="1"/>
    <col min="7426" max="7438" width="0" style="52" hidden="1" customWidth="1"/>
    <col min="7439" max="7439" width="8.875" style="52"/>
    <col min="7440" max="7440" width="11.5" style="52" bestFit="1" customWidth="1"/>
    <col min="7441" max="7441" width="34.5" style="52" bestFit="1" customWidth="1"/>
    <col min="7442" max="7442" width="51" style="52" bestFit="1" customWidth="1"/>
    <col min="7443" max="7443" width="9.625" style="52" bestFit="1" customWidth="1"/>
    <col min="7444" max="7444" width="13" style="52" customWidth="1"/>
    <col min="7445" max="7445" width="16.625" style="52" customWidth="1"/>
    <col min="7446" max="7447" width="11.5" style="52" customWidth="1"/>
    <col min="7448" max="7448" width="11.625" style="52" customWidth="1"/>
    <col min="7449" max="7449" width="9.375" style="52" customWidth="1"/>
    <col min="7450" max="7450" width="9.5" style="52" customWidth="1"/>
    <col min="7451" max="7451" width="8.625" style="52" customWidth="1"/>
    <col min="7452" max="7452" width="12.375" style="52" bestFit="1" customWidth="1"/>
    <col min="7453" max="7454" width="8.875" style="52"/>
    <col min="7455" max="7455" width="12.375" style="52" bestFit="1" customWidth="1"/>
    <col min="7456" max="7680" width="8.875" style="52"/>
    <col min="7681" max="7681" width="10.5" style="52" bestFit="1" customWidth="1"/>
    <col min="7682" max="7694" width="0" style="52" hidden="1" customWidth="1"/>
    <col min="7695" max="7695" width="8.875" style="52"/>
    <col min="7696" max="7696" width="11.5" style="52" bestFit="1" customWidth="1"/>
    <col min="7697" max="7697" width="34.5" style="52" bestFit="1" customWidth="1"/>
    <col min="7698" max="7698" width="51" style="52" bestFit="1" customWidth="1"/>
    <col min="7699" max="7699" width="9.625" style="52" bestFit="1" customWidth="1"/>
    <col min="7700" max="7700" width="13" style="52" customWidth="1"/>
    <col min="7701" max="7701" width="16.625" style="52" customWidth="1"/>
    <col min="7702" max="7703" width="11.5" style="52" customWidth="1"/>
    <col min="7704" max="7704" width="11.625" style="52" customWidth="1"/>
    <col min="7705" max="7705" width="9.375" style="52" customWidth="1"/>
    <col min="7706" max="7706" width="9.5" style="52" customWidth="1"/>
    <col min="7707" max="7707" width="8.625" style="52" customWidth="1"/>
    <col min="7708" max="7708" width="12.375" style="52" bestFit="1" customWidth="1"/>
    <col min="7709" max="7710" width="8.875" style="52"/>
    <col min="7711" max="7711" width="12.375" style="52" bestFit="1" customWidth="1"/>
    <col min="7712" max="7936" width="8.875" style="52"/>
    <col min="7937" max="7937" width="10.5" style="52" bestFit="1" customWidth="1"/>
    <col min="7938" max="7950" width="0" style="52" hidden="1" customWidth="1"/>
    <col min="7951" max="7951" width="8.875" style="52"/>
    <col min="7952" max="7952" width="11.5" style="52" bestFit="1" customWidth="1"/>
    <col min="7953" max="7953" width="34.5" style="52" bestFit="1" customWidth="1"/>
    <col min="7954" max="7954" width="51" style="52" bestFit="1" customWidth="1"/>
    <col min="7955" max="7955" width="9.625" style="52" bestFit="1" customWidth="1"/>
    <col min="7956" max="7956" width="13" style="52" customWidth="1"/>
    <col min="7957" max="7957" width="16.625" style="52" customWidth="1"/>
    <col min="7958" max="7959" width="11.5" style="52" customWidth="1"/>
    <col min="7960" max="7960" width="11.625" style="52" customWidth="1"/>
    <col min="7961" max="7961" width="9.375" style="52" customWidth="1"/>
    <col min="7962" max="7962" width="9.5" style="52" customWidth="1"/>
    <col min="7963" max="7963" width="8.625" style="52" customWidth="1"/>
    <col min="7964" max="7964" width="12.375" style="52" bestFit="1" customWidth="1"/>
    <col min="7965" max="7966" width="8.875" style="52"/>
    <col min="7967" max="7967" width="12.375" style="52" bestFit="1" customWidth="1"/>
    <col min="7968" max="8192" width="8.875" style="52"/>
    <col min="8193" max="8193" width="10.5" style="52" bestFit="1" customWidth="1"/>
    <col min="8194" max="8206" width="0" style="52" hidden="1" customWidth="1"/>
    <col min="8207" max="8207" width="8.875" style="52"/>
    <col min="8208" max="8208" width="11.5" style="52" bestFit="1" customWidth="1"/>
    <col min="8209" max="8209" width="34.5" style="52" bestFit="1" customWidth="1"/>
    <col min="8210" max="8210" width="51" style="52" bestFit="1" customWidth="1"/>
    <col min="8211" max="8211" width="9.625" style="52" bestFit="1" customWidth="1"/>
    <col min="8212" max="8212" width="13" style="52" customWidth="1"/>
    <col min="8213" max="8213" width="16.625" style="52" customWidth="1"/>
    <col min="8214" max="8215" width="11.5" style="52" customWidth="1"/>
    <col min="8216" max="8216" width="11.625" style="52" customWidth="1"/>
    <col min="8217" max="8217" width="9.375" style="52" customWidth="1"/>
    <col min="8218" max="8218" width="9.5" style="52" customWidth="1"/>
    <col min="8219" max="8219" width="8.625" style="52" customWidth="1"/>
    <col min="8220" max="8220" width="12.375" style="52" bestFit="1" customWidth="1"/>
    <col min="8221" max="8222" width="8.875" style="52"/>
    <col min="8223" max="8223" width="12.375" style="52" bestFit="1" customWidth="1"/>
    <col min="8224" max="8448" width="8.875" style="52"/>
    <col min="8449" max="8449" width="10.5" style="52" bestFit="1" customWidth="1"/>
    <col min="8450" max="8462" width="0" style="52" hidden="1" customWidth="1"/>
    <col min="8463" max="8463" width="8.875" style="52"/>
    <col min="8464" max="8464" width="11.5" style="52" bestFit="1" customWidth="1"/>
    <col min="8465" max="8465" width="34.5" style="52" bestFit="1" customWidth="1"/>
    <col min="8466" max="8466" width="51" style="52" bestFit="1" customWidth="1"/>
    <col min="8467" max="8467" width="9.625" style="52" bestFit="1" customWidth="1"/>
    <col min="8468" max="8468" width="13" style="52" customWidth="1"/>
    <col min="8469" max="8469" width="16.625" style="52" customWidth="1"/>
    <col min="8470" max="8471" width="11.5" style="52" customWidth="1"/>
    <col min="8472" max="8472" width="11.625" style="52" customWidth="1"/>
    <col min="8473" max="8473" width="9.375" style="52" customWidth="1"/>
    <col min="8474" max="8474" width="9.5" style="52" customWidth="1"/>
    <col min="8475" max="8475" width="8.625" style="52" customWidth="1"/>
    <col min="8476" max="8476" width="12.375" style="52" bestFit="1" customWidth="1"/>
    <col min="8477" max="8478" width="8.875" style="52"/>
    <col min="8479" max="8479" width="12.375" style="52" bestFit="1" customWidth="1"/>
    <col min="8480" max="8704" width="8.875" style="52"/>
    <col min="8705" max="8705" width="10.5" style="52" bestFit="1" customWidth="1"/>
    <col min="8706" max="8718" width="0" style="52" hidden="1" customWidth="1"/>
    <col min="8719" max="8719" width="8.875" style="52"/>
    <col min="8720" max="8720" width="11.5" style="52" bestFit="1" customWidth="1"/>
    <col min="8721" max="8721" width="34.5" style="52" bestFit="1" customWidth="1"/>
    <col min="8722" max="8722" width="51" style="52" bestFit="1" customWidth="1"/>
    <col min="8723" max="8723" width="9.625" style="52" bestFit="1" customWidth="1"/>
    <col min="8724" max="8724" width="13" style="52" customWidth="1"/>
    <col min="8725" max="8725" width="16.625" style="52" customWidth="1"/>
    <col min="8726" max="8727" width="11.5" style="52" customWidth="1"/>
    <col min="8728" max="8728" width="11.625" style="52" customWidth="1"/>
    <col min="8729" max="8729" width="9.375" style="52" customWidth="1"/>
    <col min="8730" max="8730" width="9.5" style="52" customWidth="1"/>
    <col min="8731" max="8731" width="8.625" style="52" customWidth="1"/>
    <col min="8732" max="8732" width="12.375" style="52" bestFit="1" customWidth="1"/>
    <col min="8733" max="8734" width="8.875" style="52"/>
    <col min="8735" max="8735" width="12.375" style="52" bestFit="1" customWidth="1"/>
    <col min="8736" max="8960" width="8.875" style="52"/>
    <col min="8961" max="8961" width="10.5" style="52" bestFit="1" customWidth="1"/>
    <col min="8962" max="8974" width="0" style="52" hidden="1" customWidth="1"/>
    <col min="8975" max="8975" width="8.875" style="52"/>
    <col min="8976" max="8976" width="11.5" style="52" bestFit="1" customWidth="1"/>
    <col min="8977" max="8977" width="34.5" style="52" bestFit="1" customWidth="1"/>
    <col min="8978" max="8978" width="51" style="52" bestFit="1" customWidth="1"/>
    <col min="8979" max="8979" width="9.625" style="52" bestFit="1" customWidth="1"/>
    <col min="8980" max="8980" width="13" style="52" customWidth="1"/>
    <col min="8981" max="8981" width="16.625" style="52" customWidth="1"/>
    <col min="8982" max="8983" width="11.5" style="52" customWidth="1"/>
    <col min="8984" max="8984" width="11.625" style="52" customWidth="1"/>
    <col min="8985" max="8985" width="9.375" style="52" customWidth="1"/>
    <col min="8986" max="8986" width="9.5" style="52" customWidth="1"/>
    <col min="8987" max="8987" width="8.625" style="52" customWidth="1"/>
    <col min="8988" max="8988" width="12.375" style="52" bestFit="1" customWidth="1"/>
    <col min="8989" max="8990" width="8.875" style="52"/>
    <col min="8991" max="8991" width="12.375" style="52" bestFit="1" customWidth="1"/>
    <col min="8992" max="9216" width="8.875" style="52"/>
    <col min="9217" max="9217" width="10.5" style="52" bestFit="1" customWidth="1"/>
    <col min="9218" max="9230" width="0" style="52" hidden="1" customWidth="1"/>
    <col min="9231" max="9231" width="8.875" style="52"/>
    <col min="9232" max="9232" width="11.5" style="52" bestFit="1" customWidth="1"/>
    <col min="9233" max="9233" width="34.5" style="52" bestFit="1" customWidth="1"/>
    <col min="9234" max="9234" width="51" style="52" bestFit="1" customWidth="1"/>
    <col min="9235" max="9235" width="9.625" style="52" bestFit="1" customWidth="1"/>
    <col min="9236" max="9236" width="13" style="52" customWidth="1"/>
    <col min="9237" max="9237" width="16.625" style="52" customWidth="1"/>
    <col min="9238" max="9239" width="11.5" style="52" customWidth="1"/>
    <col min="9240" max="9240" width="11.625" style="52" customWidth="1"/>
    <col min="9241" max="9241" width="9.375" style="52" customWidth="1"/>
    <col min="9242" max="9242" width="9.5" style="52" customWidth="1"/>
    <col min="9243" max="9243" width="8.625" style="52" customWidth="1"/>
    <col min="9244" max="9244" width="12.375" style="52" bestFit="1" customWidth="1"/>
    <col min="9245" max="9246" width="8.875" style="52"/>
    <col min="9247" max="9247" width="12.375" style="52" bestFit="1" customWidth="1"/>
    <col min="9248" max="9472" width="8.875" style="52"/>
    <col min="9473" max="9473" width="10.5" style="52" bestFit="1" customWidth="1"/>
    <col min="9474" max="9486" width="0" style="52" hidden="1" customWidth="1"/>
    <col min="9487" max="9487" width="8.875" style="52"/>
    <col min="9488" max="9488" width="11.5" style="52" bestFit="1" customWidth="1"/>
    <col min="9489" max="9489" width="34.5" style="52" bestFit="1" customWidth="1"/>
    <col min="9490" max="9490" width="51" style="52" bestFit="1" customWidth="1"/>
    <col min="9491" max="9491" width="9.625" style="52" bestFit="1" customWidth="1"/>
    <col min="9492" max="9492" width="13" style="52" customWidth="1"/>
    <col min="9493" max="9493" width="16.625" style="52" customWidth="1"/>
    <col min="9494" max="9495" width="11.5" style="52" customWidth="1"/>
    <col min="9496" max="9496" width="11.625" style="52" customWidth="1"/>
    <col min="9497" max="9497" width="9.375" style="52" customWidth="1"/>
    <col min="9498" max="9498" width="9.5" style="52" customWidth="1"/>
    <col min="9499" max="9499" width="8.625" style="52" customWidth="1"/>
    <col min="9500" max="9500" width="12.375" style="52" bestFit="1" customWidth="1"/>
    <col min="9501" max="9502" width="8.875" style="52"/>
    <col min="9503" max="9503" width="12.375" style="52" bestFit="1" customWidth="1"/>
    <col min="9504" max="9728" width="8.875" style="52"/>
    <col min="9729" max="9729" width="10.5" style="52" bestFit="1" customWidth="1"/>
    <col min="9730" max="9742" width="0" style="52" hidden="1" customWidth="1"/>
    <col min="9743" max="9743" width="8.875" style="52"/>
    <col min="9744" max="9744" width="11.5" style="52" bestFit="1" customWidth="1"/>
    <col min="9745" max="9745" width="34.5" style="52" bestFit="1" customWidth="1"/>
    <col min="9746" max="9746" width="51" style="52" bestFit="1" customWidth="1"/>
    <col min="9747" max="9747" width="9.625" style="52" bestFit="1" customWidth="1"/>
    <col min="9748" max="9748" width="13" style="52" customWidth="1"/>
    <col min="9749" max="9749" width="16.625" style="52" customWidth="1"/>
    <col min="9750" max="9751" width="11.5" style="52" customWidth="1"/>
    <col min="9752" max="9752" width="11.625" style="52" customWidth="1"/>
    <col min="9753" max="9753" width="9.375" style="52" customWidth="1"/>
    <col min="9754" max="9754" width="9.5" style="52" customWidth="1"/>
    <col min="9755" max="9755" width="8.625" style="52" customWidth="1"/>
    <col min="9756" max="9756" width="12.375" style="52" bestFit="1" customWidth="1"/>
    <col min="9757" max="9758" width="8.875" style="52"/>
    <col min="9759" max="9759" width="12.375" style="52" bestFit="1" customWidth="1"/>
    <col min="9760" max="9984" width="8.875" style="52"/>
    <col min="9985" max="9985" width="10.5" style="52" bestFit="1" customWidth="1"/>
    <col min="9986" max="9998" width="0" style="52" hidden="1" customWidth="1"/>
    <col min="9999" max="9999" width="8.875" style="52"/>
    <col min="10000" max="10000" width="11.5" style="52" bestFit="1" customWidth="1"/>
    <col min="10001" max="10001" width="34.5" style="52" bestFit="1" customWidth="1"/>
    <col min="10002" max="10002" width="51" style="52" bestFit="1" customWidth="1"/>
    <col min="10003" max="10003" width="9.625" style="52" bestFit="1" customWidth="1"/>
    <col min="10004" max="10004" width="13" style="52" customWidth="1"/>
    <col min="10005" max="10005" width="16.625" style="52" customWidth="1"/>
    <col min="10006" max="10007" width="11.5" style="52" customWidth="1"/>
    <col min="10008" max="10008" width="11.625" style="52" customWidth="1"/>
    <col min="10009" max="10009" width="9.375" style="52" customWidth="1"/>
    <col min="10010" max="10010" width="9.5" style="52" customWidth="1"/>
    <col min="10011" max="10011" width="8.625" style="52" customWidth="1"/>
    <col min="10012" max="10012" width="12.375" style="52" bestFit="1" customWidth="1"/>
    <col min="10013" max="10014" width="8.875" style="52"/>
    <col min="10015" max="10015" width="12.375" style="52" bestFit="1" customWidth="1"/>
    <col min="10016" max="10240" width="8.875" style="52"/>
    <col min="10241" max="10241" width="10.5" style="52" bestFit="1" customWidth="1"/>
    <col min="10242" max="10254" width="0" style="52" hidden="1" customWidth="1"/>
    <col min="10255" max="10255" width="8.875" style="52"/>
    <col min="10256" max="10256" width="11.5" style="52" bestFit="1" customWidth="1"/>
    <col min="10257" max="10257" width="34.5" style="52" bestFit="1" customWidth="1"/>
    <col min="10258" max="10258" width="51" style="52" bestFit="1" customWidth="1"/>
    <col min="10259" max="10259" width="9.625" style="52" bestFit="1" customWidth="1"/>
    <col min="10260" max="10260" width="13" style="52" customWidth="1"/>
    <col min="10261" max="10261" width="16.625" style="52" customWidth="1"/>
    <col min="10262" max="10263" width="11.5" style="52" customWidth="1"/>
    <col min="10264" max="10264" width="11.625" style="52" customWidth="1"/>
    <col min="10265" max="10265" width="9.375" style="52" customWidth="1"/>
    <col min="10266" max="10266" width="9.5" style="52" customWidth="1"/>
    <col min="10267" max="10267" width="8.625" style="52" customWidth="1"/>
    <col min="10268" max="10268" width="12.375" style="52" bestFit="1" customWidth="1"/>
    <col min="10269" max="10270" width="8.875" style="52"/>
    <col min="10271" max="10271" width="12.375" style="52" bestFit="1" customWidth="1"/>
    <col min="10272" max="10496" width="8.875" style="52"/>
    <col min="10497" max="10497" width="10.5" style="52" bestFit="1" customWidth="1"/>
    <col min="10498" max="10510" width="0" style="52" hidden="1" customWidth="1"/>
    <col min="10511" max="10511" width="8.875" style="52"/>
    <col min="10512" max="10512" width="11.5" style="52" bestFit="1" customWidth="1"/>
    <col min="10513" max="10513" width="34.5" style="52" bestFit="1" customWidth="1"/>
    <col min="10514" max="10514" width="51" style="52" bestFit="1" customWidth="1"/>
    <col min="10515" max="10515" width="9.625" style="52" bestFit="1" customWidth="1"/>
    <col min="10516" max="10516" width="13" style="52" customWidth="1"/>
    <col min="10517" max="10517" width="16.625" style="52" customWidth="1"/>
    <col min="10518" max="10519" width="11.5" style="52" customWidth="1"/>
    <col min="10520" max="10520" width="11.625" style="52" customWidth="1"/>
    <col min="10521" max="10521" width="9.375" style="52" customWidth="1"/>
    <col min="10522" max="10522" width="9.5" style="52" customWidth="1"/>
    <col min="10523" max="10523" width="8.625" style="52" customWidth="1"/>
    <col min="10524" max="10524" width="12.375" style="52" bestFit="1" customWidth="1"/>
    <col min="10525" max="10526" width="8.875" style="52"/>
    <col min="10527" max="10527" width="12.375" style="52" bestFit="1" customWidth="1"/>
    <col min="10528" max="10752" width="8.875" style="52"/>
    <col min="10753" max="10753" width="10.5" style="52" bestFit="1" customWidth="1"/>
    <col min="10754" max="10766" width="0" style="52" hidden="1" customWidth="1"/>
    <col min="10767" max="10767" width="8.875" style="52"/>
    <col min="10768" max="10768" width="11.5" style="52" bestFit="1" customWidth="1"/>
    <col min="10769" max="10769" width="34.5" style="52" bestFit="1" customWidth="1"/>
    <col min="10770" max="10770" width="51" style="52" bestFit="1" customWidth="1"/>
    <col min="10771" max="10771" width="9.625" style="52" bestFit="1" customWidth="1"/>
    <col min="10772" max="10772" width="13" style="52" customWidth="1"/>
    <col min="10773" max="10773" width="16.625" style="52" customWidth="1"/>
    <col min="10774" max="10775" width="11.5" style="52" customWidth="1"/>
    <col min="10776" max="10776" width="11.625" style="52" customWidth="1"/>
    <col min="10777" max="10777" width="9.375" style="52" customWidth="1"/>
    <col min="10778" max="10778" width="9.5" style="52" customWidth="1"/>
    <col min="10779" max="10779" width="8.625" style="52" customWidth="1"/>
    <col min="10780" max="10780" width="12.375" style="52" bestFit="1" customWidth="1"/>
    <col min="10781" max="10782" width="8.875" style="52"/>
    <col min="10783" max="10783" width="12.375" style="52" bestFit="1" customWidth="1"/>
    <col min="10784" max="11008" width="8.875" style="52"/>
    <col min="11009" max="11009" width="10.5" style="52" bestFit="1" customWidth="1"/>
    <col min="11010" max="11022" width="0" style="52" hidden="1" customWidth="1"/>
    <col min="11023" max="11023" width="8.875" style="52"/>
    <col min="11024" max="11024" width="11.5" style="52" bestFit="1" customWidth="1"/>
    <col min="11025" max="11025" width="34.5" style="52" bestFit="1" customWidth="1"/>
    <col min="11026" max="11026" width="51" style="52" bestFit="1" customWidth="1"/>
    <col min="11027" max="11027" width="9.625" style="52" bestFit="1" customWidth="1"/>
    <col min="11028" max="11028" width="13" style="52" customWidth="1"/>
    <col min="11029" max="11029" width="16.625" style="52" customWidth="1"/>
    <col min="11030" max="11031" width="11.5" style="52" customWidth="1"/>
    <col min="11032" max="11032" width="11.625" style="52" customWidth="1"/>
    <col min="11033" max="11033" width="9.375" style="52" customWidth="1"/>
    <col min="11034" max="11034" width="9.5" style="52" customWidth="1"/>
    <col min="11035" max="11035" width="8.625" style="52" customWidth="1"/>
    <col min="11036" max="11036" width="12.375" style="52" bestFit="1" customWidth="1"/>
    <col min="11037" max="11038" width="8.875" style="52"/>
    <col min="11039" max="11039" width="12.375" style="52" bestFit="1" customWidth="1"/>
    <col min="11040" max="11264" width="8.875" style="52"/>
    <col min="11265" max="11265" width="10.5" style="52" bestFit="1" customWidth="1"/>
    <col min="11266" max="11278" width="0" style="52" hidden="1" customWidth="1"/>
    <col min="11279" max="11279" width="8.875" style="52"/>
    <col min="11280" max="11280" width="11.5" style="52" bestFit="1" customWidth="1"/>
    <col min="11281" max="11281" width="34.5" style="52" bestFit="1" customWidth="1"/>
    <col min="11282" max="11282" width="51" style="52" bestFit="1" customWidth="1"/>
    <col min="11283" max="11283" width="9.625" style="52" bestFit="1" customWidth="1"/>
    <col min="11284" max="11284" width="13" style="52" customWidth="1"/>
    <col min="11285" max="11285" width="16.625" style="52" customWidth="1"/>
    <col min="11286" max="11287" width="11.5" style="52" customWidth="1"/>
    <col min="11288" max="11288" width="11.625" style="52" customWidth="1"/>
    <col min="11289" max="11289" width="9.375" style="52" customWidth="1"/>
    <col min="11290" max="11290" width="9.5" style="52" customWidth="1"/>
    <col min="11291" max="11291" width="8.625" style="52" customWidth="1"/>
    <col min="11292" max="11292" width="12.375" style="52" bestFit="1" customWidth="1"/>
    <col min="11293" max="11294" width="8.875" style="52"/>
    <col min="11295" max="11295" width="12.375" style="52" bestFit="1" customWidth="1"/>
    <col min="11296" max="11520" width="8.875" style="52"/>
    <col min="11521" max="11521" width="10.5" style="52" bestFit="1" customWidth="1"/>
    <col min="11522" max="11534" width="0" style="52" hidden="1" customWidth="1"/>
    <col min="11535" max="11535" width="8.875" style="52"/>
    <col min="11536" max="11536" width="11.5" style="52" bestFit="1" customWidth="1"/>
    <col min="11537" max="11537" width="34.5" style="52" bestFit="1" customWidth="1"/>
    <col min="11538" max="11538" width="51" style="52" bestFit="1" customWidth="1"/>
    <col min="11539" max="11539" width="9.625" style="52" bestFit="1" customWidth="1"/>
    <col min="11540" max="11540" width="13" style="52" customWidth="1"/>
    <col min="11541" max="11541" width="16.625" style="52" customWidth="1"/>
    <col min="11542" max="11543" width="11.5" style="52" customWidth="1"/>
    <col min="11544" max="11544" width="11.625" style="52" customWidth="1"/>
    <col min="11545" max="11545" width="9.375" style="52" customWidth="1"/>
    <col min="11546" max="11546" width="9.5" style="52" customWidth="1"/>
    <col min="11547" max="11547" width="8.625" style="52" customWidth="1"/>
    <col min="11548" max="11548" width="12.375" style="52" bestFit="1" customWidth="1"/>
    <col min="11549" max="11550" width="8.875" style="52"/>
    <col min="11551" max="11551" width="12.375" style="52" bestFit="1" customWidth="1"/>
    <col min="11552" max="11776" width="8.875" style="52"/>
    <col min="11777" max="11777" width="10.5" style="52" bestFit="1" customWidth="1"/>
    <col min="11778" max="11790" width="0" style="52" hidden="1" customWidth="1"/>
    <col min="11791" max="11791" width="8.875" style="52"/>
    <col min="11792" max="11792" width="11.5" style="52" bestFit="1" customWidth="1"/>
    <col min="11793" max="11793" width="34.5" style="52" bestFit="1" customWidth="1"/>
    <col min="11794" max="11794" width="51" style="52" bestFit="1" customWidth="1"/>
    <col min="11795" max="11795" width="9.625" style="52" bestFit="1" customWidth="1"/>
    <col min="11796" max="11796" width="13" style="52" customWidth="1"/>
    <col min="11797" max="11797" width="16.625" style="52" customWidth="1"/>
    <col min="11798" max="11799" width="11.5" style="52" customWidth="1"/>
    <col min="11800" max="11800" width="11.625" style="52" customWidth="1"/>
    <col min="11801" max="11801" width="9.375" style="52" customWidth="1"/>
    <col min="11802" max="11802" width="9.5" style="52" customWidth="1"/>
    <col min="11803" max="11803" width="8.625" style="52" customWidth="1"/>
    <col min="11804" max="11804" width="12.375" style="52" bestFit="1" customWidth="1"/>
    <col min="11805" max="11806" width="8.875" style="52"/>
    <col min="11807" max="11807" width="12.375" style="52" bestFit="1" customWidth="1"/>
    <col min="11808" max="12032" width="8.875" style="52"/>
    <col min="12033" max="12033" width="10.5" style="52" bestFit="1" customWidth="1"/>
    <col min="12034" max="12046" width="0" style="52" hidden="1" customWidth="1"/>
    <col min="12047" max="12047" width="8.875" style="52"/>
    <col min="12048" max="12048" width="11.5" style="52" bestFit="1" customWidth="1"/>
    <col min="12049" max="12049" width="34.5" style="52" bestFit="1" customWidth="1"/>
    <col min="12050" max="12050" width="51" style="52" bestFit="1" customWidth="1"/>
    <col min="12051" max="12051" width="9.625" style="52" bestFit="1" customWidth="1"/>
    <col min="12052" max="12052" width="13" style="52" customWidth="1"/>
    <col min="12053" max="12053" width="16.625" style="52" customWidth="1"/>
    <col min="12054" max="12055" width="11.5" style="52" customWidth="1"/>
    <col min="12056" max="12056" width="11.625" style="52" customWidth="1"/>
    <col min="12057" max="12057" width="9.375" style="52" customWidth="1"/>
    <col min="12058" max="12058" width="9.5" style="52" customWidth="1"/>
    <col min="12059" max="12059" width="8.625" style="52" customWidth="1"/>
    <col min="12060" max="12060" width="12.375" style="52" bestFit="1" customWidth="1"/>
    <col min="12061" max="12062" width="8.875" style="52"/>
    <col min="12063" max="12063" width="12.375" style="52" bestFit="1" customWidth="1"/>
    <col min="12064" max="12288" width="8.875" style="52"/>
    <col min="12289" max="12289" width="10.5" style="52" bestFit="1" customWidth="1"/>
    <col min="12290" max="12302" width="0" style="52" hidden="1" customWidth="1"/>
    <col min="12303" max="12303" width="8.875" style="52"/>
    <col min="12304" max="12304" width="11.5" style="52" bestFit="1" customWidth="1"/>
    <col min="12305" max="12305" width="34.5" style="52" bestFit="1" customWidth="1"/>
    <col min="12306" max="12306" width="51" style="52" bestFit="1" customWidth="1"/>
    <col min="12307" max="12307" width="9.625" style="52" bestFit="1" customWidth="1"/>
    <col min="12308" max="12308" width="13" style="52" customWidth="1"/>
    <col min="12309" max="12309" width="16.625" style="52" customWidth="1"/>
    <col min="12310" max="12311" width="11.5" style="52" customWidth="1"/>
    <col min="12312" max="12312" width="11.625" style="52" customWidth="1"/>
    <col min="12313" max="12313" width="9.375" style="52" customWidth="1"/>
    <col min="12314" max="12314" width="9.5" style="52" customWidth="1"/>
    <col min="12315" max="12315" width="8.625" style="52" customWidth="1"/>
    <col min="12316" max="12316" width="12.375" style="52" bestFit="1" customWidth="1"/>
    <col min="12317" max="12318" width="8.875" style="52"/>
    <col min="12319" max="12319" width="12.375" style="52" bestFit="1" customWidth="1"/>
    <col min="12320" max="12544" width="8.875" style="52"/>
    <col min="12545" max="12545" width="10.5" style="52" bestFit="1" customWidth="1"/>
    <col min="12546" max="12558" width="0" style="52" hidden="1" customWidth="1"/>
    <col min="12559" max="12559" width="8.875" style="52"/>
    <col min="12560" max="12560" width="11.5" style="52" bestFit="1" customWidth="1"/>
    <col min="12561" max="12561" width="34.5" style="52" bestFit="1" customWidth="1"/>
    <col min="12562" max="12562" width="51" style="52" bestFit="1" customWidth="1"/>
    <col min="12563" max="12563" width="9.625" style="52" bestFit="1" customWidth="1"/>
    <col min="12564" max="12564" width="13" style="52" customWidth="1"/>
    <col min="12565" max="12565" width="16.625" style="52" customWidth="1"/>
    <col min="12566" max="12567" width="11.5" style="52" customWidth="1"/>
    <col min="12568" max="12568" width="11.625" style="52" customWidth="1"/>
    <col min="12569" max="12569" width="9.375" style="52" customWidth="1"/>
    <col min="12570" max="12570" width="9.5" style="52" customWidth="1"/>
    <col min="12571" max="12571" width="8.625" style="52" customWidth="1"/>
    <col min="12572" max="12572" width="12.375" style="52" bestFit="1" customWidth="1"/>
    <col min="12573" max="12574" width="8.875" style="52"/>
    <col min="12575" max="12575" width="12.375" style="52" bestFit="1" customWidth="1"/>
    <col min="12576" max="12800" width="8.875" style="52"/>
    <col min="12801" max="12801" width="10.5" style="52" bestFit="1" customWidth="1"/>
    <col min="12802" max="12814" width="0" style="52" hidden="1" customWidth="1"/>
    <col min="12815" max="12815" width="8.875" style="52"/>
    <col min="12816" max="12816" width="11.5" style="52" bestFit="1" customWidth="1"/>
    <col min="12817" max="12817" width="34.5" style="52" bestFit="1" customWidth="1"/>
    <col min="12818" max="12818" width="51" style="52" bestFit="1" customWidth="1"/>
    <col min="12819" max="12819" width="9.625" style="52" bestFit="1" customWidth="1"/>
    <col min="12820" max="12820" width="13" style="52" customWidth="1"/>
    <col min="12821" max="12821" width="16.625" style="52" customWidth="1"/>
    <col min="12822" max="12823" width="11.5" style="52" customWidth="1"/>
    <col min="12824" max="12824" width="11.625" style="52" customWidth="1"/>
    <col min="12825" max="12825" width="9.375" style="52" customWidth="1"/>
    <col min="12826" max="12826" width="9.5" style="52" customWidth="1"/>
    <col min="12827" max="12827" width="8.625" style="52" customWidth="1"/>
    <col min="12828" max="12828" width="12.375" style="52" bestFit="1" customWidth="1"/>
    <col min="12829" max="12830" width="8.875" style="52"/>
    <col min="12831" max="12831" width="12.375" style="52" bestFit="1" customWidth="1"/>
    <col min="12832" max="13056" width="8.875" style="52"/>
    <col min="13057" max="13057" width="10.5" style="52" bestFit="1" customWidth="1"/>
    <col min="13058" max="13070" width="0" style="52" hidden="1" customWidth="1"/>
    <col min="13071" max="13071" width="8.875" style="52"/>
    <col min="13072" max="13072" width="11.5" style="52" bestFit="1" customWidth="1"/>
    <col min="13073" max="13073" width="34.5" style="52" bestFit="1" customWidth="1"/>
    <col min="13074" max="13074" width="51" style="52" bestFit="1" customWidth="1"/>
    <col min="13075" max="13075" width="9.625" style="52" bestFit="1" customWidth="1"/>
    <col min="13076" max="13076" width="13" style="52" customWidth="1"/>
    <col min="13077" max="13077" width="16.625" style="52" customWidth="1"/>
    <col min="13078" max="13079" width="11.5" style="52" customWidth="1"/>
    <col min="13080" max="13080" width="11.625" style="52" customWidth="1"/>
    <col min="13081" max="13081" width="9.375" style="52" customWidth="1"/>
    <col min="13082" max="13082" width="9.5" style="52" customWidth="1"/>
    <col min="13083" max="13083" width="8.625" style="52" customWidth="1"/>
    <col min="13084" max="13084" width="12.375" style="52" bestFit="1" customWidth="1"/>
    <col min="13085" max="13086" width="8.875" style="52"/>
    <col min="13087" max="13087" width="12.375" style="52" bestFit="1" customWidth="1"/>
    <col min="13088" max="13312" width="8.875" style="52"/>
    <col min="13313" max="13313" width="10.5" style="52" bestFit="1" customWidth="1"/>
    <col min="13314" max="13326" width="0" style="52" hidden="1" customWidth="1"/>
    <col min="13327" max="13327" width="8.875" style="52"/>
    <col min="13328" max="13328" width="11.5" style="52" bestFit="1" customWidth="1"/>
    <col min="13329" max="13329" width="34.5" style="52" bestFit="1" customWidth="1"/>
    <col min="13330" max="13330" width="51" style="52" bestFit="1" customWidth="1"/>
    <col min="13331" max="13331" width="9.625" style="52" bestFit="1" customWidth="1"/>
    <col min="13332" max="13332" width="13" style="52" customWidth="1"/>
    <col min="13333" max="13333" width="16.625" style="52" customWidth="1"/>
    <col min="13334" max="13335" width="11.5" style="52" customWidth="1"/>
    <col min="13336" max="13336" width="11.625" style="52" customWidth="1"/>
    <col min="13337" max="13337" width="9.375" style="52" customWidth="1"/>
    <col min="13338" max="13338" width="9.5" style="52" customWidth="1"/>
    <col min="13339" max="13339" width="8.625" style="52" customWidth="1"/>
    <col min="13340" max="13340" width="12.375" style="52" bestFit="1" customWidth="1"/>
    <col min="13341" max="13342" width="8.875" style="52"/>
    <col min="13343" max="13343" width="12.375" style="52" bestFit="1" customWidth="1"/>
    <col min="13344" max="13568" width="8.875" style="52"/>
    <col min="13569" max="13569" width="10.5" style="52" bestFit="1" customWidth="1"/>
    <col min="13570" max="13582" width="0" style="52" hidden="1" customWidth="1"/>
    <col min="13583" max="13583" width="8.875" style="52"/>
    <col min="13584" max="13584" width="11.5" style="52" bestFit="1" customWidth="1"/>
    <col min="13585" max="13585" width="34.5" style="52" bestFit="1" customWidth="1"/>
    <col min="13586" max="13586" width="51" style="52" bestFit="1" customWidth="1"/>
    <col min="13587" max="13587" width="9.625" style="52" bestFit="1" customWidth="1"/>
    <col min="13588" max="13588" width="13" style="52" customWidth="1"/>
    <col min="13589" max="13589" width="16.625" style="52" customWidth="1"/>
    <col min="13590" max="13591" width="11.5" style="52" customWidth="1"/>
    <col min="13592" max="13592" width="11.625" style="52" customWidth="1"/>
    <col min="13593" max="13593" width="9.375" style="52" customWidth="1"/>
    <col min="13594" max="13594" width="9.5" style="52" customWidth="1"/>
    <col min="13595" max="13595" width="8.625" style="52" customWidth="1"/>
    <col min="13596" max="13596" width="12.375" style="52" bestFit="1" customWidth="1"/>
    <col min="13597" max="13598" width="8.875" style="52"/>
    <col min="13599" max="13599" width="12.375" style="52" bestFit="1" customWidth="1"/>
    <col min="13600" max="13824" width="8.875" style="52"/>
    <col min="13825" max="13825" width="10.5" style="52" bestFit="1" customWidth="1"/>
    <col min="13826" max="13838" width="0" style="52" hidden="1" customWidth="1"/>
    <col min="13839" max="13839" width="8.875" style="52"/>
    <col min="13840" max="13840" width="11.5" style="52" bestFit="1" customWidth="1"/>
    <col min="13841" max="13841" width="34.5" style="52" bestFit="1" customWidth="1"/>
    <col min="13842" max="13842" width="51" style="52" bestFit="1" customWidth="1"/>
    <col min="13843" max="13843" width="9.625" style="52" bestFit="1" customWidth="1"/>
    <col min="13844" max="13844" width="13" style="52" customWidth="1"/>
    <col min="13845" max="13845" width="16.625" style="52" customWidth="1"/>
    <col min="13846" max="13847" width="11.5" style="52" customWidth="1"/>
    <col min="13848" max="13848" width="11.625" style="52" customWidth="1"/>
    <col min="13849" max="13849" width="9.375" style="52" customWidth="1"/>
    <col min="13850" max="13850" width="9.5" style="52" customWidth="1"/>
    <col min="13851" max="13851" width="8.625" style="52" customWidth="1"/>
    <col min="13852" max="13852" width="12.375" style="52" bestFit="1" customWidth="1"/>
    <col min="13853" max="13854" width="8.875" style="52"/>
    <col min="13855" max="13855" width="12.375" style="52" bestFit="1" customWidth="1"/>
    <col min="13856" max="14080" width="8.875" style="52"/>
    <col min="14081" max="14081" width="10.5" style="52" bestFit="1" customWidth="1"/>
    <col min="14082" max="14094" width="0" style="52" hidden="1" customWidth="1"/>
    <col min="14095" max="14095" width="8.875" style="52"/>
    <col min="14096" max="14096" width="11.5" style="52" bestFit="1" customWidth="1"/>
    <col min="14097" max="14097" width="34.5" style="52" bestFit="1" customWidth="1"/>
    <col min="14098" max="14098" width="51" style="52" bestFit="1" customWidth="1"/>
    <col min="14099" max="14099" width="9.625" style="52" bestFit="1" customWidth="1"/>
    <col min="14100" max="14100" width="13" style="52" customWidth="1"/>
    <col min="14101" max="14101" width="16.625" style="52" customWidth="1"/>
    <col min="14102" max="14103" width="11.5" style="52" customWidth="1"/>
    <col min="14104" max="14104" width="11.625" style="52" customWidth="1"/>
    <col min="14105" max="14105" width="9.375" style="52" customWidth="1"/>
    <col min="14106" max="14106" width="9.5" style="52" customWidth="1"/>
    <col min="14107" max="14107" width="8.625" style="52" customWidth="1"/>
    <col min="14108" max="14108" width="12.375" style="52" bestFit="1" customWidth="1"/>
    <col min="14109" max="14110" width="8.875" style="52"/>
    <col min="14111" max="14111" width="12.375" style="52" bestFit="1" customWidth="1"/>
    <col min="14112" max="14336" width="8.875" style="52"/>
    <col min="14337" max="14337" width="10.5" style="52" bestFit="1" customWidth="1"/>
    <col min="14338" max="14350" width="0" style="52" hidden="1" customWidth="1"/>
    <col min="14351" max="14351" width="8.875" style="52"/>
    <col min="14352" max="14352" width="11.5" style="52" bestFit="1" customWidth="1"/>
    <col min="14353" max="14353" width="34.5" style="52" bestFit="1" customWidth="1"/>
    <col min="14354" max="14354" width="51" style="52" bestFit="1" customWidth="1"/>
    <col min="14355" max="14355" width="9.625" style="52" bestFit="1" customWidth="1"/>
    <col min="14356" max="14356" width="13" style="52" customWidth="1"/>
    <col min="14357" max="14357" width="16.625" style="52" customWidth="1"/>
    <col min="14358" max="14359" width="11.5" style="52" customWidth="1"/>
    <col min="14360" max="14360" width="11.625" style="52" customWidth="1"/>
    <col min="14361" max="14361" width="9.375" style="52" customWidth="1"/>
    <col min="14362" max="14362" width="9.5" style="52" customWidth="1"/>
    <col min="14363" max="14363" width="8.625" style="52" customWidth="1"/>
    <col min="14364" max="14364" width="12.375" style="52" bestFit="1" customWidth="1"/>
    <col min="14365" max="14366" width="8.875" style="52"/>
    <col min="14367" max="14367" width="12.375" style="52" bestFit="1" customWidth="1"/>
    <col min="14368" max="14592" width="8.875" style="52"/>
    <col min="14593" max="14593" width="10.5" style="52" bestFit="1" customWidth="1"/>
    <col min="14594" max="14606" width="0" style="52" hidden="1" customWidth="1"/>
    <col min="14607" max="14607" width="8.875" style="52"/>
    <col min="14608" max="14608" width="11.5" style="52" bestFit="1" customWidth="1"/>
    <col min="14609" max="14609" width="34.5" style="52" bestFit="1" customWidth="1"/>
    <col min="14610" max="14610" width="51" style="52" bestFit="1" customWidth="1"/>
    <col min="14611" max="14611" width="9.625" style="52" bestFit="1" customWidth="1"/>
    <col min="14612" max="14612" width="13" style="52" customWidth="1"/>
    <col min="14613" max="14613" width="16.625" style="52" customWidth="1"/>
    <col min="14614" max="14615" width="11.5" style="52" customWidth="1"/>
    <col min="14616" max="14616" width="11.625" style="52" customWidth="1"/>
    <col min="14617" max="14617" width="9.375" style="52" customWidth="1"/>
    <col min="14618" max="14618" width="9.5" style="52" customWidth="1"/>
    <col min="14619" max="14619" width="8.625" style="52" customWidth="1"/>
    <col min="14620" max="14620" width="12.375" style="52" bestFit="1" customWidth="1"/>
    <col min="14621" max="14622" width="8.875" style="52"/>
    <col min="14623" max="14623" width="12.375" style="52" bestFit="1" customWidth="1"/>
    <col min="14624" max="14848" width="8.875" style="52"/>
    <col min="14849" max="14849" width="10.5" style="52" bestFit="1" customWidth="1"/>
    <col min="14850" max="14862" width="0" style="52" hidden="1" customWidth="1"/>
    <col min="14863" max="14863" width="8.875" style="52"/>
    <col min="14864" max="14864" width="11.5" style="52" bestFit="1" customWidth="1"/>
    <col min="14865" max="14865" width="34.5" style="52" bestFit="1" customWidth="1"/>
    <col min="14866" max="14866" width="51" style="52" bestFit="1" customWidth="1"/>
    <col min="14867" max="14867" width="9.625" style="52" bestFit="1" customWidth="1"/>
    <col min="14868" max="14868" width="13" style="52" customWidth="1"/>
    <col min="14869" max="14869" width="16.625" style="52" customWidth="1"/>
    <col min="14870" max="14871" width="11.5" style="52" customWidth="1"/>
    <col min="14872" max="14872" width="11.625" style="52" customWidth="1"/>
    <col min="14873" max="14873" width="9.375" style="52" customWidth="1"/>
    <col min="14874" max="14874" width="9.5" style="52" customWidth="1"/>
    <col min="14875" max="14875" width="8.625" style="52" customWidth="1"/>
    <col min="14876" max="14876" width="12.375" style="52" bestFit="1" customWidth="1"/>
    <col min="14877" max="14878" width="8.875" style="52"/>
    <col min="14879" max="14879" width="12.375" style="52" bestFit="1" customWidth="1"/>
    <col min="14880" max="15104" width="8.875" style="52"/>
    <col min="15105" max="15105" width="10.5" style="52" bestFit="1" customWidth="1"/>
    <col min="15106" max="15118" width="0" style="52" hidden="1" customWidth="1"/>
    <col min="15119" max="15119" width="8.875" style="52"/>
    <col min="15120" max="15120" width="11.5" style="52" bestFit="1" customWidth="1"/>
    <col min="15121" max="15121" width="34.5" style="52" bestFit="1" customWidth="1"/>
    <col min="15122" max="15122" width="51" style="52" bestFit="1" customWidth="1"/>
    <col min="15123" max="15123" width="9.625" style="52" bestFit="1" customWidth="1"/>
    <col min="15124" max="15124" width="13" style="52" customWidth="1"/>
    <col min="15125" max="15125" width="16.625" style="52" customWidth="1"/>
    <col min="15126" max="15127" width="11.5" style="52" customWidth="1"/>
    <col min="15128" max="15128" width="11.625" style="52" customWidth="1"/>
    <col min="15129" max="15129" width="9.375" style="52" customWidth="1"/>
    <col min="15130" max="15130" width="9.5" style="52" customWidth="1"/>
    <col min="15131" max="15131" width="8.625" style="52" customWidth="1"/>
    <col min="15132" max="15132" width="12.375" style="52" bestFit="1" customWidth="1"/>
    <col min="15133" max="15134" width="8.875" style="52"/>
    <col min="15135" max="15135" width="12.375" style="52" bestFit="1" customWidth="1"/>
    <col min="15136" max="15360" width="8.875" style="52"/>
    <col min="15361" max="15361" width="10.5" style="52" bestFit="1" customWidth="1"/>
    <col min="15362" max="15374" width="0" style="52" hidden="1" customWidth="1"/>
    <col min="15375" max="15375" width="8.875" style="52"/>
    <col min="15376" max="15376" width="11.5" style="52" bestFit="1" customWidth="1"/>
    <col min="15377" max="15377" width="34.5" style="52" bestFit="1" customWidth="1"/>
    <col min="15378" max="15378" width="51" style="52" bestFit="1" customWidth="1"/>
    <col min="15379" max="15379" width="9.625" style="52" bestFit="1" customWidth="1"/>
    <col min="15380" max="15380" width="13" style="52" customWidth="1"/>
    <col min="15381" max="15381" width="16.625" style="52" customWidth="1"/>
    <col min="15382" max="15383" width="11.5" style="52" customWidth="1"/>
    <col min="15384" max="15384" width="11.625" style="52" customWidth="1"/>
    <col min="15385" max="15385" width="9.375" style="52" customWidth="1"/>
    <col min="15386" max="15386" width="9.5" style="52" customWidth="1"/>
    <col min="15387" max="15387" width="8.625" style="52" customWidth="1"/>
    <col min="15388" max="15388" width="12.375" style="52" bestFit="1" customWidth="1"/>
    <col min="15389" max="15390" width="8.875" style="52"/>
    <col min="15391" max="15391" width="12.375" style="52" bestFit="1" customWidth="1"/>
    <col min="15392" max="15616" width="8.875" style="52"/>
    <col min="15617" max="15617" width="10.5" style="52" bestFit="1" customWidth="1"/>
    <col min="15618" max="15630" width="0" style="52" hidden="1" customWidth="1"/>
    <col min="15631" max="15631" width="8.875" style="52"/>
    <col min="15632" max="15632" width="11.5" style="52" bestFit="1" customWidth="1"/>
    <col min="15633" max="15633" width="34.5" style="52" bestFit="1" customWidth="1"/>
    <col min="15634" max="15634" width="51" style="52" bestFit="1" customWidth="1"/>
    <col min="15635" max="15635" width="9.625" style="52" bestFit="1" customWidth="1"/>
    <col min="15636" max="15636" width="13" style="52" customWidth="1"/>
    <col min="15637" max="15637" width="16.625" style="52" customWidth="1"/>
    <col min="15638" max="15639" width="11.5" style="52" customWidth="1"/>
    <col min="15640" max="15640" width="11.625" style="52" customWidth="1"/>
    <col min="15641" max="15641" width="9.375" style="52" customWidth="1"/>
    <col min="15642" max="15642" width="9.5" style="52" customWidth="1"/>
    <col min="15643" max="15643" width="8.625" style="52" customWidth="1"/>
    <col min="15644" max="15644" width="12.375" style="52" bestFit="1" customWidth="1"/>
    <col min="15645" max="15646" width="8.875" style="52"/>
    <col min="15647" max="15647" width="12.375" style="52" bestFit="1" customWidth="1"/>
    <col min="15648" max="15872" width="8.875" style="52"/>
    <col min="15873" max="15873" width="10.5" style="52" bestFit="1" customWidth="1"/>
    <col min="15874" max="15886" width="0" style="52" hidden="1" customWidth="1"/>
    <col min="15887" max="15887" width="8.875" style="52"/>
    <col min="15888" max="15888" width="11.5" style="52" bestFit="1" customWidth="1"/>
    <col min="15889" max="15889" width="34.5" style="52" bestFit="1" customWidth="1"/>
    <col min="15890" max="15890" width="51" style="52" bestFit="1" customWidth="1"/>
    <col min="15891" max="15891" width="9.625" style="52" bestFit="1" customWidth="1"/>
    <col min="15892" max="15892" width="13" style="52" customWidth="1"/>
    <col min="15893" max="15893" width="16.625" style="52" customWidth="1"/>
    <col min="15894" max="15895" width="11.5" style="52" customWidth="1"/>
    <col min="15896" max="15896" width="11.625" style="52" customWidth="1"/>
    <col min="15897" max="15897" width="9.375" style="52" customWidth="1"/>
    <col min="15898" max="15898" width="9.5" style="52" customWidth="1"/>
    <col min="15899" max="15899" width="8.625" style="52" customWidth="1"/>
    <col min="15900" max="15900" width="12.375" style="52" bestFit="1" customWidth="1"/>
    <col min="15901" max="15902" width="8.875" style="52"/>
    <col min="15903" max="15903" width="12.375" style="52" bestFit="1" customWidth="1"/>
    <col min="15904" max="16128" width="8.875" style="52"/>
    <col min="16129" max="16129" width="10.5" style="52" bestFit="1" customWidth="1"/>
    <col min="16130" max="16142" width="0" style="52" hidden="1" customWidth="1"/>
    <col min="16143" max="16143" width="8.875" style="52"/>
    <col min="16144" max="16144" width="11.5" style="52" bestFit="1" customWidth="1"/>
    <col min="16145" max="16145" width="34.5" style="52" bestFit="1" customWidth="1"/>
    <col min="16146" max="16146" width="51" style="52" bestFit="1" customWidth="1"/>
    <col min="16147" max="16147" width="9.625" style="52" bestFit="1" customWidth="1"/>
    <col min="16148" max="16148" width="13" style="52" customWidth="1"/>
    <col min="16149" max="16149" width="16.625" style="52" customWidth="1"/>
    <col min="16150" max="16151" width="11.5" style="52" customWidth="1"/>
    <col min="16152" max="16152" width="11.625" style="52" customWidth="1"/>
    <col min="16153" max="16153" width="9.375" style="52" customWidth="1"/>
    <col min="16154" max="16154" width="9.5" style="52" customWidth="1"/>
    <col min="16155" max="16155" width="8.625" style="52" customWidth="1"/>
    <col min="16156" max="16156" width="12.375" style="52" bestFit="1" customWidth="1"/>
    <col min="16157" max="16158" width="8.875" style="52"/>
    <col min="16159" max="16159" width="12.375" style="52" bestFit="1" customWidth="1"/>
    <col min="16160" max="16384" width="8.875" style="52"/>
  </cols>
  <sheetData>
    <row r="1" spans="1:31" ht="39.950000000000003" customHeight="1" thickTop="1">
      <c r="A1" s="49" t="s">
        <v>466</v>
      </c>
      <c r="B1" s="51" t="s">
        <v>551</v>
      </c>
      <c r="C1" s="50" t="s">
        <v>552</v>
      </c>
      <c r="D1" s="50" t="s">
        <v>469</v>
      </c>
      <c r="E1" s="51" t="s">
        <v>553</v>
      </c>
      <c r="F1" s="51" t="s">
        <v>554</v>
      </c>
      <c r="G1" s="63" t="s">
        <v>555</v>
      </c>
      <c r="H1" s="64" t="s">
        <v>556</v>
      </c>
      <c r="I1" s="51" t="s">
        <v>557</v>
      </c>
      <c r="J1" s="51" t="s">
        <v>558</v>
      </c>
      <c r="K1" s="51" t="s">
        <v>559</v>
      </c>
      <c r="L1" s="51" t="s">
        <v>560</v>
      </c>
      <c r="M1" s="50" t="s">
        <v>561</v>
      </c>
      <c r="N1" s="65" t="s">
        <v>562</v>
      </c>
      <c r="P1" s="303" t="s">
        <v>466</v>
      </c>
      <c r="Q1" s="303" t="s">
        <v>563</v>
      </c>
      <c r="R1" s="1093" t="s">
        <v>474</v>
      </c>
      <c r="S1" s="303" t="s">
        <v>551</v>
      </c>
      <c r="T1" s="304" t="s">
        <v>564</v>
      </c>
      <c r="U1" s="304" t="s">
        <v>565</v>
      </c>
      <c r="V1" s="303" t="s">
        <v>554</v>
      </c>
      <c r="W1" s="304" t="s">
        <v>566</v>
      </c>
      <c r="X1" s="304" t="s">
        <v>567</v>
      </c>
      <c r="Y1" s="304" t="s">
        <v>558</v>
      </c>
      <c r="Z1" s="304" t="s">
        <v>568</v>
      </c>
      <c r="AA1" s="304" t="s">
        <v>569</v>
      </c>
      <c r="AB1" s="305" t="s">
        <v>562</v>
      </c>
      <c r="AC1" s="303" t="s">
        <v>552</v>
      </c>
      <c r="AD1" s="303" t="s">
        <v>469</v>
      </c>
      <c r="AE1" s="303" t="s">
        <v>570</v>
      </c>
    </row>
    <row r="2" spans="1:31" ht="13.5" thickBot="1">
      <c r="A2" s="53"/>
      <c r="B2" s="66" t="s">
        <v>571</v>
      </c>
      <c r="C2" s="67" t="s">
        <v>479</v>
      </c>
      <c r="D2" s="67" t="s">
        <v>479</v>
      </c>
      <c r="E2" s="66" t="s">
        <v>572</v>
      </c>
      <c r="F2" s="66" t="s">
        <v>572</v>
      </c>
      <c r="G2" s="68" t="s">
        <v>573</v>
      </c>
      <c r="H2" s="68" t="s">
        <v>573</v>
      </c>
      <c r="I2" s="68" t="s">
        <v>573</v>
      </c>
      <c r="J2" s="68" t="s">
        <v>573</v>
      </c>
      <c r="K2" s="66" t="s">
        <v>574</v>
      </c>
      <c r="L2" s="69" t="s">
        <v>574</v>
      </c>
      <c r="M2" s="70" t="s">
        <v>575</v>
      </c>
      <c r="N2" s="71" t="s">
        <v>576</v>
      </c>
      <c r="P2" s="306"/>
      <c r="Q2" s="306"/>
      <c r="R2" s="1094"/>
      <c r="S2" s="66" t="s">
        <v>571</v>
      </c>
      <c r="T2" s="69" t="s">
        <v>574</v>
      </c>
      <c r="U2" s="66" t="s">
        <v>574</v>
      </c>
      <c r="V2" s="66" t="s">
        <v>577</v>
      </c>
      <c r="W2" s="66" t="s">
        <v>577</v>
      </c>
      <c r="X2" s="66" t="s">
        <v>573</v>
      </c>
      <c r="Y2" s="66" t="s">
        <v>573</v>
      </c>
      <c r="Z2" s="66" t="s">
        <v>573</v>
      </c>
      <c r="AA2" s="66" t="s">
        <v>573</v>
      </c>
      <c r="AB2" s="66" t="s">
        <v>578</v>
      </c>
      <c r="AC2" s="66" t="s">
        <v>479</v>
      </c>
      <c r="AD2" s="66" t="s">
        <v>479</v>
      </c>
      <c r="AE2" s="66" t="s">
        <v>579</v>
      </c>
    </row>
    <row r="3" spans="1:31">
      <c r="A3" s="72"/>
      <c r="B3" s="73"/>
      <c r="C3" s="74"/>
      <c r="D3" s="75"/>
      <c r="E3" s="76"/>
      <c r="F3" s="77"/>
      <c r="G3" s="78"/>
      <c r="H3" s="79"/>
      <c r="I3" s="80"/>
      <c r="J3" s="81"/>
      <c r="K3" s="82"/>
      <c r="L3" s="83"/>
      <c r="M3" s="84"/>
      <c r="N3" s="85"/>
      <c r="P3" s="307" t="s">
        <v>580</v>
      </c>
      <c r="Q3" s="202" t="s">
        <v>6160</v>
      </c>
      <c r="R3" s="307" t="s">
        <v>581</v>
      </c>
      <c r="S3" s="243">
        <v>3360</v>
      </c>
      <c r="T3" s="308">
        <v>626055</v>
      </c>
      <c r="U3" s="308">
        <v>1163430</v>
      </c>
      <c r="V3" s="242">
        <v>1.4</v>
      </c>
      <c r="W3" s="242">
        <v>1.7</v>
      </c>
      <c r="X3" s="242">
        <v>180</v>
      </c>
      <c r="Y3" s="242">
        <v>85</v>
      </c>
      <c r="Z3" s="309">
        <v>4.5</v>
      </c>
      <c r="AA3" s="309">
        <v>50.5</v>
      </c>
      <c r="AB3" s="310">
        <v>30800000</v>
      </c>
      <c r="AC3" s="308">
        <v>6.0960000000000001</v>
      </c>
      <c r="AD3" s="308">
        <v>1.0900000000000001</v>
      </c>
      <c r="AE3" s="205"/>
    </row>
    <row r="4" spans="1:31">
      <c r="A4" s="72"/>
      <c r="B4" s="86"/>
      <c r="C4" s="87"/>
      <c r="D4" s="88"/>
      <c r="E4" s="89"/>
      <c r="F4" s="90"/>
      <c r="G4" s="78"/>
      <c r="H4" s="79"/>
      <c r="I4" s="91"/>
      <c r="J4" s="92"/>
      <c r="K4" s="93"/>
      <c r="L4" s="94"/>
      <c r="M4" s="85"/>
      <c r="N4" s="85"/>
      <c r="P4" s="307" t="s">
        <v>582</v>
      </c>
      <c r="Q4" s="203" t="s">
        <v>6161</v>
      </c>
      <c r="R4" s="307" t="s">
        <v>583</v>
      </c>
      <c r="S4" s="243">
        <v>3480</v>
      </c>
      <c r="T4" s="205">
        <v>328375</v>
      </c>
      <c r="U4" s="205">
        <v>1161780</v>
      </c>
      <c r="V4" s="243">
        <v>3</v>
      </c>
      <c r="W4" s="243">
        <v>0.18</v>
      </c>
      <c r="X4" s="243">
        <v>180</v>
      </c>
      <c r="Y4" s="243">
        <v>98</v>
      </c>
      <c r="Z4" s="309">
        <v>50.5</v>
      </c>
      <c r="AA4" s="309">
        <v>115.5</v>
      </c>
      <c r="AB4" s="311">
        <v>36100000</v>
      </c>
      <c r="AC4" s="205">
        <v>9.0960000000000001</v>
      </c>
      <c r="AD4" s="205">
        <v>1.4</v>
      </c>
      <c r="AE4" s="205"/>
    </row>
    <row r="5" spans="1:31">
      <c r="A5" s="72"/>
      <c r="B5" s="86"/>
      <c r="C5" s="87"/>
      <c r="D5" s="88"/>
      <c r="E5" s="89"/>
      <c r="F5" s="90"/>
      <c r="G5" s="78"/>
      <c r="H5" s="79"/>
      <c r="I5" s="91"/>
      <c r="J5" s="92"/>
      <c r="K5" s="93"/>
      <c r="L5" s="94"/>
      <c r="M5" s="85"/>
      <c r="N5" s="85"/>
      <c r="P5" s="307" t="s">
        <v>584</v>
      </c>
      <c r="Q5" s="204"/>
      <c r="R5" s="307" t="s">
        <v>585</v>
      </c>
      <c r="S5" s="243">
        <v>394</v>
      </c>
      <c r="T5" s="205">
        <v>736365</v>
      </c>
      <c r="U5" s="205">
        <v>1161780</v>
      </c>
      <c r="V5" s="243">
        <v>0.5</v>
      </c>
      <c r="W5" s="243">
        <v>1.8</v>
      </c>
      <c r="X5" s="243">
        <v>183</v>
      </c>
      <c r="Y5" s="243">
        <v>168</v>
      </c>
      <c r="Z5" s="309">
        <v>112</v>
      </c>
      <c r="AA5" s="309">
        <v>124</v>
      </c>
      <c r="AB5" s="312">
        <v>7440000</v>
      </c>
      <c r="AC5" s="205">
        <v>6.3550000000000004</v>
      </c>
      <c r="AD5" s="205">
        <v>0.8</v>
      </c>
      <c r="AE5" s="205"/>
    </row>
    <row r="6" spans="1:31">
      <c r="A6" s="72"/>
      <c r="B6" s="86"/>
      <c r="C6" s="87"/>
      <c r="D6" s="88"/>
      <c r="E6" s="89"/>
      <c r="F6" s="90"/>
      <c r="G6" s="78"/>
      <c r="H6" s="79"/>
      <c r="I6" s="91"/>
      <c r="J6" s="92"/>
      <c r="K6" s="93"/>
      <c r="L6" s="94"/>
      <c r="M6" s="85"/>
      <c r="N6" s="85"/>
      <c r="P6" s="307" t="s">
        <v>5385</v>
      </c>
      <c r="Q6" s="204"/>
      <c r="R6" s="307" t="s">
        <v>586</v>
      </c>
      <c r="S6" s="243">
        <v>422</v>
      </c>
      <c r="T6" s="205">
        <v>736365</v>
      </c>
      <c r="U6" s="205">
        <v>1163455</v>
      </c>
      <c r="V6" s="243">
        <v>0.5</v>
      </c>
      <c r="W6" s="243">
        <v>1.3</v>
      </c>
      <c r="X6" s="243">
        <v>208</v>
      </c>
      <c r="Y6" s="243">
        <v>183</v>
      </c>
      <c r="Z6" s="309">
        <v>121</v>
      </c>
      <c r="AA6" s="309">
        <v>140</v>
      </c>
      <c r="AB6" s="312">
        <v>11300000</v>
      </c>
      <c r="AC6" s="205">
        <v>6.3869999999999996</v>
      </c>
      <c r="AD6" s="205">
        <v>0.88</v>
      </c>
      <c r="AE6" s="205"/>
    </row>
    <row r="7" spans="1:31">
      <c r="A7" s="72"/>
      <c r="B7" s="86"/>
      <c r="C7" s="87"/>
      <c r="D7" s="88"/>
      <c r="E7" s="89"/>
      <c r="F7" s="90"/>
      <c r="G7" s="78"/>
      <c r="H7" s="79"/>
      <c r="I7" s="91"/>
      <c r="J7" s="92"/>
      <c r="K7" s="93"/>
      <c r="L7" s="94"/>
      <c r="M7" s="85"/>
      <c r="N7" s="85"/>
      <c r="P7" s="307" t="s">
        <v>587</v>
      </c>
      <c r="Q7" s="203" t="s">
        <v>6162</v>
      </c>
      <c r="R7" s="307" t="s">
        <v>588</v>
      </c>
      <c r="S7" s="243">
        <v>537</v>
      </c>
      <c r="T7" s="205">
        <v>167430</v>
      </c>
      <c r="U7" s="205">
        <v>581730</v>
      </c>
      <c r="V7" s="243">
        <v>0.3</v>
      </c>
      <c r="W7" s="243">
        <v>0.6</v>
      </c>
      <c r="X7" s="243">
        <v>263</v>
      </c>
      <c r="Y7" s="243">
        <v>178</v>
      </c>
      <c r="Z7" s="309">
        <v>140</v>
      </c>
      <c r="AA7" s="309">
        <v>169</v>
      </c>
      <c r="AB7" s="310">
        <v>9300000</v>
      </c>
      <c r="AC7" s="205">
        <v>7.9669999999999996</v>
      </c>
      <c r="AD7" s="205">
        <v>1.2450000000000001</v>
      </c>
      <c r="AE7" s="205"/>
    </row>
    <row r="8" spans="1:31">
      <c r="A8" s="72"/>
      <c r="B8" s="86"/>
      <c r="C8" s="87"/>
      <c r="D8" s="88"/>
      <c r="E8" s="89"/>
      <c r="F8" s="90"/>
      <c r="G8" s="78"/>
      <c r="H8" s="79"/>
      <c r="I8" s="91"/>
      <c r="J8" s="92"/>
      <c r="K8" s="93"/>
      <c r="L8" s="94"/>
      <c r="M8" s="85"/>
      <c r="N8" s="85"/>
      <c r="P8" s="307" t="s">
        <v>589</v>
      </c>
      <c r="Q8" s="204"/>
      <c r="R8" s="307" t="s">
        <v>590</v>
      </c>
      <c r="S8" s="243">
        <v>280</v>
      </c>
      <c r="T8" s="205">
        <v>112215</v>
      </c>
      <c r="U8" s="205">
        <v>581725</v>
      </c>
      <c r="V8" s="243">
        <v>0.35</v>
      </c>
      <c r="W8" s="243">
        <v>1.1000000000000001</v>
      </c>
      <c r="X8" s="243">
        <v>314</v>
      </c>
      <c r="Y8" s="243">
        <v>204</v>
      </c>
      <c r="Z8" s="309">
        <v>135</v>
      </c>
      <c r="AA8" s="309">
        <v>158</v>
      </c>
      <c r="AB8" s="312">
        <v>7810000</v>
      </c>
      <c r="AC8" s="205">
        <v>1.62</v>
      </c>
      <c r="AD8" s="205">
        <v>0.91600000000000004</v>
      </c>
      <c r="AE8" s="205"/>
    </row>
    <row r="9" spans="1:31">
      <c r="A9" s="72"/>
      <c r="B9" s="86"/>
      <c r="C9" s="87"/>
      <c r="D9" s="88"/>
      <c r="E9" s="89"/>
      <c r="F9" s="90"/>
      <c r="G9" s="78"/>
      <c r="H9" s="79"/>
      <c r="I9" s="91"/>
      <c r="J9" s="92"/>
      <c r="K9" s="93"/>
      <c r="L9" s="94"/>
      <c r="M9" s="85"/>
      <c r="N9" s="85"/>
      <c r="P9" s="307" t="s">
        <v>8997</v>
      </c>
      <c r="Q9" s="203" t="s">
        <v>6163</v>
      </c>
      <c r="R9" s="307" t="s">
        <v>592</v>
      </c>
      <c r="S9" s="619">
        <v>1140</v>
      </c>
      <c r="T9" s="205">
        <v>727270</v>
      </c>
      <c r="U9" s="205">
        <v>1163455</v>
      </c>
      <c r="V9" s="243">
        <v>0.5</v>
      </c>
      <c r="W9" s="243">
        <v>2</v>
      </c>
      <c r="X9" s="243">
        <v>222</v>
      </c>
      <c r="Y9" s="243">
        <v>188</v>
      </c>
      <c r="Z9" s="309">
        <v>149</v>
      </c>
      <c r="AA9" s="309">
        <v>173</v>
      </c>
      <c r="AB9" s="312">
        <v>16100000</v>
      </c>
      <c r="AC9" s="205">
        <v>6.0960000000000001</v>
      </c>
      <c r="AD9" s="205">
        <v>1.27</v>
      </c>
      <c r="AE9" s="205"/>
    </row>
    <row r="10" spans="1:31">
      <c r="A10" s="72"/>
      <c r="B10" s="86"/>
      <c r="C10" s="87"/>
      <c r="D10" s="88"/>
      <c r="E10" s="89"/>
      <c r="F10" s="90"/>
      <c r="G10" s="78"/>
      <c r="H10" s="79"/>
      <c r="I10" s="91"/>
      <c r="J10" s="92"/>
      <c r="K10" s="93"/>
      <c r="L10" s="94"/>
      <c r="M10" s="85"/>
      <c r="N10" s="85"/>
      <c r="P10" s="307" t="s">
        <v>593</v>
      </c>
      <c r="Q10" s="203" t="s">
        <v>6164</v>
      </c>
      <c r="R10" s="307" t="s">
        <v>594</v>
      </c>
      <c r="S10" s="243">
        <v>1360</v>
      </c>
      <c r="T10" s="205">
        <v>626055</v>
      </c>
      <c r="U10" s="205">
        <v>1163455</v>
      </c>
      <c r="V10" s="243">
        <v>0.7</v>
      </c>
      <c r="W10" s="243">
        <v>1.6</v>
      </c>
      <c r="X10" s="243">
        <v>280</v>
      </c>
      <c r="Y10" s="243">
        <v>219</v>
      </c>
      <c r="Z10" s="309">
        <v>158</v>
      </c>
      <c r="AA10" s="309">
        <v>191</v>
      </c>
      <c r="AB10" s="312">
        <v>23200000</v>
      </c>
      <c r="AC10" s="205">
        <v>7.7519999999999998</v>
      </c>
      <c r="AD10" s="205">
        <v>0.29299999999999998</v>
      </c>
      <c r="AE10" s="205"/>
    </row>
    <row r="11" spans="1:31">
      <c r="A11" s="72"/>
      <c r="B11" s="86"/>
      <c r="C11" s="87"/>
      <c r="D11" s="88"/>
      <c r="E11" s="89"/>
      <c r="F11" s="90"/>
      <c r="G11" s="78"/>
      <c r="H11" s="79"/>
      <c r="I11" s="91"/>
      <c r="J11" s="92"/>
      <c r="K11" s="93"/>
      <c r="L11" s="94"/>
      <c r="M11" s="85"/>
      <c r="N11" s="85"/>
      <c r="P11" s="307" t="s">
        <v>8995</v>
      </c>
      <c r="Q11" s="203" t="s">
        <v>6163</v>
      </c>
      <c r="R11" s="307" t="s">
        <v>8996</v>
      </c>
      <c r="S11" s="619">
        <v>1140</v>
      </c>
      <c r="T11" s="205">
        <v>727270</v>
      </c>
      <c r="U11" s="205">
        <v>1163455</v>
      </c>
      <c r="V11" s="619">
        <v>0.5</v>
      </c>
      <c r="W11" s="619">
        <v>1.9</v>
      </c>
      <c r="X11" s="243">
        <v>280</v>
      </c>
      <c r="Y11" s="243">
        <v>235</v>
      </c>
      <c r="Z11" s="309">
        <v>191</v>
      </c>
      <c r="AA11" s="309">
        <v>221</v>
      </c>
      <c r="AB11" s="312">
        <v>22600000</v>
      </c>
      <c r="AC11" s="205">
        <v>6.0960000000000001</v>
      </c>
      <c r="AD11" s="205">
        <v>1.27</v>
      </c>
      <c r="AE11" s="205"/>
    </row>
    <row r="12" spans="1:31">
      <c r="A12" s="72"/>
      <c r="B12" s="86"/>
      <c r="C12" s="87"/>
      <c r="D12" s="88"/>
      <c r="E12" s="89"/>
      <c r="F12" s="90"/>
      <c r="G12" s="78"/>
      <c r="H12" s="79"/>
      <c r="I12" s="91"/>
      <c r="J12" s="92"/>
      <c r="K12" s="93"/>
      <c r="L12" s="94"/>
      <c r="M12" s="85"/>
      <c r="N12" s="85"/>
      <c r="P12" s="307" t="s">
        <v>595</v>
      </c>
      <c r="Q12" s="203" t="s">
        <v>6165</v>
      </c>
      <c r="R12" s="307" t="s">
        <v>596</v>
      </c>
      <c r="S12" s="243">
        <v>1088</v>
      </c>
      <c r="T12" s="314"/>
      <c r="U12" s="314"/>
      <c r="V12" s="243"/>
      <c r="W12" s="243"/>
      <c r="X12" s="243">
        <v>360</v>
      </c>
      <c r="Y12" s="243">
        <v>300</v>
      </c>
      <c r="Z12" s="309">
        <v>221</v>
      </c>
      <c r="AA12" s="309">
        <v>250</v>
      </c>
      <c r="AB12" s="205"/>
      <c r="AC12" s="205">
        <v>4.875</v>
      </c>
      <c r="AD12" s="205">
        <v>0.99099999999999999</v>
      </c>
      <c r="AE12" s="205"/>
    </row>
    <row r="13" spans="1:31">
      <c r="A13" s="72"/>
      <c r="B13" s="86"/>
      <c r="C13" s="87"/>
      <c r="D13" s="88"/>
      <c r="E13" s="89"/>
      <c r="F13" s="90"/>
      <c r="G13" s="78"/>
      <c r="H13" s="79"/>
      <c r="I13" s="91"/>
      <c r="J13" s="92"/>
      <c r="K13" s="93"/>
      <c r="L13" s="94"/>
      <c r="M13" s="85"/>
      <c r="N13" s="85"/>
      <c r="O13" s="615"/>
      <c r="P13" s="307" t="s">
        <v>597</v>
      </c>
      <c r="Q13" s="203" t="s">
        <v>6164</v>
      </c>
      <c r="R13" s="307" t="s">
        <v>598</v>
      </c>
      <c r="S13" s="243">
        <v>632</v>
      </c>
      <c r="T13" s="205">
        <v>1161780</v>
      </c>
      <c r="U13" s="205">
        <v>626955</v>
      </c>
      <c r="V13" s="243">
        <v>0.45</v>
      </c>
      <c r="W13" s="243">
        <v>1.7</v>
      </c>
      <c r="X13" s="243">
        <v>242</v>
      </c>
      <c r="Y13" s="243">
        <v>260</v>
      </c>
      <c r="Z13" s="309">
        <v>351</v>
      </c>
      <c r="AA13" s="309">
        <v>318</v>
      </c>
      <c r="AB13" s="312">
        <v>14200000</v>
      </c>
      <c r="AC13" s="205">
        <v>7.6870000000000003</v>
      </c>
      <c r="AD13" s="205">
        <v>1</v>
      </c>
      <c r="AE13" s="205"/>
    </row>
    <row r="14" spans="1:31">
      <c r="A14" s="72"/>
      <c r="B14" s="86"/>
      <c r="C14" s="87"/>
      <c r="D14" s="88"/>
      <c r="E14" s="89"/>
      <c r="F14" s="90"/>
      <c r="G14" s="78"/>
      <c r="H14" s="79"/>
      <c r="I14" s="91"/>
      <c r="J14" s="92"/>
      <c r="K14" s="93"/>
      <c r="L14" s="94"/>
      <c r="M14" s="85"/>
      <c r="N14" s="85"/>
      <c r="P14" s="307" t="s">
        <v>9005</v>
      </c>
      <c r="Q14" s="203" t="s">
        <v>6166</v>
      </c>
      <c r="R14" s="307" t="s">
        <v>599</v>
      </c>
      <c r="S14" s="315"/>
      <c r="T14" s="314"/>
      <c r="U14" s="316">
        <v>354829</v>
      </c>
      <c r="V14" s="243"/>
      <c r="W14" s="243"/>
      <c r="X14" s="243">
        <v>24.4</v>
      </c>
      <c r="Y14" s="243"/>
      <c r="Z14" s="309">
        <v>113.8</v>
      </c>
      <c r="AA14" s="309">
        <v>43.3</v>
      </c>
      <c r="AB14" s="205"/>
      <c r="AC14" s="205"/>
      <c r="AD14" s="205"/>
      <c r="AE14" s="205">
        <v>265</v>
      </c>
    </row>
    <row r="15" spans="1:31">
      <c r="A15" s="72"/>
      <c r="B15" s="86"/>
      <c r="C15" s="87"/>
      <c r="D15" s="88"/>
      <c r="E15" s="89"/>
      <c r="F15" s="90"/>
      <c r="G15" s="78"/>
      <c r="H15" s="79"/>
      <c r="I15" s="91"/>
      <c r="J15" s="92"/>
      <c r="K15" s="93"/>
      <c r="L15" s="94"/>
      <c r="M15" s="85"/>
      <c r="N15" s="85"/>
      <c r="P15" s="307" t="s">
        <v>600</v>
      </c>
      <c r="Q15" s="203" t="s">
        <v>6167</v>
      </c>
      <c r="R15" s="307" t="s">
        <v>601</v>
      </c>
      <c r="S15" s="243">
        <v>4980</v>
      </c>
      <c r="T15" s="314"/>
      <c r="U15" s="317">
        <v>735000</v>
      </c>
      <c r="V15" s="243"/>
      <c r="W15" s="243"/>
      <c r="X15" s="243">
        <v>24.4</v>
      </c>
      <c r="Y15" s="243">
        <v>112.8</v>
      </c>
      <c r="Z15" s="309">
        <v>182.7</v>
      </c>
      <c r="AA15" s="309">
        <v>152.69999999999999</v>
      </c>
      <c r="AB15" s="312">
        <v>14350000</v>
      </c>
      <c r="AC15" s="205"/>
      <c r="AD15" s="205"/>
      <c r="AE15" s="205">
        <v>265</v>
      </c>
    </row>
    <row r="16" spans="1:31">
      <c r="A16" s="72"/>
      <c r="B16" s="86"/>
      <c r="C16" s="87"/>
      <c r="D16" s="88"/>
      <c r="E16" s="89"/>
      <c r="F16" s="90"/>
      <c r="G16" s="78"/>
      <c r="H16" s="79"/>
      <c r="I16" s="91"/>
      <c r="J16" s="92"/>
      <c r="K16" s="93"/>
      <c r="L16" s="94"/>
      <c r="M16" s="85"/>
      <c r="N16" s="85"/>
      <c r="P16" s="307" t="s">
        <v>602</v>
      </c>
      <c r="Q16" s="203" t="s">
        <v>6168</v>
      </c>
      <c r="R16" s="307" t="s">
        <v>603</v>
      </c>
      <c r="S16" s="243">
        <v>2700</v>
      </c>
      <c r="T16" s="314"/>
      <c r="U16" s="317">
        <v>727500</v>
      </c>
      <c r="V16" s="243"/>
      <c r="W16" s="243"/>
      <c r="X16" s="243">
        <v>24.4</v>
      </c>
      <c r="Y16" s="243">
        <v>126</v>
      </c>
      <c r="Z16" s="309">
        <v>192</v>
      </c>
      <c r="AA16" s="309">
        <v>174</v>
      </c>
      <c r="AB16" s="312">
        <v>8550000</v>
      </c>
      <c r="AC16" s="318"/>
      <c r="AD16" s="205"/>
      <c r="AE16" s="205">
        <v>265</v>
      </c>
    </row>
    <row r="17" spans="1:31">
      <c r="A17" s="72"/>
      <c r="B17" s="86"/>
      <c r="C17" s="87"/>
      <c r="D17" s="88"/>
      <c r="E17" s="89"/>
      <c r="F17" s="90"/>
      <c r="G17" s="78"/>
      <c r="H17" s="79"/>
      <c r="I17" s="91"/>
      <c r="J17" s="92"/>
      <c r="K17" s="93"/>
      <c r="L17" s="94"/>
      <c r="M17" s="85"/>
      <c r="N17" s="85"/>
      <c r="P17" s="307" t="s">
        <v>604</v>
      </c>
      <c r="Q17" s="203" t="s">
        <v>6169</v>
      </c>
      <c r="R17" s="307" t="s">
        <v>605</v>
      </c>
      <c r="S17" s="243">
        <v>1670</v>
      </c>
      <c r="T17" s="314"/>
      <c r="U17" s="317">
        <v>202000</v>
      </c>
      <c r="V17" s="243"/>
      <c r="W17" s="243"/>
      <c r="X17" s="243">
        <v>24.4</v>
      </c>
      <c r="Y17" s="243">
        <v>121.5</v>
      </c>
      <c r="Z17" s="309">
        <v>194</v>
      </c>
      <c r="AA17" s="309">
        <v>155.5</v>
      </c>
      <c r="AB17" s="312">
        <v>4660000</v>
      </c>
      <c r="AC17" s="318"/>
      <c r="AD17" s="205"/>
      <c r="AE17" s="205">
        <v>265</v>
      </c>
    </row>
    <row r="18" spans="1:31">
      <c r="A18" s="72"/>
      <c r="B18" s="86"/>
      <c r="C18" s="87"/>
      <c r="D18" s="88"/>
      <c r="E18" s="89"/>
      <c r="F18" s="90"/>
      <c r="G18" s="78"/>
      <c r="H18" s="79"/>
      <c r="I18" s="91"/>
      <c r="J18" s="92"/>
      <c r="K18" s="93"/>
      <c r="L18" s="94"/>
      <c r="M18" s="85"/>
      <c r="N18" s="85"/>
      <c r="P18" s="307" t="s">
        <v>606</v>
      </c>
      <c r="Q18" s="203" t="s">
        <v>6170</v>
      </c>
      <c r="R18" s="307" t="s">
        <v>607</v>
      </c>
      <c r="S18" s="243">
        <v>7680</v>
      </c>
      <c r="T18" s="314"/>
      <c r="U18" s="317">
        <v>192500</v>
      </c>
      <c r="V18" s="243"/>
      <c r="W18" s="243"/>
      <c r="X18" s="243">
        <v>24.4</v>
      </c>
      <c r="Y18" s="721">
        <v>63.9</v>
      </c>
      <c r="Z18" s="309">
        <v>181.5</v>
      </c>
      <c r="AA18" s="309">
        <v>60</v>
      </c>
      <c r="AB18" s="312">
        <v>9700000</v>
      </c>
      <c r="AC18" s="205"/>
      <c r="AD18" s="205"/>
      <c r="AE18" s="205">
        <v>265</v>
      </c>
    </row>
    <row r="19" spans="1:31">
      <c r="A19" s="72"/>
      <c r="B19" s="86"/>
      <c r="C19" s="87"/>
      <c r="D19" s="88"/>
      <c r="E19" s="89"/>
      <c r="F19" s="90"/>
      <c r="G19" s="78"/>
      <c r="H19" s="79"/>
      <c r="I19" s="91"/>
      <c r="J19" s="92"/>
      <c r="K19" s="93"/>
      <c r="L19" s="94"/>
      <c r="M19" s="85"/>
      <c r="N19" s="85"/>
      <c r="P19" s="307" t="s">
        <v>608</v>
      </c>
      <c r="Q19" s="203" t="s">
        <v>6171</v>
      </c>
      <c r="R19" s="307" t="s">
        <v>609</v>
      </c>
      <c r="S19" s="243">
        <v>5130</v>
      </c>
      <c r="T19" s="314"/>
      <c r="U19" s="205">
        <v>112000</v>
      </c>
      <c r="V19" s="243"/>
      <c r="W19" s="243"/>
      <c r="X19" s="243">
        <v>24.4</v>
      </c>
      <c r="Y19" s="243">
        <v>64.7</v>
      </c>
      <c r="Z19" s="309">
        <v>204</v>
      </c>
      <c r="AA19" s="309">
        <v>60</v>
      </c>
      <c r="AB19" s="312">
        <v>9000000</v>
      </c>
      <c r="AC19" s="205"/>
      <c r="AD19" s="205"/>
      <c r="AE19" s="205">
        <v>265</v>
      </c>
    </row>
    <row r="20" spans="1:31">
      <c r="A20" s="72"/>
      <c r="B20" s="86"/>
      <c r="C20" s="87"/>
      <c r="D20" s="88"/>
      <c r="E20" s="89"/>
      <c r="F20" s="90"/>
      <c r="G20" s="78"/>
      <c r="H20" s="79"/>
      <c r="I20" s="91"/>
      <c r="J20" s="92"/>
      <c r="K20" s="93"/>
      <c r="L20" s="94"/>
      <c r="M20" s="85"/>
      <c r="N20" s="85"/>
      <c r="P20" s="307" t="s">
        <v>610</v>
      </c>
      <c r="Q20" s="203" t="s">
        <v>6172</v>
      </c>
      <c r="R20" s="307" t="s">
        <v>611</v>
      </c>
      <c r="S20" s="243">
        <v>200</v>
      </c>
      <c r="T20" s="205">
        <v>13300</v>
      </c>
      <c r="U20" s="205">
        <v>29800</v>
      </c>
      <c r="V20" s="243">
        <v>5.4000000000000003E-3</v>
      </c>
      <c r="W20" s="243">
        <v>0.7</v>
      </c>
      <c r="X20" s="243">
        <v>165</v>
      </c>
      <c r="Y20" s="243">
        <v>34</v>
      </c>
      <c r="Z20" s="309">
        <v>22.8</v>
      </c>
      <c r="AA20" s="309">
        <v>30</v>
      </c>
      <c r="AB20" s="312">
        <v>2147000</v>
      </c>
      <c r="AC20" s="205">
        <v>5.74</v>
      </c>
      <c r="AD20" s="205">
        <v>0.85</v>
      </c>
      <c r="AE20" s="205"/>
    </row>
    <row r="21" spans="1:31">
      <c r="A21" s="72"/>
      <c r="B21" s="86"/>
      <c r="C21" s="87"/>
      <c r="D21" s="88"/>
      <c r="E21" s="89"/>
      <c r="F21" s="90"/>
      <c r="G21" s="78"/>
      <c r="H21" s="79"/>
      <c r="I21" s="91"/>
      <c r="J21" s="92"/>
      <c r="K21" s="93"/>
      <c r="L21" s="94"/>
      <c r="M21" s="85"/>
      <c r="N21" s="85"/>
      <c r="P21" s="307" t="s">
        <v>612</v>
      </c>
      <c r="Q21" s="203" t="s">
        <v>6173</v>
      </c>
      <c r="R21" s="307" t="s">
        <v>613</v>
      </c>
      <c r="S21" s="243">
        <v>2440</v>
      </c>
      <c r="T21" s="205">
        <v>626955</v>
      </c>
      <c r="U21" s="205">
        <v>413635</v>
      </c>
      <c r="V21" s="243">
        <v>1.9</v>
      </c>
      <c r="W21" s="243">
        <v>0.5</v>
      </c>
      <c r="X21" s="243">
        <v>112</v>
      </c>
      <c r="Y21" s="243">
        <v>77</v>
      </c>
      <c r="Z21" s="309">
        <v>49</v>
      </c>
      <c r="AA21" s="309">
        <v>77</v>
      </c>
      <c r="AB21" s="312">
        <v>4000000</v>
      </c>
      <c r="AC21" s="205">
        <v>7.5419999999999998</v>
      </c>
      <c r="AD21" s="205">
        <v>1.327</v>
      </c>
      <c r="AE21" s="205"/>
    </row>
    <row r="22" spans="1:31">
      <c r="A22" s="72"/>
      <c r="B22" s="86"/>
      <c r="C22" s="87"/>
      <c r="D22" s="88"/>
      <c r="E22" s="89"/>
      <c r="F22" s="90"/>
      <c r="G22" s="78"/>
      <c r="H22" s="79"/>
      <c r="I22" s="91"/>
      <c r="J22" s="92"/>
      <c r="K22" s="93"/>
      <c r="L22" s="94"/>
      <c r="M22" s="85"/>
      <c r="N22" s="85"/>
      <c r="P22" s="307" t="s">
        <v>614</v>
      </c>
      <c r="Q22" s="203" t="s">
        <v>6173</v>
      </c>
      <c r="R22" s="307" t="s">
        <v>615</v>
      </c>
      <c r="S22" s="243">
        <v>14040</v>
      </c>
      <c r="T22" s="205"/>
      <c r="U22" s="205">
        <v>43000</v>
      </c>
      <c r="V22" s="243"/>
      <c r="W22" s="243"/>
      <c r="X22" s="243">
        <v>24.4</v>
      </c>
      <c r="Y22" s="243">
        <v>47</v>
      </c>
      <c r="Z22" s="309">
        <v>76.7</v>
      </c>
      <c r="AA22" s="309">
        <v>48.9</v>
      </c>
      <c r="AB22" s="312">
        <v>600000</v>
      </c>
      <c r="AC22" s="318"/>
      <c r="AD22" s="318"/>
      <c r="AE22" s="205">
        <v>265</v>
      </c>
    </row>
    <row r="23" spans="1:31">
      <c r="A23" s="72"/>
      <c r="B23" s="86"/>
      <c r="C23" s="87"/>
      <c r="D23" s="88"/>
      <c r="E23" s="89"/>
      <c r="F23" s="90"/>
      <c r="G23" s="78"/>
      <c r="H23" s="79"/>
      <c r="I23" s="91"/>
      <c r="J23" s="92"/>
      <c r="K23" s="93"/>
      <c r="L23" s="94"/>
      <c r="M23" s="85"/>
      <c r="N23" s="85"/>
      <c r="P23" s="307" t="s">
        <v>616</v>
      </c>
      <c r="Q23" s="203" t="s">
        <v>6174</v>
      </c>
      <c r="R23" s="307" t="s">
        <v>617</v>
      </c>
      <c r="S23" s="243">
        <v>180</v>
      </c>
      <c r="T23" s="205">
        <v>66365</v>
      </c>
      <c r="U23" s="205">
        <v>66365</v>
      </c>
      <c r="V23" s="243">
        <v>0.4</v>
      </c>
      <c r="W23" s="243">
        <v>2.1</v>
      </c>
      <c r="X23" s="243">
        <v>10</v>
      </c>
      <c r="Y23" s="243">
        <v>65.5</v>
      </c>
      <c r="Z23" s="309">
        <v>121</v>
      </c>
      <c r="AA23" s="309">
        <v>65.5</v>
      </c>
      <c r="AB23" s="312">
        <v>3680000</v>
      </c>
      <c r="AC23" s="205">
        <v>7.0720000000000001</v>
      </c>
      <c r="AD23" s="205">
        <v>0.78</v>
      </c>
      <c r="AE23" s="205"/>
    </row>
    <row r="24" spans="1:31">
      <c r="A24" s="72"/>
      <c r="B24" s="86"/>
      <c r="C24" s="87"/>
      <c r="D24" s="88"/>
      <c r="E24" s="89"/>
      <c r="F24" s="90"/>
      <c r="G24" s="78"/>
      <c r="H24" s="79"/>
      <c r="I24" s="91"/>
      <c r="J24" s="92"/>
      <c r="K24" s="93"/>
      <c r="L24" s="94"/>
      <c r="M24" s="85"/>
      <c r="N24" s="85"/>
      <c r="P24" s="307" t="s">
        <v>8999</v>
      </c>
      <c r="Q24" s="203" t="s">
        <v>6175</v>
      </c>
      <c r="R24" s="307" t="s">
        <v>9000</v>
      </c>
      <c r="S24" s="243">
        <v>33.6</v>
      </c>
      <c r="T24" s="205">
        <v>1168</v>
      </c>
      <c r="U24" s="205">
        <v>25000</v>
      </c>
      <c r="V24" s="243">
        <v>5.0000000000000001E-3</v>
      </c>
      <c r="W24" s="243">
        <v>0.2</v>
      </c>
      <c r="X24" s="243">
        <v>120</v>
      </c>
      <c r="Y24" s="243">
        <v>50</v>
      </c>
      <c r="Z24" s="309">
        <v>30</v>
      </c>
      <c r="AA24" s="309">
        <v>45</v>
      </c>
      <c r="AB24" s="312">
        <f>433*859.8452279</f>
        <v>372312.98368070001</v>
      </c>
      <c r="AC24" s="205">
        <v>3.15</v>
      </c>
      <c r="AD24" s="205">
        <v>0.6</v>
      </c>
      <c r="AE24" s="205"/>
    </row>
    <row r="25" spans="1:31">
      <c r="A25" s="72"/>
      <c r="B25" s="86"/>
      <c r="C25" s="87"/>
      <c r="D25" s="88"/>
      <c r="E25" s="89"/>
      <c r="F25" s="90"/>
      <c r="G25" s="78"/>
      <c r="H25" s="79"/>
      <c r="I25" s="91"/>
      <c r="J25" s="92"/>
      <c r="K25" s="93"/>
      <c r="L25" s="94"/>
      <c r="M25" s="85"/>
      <c r="N25" s="85"/>
      <c r="P25" s="307" t="s">
        <v>619</v>
      </c>
      <c r="Q25" s="203" t="s">
        <v>6176</v>
      </c>
      <c r="R25" s="307" t="s">
        <v>9001</v>
      </c>
      <c r="S25" s="243">
        <v>11.41</v>
      </c>
      <c r="T25" s="205">
        <v>535</v>
      </c>
      <c r="U25" s="205">
        <v>20000</v>
      </c>
      <c r="V25" s="243">
        <v>6.0000000000000001E-3</v>
      </c>
      <c r="W25" s="243">
        <v>0.25</v>
      </c>
      <c r="X25" s="243">
        <v>140</v>
      </c>
      <c r="Y25" s="243">
        <v>90</v>
      </c>
      <c r="Z25" s="309">
        <v>30</v>
      </c>
      <c r="AA25" s="309">
        <v>43</v>
      </c>
      <c r="AB25" s="312">
        <f>302*859.8452279</f>
        <v>259673.2588258</v>
      </c>
      <c r="AC25" s="205">
        <v>3.13</v>
      </c>
      <c r="AD25" s="205">
        <v>0.4</v>
      </c>
      <c r="AE25" s="205"/>
    </row>
    <row r="26" spans="1:31">
      <c r="A26" s="72"/>
      <c r="B26" s="86"/>
      <c r="C26" s="87"/>
      <c r="D26" s="88"/>
      <c r="E26" s="89"/>
      <c r="F26" s="90"/>
      <c r="G26" s="78"/>
      <c r="H26" s="79"/>
      <c r="I26" s="91"/>
      <c r="J26" s="92"/>
      <c r="K26" s="93"/>
      <c r="L26" s="94"/>
      <c r="M26" s="85"/>
      <c r="N26" s="85"/>
      <c r="P26" s="307" t="s">
        <v>9003</v>
      </c>
      <c r="Q26" s="203" t="s">
        <v>6177</v>
      </c>
      <c r="R26" s="307" t="s">
        <v>9002</v>
      </c>
      <c r="S26" s="243">
        <v>2456</v>
      </c>
      <c r="T26" s="205"/>
      <c r="U26" s="205"/>
      <c r="V26" s="243">
        <f>668*0.00001019716213</f>
        <v>6.8117043028399996E-3</v>
      </c>
      <c r="W26" s="619">
        <f>831*0.00001019716213</f>
        <v>8.4738417300299993E-3</v>
      </c>
      <c r="X26" s="243">
        <v>15</v>
      </c>
      <c r="Y26" s="243">
        <v>364</v>
      </c>
      <c r="Z26" s="309">
        <v>445</v>
      </c>
      <c r="AA26" s="309">
        <v>154</v>
      </c>
      <c r="AB26" s="312">
        <f>23460*859.8452279</f>
        <v>20171969.046534002</v>
      </c>
      <c r="AC26" s="205"/>
      <c r="AD26" s="205"/>
      <c r="AE26" s="205"/>
    </row>
    <row r="27" spans="1:31">
      <c r="A27" s="72"/>
      <c r="B27" s="86"/>
      <c r="C27" s="87"/>
      <c r="D27" s="88"/>
      <c r="E27" s="89"/>
      <c r="F27" s="90"/>
      <c r="G27" s="78"/>
      <c r="H27" s="79"/>
      <c r="I27" s="91"/>
      <c r="J27" s="92"/>
      <c r="K27" s="93"/>
      <c r="L27" s="94"/>
      <c r="M27" s="85"/>
      <c r="N27" s="85"/>
      <c r="P27" s="307" t="s">
        <v>621</v>
      </c>
      <c r="Q27" s="203" t="s">
        <v>6178</v>
      </c>
      <c r="R27" s="307" t="s">
        <v>8998</v>
      </c>
      <c r="S27" s="243">
        <v>147</v>
      </c>
      <c r="T27" s="205">
        <v>248480</v>
      </c>
      <c r="U27" s="205">
        <v>66384</v>
      </c>
      <c r="V27" s="243">
        <f>0.5*1.019716213</f>
        <v>0.50985810649999996</v>
      </c>
      <c r="W27" s="243">
        <f>0.5*1.019716213</f>
        <v>0.50985810649999996</v>
      </c>
      <c r="X27" s="243">
        <v>28</v>
      </c>
      <c r="Y27" s="243">
        <v>38</v>
      </c>
      <c r="Z27" s="309"/>
      <c r="AA27" s="309">
        <v>40</v>
      </c>
      <c r="AB27" s="312">
        <f>2888*859.8452279</f>
        <v>2483233.0181752001</v>
      </c>
      <c r="AC27" s="205">
        <v>6.0960000000000001</v>
      </c>
      <c r="AD27" s="205">
        <v>0.70699999999999996</v>
      </c>
      <c r="AE27" s="205"/>
    </row>
    <row r="28" spans="1:31">
      <c r="A28" s="72"/>
      <c r="B28" s="86"/>
      <c r="C28" s="87"/>
      <c r="D28" s="88"/>
      <c r="E28" s="89"/>
      <c r="F28" s="90"/>
      <c r="G28" s="78"/>
      <c r="H28" s="79"/>
      <c r="I28" s="91"/>
      <c r="J28" s="92"/>
      <c r="K28" s="93"/>
      <c r="L28" s="94"/>
      <c r="M28" s="85"/>
      <c r="N28" s="85"/>
      <c r="P28" s="307" t="s">
        <v>622</v>
      </c>
      <c r="Q28" s="203" t="s">
        <v>6179</v>
      </c>
      <c r="R28" s="307" t="s">
        <v>623</v>
      </c>
      <c r="S28" s="243">
        <v>525</v>
      </c>
      <c r="T28" s="205">
        <v>11860</v>
      </c>
      <c r="U28" s="205">
        <v>290070</v>
      </c>
      <c r="V28" s="243">
        <v>0.2</v>
      </c>
      <c r="W28" s="243">
        <v>0.16</v>
      </c>
      <c r="X28" s="243">
        <v>149</v>
      </c>
      <c r="Y28" s="243">
        <v>149</v>
      </c>
      <c r="Z28" s="309">
        <v>200</v>
      </c>
      <c r="AA28" s="309">
        <v>165</v>
      </c>
      <c r="AB28" s="205"/>
      <c r="AC28" s="205">
        <v>6.0960000000000001</v>
      </c>
      <c r="AD28" s="205"/>
      <c r="AE28" s="205"/>
    </row>
    <row r="29" spans="1:31">
      <c r="A29" s="72"/>
      <c r="B29" s="86"/>
      <c r="C29" s="87"/>
      <c r="D29" s="88"/>
      <c r="E29" s="89"/>
      <c r="F29" s="90"/>
      <c r="G29" s="78"/>
      <c r="H29" s="79"/>
      <c r="I29" s="91"/>
      <c r="J29" s="92"/>
      <c r="K29" s="93"/>
      <c r="L29" s="94"/>
      <c r="M29" s="85"/>
      <c r="N29" s="85"/>
      <c r="P29" s="307" t="s">
        <v>624</v>
      </c>
      <c r="Q29" s="203" t="s">
        <v>6180</v>
      </c>
      <c r="R29" s="307" t="s">
        <v>9004</v>
      </c>
      <c r="S29" s="619">
        <v>1750</v>
      </c>
      <c r="T29" s="205">
        <v>299552</v>
      </c>
      <c r="U29" s="205">
        <v>75001</v>
      </c>
      <c r="V29" s="243"/>
      <c r="W29" s="243"/>
      <c r="X29" s="243">
        <v>27</v>
      </c>
      <c r="Y29" s="243">
        <v>52</v>
      </c>
      <c r="Z29" s="309">
        <v>98</v>
      </c>
      <c r="AA29" s="309">
        <v>75</v>
      </c>
      <c r="AB29" s="312">
        <f>2.01*1000*859.8452279</f>
        <v>1728288.908079</v>
      </c>
      <c r="AC29" s="205"/>
      <c r="AD29" s="205"/>
      <c r="AE29" s="205">
        <v>330</v>
      </c>
    </row>
    <row r="30" spans="1:31">
      <c r="A30" s="72"/>
      <c r="B30" s="86"/>
      <c r="C30" s="87"/>
      <c r="D30" s="88"/>
      <c r="E30" s="89"/>
      <c r="F30" s="90"/>
      <c r="G30" s="78"/>
      <c r="H30" s="79"/>
      <c r="I30" s="91"/>
      <c r="J30" s="92"/>
      <c r="K30" s="93"/>
      <c r="L30" s="94"/>
      <c r="M30" s="85"/>
      <c r="N30" s="85"/>
      <c r="P30" s="307" t="s">
        <v>8975</v>
      </c>
      <c r="Q30" s="203" t="s">
        <v>6181</v>
      </c>
      <c r="R30" s="307" t="s">
        <v>625</v>
      </c>
      <c r="S30" s="243">
        <v>4670</v>
      </c>
      <c r="T30" s="205">
        <v>346560</v>
      </c>
      <c r="U30" s="205">
        <v>346560</v>
      </c>
      <c r="V30" s="243"/>
      <c r="W30" s="243">
        <v>1.9</v>
      </c>
      <c r="X30" s="243">
        <v>6.7</v>
      </c>
      <c r="Y30" s="243">
        <v>70</v>
      </c>
      <c r="Z30" s="309">
        <v>71</v>
      </c>
      <c r="AA30" s="309">
        <v>15.6</v>
      </c>
      <c r="AB30" s="312">
        <v>68250000</v>
      </c>
      <c r="AC30" s="205">
        <v>8.3000000000000007</v>
      </c>
      <c r="AD30" s="205">
        <v>0.8</v>
      </c>
      <c r="AE30" s="205"/>
    </row>
    <row r="31" spans="1:31">
      <c r="A31" s="72"/>
      <c r="B31" s="86"/>
      <c r="C31" s="87"/>
      <c r="D31" s="88"/>
      <c r="E31" s="89"/>
      <c r="F31" s="90"/>
      <c r="G31" s="78"/>
      <c r="H31" s="79"/>
      <c r="I31" s="91"/>
      <c r="J31" s="92"/>
      <c r="K31" s="93"/>
      <c r="L31" s="94"/>
      <c r="M31" s="85"/>
      <c r="N31" s="85"/>
      <c r="P31" s="307" t="s">
        <v>8990</v>
      </c>
      <c r="Q31" s="203" t="s">
        <v>6182</v>
      </c>
      <c r="R31" s="307" t="s">
        <v>626</v>
      </c>
      <c r="S31" s="243">
        <v>16440</v>
      </c>
      <c r="T31" s="314"/>
      <c r="U31" s="205">
        <v>347000</v>
      </c>
      <c r="V31" s="243"/>
      <c r="W31" s="243"/>
      <c r="X31" s="243">
        <v>24.4</v>
      </c>
      <c r="Y31" s="243">
        <v>60</v>
      </c>
      <c r="Z31" s="309">
        <v>118.2</v>
      </c>
      <c r="AA31" s="309">
        <v>43.3</v>
      </c>
      <c r="AB31" s="312">
        <v>14200000</v>
      </c>
      <c r="AC31" s="205"/>
      <c r="AD31" s="205"/>
      <c r="AE31" s="205">
        <v>274</v>
      </c>
    </row>
    <row r="32" spans="1:31">
      <c r="A32" s="72"/>
      <c r="B32" s="86"/>
      <c r="C32" s="87"/>
      <c r="D32" s="88"/>
      <c r="E32" s="89"/>
      <c r="F32" s="90"/>
      <c r="G32" s="78"/>
      <c r="H32" s="79"/>
      <c r="I32" s="91"/>
      <c r="J32" s="92"/>
      <c r="K32" s="93"/>
      <c r="L32" s="94"/>
      <c r="M32" s="85"/>
      <c r="N32" s="85"/>
      <c r="P32" s="313" t="s">
        <v>627</v>
      </c>
      <c r="Q32" s="203" t="s">
        <v>6183</v>
      </c>
      <c r="R32" s="307" t="s">
        <v>628</v>
      </c>
      <c r="S32" s="243"/>
      <c r="T32" s="205"/>
      <c r="U32" s="205"/>
      <c r="V32" s="243"/>
      <c r="W32" s="243"/>
      <c r="X32" s="243"/>
      <c r="Y32" s="243"/>
      <c r="Z32" s="309"/>
      <c r="AA32" s="309"/>
      <c r="AB32" s="205"/>
      <c r="AC32" s="205"/>
      <c r="AD32" s="205"/>
      <c r="AE32" s="205"/>
    </row>
    <row r="33" spans="1:31">
      <c r="A33" s="72"/>
      <c r="B33" s="86"/>
      <c r="C33" s="87"/>
      <c r="D33" s="88"/>
      <c r="E33" s="89"/>
      <c r="F33" s="90"/>
      <c r="G33" s="78"/>
      <c r="H33" s="79"/>
      <c r="I33" s="91"/>
      <c r="J33" s="92"/>
      <c r="K33" s="93"/>
      <c r="L33" s="94"/>
      <c r="M33" s="85"/>
      <c r="N33" s="85"/>
      <c r="P33" s="307" t="s">
        <v>629</v>
      </c>
      <c r="Q33" s="203" t="s">
        <v>6159</v>
      </c>
      <c r="R33" s="307" t="s">
        <v>630</v>
      </c>
      <c r="S33" s="243">
        <v>177</v>
      </c>
      <c r="T33" s="205">
        <v>337735</v>
      </c>
      <c r="U33" s="205">
        <v>107910</v>
      </c>
      <c r="V33" s="243">
        <v>0.42599999999999999</v>
      </c>
      <c r="W33" s="243">
        <v>0.63500000000000001</v>
      </c>
      <c r="X33" s="243">
        <v>42.5</v>
      </c>
      <c r="Y33" s="243">
        <v>100.6</v>
      </c>
      <c r="Z33" s="309">
        <v>229.5</v>
      </c>
      <c r="AA33" s="309">
        <v>111</v>
      </c>
      <c r="AB33" s="312">
        <v>8300000</v>
      </c>
      <c r="AC33" s="205">
        <f>240*0.0254</f>
        <v>6.0960000000000001</v>
      </c>
      <c r="AD33" s="205">
        <f>30*0.0254</f>
        <v>0.76200000000000001</v>
      </c>
      <c r="AE33" s="205"/>
    </row>
    <row r="34" spans="1:31">
      <c r="A34" s="72"/>
      <c r="B34" s="86"/>
      <c r="C34" s="87"/>
      <c r="D34" s="88"/>
      <c r="E34" s="89"/>
      <c r="F34" s="90"/>
      <c r="G34" s="78"/>
      <c r="H34" s="79"/>
      <c r="I34" s="91"/>
      <c r="J34" s="92"/>
      <c r="K34" s="93"/>
      <c r="L34" s="94"/>
      <c r="M34" s="85"/>
      <c r="N34" s="85"/>
      <c r="P34" s="307" t="s">
        <v>631</v>
      </c>
      <c r="Q34" s="203"/>
      <c r="R34" s="307" t="s">
        <v>632</v>
      </c>
      <c r="S34" s="243">
        <v>3000</v>
      </c>
      <c r="T34" s="205">
        <v>332735</v>
      </c>
      <c r="U34" s="205">
        <v>626055</v>
      </c>
      <c r="V34" s="243">
        <v>0.7</v>
      </c>
      <c r="W34" s="243">
        <v>0.4</v>
      </c>
      <c r="X34" s="243">
        <v>102.6</v>
      </c>
      <c r="Y34" s="243">
        <v>183</v>
      </c>
      <c r="Z34" s="309">
        <v>210</v>
      </c>
      <c r="AA34" s="309">
        <v>163</v>
      </c>
      <c r="AB34" s="312">
        <v>20500000</v>
      </c>
      <c r="AC34" s="205"/>
      <c r="AD34" s="205"/>
      <c r="AE34" s="205"/>
    </row>
    <row r="35" spans="1:31">
      <c r="A35" s="72"/>
      <c r="B35" s="86"/>
      <c r="C35" s="87"/>
      <c r="D35" s="88"/>
      <c r="E35" s="89"/>
      <c r="F35" s="90"/>
      <c r="G35" s="78"/>
      <c r="H35" s="79"/>
      <c r="I35" s="91"/>
      <c r="J35" s="92"/>
      <c r="K35" s="93"/>
      <c r="L35" s="94"/>
      <c r="M35" s="85"/>
      <c r="N35" s="85"/>
      <c r="P35" s="307" t="s">
        <v>633</v>
      </c>
      <c r="Q35" s="203" t="s">
        <v>6155</v>
      </c>
      <c r="R35" s="307" t="s">
        <v>634</v>
      </c>
      <c r="S35" s="243">
        <v>670</v>
      </c>
      <c r="T35" s="205">
        <v>458868</v>
      </c>
      <c r="U35" s="205">
        <v>501565</v>
      </c>
      <c r="V35" s="243">
        <v>7.0000000000000007E-2</v>
      </c>
      <c r="W35" s="243">
        <v>1.1000000000000001</v>
      </c>
      <c r="X35" s="243">
        <v>200.5</v>
      </c>
      <c r="Y35" s="243">
        <v>223</v>
      </c>
      <c r="Z35" s="309">
        <v>318</v>
      </c>
      <c r="AA35" s="309">
        <v>271</v>
      </c>
      <c r="AB35" s="312">
        <v>15300000</v>
      </c>
      <c r="AC35" s="205"/>
      <c r="AD35" s="205"/>
      <c r="AE35" s="205"/>
    </row>
    <row r="36" spans="1:31">
      <c r="A36" s="72"/>
      <c r="B36" s="86"/>
      <c r="C36" s="87"/>
      <c r="D36" s="88"/>
      <c r="E36" s="89"/>
      <c r="F36" s="90"/>
      <c r="G36" s="78"/>
      <c r="H36" s="79"/>
      <c r="I36" s="91"/>
      <c r="J36" s="92"/>
      <c r="K36" s="93"/>
      <c r="L36" s="94"/>
      <c r="M36" s="85"/>
      <c r="N36" s="85"/>
      <c r="P36" s="307" t="s">
        <v>5397</v>
      </c>
      <c r="Q36" s="203" t="s">
        <v>6318</v>
      </c>
      <c r="R36" s="307" t="s">
        <v>635</v>
      </c>
      <c r="S36" s="243">
        <v>14850</v>
      </c>
      <c r="T36" s="314"/>
      <c r="U36" s="205">
        <v>115300</v>
      </c>
      <c r="V36" s="243"/>
      <c r="W36" s="243"/>
      <c r="X36" s="243">
        <v>24.4</v>
      </c>
      <c r="Y36" s="243">
        <v>43.5</v>
      </c>
      <c r="Z36" s="309">
        <v>73.3</v>
      </c>
      <c r="AA36" s="309">
        <v>43.3</v>
      </c>
      <c r="AB36" s="312">
        <v>10200000</v>
      </c>
      <c r="AC36" s="205"/>
      <c r="AD36" s="205"/>
      <c r="AE36" s="205">
        <v>265</v>
      </c>
    </row>
    <row r="37" spans="1:31">
      <c r="A37" s="72"/>
      <c r="B37" s="86"/>
      <c r="C37" s="87"/>
      <c r="D37" s="88"/>
      <c r="E37" s="89"/>
      <c r="F37" s="90"/>
      <c r="G37" s="78"/>
      <c r="H37" s="79"/>
      <c r="I37" s="91"/>
      <c r="J37" s="92"/>
      <c r="K37" s="93"/>
      <c r="L37" s="94"/>
      <c r="M37" s="85"/>
      <c r="N37" s="85"/>
      <c r="P37" s="307" t="s">
        <v>636</v>
      </c>
      <c r="Q37" s="203" t="s">
        <v>6156</v>
      </c>
      <c r="R37" s="307" t="s">
        <v>637</v>
      </c>
      <c r="S37" s="243">
        <v>146</v>
      </c>
      <c r="T37" s="205">
        <v>165227</v>
      </c>
      <c r="U37" s="205">
        <v>572730</v>
      </c>
      <c r="V37" s="243"/>
      <c r="W37" s="243"/>
      <c r="X37" s="243">
        <v>135</v>
      </c>
      <c r="Y37" s="243">
        <v>150</v>
      </c>
      <c r="Z37" s="309">
        <v>235.5</v>
      </c>
      <c r="AA37" s="309">
        <v>221.5</v>
      </c>
      <c r="AB37" s="312">
        <v>5570000</v>
      </c>
      <c r="AC37" s="205"/>
      <c r="AD37" s="205"/>
      <c r="AE37" s="205"/>
    </row>
    <row r="38" spans="1:31">
      <c r="A38" s="72"/>
      <c r="B38" s="86"/>
      <c r="C38" s="87"/>
      <c r="D38" s="88"/>
      <c r="E38" s="89"/>
      <c r="F38" s="90"/>
      <c r="G38" s="78"/>
      <c r="H38" s="79"/>
      <c r="I38" s="91"/>
      <c r="J38" s="92"/>
      <c r="K38" s="93"/>
      <c r="L38" s="94"/>
      <c r="M38" s="85"/>
      <c r="N38" s="85"/>
      <c r="P38" s="307" t="s">
        <v>638</v>
      </c>
      <c r="Q38" s="203" t="s">
        <v>6184</v>
      </c>
      <c r="R38" s="307" t="s">
        <v>639</v>
      </c>
      <c r="S38" s="243">
        <v>77800</v>
      </c>
      <c r="T38" s="314"/>
      <c r="U38" s="205">
        <v>500000</v>
      </c>
      <c r="V38" s="243"/>
      <c r="W38" s="243"/>
      <c r="X38" s="243">
        <v>24.4</v>
      </c>
      <c r="Y38" s="243">
        <v>53.5</v>
      </c>
      <c r="Z38" s="309">
        <v>75.400000000000006</v>
      </c>
      <c r="AA38" s="309">
        <v>55.8</v>
      </c>
      <c r="AB38" s="312">
        <v>46000000</v>
      </c>
      <c r="AC38" s="205"/>
      <c r="AD38" s="205"/>
      <c r="AE38" s="205">
        <v>245</v>
      </c>
    </row>
    <row r="39" spans="1:31">
      <c r="A39" s="72"/>
      <c r="B39" s="86"/>
      <c r="C39" s="87"/>
      <c r="D39" s="88"/>
      <c r="E39" s="89"/>
      <c r="F39" s="90"/>
      <c r="G39" s="78"/>
      <c r="H39" s="79"/>
      <c r="I39" s="91"/>
      <c r="J39" s="92"/>
      <c r="K39" s="93"/>
      <c r="L39" s="94"/>
      <c r="M39" s="85"/>
      <c r="N39" s="85"/>
      <c r="P39" s="307" t="s">
        <v>6248</v>
      </c>
      <c r="Q39" s="203" t="s">
        <v>6157</v>
      </c>
      <c r="R39" s="307" t="s">
        <v>640</v>
      </c>
      <c r="S39" s="243">
        <v>3383</v>
      </c>
      <c r="T39" s="205">
        <v>727204</v>
      </c>
      <c r="U39" s="205">
        <v>135000</v>
      </c>
      <c r="V39" s="243">
        <v>1.4E-3</v>
      </c>
      <c r="W39" s="243">
        <v>0.65</v>
      </c>
      <c r="X39" s="243"/>
      <c r="Y39" s="243">
        <v>41.47</v>
      </c>
      <c r="Z39" s="309">
        <v>72.5</v>
      </c>
      <c r="AA39" s="309">
        <v>36.700000000000003</v>
      </c>
      <c r="AB39" s="312">
        <v>2940000</v>
      </c>
      <c r="AC39" s="205"/>
      <c r="AD39" s="205"/>
      <c r="AE39" s="205">
        <v>265</v>
      </c>
    </row>
    <row r="40" spans="1:31">
      <c r="A40" s="72"/>
      <c r="B40" s="86"/>
      <c r="C40" s="87"/>
      <c r="D40" s="88"/>
      <c r="E40" s="89"/>
      <c r="F40" s="90"/>
      <c r="G40" s="78"/>
      <c r="H40" s="79"/>
      <c r="I40" s="91"/>
      <c r="J40" s="92"/>
      <c r="K40" s="93"/>
      <c r="L40" s="94"/>
      <c r="M40" s="85"/>
      <c r="N40" s="85"/>
      <c r="P40" s="307" t="s">
        <v>641</v>
      </c>
      <c r="Q40" s="203" t="s">
        <v>6185</v>
      </c>
      <c r="R40" s="307" t="s">
        <v>642</v>
      </c>
      <c r="S40" s="243">
        <v>8920</v>
      </c>
      <c r="T40" s="314"/>
      <c r="U40" s="205">
        <v>154000</v>
      </c>
      <c r="V40" s="243"/>
      <c r="W40" s="243"/>
      <c r="X40" s="243">
        <v>24.4</v>
      </c>
      <c r="Y40" s="243">
        <v>53.6</v>
      </c>
      <c r="Z40" s="309">
        <v>135</v>
      </c>
      <c r="AA40" s="309">
        <v>39.799999999999997</v>
      </c>
      <c r="AB40" s="310">
        <v>8000000</v>
      </c>
      <c r="AC40" s="205"/>
      <c r="AD40" s="205"/>
      <c r="AE40" s="205">
        <v>265</v>
      </c>
    </row>
    <row r="41" spans="1:31">
      <c r="A41" s="72"/>
      <c r="B41" s="86"/>
      <c r="C41" s="87"/>
      <c r="D41" s="88"/>
      <c r="E41" s="89"/>
      <c r="F41" s="90"/>
      <c r="G41" s="78"/>
      <c r="H41" s="79"/>
      <c r="I41" s="91"/>
      <c r="J41" s="92"/>
      <c r="K41" s="93"/>
      <c r="L41" s="94"/>
      <c r="M41" s="85"/>
      <c r="N41" s="85"/>
      <c r="P41" s="307" t="s">
        <v>643</v>
      </c>
      <c r="Q41" s="203" t="s">
        <v>6158</v>
      </c>
      <c r="R41" s="307" t="s">
        <v>644</v>
      </c>
      <c r="S41" s="243">
        <v>8240</v>
      </c>
      <c r="T41" s="314"/>
      <c r="U41" s="205">
        <v>162000</v>
      </c>
      <c r="V41" s="243"/>
      <c r="W41" s="243"/>
      <c r="X41" s="243">
        <v>24.4</v>
      </c>
      <c r="Y41" s="243">
        <v>51.9</v>
      </c>
      <c r="Z41" s="309">
        <v>133.9</v>
      </c>
      <c r="AA41" s="309">
        <v>37.799999999999997</v>
      </c>
      <c r="AB41" s="312">
        <v>8500000</v>
      </c>
      <c r="AC41" s="205"/>
      <c r="AD41" s="205"/>
      <c r="AE41" s="205">
        <v>265</v>
      </c>
    </row>
    <row r="42" spans="1:31">
      <c r="A42" s="72"/>
      <c r="B42" s="86"/>
      <c r="C42" s="87"/>
      <c r="D42" s="88"/>
      <c r="E42" s="89"/>
      <c r="F42" s="90"/>
      <c r="G42" s="78"/>
      <c r="H42" s="79"/>
      <c r="I42" s="91"/>
      <c r="J42" s="92"/>
      <c r="K42" s="93"/>
      <c r="L42" s="94"/>
      <c r="M42" s="85"/>
      <c r="N42" s="85"/>
      <c r="P42" s="313" t="s">
        <v>645</v>
      </c>
      <c r="Q42" s="204"/>
      <c r="R42" s="307"/>
      <c r="S42" s="243"/>
      <c r="T42" s="205"/>
      <c r="U42" s="205"/>
      <c r="V42" s="243"/>
      <c r="W42" s="243"/>
      <c r="X42" s="243"/>
      <c r="Y42" s="243"/>
      <c r="Z42" s="309"/>
      <c r="AA42" s="309"/>
      <c r="AB42" s="205"/>
      <c r="AC42" s="205"/>
      <c r="AD42" s="205"/>
      <c r="AE42" s="205"/>
    </row>
    <row r="43" spans="1:31">
      <c r="A43" s="72"/>
      <c r="B43" s="86"/>
      <c r="C43" s="87"/>
      <c r="D43" s="88"/>
      <c r="E43" s="89"/>
      <c r="F43" s="90"/>
      <c r="G43" s="78"/>
      <c r="H43" s="79"/>
      <c r="I43" s="91"/>
      <c r="J43" s="92"/>
      <c r="K43" s="93"/>
      <c r="L43" s="94"/>
      <c r="M43" s="85"/>
      <c r="N43" s="85"/>
      <c r="P43" s="313" t="s">
        <v>646</v>
      </c>
      <c r="Q43" s="204"/>
      <c r="R43" s="307"/>
      <c r="S43" s="243"/>
      <c r="T43" s="205"/>
      <c r="U43" s="205"/>
      <c r="V43" s="243"/>
      <c r="W43" s="243"/>
      <c r="X43" s="243"/>
      <c r="Y43" s="243"/>
      <c r="Z43" s="309"/>
      <c r="AA43" s="309"/>
      <c r="AB43" s="205"/>
      <c r="AC43" s="205"/>
      <c r="AD43" s="205"/>
      <c r="AE43" s="205"/>
    </row>
    <row r="44" spans="1:31">
      <c r="A44" s="72"/>
      <c r="B44" s="86"/>
      <c r="C44" s="87"/>
      <c r="D44" s="88"/>
      <c r="E44" s="89"/>
      <c r="F44" s="90"/>
      <c r="G44" s="78"/>
      <c r="H44" s="79"/>
      <c r="I44" s="91"/>
      <c r="J44" s="92"/>
      <c r="K44" s="93"/>
      <c r="L44" s="94"/>
      <c r="M44" s="85"/>
      <c r="N44" s="85"/>
      <c r="P44" s="319" t="s">
        <v>647</v>
      </c>
      <c r="Q44" s="204"/>
      <c r="R44" s="307"/>
      <c r="S44" s="243"/>
      <c r="T44" s="205"/>
      <c r="U44" s="205"/>
      <c r="V44" s="243"/>
      <c r="W44" s="243"/>
      <c r="X44" s="243"/>
      <c r="Y44" s="243"/>
      <c r="Z44" s="309"/>
      <c r="AA44" s="309"/>
      <c r="AB44" s="205"/>
      <c r="AC44" s="205"/>
      <c r="AD44" s="205"/>
      <c r="AE44" s="205"/>
    </row>
    <row r="45" spans="1:31">
      <c r="A45" s="72"/>
      <c r="B45" s="86"/>
      <c r="C45" s="87"/>
      <c r="D45" s="88"/>
      <c r="E45" s="89"/>
      <c r="F45" s="90"/>
      <c r="G45" s="78"/>
      <c r="H45" s="79"/>
      <c r="I45" s="91"/>
      <c r="J45" s="92"/>
      <c r="K45" s="93"/>
      <c r="L45" s="94"/>
      <c r="M45" s="85"/>
      <c r="N45" s="85"/>
      <c r="P45" s="319" t="s">
        <v>648</v>
      </c>
      <c r="Q45" s="204"/>
      <c r="R45" s="307"/>
      <c r="S45" s="243"/>
      <c r="T45" s="205"/>
      <c r="U45" s="205"/>
      <c r="V45" s="243"/>
      <c r="W45" s="243"/>
      <c r="X45" s="243"/>
      <c r="Y45" s="243"/>
      <c r="Z45" s="309"/>
      <c r="AA45" s="309"/>
      <c r="AB45" s="205"/>
      <c r="AC45" s="205"/>
      <c r="AD45" s="205"/>
      <c r="AE45" s="205"/>
    </row>
    <row r="46" spans="1:31">
      <c r="A46" s="72"/>
      <c r="B46" s="86"/>
      <c r="C46" s="87"/>
      <c r="D46" s="88"/>
      <c r="E46" s="89"/>
      <c r="F46" s="90"/>
      <c r="G46" s="78"/>
      <c r="H46" s="79"/>
      <c r="I46" s="91"/>
      <c r="J46" s="92"/>
      <c r="K46" s="93"/>
      <c r="L46" s="94"/>
      <c r="M46" s="85"/>
      <c r="N46" s="85"/>
      <c r="P46" s="319" t="s">
        <v>649</v>
      </c>
      <c r="Q46" s="204"/>
      <c r="R46" s="307"/>
      <c r="S46" s="243"/>
      <c r="T46" s="205"/>
      <c r="U46" s="205"/>
      <c r="V46" s="243"/>
      <c r="W46" s="243"/>
      <c r="X46" s="243"/>
      <c r="Y46" s="243"/>
      <c r="Z46" s="309"/>
      <c r="AA46" s="309"/>
      <c r="AB46" s="205"/>
      <c r="AC46" s="205"/>
      <c r="AD46" s="205"/>
      <c r="AE46" s="205"/>
    </row>
    <row r="47" spans="1:31">
      <c r="A47" s="72"/>
      <c r="B47" s="86"/>
      <c r="C47" s="87"/>
      <c r="D47" s="88"/>
      <c r="E47" s="89"/>
      <c r="F47" s="90"/>
      <c r="G47" s="78"/>
      <c r="H47" s="79"/>
      <c r="I47" s="91"/>
      <c r="J47" s="92"/>
      <c r="K47" s="93"/>
      <c r="L47" s="94"/>
      <c r="M47" s="85"/>
      <c r="N47" s="85"/>
      <c r="P47" s="319" t="s">
        <v>650</v>
      </c>
      <c r="Q47" s="204"/>
      <c r="R47" s="307" t="s">
        <v>651</v>
      </c>
      <c r="S47" s="243"/>
      <c r="T47" s="205"/>
      <c r="U47" s="205"/>
      <c r="V47" s="243"/>
      <c r="W47" s="243"/>
      <c r="X47" s="243"/>
      <c r="Y47" s="243"/>
      <c r="Z47" s="309"/>
      <c r="AA47" s="309"/>
      <c r="AB47" s="205"/>
      <c r="AC47" s="205"/>
      <c r="AD47" s="205"/>
      <c r="AE47" s="205"/>
    </row>
    <row r="48" spans="1:31">
      <c r="A48" s="72"/>
      <c r="B48" s="86"/>
      <c r="C48" s="87"/>
      <c r="D48" s="88"/>
      <c r="E48" s="89"/>
      <c r="F48" s="90"/>
      <c r="G48" s="78"/>
      <c r="H48" s="79"/>
      <c r="I48" s="91"/>
      <c r="J48" s="92"/>
      <c r="K48" s="93"/>
      <c r="L48" s="94"/>
      <c r="M48" s="85"/>
      <c r="N48" s="85"/>
      <c r="P48" s="319" t="s">
        <v>652</v>
      </c>
      <c r="Q48" s="204"/>
      <c r="R48" s="307"/>
      <c r="S48" s="243"/>
      <c r="T48" s="205"/>
      <c r="U48" s="205"/>
      <c r="V48" s="243"/>
      <c r="W48" s="243"/>
      <c r="X48" s="243"/>
      <c r="Y48" s="243"/>
      <c r="Z48" s="309"/>
      <c r="AA48" s="309"/>
      <c r="AB48" s="205"/>
      <c r="AC48" s="205"/>
      <c r="AD48" s="205"/>
      <c r="AE48" s="205"/>
    </row>
    <row r="49" spans="1:31">
      <c r="A49" s="72"/>
      <c r="B49" s="86"/>
      <c r="C49" s="87"/>
      <c r="D49" s="88"/>
      <c r="E49" s="89"/>
      <c r="F49" s="90"/>
      <c r="G49" s="78"/>
      <c r="H49" s="79"/>
      <c r="I49" s="91"/>
      <c r="J49" s="92"/>
      <c r="K49" s="93"/>
      <c r="L49" s="94"/>
      <c r="M49" s="85"/>
      <c r="N49" s="85"/>
      <c r="P49" s="319" t="s">
        <v>653</v>
      </c>
      <c r="Q49" s="204"/>
      <c r="R49" s="307"/>
      <c r="S49" s="243"/>
      <c r="T49" s="205"/>
      <c r="U49" s="205"/>
      <c r="V49" s="243"/>
      <c r="W49" s="243"/>
      <c r="X49" s="243"/>
      <c r="Y49" s="243"/>
      <c r="Z49" s="309"/>
      <c r="AA49" s="309"/>
      <c r="AB49" s="205"/>
      <c r="AC49" s="205"/>
      <c r="AD49" s="205"/>
      <c r="AE49" s="205"/>
    </row>
    <row r="50" spans="1:31">
      <c r="A50" s="72"/>
      <c r="B50" s="86"/>
      <c r="C50" s="87"/>
      <c r="D50" s="88"/>
      <c r="E50" s="89"/>
      <c r="F50" s="90"/>
      <c r="G50" s="78"/>
      <c r="H50" s="79"/>
      <c r="I50" s="91"/>
      <c r="J50" s="92"/>
      <c r="K50" s="93"/>
      <c r="L50" s="94"/>
      <c r="M50" s="85"/>
      <c r="N50" s="85"/>
      <c r="P50" s="307"/>
      <c r="Q50" s="204"/>
      <c r="R50" s="307"/>
      <c r="S50" s="243"/>
      <c r="T50" s="205"/>
      <c r="U50" s="205"/>
      <c r="V50" s="243"/>
      <c r="W50" s="243"/>
      <c r="X50" s="243"/>
      <c r="Y50" s="243"/>
      <c r="Z50" s="309"/>
      <c r="AA50" s="309"/>
      <c r="AB50" s="205"/>
      <c r="AC50" s="205"/>
      <c r="AD50" s="205"/>
      <c r="AE50" s="205"/>
    </row>
    <row r="51" spans="1:31">
      <c r="A51" s="72"/>
      <c r="B51" s="86"/>
      <c r="C51" s="87"/>
      <c r="D51" s="88"/>
      <c r="E51" s="89"/>
      <c r="F51" s="90"/>
      <c r="G51" s="78"/>
      <c r="H51" s="79"/>
      <c r="I51" s="91"/>
      <c r="J51" s="92"/>
      <c r="K51" s="93"/>
      <c r="L51" s="94"/>
      <c r="M51" s="85"/>
      <c r="N51" s="85"/>
      <c r="P51" s="307"/>
      <c r="Q51" s="204"/>
      <c r="R51" s="307"/>
      <c r="S51" s="243"/>
      <c r="T51" s="205"/>
      <c r="U51" s="205"/>
      <c r="V51" s="243"/>
      <c r="W51" s="243"/>
      <c r="X51" s="243"/>
      <c r="Y51" s="243"/>
      <c r="Z51" s="309"/>
      <c r="AA51" s="309"/>
      <c r="AB51" s="205"/>
      <c r="AC51" s="205"/>
      <c r="AD51" s="205"/>
      <c r="AE51" s="205"/>
    </row>
    <row r="52" spans="1:31">
      <c r="A52" s="72"/>
      <c r="B52" s="86"/>
      <c r="C52" s="87"/>
      <c r="D52" s="88"/>
      <c r="E52" s="89"/>
      <c r="F52" s="90"/>
      <c r="G52" s="78"/>
      <c r="H52" s="79"/>
      <c r="I52" s="91"/>
      <c r="J52" s="92"/>
      <c r="K52" s="93"/>
      <c r="L52" s="94"/>
      <c r="M52" s="85"/>
      <c r="N52" s="85"/>
      <c r="P52" s="307"/>
      <c r="Q52" s="204"/>
      <c r="R52" s="307"/>
      <c r="S52" s="243"/>
      <c r="T52" s="205"/>
      <c r="U52" s="205"/>
      <c r="V52" s="243"/>
      <c r="W52" s="243"/>
      <c r="X52" s="243"/>
      <c r="Y52" s="243"/>
      <c r="Z52" s="309"/>
      <c r="AA52" s="309"/>
      <c r="AB52" s="205"/>
      <c r="AC52" s="205"/>
      <c r="AD52" s="205"/>
      <c r="AE52" s="205"/>
    </row>
    <row r="53" spans="1:31">
      <c r="A53" s="72"/>
      <c r="B53" s="86"/>
      <c r="C53" s="87"/>
      <c r="D53" s="88"/>
      <c r="E53" s="89"/>
      <c r="F53" s="90"/>
      <c r="G53" s="78"/>
      <c r="H53" s="79"/>
      <c r="I53" s="91"/>
      <c r="J53" s="92"/>
      <c r="K53" s="93"/>
      <c r="L53" s="94"/>
      <c r="M53" s="85"/>
      <c r="N53" s="85"/>
      <c r="P53" s="307"/>
      <c r="Q53" s="204"/>
      <c r="R53" s="307"/>
      <c r="S53" s="243"/>
      <c r="T53" s="205"/>
      <c r="U53" s="205"/>
      <c r="V53" s="243"/>
      <c r="W53" s="243"/>
      <c r="X53" s="243"/>
      <c r="Y53" s="243"/>
      <c r="Z53" s="309"/>
      <c r="AA53" s="309"/>
      <c r="AB53" s="205"/>
      <c r="AC53" s="205"/>
      <c r="AD53" s="205"/>
      <c r="AE53" s="205"/>
    </row>
    <row r="54" spans="1:31">
      <c r="A54" s="72"/>
      <c r="B54" s="86"/>
      <c r="C54" s="87"/>
      <c r="D54" s="88"/>
      <c r="E54" s="89"/>
      <c r="F54" s="90"/>
      <c r="G54" s="78"/>
      <c r="H54" s="79"/>
      <c r="I54" s="91"/>
      <c r="J54" s="92"/>
      <c r="K54" s="93"/>
      <c r="L54" s="94"/>
      <c r="M54" s="85"/>
      <c r="N54" s="85"/>
      <c r="P54" s="307"/>
      <c r="Q54" s="204"/>
      <c r="R54" s="307"/>
      <c r="S54" s="243"/>
      <c r="T54" s="205"/>
      <c r="U54" s="205"/>
      <c r="V54" s="243"/>
      <c r="W54" s="243"/>
      <c r="X54" s="243"/>
      <c r="Y54" s="243"/>
      <c r="Z54" s="309"/>
      <c r="AA54" s="309"/>
      <c r="AB54" s="205"/>
      <c r="AC54" s="205"/>
      <c r="AD54" s="205"/>
      <c r="AE54" s="205"/>
    </row>
    <row r="55" spans="1:31">
      <c r="A55" s="72"/>
      <c r="B55" s="86"/>
      <c r="C55" s="87"/>
      <c r="D55" s="88"/>
      <c r="E55" s="89"/>
      <c r="F55" s="90"/>
      <c r="G55" s="78"/>
      <c r="H55" s="79"/>
      <c r="I55" s="91"/>
      <c r="J55" s="92"/>
      <c r="K55" s="93"/>
      <c r="L55" s="94"/>
      <c r="M55" s="85"/>
      <c r="N55" s="85"/>
      <c r="P55" s="307"/>
      <c r="Q55" s="204"/>
      <c r="R55" s="307"/>
      <c r="S55" s="243"/>
      <c r="T55" s="205"/>
      <c r="U55" s="205"/>
      <c r="V55" s="243"/>
      <c r="W55" s="243"/>
      <c r="X55" s="243"/>
      <c r="Y55" s="243"/>
      <c r="Z55" s="309"/>
      <c r="AA55" s="309"/>
      <c r="AB55" s="205"/>
      <c r="AC55" s="205"/>
      <c r="AD55" s="205"/>
      <c r="AE55" s="205"/>
    </row>
    <row r="56" spans="1:31">
      <c r="A56" s="72"/>
      <c r="B56" s="86"/>
      <c r="C56" s="87"/>
      <c r="D56" s="88"/>
      <c r="E56" s="89"/>
      <c r="F56" s="90"/>
      <c r="G56" s="78"/>
      <c r="H56" s="79"/>
      <c r="I56" s="91"/>
      <c r="J56" s="92"/>
      <c r="K56" s="93"/>
      <c r="L56" s="94"/>
      <c r="M56" s="85"/>
      <c r="N56" s="85"/>
      <c r="P56" s="307"/>
      <c r="Q56" s="204"/>
      <c r="R56" s="307"/>
      <c r="S56" s="243"/>
      <c r="T56" s="205"/>
      <c r="U56" s="205"/>
      <c r="V56" s="243"/>
      <c r="W56" s="243"/>
      <c r="X56" s="243"/>
      <c r="Y56" s="243"/>
      <c r="Z56" s="309"/>
      <c r="AA56" s="309"/>
      <c r="AB56" s="205"/>
      <c r="AC56" s="205"/>
      <c r="AD56" s="205"/>
      <c r="AE56" s="205"/>
    </row>
    <row r="57" spans="1:31">
      <c r="A57" s="72"/>
      <c r="B57" s="86"/>
      <c r="C57" s="87"/>
      <c r="D57" s="88"/>
      <c r="E57" s="89"/>
      <c r="F57" s="90"/>
      <c r="G57" s="78"/>
      <c r="H57" s="79"/>
      <c r="I57" s="91"/>
      <c r="J57" s="92"/>
      <c r="K57" s="93"/>
      <c r="L57" s="94"/>
      <c r="M57" s="85"/>
      <c r="N57" s="85"/>
      <c r="P57" s="307"/>
      <c r="Q57" s="204"/>
      <c r="R57" s="307"/>
      <c r="S57" s="243"/>
      <c r="T57" s="205"/>
      <c r="U57" s="205"/>
      <c r="V57" s="243"/>
      <c r="W57" s="243"/>
      <c r="X57" s="243"/>
      <c r="Y57" s="243"/>
      <c r="Z57" s="309"/>
      <c r="AA57" s="309"/>
      <c r="AB57" s="205"/>
      <c r="AC57" s="205"/>
      <c r="AD57" s="205"/>
      <c r="AE57" s="205"/>
    </row>
    <row r="58" spans="1:31" ht="13.5" thickBot="1">
      <c r="A58" s="72"/>
      <c r="B58" s="86"/>
      <c r="C58" s="87"/>
      <c r="D58" s="88"/>
      <c r="E58" s="89"/>
      <c r="F58" s="90"/>
      <c r="G58" s="78"/>
      <c r="H58" s="79"/>
      <c r="I58" s="91"/>
      <c r="J58" s="92"/>
      <c r="K58" s="93"/>
      <c r="L58" s="94"/>
      <c r="M58" s="85"/>
      <c r="N58" s="85"/>
      <c r="P58" s="320"/>
      <c r="Q58" s="216"/>
      <c r="R58" s="320"/>
      <c r="S58" s="247"/>
      <c r="T58" s="321"/>
      <c r="U58" s="321"/>
      <c r="V58" s="247"/>
      <c r="W58" s="247"/>
      <c r="X58" s="247"/>
      <c r="Y58" s="247"/>
      <c r="Z58" s="322"/>
      <c r="AA58" s="322"/>
      <c r="AB58" s="321"/>
      <c r="AC58" s="321"/>
      <c r="AD58" s="321"/>
      <c r="AE58" s="321"/>
    </row>
  </sheetData>
  <mergeCells count="1">
    <mergeCell ref="R1:R2"/>
  </mergeCells>
  <phoneticPr fontId="14" type="noConversion"/>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sheetPr>
    <tabColor rgb="FFFFFF00"/>
  </sheetPr>
  <dimension ref="A1:H6"/>
  <sheetViews>
    <sheetView workbookViewId="0">
      <selection activeCell="C7" sqref="C7"/>
    </sheetView>
  </sheetViews>
  <sheetFormatPr defaultRowHeight="12.75"/>
  <cols>
    <col min="1" max="1" width="8.875" style="52"/>
    <col min="2" max="2" width="11.125" style="52" bestFit="1" customWidth="1"/>
    <col min="3" max="3" width="23.875" style="52" bestFit="1" customWidth="1"/>
    <col min="4" max="4" width="25.625" style="52" bestFit="1" customWidth="1"/>
    <col min="5" max="5" width="16.875" style="52" bestFit="1" customWidth="1"/>
    <col min="6" max="6" width="17.625" style="52" bestFit="1" customWidth="1"/>
    <col min="7" max="7" width="8.875" style="52"/>
    <col min="8" max="8" width="20.625" style="52" bestFit="1" customWidth="1"/>
    <col min="9" max="257" width="8.875" style="52"/>
    <col min="258" max="258" width="11.125" style="52" bestFit="1" customWidth="1"/>
    <col min="259" max="259" width="23.875" style="52" bestFit="1" customWidth="1"/>
    <col min="260" max="260" width="25.625" style="52" bestFit="1" customWidth="1"/>
    <col min="261" max="261" width="16.875" style="52" bestFit="1" customWidth="1"/>
    <col min="262" max="262" width="17.625" style="52" bestFit="1" customWidth="1"/>
    <col min="263" max="263" width="8.875" style="52"/>
    <col min="264" max="264" width="20.625" style="52" bestFit="1" customWidth="1"/>
    <col min="265" max="513" width="8.875" style="52"/>
    <col min="514" max="514" width="11.125" style="52" bestFit="1" customWidth="1"/>
    <col min="515" max="515" width="23.875" style="52" bestFit="1" customWidth="1"/>
    <col min="516" max="516" width="25.625" style="52" bestFit="1" customWidth="1"/>
    <col min="517" max="517" width="16.875" style="52" bestFit="1" customWidth="1"/>
    <col min="518" max="518" width="17.625" style="52" bestFit="1" customWidth="1"/>
    <col min="519" max="519" width="8.875" style="52"/>
    <col min="520" max="520" width="20.625" style="52" bestFit="1" customWidth="1"/>
    <col min="521" max="769" width="8.875" style="52"/>
    <col min="770" max="770" width="11.125" style="52" bestFit="1" customWidth="1"/>
    <col min="771" max="771" width="23.875" style="52" bestFit="1" customWidth="1"/>
    <col min="772" max="772" width="25.625" style="52" bestFit="1" customWidth="1"/>
    <col min="773" max="773" width="16.875" style="52" bestFit="1" customWidth="1"/>
    <col min="774" max="774" width="17.625" style="52" bestFit="1" customWidth="1"/>
    <col min="775" max="775" width="8.875" style="52"/>
    <col min="776" max="776" width="20.625" style="52" bestFit="1" customWidth="1"/>
    <col min="777" max="1025" width="8.875" style="52"/>
    <col min="1026" max="1026" width="11.125" style="52" bestFit="1" customWidth="1"/>
    <col min="1027" max="1027" width="23.875" style="52" bestFit="1" customWidth="1"/>
    <col min="1028" max="1028" width="25.625" style="52" bestFit="1" customWidth="1"/>
    <col min="1029" max="1029" width="16.875" style="52" bestFit="1" customWidth="1"/>
    <col min="1030" max="1030" width="17.625" style="52" bestFit="1" customWidth="1"/>
    <col min="1031" max="1031" width="8.875" style="52"/>
    <col min="1032" max="1032" width="20.625" style="52" bestFit="1" customWidth="1"/>
    <col min="1033" max="1281" width="8.875" style="52"/>
    <col min="1282" max="1282" width="11.125" style="52" bestFit="1" customWidth="1"/>
    <col min="1283" max="1283" width="23.875" style="52" bestFit="1" customWidth="1"/>
    <col min="1284" max="1284" width="25.625" style="52" bestFit="1" customWidth="1"/>
    <col min="1285" max="1285" width="16.875" style="52" bestFit="1" customWidth="1"/>
    <col min="1286" max="1286" width="17.625" style="52" bestFit="1" customWidth="1"/>
    <col min="1287" max="1287" width="8.875" style="52"/>
    <col min="1288" max="1288" width="20.625" style="52" bestFit="1" customWidth="1"/>
    <col min="1289" max="1537" width="8.875" style="52"/>
    <col min="1538" max="1538" width="11.125" style="52" bestFit="1" customWidth="1"/>
    <col min="1539" max="1539" width="23.875" style="52" bestFit="1" customWidth="1"/>
    <col min="1540" max="1540" width="25.625" style="52" bestFit="1" customWidth="1"/>
    <col min="1541" max="1541" width="16.875" style="52" bestFit="1" customWidth="1"/>
    <col min="1542" max="1542" width="17.625" style="52" bestFit="1" customWidth="1"/>
    <col min="1543" max="1543" width="8.875" style="52"/>
    <col min="1544" max="1544" width="20.625" style="52" bestFit="1" customWidth="1"/>
    <col min="1545" max="1793" width="8.875" style="52"/>
    <col min="1794" max="1794" width="11.125" style="52" bestFit="1" customWidth="1"/>
    <col min="1795" max="1795" width="23.875" style="52" bestFit="1" customWidth="1"/>
    <col min="1796" max="1796" width="25.625" style="52" bestFit="1" customWidth="1"/>
    <col min="1797" max="1797" width="16.875" style="52" bestFit="1" customWidth="1"/>
    <col min="1798" max="1798" width="17.625" style="52" bestFit="1" customWidth="1"/>
    <col min="1799" max="1799" width="8.875" style="52"/>
    <col min="1800" max="1800" width="20.625" style="52" bestFit="1" customWidth="1"/>
    <col min="1801" max="2049" width="8.875" style="52"/>
    <col min="2050" max="2050" width="11.125" style="52" bestFit="1" customWidth="1"/>
    <col min="2051" max="2051" width="23.875" style="52" bestFit="1" customWidth="1"/>
    <col min="2052" max="2052" width="25.625" style="52" bestFit="1" customWidth="1"/>
    <col min="2053" max="2053" width="16.875" style="52" bestFit="1" customWidth="1"/>
    <col min="2054" max="2054" width="17.625" style="52" bestFit="1" customWidth="1"/>
    <col min="2055" max="2055" width="8.875" style="52"/>
    <col min="2056" max="2056" width="20.625" style="52" bestFit="1" customWidth="1"/>
    <col min="2057" max="2305" width="8.875" style="52"/>
    <col min="2306" max="2306" width="11.125" style="52" bestFit="1" customWidth="1"/>
    <col min="2307" max="2307" width="23.875" style="52" bestFit="1" customWidth="1"/>
    <col min="2308" max="2308" width="25.625" style="52" bestFit="1" customWidth="1"/>
    <col min="2309" max="2309" width="16.875" style="52" bestFit="1" customWidth="1"/>
    <col min="2310" max="2310" width="17.625" style="52" bestFit="1" customWidth="1"/>
    <col min="2311" max="2311" width="8.875" style="52"/>
    <col min="2312" max="2312" width="20.625" style="52" bestFit="1" customWidth="1"/>
    <col min="2313" max="2561" width="8.875" style="52"/>
    <col min="2562" max="2562" width="11.125" style="52" bestFit="1" customWidth="1"/>
    <col min="2563" max="2563" width="23.875" style="52" bestFit="1" customWidth="1"/>
    <col min="2564" max="2564" width="25.625" style="52" bestFit="1" customWidth="1"/>
    <col min="2565" max="2565" width="16.875" style="52" bestFit="1" customWidth="1"/>
    <col min="2566" max="2566" width="17.625" style="52" bestFit="1" customWidth="1"/>
    <col min="2567" max="2567" width="8.875" style="52"/>
    <col min="2568" max="2568" width="20.625" style="52" bestFit="1" customWidth="1"/>
    <col min="2569" max="2817" width="8.875" style="52"/>
    <col min="2818" max="2818" width="11.125" style="52" bestFit="1" customWidth="1"/>
    <col min="2819" max="2819" width="23.875" style="52" bestFit="1" customWidth="1"/>
    <col min="2820" max="2820" width="25.625" style="52" bestFit="1" customWidth="1"/>
    <col min="2821" max="2821" width="16.875" style="52" bestFit="1" customWidth="1"/>
    <col min="2822" max="2822" width="17.625" style="52" bestFit="1" customWidth="1"/>
    <col min="2823" max="2823" width="8.875" style="52"/>
    <col min="2824" max="2824" width="20.625" style="52" bestFit="1" customWidth="1"/>
    <col min="2825" max="3073" width="8.875" style="52"/>
    <col min="3074" max="3074" width="11.125" style="52" bestFit="1" customWidth="1"/>
    <col min="3075" max="3075" width="23.875" style="52" bestFit="1" customWidth="1"/>
    <col min="3076" max="3076" width="25.625" style="52" bestFit="1" customWidth="1"/>
    <col min="3077" max="3077" width="16.875" style="52" bestFit="1" customWidth="1"/>
    <col min="3078" max="3078" width="17.625" style="52" bestFit="1" customWidth="1"/>
    <col min="3079" max="3079" width="8.875" style="52"/>
    <col min="3080" max="3080" width="20.625" style="52" bestFit="1" customWidth="1"/>
    <col min="3081" max="3329" width="8.875" style="52"/>
    <col min="3330" max="3330" width="11.125" style="52" bestFit="1" customWidth="1"/>
    <col min="3331" max="3331" width="23.875" style="52" bestFit="1" customWidth="1"/>
    <col min="3332" max="3332" width="25.625" style="52" bestFit="1" customWidth="1"/>
    <col min="3333" max="3333" width="16.875" style="52" bestFit="1" customWidth="1"/>
    <col min="3334" max="3334" width="17.625" style="52" bestFit="1" customWidth="1"/>
    <col min="3335" max="3335" width="8.875" style="52"/>
    <col min="3336" max="3336" width="20.625" style="52" bestFit="1" customWidth="1"/>
    <col min="3337" max="3585" width="8.875" style="52"/>
    <col min="3586" max="3586" width="11.125" style="52" bestFit="1" customWidth="1"/>
    <col min="3587" max="3587" width="23.875" style="52" bestFit="1" customWidth="1"/>
    <col min="3588" max="3588" width="25.625" style="52" bestFit="1" customWidth="1"/>
    <col min="3589" max="3589" width="16.875" style="52" bestFit="1" customWidth="1"/>
    <col min="3590" max="3590" width="17.625" style="52" bestFit="1" customWidth="1"/>
    <col min="3591" max="3591" width="8.875" style="52"/>
    <col min="3592" max="3592" width="20.625" style="52" bestFit="1" customWidth="1"/>
    <col min="3593" max="3841" width="8.875" style="52"/>
    <col min="3842" max="3842" width="11.125" style="52" bestFit="1" customWidth="1"/>
    <col min="3843" max="3843" width="23.875" style="52" bestFit="1" customWidth="1"/>
    <col min="3844" max="3844" width="25.625" style="52" bestFit="1" customWidth="1"/>
    <col min="3845" max="3845" width="16.875" style="52" bestFit="1" customWidth="1"/>
    <col min="3846" max="3846" width="17.625" style="52" bestFit="1" customWidth="1"/>
    <col min="3847" max="3847" width="8.875" style="52"/>
    <col min="3848" max="3848" width="20.625" style="52" bestFit="1" customWidth="1"/>
    <col min="3849" max="4097" width="8.875" style="52"/>
    <col min="4098" max="4098" width="11.125" style="52" bestFit="1" customWidth="1"/>
    <col min="4099" max="4099" width="23.875" style="52" bestFit="1" customWidth="1"/>
    <col min="4100" max="4100" width="25.625" style="52" bestFit="1" customWidth="1"/>
    <col min="4101" max="4101" width="16.875" style="52" bestFit="1" customWidth="1"/>
    <col min="4102" max="4102" width="17.625" style="52" bestFit="1" customWidth="1"/>
    <col min="4103" max="4103" width="8.875" style="52"/>
    <col min="4104" max="4104" width="20.625" style="52" bestFit="1" customWidth="1"/>
    <col min="4105" max="4353" width="8.875" style="52"/>
    <col min="4354" max="4354" width="11.125" style="52" bestFit="1" customWidth="1"/>
    <col min="4355" max="4355" width="23.875" style="52" bestFit="1" customWidth="1"/>
    <col min="4356" max="4356" width="25.625" style="52" bestFit="1" customWidth="1"/>
    <col min="4357" max="4357" width="16.875" style="52" bestFit="1" customWidth="1"/>
    <col min="4358" max="4358" width="17.625" style="52" bestFit="1" customWidth="1"/>
    <col min="4359" max="4359" width="8.875" style="52"/>
    <col min="4360" max="4360" width="20.625" style="52" bestFit="1" customWidth="1"/>
    <col min="4361" max="4609" width="8.875" style="52"/>
    <col min="4610" max="4610" width="11.125" style="52" bestFit="1" customWidth="1"/>
    <col min="4611" max="4611" width="23.875" style="52" bestFit="1" customWidth="1"/>
    <col min="4612" max="4612" width="25.625" style="52" bestFit="1" customWidth="1"/>
    <col min="4613" max="4613" width="16.875" style="52" bestFit="1" customWidth="1"/>
    <col min="4614" max="4614" width="17.625" style="52" bestFit="1" customWidth="1"/>
    <col min="4615" max="4615" width="8.875" style="52"/>
    <col min="4616" max="4616" width="20.625" style="52" bestFit="1" customWidth="1"/>
    <col min="4617" max="4865" width="8.875" style="52"/>
    <col min="4866" max="4866" width="11.125" style="52" bestFit="1" customWidth="1"/>
    <col min="4867" max="4867" width="23.875" style="52" bestFit="1" customWidth="1"/>
    <col min="4868" max="4868" width="25.625" style="52" bestFit="1" customWidth="1"/>
    <col min="4869" max="4869" width="16.875" style="52" bestFit="1" customWidth="1"/>
    <col min="4870" max="4870" width="17.625" style="52" bestFit="1" customWidth="1"/>
    <col min="4871" max="4871" width="8.875" style="52"/>
    <col min="4872" max="4872" width="20.625" style="52" bestFit="1" customWidth="1"/>
    <col min="4873" max="5121" width="8.875" style="52"/>
    <col min="5122" max="5122" width="11.125" style="52" bestFit="1" customWidth="1"/>
    <col min="5123" max="5123" width="23.875" style="52" bestFit="1" customWidth="1"/>
    <col min="5124" max="5124" width="25.625" style="52" bestFit="1" customWidth="1"/>
    <col min="5125" max="5125" width="16.875" style="52" bestFit="1" customWidth="1"/>
    <col min="5126" max="5126" width="17.625" style="52" bestFit="1" customWidth="1"/>
    <col min="5127" max="5127" width="8.875" style="52"/>
    <col min="5128" max="5128" width="20.625" style="52" bestFit="1" customWidth="1"/>
    <col min="5129" max="5377" width="8.875" style="52"/>
    <col min="5378" max="5378" width="11.125" style="52" bestFit="1" customWidth="1"/>
    <col min="5379" max="5379" width="23.875" style="52" bestFit="1" customWidth="1"/>
    <col min="5380" max="5380" width="25.625" style="52" bestFit="1" customWidth="1"/>
    <col min="5381" max="5381" width="16.875" style="52" bestFit="1" customWidth="1"/>
    <col min="5382" max="5382" width="17.625" style="52" bestFit="1" customWidth="1"/>
    <col min="5383" max="5383" width="8.875" style="52"/>
    <col min="5384" max="5384" width="20.625" style="52" bestFit="1" customWidth="1"/>
    <col min="5385" max="5633" width="8.875" style="52"/>
    <col min="5634" max="5634" width="11.125" style="52" bestFit="1" customWidth="1"/>
    <col min="5635" max="5635" width="23.875" style="52" bestFit="1" customWidth="1"/>
    <col min="5636" max="5636" width="25.625" style="52" bestFit="1" customWidth="1"/>
    <col min="5637" max="5637" width="16.875" style="52" bestFit="1" customWidth="1"/>
    <col min="5638" max="5638" width="17.625" style="52" bestFit="1" customWidth="1"/>
    <col min="5639" max="5639" width="8.875" style="52"/>
    <col min="5640" max="5640" width="20.625" style="52" bestFit="1" customWidth="1"/>
    <col min="5641" max="5889" width="8.875" style="52"/>
    <col min="5890" max="5890" width="11.125" style="52" bestFit="1" customWidth="1"/>
    <col min="5891" max="5891" width="23.875" style="52" bestFit="1" customWidth="1"/>
    <col min="5892" max="5892" width="25.625" style="52" bestFit="1" customWidth="1"/>
    <col min="5893" max="5893" width="16.875" style="52" bestFit="1" customWidth="1"/>
    <col min="5894" max="5894" width="17.625" style="52" bestFit="1" customWidth="1"/>
    <col min="5895" max="5895" width="8.875" style="52"/>
    <col min="5896" max="5896" width="20.625" style="52" bestFit="1" customWidth="1"/>
    <col min="5897" max="6145" width="8.875" style="52"/>
    <col min="6146" max="6146" width="11.125" style="52" bestFit="1" customWidth="1"/>
    <col min="6147" max="6147" width="23.875" style="52" bestFit="1" customWidth="1"/>
    <col min="6148" max="6148" width="25.625" style="52" bestFit="1" customWidth="1"/>
    <col min="6149" max="6149" width="16.875" style="52" bestFit="1" customWidth="1"/>
    <col min="6150" max="6150" width="17.625" style="52" bestFit="1" customWidth="1"/>
    <col min="6151" max="6151" width="8.875" style="52"/>
    <col min="6152" max="6152" width="20.625" style="52" bestFit="1" customWidth="1"/>
    <col min="6153" max="6401" width="8.875" style="52"/>
    <col min="6402" max="6402" width="11.125" style="52" bestFit="1" customWidth="1"/>
    <col min="6403" max="6403" width="23.875" style="52" bestFit="1" customWidth="1"/>
    <col min="6404" max="6404" width="25.625" style="52" bestFit="1" customWidth="1"/>
    <col min="6405" max="6405" width="16.875" style="52" bestFit="1" customWidth="1"/>
    <col min="6406" max="6406" width="17.625" style="52" bestFit="1" customWidth="1"/>
    <col min="6407" max="6407" width="8.875" style="52"/>
    <col min="6408" max="6408" width="20.625" style="52" bestFit="1" customWidth="1"/>
    <col min="6409" max="6657" width="8.875" style="52"/>
    <col min="6658" max="6658" width="11.125" style="52" bestFit="1" customWidth="1"/>
    <col min="6659" max="6659" width="23.875" style="52" bestFit="1" customWidth="1"/>
    <col min="6660" max="6660" width="25.625" style="52" bestFit="1" customWidth="1"/>
    <col min="6661" max="6661" width="16.875" style="52" bestFit="1" customWidth="1"/>
    <col min="6662" max="6662" width="17.625" style="52" bestFit="1" customWidth="1"/>
    <col min="6663" max="6663" width="8.875" style="52"/>
    <col min="6664" max="6664" width="20.625" style="52" bestFit="1" customWidth="1"/>
    <col min="6665" max="6913" width="8.875" style="52"/>
    <col min="6914" max="6914" width="11.125" style="52" bestFit="1" customWidth="1"/>
    <col min="6915" max="6915" width="23.875" style="52" bestFit="1" customWidth="1"/>
    <col min="6916" max="6916" width="25.625" style="52" bestFit="1" customWidth="1"/>
    <col min="6917" max="6917" width="16.875" style="52" bestFit="1" customWidth="1"/>
    <col min="6918" max="6918" width="17.625" style="52" bestFit="1" customWidth="1"/>
    <col min="6919" max="6919" width="8.875" style="52"/>
    <col min="6920" max="6920" width="20.625" style="52" bestFit="1" customWidth="1"/>
    <col min="6921" max="7169" width="8.875" style="52"/>
    <col min="7170" max="7170" width="11.125" style="52" bestFit="1" customWidth="1"/>
    <col min="7171" max="7171" width="23.875" style="52" bestFit="1" customWidth="1"/>
    <col min="7172" max="7172" width="25.625" style="52" bestFit="1" customWidth="1"/>
    <col min="7173" max="7173" width="16.875" style="52" bestFit="1" customWidth="1"/>
    <col min="7174" max="7174" width="17.625" style="52" bestFit="1" customWidth="1"/>
    <col min="7175" max="7175" width="8.875" style="52"/>
    <col min="7176" max="7176" width="20.625" style="52" bestFit="1" customWidth="1"/>
    <col min="7177" max="7425" width="8.875" style="52"/>
    <col min="7426" max="7426" width="11.125" style="52" bestFit="1" customWidth="1"/>
    <col min="7427" max="7427" width="23.875" style="52" bestFit="1" customWidth="1"/>
    <col min="7428" max="7428" width="25.625" style="52" bestFit="1" customWidth="1"/>
    <col min="7429" max="7429" width="16.875" style="52" bestFit="1" customWidth="1"/>
    <col min="7430" max="7430" width="17.625" style="52" bestFit="1" customWidth="1"/>
    <col min="7431" max="7431" width="8.875" style="52"/>
    <col min="7432" max="7432" width="20.625" style="52" bestFit="1" customWidth="1"/>
    <col min="7433" max="7681" width="8.875" style="52"/>
    <col min="7682" max="7682" width="11.125" style="52" bestFit="1" customWidth="1"/>
    <col min="7683" max="7683" width="23.875" style="52" bestFit="1" customWidth="1"/>
    <col min="7684" max="7684" width="25.625" style="52" bestFit="1" customWidth="1"/>
    <col min="7685" max="7685" width="16.875" style="52" bestFit="1" customWidth="1"/>
    <col min="7686" max="7686" width="17.625" style="52" bestFit="1" customWidth="1"/>
    <col min="7687" max="7687" width="8.875" style="52"/>
    <col min="7688" max="7688" width="20.625" style="52" bestFit="1" customWidth="1"/>
    <col min="7689" max="7937" width="8.875" style="52"/>
    <col min="7938" max="7938" width="11.125" style="52" bestFit="1" customWidth="1"/>
    <col min="7939" max="7939" width="23.875" style="52" bestFit="1" customWidth="1"/>
    <col min="7940" max="7940" width="25.625" style="52" bestFit="1" customWidth="1"/>
    <col min="7941" max="7941" width="16.875" style="52" bestFit="1" customWidth="1"/>
    <col min="7942" max="7942" width="17.625" style="52" bestFit="1" customWidth="1"/>
    <col min="7943" max="7943" width="8.875" style="52"/>
    <col min="7944" max="7944" width="20.625" style="52" bestFit="1" customWidth="1"/>
    <col min="7945" max="8193" width="8.875" style="52"/>
    <col min="8194" max="8194" width="11.125" style="52" bestFit="1" customWidth="1"/>
    <col min="8195" max="8195" width="23.875" style="52" bestFit="1" customWidth="1"/>
    <col min="8196" max="8196" width="25.625" style="52" bestFit="1" customWidth="1"/>
    <col min="8197" max="8197" width="16.875" style="52" bestFit="1" customWidth="1"/>
    <col min="8198" max="8198" width="17.625" style="52" bestFit="1" customWidth="1"/>
    <col min="8199" max="8199" width="8.875" style="52"/>
    <col min="8200" max="8200" width="20.625" style="52" bestFit="1" customWidth="1"/>
    <col min="8201" max="8449" width="8.875" style="52"/>
    <col min="8450" max="8450" width="11.125" style="52" bestFit="1" customWidth="1"/>
    <col min="8451" max="8451" width="23.875" style="52" bestFit="1" customWidth="1"/>
    <col min="8452" max="8452" width="25.625" style="52" bestFit="1" customWidth="1"/>
    <col min="8453" max="8453" width="16.875" style="52" bestFit="1" customWidth="1"/>
    <col min="8454" max="8454" width="17.625" style="52" bestFit="1" customWidth="1"/>
    <col min="8455" max="8455" width="8.875" style="52"/>
    <col min="8456" max="8456" width="20.625" style="52" bestFit="1" customWidth="1"/>
    <col min="8457" max="8705" width="8.875" style="52"/>
    <col min="8706" max="8706" width="11.125" style="52" bestFit="1" customWidth="1"/>
    <col min="8707" max="8707" width="23.875" style="52" bestFit="1" customWidth="1"/>
    <col min="8708" max="8708" width="25.625" style="52" bestFit="1" customWidth="1"/>
    <col min="8709" max="8709" width="16.875" style="52" bestFit="1" customWidth="1"/>
    <col min="8710" max="8710" width="17.625" style="52" bestFit="1" customWidth="1"/>
    <col min="8711" max="8711" width="8.875" style="52"/>
    <col min="8712" max="8712" width="20.625" style="52" bestFit="1" customWidth="1"/>
    <col min="8713" max="8961" width="8.875" style="52"/>
    <col min="8962" max="8962" width="11.125" style="52" bestFit="1" customWidth="1"/>
    <col min="8963" max="8963" width="23.875" style="52" bestFit="1" customWidth="1"/>
    <col min="8964" max="8964" width="25.625" style="52" bestFit="1" customWidth="1"/>
    <col min="8965" max="8965" width="16.875" style="52" bestFit="1" customWidth="1"/>
    <col min="8966" max="8966" width="17.625" style="52" bestFit="1" customWidth="1"/>
    <col min="8967" max="8967" width="8.875" style="52"/>
    <col min="8968" max="8968" width="20.625" style="52" bestFit="1" customWidth="1"/>
    <col min="8969" max="9217" width="8.875" style="52"/>
    <col min="9218" max="9218" width="11.125" style="52" bestFit="1" customWidth="1"/>
    <col min="9219" max="9219" width="23.875" style="52" bestFit="1" customWidth="1"/>
    <col min="9220" max="9220" width="25.625" style="52" bestFit="1" customWidth="1"/>
    <col min="9221" max="9221" width="16.875" style="52" bestFit="1" customWidth="1"/>
    <col min="9222" max="9222" width="17.625" style="52" bestFit="1" customWidth="1"/>
    <col min="9223" max="9223" width="8.875" style="52"/>
    <col min="9224" max="9224" width="20.625" style="52" bestFit="1" customWidth="1"/>
    <col min="9225" max="9473" width="8.875" style="52"/>
    <col min="9474" max="9474" width="11.125" style="52" bestFit="1" customWidth="1"/>
    <col min="9475" max="9475" width="23.875" style="52" bestFit="1" customWidth="1"/>
    <col min="9476" max="9476" width="25.625" style="52" bestFit="1" customWidth="1"/>
    <col min="9477" max="9477" width="16.875" style="52" bestFit="1" customWidth="1"/>
    <col min="9478" max="9478" width="17.625" style="52" bestFit="1" customWidth="1"/>
    <col min="9479" max="9479" width="8.875" style="52"/>
    <col min="9480" max="9480" width="20.625" style="52" bestFit="1" customWidth="1"/>
    <col min="9481" max="9729" width="8.875" style="52"/>
    <col min="9730" max="9730" width="11.125" style="52" bestFit="1" customWidth="1"/>
    <col min="9731" max="9731" width="23.875" style="52" bestFit="1" customWidth="1"/>
    <col min="9732" max="9732" width="25.625" style="52" bestFit="1" customWidth="1"/>
    <col min="9733" max="9733" width="16.875" style="52" bestFit="1" customWidth="1"/>
    <col min="9734" max="9734" width="17.625" style="52" bestFit="1" customWidth="1"/>
    <col min="9735" max="9735" width="8.875" style="52"/>
    <col min="9736" max="9736" width="20.625" style="52" bestFit="1" customWidth="1"/>
    <col min="9737" max="9985" width="8.875" style="52"/>
    <col min="9986" max="9986" width="11.125" style="52" bestFit="1" customWidth="1"/>
    <col min="9987" max="9987" width="23.875" style="52" bestFit="1" customWidth="1"/>
    <col min="9988" max="9988" width="25.625" style="52" bestFit="1" customWidth="1"/>
    <col min="9989" max="9989" width="16.875" style="52" bestFit="1" customWidth="1"/>
    <col min="9990" max="9990" width="17.625" style="52" bestFit="1" customWidth="1"/>
    <col min="9991" max="9991" width="8.875" style="52"/>
    <col min="9992" max="9992" width="20.625" style="52" bestFit="1" customWidth="1"/>
    <col min="9993" max="10241" width="8.875" style="52"/>
    <col min="10242" max="10242" width="11.125" style="52" bestFit="1" customWidth="1"/>
    <col min="10243" max="10243" width="23.875" style="52" bestFit="1" customWidth="1"/>
    <col min="10244" max="10244" width="25.625" style="52" bestFit="1" customWidth="1"/>
    <col min="10245" max="10245" width="16.875" style="52" bestFit="1" customWidth="1"/>
    <col min="10246" max="10246" width="17.625" style="52" bestFit="1" customWidth="1"/>
    <col min="10247" max="10247" width="8.875" style="52"/>
    <col min="10248" max="10248" width="20.625" style="52" bestFit="1" customWidth="1"/>
    <col min="10249" max="10497" width="8.875" style="52"/>
    <col min="10498" max="10498" width="11.125" style="52" bestFit="1" customWidth="1"/>
    <col min="10499" max="10499" width="23.875" style="52" bestFit="1" customWidth="1"/>
    <col min="10500" max="10500" width="25.625" style="52" bestFit="1" customWidth="1"/>
    <col min="10501" max="10501" width="16.875" style="52" bestFit="1" customWidth="1"/>
    <col min="10502" max="10502" width="17.625" style="52" bestFit="1" customWidth="1"/>
    <col min="10503" max="10503" width="8.875" style="52"/>
    <col min="10504" max="10504" width="20.625" style="52" bestFit="1" customWidth="1"/>
    <col min="10505" max="10753" width="8.875" style="52"/>
    <col min="10754" max="10754" width="11.125" style="52" bestFit="1" customWidth="1"/>
    <col min="10755" max="10755" width="23.875" style="52" bestFit="1" customWidth="1"/>
    <col min="10756" max="10756" width="25.625" style="52" bestFit="1" customWidth="1"/>
    <col min="10757" max="10757" width="16.875" style="52" bestFit="1" customWidth="1"/>
    <col min="10758" max="10758" width="17.625" style="52" bestFit="1" customWidth="1"/>
    <col min="10759" max="10759" width="8.875" style="52"/>
    <col min="10760" max="10760" width="20.625" style="52" bestFit="1" customWidth="1"/>
    <col min="10761" max="11009" width="8.875" style="52"/>
    <col min="11010" max="11010" width="11.125" style="52" bestFit="1" customWidth="1"/>
    <col min="11011" max="11011" width="23.875" style="52" bestFit="1" customWidth="1"/>
    <col min="11012" max="11012" width="25.625" style="52" bestFit="1" customWidth="1"/>
    <col min="11013" max="11013" width="16.875" style="52" bestFit="1" customWidth="1"/>
    <col min="11014" max="11014" width="17.625" style="52" bestFit="1" customWidth="1"/>
    <col min="11015" max="11015" width="8.875" style="52"/>
    <col min="11016" max="11016" width="20.625" style="52" bestFit="1" customWidth="1"/>
    <col min="11017" max="11265" width="8.875" style="52"/>
    <col min="11266" max="11266" width="11.125" style="52" bestFit="1" customWidth="1"/>
    <col min="11267" max="11267" width="23.875" style="52" bestFit="1" customWidth="1"/>
    <col min="11268" max="11268" width="25.625" style="52" bestFit="1" customWidth="1"/>
    <col min="11269" max="11269" width="16.875" style="52" bestFit="1" customWidth="1"/>
    <col min="11270" max="11270" width="17.625" style="52" bestFit="1" customWidth="1"/>
    <col min="11271" max="11271" width="8.875" style="52"/>
    <col min="11272" max="11272" width="20.625" style="52" bestFit="1" customWidth="1"/>
    <col min="11273" max="11521" width="8.875" style="52"/>
    <col min="11522" max="11522" width="11.125" style="52" bestFit="1" customWidth="1"/>
    <col min="11523" max="11523" width="23.875" style="52" bestFit="1" customWidth="1"/>
    <col min="11524" max="11524" width="25.625" style="52" bestFit="1" customWidth="1"/>
    <col min="11525" max="11525" width="16.875" style="52" bestFit="1" customWidth="1"/>
    <col min="11526" max="11526" width="17.625" style="52" bestFit="1" customWidth="1"/>
    <col min="11527" max="11527" width="8.875" style="52"/>
    <col min="11528" max="11528" width="20.625" style="52" bestFit="1" customWidth="1"/>
    <col min="11529" max="11777" width="8.875" style="52"/>
    <col min="11778" max="11778" width="11.125" style="52" bestFit="1" customWidth="1"/>
    <col min="11779" max="11779" width="23.875" style="52" bestFit="1" customWidth="1"/>
    <col min="11780" max="11780" width="25.625" style="52" bestFit="1" customWidth="1"/>
    <col min="11781" max="11781" width="16.875" style="52" bestFit="1" customWidth="1"/>
    <col min="11782" max="11782" width="17.625" style="52" bestFit="1" customWidth="1"/>
    <col min="11783" max="11783" width="8.875" style="52"/>
    <col min="11784" max="11784" width="20.625" style="52" bestFit="1" customWidth="1"/>
    <col min="11785" max="12033" width="8.875" style="52"/>
    <col min="12034" max="12034" width="11.125" style="52" bestFit="1" customWidth="1"/>
    <col min="12035" max="12035" width="23.875" style="52" bestFit="1" customWidth="1"/>
    <col min="12036" max="12036" width="25.625" style="52" bestFit="1" customWidth="1"/>
    <col min="12037" max="12037" width="16.875" style="52" bestFit="1" customWidth="1"/>
    <col min="12038" max="12038" width="17.625" style="52" bestFit="1" customWidth="1"/>
    <col min="12039" max="12039" width="8.875" style="52"/>
    <col min="12040" max="12040" width="20.625" style="52" bestFit="1" customWidth="1"/>
    <col min="12041" max="12289" width="8.875" style="52"/>
    <col min="12290" max="12290" width="11.125" style="52" bestFit="1" customWidth="1"/>
    <col min="12291" max="12291" width="23.875" style="52" bestFit="1" customWidth="1"/>
    <col min="12292" max="12292" width="25.625" style="52" bestFit="1" customWidth="1"/>
    <col min="12293" max="12293" width="16.875" style="52" bestFit="1" customWidth="1"/>
    <col min="12294" max="12294" width="17.625" style="52" bestFit="1" customWidth="1"/>
    <col min="12295" max="12295" width="8.875" style="52"/>
    <col min="12296" max="12296" width="20.625" style="52" bestFit="1" customWidth="1"/>
    <col min="12297" max="12545" width="8.875" style="52"/>
    <col min="12546" max="12546" width="11.125" style="52" bestFit="1" customWidth="1"/>
    <col min="12547" max="12547" width="23.875" style="52" bestFit="1" customWidth="1"/>
    <col min="12548" max="12548" width="25.625" style="52" bestFit="1" customWidth="1"/>
    <col min="12549" max="12549" width="16.875" style="52" bestFit="1" customWidth="1"/>
    <col min="12550" max="12550" width="17.625" style="52" bestFit="1" customWidth="1"/>
    <col min="12551" max="12551" width="8.875" style="52"/>
    <col min="12552" max="12552" width="20.625" style="52" bestFit="1" customWidth="1"/>
    <col min="12553" max="12801" width="8.875" style="52"/>
    <col min="12802" max="12802" width="11.125" style="52" bestFit="1" customWidth="1"/>
    <col min="12803" max="12803" width="23.875" style="52" bestFit="1" customWidth="1"/>
    <col min="12804" max="12804" width="25.625" style="52" bestFit="1" customWidth="1"/>
    <col min="12805" max="12805" width="16.875" style="52" bestFit="1" customWidth="1"/>
    <col min="12806" max="12806" width="17.625" style="52" bestFit="1" customWidth="1"/>
    <col min="12807" max="12807" width="8.875" style="52"/>
    <col min="12808" max="12808" width="20.625" style="52" bestFit="1" customWidth="1"/>
    <col min="12809" max="13057" width="8.875" style="52"/>
    <col min="13058" max="13058" width="11.125" style="52" bestFit="1" customWidth="1"/>
    <col min="13059" max="13059" width="23.875" style="52" bestFit="1" customWidth="1"/>
    <col min="13060" max="13060" width="25.625" style="52" bestFit="1" customWidth="1"/>
    <col min="13061" max="13061" width="16.875" style="52" bestFit="1" customWidth="1"/>
    <col min="13062" max="13062" width="17.625" style="52" bestFit="1" customWidth="1"/>
    <col min="13063" max="13063" width="8.875" style="52"/>
    <col min="13064" max="13064" width="20.625" style="52" bestFit="1" customWidth="1"/>
    <col min="13065" max="13313" width="8.875" style="52"/>
    <col min="13314" max="13314" width="11.125" style="52" bestFit="1" customWidth="1"/>
    <col min="13315" max="13315" width="23.875" style="52" bestFit="1" customWidth="1"/>
    <col min="13316" max="13316" width="25.625" style="52" bestFit="1" customWidth="1"/>
    <col min="13317" max="13317" width="16.875" style="52" bestFit="1" customWidth="1"/>
    <col min="13318" max="13318" width="17.625" style="52" bestFit="1" customWidth="1"/>
    <col min="13319" max="13319" width="8.875" style="52"/>
    <col min="13320" max="13320" width="20.625" style="52" bestFit="1" customWidth="1"/>
    <col min="13321" max="13569" width="8.875" style="52"/>
    <col min="13570" max="13570" width="11.125" style="52" bestFit="1" customWidth="1"/>
    <col min="13571" max="13571" width="23.875" style="52" bestFit="1" customWidth="1"/>
    <col min="13572" max="13572" width="25.625" style="52" bestFit="1" customWidth="1"/>
    <col min="13573" max="13573" width="16.875" style="52" bestFit="1" customWidth="1"/>
    <col min="13574" max="13574" width="17.625" style="52" bestFit="1" customWidth="1"/>
    <col min="13575" max="13575" width="8.875" style="52"/>
    <col min="13576" max="13576" width="20.625" style="52" bestFit="1" customWidth="1"/>
    <col min="13577" max="13825" width="8.875" style="52"/>
    <col min="13826" max="13826" width="11.125" style="52" bestFit="1" customWidth="1"/>
    <col min="13827" max="13827" width="23.875" style="52" bestFit="1" customWidth="1"/>
    <col min="13828" max="13828" width="25.625" style="52" bestFit="1" customWidth="1"/>
    <col min="13829" max="13829" width="16.875" style="52" bestFit="1" customWidth="1"/>
    <col min="13830" max="13830" width="17.625" style="52" bestFit="1" customWidth="1"/>
    <col min="13831" max="13831" width="8.875" style="52"/>
    <col min="13832" max="13832" width="20.625" style="52" bestFit="1" customWidth="1"/>
    <col min="13833" max="14081" width="8.875" style="52"/>
    <col min="14082" max="14082" width="11.125" style="52" bestFit="1" customWidth="1"/>
    <col min="14083" max="14083" width="23.875" style="52" bestFit="1" customWidth="1"/>
    <col min="14084" max="14084" width="25.625" style="52" bestFit="1" customWidth="1"/>
    <col min="14085" max="14085" width="16.875" style="52" bestFit="1" customWidth="1"/>
    <col min="14086" max="14086" width="17.625" style="52" bestFit="1" customWidth="1"/>
    <col min="14087" max="14087" width="8.875" style="52"/>
    <col min="14088" max="14088" width="20.625" style="52" bestFit="1" customWidth="1"/>
    <col min="14089" max="14337" width="8.875" style="52"/>
    <col min="14338" max="14338" width="11.125" style="52" bestFit="1" customWidth="1"/>
    <col min="14339" max="14339" width="23.875" style="52" bestFit="1" customWidth="1"/>
    <col min="14340" max="14340" width="25.625" style="52" bestFit="1" customWidth="1"/>
    <col min="14341" max="14341" width="16.875" style="52" bestFit="1" customWidth="1"/>
    <col min="14342" max="14342" width="17.625" style="52" bestFit="1" customWidth="1"/>
    <col min="14343" max="14343" width="8.875" style="52"/>
    <col min="14344" max="14344" width="20.625" style="52" bestFit="1" customWidth="1"/>
    <col min="14345" max="14593" width="8.875" style="52"/>
    <col min="14594" max="14594" width="11.125" style="52" bestFit="1" customWidth="1"/>
    <col min="14595" max="14595" width="23.875" style="52" bestFit="1" customWidth="1"/>
    <col min="14596" max="14596" width="25.625" style="52" bestFit="1" customWidth="1"/>
    <col min="14597" max="14597" width="16.875" style="52" bestFit="1" customWidth="1"/>
    <col min="14598" max="14598" width="17.625" style="52" bestFit="1" customWidth="1"/>
    <col min="14599" max="14599" width="8.875" style="52"/>
    <col min="14600" max="14600" width="20.625" style="52" bestFit="1" customWidth="1"/>
    <col min="14601" max="14849" width="8.875" style="52"/>
    <col min="14850" max="14850" width="11.125" style="52" bestFit="1" customWidth="1"/>
    <col min="14851" max="14851" width="23.875" style="52" bestFit="1" customWidth="1"/>
    <col min="14852" max="14852" width="25.625" style="52" bestFit="1" customWidth="1"/>
    <col min="14853" max="14853" width="16.875" style="52" bestFit="1" customWidth="1"/>
    <col min="14854" max="14854" width="17.625" style="52" bestFit="1" customWidth="1"/>
    <col min="14855" max="14855" width="8.875" style="52"/>
    <col min="14856" max="14856" width="20.625" style="52" bestFit="1" customWidth="1"/>
    <col min="14857" max="15105" width="8.875" style="52"/>
    <col min="15106" max="15106" width="11.125" style="52" bestFit="1" customWidth="1"/>
    <col min="15107" max="15107" width="23.875" style="52" bestFit="1" customWidth="1"/>
    <col min="15108" max="15108" width="25.625" style="52" bestFit="1" customWidth="1"/>
    <col min="15109" max="15109" width="16.875" style="52" bestFit="1" customWidth="1"/>
    <col min="15110" max="15110" width="17.625" style="52" bestFit="1" customWidth="1"/>
    <col min="15111" max="15111" width="8.875" style="52"/>
    <col min="15112" max="15112" width="20.625" style="52" bestFit="1" customWidth="1"/>
    <col min="15113" max="15361" width="8.875" style="52"/>
    <col min="15362" max="15362" width="11.125" style="52" bestFit="1" customWidth="1"/>
    <col min="15363" max="15363" width="23.875" style="52" bestFit="1" customWidth="1"/>
    <col min="15364" max="15364" width="25.625" style="52" bestFit="1" customWidth="1"/>
    <col min="15365" max="15365" width="16.875" style="52" bestFit="1" customWidth="1"/>
    <col min="15366" max="15366" width="17.625" style="52" bestFit="1" customWidth="1"/>
    <col min="15367" max="15367" width="8.875" style="52"/>
    <col min="15368" max="15368" width="20.625" style="52" bestFit="1" customWidth="1"/>
    <col min="15369" max="15617" width="8.875" style="52"/>
    <col min="15618" max="15618" width="11.125" style="52" bestFit="1" customWidth="1"/>
    <col min="15619" max="15619" width="23.875" style="52" bestFit="1" customWidth="1"/>
    <col min="15620" max="15620" width="25.625" style="52" bestFit="1" customWidth="1"/>
    <col min="15621" max="15621" width="16.875" style="52" bestFit="1" customWidth="1"/>
    <col min="15622" max="15622" width="17.625" style="52" bestFit="1" customWidth="1"/>
    <col min="15623" max="15623" width="8.875" style="52"/>
    <col min="15624" max="15624" width="20.625" style="52" bestFit="1" customWidth="1"/>
    <col min="15625" max="15873" width="8.875" style="52"/>
    <col min="15874" max="15874" width="11.125" style="52" bestFit="1" customWidth="1"/>
    <col min="15875" max="15875" width="23.875" style="52" bestFit="1" customWidth="1"/>
    <col min="15876" max="15876" width="25.625" style="52" bestFit="1" customWidth="1"/>
    <col min="15877" max="15877" width="16.875" style="52" bestFit="1" customWidth="1"/>
    <col min="15878" max="15878" width="17.625" style="52" bestFit="1" customWidth="1"/>
    <col min="15879" max="15879" width="8.875" style="52"/>
    <col min="15880" max="15880" width="20.625" style="52" bestFit="1" customWidth="1"/>
    <col min="15881" max="16129" width="8.875" style="52"/>
    <col min="16130" max="16130" width="11.125" style="52" bestFit="1" customWidth="1"/>
    <col min="16131" max="16131" width="23.875" style="52" bestFit="1" customWidth="1"/>
    <col min="16132" max="16132" width="25.625" style="52" bestFit="1" customWidth="1"/>
    <col min="16133" max="16133" width="16.875" style="52" bestFit="1" customWidth="1"/>
    <col min="16134" max="16134" width="17.625" style="52" bestFit="1" customWidth="1"/>
    <col min="16135" max="16135" width="8.875" style="52"/>
    <col min="16136" max="16136" width="20.625" style="52" bestFit="1" customWidth="1"/>
    <col min="16137" max="16384" width="8.875" style="52"/>
  </cols>
  <sheetData>
    <row r="1" spans="1:8">
      <c r="A1" s="219" t="s">
        <v>1335</v>
      </c>
      <c r="B1" s="219" t="s">
        <v>1336</v>
      </c>
      <c r="C1" s="248" t="s">
        <v>1337</v>
      </c>
      <c r="D1" s="1093" t="s">
        <v>1338</v>
      </c>
      <c r="E1" s="219" t="s">
        <v>1339</v>
      </c>
      <c r="F1" s="219" t="s">
        <v>1340</v>
      </c>
      <c r="G1" s="219" t="s">
        <v>1341</v>
      </c>
      <c r="H1" s="219" t="s">
        <v>1342</v>
      </c>
    </row>
    <row r="2" spans="1:8" ht="13.5" thickBot="1">
      <c r="A2" s="98"/>
      <c r="B2" s="98"/>
      <c r="C2" s="98"/>
      <c r="D2" s="1094"/>
      <c r="E2" s="101" t="s">
        <v>1343</v>
      </c>
      <c r="F2" s="101" t="s">
        <v>1343</v>
      </c>
      <c r="G2" s="101" t="s">
        <v>1344</v>
      </c>
      <c r="H2" s="101"/>
    </row>
    <row r="3" spans="1:8">
      <c r="A3" s="249" t="s">
        <v>1345</v>
      </c>
      <c r="B3" s="250"/>
      <c r="C3" s="251" t="s">
        <v>1346</v>
      </c>
      <c r="D3" s="156" t="s">
        <v>5381</v>
      </c>
      <c r="E3" s="252">
        <v>13735</v>
      </c>
      <c r="F3" s="104"/>
      <c r="G3" s="144"/>
      <c r="H3" s="253"/>
    </row>
    <row r="4" spans="1:8">
      <c r="A4" s="254" t="s">
        <v>1347</v>
      </c>
      <c r="B4" s="255"/>
      <c r="C4" s="264" t="s">
        <v>1348</v>
      </c>
      <c r="D4" s="161"/>
      <c r="E4" s="256"/>
      <c r="F4" s="116"/>
      <c r="G4" s="145"/>
      <c r="H4" s="257"/>
    </row>
    <row r="5" spans="1:8">
      <c r="A5" s="258" t="s">
        <v>1349</v>
      </c>
      <c r="B5" s="255"/>
      <c r="C5" s="264" t="s">
        <v>1348</v>
      </c>
      <c r="D5" s="161" t="s">
        <v>1350</v>
      </c>
      <c r="E5" s="256">
        <v>125040000</v>
      </c>
      <c r="F5" s="116"/>
      <c r="G5" s="145"/>
      <c r="H5" s="257"/>
    </row>
    <row r="6" spans="1:8" ht="13.5" thickBot="1">
      <c r="A6" s="259" t="s">
        <v>1351</v>
      </c>
      <c r="B6" s="260"/>
      <c r="C6" s="265" t="s">
        <v>1352</v>
      </c>
      <c r="D6" s="238" t="s">
        <v>1353</v>
      </c>
      <c r="E6" s="261">
        <v>34.4</v>
      </c>
      <c r="F6" s="262"/>
      <c r="G6" s="218"/>
      <c r="H6" s="263"/>
    </row>
  </sheetData>
  <mergeCells count="1">
    <mergeCell ref="D1:D2"/>
  </mergeCells>
  <phoneticPr fontId="14"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sheetPr>
    <tabColor rgb="FFFFFF00"/>
  </sheetPr>
  <dimension ref="A1:Y37"/>
  <sheetViews>
    <sheetView workbookViewId="0"/>
  </sheetViews>
  <sheetFormatPr defaultRowHeight="12.75"/>
  <cols>
    <col min="1" max="1" width="8.875" style="52"/>
    <col min="2" max="2" width="18.625" style="52" hidden="1" customWidth="1"/>
    <col min="3" max="3" width="13.125" style="52" hidden="1" customWidth="1"/>
    <col min="4" max="4" width="9.375" style="52" hidden="1" customWidth="1"/>
    <col min="5" max="5" width="10.875" style="52" hidden="1" customWidth="1"/>
    <col min="6" max="6" width="14.5" style="52" hidden="1" customWidth="1"/>
    <col min="7" max="7" width="17.375" style="52" hidden="1" customWidth="1"/>
    <col min="8" max="8" width="14.625" style="52" hidden="1" customWidth="1"/>
    <col min="9" max="9" width="6.375" style="52" customWidth="1"/>
    <col min="10" max="10" width="8.875" style="52"/>
    <col min="11" max="11" width="41.875" style="52" customWidth="1"/>
    <col min="12" max="12" width="13.125" style="52" bestFit="1" customWidth="1"/>
    <col min="13" max="13" width="9.375" style="52" bestFit="1" customWidth="1"/>
    <col min="14" max="14" width="10.875" style="52" bestFit="1" customWidth="1"/>
    <col min="15" max="15" width="9.875" style="52" customWidth="1"/>
    <col min="16" max="16" width="14" style="52" customWidth="1"/>
    <col min="17" max="17" width="12.125" style="52" customWidth="1"/>
    <col min="18" max="18" width="11.875" style="52" customWidth="1"/>
    <col min="19" max="19" width="11.5" style="52" customWidth="1"/>
    <col min="20" max="20" width="11.875" style="52" customWidth="1"/>
    <col min="21" max="21" width="11.5" style="52" customWidth="1"/>
    <col min="22" max="22" width="11.875" style="52" customWidth="1"/>
    <col min="23" max="23" width="11.5" style="52" customWidth="1"/>
    <col min="24" max="24" width="18" style="52" bestFit="1" customWidth="1"/>
    <col min="25" max="257" width="8.875" style="52"/>
    <col min="258" max="264" width="0" style="52" hidden="1" customWidth="1"/>
    <col min="265" max="265" width="6.375" style="52" customWidth="1"/>
    <col min="266" max="266" width="8.875" style="52"/>
    <col min="267" max="267" width="41.875" style="52" customWidth="1"/>
    <col min="268" max="268" width="13.125" style="52" bestFit="1" customWidth="1"/>
    <col min="269" max="269" width="9.375" style="52" bestFit="1" customWidth="1"/>
    <col min="270" max="270" width="10.875" style="52" bestFit="1" customWidth="1"/>
    <col min="271" max="271" width="9.875" style="52" customWidth="1"/>
    <col min="272" max="272" width="14" style="52" customWidth="1"/>
    <col min="273" max="273" width="12.125" style="52" customWidth="1"/>
    <col min="274" max="274" width="11.875" style="52" customWidth="1"/>
    <col min="275" max="275" width="11.5" style="52" customWidth="1"/>
    <col min="276" max="276" width="11.875" style="52" customWidth="1"/>
    <col min="277" max="277" width="11.5" style="52" customWidth="1"/>
    <col min="278" max="278" width="11.875" style="52" customWidth="1"/>
    <col min="279" max="279" width="11.5" style="52" customWidth="1"/>
    <col min="280" max="280" width="18" style="52" bestFit="1" customWidth="1"/>
    <col min="281" max="513" width="8.875" style="52"/>
    <col min="514" max="520" width="0" style="52" hidden="1" customWidth="1"/>
    <col min="521" max="521" width="6.375" style="52" customWidth="1"/>
    <col min="522" max="522" width="8.875" style="52"/>
    <col min="523" max="523" width="41.875" style="52" customWidth="1"/>
    <col min="524" max="524" width="13.125" style="52" bestFit="1" customWidth="1"/>
    <col min="525" max="525" width="9.375" style="52" bestFit="1" customWidth="1"/>
    <col min="526" max="526" width="10.875" style="52" bestFit="1" customWidth="1"/>
    <col min="527" max="527" width="9.875" style="52" customWidth="1"/>
    <col min="528" max="528" width="14" style="52" customWidth="1"/>
    <col min="529" max="529" width="12.125" style="52" customWidth="1"/>
    <col min="530" max="530" width="11.875" style="52" customWidth="1"/>
    <col min="531" max="531" width="11.5" style="52" customWidth="1"/>
    <col min="532" max="532" width="11.875" style="52" customWidth="1"/>
    <col min="533" max="533" width="11.5" style="52" customWidth="1"/>
    <col min="534" max="534" width="11.875" style="52" customWidth="1"/>
    <col min="535" max="535" width="11.5" style="52" customWidth="1"/>
    <col min="536" max="536" width="18" style="52" bestFit="1" customWidth="1"/>
    <col min="537" max="769" width="8.875" style="52"/>
    <col min="770" max="776" width="0" style="52" hidden="1" customWidth="1"/>
    <col min="777" max="777" width="6.375" style="52" customWidth="1"/>
    <col min="778" max="778" width="8.875" style="52"/>
    <col min="779" max="779" width="41.875" style="52" customWidth="1"/>
    <col min="780" max="780" width="13.125" style="52" bestFit="1" customWidth="1"/>
    <col min="781" max="781" width="9.375" style="52" bestFit="1" customWidth="1"/>
    <col min="782" max="782" width="10.875" style="52" bestFit="1" customWidth="1"/>
    <col min="783" max="783" width="9.875" style="52" customWidth="1"/>
    <col min="784" max="784" width="14" style="52" customWidth="1"/>
    <col min="785" max="785" width="12.125" style="52" customWidth="1"/>
    <col min="786" max="786" width="11.875" style="52" customWidth="1"/>
    <col min="787" max="787" width="11.5" style="52" customWidth="1"/>
    <col min="788" max="788" width="11.875" style="52" customWidth="1"/>
    <col min="789" max="789" width="11.5" style="52" customWidth="1"/>
    <col min="790" max="790" width="11.875" style="52" customWidth="1"/>
    <col min="791" max="791" width="11.5" style="52" customWidth="1"/>
    <col min="792" max="792" width="18" style="52" bestFit="1" customWidth="1"/>
    <col min="793" max="1025" width="8.875" style="52"/>
    <col min="1026" max="1032" width="0" style="52" hidden="1" customWidth="1"/>
    <col min="1033" max="1033" width="6.375" style="52" customWidth="1"/>
    <col min="1034" max="1034" width="8.875" style="52"/>
    <col min="1035" max="1035" width="41.875" style="52" customWidth="1"/>
    <col min="1036" max="1036" width="13.125" style="52" bestFit="1" customWidth="1"/>
    <col min="1037" max="1037" width="9.375" style="52" bestFit="1" customWidth="1"/>
    <col min="1038" max="1038" width="10.875" style="52" bestFit="1" customWidth="1"/>
    <col min="1039" max="1039" width="9.875" style="52" customWidth="1"/>
    <col min="1040" max="1040" width="14" style="52" customWidth="1"/>
    <col min="1041" max="1041" width="12.125" style="52" customWidth="1"/>
    <col min="1042" max="1042" width="11.875" style="52" customWidth="1"/>
    <col min="1043" max="1043" width="11.5" style="52" customWidth="1"/>
    <col min="1044" max="1044" width="11.875" style="52" customWidth="1"/>
    <col min="1045" max="1045" width="11.5" style="52" customWidth="1"/>
    <col min="1046" max="1046" width="11.875" style="52" customWidth="1"/>
    <col min="1047" max="1047" width="11.5" style="52" customWidth="1"/>
    <col min="1048" max="1048" width="18" style="52" bestFit="1" customWidth="1"/>
    <col min="1049" max="1281" width="8.875" style="52"/>
    <col min="1282" max="1288" width="0" style="52" hidden="1" customWidth="1"/>
    <col min="1289" max="1289" width="6.375" style="52" customWidth="1"/>
    <col min="1290" max="1290" width="8.875" style="52"/>
    <col min="1291" max="1291" width="41.875" style="52" customWidth="1"/>
    <col min="1292" max="1292" width="13.125" style="52" bestFit="1" customWidth="1"/>
    <col min="1293" max="1293" width="9.375" style="52" bestFit="1" customWidth="1"/>
    <col min="1294" max="1294" width="10.875" style="52" bestFit="1" customWidth="1"/>
    <col min="1295" max="1295" width="9.875" style="52" customWidth="1"/>
    <col min="1296" max="1296" width="14" style="52" customWidth="1"/>
    <col min="1297" max="1297" width="12.125" style="52" customWidth="1"/>
    <col min="1298" max="1298" width="11.875" style="52" customWidth="1"/>
    <col min="1299" max="1299" width="11.5" style="52" customWidth="1"/>
    <col min="1300" max="1300" width="11.875" style="52" customWidth="1"/>
    <col min="1301" max="1301" width="11.5" style="52" customWidth="1"/>
    <col min="1302" max="1302" width="11.875" style="52" customWidth="1"/>
    <col min="1303" max="1303" width="11.5" style="52" customWidth="1"/>
    <col min="1304" max="1304" width="18" style="52" bestFit="1" customWidth="1"/>
    <col min="1305" max="1537" width="8.875" style="52"/>
    <col min="1538" max="1544" width="0" style="52" hidden="1" customWidth="1"/>
    <col min="1545" max="1545" width="6.375" style="52" customWidth="1"/>
    <col min="1546" max="1546" width="8.875" style="52"/>
    <col min="1547" max="1547" width="41.875" style="52" customWidth="1"/>
    <col min="1548" max="1548" width="13.125" style="52" bestFit="1" customWidth="1"/>
    <col min="1549" max="1549" width="9.375" style="52" bestFit="1" customWidth="1"/>
    <col min="1550" max="1550" width="10.875" style="52" bestFit="1" customWidth="1"/>
    <col min="1551" max="1551" width="9.875" style="52" customWidth="1"/>
    <col min="1552" max="1552" width="14" style="52" customWidth="1"/>
    <col min="1553" max="1553" width="12.125" style="52" customWidth="1"/>
    <col min="1554" max="1554" width="11.875" style="52" customWidth="1"/>
    <col min="1555" max="1555" width="11.5" style="52" customWidth="1"/>
    <col min="1556" max="1556" width="11.875" style="52" customWidth="1"/>
    <col min="1557" max="1557" width="11.5" style="52" customWidth="1"/>
    <col min="1558" max="1558" width="11.875" style="52" customWidth="1"/>
    <col min="1559" max="1559" width="11.5" style="52" customWidth="1"/>
    <col min="1560" max="1560" width="18" style="52" bestFit="1" customWidth="1"/>
    <col min="1561" max="1793" width="8.875" style="52"/>
    <col min="1794" max="1800" width="0" style="52" hidden="1" customWidth="1"/>
    <col min="1801" max="1801" width="6.375" style="52" customWidth="1"/>
    <col min="1802" max="1802" width="8.875" style="52"/>
    <col min="1803" max="1803" width="41.875" style="52" customWidth="1"/>
    <col min="1804" max="1804" width="13.125" style="52" bestFit="1" customWidth="1"/>
    <col min="1805" max="1805" width="9.375" style="52" bestFit="1" customWidth="1"/>
    <col min="1806" max="1806" width="10.875" style="52" bestFit="1" customWidth="1"/>
    <col min="1807" max="1807" width="9.875" style="52" customWidth="1"/>
    <col min="1808" max="1808" width="14" style="52" customWidth="1"/>
    <col min="1809" max="1809" width="12.125" style="52" customWidth="1"/>
    <col min="1810" max="1810" width="11.875" style="52" customWidth="1"/>
    <col min="1811" max="1811" width="11.5" style="52" customWidth="1"/>
    <col min="1812" max="1812" width="11.875" style="52" customWidth="1"/>
    <col min="1813" max="1813" width="11.5" style="52" customWidth="1"/>
    <col min="1814" max="1814" width="11.875" style="52" customWidth="1"/>
    <col min="1815" max="1815" width="11.5" style="52" customWidth="1"/>
    <col min="1816" max="1816" width="18" style="52" bestFit="1" customWidth="1"/>
    <col min="1817" max="2049" width="8.875" style="52"/>
    <col min="2050" max="2056" width="0" style="52" hidden="1" customWidth="1"/>
    <col min="2057" max="2057" width="6.375" style="52" customWidth="1"/>
    <col min="2058" max="2058" width="8.875" style="52"/>
    <col min="2059" max="2059" width="41.875" style="52" customWidth="1"/>
    <col min="2060" max="2060" width="13.125" style="52" bestFit="1" customWidth="1"/>
    <col min="2061" max="2061" width="9.375" style="52" bestFit="1" customWidth="1"/>
    <col min="2062" max="2062" width="10.875" style="52" bestFit="1" customWidth="1"/>
    <col min="2063" max="2063" width="9.875" style="52" customWidth="1"/>
    <col min="2064" max="2064" width="14" style="52" customWidth="1"/>
    <col min="2065" max="2065" width="12.125" style="52" customWidth="1"/>
    <col min="2066" max="2066" width="11.875" style="52" customWidth="1"/>
    <col min="2067" max="2067" width="11.5" style="52" customWidth="1"/>
    <col min="2068" max="2068" width="11.875" style="52" customWidth="1"/>
    <col min="2069" max="2069" width="11.5" style="52" customWidth="1"/>
    <col min="2070" max="2070" width="11.875" style="52" customWidth="1"/>
    <col min="2071" max="2071" width="11.5" style="52" customWidth="1"/>
    <col min="2072" max="2072" width="18" style="52" bestFit="1" customWidth="1"/>
    <col min="2073" max="2305" width="8.875" style="52"/>
    <col min="2306" max="2312" width="0" style="52" hidden="1" customWidth="1"/>
    <col min="2313" max="2313" width="6.375" style="52" customWidth="1"/>
    <col min="2314" max="2314" width="8.875" style="52"/>
    <col min="2315" max="2315" width="41.875" style="52" customWidth="1"/>
    <col min="2316" max="2316" width="13.125" style="52" bestFit="1" customWidth="1"/>
    <col min="2317" max="2317" width="9.375" style="52" bestFit="1" customWidth="1"/>
    <col min="2318" max="2318" width="10.875" style="52" bestFit="1" customWidth="1"/>
    <col min="2319" max="2319" width="9.875" style="52" customWidth="1"/>
    <col min="2320" max="2320" width="14" style="52" customWidth="1"/>
    <col min="2321" max="2321" width="12.125" style="52" customWidth="1"/>
    <col min="2322" max="2322" width="11.875" style="52" customWidth="1"/>
    <col min="2323" max="2323" width="11.5" style="52" customWidth="1"/>
    <col min="2324" max="2324" width="11.875" style="52" customWidth="1"/>
    <col min="2325" max="2325" width="11.5" style="52" customWidth="1"/>
    <col min="2326" max="2326" width="11.875" style="52" customWidth="1"/>
    <col min="2327" max="2327" width="11.5" style="52" customWidth="1"/>
    <col min="2328" max="2328" width="18" style="52" bestFit="1" customWidth="1"/>
    <col min="2329" max="2561" width="8.875" style="52"/>
    <col min="2562" max="2568" width="0" style="52" hidden="1" customWidth="1"/>
    <col min="2569" max="2569" width="6.375" style="52" customWidth="1"/>
    <col min="2570" max="2570" width="8.875" style="52"/>
    <col min="2571" max="2571" width="41.875" style="52" customWidth="1"/>
    <col min="2572" max="2572" width="13.125" style="52" bestFit="1" customWidth="1"/>
    <col min="2573" max="2573" width="9.375" style="52" bestFit="1" customWidth="1"/>
    <col min="2574" max="2574" width="10.875" style="52" bestFit="1" customWidth="1"/>
    <col min="2575" max="2575" width="9.875" style="52" customWidth="1"/>
    <col min="2576" max="2576" width="14" style="52" customWidth="1"/>
    <col min="2577" max="2577" width="12.125" style="52" customWidth="1"/>
    <col min="2578" max="2578" width="11.875" style="52" customWidth="1"/>
    <col min="2579" max="2579" width="11.5" style="52" customWidth="1"/>
    <col min="2580" max="2580" width="11.875" style="52" customWidth="1"/>
    <col min="2581" max="2581" width="11.5" style="52" customWidth="1"/>
    <col min="2582" max="2582" width="11.875" style="52" customWidth="1"/>
    <col min="2583" max="2583" width="11.5" style="52" customWidth="1"/>
    <col min="2584" max="2584" width="18" style="52" bestFit="1" customWidth="1"/>
    <col min="2585" max="2817" width="8.875" style="52"/>
    <col min="2818" max="2824" width="0" style="52" hidden="1" customWidth="1"/>
    <col min="2825" max="2825" width="6.375" style="52" customWidth="1"/>
    <col min="2826" max="2826" width="8.875" style="52"/>
    <col min="2827" max="2827" width="41.875" style="52" customWidth="1"/>
    <col min="2828" max="2828" width="13.125" style="52" bestFit="1" customWidth="1"/>
    <col min="2829" max="2829" width="9.375" style="52" bestFit="1" customWidth="1"/>
    <col min="2830" max="2830" width="10.875" style="52" bestFit="1" customWidth="1"/>
    <col min="2831" max="2831" width="9.875" style="52" customWidth="1"/>
    <col min="2832" max="2832" width="14" style="52" customWidth="1"/>
    <col min="2833" max="2833" width="12.125" style="52" customWidth="1"/>
    <col min="2834" max="2834" width="11.875" style="52" customWidth="1"/>
    <col min="2835" max="2835" width="11.5" style="52" customWidth="1"/>
    <col min="2836" max="2836" width="11.875" style="52" customWidth="1"/>
    <col min="2837" max="2837" width="11.5" style="52" customWidth="1"/>
    <col min="2838" max="2838" width="11.875" style="52" customWidth="1"/>
    <col min="2839" max="2839" width="11.5" style="52" customWidth="1"/>
    <col min="2840" max="2840" width="18" style="52" bestFit="1" customWidth="1"/>
    <col min="2841" max="3073" width="8.875" style="52"/>
    <col min="3074" max="3080" width="0" style="52" hidden="1" customWidth="1"/>
    <col min="3081" max="3081" width="6.375" style="52" customWidth="1"/>
    <col min="3082" max="3082" width="8.875" style="52"/>
    <col min="3083" max="3083" width="41.875" style="52" customWidth="1"/>
    <col min="3084" max="3084" width="13.125" style="52" bestFit="1" customWidth="1"/>
    <col min="3085" max="3085" width="9.375" style="52" bestFit="1" customWidth="1"/>
    <col min="3086" max="3086" width="10.875" style="52" bestFit="1" customWidth="1"/>
    <col min="3087" max="3087" width="9.875" style="52" customWidth="1"/>
    <col min="3088" max="3088" width="14" style="52" customWidth="1"/>
    <col min="3089" max="3089" width="12.125" style="52" customWidth="1"/>
    <col min="3090" max="3090" width="11.875" style="52" customWidth="1"/>
    <col min="3091" max="3091" width="11.5" style="52" customWidth="1"/>
    <col min="3092" max="3092" width="11.875" style="52" customWidth="1"/>
    <col min="3093" max="3093" width="11.5" style="52" customWidth="1"/>
    <col min="3094" max="3094" width="11.875" style="52" customWidth="1"/>
    <col min="3095" max="3095" width="11.5" style="52" customWidth="1"/>
    <col min="3096" max="3096" width="18" style="52" bestFit="1" customWidth="1"/>
    <col min="3097" max="3329" width="8.875" style="52"/>
    <col min="3330" max="3336" width="0" style="52" hidden="1" customWidth="1"/>
    <col min="3337" max="3337" width="6.375" style="52" customWidth="1"/>
    <col min="3338" max="3338" width="8.875" style="52"/>
    <col min="3339" max="3339" width="41.875" style="52" customWidth="1"/>
    <col min="3340" max="3340" width="13.125" style="52" bestFit="1" customWidth="1"/>
    <col min="3341" max="3341" width="9.375" style="52" bestFit="1" customWidth="1"/>
    <col min="3342" max="3342" width="10.875" style="52" bestFit="1" customWidth="1"/>
    <col min="3343" max="3343" width="9.875" style="52" customWidth="1"/>
    <col min="3344" max="3344" width="14" style="52" customWidth="1"/>
    <col min="3345" max="3345" width="12.125" style="52" customWidth="1"/>
    <col min="3346" max="3346" width="11.875" style="52" customWidth="1"/>
    <col min="3347" max="3347" width="11.5" style="52" customWidth="1"/>
    <col min="3348" max="3348" width="11.875" style="52" customWidth="1"/>
    <col min="3349" max="3349" width="11.5" style="52" customWidth="1"/>
    <col min="3350" max="3350" width="11.875" style="52" customWidth="1"/>
    <col min="3351" max="3351" width="11.5" style="52" customWidth="1"/>
    <col min="3352" max="3352" width="18" style="52" bestFit="1" customWidth="1"/>
    <col min="3353" max="3585" width="8.875" style="52"/>
    <col min="3586" max="3592" width="0" style="52" hidden="1" customWidth="1"/>
    <col min="3593" max="3593" width="6.375" style="52" customWidth="1"/>
    <col min="3594" max="3594" width="8.875" style="52"/>
    <col min="3595" max="3595" width="41.875" style="52" customWidth="1"/>
    <col min="3596" max="3596" width="13.125" style="52" bestFit="1" customWidth="1"/>
    <col min="3597" max="3597" width="9.375" style="52" bestFit="1" customWidth="1"/>
    <col min="3598" max="3598" width="10.875" style="52" bestFit="1" customWidth="1"/>
    <col min="3599" max="3599" width="9.875" style="52" customWidth="1"/>
    <col min="3600" max="3600" width="14" style="52" customWidth="1"/>
    <col min="3601" max="3601" width="12.125" style="52" customWidth="1"/>
    <col min="3602" max="3602" width="11.875" style="52" customWidth="1"/>
    <col min="3603" max="3603" width="11.5" style="52" customWidth="1"/>
    <col min="3604" max="3604" width="11.875" style="52" customWidth="1"/>
    <col min="3605" max="3605" width="11.5" style="52" customWidth="1"/>
    <col min="3606" max="3606" width="11.875" style="52" customWidth="1"/>
    <col min="3607" max="3607" width="11.5" style="52" customWidth="1"/>
    <col min="3608" max="3608" width="18" style="52" bestFit="1" customWidth="1"/>
    <col min="3609" max="3841" width="8.875" style="52"/>
    <col min="3842" max="3848" width="0" style="52" hidden="1" customWidth="1"/>
    <col min="3849" max="3849" width="6.375" style="52" customWidth="1"/>
    <col min="3850" max="3850" width="8.875" style="52"/>
    <col min="3851" max="3851" width="41.875" style="52" customWidth="1"/>
    <col min="3852" max="3852" width="13.125" style="52" bestFit="1" customWidth="1"/>
    <col min="3853" max="3853" width="9.375" style="52" bestFit="1" customWidth="1"/>
    <col min="3854" max="3854" width="10.875" style="52" bestFit="1" customWidth="1"/>
    <col min="3855" max="3855" width="9.875" style="52" customWidth="1"/>
    <col min="3856" max="3856" width="14" style="52" customWidth="1"/>
    <col min="3857" max="3857" width="12.125" style="52" customWidth="1"/>
    <col min="3858" max="3858" width="11.875" style="52" customWidth="1"/>
    <col min="3859" max="3859" width="11.5" style="52" customWidth="1"/>
    <col min="3860" max="3860" width="11.875" style="52" customWidth="1"/>
    <col min="3861" max="3861" width="11.5" style="52" customWidth="1"/>
    <col min="3862" max="3862" width="11.875" style="52" customWidth="1"/>
    <col min="3863" max="3863" width="11.5" style="52" customWidth="1"/>
    <col min="3864" max="3864" width="18" style="52" bestFit="1" customWidth="1"/>
    <col min="3865" max="4097" width="8.875" style="52"/>
    <col min="4098" max="4104" width="0" style="52" hidden="1" customWidth="1"/>
    <col min="4105" max="4105" width="6.375" style="52" customWidth="1"/>
    <col min="4106" max="4106" width="8.875" style="52"/>
    <col min="4107" max="4107" width="41.875" style="52" customWidth="1"/>
    <col min="4108" max="4108" width="13.125" style="52" bestFit="1" customWidth="1"/>
    <col min="4109" max="4109" width="9.375" style="52" bestFit="1" customWidth="1"/>
    <col min="4110" max="4110" width="10.875" style="52" bestFit="1" customWidth="1"/>
    <col min="4111" max="4111" width="9.875" style="52" customWidth="1"/>
    <col min="4112" max="4112" width="14" style="52" customWidth="1"/>
    <col min="4113" max="4113" width="12.125" style="52" customWidth="1"/>
    <col min="4114" max="4114" width="11.875" style="52" customWidth="1"/>
    <col min="4115" max="4115" width="11.5" style="52" customWidth="1"/>
    <col min="4116" max="4116" width="11.875" style="52" customWidth="1"/>
    <col min="4117" max="4117" width="11.5" style="52" customWidth="1"/>
    <col min="4118" max="4118" width="11.875" style="52" customWidth="1"/>
    <col min="4119" max="4119" width="11.5" style="52" customWidth="1"/>
    <col min="4120" max="4120" width="18" style="52" bestFit="1" customWidth="1"/>
    <col min="4121" max="4353" width="8.875" style="52"/>
    <col min="4354" max="4360" width="0" style="52" hidden="1" customWidth="1"/>
    <col min="4361" max="4361" width="6.375" style="52" customWidth="1"/>
    <col min="4362" max="4362" width="8.875" style="52"/>
    <col min="4363" max="4363" width="41.875" style="52" customWidth="1"/>
    <col min="4364" max="4364" width="13.125" style="52" bestFit="1" customWidth="1"/>
    <col min="4365" max="4365" width="9.375" style="52" bestFit="1" customWidth="1"/>
    <col min="4366" max="4366" width="10.875" style="52" bestFit="1" customWidth="1"/>
    <col min="4367" max="4367" width="9.875" style="52" customWidth="1"/>
    <col min="4368" max="4368" width="14" style="52" customWidth="1"/>
    <col min="4369" max="4369" width="12.125" style="52" customWidth="1"/>
    <col min="4370" max="4370" width="11.875" style="52" customWidth="1"/>
    <col min="4371" max="4371" width="11.5" style="52" customWidth="1"/>
    <col min="4372" max="4372" width="11.875" style="52" customWidth="1"/>
    <col min="4373" max="4373" width="11.5" style="52" customWidth="1"/>
    <col min="4374" max="4374" width="11.875" style="52" customWidth="1"/>
    <col min="4375" max="4375" width="11.5" style="52" customWidth="1"/>
    <col min="4376" max="4376" width="18" style="52" bestFit="1" customWidth="1"/>
    <col min="4377" max="4609" width="8.875" style="52"/>
    <col min="4610" max="4616" width="0" style="52" hidden="1" customWidth="1"/>
    <col min="4617" max="4617" width="6.375" style="52" customWidth="1"/>
    <col min="4618" max="4618" width="8.875" style="52"/>
    <col min="4619" max="4619" width="41.875" style="52" customWidth="1"/>
    <col min="4620" max="4620" width="13.125" style="52" bestFit="1" customWidth="1"/>
    <col min="4621" max="4621" width="9.375" style="52" bestFit="1" customWidth="1"/>
    <col min="4622" max="4622" width="10.875" style="52" bestFit="1" customWidth="1"/>
    <col min="4623" max="4623" width="9.875" style="52" customWidth="1"/>
    <col min="4624" max="4624" width="14" style="52" customWidth="1"/>
    <col min="4625" max="4625" width="12.125" style="52" customWidth="1"/>
    <col min="4626" max="4626" width="11.875" style="52" customWidth="1"/>
    <col min="4627" max="4627" width="11.5" style="52" customWidth="1"/>
    <col min="4628" max="4628" width="11.875" style="52" customWidth="1"/>
    <col min="4629" max="4629" width="11.5" style="52" customWidth="1"/>
    <col min="4630" max="4630" width="11.875" style="52" customWidth="1"/>
    <col min="4631" max="4631" width="11.5" style="52" customWidth="1"/>
    <col min="4632" max="4632" width="18" style="52" bestFit="1" customWidth="1"/>
    <col min="4633" max="4865" width="8.875" style="52"/>
    <col min="4866" max="4872" width="0" style="52" hidden="1" customWidth="1"/>
    <col min="4873" max="4873" width="6.375" style="52" customWidth="1"/>
    <col min="4874" max="4874" width="8.875" style="52"/>
    <col min="4875" max="4875" width="41.875" style="52" customWidth="1"/>
    <col min="4876" max="4876" width="13.125" style="52" bestFit="1" customWidth="1"/>
    <col min="4877" max="4877" width="9.375" style="52" bestFit="1" customWidth="1"/>
    <col min="4878" max="4878" width="10.875" style="52" bestFit="1" customWidth="1"/>
    <col min="4879" max="4879" width="9.875" style="52" customWidth="1"/>
    <col min="4880" max="4880" width="14" style="52" customWidth="1"/>
    <col min="4881" max="4881" width="12.125" style="52" customWidth="1"/>
    <col min="4882" max="4882" width="11.875" style="52" customWidth="1"/>
    <col min="4883" max="4883" width="11.5" style="52" customWidth="1"/>
    <col min="4884" max="4884" width="11.875" style="52" customWidth="1"/>
    <col min="4885" max="4885" width="11.5" style="52" customWidth="1"/>
    <col min="4886" max="4886" width="11.875" style="52" customWidth="1"/>
    <col min="4887" max="4887" width="11.5" style="52" customWidth="1"/>
    <col min="4888" max="4888" width="18" style="52" bestFit="1" customWidth="1"/>
    <col min="4889" max="5121" width="8.875" style="52"/>
    <col min="5122" max="5128" width="0" style="52" hidden="1" customWidth="1"/>
    <col min="5129" max="5129" width="6.375" style="52" customWidth="1"/>
    <col min="5130" max="5130" width="8.875" style="52"/>
    <col min="5131" max="5131" width="41.875" style="52" customWidth="1"/>
    <col min="5132" max="5132" width="13.125" style="52" bestFit="1" customWidth="1"/>
    <col min="5133" max="5133" width="9.375" style="52" bestFit="1" customWidth="1"/>
    <col min="5134" max="5134" width="10.875" style="52" bestFit="1" customWidth="1"/>
    <col min="5135" max="5135" width="9.875" style="52" customWidth="1"/>
    <col min="5136" max="5136" width="14" style="52" customWidth="1"/>
    <col min="5137" max="5137" width="12.125" style="52" customWidth="1"/>
    <col min="5138" max="5138" width="11.875" style="52" customWidth="1"/>
    <col min="5139" max="5139" width="11.5" style="52" customWidth="1"/>
    <col min="5140" max="5140" width="11.875" style="52" customWidth="1"/>
    <col min="5141" max="5141" width="11.5" style="52" customWidth="1"/>
    <col min="5142" max="5142" width="11.875" style="52" customWidth="1"/>
    <col min="5143" max="5143" width="11.5" style="52" customWidth="1"/>
    <col min="5144" max="5144" width="18" style="52" bestFit="1" customWidth="1"/>
    <col min="5145" max="5377" width="8.875" style="52"/>
    <col min="5378" max="5384" width="0" style="52" hidden="1" customWidth="1"/>
    <col min="5385" max="5385" width="6.375" style="52" customWidth="1"/>
    <col min="5386" max="5386" width="8.875" style="52"/>
    <col min="5387" max="5387" width="41.875" style="52" customWidth="1"/>
    <col min="5388" max="5388" width="13.125" style="52" bestFit="1" customWidth="1"/>
    <col min="5389" max="5389" width="9.375" style="52" bestFit="1" customWidth="1"/>
    <col min="5390" max="5390" width="10.875" style="52" bestFit="1" customWidth="1"/>
    <col min="5391" max="5391" width="9.875" style="52" customWidth="1"/>
    <col min="5392" max="5392" width="14" style="52" customWidth="1"/>
    <col min="5393" max="5393" width="12.125" style="52" customWidth="1"/>
    <col min="5394" max="5394" width="11.875" style="52" customWidth="1"/>
    <col min="5395" max="5395" width="11.5" style="52" customWidth="1"/>
    <col min="5396" max="5396" width="11.875" style="52" customWidth="1"/>
    <col min="5397" max="5397" width="11.5" style="52" customWidth="1"/>
    <col min="5398" max="5398" width="11.875" style="52" customWidth="1"/>
    <col min="5399" max="5399" width="11.5" style="52" customWidth="1"/>
    <col min="5400" max="5400" width="18" style="52" bestFit="1" customWidth="1"/>
    <col min="5401" max="5633" width="8.875" style="52"/>
    <col min="5634" max="5640" width="0" style="52" hidden="1" customWidth="1"/>
    <col min="5641" max="5641" width="6.375" style="52" customWidth="1"/>
    <col min="5642" max="5642" width="8.875" style="52"/>
    <col min="5643" max="5643" width="41.875" style="52" customWidth="1"/>
    <col min="5644" max="5644" width="13.125" style="52" bestFit="1" customWidth="1"/>
    <col min="5645" max="5645" width="9.375" style="52" bestFit="1" customWidth="1"/>
    <col min="5646" max="5646" width="10.875" style="52" bestFit="1" customWidth="1"/>
    <col min="5647" max="5647" width="9.875" style="52" customWidth="1"/>
    <col min="5648" max="5648" width="14" style="52" customWidth="1"/>
    <col min="5649" max="5649" width="12.125" style="52" customWidth="1"/>
    <col min="5650" max="5650" width="11.875" style="52" customWidth="1"/>
    <col min="5651" max="5651" width="11.5" style="52" customWidth="1"/>
    <col min="5652" max="5652" width="11.875" style="52" customWidth="1"/>
    <col min="5653" max="5653" width="11.5" style="52" customWidth="1"/>
    <col min="5654" max="5654" width="11.875" style="52" customWidth="1"/>
    <col min="5655" max="5655" width="11.5" style="52" customWidth="1"/>
    <col min="5656" max="5656" width="18" style="52" bestFit="1" customWidth="1"/>
    <col min="5657" max="5889" width="8.875" style="52"/>
    <col min="5890" max="5896" width="0" style="52" hidden="1" customWidth="1"/>
    <col min="5897" max="5897" width="6.375" style="52" customWidth="1"/>
    <col min="5898" max="5898" width="8.875" style="52"/>
    <col min="5899" max="5899" width="41.875" style="52" customWidth="1"/>
    <col min="5900" max="5900" width="13.125" style="52" bestFit="1" customWidth="1"/>
    <col min="5901" max="5901" width="9.375" style="52" bestFit="1" customWidth="1"/>
    <col min="5902" max="5902" width="10.875" style="52" bestFit="1" customWidth="1"/>
    <col min="5903" max="5903" width="9.875" style="52" customWidth="1"/>
    <col min="5904" max="5904" width="14" style="52" customWidth="1"/>
    <col min="5905" max="5905" width="12.125" style="52" customWidth="1"/>
    <col min="5906" max="5906" width="11.875" style="52" customWidth="1"/>
    <col min="5907" max="5907" width="11.5" style="52" customWidth="1"/>
    <col min="5908" max="5908" width="11.875" style="52" customWidth="1"/>
    <col min="5909" max="5909" width="11.5" style="52" customWidth="1"/>
    <col min="5910" max="5910" width="11.875" style="52" customWidth="1"/>
    <col min="5911" max="5911" width="11.5" style="52" customWidth="1"/>
    <col min="5912" max="5912" width="18" style="52" bestFit="1" customWidth="1"/>
    <col min="5913" max="6145" width="8.875" style="52"/>
    <col min="6146" max="6152" width="0" style="52" hidden="1" customWidth="1"/>
    <col min="6153" max="6153" width="6.375" style="52" customWidth="1"/>
    <col min="6154" max="6154" width="8.875" style="52"/>
    <col min="6155" max="6155" width="41.875" style="52" customWidth="1"/>
    <col min="6156" max="6156" width="13.125" style="52" bestFit="1" customWidth="1"/>
    <col min="6157" max="6157" width="9.375" style="52" bestFit="1" customWidth="1"/>
    <col min="6158" max="6158" width="10.875" style="52" bestFit="1" customWidth="1"/>
    <col min="6159" max="6159" width="9.875" style="52" customWidth="1"/>
    <col min="6160" max="6160" width="14" style="52" customWidth="1"/>
    <col min="6161" max="6161" width="12.125" style="52" customWidth="1"/>
    <col min="6162" max="6162" width="11.875" style="52" customWidth="1"/>
    <col min="6163" max="6163" width="11.5" style="52" customWidth="1"/>
    <col min="6164" max="6164" width="11.875" style="52" customWidth="1"/>
    <col min="6165" max="6165" width="11.5" style="52" customWidth="1"/>
    <col min="6166" max="6166" width="11.875" style="52" customWidth="1"/>
    <col min="6167" max="6167" width="11.5" style="52" customWidth="1"/>
    <col min="6168" max="6168" width="18" style="52" bestFit="1" customWidth="1"/>
    <col min="6169" max="6401" width="8.875" style="52"/>
    <col min="6402" max="6408" width="0" style="52" hidden="1" customWidth="1"/>
    <col min="6409" max="6409" width="6.375" style="52" customWidth="1"/>
    <col min="6410" max="6410" width="8.875" style="52"/>
    <col min="6411" max="6411" width="41.875" style="52" customWidth="1"/>
    <col min="6412" max="6412" width="13.125" style="52" bestFit="1" customWidth="1"/>
    <col min="6413" max="6413" width="9.375" style="52" bestFit="1" customWidth="1"/>
    <col min="6414" max="6414" width="10.875" style="52" bestFit="1" customWidth="1"/>
    <col min="6415" max="6415" width="9.875" style="52" customWidth="1"/>
    <col min="6416" max="6416" width="14" style="52" customWidth="1"/>
    <col min="6417" max="6417" width="12.125" style="52" customWidth="1"/>
    <col min="6418" max="6418" width="11.875" style="52" customWidth="1"/>
    <col min="6419" max="6419" width="11.5" style="52" customWidth="1"/>
    <col min="6420" max="6420" width="11.875" style="52" customWidth="1"/>
    <col min="6421" max="6421" width="11.5" style="52" customWidth="1"/>
    <col min="6422" max="6422" width="11.875" style="52" customWidth="1"/>
    <col min="6423" max="6423" width="11.5" style="52" customWidth="1"/>
    <col min="6424" max="6424" width="18" style="52" bestFit="1" customWidth="1"/>
    <col min="6425" max="6657" width="8.875" style="52"/>
    <col min="6658" max="6664" width="0" style="52" hidden="1" customWidth="1"/>
    <col min="6665" max="6665" width="6.375" style="52" customWidth="1"/>
    <col min="6666" max="6666" width="8.875" style="52"/>
    <col min="6667" max="6667" width="41.875" style="52" customWidth="1"/>
    <col min="6668" max="6668" width="13.125" style="52" bestFit="1" customWidth="1"/>
    <col min="6669" max="6669" width="9.375" style="52" bestFit="1" customWidth="1"/>
    <col min="6670" max="6670" width="10.875" style="52" bestFit="1" customWidth="1"/>
    <col min="6671" max="6671" width="9.875" style="52" customWidth="1"/>
    <col min="6672" max="6672" width="14" style="52" customWidth="1"/>
    <col min="6673" max="6673" width="12.125" style="52" customWidth="1"/>
    <col min="6674" max="6674" width="11.875" style="52" customWidth="1"/>
    <col min="6675" max="6675" width="11.5" style="52" customWidth="1"/>
    <col min="6676" max="6676" width="11.875" style="52" customWidth="1"/>
    <col min="6677" max="6677" width="11.5" style="52" customWidth="1"/>
    <col min="6678" max="6678" width="11.875" style="52" customWidth="1"/>
    <col min="6679" max="6679" width="11.5" style="52" customWidth="1"/>
    <col min="6680" max="6680" width="18" style="52" bestFit="1" customWidth="1"/>
    <col min="6681" max="6913" width="8.875" style="52"/>
    <col min="6914" max="6920" width="0" style="52" hidden="1" customWidth="1"/>
    <col min="6921" max="6921" width="6.375" style="52" customWidth="1"/>
    <col min="6922" max="6922" width="8.875" style="52"/>
    <col min="6923" max="6923" width="41.875" style="52" customWidth="1"/>
    <col min="6924" max="6924" width="13.125" style="52" bestFit="1" customWidth="1"/>
    <col min="6925" max="6925" width="9.375" style="52" bestFit="1" customWidth="1"/>
    <col min="6926" max="6926" width="10.875" style="52" bestFit="1" customWidth="1"/>
    <col min="6927" max="6927" width="9.875" style="52" customWidth="1"/>
    <col min="6928" max="6928" width="14" style="52" customWidth="1"/>
    <col min="6929" max="6929" width="12.125" style="52" customWidth="1"/>
    <col min="6930" max="6930" width="11.875" style="52" customWidth="1"/>
    <col min="6931" max="6931" width="11.5" style="52" customWidth="1"/>
    <col min="6932" max="6932" width="11.875" style="52" customWidth="1"/>
    <col min="6933" max="6933" width="11.5" style="52" customWidth="1"/>
    <col min="6934" max="6934" width="11.875" style="52" customWidth="1"/>
    <col min="6935" max="6935" width="11.5" style="52" customWidth="1"/>
    <col min="6936" max="6936" width="18" style="52" bestFit="1" customWidth="1"/>
    <col min="6937" max="7169" width="8.875" style="52"/>
    <col min="7170" max="7176" width="0" style="52" hidden="1" customWidth="1"/>
    <col min="7177" max="7177" width="6.375" style="52" customWidth="1"/>
    <col min="7178" max="7178" width="8.875" style="52"/>
    <col min="7179" max="7179" width="41.875" style="52" customWidth="1"/>
    <col min="7180" max="7180" width="13.125" style="52" bestFit="1" customWidth="1"/>
    <col min="7181" max="7181" width="9.375" style="52" bestFit="1" customWidth="1"/>
    <col min="7182" max="7182" width="10.875" style="52" bestFit="1" customWidth="1"/>
    <col min="7183" max="7183" width="9.875" style="52" customWidth="1"/>
    <col min="7184" max="7184" width="14" style="52" customWidth="1"/>
    <col min="7185" max="7185" width="12.125" style="52" customWidth="1"/>
    <col min="7186" max="7186" width="11.875" style="52" customWidth="1"/>
    <col min="7187" max="7187" width="11.5" style="52" customWidth="1"/>
    <col min="7188" max="7188" width="11.875" style="52" customWidth="1"/>
    <col min="7189" max="7189" width="11.5" style="52" customWidth="1"/>
    <col min="7190" max="7190" width="11.875" style="52" customWidth="1"/>
    <col min="7191" max="7191" width="11.5" style="52" customWidth="1"/>
    <col min="7192" max="7192" width="18" style="52" bestFit="1" customWidth="1"/>
    <col min="7193" max="7425" width="8.875" style="52"/>
    <col min="7426" max="7432" width="0" style="52" hidden="1" customWidth="1"/>
    <col min="7433" max="7433" width="6.375" style="52" customWidth="1"/>
    <col min="7434" max="7434" width="8.875" style="52"/>
    <col min="7435" max="7435" width="41.875" style="52" customWidth="1"/>
    <col min="7436" max="7436" width="13.125" style="52" bestFit="1" customWidth="1"/>
    <col min="7437" max="7437" width="9.375" style="52" bestFit="1" customWidth="1"/>
    <col min="7438" max="7438" width="10.875" style="52" bestFit="1" customWidth="1"/>
    <col min="7439" max="7439" width="9.875" style="52" customWidth="1"/>
    <col min="7440" max="7440" width="14" style="52" customWidth="1"/>
    <col min="7441" max="7441" width="12.125" style="52" customWidth="1"/>
    <col min="7442" max="7442" width="11.875" style="52" customWidth="1"/>
    <col min="7443" max="7443" width="11.5" style="52" customWidth="1"/>
    <col min="7444" max="7444" width="11.875" style="52" customWidth="1"/>
    <col min="7445" max="7445" width="11.5" style="52" customWidth="1"/>
    <col min="7446" max="7446" width="11.875" style="52" customWidth="1"/>
    <col min="7447" max="7447" width="11.5" style="52" customWidth="1"/>
    <col min="7448" max="7448" width="18" style="52" bestFit="1" customWidth="1"/>
    <col min="7449" max="7681" width="8.875" style="52"/>
    <col min="7682" max="7688" width="0" style="52" hidden="1" customWidth="1"/>
    <col min="7689" max="7689" width="6.375" style="52" customWidth="1"/>
    <col min="7690" max="7690" width="8.875" style="52"/>
    <col min="7691" max="7691" width="41.875" style="52" customWidth="1"/>
    <col min="7692" max="7692" width="13.125" style="52" bestFit="1" customWidth="1"/>
    <col min="7693" max="7693" width="9.375" style="52" bestFit="1" customWidth="1"/>
    <col min="7694" max="7694" width="10.875" style="52" bestFit="1" customWidth="1"/>
    <col min="7695" max="7695" width="9.875" style="52" customWidth="1"/>
    <col min="7696" max="7696" width="14" style="52" customWidth="1"/>
    <col min="7697" max="7697" width="12.125" style="52" customWidth="1"/>
    <col min="7698" max="7698" width="11.875" style="52" customWidth="1"/>
    <col min="7699" max="7699" width="11.5" style="52" customWidth="1"/>
    <col min="7700" max="7700" width="11.875" style="52" customWidth="1"/>
    <col min="7701" max="7701" width="11.5" style="52" customWidth="1"/>
    <col min="7702" max="7702" width="11.875" style="52" customWidth="1"/>
    <col min="7703" max="7703" width="11.5" style="52" customWidth="1"/>
    <col min="7704" max="7704" width="18" style="52" bestFit="1" customWidth="1"/>
    <col min="7705" max="7937" width="8.875" style="52"/>
    <col min="7938" max="7944" width="0" style="52" hidden="1" customWidth="1"/>
    <col min="7945" max="7945" width="6.375" style="52" customWidth="1"/>
    <col min="7946" max="7946" width="8.875" style="52"/>
    <col min="7947" max="7947" width="41.875" style="52" customWidth="1"/>
    <col min="7948" max="7948" width="13.125" style="52" bestFit="1" customWidth="1"/>
    <col min="7949" max="7949" width="9.375" style="52" bestFit="1" customWidth="1"/>
    <col min="7950" max="7950" width="10.875" style="52" bestFit="1" customWidth="1"/>
    <col min="7951" max="7951" width="9.875" style="52" customWidth="1"/>
    <col min="7952" max="7952" width="14" style="52" customWidth="1"/>
    <col min="7953" max="7953" width="12.125" style="52" customWidth="1"/>
    <col min="7954" max="7954" width="11.875" style="52" customWidth="1"/>
    <col min="7955" max="7955" width="11.5" style="52" customWidth="1"/>
    <col min="7956" max="7956" width="11.875" style="52" customWidth="1"/>
    <col min="7957" max="7957" width="11.5" style="52" customWidth="1"/>
    <col min="7958" max="7958" width="11.875" style="52" customWidth="1"/>
    <col min="7959" max="7959" width="11.5" style="52" customWidth="1"/>
    <col min="7960" max="7960" width="18" style="52" bestFit="1" customWidth="1"/>
    <col min="7961" max="8193" width="8.875" style="52"/>
    <col min="8194" max="8200" width="0" style="52" hidden="1" customWidth="1"/>
    <col min="8201" max="8201" width="6.375" style="52" customWidth="1"/>
    <col min="8202" max="8202" width="8.875" style="52"/>
    <col min="8203" max="8203" width="41.875" style="52" customWidth="1"/>
    <col min="8204" max="8204" width="13.125" style="52" bestFit="1" customWidth="1"/>
    <col min="8205" max="8205" width="9.375" style="52" bestFit="1" customWidth="1"/>
    <col min="8206" max="8206" width="10.875" style="52" bestFit="1" customWidth="1"/>
    <col min="8207" max="8207" width="9.875" style="52" customWidth="1"/>
    <col min="8208" max="8208" width="14" style="52" customWidth="1"/>
    <col min="8209" max="8209" width="12.125" style="52" customWidth="1"/>
    <col min="8210" max="8210" width="11.875" style="52" customWidth="1"/>
    <col min="8211" max="8211" width="11.5" style="52" customWidth="1"/>
    <col min="8212" max="8212" width="11.875" style="52" customWidth="1"/>
    <col min="8213" max="8213" width="11.5" style="52" customWidth="1"/>
    <col min="8214" max="8214" width="11.875" style="52" customWidth="1"/>
    <col min="8215" max="8215" width="11.5" style="52" customWidth="1"/>
    <col min="8216" max="8216" width="18" style="52" bestFit="1" customWidth="1"/>
    <col min="8217" max="8449" width="8.875" style="52"/>
    <col min="8450" max="8456" width="0" style="52" hidden="1" customWidth="1"/>
    <col min="8457" max="8457" width="6.375" style="52" customWidth="1"/>
    <col min="8458" max="8458" width="8.875" style="52"/>
    <col min="8459" max="8459" width="41.875" style="52" customWidth="1"/>
    <col min="8460" max="8460" width="13.125" style="52" bestFit="1" customWidth="1"/>
    <col min="8461" max="8461" width="9.375" style="52" bestFit="1" customWidth="1"/>
    <col min="8462" max="8462" width="10.875" style="52" bestFit="1" customWidth="1"/>
    <col min="8463" max="8463" width="9.875" style="52" customWidth="1"/>
    <col min="8464" max="8464" width="14" style="52" customWidth="1"/>
    <col min="8465" max="8465" width="12.125" style="52" customWidth="1"/>
    <col min="8466" max="8466" width="11.875" style="52" customWidth="1"/>
    <col min="8467" max="8467" width="11.5" style="52" customWidth="1"/>
    <col min="8468" max="8468" width="11.875" style="52" customWidth="1"/>
    <col min="8469" max="8469" width="11.5" style="52" customWidth="1"/>
    <col min="8470" max="8470" width="11.875" style="52" customWidth="1"/>
    <col min="8471" max="8471" width="11.5" style="52" customWidth="1"/>
    <col min="8472" max="8472" width="18" style="52" bestFit="1" customWidth="1"/>
    <col min="8473" max="8705" width="8.875" style="52"/>
    <col min="8706" max="8712" width="0" style="52" hidden="1" customWidth="1"/>
    <col min="8713" max="8713" width="6.375" style="52" customWidth="1"/>
    <col min="8714" max="8714" width="8.875" style="52"/>
    <col min="8715" max="8715" width="41.875" style="52" customWidth="1"/>
    <col min="8716" max="8716" width="13.125" style="52" bestFit="1" customWidth="1"/>
    <col min="8717" max="8717" width="9.375" style="52" bestFit="1" customWidth="1"/>
    <col min="8718" max="8718" width="10.875" style="52" bestFit="1" customWidth="1"/>
    <col min="8719" max="8719" width="9.875" style="52" customWidth="1"/>
    <col min="8720" max="8720" width="14" style="52" customWidth="1"/>
    <col min="8721" max="8721" width="12.125" style="52" customWidth="1"/>
    <col min="8722" max="8722" width="11.875" style="52" customWidth="1"/>
    <col min="8723" max="8723" width="11.5" style="52" customWidth="1"/>
    <col min="8724" max="8724" width="11.875" style="52" customWidth="1"/>
    <col min="8725" max="8725" width="11.5" style="52" customWidth="1"/>
    <col min="8726" max="8726" width="11.875" style="52" customWidth="1"/>
    <col min="8727" max="8727" width="11.5" style="52" customWidth="1"/>
    <col min="8728" max="8728" width="18" style="52" bestFit="1" customWidth="1"/>
    <col min="8729" max="8961" width="8.875" style="52"/>
    <col min="8962" max="8968" width="0" style="52" hidden="1" customWidth="1"/>
    <col min="8969" max="8969" width="6.375" style="52" customWidth="1"/>
    <col min="8970" max="8970" width="8.875" style="52"/>
    <col min="8971" max="8971" width="41.875" style="52" customWidth="1"/>
    <col min="8972" max="8972" width="13.125" style="52" bestFit="1" customWidth="1"/>
    <col min="8973" max="8973" width="9.375" style="52" bestFit="1" customWidth="1"/>
    <col min="8974" max="8974" width="10.875" style="52" bestFit="1" customWidth="1"/>
    <col min="8975" max="8975" width="9.875" style="52" customWidth="1"/>
    <col min="8976" max="8976" width="14" style="52" customWidth="1"/>
    <col min="8977" max="8977" width="12.125" style="52" customWidth="1"/>
    <col min="8978" max="8978" width="11.875" style="52" customWidth="1"/>
    <col min="8979" max="8979" width="11.5" style="52" customWidth="1"/>
    <col min="8980" max="8980" width="11.875" style="52" customWidth="1"/>
    <col min="8981" max="8981" width="11.5" style="52" customWidth="1"/>
    <col min="8982" max="8982" width="11.875" style="52" customWidth="1"/>
    <col min="8983" max="8983" width="11.5" style="52" customWidth="1"/>
    <col min="8984" max="8984" width="18" style="52" bestFit="1" customWidth="1"/>
    <col min="8985" max="9217" width="8.875" style="52"/>
    <col min="9218" max="9224" width="0" style="52" hidden="1" customWidth="1"/>
    <col min="9225" max="9225" width="6.375" style="52" customWidth="1"/>
    <col min="9226" max="9226" width="8.875" style="52"/>
    <col min="9227" max="9227" width="41.875" style="52" customWidth="1"/>
    <col min="9228" max="9228" width="13.125" style="52" bestFit="1" customWidth="1"/>
    <col min="9229" max="9229" width="9.375" style="52" bestFit="1" customWidth="1"/>
    <col min="9230" max="9230" width="10.875" style="52" bestFit="1" customWidth="1"/>
    <col min="9231" max="9231" width="9.875" style="52" customWidth="1"/>
    <col min="9232" max="9232" width="14" style="52" customWidth="1"/>
    <col min="9233" max="9233" width="12.125" style="52" customWidth="1"/>
    <col min="9234" max="9234" width="11.875" style="52" customWidth="1"/>
    <col min="9235" max="9235" width="11.5" style="52" customWidth="1"/>
    <col min="9236" max="9236" width="11.875" style="52" customWidth="1"/>
    <col min="9237" max="9237" width="11.5" style="52" customWidth="1"/>
    <col min="9238" max="9238" width="11.875" style="52" customWidth="1"/>
    <col min="9239" max="9239" width="11.5" style="52" customWidth="1"/>
    <col min="9240" max="9240" width="18" style="52" bestFit="1" customWidth="1"/>
    <col min="9241" max="9473" width="8.875" style="52"/>
    <col min="9474" max="9480" width="0" style="52" hidden="1" customWidth="1"/>
    <col min="9481" max="9481" width="6.375" style="52" customWidth="1"/>
    <col min="9482" max="9482" width="8.875" style="52"/>
    <col min="9483" max="9483" width="41.875" style="52" customWidth="1"/>
    <col min="9484" max="9484" width="13.125" style="52" bestFit="1" customWidth="1"/>
    <col min="9485" max="9485" width="9.375" style="52" bestFit="1" customWidth="1"/>
    <col min="9486" max="9486" width="10.875" style="52" bestFit="1" customWidth="1"/>
    <col min="9487" max="9487" width="9.875" style="52" customWidth="1"/>
    <col min="9488" max="9488" width="14" style="52" customWidth="1"/>
    <col min="9489" max="9489" width="12.125" style="52" customWidth="1"/>
    <col min="9490" max="9490" width="11.875" style="52" customWidth="1"/>
    <col min="9491" max="9491" width="11.5" style="52" customWidth="1"/>
    <col min="9492" max="9492" width="11.875" style="52" customWidth="1"/>
    <col min="9493" max="9493" width="11.5" style="52" customWidth="1"/>
    <col min="9494" max="9494" width="11.875" style="52" customWidth="1"/>
    <col min="9495" max="9495" width="11.5" style="52" customWidth="1"/>
    <col min="9496" max="9496" width="18" style="52" bestFit="1" customWidth="1"/>
    <col min="9497" max="9729" width="8.875" style="52"/>
    <col min="9730" max="9736" width="0" style="52" hidden="1" customWidth="1"/>
    <col min="9737" max="9737" width="6.375" style="52" customWidth="1"/>
    <col min="9738" max="9738" width="8.875" style="52"/>
    <col min="9739" max="9739" width="41.875" style="52" customWidth="1"/>
    <col min="9740" max="9740" width="13.125" style="52" bestFit="1" customWidth="1"/>
    <col min="9741" max="9741" width="9.375" style="52" bestFit="1" customWidth="1"/>
    <col min="9742" max="9742" width="10.875" style="52" bestFit="1" customWidth="1"/>
    <col min="9743" max="9743" width="9.875" style="52" customWidth="1"/>
    <col min="9744" max="9744" width="14" style="52" customWidth="1"/>
    <col min="9745" max="9745" width="12.125" style="52" customWidth="1"/>
    <col min="9746" max="9746" width="11.875" style="52" customWidth="1"/>
    <col min="9747" max="9747" width="11.5" style="52" customWidth="1"/>
    <col min="9748" max="9748" width="11.875" style="52" customWidth="1"/>
    <col min="9749" max="9749" width="11.5" style="52" customWidth="1"/>
    <col min="9750" max="9750" width="11.875" style="52" customWidth="1"/>
    <col min="9751" max="9751" width="11.5" style="52" customWidth="1"/>
    <col min="9752" max="9752" width="18" style="52" bestFit="1" customWidth="1"/>
    <col min="9753" max="9985" width="8.875" style="52"/>
    <col min="9986" max="9992" width="0" style="52" hidden="1" customWidth="1"/>
    <col min="9993" max="9993" width="6.375" style="52" customWidth="1"/>
    <col min="9994" max="9994" width="8.875" style="52"/>
    <col min="9995" max="9995" width="41.875" style="52" customWidth="1"/>
    <col min="9996" max="9996" width="13.125" style="52" bestFit="1" customWidth="1"/>
    <col min="9997" max="9997" width="9.375" style="52" bestFit="1" customWidth="1"/>
    <col min="9998" max="9998" width="10.875" style="52" bestFit="1" customWidth="1"/>
    <col min="9999" max="9999" width="9.875" style="52" customWidth="1"/>
    <col min="10000" max="10000" width="14" style="52" customWidth="1"/>
    <col min="10001" max="10001" width="12.125" style="52" customWidth="1"/>
    <col min="10002" max="10002" width="11.875" style="52" customWidth="1"/>
    <col min="10003" max="10003" width="11.5" style="52" customWidth="1"/>
    <col min="10004" max="10004" width="11.875" style="52" customWidth="1"/>
    <col min="10005" max="10005" width="11.5" style="52" customWidth="1"/>
    <col min="10006" max="10006" width="11.875" style="52" customWidth="1"/>
    <col min="10007" max="10007" width="11.5" style="52" customWidth="1"/>
    <col min="10008" max="10008" width="18" style="52" bestFit="1" customWidth="1"/>
    <col min="10009" max="10241" width="8.875" style="52"/>
    <col min="10242" max="10248" width="0" style="52" hidden="1" customWidth="1"/>
    <col min="10249" max="10249" width="6.375" style="52" customWidth="1"/>
    <col min="10250" max="10250" width="8.875" style="52"/>
    <col min="10251" max="10251" width="41.875" style="52" customWidth="1"/>
    <col min="10252" max="10252" width="13.125" style="52" bestFit="1" customWidth="1"/>
    <col min="10253" max="10253" width="9.375" style="52" bestFit="1" customWidth="1"/>
    <col min="10254" max="10254" width="10.875" style="52" bestFit="1" customWidth="1"/>
    <col min="10255" max="10255" width="9.875" style="52" customWidth="1"/>
    <col min="10256" max="10256" width="14" style="52" customWidth="1"/>
    <col min="10257" max="10257" width="12.125" style="52" customWidth="1"/>
    <col min="10258" max="10258" width="11.875" style="52" customWidth="1"/>
    <col min="10259" max="10259" width="11.5" style="52" customWidth="1"/>
    <col min="10260" max="10260" width="11.875" style="52" customWidth="1"/>
    <col min="10261" max="10261" width="11.5" style="52" customWidth="1"/>
    <col min="10262" max="10262" width="11.875" style="52" customWidth="1"/>
    <col min="10263" max="10263" width="11.5" style="52" customWidth="1"/>
    <col min="10264" max="10264" width="18" style="52" bestFit="1" customWidth="1"/>
    <col min="10265" max="10497" width="8.875" style="52"/>
    <col min="10498" max="10504" width="0" style="52" hidden="1" customWidth="1"/>
    <col min="10505" max="10505" width="6.375" style="52" customWidth="1"/>
    <col min="10506" max="10506" width="8.875" style="52"/>
    <col min="10507" max="10507" width="41.875" style="52" customWidth="1"/>
    <col min="10508" max="10508" width="13.125" style="52" bestFit="1" customWidth="1"/>
    <col min="10509" max="10509" width="9.375" style="52" bestFit="1" customWidth="1"/>
    <col min="10510" max="10510" width="10.875" style="52" bestFit="1" customWidth="1"/>
    <col min="10511" max="10511" width="9.875" style="52" customWidth="1"/>
    <col min="10512" max="10512" width="14" style="52" customWidth="1"/>
    <col min="10513" max="10513" width="12.125" style="52" customWidth="1"/>
    <col min="10514" max="10514" width="11.875" style="52" customWidth="1"/>
    <col min="10515" max="10515" width="11.5" style="52" customWidth="1"/>
    <col min="10516" max="10516" width="11.875" style="52" customWidth="1"/>
    <col min="10517" max="10517" width="11.5" style="52" customWidth="1"/>
    <col min="10518" max="10518" width="11.875" style="52" customWidth="1"/>
    <col min="10519" max="10519" width="11.5" style="52" customWidth="1"/>
    <col min="10520" max="10520" width="18" style="52" bestFit="1" customWidth="1"/>
    <col min="10521" max="10753" width="8.875" style="52"/>
    <col min="10754" max="10760" width="0" style="52" hidden="1" customWidth="1"/>
    <col min="10761" max="10761" width="6.375" style="52" customWidth="1"/>
    <col min="10762" max="10762" width="8.875" style="52"/>
    <col min="10763" max="10763" width="41.875" style="52" customWidth="1"/>
    <col min="10764" max="10764" width="13.125" style="52" bestFit="1" customWidth="1"/>
    <col min="10765" max="10765" width="9.375" style="52" bestFit="1" customWidth="1"/>
    <col min="10766" max="10766" width="10.875" style="52" bestFit="1" customWidth="1"/>
    <col min="10767" max="10767" width="9.875" style="52" customWidth="1"/>
    <col min="10768" max="10768" width="14" style="52" customWidth="1"/>
    <col min="10769" max="10769" width="12.125" style="52" customWidth="1"/>
    <col min="10770" max="10770" width="11.875" style="52" customWidth="1"/>
    <col min="10771" max="10771" width="11.5" style="52" customWidth="1"/>
    <col min="10772" max="10772" width="11.875" style="52" customWidth="1"/>
    <col min="10773" max="10773" width="11.5" style="52" customWidth="1"/>
    <col min="10774" max="10774" width="11.875" style="52" customWidth="1"/>
    <col min="10775" max="10775" width="11.5" style="52" customWidth="1"/>
    <col min="10776" max="10776" width="18" style="52" bestFit="1" customWidth="1"/>
    <col min="10777" max="11009" width="8.875" style="52"/>
    <col min="11010" max="11016" width="0" style="52" hidden="1" customWidth="1"/>
    <col min="11017" max="11017" width="6.375" style="52" customWidth="1"/>
    <col min="11018" max="11018" width="8.875" style="52"/>
    <col min="11019" max="11019" width="41.875" style="52" customWidth="1"/>
    <col min="11020" max="11020" width="13.125" style="52" bestFit="1" customWidth="1"/>
    <col min="11021" max="11021" width="9.375" style="52" bestFit="1" customWidth="1"/>
    <col min="11022" max="11022" width="10.875" style="52" bestFit="1" customWidth="1"/>
    <col min="11023" max="11023" width="9.875" style="52" customWidth="1"/>
    <col min="11024" max="11024" width="14" style="52" customWidth="1"/>
    <col min="11025" max="11025" width="12.125" style="52" customWidth="1"/>
    <col min="11026" max="11026" width="11.875" style="52" customWidth="1"/>
    <col min="11027" max="11027" width="11.5" style="52" customWidth="1"/>
    <col min="11028" max="11028" width="11.875" style="52" customWidth="1"/>
    <col min="11029" max="11029" width="11.5" style="52" customWidth="1"/>
    <col min="11030" max="11030" width="11.875" style="52" customWidth="1"/>
    <col min="11031" max="11031" width="11.5" style="52" customWidth="1"/>
    <col min="11032" max="11032" width="18" style="52" bestFit="1" customWidth="1"/>
    <col min="11033" max="11265" width="8.875" style="52"/>
    <col min="11266" max="11272" width="0" style="52" hidden="1" customWidth="1"/>
    <col min="11273" max="11273" width="6.375" style="52" customWidth="1"/>
    <col min="11274" max="11274" width="8.875" style="52"/>
    <col min="11275" max="11275" width="41.875" style="52" customWidth="1"/>
    <col min="11276" max="11276" width="13.125" style="52" bestFit="1" customWidth="1"/>
    <col min="11277" max="11277" width="9.375" style="52" bestFit="1" customWidth="1"/>
    <col min="11278" max="11278" width="10.875" style="52" bestFit="1" customWidth="1"/>
    <col min="11279" max="11279" width="9.875" style="52" customWidth="1"/>
    <col min="11280" max="11280" width="14" style="52" customWidth="1"/>
    <col min="11281" max="11281" width="12.125" style="52" customWidth="1"/>
    <col min="11282" max="11282" width="11.875" style="52" customWidth="1"/>
    <col min="11283" max="11283" width="11.5" style="52" customWidth="1"/>
    <col min="11284" max="11284" width="11.875" style="52" customWidth="1"/>
    <col min="11285" max="11285" width="11.5" style="52" customWidth="1"/>
    <col min="11286" max="11286" width="11.875" style="52" customWidth="1"/>
    <col min="11287" max="11287" width="11.5" style="52" customWidth="1"/>
    <col min="11288" max="11288" width="18" style="52" bestFit="1" customWidth="1"/>
    <col min="11289" max="11521" width="8.875" style="52"/>
    <col min="11522" max="11528" width="0" style="52" hidden="1" customWidth="1"/>
    <col min="11529" max="11529" width="6.375" style="52" customWidth="1"/>
    <col min="11530" max="11530" width="8.875" style="52"/>
    <col min="11531" max="11531" width="41.875" style="52" customWidth="1"/>
    <col min="11532" max="11532" width="13.125" style="52" bestFit="1" customWidth="1"/>
    <col min="11533" max="11533" width="9.375" style="52" bestFit="1" customWidth="1"/>
    <col min="11534" max="11534" width="10.875" style="52" bestFit="1" customWidth="1"/>
    <col min="11535" max="11535" width="9.875" style="52" customWidth="1"/>
    <col min="11536" max="11536" width="14" style="52" customWidth="1"/>
    <col min="11537" max="11537" width="12.125" style="52" customWidth="1"/>
    <col min="11538" max="11538" width="11.875" style="52" customWidth="1"/>
    <col min="11539" max="11539" width="11.5" style="52" customWidth="1"/>
    <col min="11540" max="11540" width="11.875" style="52" customWidth="1"/>
    <col min="11541" max="11541" width="11.5" style="52" customWidth="1"/>
    <col min="11542" max="11542" width="11.875" style="52" customWidth="1"/>
    <col min="11543" max="11543" width="11.5" style="52" customWidth="1"/>
    <col min="11544" max="11544" width="18" style="52" bestFit="1" customWidth="1"/>
    <col min="11545" max="11777" width="8.875" style="52"/>
    <col min="11778" max="11784" width="0" style="52" hidden="1" customWidth="1"/>
    <col min="11785" max="11785" width="6.375" style="52" customWidth="1"/>
    <col min="11786" max="11786" width="8.875" style="52"/>
    <col min="11787" max="11787" width="41.875" style="52" customWidth="1"/>
    <col min="11788" max="11788" width="13.125" style="52" bestFit="1" customWidth="1"/>
    <col min="11789" max="11789" width="9.375" style="52" bestFit="1" customWidth="1"/>
    <col min="11790" max="11790" width="10.875" style="52" bestFit="1" customWidth="1"/>
    <col min="11791" max="11791" width="9.875" style="52" customWidth="1"/>
    <col min="11792" max="11792" width="14" style="52" customWidth="1"/>
    <col min="11793" max="11793" width="12.125" style="52" customWidth="1"/>
    <col min="11794" max="11794" width="11.875" style="52" customWidth="1"/>
    <col min="11795" max="11795" width="11.5" style="52" customWidth="1"/>
    <col min="11796" max="11796" width="11.875" style="52" customWidth="1"/>
    <col min="11797" max="11797" width="11.5" style="52" customWidth="1"/>
    <col min="11798" max="11798" width="11.875" style="52" customWidth="1"/>
    <col min="11799" max="11799" width="11.5" style="52" customWidth="1"/>
    <col min="11800" max="11800" width="18" style="52" bestFit="1" customWidth="1"/>
    <col min="11801" max="12033" width="8.875" style="52"/>
    <col min="12034" max="12040" width="0" style="52" hidden="1" customWidth="1"/>
    <col min="12041" max="12041" width="6.375" style="52" customWidth="1"/>
    <col min="12042" max="12042" width="8.875" style="52"/>
    <col min="12043" max="12043" width="41.875" style="52" customWidth="1"/>
    <col min="12044" max="12044" width="13.125" style="52" bestFit="1" customWidth="1"/>
    <col min="12045" max="12045" width="9.375" style="52" bestFit="1" customWidth="1"/>
    <col min="12046" max="12046" width="10.875" style="52" bestFit="1" customWidth="1"/>
    <col min="12047" max="12047" width="9.875" style="52" customWidth="1"/>
    <col min="12048" max="12048" width="14" style="52" customWidth="1"/>
    <col min="12049" max="12049" width="12.125" style="52" customWidth="1"/>
    <col min="12050" max="12050" width="11.875" style="52" customWidth="1"/>
    <col min="12051" max="12051" width="11.5" style="52" customWidth="1"/>
    <col min="12052" max="12052" width="11.875" style="52" customWidth="1"/>
    <col min="12053" max="12053" width="11.5" style="52" customWidth="1"/>
    <col min="12054" max="12054" width="11.875" style="52" customWidth="1"/>
    <col min="12055" max="12055" width="11.5" style="52" customWidth="1"/>
    <col min="12056" max="12056" width="18" style="52" bestFit="1" customWidth="1"/>
    <col min="12057" max="12289" width="8.875" style="52"/>
    <col min="12290" max="12296" width="0" style="52" hidden="1" customWidth="1"/>
    <col min="12297" max="12297" width="6.375" style="52" customWidth="1"/>
    <col min="12298" max="12298" width="8.875" style="52"/>
    <col min="12299" max="12299" width="41.875" style="52" customWidth="1"/>
    <col min="12300" max="12300" width="13.125" style="52" bestFit="1" customWidth="1"/>
    <col min="12301" max="12301" width="9.375" style="52" bestFit="1" customWidth="1"/>
    <col min="12302" max="12302" width="10.875" style="52" bestFit="1" customWidth="1"/>
    <col min="12303" max="12303" width="9.875" style="52" customWidth="1"/>
    <col min="12304" max="12304" width="14" style="52" customWidth="1"/>
    <col min="12305" max="12305" width="12.125" style="52" customWidth="1"/>
    <col min="12306" max="12306" width="11.875" style="52" customWidth="1"/>
    <col min="12307" max="12307" width="11.5" style="52" customWidth="1"/>
    <col min="12308" max="12308" width="11.875" style="52" customWidth="1"/>
    <col min="12309" max="12309" width="11.5" style="52" customWidth="1"/>
    <col min="12310" max="12310" width="11.875" style="52" customWidth="1"/>
    <col min="12311" max="12311" width="11.5" style="52" customWidth="1"/>
    <col min="12312" max="12312" width="18" style="52" bestFit="1" customWidth="1"/>
    <col min="12313" max="12545" width="8.875" style="52"/>
    <col min="12546" max="12552" width="0" style="52" hidden="1" customWidth="1"/>
    <col min="12553" max="12553" width="6.375" style="52" customWidth="1"/>
    <col min="12554" max="12554" width="8.875" style="52"/>
    <col min="12555" max="12555" width="41.875" style="52" customWidth="1"/>
    <col min="12556" max="12556" width="13.125" style="52" bestFit="1" customWidth="1"/>
    <col min="12557" max="12557" width="9.375" style="52" bestFit="1" customWidth="1"/>
    <col min="12558" max="12558" width="10.875" style="52" bestFit="1" customWidth="1"/>
    <col min="12559" max="12559" width="9.875" style="52" customWidth="1"/>
    <col min="12560" max="12560" width="14" style="52" customWidth="1"/>
    <col min="12561" max="12561" width="12.125" style="52" customWidth="1"/>
    <col min="12562" max="12562" width="11.875" style="52" customWidth="1"/>
    <col min="12563" max="12563" width="11.5" style="52" customWidth="1"/>
    <col min="12564" max="12564" width="11.875" style="52" customWidth="1"/>
    <col min="12565" max="12565" width="11.5" style="52" customWidth="1"/>
    <col min="12566" max="12566" width="11.875" style="52" customWidth="1"/>
    <col min="12567" max="12567" width="11.5" style="52" customWidth="1"/>
    <col min="12568" max="12568" width="18" style="52" bestFit="1" customWidth="1"/>
    <col min="12569" max="12801" width="8.875" style="52"/>
    <col min="12802" max="12808" width="0" style="52" hidden="1" customWidth="1"/>
    <col min="12809" max="12809" width="6.375" style="52" customWidth="1"/>
    <col min="12810" max="12810" width="8.875" style="52"/>
    <col min="12811" max="12811" width="41.875" style="52" customWidth="1"/>
    <col min="12812" max="12812" width="13.125" style="52" bestFit="1" customWidth="1"/>
    <col min="12813" max="12813" width="9.375" style="52" bestFit="1" customWidth="1"/>
    <col min="12814" max="12814" width="10.875" style="52" bestFit="1" customWidth="1"/>
    <col min="12815" max="12815" width="9.875" style="52" customWidth="1"/>
    <col min="12816" max="12816" width="14" style="52" customWidth="1"/>
    <col min="12817" max="12817" width="12.125" style="52" customWidth="1"/>
    <col min="12818" max="12818" width="11.875" style="52" customWidth="1"/>
    <col min="12819" max="12819" width="11.5" style="52" customWidth="1"/>
    <col min="12820" max="12820" width="11.875" style="52" customWidth="1"/>
    <col min="12821" max="12821" width="11.5" style="52" customWidth="1"/>
    <col min="12822" max="12822" width="11.875" style="52" customWidth="1"/>
    <col min="12823" max="12823" width="11.5" style="52" customWidth="1"/>
    <col min="12824" max="12824" width="18" style="52" bestFit="1" customWidth="1"/>
    <col min="12825" max="13057" width="8.875" style="52"/>
    <col min="13058" max="13064" width="0" style="52" hidden="1" customWidth="1"/>
    <col min="13065" max="13065" width="6.375" style="52" customWidth="1"/>
    <col min="13066" max="13066" width="8.875" style="52"/>
    <col min="13067" max="13067" width="41.875" style="52" customWidth="1"/>
    <col min="13068" max="13068" width="13.125" style="52" bestFit="1" customWidth="1"/>
    <col min="13069" max="13069" width="9.375" style="52" bestFit="1" customWidth="1"/>
    <col min="13070" max="13070" width="10.875" style="52" bestFit="1" customWidth="1"/>
    <col min="13071" max="13071" width="9.875" style="52" customWidth="1"/>
    <col min="13072" max="13072" width="14" style="52" customWidth="1"/>
    <col min="13073" max="13073" width="12.125" style="52" customWidth="1"/>
    <col min="13074" max="13074" width="11.875" style="52" customWidth="1"/>
    <col min="13075" max="13075" width="11.5" style="52" customWidth="1"/>
    <col min="13076" max="13076" width="11.875" style="52" customWidth="1"/>
    <col min="13077" max="13077" width="11.5" style="52" customWidth="1"/>
    <col min="13078" max="13078" width="11.875" style="52" customWidth="1"/>
    <col min="13079" max="13079" width="11.5" style="52" customWidth="1"/>
    <col min="13080" max="13080" width="18" style="52" bestFit="1" customWidth="1"/>
    <col min="13081" max="13313" width="8.875" style="52"/>
    <col min="13314" max="13320" width="0" style="52" hidden="1" customWidth="1"/>
    <col min="13321" max="13321" width="6.375" style="52" customWidth="1"/>
    <col min="13322" max="13322" width="8.875" style="52"/>
    <col min="13323" max="13323" width="41.875" style="52" customWidth="1"/>
    <col min="13324" max="13324" width="13.125" style="52" bestFit="1" customWidth="1"/>
    <col min="13325" max="13325" width="9.375" style="52" bestFit="1" customWidth="1"/>
    <col min="13326" max="13326" width="10.875" style="52" bestFit="1" customWidth="1"/>
    <col min="13327" max="13327" width="9.875" style="52" customWidth="1"/>
    <col min="13328" max="13328" width="14" style="52" customWidth="1"/>
    <col min="13329" max="13329" width="12.125" style="52" customWidth="1"/>
    <col min="13330" max="13330" width="11.875" style="52" customWidth="1"/>
    <col min="13331" max="13331" width="11.5" style="52" customWidth="1"/>
    <col min="13332" max="13332" width="11.875" style="52" customWidth="1"/>
    <col min="13333" max="13333" width="11.5" style="52" customWidth="1"/>
    <col min="13334" max="13334" width="11.875" style="52" customWidth="1"/>
    <col min="13335" max="13335" width="11.5" style="52" customWidth="1"/>
    <col min="13336" max="13336" width="18" style="52" bestFit="1" customWidth="1"/>
    <col min="13337" max="13569" width="8.875" style="52"/>
    <col min="13570" max="13576" width="0" style="52" hidden="1" customWidth="1"/>
    <col min="13577" max="13577" width="6.375" style="52" customWidth="1"/>
    <col min="13578" max="13578" width="8.875" style="52"/>
    <col min="13579" max="13579" width="41.875" style="52" customWidth="1"/>
    <col min="13580" max="13580" width="13.125" style="52" bestFit="1" customWidth="1"/>
    <col min="13581" max="13581" width="9.375" style="52" bestFit="1" customWidth="1"/>
    <col min="13582" max="13582" width="10.875" style="52" bestFit="1" customWidth="1"/>
    <col min="13583" max="13583" width="9.875" style="52" customWidth="1"/>
    <col min="13584" max="13584" width="14" style="52" customWidth="1"/>
    <col min="13585" max="13585" width="12.125" style="52" customWidth="1"/>
    <col min="13586" max="13586" width="11.875" style="52" customWidth="1"/>
    <col min="13587" max="13587" width="11.5" style="52" customWidth="1"/>
    <col min="13588" max="13588" width="11.875" style="52" customWidth="1"/>
    <col min="13589" max="13589" width="11.5" style="52" customWidth="1"/>
    <col min="13590" max="13590" width="11.875" style="52" customWidth="1"/>
    <col min="13591" max="13591" width="11.5" style="52" customWidth="1"/>
    <col min="13592" max="13592" width="18" style="52" bestFit="1" customWidth="1"/>
    <col min="13593" max="13825" width="8.875" style="52"/>
    <col min="13826" max="13832" width="0" style="52" hidden="1" customWidth="1"/>
    <col min="13833" max="13833" width="6.375" style="52" customWidth="1"/>
    <col min="13834" max="13834" width="8.875" style="52"/>
    <col min="13835" max="13835" width="41.875" style="52" customWidth="1"/>
    <col min="13836" max="13836" width="13.125" style="52" bestFit="1" customWidth="1"/>
    <col min="13837" max="13837" width="9.375" style="52" bestFit="1" customWidth="1"/>
    <col min="13838" max="13838" width="10.875" style="52" bestFit="1" customWidth="1"/>
    <col min="13839" max="13839" width="9.875" style="52" customWidth="1"/>
    <col min="13840" max="13840" width="14" style="52" customWidth="1"/>
    <col min="13841" max="13841" width="12.125" style="52" customWidth="1"/>
    <col min="13842" max="13842" width="11.875" style="52" customWidth="1"/>
    <col min="13843" max="13843" width="11.5" style="52" customWidth="1"/>
    <col min="13844" max="13844" width="11.875" style="52" customWidth="1"/>
    <col min="13845" max="13845" width="11.5" style="52" customWidth="1"/>
    <col min="13846" max="13846" width="11.875" style="52" customWidth="1"/>
    <col min="13847" max="13847" width="11.5" style="52" customWidth="1"/>
    <col min="13848" max="13848" width="18" style="52" bestFit="1" customWidth="1"/>
    <col min="13849" max="14081" width="8.875" style="52"/>
    <col min="14082" max="14088" width="0" style="52" hidden="1" customWidth="1"/>
    <col min="14089" max="14089" width="6.375" style="52" customWidth="1"/>
    <col min="14090" max="14090" width="8.875" style="52"/>
    <col min="14091" max="14091" width="41.875" style="52" customWidth="1"/>
    <col min="14092" max="14092" width="13.125" style="52" bestFit="1" customWidth="1"/>
    <col min="14093" max="14093" width="9.375" style="52" bestFit="1" customWidth="1"/>
    <col min="14094" max="14094" width="10.875" style="52" bestFit="1" customWidth="1"/>
    <col min="14095" max="14095" width="9.875" style="52" customWidth="1"/>
    <col min="14096" max="14096" width="14" style="52" customWidth="1"/>
    <col min="14097" max="14097" width="12.125" style="52" customWidth="1"/>
    <col min="14098" max="14098" width="11.875" style="52" customWidth="1"/>
    <col min="14099" max="14099" width="11.5" style="52" customWidth="1"/>
    <col min="14100" max="14100" width="11.875" style="52" customWidth="1"/>
    <col min="14101" max="14101" width="11.5" style="52" customWidth="1"/>
    <col min="14102" max="14102" width="11.875" style="52" customWidth="1"/>
    <col min="14103" max="14103" width="11.5" style="52" customWidth="1"/>
    <col min="14104" max="14104" width="18" style="52" bestFit="1" customWidth="1"/>
    <col min="14105" max="14337" width="8.875" style="52"/>
    <col min="14338" max="14344" width="0" style="52" hidden="1" customWidth="1"/>
    <col min="14345" max="14345" width="6.375" style="52" customWidth="1"/>
    <col min="14346" max="14346" width="8.875" style="52"/>
    <col min="14347" max="14347" width="41.875" style="52" customWidth="1"/>
    <col min="14348" max="14348" width="13.125" style="52" bestFit="1" customWidth="1"/>
    <col min="14349" max="14349" width="9.375" style="52" bestFit="1" customWidth="1"/>
    <col min="14350" max="14350" width="10.875" style="52" bestFit="1" customWidth="1"/>
    <col min="14351" max="14351" width="9.875" style="52" customWidth="1"/>
    <col min="14352" max="14352" width="14" style="52" customWidth="1"/>
    <col min="14353" max="14353" width="12.125" style="52" customWidth="1"/>
    <col min="14354" max="14354" width="11.875" style="52" customWidth="1"/>
    <col min="14355" max="14355" width="11.5" style="52" customWidth="1"/>
    <col min="14356" max="14356" width="11.875" style="52" customWidth="1"/>
    <col min="14357" max="14357" width="11.5" style="52" customWidth="1"/>
    <col min="14358" max="14358" width="11.875" style="52" customWidth="1"/>
    <col min="14359" max="14359" width="11.5" style="52" customWidth="1"/>
    <col min="14360" max="14360" width="18" style="52" bestFit="1" customWidth="1"/>
    <col min="14361" max="14593" width="8.875" style="52"/>
    <col min="14594" max="14600" width="0" style="52" hidden="1" customWidth="1"/>
    <col min="14601" max="14601" width="6.375" style="52" customWidth="1"/>
    <col min="14602" max="14602" width="8.875" style="52"/>
    <col min="14603" max="14603" width="41.875" style="52" customWidth="1"/>
    <col min="14604" max="14604" width="13.125" style="52" bestFit="1" customWidth="1"/>
    <col min="14605" max="14605" width="9.375" style="52" bestFit="1" customWidth="1"/>
    <col min="14606" max="14606" width="10.875" style="52" bestFit="1" customWidth="1"/>
    <col min="14607" max="14607" width="9.875" style="52" customWidth="1"/>
    <col min="14608" max="14608" width="14" style="52" customWidth="1"/>
    <col min="14609" max="14609" width="12.125" style="52" customWidth="1"/>
    <col min="14610" max="14610" width="11.875" style="52" customWidth="1"/>
    <col min="14611" max="14611" width="11.5" style="52" customWidth="1"/>
    <col min="14612" max="14612" width="11.875" style="52" customWidth="1"/>
    <col min="14613" max="14613" width="11.5" style="52" customWidth="1"/>
    <col min="14614" max="14614" width="11.875" style="52" customWidth="1"/>
    <col min="14615" max="14615" width="11.5" style="52" customWidth="1"/>
    <col min="14616" max="14616" width="18" style="52" bestFit="1" customWidth="1"/>
    <col min="14617" max="14849" width="8.875" style="52"/>
    <col min="14850" max="14856" width="0" style="52" hidden="1" customWidth="1"/>
    <col min="14857" max="14857" width="6.375" style="52" customWidth="1"/>
    <col min="14858" max="14858" width="8.875" style="52"/>
    <col min="14859" max="14859" width="41.875" style="52" customWidth="1"/>
    <col min="14860" max="14860" width="13.125" style="52" bestFit="1" customWidth="1"/>
    <col min="14861" max="14861" width="9.375" style="52" bestFit="1" customWidth="1"/>
    <col min="14862" max="14862" width="10.875" style="52" bestFit="1" customWidth="1"/>
    <col min="14863" max="14863" width="9.875" style="52" customWidth="1"/>
    <col min="14864" max="14864" width="14" style="52" customWidth="1"/>
    <col min="14865" max="14865" width="12.125" style="52" customWidth="1"/>
    <col min="14866" max="14866" width="11.875" style="52" customWidth="1"/>
    <col min="14867" max="14867" width="11.5" style="52" customWidth="1"/>
    <col min="14868" max="14868" width="11.875" style="52" customWidth="1"/>
    <col min="14869" max="14869" width="11.5" style="52" customWidth="1"/>
    <col min="14870" max="14870" width="11.875" style="52" customWidth="1"/>
    <col min="14871" max="14871" width="11.5" style="52" customWidth="1"/>
    <col min="14872" max="14872" width="18" style="52" bestFit="1" customWidth="1"/>
    <col min="14873" max="15105" width="8.875" style="52"/>
    <col min="15106" max="15112" width="0" style="52" hidden="1" customWidth="1"/>
    <col min="15113" max="15113" width="6.375" style="52" customWidth="1"/>
    <col min="15114" max="15114" width="8.875" style="52"/>
    <col min="15115" max="15115" width="41.875" style="52" customWidth="1"/>
    <col min="15116" max="15116" width="13.125" style="52" bestFit="1" customWidth="1"/>
    <col min="15117" max="15117" width="9.375" style="52" bestFit="1" customWidth="1"/>
    <col min="15118" max="15118" width="10.875" style="52" bestFit="1" customWidth="1"/>
    <col min="15119" max="15119" width="9.875" style="52" customWidth="1"/>
    <col min="15120" max="15120" width="14" style="52" customWidth="1"/>
    <col min="15121" max="15121" width="12.125" style="52" customWidth="1"/>
    <col min="15122" max="15122" width="11.875" style="52" customWidth="1"/>
    <col min="15123" max="15123" width="11.5" style="52" customWidth="1"/>
    <col min="15124" max="15124" width="11.875" style="52" customWidth="1"/>
    <col min="15125" max="15125" width="11.5" style="52" customWidth="1"/>
    <col min="15126" max="15126" width="11.875" style="52" customWidth="1"/>
    <col min="15127" max="15127" width="11.5" style="52" customWidth="1"/>
    <col min="15128" max="15128" width="18" style="52" bestFit="1" customWidth="1"/>
    <col min="15129" max="15361" width="8.875" style="52"/>
    <col min="15362" max="15368" width="0" style="52" hidden="1" customWidth="1"/>
    <col min="15369" max="15369" width="6.375" style="52" customWidth="1"/>
    <col min="15370" max="15370" width="8.875" style="52"/>
    <col min="15371" max="15371" width="41.875" style="52" customWidth="1"/>
    <col min="15372" max="15372" width="13.125" style="52" bestFit="1" customWidth="1"/>
    <col min="15373" max="15373" width="9.375" style="52" bestFit="1" customWidth="1"/>
    <col min="15374" max="15374" width="10.875" style="52" bestFit="1" customWidth="1"/>
    <col min="15375" max="15375" width="9.875" style="52" customWidth="1"/>
    <col min="15376" max="15376" width="14" style="52" customWidth="1"/>
    <col min="15377" max="15377" width="12.125" style="52" customWidth="1"/>
    <col min="15378" max="15378" width="11.875" style="52" customWidth="1"/>
    <col min="15379" max="15379" width="11.5" style="52" customWidth="1"/>
    <col min="15380" max="15380" width="11.875" style="52" customWidth="1"/>
    <col min="15381" max="15381" width="11.5" style="52" customWidth="1"/>
    <col min="15382" max="15382" width="11.875" style="52" customWidth="1"/>
    <col min="15383" max="15383" width="11.5" style="52" customWidth="1"/>
    <col min="15384" max="15384" width="18" style="52" bestFit="1" customWidth="1"/>
    <col min="15385" max="15617" width="8.875" style="52"/>
    <col min="15618" max="15624" width="0" style="52" hidden="1" customWidth="1"/>
    <col min="15625" max="15625" width="6.375" style="52" customWidth="1"/>
    <col min="15626" max="15626" width="8.875" style="52"/>
    <col min="15627" max="15627" width="41.875" style="52" customWidth="1"/>
    <col min="15628" max="15628" width="13.125" style="52" bestFit="1" customWidth="1"/>
    <col min="15629" max="15629" width="9.375" style="52" bestFit="1" customWidth="1"/>
    <col min="15630" max="15630" width="10.875" style="52" bestFit="1" customWidth="1"/>
    <col min="15631" max="15631" width="9.875" style="52" customWidth="1"/>
    <col min="15632" max="15632" width="14" style="52" customWidth="1"/>
    <col min="15633" max="15633" width="12.125" style="52" customWidth="1"/>
    <col min="15634" max="15634" width="11.875" style="52" customWidth="1"/>
    <col min="15635" max="15635" width="11.5" style="52" customWidth="1"/>
    <col min="15636" max="15636" width="11.875" style="52" customWidth="1"/>
    <col min="15637" max="15637" width="11.5" style="52" customWidth="1"/>
    <col min="15638" max="15638" width="11.875" style="52" customWidth="1"/>
    <col min="15639" max="15639" width="11.5" style="52" customWidth="1"/>
    <col min="15640" max="15640" width="18" style="52" bestFit="1" customWidth="1"/>
    <col min="15641" max="15873" width="8.875" style="52"/>
    <col min="15874" max="15880" width="0" style="52" hidden="1" customWidth="1"/>
    <col min="15881" max="15881" width="6.375" style="52" customWidth="1"/>
    <col min="15882" max="15882" width="8.875" style="52"/>
    <col min="15883" max="15883" width="41.875" style="52" customWidth="1"/>
    <col min="15884" max="15884" width="13.125" style="52" bestFit="1" customWidth="1"/>
    <col min="15885" max="15885" width="9.375" style="52" bestFit="1" customWidth="1"/>
    <col min="15886" max="15886" width="10.875" style="52" bestFit="1" customWidth="1"/>
    <col min="15887" max="15887" width="9.875" style="52" customWidth="1"/>
    <col min="15888" max="15888" width="14" style="52" customWidth="1"/>
    <col min="15889" max="15889" width="12.125" style="52" customWidth="1"/>
    <col min="15890" max="15890" width="11.875" style="52" customWidth="1"/>
    <col min="15891" max="15891" width="11.5" style="52" customWidth="1"/>
    <col min="15892" max="15892" width="11.875" style="52" customWidth="1"/>
    <col min="15893" max="15893" width="11.5" style="52" customWidth="1"/>
    <col min="15894" max="15894" width="11.875" style="52" customWidth="1"/>
    <col min="15895" max="15895" width="11.5" style="52" customWidth="1"/>
    <col min="15896" max="15896" width="18" style="52" bestFit="1" customWidth="1"/>
    <col min="15897" max="16129" width="8.875" style="52"/>
    <col min="16130" max="16136" width="0" style="52" hidden="1" customWidth="1"/>
    <col min="16137" max="16137" width="6.375" style="52" customWidth="1"/>
    <col min="16138" max="16138" width="8.875" style="52"/>
    <col min="16139" max="16139" width="41.875" style="52" customWidth="1"/>
    <col min="16140" max="16140" width="13.125" style="52" bestFit="1" customWidth="1"/>
    <col min="16141" max="16141" width="9.375" style="52" bestFit="1" customWidth="1"/>
    <col min="16142" max="16142" width="10.875" style="52" bestFit="1" customWidth="1"/>
    <col min="16143" max="16143" width="9.875" style="52" customWidth="1"/>
    <col min="16144" max="16144" width="14" style="52" customWidth="1"/>
    <col min="16145" max="16145" width="12.125" style="52" customWidth="1"/>
    <col min="16146" max="16146" width="11.875" style="52" customWidth="1"/>
    <col min="16147" max="16147" width="11.5" style="52" customWidth="1"/>
    <col min="16148" max="16148" width="11.875" style="52" customWidth="1"/>
    <col min="16149" max="16149" width="11.5" style="52" customWidth="1"/>
    <col min="16150" max="16150" width="11.875" style="52" customWidth="1"/>
    <col min="16151" max="16151" width="11.5" style="52" customWidth="1"/>
    <col min="16152" max="16152" width="18" style="52" bestFit="1" customWidth="1"/>
    <col min="16153" max="16384" width="8.875" style="52"/>
  </cols>
  <sheetData>
    <row r="1" spans="1:25">
      <c r="A1" s="97"/>
      <c r="B1" s="97" t="s">
        <v>467</v>
      </c>
      <c r="C1" s="97" t="s">
        <v>468</v>
      </c>
      <c r="D1" s="97" t="s">
        <v>469</v>
      </c>
      <c r="E1" s="97" t="s">
        <v>470</v>
      </c>
      <c r="F1" s="97" t="s">
        <v>471</v>
      </c>
      <c r="G1" s="97" t="s">
        <v>472</v>
      </c>
      <c r="H1" s="97" t="s">
        <v>473</v>
      </c>
      <c r="I1" s="300"/>
      <c r="J1" s="219"/>
      <c r="K1" s="1080" t="s">
        <v>474</v>
      </c>
      <c r="L1" s="219" t="s">
        <v>468</v>
      </c>
      <c r="M1" s="219" t="s">
        <v>469</v>
      </c>
      <c r="N1" s="219" t="s">
        <v>470</v>
      </c>
      <c r="O1" s="219" t="s">
        <v>471</v>
      </c>
      <c r="P1" s="219" t="s">
        <v>475</v>
      </c>
      <c r="Q1" s="219" t="s">
        <v>476</v>
      </c>
      <c r="R1" s="219" t="s">
        <v>475</v>
      </c>
      <c r="S1" s="219" t="s">
        <v>476</v>
      </c>
      <c r="T1" s="219" t="s">
        <v>475</v>
      </c>
      <c r="U1" s="219" t="s">
        <v>476</v>
      </c>
      <c r="V1" s="219" t="s">
        <v>477</v>
      </c>
      <c r="W1" s="219" t="s">
        <v>478</v>
      </c>
    </row>
    <row r="2" spans="1:25" ht="13.5" thickBot="1">
      <c r="A2" s="301"/>
      <c r="B2" s="301"/>
      <c r="C2" s="275" t="s">
        <v>479</v>
      </c>
      <c r="D2" s="275" t="s">
        <v>479</v>
      </c>
      <c r="E2" s="275" t="s">
        <v>479</v>
      </c>
      <c r="F2" s="275" t="s">
        <v>479</v>
      </c>
      <c r="G2" s="275"/>
      <c r="H2" s="275"/>
      <c r="I2" s="302"/>
      <c r="J2" s="240"/>
      <c r="K2" s="1095"/>
      <c r="L2" s="58" t="s">
        <v>479</v>
      </c>
      <c r="M2" s="58" t="s">
        <v>479</v>
      </c>
      <c r="N2" s="58" t="s">
        <v>479</v>
      </c>
      <c r="O2" s="58" t="s">
        <v>479</v>
      </c>
      <c r="P2" s="58" t="s">
        <v>480</v>
      </c>
      <c r="Q2" s="58" t="s">
        <v>480</v>
      </c>
      <c r="R2" s="58" t="s">
        <v>481</v>
      </c>
      <c r="S2" s="58" t="s">
        <v>481</v>
      </c>
      <c r="T2" s="58" t="s">
        <v>481</v>
      </c>
      <c r="U2" s="58" t="s">
        <v>481</v>
      </c>
      <c r="V2" s="58" t="s">
        <v>482</v>
      </c>
      <c r="W2" s="58" t="s">
        <v>483</v>
      </c>
    </row>
    <row r="3" spans="1:25" ht="14.25">
      <c r="A3" s="276"/>
      <c r="B3" s="293"/>
      <c r="C3" s="294"/>
      <c r="D3" s="295"/>
      <c r="E3" s="296"/>
      <c r="F3" s="297"/>
      <c r="G3" s="298"/>
      <c r="H3" s="299"/>
      <c r="I3" s="266"/>
      <c r="J3" s="214" t="s">
        <v>484</v>
      </c>
      <c r="K3" s="241" t="s">
        <v>485</v>
      </c>
      <c r="L3" s="242">
        <v>26.387</v>
      </c>
      <c r="M3" s="242">
        <v>4.2670000000000003</v>
      </c>
      <c r="N3" s="242"/>
      <c r="O3" s="242"/>
      <c r="P3" s="59"/>
      <c r="Q3" s="59"/>
      <c r="R3" s="59"/>
      <c r="S3" s="59"/>
      <c r="T3" s="59"/>
      <c r="U3" s="59"/>
      <c r="V3" s="59"/>
      <c r="W3" s="59"/>
      <c r="X3" s="52" t="s">
        <v>486</v>
      </c>
      <c r="Y3" s="52" t="s">
        <v>487</v>
      </c>
    </row>
    <row r="4" spans="1:25">
      <c r="A4" s="276"/>
      <c r="B4" s="290"/>
      <c r="C4" s="278"/>
      <c r="D4" s="279"/>
      <c r="E4" s="280"/>
      <c r="F4" s="281"/>
      <c r="G4" s="282"/>
      <c r="H4" s="283"/>
      <c r="I4" s="266"/>
      <c r="J4" s="204" t="s">
        <v>488</v>
      </c>
      <c r="K4" s="212" t="s">
        <v>489</v>
      </c>
      <c r="L4" s="243">
        <v>26.387</v>
      </c>
      <c r="M4" s="243">
        <v>4.2670000000000003</v>
      </c>
      <c r="N4" s="243"/>
      <c r="O4" s="243"/>
      <c r="P4" s="60"/>
      <c r="Q4" s="60"/>
      <c r="R4" s="60"/>
      <c r="S4" s="60"/>
      <c r="T4" s="60"/>
      <c r="U4" s="60"/>
      <c r="V4" s="60"/>
      <c r="W4" s="60"/>
    </row>
    <row r="5" spans="1:25">
      <c r="A5" s="276"/>
      <c r="B5" s="290"/>
      <c r="C5" s="278"/>
      <c r="D5" s="279"/>
      <c r="E5" s="280"/>
      <c r="F5" s="281"/>
      <c r="G5" s="282"/>
      <c r="H5" s="283"/>
      <c r="I5" s="266"/>
      <c r="J5" s="204" t="s">
        <v>490</v>
      </c>
      <c r="K5" s="212" t="s">
        <v>491</v>
      </c>
      <c r="L5" s="243">
        <v>26.387</v>
      </c>
      <c r="M5" s="243">
        <v>4.2670000000000003</v>
      </c>
      <c r="N5" s="243"/>
      <c r="O5" s="243"/>
      <c r="P5" s="60"/>
      <c r="Q5" s="60"/>
      <c r="R5" s="60"/>
      <c r="S5" s="60"/>
      <c r="T5" s="60"/>
      <c r="U5" s="60"/>
      <c r="V5" s="60"/>
      <c r="W5" s="60"/>
    </row>
    <row r="6" spans="1:25">
      <c r="A6" s="276"/>
      <c r="B6" s="290"/>
      <c r="C6" s="278"/>
      <c r="D6" s="279"/>
      <c r="E6" s="280"/>
      <c r="F6" s="281"/>
      <c r="G6" s="282"/>
      <c r="H6" s="283"/>
      <c r="I6" s="266"/>
      <c r="J6" s="204" t="s">
        <v>492</v>
      </c>
      <c r="K6" s="212" t="s">
        <v>493</v>
      </c>
      <c r="L6" s="243">
        <v>16.8</v>
      </c>
      <c r="M6" s="243">
        <v>4.5999999999999996</v>
      </c>
      <c r="N6" s="243"/>
      <c r="O6" s="243"/>
      <c r="P6" s="60">
        <f>(M6/2-0.63)/M6*100</f>
        <v>36.304347826086961</v>
      </c>
      <c r="Q6" s="60">
        <f>(M6/2+0.41)/M6*100</f>
        <v>58.913043478260875</v>
      </c>
      <c r="R6" s="60">
        <f>(M6/2+1.18)/M6*100</f>
        <v>75.65217391304347</v>
      </c>
      <c r="S6" s="60">
        <f>(M6/2+1.536)/M6*100</f>
        <v>83.391304347826093</v>
      </c>
      <c r="T6" s="60"/>
      <c r="U6" s="60"/>
      <c r="V6" s="60"/>
      <c r="W6" s="60"/>
    </row>
    <row r="7" spans="1:25">
      <c r="A7" s="276"/>
      <c r="B7" s="290"/>
      <c r="C7" s="278"/>
      <c r="D7" s="279"/>
      <c r="E7" s="280"/>
      <c r="F7" s="281"/>
      <c r="G7" s="282"/>
      <c r="H7" s="283"/>
      <c r="I7" s="266"/>
      <c r="J7" s="204" t="s">
        <v>494</v>
      </c>
      <c r="K7" s="212" t="s">
        <v>495</v>
      </c>
      <c r="L7" s="243">
        <v>3.246</v>
      </c>
      <c r="M7" s="243">
        <v>1.25</v>
      </c>
      <c r="N7" s="243"/>
      <c r="O7" s="243"/>
      <c r="P7" s="60">
        <f>(M7/2-0.424)/M7*100</f>
        <v>16.079999999999998</v>
      </c>
      <c r="Q7" s="60">
        <f>(M7/2+0.173)/M7*100</f>
        <v>63.840000000000011</v>
      </c>
      <c r="R7" s="60">
        <f>(M7/2-0.443)/M7*100</f>
        <v>14.56</v>
      </c>
      <c r="S7" s="60">
        <f>(M7/2+0.44)/M7*100</f>
        <v>85.2</v>
      </c>
      <c r="T7" s="60"/>
      <c r="U7" s="60"/>
      <c r="V7" s="60"/>
      <c r="W7" s="60"/>
    </row>
    <row r="8" spans="1:25">
      <c r="A8" s="276"/>
      <c r="B8" s="290"/>
      <c r="C8" s="278"/>
      <c r="D8" s="279"/>
      <c r="E8" s="280"/>
      <c r="F8" s="281"/>
      <c r="G8" s="282"/>
      <c r="H8" s="283"/>
      <c r="I8" s="266"/>
      <c r="J8" s="204" t="s">
        <v>496</v>
      </c>
      <c r="K8" s="212" t="s">
        <v>497</v>
      </c>
      <c r="L8" s="243">
        <v>6.2</v>
      </c>
      <c r="M8" s="243">
        <v>2.8</v>
      </c>
      <c r="N8" s="243"/>
      <c r="O8" s="243"/>
      <c r="P8" s="60">
        <f>(M8/2-1)/M8*100</f>
        <v>14.285714285714283</v>
      </c>
      <c r="Q8" s="60">
        <f>(M8/2+1)/M8*100</f>
        <v>85.714285714285722</v>
      </c>
      <c r="R8" s="212">
        <f>P8</f>
        <v>14.285714285714283</v>
      </c>
      <c r="S8" s="60">
        <f>Q8</f>
        <v>85.714285714285722</v>
      </c>
      <c r="T8" s="212"/>
      <c r="U8" s="60"/>
      <c r="V8" s="212"/>
      <c r="W8" s="60"/>
    </row>
    <row r="9" spans="1:25">
      <c r="A9" s="276"/>
      <c r="B9" s="290"/>
      <c r="C9" s="278"/>
      <c r="D9" s="279"/>
      <c r="E9" s="280"/>
      <c r="F9" s="281"/>
      <c r="G9" s="282"/>
      <c r="H9" s="283"/>
      <c r="I9" s="266"/>
      <c r="J9" s="204" t="s">
        <v>498</v>
      </c>
      <c r="K9" s="212" t="s">
        <v>499</v>
      </c>
      <c r="L9" s="243">
        <v>6.1020000000000003</v>
      </c>
      <c r="M9" s="243">
        <v>1.8480000000000001</v>
      </c>
      <c r="N9" s="243"/>
      <c r="O9" s="243"/>
      <c r="P9" s="60">
        <f>($M9/2-0.25)/$M9*100</f>
        <v>36.471861471861473</v>
      </c>
      <c r="Q9" s="60">
        <f>(M9/2+0.325)/M9*100</f>
        <v>67.586580086580099</v>
      </c>
      <c r="R9" s="60">
        <f>($M9/2-0.575)/$M9*100</f>
        <v>18.885281385281388</v>
      </c>
      <c r="S9" s="60">
        <f>($M9/2+0.475)/$M9*100</f>
        <v>75.703463203463201</v>
      </c>
      <c r="T9" s="60">
        <f>($M9/2-0.675)/$M9*100</f>
        <v>13.474025974025974</v>
      </c>
      <c r="U9" s="60">
        <f>($M9/2+0.475)/$M9*100</f>
        <v>75.703463203463201</v>
      </c>
      <c r="V9" s="60"/>
      <c r="W9" s="60"/>
    </row>
    <row r="10" spans="1:25">
      <c r="A10" s="276"/>
      <c r="B10" s="290"/>
      <c r="C10" s="278"/>
      <c r="D10" s="279"/>
      <c r="E10" s="280"/>
      <c r="F10" s="281"/>
      <c r="G10" s="282"/>
      <c r="H10" s="283"/>
      <c r="I10" s="266"/>
      <c r="J10" s="204" t="s">
        <v>500</v>
      </c>
      <c r="K10" s="212" t="s">
        <v>501</v>
      </c>
      <c r="L10" s="243">
        <v>2.8</v>
      </c>
      <c r="M10" s="243">
        <v>0.95</v>
      </c>
      <c r="N10" s="243"/>
      <c r="O10" s="243"/>
      <c r="P10" s="60"/>
      <c r="Q10" s="60"/>
      <c r="R10" s="60">
        <f>(0.15+0.825)/$L10*100</f>
        <v>34.821428571428577</v>
      </c>
      <c r="S10" s="60">
        <f>R10+0.356/$L10*100</f>
        <v>47.535714285714292</v>
      </c>
      <c r="T10" s="60">
        <f>0.15/$L10*100</f>
        <v>5.3571428571428577</v>
      </c>
      <c r="U10" s="60">
        <f>T10+1.6/$L10*100</f>
        <v>62.500000000000014</v>
      </c>
      <c r="V10" s="212"/>
      <c r="W10" s="60"/>
    </row>
    <row r="11" spans="1:25">
      <c r="A11" s="276"/>
      <c r="B11" s="291"/>
      <c r="C11" s="267"/>
      <c r="D11" s="268"/>
      <c r="E11" s="269"/>
      <c r="F11" s="270"/>
      <c r="G11" s="271"/>
      <c r="H11" s="272"/>
      <c r="I11" s="266"/>
      <c r="J11" s="204" t="s">
        <v>502</v>
      </c>
      <c r="K11" s="212" t="s">
        <v>503</v>
      </c>
      <c r="L11" s="243">
        <v>6.5</v>
      </c>
      <c r="M11" s="243">
        <v>4.5</v>
      </c>
      <c r="N11" s="244"/>
      <c r="O11" s="244"/>
      <c r="P11" s="245"/>
      <c r="Q11" s="245"/>
      <c r="R11" s="60"/>
      <c r="S11" s="60"/>
      <c r="T11" s="60"/>
      <c r="U11" s="60"/>
      <c r="V11" s="60"/>
      <c r="W11" s="60"/>
    </row>
    <row r="12" spans="1:25">
      <c r="A12" s="276"/>
      <c r="B12" s="291"/>
      <c r="C12" s="267"/>
      <c r="D12" s="268"/>
      <c r="E12" s="269"/>
      <c r="F12" s="270"/>
      <c r="G12" s="271"/>
      <c r="H12" s="272"/>
      <c r="I12" s="266"/>
      <c r="J12" s="204" t="s">
        <v>504</v>
      </c>
      <c r="K12" s="212" t="s">
        <v>505</v>
      </c>
      <c r="L12" s="243">
        <v>3.65</v>
      </c>
      <c r="M12" s="243">
        <v>3.05</v>
      </c>
      <c r="N12" s="244"/>
      <c r="O12" s="244"/>
      <c r="P12" s="245"/>
      <c r="Q12" s="245"/>
      <c r="R12" s="60"/>
      <c r="S12" s="60"/>
      <c r="T12" s="60"/>
      <c r="U12" s="60"/>
      <c r="V12" s="60"/>
      <c r="W12" s="60"/>
    </row>
    <row r="13" spans="1:25">
      <c r="A13" s="276"/>
      <c r="B13" s="291"/>
      <c r="C13" s="267"/>
      <c r="D13" s="268"/>
      <c r="E13" s="269"/>
      <c r="F13" s="270"/>
      <c r="G13" s="271"/>
      <c r="H13" s="272"/>
      <c r="I13" s="266"/>
      <c r="J13" s="204" t="s">
        <v>506</v>
      </c>
      <c r="K13" s="212" t="s">
        <v>507</v>
      </c>
      <c r="L13" s="243">
        <v>3.65</v>
      </c>
      <c r="M13" s="243">
        <v>3.05</v>
      </c>
      <c r="N13" s="244"/>
      <c r="O13" s="244"/>
      <c r="P13" s="245"/>
      <c r="Q13" s="245"/>
      <c r="R13" s="60"/>
      <c r="S13" s="60"/>
      <c r="T13" s="60"/>
      <c r="U13" s="60"/>
      <c r="V13" s="60"/>
      <c r="W13" s="60"/>
    </row>
    <row r="14" spans="1:25">
      <c r="A14" s="276"/>
      <c r="B14" s="291"/>
      <c r="C14" s="267"/>
      <c r="D14" s="268"/>
      <c r="E14" s="269"/>
      <c r="F14" s="270"/>
      <c r="G14" s="271"/>
      <c r="H14" s="272"/>
      <c r="I14" s="266"/>
      <c r="J14" s="204" t="s">
        <v>508</v>
      </c>
      <c r="K14" s="212" t="s">
        <v>509</v>
      </c>
      <c r="L14" s="243">
        <v>2.25</v>
      </c>
      <c r="M14" s="243">
        <v>1.2</v>
      </c>
      <c r="N14" s="244"/>
      <c r="O14" s="244"/>
      <c r="P14" s="61"/>
      <c r="Q14" s="61"/>
      <c r="R14" s="60">
        <f>(0.375)/$L14*100</f>
        <v>16.666666666666664</v>
      </c>
      <c r="S14" s="60">
        <f>R14+1.6/$L14*100</f>
        <v>87.777777777777771</v>
      </c>
      <c r="T14" s="60"/>
      <c r="U14" s="60"/>
      <c r="V14" s="60"/>
      <c r="W14" s="60"/>
    </row>
    <row r="15" spans="1:25" ht="13.5" thickBot="1">
      <c r="A15" s="276"/>
      <c r="B15" s="292"/>
      <c r="C15" s="284"/>
      <c r="D15" s="285"/>
      <c r="E15" s="286"/>
      <c r="F15" s="287"/>
      <c r="G15" s="288"/>
      <c r="H15" s="289"/>
      <c r="I15" s="266"/>
      <c r="J15" s="204" t="s">
        <v>510</v>
      </c>
      <c r="K15" s="212" t="s">
        <v>511</v>
      </c>
      <c r="L15" s="243">
        <v>1.25</v>
      </c>
      <c r="M15" s="243">
        <v>0.5</v>
      </c>
      <c r="N15" s="244"/>
      <c r="O15" s="244"/>
      <c r="P15" s="60">
        <f>(0.203)/$L15*100</f>
        <v>16.240000000000002</v>
      </c>
      <c r="Q15" s="60">
        <f>P15+0.597/$L15*100</f>
        <v>64</v>
      </c>
      <c r="R15" s="60">
        <f>(0.15)/$L15*100</f>
        <v>12</v>
      </c>
      <c r="S15" s="60">
        <f>R15+0.883/$L15*100</f>
        <v>82.64</v>
      </c>
      <c r="T15" s="60"/>
      <c r="U15" s="60"/>
      <c r="V15" s="60"/>
      <c r="W15" s="60"/>
    </row>
    <row r="16" spans="1:25" ht="13.5" thickTop="1">
      <c r="J16" s="204" t="s">
        <v>512</v>
      </c>
      <c r="K16" s="212" t="str">
        <f>K15</f>
        <v>0002-05-21-0026.tif</v>
      </c>
      <c r="L16" s="243">
        <f>L15</f>
        <v>1.25</v>
      </c>
      <c r="M16" s="243">
        <f>M15</f>
        <v>0.5</v>
      </c>
      <c r="N16" s="244"/>
      <c r="O16" s="244"/>
      <c r="P16" s="60">
        <f>(0.203)/$L16*100</f>
        <v>16.240000000000002</v>
      </c>
      <c r="Q16" s="60">
        <f>P16+0.597/$L16*100</f>
        <v>64</v>
      </c>
      <c r="R16" s="60">
        <f>(0.15)/$L16*100</f>
        <v>12</v>
      </c>
      <c r="S16" s="60">
        <f>R16+0.883/$L16*100</f>
        <v>82.64</v>
      </c>
      <c r="T16" s="60"/>
      <c r="U16" s="60"/>
      <c r="V16" s="60"/>
      <c r="W16" s="60"/>
    </row>
    <row r="17" spans="1:24">
      <c r="J17" s="204" t="s">
        <v>513</v>
      </c>
      <c r="K17" s="212" t="s">
        <v>514</v>
      </c>
      <c r="L17" s="243">
        <v>10.7</v>
      </c>
      <c r="M17" s="243">
        <v>2.94</v>
      </c>
      <c r="N17" s="244">
        <v>1</v>
      </c>
      <c r="O17" s="244">
        <v>1.1599999999999999</v>
      </c>
      <c r="P17" s="60">
        <f>($M17/2-0.45)/$M17*100</f>
        <v>34.693877551020407</v>
      </c>
      <c r="Q17" s="60">
        <f>P17+1.6/$M17*100</f>
        <v>89.115646258503403</v>
      </c>
      <c r="R17" s="60">
        <f>($M17/2-0.356)/$M17*100</f>
        <v>37.89115646258503</v>
      </c>
      <c r="S17" s="60">
        <f>($M17/2+0.05)/$M17*100</f>
        <v>51.700680272108848</v>
      </c>
      <c r="T17" s="60">
        <f>($M17/2+0.65)/$M17*100</f>
        <v>72.10884353741497</v>
      </c>
      <c r="U17" s="60">
        <f>T17+0.356/$M17*100</f>
        <v>84.217687074829939</v>
      </c>
      <c r="V17" s="212"/>
      <c r="W17" s="60"/>
    </row>
    <row r="18" spans="1:24">
      <c r="J18" s="204" t="s">
        <v>515</v>
      </c>
      <c r="K18" s="212" t="s">
        <v>516</v>
      </c>
      <c r="L18" s="243">
        <v>11.9</v>
      </c>
      <c r="M18" s="243">
        <v>3.05</v>
      </c>
      <c r="N18" s="244">
        <v>1.35</v>
      </c>
      <c r="O18" s="244">
        <v>1.04</v>
      </c>
      <c r="P18" s="60">
        <f>($M18/2-1.248)/$M18*100</f>
        <v>9.0819672131147513</v>
      </c>
      <c r="Q18" s="60">
        <f>P18+1.248*2/$M18*100</f>
        <v>90.918032786885249</v>
      </c>
      <c r="R18" s="60">
        <f>P18+0.21/$M18*100</f>
        <v>15.967213114754095</v>
      </c>
      <c r="S18" s="60">
        <f>Q18-0.21/$M18*100</f>
        <v>84.032786885245898</v>
      </c>
      <c r="T18" s="60">
        <f>R18</f>
        <v>15.967213114754095</v>
      </c>
      <c r="U18" s="60">
        <f>S18</f>
        <v>84.032786885245898</v>
      </c>
      <c r="V18" s="60">
        <f>(0.2)/$N18*100</f>
        <v>14.814814814814813</v>
      </c>
      <c r="W18" s="60">
        <f>V18+0.9/$N18*100</f>
        <v>81.481481481481467</v>
      </c>
    </row>
    <row r="19" spans="1:24">
      <c r="J19" s="204" t="s">
        <v>517</v>
      </c>
      <c r="K19" s="212" t="s">
        <v>518</v>
      </c>
      <c r="L19" s="243">
        <v>3.5750000000000002</v>
      </c>
      <c r="M19" s="243">
        <v>1.4</v>
      </c>
      <c r="N19" s="244"/>
      <c r="O19" s="244"/>
      <c r="P19" s="60">
        <f>0.977/$L19*100</f>
        <v>27.328671328671327</v>
      </c>
      <c r="Q19" s="60">
        <f>P19+0.603/$L19*100</f>
        <v>44.195804195804193</v>
      </c>
      <c r="R19" s="60">
        <f>0.26/$L19*100</f>
        <v>7.2727272727272725</v>
      </c>
      <c r="S19" s="60">
        <f>R19+1.6/$L19*100</f>
        <v>52.027972027972027</v>
      </c>
      <c r="T19" s="60">
        <f>1.522/$L19*100</f>
        <v>42.573426573426573</v>
      </c>
      <c r="U19" s="60">
        <f>T19+0.356/$L19*100</f>
        <v>52.531468531468533</v>
      </c>
      <c r="V19" s="60"/>
      <c r="W19" s="60"/>
    </row>
    <row r="20" spans="1:24">
      <c r="J20" s="204" t="s">
        <v>519</v>
      </c>
      <c r="K20" s="212" t="s">
        <v>520</v>
      </c>
      <c r="L20" s="243">
        <v>1.5</v>
      </c>
      <c r="M20" s="243">
        <v>1.27</v>
      </c>
      <c r="N20" s="244"/>
      <c r="O20" s="244"/>
      <c r="P20" s="61"/>
      <c r="Q20" s="61"/>
      <c r="R20" s="60"/>
      <c r="S20" s="60"/>
      <c r="T20" s="60"/>
      <c r="U20" s="60"/>
      <c r="V20" s="60"/>
      <c r="W20" s="60"/>
    </row>
    <row r="21" spans="1:24">
      <c r="J21" s="204" t="s">
        <v>521</v>
      </c>
      <c r="K21" s="212" t="s">
        <v>522</v>
      </c>
      <c r="L21" s="243">
        <v>9.35</v>
      </c>
      <c r="M21" s="243">
        <v>2.5030000000000001</v>
      </c>
      <c r="N21" s="244">
        <f>1.235</f>
        <v>1.2350000000000001</v>
      </c>
      <c r="O21" s="244">
        <v>0.6</v>
      </c>
      <c r="P21" s="61">
        <f>($M21/2-(2-0.984))/$M21*100</f>
        <v>9.4087095485417507</v>
      </c>
      <c r="Q21" s="61">
        <f>P21+2/$M21*100</f>
        <v>89.31282461046743</v>
      </c>
      <c r="R21" s="60">
        <f>($M21/2-(2-0.966))/$M21*100</f>
        <v>8.6895725129844195</v>
      </c>
      <c r="S21" s="60">
        <f>R21+2/$M21*100</f>
        <v>88.593687574910092</v>
      </c>
      <c r="T21" s="60"/>
      <c r="U21" s="60"/>
      <c r="V21" s="60">
        <f>0.26/N21*100</f>
        <v>21.052631578947366</v>
      </c>
      <c r="W21" s="60">
        <f>1.06/N21*100</f>
        <v>85.829959514170042</v>
      </c>
    </row>
    <row r="22" spans="1:24">
      <c r="J22" s="204" t="s">
        <v>523</v>
      </c>
      <c r="K22" s="212" t="s">
        <v>524</v>
      </c>
      <c r="L22" s="243">
        <v>13.65</v>
      </c>
      <c r="M22" s="243">
        <v>3.7</v>
      </c>
      <c r="N22" s="244"/>
      <c r="O22" s="244"/>
      <c r="P22" s="61">
        <f>($M22/2-(1.462-1.08))/$M22*100</f>
        <v>39.675675675675684</v>
      </c>
      <c r="Q22" s="61">
        <f>P22+1.462/$M22*100</f>
        <v>79.189189189189193</v>
      </c>
      <c r="R22" s="60"/>
      <c r="S22" s="60"/>
      <c r="T22" s="60"/>
      <c r="U22" s="60"/>
      <c r="V22" s="60"/>
      <c r="W22" s="60"/>
    </row>
    <row r="23" spans="1:24">
      <c r="J23" s="204" t="s">
        <v>525</v>
      </c>
      <c r="K23" s="212" t="s">
        <v>526</v>
      </c>
      <c r="L23" s="243">
        <v>2</v>
      </c>
      <c r="M23" s="243">
        <v>0.7</v>
      </c>
      <c r="N23" s="244"/>
      <c r="O23" s="244"/>
      <c r="P23" s="60">
        <f>0.156/$L23*100</f>
        <v>7.8</v>
      </c>
      <c r="Q23" s="60">
        <f>P23+1.054/$L23*100</f>
        <v>60.5</v>
      </c>
      <c r="R23" s="60">
        <f>0.15/$L23*100</f>
        <v>7.5</v>
      </c>
      <c r="S23" s="60">
        <f>R23+1.242/$L23*100</f>
        <v>69.599999999999994</v>
      </c>
      <c r="T23" s="60"/>
      <c r="U23" s="60"/>
      <c r="V23" s="60"/>
      <c r="W23" s="60"/>
    </row>
    <row r="24" spans="1:24">
      <c r="J24" s="204" t="s">
        <v>527</v>
      </c>
      <c r="K24" s="212" t="s">
        <v>528</v>
      </c>
      <c r="L24" s="243">
        <v>3.1</v>
      </c>
      <c r="M24" s="243">
        <v>2.15</v>
      </c>
      <c r="N24" s="244"/>
      <c r="O24" s="244"/>
      <c r="P24" s="61"/>
      <c r="Q24" s="61"/>
      <c r="R24" s="60">
        <f>0.3/$L24*100</f>
        <v>9.67741935483871</v>
      </c>
      <c r="S24" s="60">
        <f>R24+1.6/$L24*100</f>
        <v>61.29032258064516</v>
      </c>
      <c r="T24" s="60">
        <f>0.9/$L24*100</f>
        <v>29.032258064516132</v>
      </c>
      <c r="U24" s="60">
        <f>T24+0.356/$L24*100</f>
        <v>40.516129032258064</v>
      </c>
      <c r="V24" s="60"/>
      <c r="W24" s="60"/>
    </row>
    <row r="25" spans="1:24">
      <c r="J25" s="204" t="s">
        <v>529</v>
      </c>
      <c r="K25" s="212" t="s">
        <v>530</v>
      </c>
      <c r="L25" s="243">
        <v>11.3</v>
      </c>
      <c r="M25" s="243">
        <v>5.65</v>
      </c>
      <c r="N25" s="244"/>
      <c r="O25" s="244"/>
      <c r="P25" s="60">
        <v>2</v>
      </c>
      <c r="Q25" s="60">
        <v>98</v>
      </c>
      <c r="R25" s="60">
        <f>P25</f>
        <v>2</v>
      </c>
      <c r="S25" s="60">
        <f>Q25</f>
        <v>98</v>
      </c>
      <c r="T25" s="60"/>
      <c r="U25" s="60"/>
      <c r="V25" s="60"/>
      <c r="W25" s="60"/>
    </row>
    <row r="26" spans="1:24">
      <c r="J26" s="204"/>
      <c r="K26" s="212"/>
      <c r="L26" s="243"/>
      <c r="M26" s="243"/>
      <c r="N26" s="244"/>
      <c r="O26" s="244"/>
      <c r="P26" s="61"/>
      <c r="Q26" s="61"/>
      <c r="R26" s="60"/>
      <c r="S26" s="60"/>
      <c r="T26" s="60"/>
      <c r="U26" s="60"/>
      <c r="V26" s="60"/>
      <c r="W26" s="60"/>
    </row>
    <row r="27" spans="1:24">
      <c r="J27" s="204" t="s">
        <v>531</v>
      </c>
      <c r="K27" s="212" t="s">
        <v>532</v>
      </c>
      <c r="L27" s="243">
        <v>1.5</v>
      </c>
      <c r="M27" s="243">
        <v>0.96</v>
      </c>
      <c r="N27" s="244"/>
      <c r="O27" s="244"/>
      <c r="P27" s="61"/>
      <c r="Q27" s="61"/>
      <c r="R27" s="60"/>
      <c r="S27" s="60"/>
      <c r="T27" s="60"/>
      <c r="U27" s="60"/>
      <c r="V27" s="60"/>
      <c r="W27" s="60"/>
      <c r="X27" s="62" t="s">
        <v>533</v>
      </c>
    </row>
    <row r="28" spans="1:24">
      <c r="A28" s="275"/>
      <c r="B28" s="275"/>
      <c r="C28" s="275"/>
      <c r="D28" s="275"/>
      <c r="E28" s="275"/>
      <c r="F28" s="275"/>
      <c r="G28" s="275"/>
      <c r="H28" s="275"/>
      <c r="I28" s="57"/>
      <c r="J28" s="273" t="s">
        <v>534</v>
      </c>
      <c r="K28" s="212" t="s">
        <v>535</v>
      </c>
      <c r="L28" s="243">
        <v>1.494</v>
      </c>
      <c r="M28" s="243">
        <v>1</v>
      </c>
      <c r="N28" s="244"/>
      <c r="O28" s="244"/>
      <c r="P28" s="60">
        <f>(0.135)/$L28*100</f>
        <v>9.0361445783132535</v>
      </c>
      <c r="Q28" s="60">
        <f>P28+1.15/$L28*100</f>
        <v>86.010709504685408</v>
      </c>
      <c r="R28" s="60"/>
      <c r="S28" s="60"/>
      <c r="T28" s="60"/>
      <c r="U28" s="60"/>
      <c r="V28" s="60"/>
      <c r="W28" s="60"/>
      <c r="X28" s="62" t="s">
        <v>533</v>
      </c>
    </row>
    <row r="29" spans="1:24">
      <c r="A29" s="276"/>
      <c r="B29" s="276"/>
      <c r="C29" s="277"/>
      <c r="D29" s="277"/>
      <c r="E29" s="277"/>
      <c r="F29" s="277"/>
      <c r="G29" s="277"/>
      <c r="H29" s="277"/>
      <c r="I29" s="57"/>
      <c r="J29" s="273" t="s">
        <v>536</v>
      </c>
      <c r="K29" s="212" t="s">
        <v>537</v>
      </c>
      <c r="L29" s="243">
        <v>2</v>
      </c>
      <c r="M29" s="243">
        <v>1</v>
      </c>
      <c r="N29" s="244"/>
      <c r="O29" s="244"/>
      <c r="P29" s="61"/>
      <c r="Q29" s="61"/>
      <c r="R29" s="60">
        <f>(0.25)/$L29*100</f>
        <v>12.5</v>
      </c>
      <c r="S29" s="60">
        <f>R29+1.6/$L29*100</f>
        <v>92.5</v>
      </c>
      <c r="T29" s="60"/>
      <c r="U29" s="60"/>
      <c r="V29" s="60"/>
      <c r="W29" s="60"/>
      <c r="X29" s="62" t="s">
        <v>533</v>
      </c>
    </row>
    <row r="30" spans="1:24">
      <c r="A30" s="276"/>
      <c r="B30" s="276"/>
      <c r="C30" s="277"/>
      <c r="D30" s="277"/>
      <c r="E30" s="277"/>
      <c r="F30" s="277"/>
      <c r="G30" s="277"/>
      <c r="H30" s="277"/>
      <c r="I30" s="57"/>
      <c r="J30" s="274" t="s">
        <v>538</v>
      </c>
      <c r="K30" s="212" t="s">
        <v>539</v>
      </c>
      <c r="L30" s="243"/>
      <c r="M30" s="243"/>
      <c r="N30" s="244"/>
      <c r="O30" s="244"/>
      <c r="P30" s="61"/>
      <c r="Q30" s="61"/>
      <c r="R30" s="60"/>
      <c r="S30" s="60"/>
      <c r="T30" s="60"/>
      <c r="U30" s="60"/>
      <c r="V30" s="60"/>
      <c r="W30" s="60"/>
      <c r="X30" s="62" t="s">
        <v>533</v>
      </c>
    </row>
    <row r="31" spans="1:24">
      <c r="A31" s="275"/>
      <c r="B31" s="275"/>
      <c r="C31" s="275"/>
      <c r="D31" s="275"/>
      <c r="E31" s="275"/>
      <c r="F31" s="275"/>
      <c r="G31" s="275"/>
      <c r="H31" s="275"/>
      <c r="I31" s="57"/>
      <c r="J31" s="274" t="s">
        <v>540</v>
      </c>
      <c r="K31" s="212" t="s">
        <v>541</v>
      </c>
      <c r="L31" s="243"/>
      <c r="M31" s="243"/>
      <c r="N31" s="244"/>
      <c r="O31" s="244"/>
      <c r="P31" s="61"/>
      <c r="Q31" s="61"/>
      <c r="R31" s="60"/>
      <c r="S31" s="60"/>
      <c r="T31" s="60"/>
      <c r="U31" s="60"/>
      <c r="V31" s="60"/>
      <c r="W31" s="60"/>
      <c r="X31" s="62" t="s">
        <v>533</v>
      </c>
    </row>
    <row r="32" spans="1:24">
      <c r="A32" s="275"/>
      <c r="B32" s="275"/>
      <c r="C32" s="275"/>
      <c r="D32" s="275"/>
      <c r="E32" s="275"/>
      <c r="F32" s="275"/>
      <c r="G32" s="275"/>
      <c r="H32" s="275"/>
      <c r="I32" s="57"/>
      <c r="J32" s="274" t="s">
        <v>542</v>
      </c>
      <c r="K32" s="212" t="s">
        <v>543</v>
      </c>
      <c r="L32" s="243"/>
      <c r="M32" s="243"/>
      <c r="N32" s="244"/>
      <c r="O32" s="244"/>
      <c r="P32" s="61"/>
      <c r="Q32" s="61"/>
      <c r="R32" s="60"/>
      <c r="S32" s="60"/>
      <c r="T32" s="60"/>
      <c r="U32" s="60"/>
      <c r="V32" s="60"/>
      <c r="W32" s="60"/>
      <c r="X32" s="62" t="s">
        <v>533</v>
      </c>
    </row>
    <row r="33" spans="1:24">
      <c r="A33" s="275"/>
      <c r="B33" s="275"/>
      <c r="C33" s="275"/>
      <c r="D33" s="275"/>
      <c r="E33" s="275"/>
      <c r="F33" s="275"/>
      <c r="G33" s="275"/>
      <c r="H33" s="275"/>
      <c r="I33" s="57"/>
      <c r="J33" s="273" t="s">
        <v>544</v>
      </c>
      <c r="K33" s="212" t="s">
        <v>545</v>
      </c>
      <c r="L33" s="243">
        <v>1</v>
      </c>
      <c r="M33" s="243">
        <v>0.50800000000000001</v>
      </c>
      <c r="N33" s="244"/>
      <c r="O33" s="244"/>
      <c r="P33" s="61"/>
      <c r="Q33" s="61"/>
      <c r="R33" s="60"/>
      <c r="S33" s="60"/>
      <c r="T33" s="60"/>
      <c r="U33" s="60"/>
      <c r="V33" s="60"/>
      <c r="W33" s="60"/>
      <c r="X33" s="62" t="s">
        <v>546</v>
      </c>
    </row>
    <row r="34" spans="1:24">
      <c r="J34" s="215" t="s">
        <v>547</v>
      </c>
      <c r="K34" s="212"/>
      <c r="L34" s="243"/>
      <c r="M34" s="243"/>
      <c r="N34" s="244"/>
      <c r="O34" s="244"/>
      <c r="P34" s="61"/>
      <c r="Q34" s="61"/>
      <c r="R34" s="60"/>
      <c r="S34" s="60"/>
      <c r="T34" s="60"/>
      <c r="U34" s="60"/>
      <c r="V34" s="60"/>
      <c r="W34" s="60"/>
      <c r="X34" s="62" t="s">
        <v>546</v>
      </c>
    </row>
    <row r="35" spans="1:24">
      <c r="J35" s="215" t="s">
        <v>548</v>
      </c>
      <c r="K35" s="212"/>
      <c r="L35" s="243"/>
      <c r="M35" s="243"/>
      <c r="N35" s="244"/>
      <c r="O35" s="244"/>
      <c r="P35" s="61"/>
      <c r="Q35" s="61"/>
      <c r="R35" s="60"/>
      <c r="S35" s="60"/>
      <c r="T35" s="60"/>
      <c r="U35" s="60"/>
      <c r="V35" s="60"/>
      <c r="W35" s="60"/>
      <c r="X35" s="62" t="s">
        <v>546</v>
      </c>
    </row>
    <row r="36" spans="1:24">
      <c r="J36" s="215" t="s">
        <v>515</v>
      </c>
      <c r="K36" s="212"/>
      <c r="L36" s="243"/>
      <c r="M36" s="243"/>
      <c r="N36" s="244"/>
      <c r="O36" s="244"/>
      <c r="P36" s="60"/>
      <c r="Q36" s="60"/>
      <c r="R36" s="60"/>
      <c r="S36" s="60"/>
      <c r="T36" s="60"/>
      <c r="U36" s="60"/>
      <c r="V36" s="212"/>
      <c r="W36" s="60"/>
      <c r="X36" s="62" t="s">
        <v>546</v>
      </c>
    </row>
    <row r="37" spans="1:24" ht="13.5" thickBot="1">
      <c r="J37" s="216" t="s">
        <v>549</v>
      </c>
      <c r="K37" s="246" t="s">
        <v>550</v>
      </c>
      <c r="L37" s="247">
        <v>1.99</v>
      </c>
      <c r="M37" s="247">
        <v>0.62</v>
      </c>
      <c r="N37" s="247"/>
      <c r="O37" s="247"/>
      <c r="P37" s="213"/>
      <c r="Q37" s="213"/>
      <c r="R37" s="213"/>
      <c r="S37" s="213"/>
      <c r="T37" s="213"/>
      <c r="U37" s="213"/>
      <c r="V37" s="213"/>
      <c r="W37" s="213"/>
      <c r="X37" s="62" t="s">
        <v>546</v>
      </c>
    </row>
  </sheetData>
  <mergeCells count="1">
    <mergeCell ref="K1:K2"/>
  </mergeCells>
  <phoneticPr fontId="14" type="noConversion"/>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sheetPr>
    <tabColor rgb="FFFFFF00"/>
  </sheetPr>
  <dimension ref="A1:AC11"/>
  <sheetViews>
    <sheetView workbookViewId="0"/>
  </sheetViews>
  <sheetFormatPr defaultRowHeight="12.75"/>
  <cols>
    <col min="1" max="1" width="8.875" style="52"/>
    <col min="2" max="2" width="0" style="52" hidden="1" customWidth="1"/>
    <col min="3" max="3" width="11.5" style="52" hidden="1" customWidth="1"/>
    <col min="4" max="4" width="12.625" style="52" hidden="1" customWidth="1"/>
    <col min="5" max="5" width="10.125" style="52" hidden="1" customWidth="1"/>
    <col min="6" max="6" width="0" style="52" hidden="1" customWidth="1"/>
    <col min="7" max="7" width="21.625" style="52" hidden="1" customWidth="1"/>
    <col min="8" max="8" width="25.125" style="52" hidden="1" customWidth="1"/>
    <col min="9" max="9" width="21.625" style="52" hidden="1" customWidth="1"/>
    <col min="10" max="10" width="14.875" style="52" hidden="1" customWidth="1"/>
    <col min="11" max="11" width="19.625" style="52" hidden="1" customWidth="1"/>
    <col min="12" max="12" width="14.875" style="52" hidden="1" customWidth="1"/>
    <col min="13" max="13" width="0" style="52" hidden="1" customWidth="1"/>
    <col min="14" max="14" width="8.875" style="52" bestFit="1" customWidth="1"/>
    <col min="15" max="15" width="27.375" style="52" customWidth="1"/>
    <col min="16" max="16" width="11.5" style="52" bestFit="1" customWidth="1"/>
    <col min="17" max="17" width="8.875" style="52"/>
    <col min="18" max="18" width="15.625" style="52" bestFit="1" customWidth="1"/>
    <col min="19" max="19" width="15.125" style="52" bestFit="1" customWidth="1"/>
    <col min="20" max="20" width="16.375" style="52" bestFit="1" customWidth="1"/>
    <col min="21" max="21" width="25.375" style="52" bestFit="1" customWidth="1"/>
    <col min="22" max="22" width="16.375" style="52" bestFit="1" customWidth="1"/>
    <col min="23" max="23" width="11" style="52" customWidth="1"/>
    <col min="24" max="257" width="8.875" style="52"/>
    <col min="258" max="269" width="0" style="52" hidden="1" customWidth="1"/>
    <col min="270" max="270" width="8.875" style="52" bestFit="1" customWidth="1"/>
    <col min="271" max="271" width="27.375" style="52" customWidth="1"/>
    <col min="272" max="272" width="11.5" style="52" bestFit="1" customWidth="1"/>
    <col min="273" max="273" width="8.875" style="52"/>
    <col min="274" max="274" width="15.625" style="52" bestFit="1" customWidth="1"/>
    <col min="275" max="275" width="15.125" style="52" bestFit="1" customWidth="1"/>
    <col min="276" max="276" width="16.375" style="52" bestFit="1" customWidth="1"/>
    <col min="277" max="277" width="25.375" style="52" bestFit="1" customWidth="1"/>
    <col min="278" max="278" width="16.375" style="52" bestFit="1" customWidth="1"/>
    <col min="279" max="279" width="11" style="52" customWidth="1"/>
    <col min="280" max="513" width="8.875" style="52"/>
    <col min="514" max="525" width="0" style="52" hidden="1" customWidth="1"/>
    <col min="526" max="526" width="8.875" style="52" bestFit="1" customWidth="1"/>
    <col min="527" max="527" width="27.375" style="52" customWidth="1"/>
    <col min="528" max="528" width="11.5" style="52" bestFit="1" customWidth="1"/>
    <col min="529" max="529" width="8.875" style="52"/>
    <col min="530" max="530" width="15.625" style="52" bestFit="1" customWidth="1"/>
    <col min="531" max="531" width="15.125" style="52" bestFit="1" customWidth="1"/>
    <col min="532" max="532" width="16.375" style="52" bestFit="1" customWidth="1"/>
    <col min="533" max="533" width="25.375" style="52" bestFit="1" customWidth="1"/>
    <col min="534" max="534" width="16.375" style="52" bestFit="1" customWidth="1"/>
    <col min="535" max="535" width="11" style="52" customWidth="1"/>
    <col min="536" max="769" width="8.875" style="52"/>
    <col min="770" max="781" width="0" style="52" hidden="1" customWidth="1"/>
    <col min="782" max="782" width="8.875" style="52" bestFit="1" customWidth="1"/>
    <col min="783" max="783" width="27.375" style="52" customWidth="1"/>
    <col min="784" max="784" width="11.5" style="52" bestFit="1" customWidth="1"/>
    <col min="785" max="785" width="8.875" style="52"/>
    <col min="786" max="786" width="15.625" style="52" bestFit="1" customWidth="1"/>
    <col min="787" max="787" width="15.125" style="52" bestFit="1" customWidth="1"/>
    <col min="788" max="788" width="16.375" style="52" bestFit="1" customWidth="1"/>
    <col min="789" max="789" width="25.375" style="52" bestFit="1" customWidth="1"/>
    <col min="790" max="790" width="16.375" style="52" bestFit="1" customWidth="1"/>
    <col min="791" max="791" width="11" style="52" customWidth="1"/>
    <col min="792" max="1025" width="8.875" style="52"/>
    <col min="1026" max="1037" width="0" style="52" hidden="1" customWidth="1"/>
    <col min="1038" max="1038" width="8.875" style="52" bestFit="1" customWidth="1"/>
    <col min="1039" max="1039" width="27.375" style="52" customWidth="1"/>
    <col min="1040" max="1040" width="11.5" style="52" bestFit="1" customWidth="1"/>
    <col min="1041" max="1041" width="8.875" style="52"/>
    <col min="1042" max="1042" width="15.625" style="52" bestFit="1" customWidth="1"/>
    <col min="1043" max="1043" width="15.125" style="52" bestFit="1" customWidth="1"/>
    <col min="1044" max="1044" width="16.375" style="52" bestFit="1" customWidth="1"/>
    <col min="1045" max="1045" width="25.375" style="52" bestFit="1" customWidth="1"/>
    <col min="1046" max="1046" width="16.375" style="52" bestFit="1" customWidth="1"/>
    <col min="1047" max="1047" width="11" style="52" customWidth="1"/>
    <col min="1048" max="1281" width="8.875" style="52"/>
    <col min="1282" max="1293" width="0" style="52" hidden="1" customWidth="1"/>
    <col min="1294" max="1294" width="8.875" style="52" bestFit="1" customWidth="1"/>
    <col min="1295" max="1295" width="27.375" style="52" customWidth="1"/>
    <col min="1296" max="1296" width="11.5" style="52" bestFit="1" customWidth="1"/>
    <col min="1297" max="1297" width="8.875" style="52"/>
    <col min="1298" max="1298" width="15.625" style="52" bestFit="1" customWidth="1"/>
    <col min="1299" max="1299" width="15.125" style="52" bestFit="1" customWidth="1"/>
    <col min="1300" max="1300" width="16.375" style="52" bestFit="1" customWidth="1"/>
    <col min="1301" max="1301" width="25.375" style="52" bestFit="1" customWidth="1"/>
    <col min="1302" max="1302" width="16.375" style="52" bestFit="1" customWidth="1"/>
    <col min="1303" max="1303" width="11" style="52" customWidth="1"/>
    <col min="1304" max="1537" width="8.875" style="52"/>
    <col min="1538" max="1549" width="0" style="52" hidden="1" customWidth="1"/>
    <col min="1550" max="1550" width="8.875" style="52" bestFit="1" customWidth="1"/>
    <col min="1551" max="1551" width="27.375" style="52" customWidth="1"/>
    <col min="1552" max="1552" width="11.5" style="52" bestFit="1" customWidth="1"/>
    <col min="1553" max="1553" width="8.875" style="52"/>
    <col min="1554" max="1554" width="15.625" style="52" bestFit="1" customWidth="1"/>
    <col min="1555" max="1555" width="15.125" style="52" bestFit="1" customWidth="1"/>
    <col min="1556" max="1556" width="16.375" style="52" bestFit="1" customWidth="1"/>
    <col min="1557" max="1557" width="25.375" style="52" bestFit="1" customWidth="1"/>
    <col min="1558" max="1558" width="16.375" style="52" bestFit="1" customWidth="1"/>
    <col min="1559" max="1559" width="11" style="52" customWidth="1"/>
    <col min="1560" max="1793" width="8.875" style="52"/>
    <col min="1794" max="1805" width="0" style="52" hidden="1" customWidth="1"/>
    <col min="1806" max="1806" width="8.875" style="52" bestFit="1" customWidth="1"/>
    <col min="1807" max="1807" width="27.375" style="52" customWidth="1"/>
    <col min="1808" max="1808" width="11.5" style="52" bestFit="1" customWidth="1"/>
    <col min="1809" max="1809" width="8.875" style="52"/>
    <col min="1810" max="1810" width="15.625" style="52" bestFit="1" customWidth="1"/>
    <col min="1811" max="1811" width="15.125" style="52" bestFit="1" customWidth="1"/>
    <col min="1812" max="1812" width="16.375" style="52" bestFit="1" customWidth="1"/>
    <col min="1813" max="1813" width="25.375" style="52" bestFit="1" customWidth="1"/>
    <col min="1814" max="1814" width="16.375" style="52" bestFit="1" customWidth="1"/>
    <col min="1815" max="1815" width="11" style="52" customWidth="1"/>
    <col min="1816" max="2049" width="8.875" style="52"/>
    <col min="2050" max="2061" width="0" style="52" hidden="1" customWidth="1"/>
    <col min="2062" max="2062" width="8.875" style="52" bestFit="1" customWidth="1"/>
    <col min="2063" max="2063" width="27.375" style="52" customWidth="1"/>
    <col min="2064" max="2064" width="11.5" style="52" bestFit="1" customWidth="1"/>
    <col min="2065" max="2065" width="8.875" style="52"/>
    <col min="2066" max="2066" width="15.625" style="52" bestFit="1" customWidth="1"/>
    <col min="2067" max="2067" width="15.125" style="52" bestFit="1" customWidth="1"/>
    <col min="2068" max="2068" width="16.375" style="52" bestFit="1" customWidth="1"/>
    <col min="2069" max="2069" width="25.375" style="52" bestFit="1" customWidth="1"/>
    <col min="2070" max="2070" width="16.375" style="52" bestFit="1" customWidth="1"/>
    <col min="2071" max="2071" width="11" style="52" customWidth="1"/>
    <col min="2072" max="2305" width="8.875" style="52"/>
    <col min="2306" max="2317" width="0" style="52" hidden="1" customWidth="1"/>
    <col min="2318" max="2318" width="8.875" style="52" bestFit="1" customWidth="1"/>
    <col min="2319" max="2319" width="27.375" style="52" customWidth="1"/>
    <col min="2320" max="2320" width="11.5" style="52" bestFit="1" customWidth="1"/>
    <col min="2321" max="2321" width="8.875" style="52"/>
    <col min="2322" max="2322" width="15.625" style="52" bestFit="1" customWidth="1"/>
    <col min="2323" max="2323" width="15.125" style="52" bestFit="1" customWidth="1"/>
    <col min="2324" max="2324" width="16.375" style="52" bestFit="1" customWidth="1"/>
    <col min="2325" max="2325" width="25.375" style="52" bestFit="1" customWidth="1"/>
    <col min="2326" max="2326" width="16.375" style="52" bestFit="1" customWidth="1"/>
    <col min="2327" max="2327" width="11" style="52" customWidth="1"/>
    <col min="2328" max="2561" width="8.875" style="52"/>
    <col min="2562" max="2573" width="0" style="52" hidden="1" customWidth="1"/>
    <col min="2574" max="2574" width="8.875" style="52" bestFit="1" customWidth="1"/>
    <col min="2575" max="2575" width="27.375" style="52" customWidth="1"/>
    <col min="2576" max="2576" width="11.5" style="52" bestFit="1" customWidth="1"/>
    <col min="2577" max="2577" width="8.875" style="52"/>
    <col min="2578" max="2578" width="15.625" style="52" bestFit="1" customWidth="1"/>
    <col min="2579" max="2579" width="15.125" style="52" bestFit="1" customWidth="1"/>
    <col min="2580" max="2580" width="16.375" style="52" bestFit="1" customWidth="1"/>
    <col min="2581" max="2581" width="25.375" style="52" bestFit="1" customWidth="1"/>
    <col min="2582" max="2582" width="16.375" style="52" bestFit="1" customWidth="1"/>
    <col min="2583" max="2583" width="11" style="52" customWidth="1"/>
    <col min="2584" max="2817" width="8.875" style="52"/>
    <col min="2818" max="2829" width="0" style="52" hidden="1" customWidth="1"/>
    <col min="2830" max="2830" width="8.875" style="52" bestFit="1" customWidth="1"/>
    <col min="2831" max="2831" width="27.375" style="52" customWidth="1"/>
    <col min="2832" max="2832" width="11.5" style="52" bestFit="1" customWidth="1"/>
    <col min="2833" max="2833" width="8.875" style="52"/>
    <col min="2834" max="2834" width="15.625" style="52" bestFit="1" customWidth="1"/>
    <col min="2835" max="2835" width="15.125" style="52" bestFit="1" customWidth="1"/>
    <col min="2836" max="2836" width="16.375" style="52" bestFit="1" customWidth="1"/>
    <col min="2837" max="2837" width="25.375" style="52" bestFit="1" customWidth="1"/>
    <col min="2838" max="2838" width="16.375" style="52" bestFit="1" customWidth="1"/>
    <col min="2839" max="2839" width="11" style="52" customWidth="1"/>
    <col min="2840" max="3073" width="8.875" style="52"/>
    <col min="3074" max="3085" width="0" style="52" hidden="1" customWidth="1"/>
    <col min="3086" max="3086" width="8.875" style="52" bestFit="1" customWidth="1"/>
    <col min="3087" max="3087" width="27.375" style="52" customWidth="1"/>
    <col min="3088" max="3088" width="11.5" style="52" bestFit="1" customWidth="1"/>
    <col min="3089" max="3089" width="8.875" style="52"/>
    <col min="3090" max="3090" width="15.625" style="52" bestFit="1" customWidth="1"/>
    <col min="3091" max="3091" width="15.125" style="52" bestFit="1" customWidth="1"/>
    <col min="3092" max="3092" width="16.375" style="52" bestFit="1" customWidth="1"/>
    <col min="3093" max="3093" width="25.375" style="52" bestFit="1" customWidth="1"/>
    <col min="3094" max="3094" width="16.375" style="52" bestFit="1" customWidth="1"/>
    <col min="3095" max="3095" width="11" style="52" customWidth="1"/>
    <col min="3096" max="3329" width="8.875" style="52"/>
    <col min="3330" max="3341" width="0" style="52" hidden="1" customWidth="1"/>
    <col min="3342" max="3342" width="8.875" style="52" bestFit="1" customWidth="1"/>
    <col min="3343" max="3343" width="27.375" style="52" customWidth="1"/>
    <col min="3344" max="3344" width="11.5" style="52" bestFit="1" customWidth="1"/>
    <col min="3345" max="3345" width="8.875" style="52"/>
    <col min="3346" max="3346" width="15.625" style="52" bestFit="1" customWidth="1"/>
    <col min="3347" max="3347" width="15.125" style="52" bestFit="1" customWidth="1"/>
    <col min="3348" max="3348" width="16.375" style="52" bestFit="1" customWidth="1"/>
    <col min="3349" max="3349" width="25.375" style="52" bestFit="1" customWidth="1"/>
    <col min="3350" max="3350" width="16.375" style="52" bestFit="1" customWidth="1"/>
    <col min="3351" max="3351" width="11" style="52" customWidth="1"/>
    <col min="3352" max="3585" width="8.875" style="52"/>
    <col min="3586" max="3597" width="0" style="52" hidden="1" customWidth="1"/>
    <col min="3598" max="3598" width="8.875" style="52" bestFit="1" customWidth="1"/>
    <col min="3599" max="3599" width="27.375" style="52" customWidth="1"/>
    <col min="3600" max="3600" width="11.5" style="52" bestFit="1" customWidth="1"/>
    <col min="3601" max="3601" width="8.875" style="52"/>
    <col min="3602" max="3602" width="15.625" style="52" bestFit="1" customWidth="1"/>
    <col min="3603" max="3603" width="15.125" style="52" bestFit="1" customWidth="1"/>
    <col min="3604" max="3604" width="16.375" style="52" bestFit="1" customWidth="1"/>
    <col min="3605" max="3605" width="25.375" style="52" bestFit="1" customWidth="1"/>
    <col min="3606" max="3606" width="16.375" style="52" bestFit="1" customWidth="1"/>
    <col min="3607" max="3607" width="11" style="52" customWidth="1"/>
    <col min="3608" max="3841" width="8.875" style="52"/>
    <col min="3842" max="3853" width="0" style="52" hidden="1" customWidth="1"/>
    <col min="3854" max="3854" width="8.875" style="52" bestFit="1" customWidth="1"/>
    <col min="3855" max="3855" width="27.375" style="52" customWidth="1"/>
    <col min="3856" max="3856" width="11.5" style="52" bestFit="1" customWidth="1"/>
    <col min="3857" max="3857" width="8.875" style="52"/>
    <col min="3858" max="3858" width="15.625" style="52" bestFit="1" customWidth="1"/>
    <col min="3859" max="3859" width="15.125" style="52" bestFit="1" customWidth="1"/>
    <col min="3860" max="3860" width="16.375" style="52" bestFit="1" customWidth="1"/>
    <col min="3861" max="3861" width="25.375" style="52" bestFit="1" customWidth="1"/>
    <col min="3862" max="3862" width="16.375" style="52" bestFit="1" customWidth="1"/>
    <col min="3863" max="3863" width="11" style="52" customWidth="1"/>
    <col min="3864" max="4097" width="8.875" style="52"/>
    <col min="4098" max="4109" width="0" style="52" hidden="1" customWidth="1"/>
    <col min="4110" max="4110" width="8.875" style="52" bestFit="1" customWidth="1"/>
    <col min="4111" max="4111" width="27.375" style="52" customWidth="1"/>
    <col min="4112" max="4112" width="11.5" style="52" bestFit="1" customWidth="1"/>
    <col min="4113" max="4113" width="8.875" style="52"/>
    <col min="4114" max="4114" width="15.625" style="52" bestFit="1" customWidth="1"/>
    <col min="4115" max="4115" width="15.125" style="52" bestFit="1" customWidth="1"/>
    <col min="4116" max="4116" width="16.375" style="52" bestFit="1" customWidth="1"/>
    <col min="4117" max="4117" width="25.375" style="52" bestFit="1" customWidth="1"/>
    <col min="4118" max="4118" width="16.375" style="52" bestFit="1" customWidth="1"/>
    <col min="4119" max="4119" width="11" style="52" customWidth="1"/>
    <col min="4120" max="4353" width="8.875" style="52"/>
    <col min="4354" max="4365" width="0" style="52" hidden="1" customWidth="1"/>
    <col min="4366" max="4366" width="8.875" style="52" bestFit="1" customWidth="1"/>
    <col min="4367" max="4367" width="27.375" style="52" customWidth="1"/>
    <col min="4368" max="4368" width="11.5" style="52" bestFit="1" customWidth="1"/>
    <col min="4369" max="4369" width="8.875" style="52"/>
    <col min="4370" max="4370" width="15.625" style="52" bestFit="1" customWidth="1"/>
    <col min="4371" max="4371" width="15.125" style="52" bestFit="1" customWidth="1"/>
    <col min="4372" max="4372" width="16.375" style="52" bestFit="1" customWidth="1"/>
    <col min="4373" max="4373" width="25.375" style="52" bestFit="1" customWidth="1"/>
    <col min="4374" max="4374" width="16.375" style="52" bestFit="1" customWidth="1"/>
    <col min="4375" max="4375" width="11" style="52" customWidth="1"/>
    <col min="4376" max="4609" width="8.875" style="52"/>
    <col min="4610" max="4621" width="0" style="52" hidden="1" customWidth="1"/>
    <col min="4622" max="4622" width="8.875" style="52" bestFit="1" customWidth="1"/>
    <col min="4623" max="4623" width="27.375" style="52" customWidth="1"/>
    <col min="4624" max="4624" width="11.5" style="52" bestFit="1" customWidth="1"/>
    <col min="4625" max="4625" width="8.875" style="52"/>
    <col min="4626" max="4626" width="15.625" style="52" bestFit="1" customWidth="1"/>
    <col min="4627" max="4627" width="15.125" style="52" bestFit="1" customWidth="1"/>
    <col min="4628" max="4628" width="16.375" style="52" bestFit="1" customWidth="1"/>
    <col min="4629" max="4629" width="25.375" style="52" bestFit="1" customWidth="1"/>
    <col min="4630" max="4630" width="16.375" style="52" bestFit="1" customWidth="1"/>
    <col min="4631" max="4631" width="11" style="52" customWidth="1"/>
    <col min="4632" max="4865" width="8.875" style="52"/>
    <col min="4866" max="4877" width="0" style="52" hidden="1" customWidth="1"/>
    <col min="4878" max="4878" width="8.875" style="52" bestFit="1" customWidth="1"/>
    <col min="4879" max="4879" width="27.375" style="52" customWidth="1"/>
    <col min="4880" max="4880" width="11.5" style="52" bestFit="1" customWidth="1"/>
    <col min="4881" max="4881" width="8.875" style="52"/>
    <col min="4882" max="4882" width="15.625" style="52" bestFit="1" customWidth="1"/>
    <col min="4883" max="4883" width="15.125" style="52" bestFit="1" customWidth="1"/>
    <col min="4884" max="4884" width="16.375" style="52" bestFit="1" customWidth="1"/>
    <col min="4885" max="4885" width="25.375" style="52" bestFit="1" customWidth="1"/>
    <col min="4886" max="4886" width="16.375" style="52" bestFit="1" customWidth="1"/>
    <col min="4887" max="4887" width="11" style="52" customWidth="1"/>
    <col min="4888" max="5121" width="8.875" style="52"/>
    <col min="5122" max="5133" width="0" style="52" hidden="1" customWidth="1"/>
    <col min="5134" max="5134" width="8.875" style="52" bestFit="1" customWidth="1"/>
    <col min="5135" max="5135" width="27.375" style="52" customWidth="1"/>
    <col min="5136" max="5136" width="11.5" style="52" bestFit="1" customWidth="1"/>
    <col min="5137" max="5137" width="8.875" style="52"/>
    <col min="5138" max="5138" width="15.625" style="52" bestFit="1" customWidth="1"/>
    <col min="5139" max="5139" width="15.125" style="52" bestFit="1" customWidth="1"/>
    <col min="5140" max="5140" width="16.375" style="52" bestFit="1" customWidth="1"/>
    <col min="5141" max="5141" width="25.375" style="52" bestFit="1" customWidth="1"/>
    <col min="5142" max="5142" width="16.375" style="52" bestFit="1" customWidth="1"/>
    <col min="5143" max="5143" width="11" style="52" customWidth="1"/>
    <col min="5144" max="5377" width="8.875" style="52"/>
    <col min="5378" max="5389" width="0" style="52" hidden="1" customWidth="1"/>
    <col min="5390" max="5390" width="8.875" style="52" bestFit="1" customWidth="1"/>
    <col min="5391" max="5391" width="27.375" style="52" customWidth="1"/>
    <col min="5392" max="5392" width="11.5" style="52" bestFit="1" customWidth="1"/>
    <col min="5393" max="5393" width="8.875" style="52"/>
    <col min="5394" max="5394" width="15.625" style="52" bestFit="1" customWidth="1"/>
    <col min="5395" max="5395" width="15.125" style="52" bestFit="1" customWidth="1"/>
    <col min="5396" max="5396" width="16.375" style="52" bestFit="1" customWidth="1"/>
    <col min="5397" max="5397" width="25.375" style="52" bestFit="1" customWidth="1"/>
    <col min="5398" max="5398" width="16.375" style="52" bestFit="1" customWidth="1"/>
    <col min="5399" max="5399" width="11" style="52" customWidth="1"/>
    <col min="5400" max="5633" width="8.875" style="52"/>
    <col min="5634" max="5645" width="0" style="52" hidden="1" customWidth="1"/>
    <col min="5646" max="5646" width="8.875" style="52" bestFit="1" customWidth="1"/>
    <col min="5647" max="5647" width="27.375" style="52" customWidth="1"/>
    <col min="5648" max="5648" width="11.5" style="52" bestFit="1" customWidth="1"/>
    <col min="5649" max="5649" width="8.875" style="52"/>
    <col min="5650" max="5650" width="15.625" style="52" bestFit="1" customWidth="1"/>
    <col min="5651" max="5651" width="15.125" style="52" bestFit="1" customWidth="1"/>
    <col min="5652" max="5652" width="16.375" style="52" bestFit="1" customWidth="1"/>
    <col min="5653" max="5653" width="25.375" style="52" bestFit="1" customWidth="1"/>
    <col min="5654" max="5654" width="16.375" style="52" bestFit="1" customWidth="1"/>
    <col min="5655" max="5655" width="11" style="52" customWidth="1"/>
    <col min="5656" max="5889" width="8.875" style="52"/>
    <col min="5890" max="5901" width="0" style="52" hidden="1" customWidth="1"/>
    <col min="5902" max="5902" width="8.875" style="52" bestFit="1" customWidth="1"/>
    <col min="5903" max="5903" width="27.375" style="52" customWidth="1"/>
    <col min="5904" max="5904" width="11.5" style="52" bestFit="1" customWidth="1"/>
    <col min="5905" max="5905" width="8.875" style="52"/>
    <col min="5906" max="5906" width="15.625" style="52" bestFit="1" customWidth="1"/>
    <col min="5907" max="5907" width="15.125" style="52" bestFit="1" customWidth="1"/>
    <col min="5908" max="5908" width="16.375" style="52" bestFit="1" customWidth="1"/>
    <col min="5909" max="5909" width="25.375" style="52" bestFit="1" customWidth="1"/>
    <col min="5910" max="5910" width="16.375" style="52" bestFit="1" customWidth="1"/>
    <col min="5911" max="5911" width="11" style="52" customWidth="1"/>
    <col min="5912" max="6145" width="8.875" style="52"/>
    <col min="6146" max="6157" width="0" style="52" hidden="1" customWidth="1"/>
    <col min="6158" max="6158" width="8.875" style="52" bestFit="1" customWidth="1"/>
    <col min="6159" max="6159" width="27.375" style="52" customWidth="1"/>
    <col min="6160" max="6160" width="11.5" style="52" bestFit="1" customWidth="1"/>
    <col min="6161" max="6161" width="8.875" style="52"/>
    <col min="6162" max="6162" width="15.625" style="52" bestFit="1" customWidth="1"/>
    <col min="6163" max="6163" width="15.125" style="52" bestFit="1" customWidth="1"/>
    <col min="6164" max="6164" width="16.375" style="52" bestFit="1" customWidth="1"/>
    <col min="6165" max="6165" width="25.375" style="52" bestFit="1" customWidth="1"/>
    <col min="6166" max="6166" width="16.375" style="52" bestFit="1" customWidth="1"/>
    <col min="6167" max="6167" width="11" style="52" customWidth="1"/>
    <col min="6168" max="6401" width="8.875" style="52"/>
    <col min="6402" max="6413" width="0" style="52" hidden="1" customWidth="1"/>
    <col min="6414" max="6414" width="8.875" style="52" bestFit="1" customWidth="1"/>
    <col min="6415" max="6415" width="27.375" style="52" customWidth="1"/>
    <col min="6416" max="6416" width="11.5" style="52" bestFit="1" customWidth="1"/>
    <col min="6417" max="6417" width="8.875" style="52"/>
    <col min="6418" max="6418" width="15.625" style="52" bestFit="1" customWidth="1"/>
    <col min="6419" max="6419" width="15.125" style="52" bestFit="1" customWidth="1"/>
    <col min="6420" max="6420" width="16.375" style="52" bestFit="1" customWidth="1"/>
    <col min="6421" max="6421" width="25.375" style="52" bestFit="1" customWidth="1"/>
    <col min="6422" max="6422" width="16.375" style="52" bestFit="1" customWidth="1"/>
    <col min="6423" max="6423" width="11" style="52" customWidth="1"/>
    <col min="6424" max="6657" width="8.875" style="52"/>
    <col min="6658" max="6669" width="0" style="52" hidden="1" customWidth="1"/>
    <col min="6670" max="6670" width="8.875" style="52" bestFit="1" customWidth="1"/>
    <col min="6671" max="6671" width="27.375" style="52" customWidth="1"/>
    <col min="6672" max="6672" width="11.5" style="52" bestFit="1" customWidth="1"/>
    <col min="6673" max="6673" width="8.875" style="52"/>
    <col min="6674" max="6674" width="15.625" style="52" bestFit="1" customWidth="1"/>
    <col min="6675" max="6675" width="15.125" style="52" bestFit="1" customWidth="1"/>
    <col min="6676" max="6676" width="16.375" style="52" bestFit="1" customWidth="1"/>
    <col min="6677" max="6677" width="25.375" style="52" bestFit="1" customWidth="1"/>
    <col min="6678" max="6678" width="16.375" style="52" bestFit="1" customWidth="1"/>
    <col min="6679" max="6679" width="11" style="52" customWidth="1"/>
    <col min="6680" max="6913" width="8.875" style="52"/>
    <col min="6914" max="6925" width="0" style="52" hidden="1" customWidth="1"/>
    <col min="6926" max="6926" width="8.875" style="52" bestFit="1" customWidth="1"/>
    <col min="6927" max="6927" width="27.375" style="52" customWidth="1"/>
    <col min="6928" max="6928" width="11.5" style="52" bestFit="1" customWidth="1"/>
    <col min="6929" max="6929" width="8.875" style="52"/>
    <col min="6930" max="6930" width="15.625" style="52" bestFit="1" customWidth="1"/>
    <col min="6931" max="6931" width="15.125" style="52" bestFit="1" customWidth="1"/>
    <col min="6932" max="6932" width="16.375" style="52" bestFit="1" customWidth="1"/>
    <col min="6933" max="6933" width="25.375" style="52" bestFit="1" customWidth="1"/>
    <col min="6934" max="6934" width="16.375" style="52" bestFit="1" customWidth="1"/>
    <col min="6935" max="6935" width="11" style="52" customWidth="1"/>
    <col min="6936" max="7169" width="8.875" style="52"/>
    <col min="7170" max="7181" width="0" style="52" hidden="1" customWidth="1"/>
    <col min="7182" max="7182" width="8.875" style="52" bestFit="1" customWidth="1"/>
    <col min="7183" max="7183" width="27.375" style="52" customWidth="1"/>
    <col min="7184" max="7184" width="11.5" style="52" bestFit="1" customWidth="1"/>
    <col min="7185" max="7185" width="8.875" style="52"/>
    <col min="7186" max="7186" width="15.625" style="52" bestFit="1" customWidth="1"/>
    <col min="7187" max="7187" width="15.125" style="52" bestFit="1" customWidth="1"/>
    <col min="7188" max="7188" width="16.375" style="52" bestFit="1" customWidth="1"/>
    <col min="7189" max="7189" width="25.375" style="52" bestFit="1" customWidth="1"/>
    <col min="7190" max="7190" width="16.375" style="52" bestFit="1" customWidth="1"/>
    <col min="7191" max="7191" width="11" style="52" customWidth="1"/>
    <col min="7192" max="7425" width="8.875" style="52"/>
    <col min="7426" max="7437" width="0" style="52" hidden="1" customWidth="1"/>
    <col min="7438" max="7438" width="8.875" style="52" bestFit="1" customWidth="1"/>
    <col min="7439" max="7439" width="27.375" style="52" customWidth="1"/>
    <col min="7440" max="7440" width="11.5" style="52" bestFit="1" customWidth="1"/>
    <col min="7441" max="7441" width="8.875" style="52"/>
    <col min="7442" max="7442" width="15.625" style="52" bestFit="1" customWidth="1"/>
    <col min="7443" max="7443" width="15.125" style="52" bestFit="1" customWidth="1"/>
    <col min="7444" max="7444" width="16.375" style="52" bestFit="1" customWidth="1"/>
    <col min="7445" max="7445" width="25.375" style="52" bestFit="1" customWidth="1"/>
    <col min="7446" max="7446" width="16.375" style="52" bestFit="1" customWidth="1"/>
    <col min="7447" max="7447" width="11" style="52" customWidth="1"/>
    <col min="7448" max="7681" width="8.875" style="52"/>
    <col min="7682" max="7693" width="0" style="52" hidden="1" customWidth="1"/>
    <col min="7694" max="7694" width="8.875" style="52" bestFit="1" customWidth="1"/>
    <col min="7695" max="7695" width="27.375" style="52" customWidth="1"/>
    <col min="7696" max="7696" width="11.5" style="52" bestFit="1" customWidth="1"/>
    <col min="7697" max="7697" width="8.875" style="52"/>
    <col min="7698" max="7698" width="15.625" style="52" bestFit="1" customWidth="1"/>
    <col min="7699" max="7699" width="15.125" style="52" bestFit="1" customWidth="1"/>
    <col min="7700" max="7700" width="16.375" style="52" bestFit="1" customWidth="1"/>
    <col min="7701" max="7701" width="25.375" style="52" bestFit="1" customWidth="1"/>
    <col min="7702" max="7702" width="16.375" style="52" bestFit="1" customWidth="1"/>
    <col min="7703" max="7703" width="11" style="52" customWidth="1"/>
    <col min="7704" max="7937" width="8.875" style="52"/>
    <col min="7938" max="7949" width="0" style="52" hidden="1" customWidth="1"/>
    <col min="7950" max="7950" width="8.875" style="52" bestFit="1" customWidth="1"/>
    <col min="7951" max="7951" width="27.375" style="52" customWidth="1"/>
    <col min="7952" max="7952" width="11.5" style="52" bestFit="1" customWidth="1"/>
    <col min="7953" max="7953" width="8.875" style="52"/>
    <col min="7954" max="7954" width="15.625" style="52" bestFit="1" customWidth="1"/>
    <col min="7955" max="7955" width="15.125" style="52" bestFit="1" customWidth="1"/>
    <col min="7956" max="7956" width="16.375" style="52" bestFit="1" customWidth="1"/>
    <col min="7957" max="7957" width="25.375" style="52" bestFit="1" customWidth="1"/>
    <col min="7958" max="7958" width="16.375" style="52" bestFit="1" customWidth="1"/>
    <col min="7959" max="7959" width="11" style="52" customWidth="1"/>
    <col min="7960" max="8193" width="8.875" style="52"/>
    <col min="8194" max="8205" width="0" style="52" hidden="1" customWidth="1"/>
    <col min="8206" max="8206" width="8.875" style="52" bestFit="1" customWidth="1"/>
    <col min="8207" max="8207" width="27.375" style="52" customWidth="1"/>
    <col min="8208" max="8208" width="11.5" style="52" bestFit="1" customWidth="1"/>
    <col min="8209" max="8209" width="8.875" style="52"/>
    <col min="8210" max="8210" width="15.625" style="52" bestFit="1" customWidth="1"/>
    <col min="8211" max="8211" width="15.125" style="52" bestFit="1" customWidth="1"/>
    <col min="8212" max="8212" width="16.375" style="52" bestFit="1" customWidth="1"/>
    <col min="8213" max="8213" width="25.375" style="52" bestFit="1" customWidth="1"/>
    <col min="8214" max="8214" width="16.375" style="52" bestFit="1" customWidth="1"/>
    <col min="8215" max="8215" width="11" style="52" customWidth="1"/>
    <col min="8216" max="8449" width="8.875" style="52"/>
    <col min="8450" max="8461" width="0" style="52" hidden="1" customWidth="1"/>
    <col min="8462" max="8462" width="8.875" style="52" bestFit="1" customWidth="1"/>
    <col min="8463" max="8463" width="27.375" style="52" customWidth="1"/>
    <col min="8464" max="8464" width="11.5" style="52" bestFit="1" customWidth="1"/>
    <col min="8465" max="8465" width="8.875" style="52"/>
    <col min="8466" max="8466" width="15.625" style="52" bestFit="1" customWidth="1"/>
    <col min="8467" max="8467" width="15.125" style="52" bestFit="1" customWidth="1"/>
    <col min="8468" max="8468" width="16.375" style="52" bestFit="1" customWidth="1"/>
    <col min="8469" max="8469" width="25.375" style="52" bestFit="1" customWidth="1"/>
    <col min="8470" max="8470" width="16.375" style="52" bestFit="1" customWidth="1"/>
    <col min="8471" max="8471" width="11" style="52" customWidth="1"/>
    <col min="8472" max="8705" width="8.875" style="52"/>
    <col min="8706" max="8717" width="0" style="52" hidden="1" customWidth="1"/>
    <col min="8718" max="8718" width="8.875" style="52" bestFit="1" customWidth="1"/>
    <col min="8719" max="8719" width="27.375" style="52" customWidth="1"/>
    <col min="8720" max="8720" width="11.5" style="52" bestFit="1" customWidth="1"/>
    <col min="8721" max="8721" width="8.875" style="52"/>
    <col min="8722" max="8722" width="15.625" style="52" bestFit="1" customWidth="1"/>
    <col min="8723" max="8723" width="15.125" style="52" bestFit="1" customWidth="1"/>
    <col min="8724" max="8724" width="16.375" style="52" bestFit="1" customWidth="1"/>
    <col min="8725" max="8725" width="25.375" style="52" bestFit="1" customWidth="1"/>
    <col min="8726" max="8726" width="16.375" style="52" bestFit="1" customWidth="1"/>
    <col min="8727" max="8727" width="11" style="52" customWidth="1"/>
    <col min="8728" max="8961" width="8.875" style="52"/>
    <col min="8962" max="8973" width="0" style="52" hidden="1" customWidth="1"/>
    <col min="8974" max="8974" width="8.875" style="52" bestFit="1" customWidth="1"/>
    <col min="8975" max="8975" width="27.375" style="52" customWidth="1"/>
    <col min="8976" max="8976" width="11.5" style="52" bestFit="1" customWidth="1"/>
    <col min="8977" max="8977" width="8.875" style="52"/>
    <col min="8978" max="8978" width="15.625" style="52" bestFit="1" customWidth="1"/>
    <col min="8979" max="8979" width="15.125" style="52" bestFit="1" customWidth="1"/>
    <col min="8980" max="8980" width="16.375" style="52" bestFit="1" customWidth="1"/>
    <col min="8981" max="8981" width="25.375" style="52" bestFit="1" customWidth="1"/>
    <col min="8982" max="8982" width="16.375" style="52" bestFit="1" customWidth="1"/>
    <col min="8983" max="8983" width="11" style="52" customWidth="1"/>
    <col min="8984" max="9217" width="8.875" style="52"/>
    <col min="9218" max="9229" width="0" style="52" hidden="1" customWidth="1"/>
    <col min="9230" max="9230" width="8.875" style="52" bestFit="1" customWidth="1"/>
    <col min="9231" max="9231" width="27.375" style="52" customWidth="1"/>
    <col min="9232" max="9232" width="11.5" style="52" bestFit="1" customWidth="1"/>
    <col min="9233" max="9233" width="8.875" style="52"/>
    <col min="9234" max="9234" width="15.625" style="52" bestFit="1" customWidth="1"/>
    <col min="9235" max="9235" width="15.125" style="52" bestFit="1" customWidth="1"/>
    <col min="9236" max="9236" width="16.375" style="52" bestFit="1" customWidth="1"/>
    <col min="9237" max="9237" width="25.375" style="52" bestFit="1" customWidth="1"/>
    <col min="9238" max="9238" width="16.375" style="52" bestFit="1" customWidth="1"/>
    <col min="9239" max="9239" width="11" style="52" customWidth="1"/>
    <col min="9240" max="9473" width="8.875" style="52"/>
    <col min="9474" max="9485" width="0" style="52" hidden="1" customWidth="1"/>
    <col min="9486" max="9486" width="8.875" style="52" bestFit="1" customWidth="1"/>
    <col min="9487" max="9487" width="27.375" style="52" customWidth="1"/>
    <col min="9488" max="9488" width="11.5" style="52" bestFit="1" customWidth="1"/>
    <col min="9489" max="9489" width="8.875" style="52"/>
    <col min="9490" max="9490" width="15.625" style="52" bestFit="1" customWidth="1"/>
    <col min="9491" max="9491" width="15.125" style="52" bestFit="1" customWidth="1"/>
    <col min="9492" max="9492" width="16.375" style="52" bestFit="1" customWidth="1"/>
    <col min="9493" max="9493" width="25.375" style="52" bestFit="1" customWidth="1"/>
    <col min="9494" max="9494" width="16.375" style="52" bestFit="1" customWidth="1"/>
    <col min="9495" max="9495" width="11" style="52" customWidth="1"/>
    <col min="9496" max="9729" width="8.875" style="52"/>
    <col min="9730" max="9741" width="0" style="52" hidden="1" customWidth="1"/>
    <col min="9742" max="9742" width="8.875" style="52" bestFit="1" customWidth="1"/>
    <col min="9743" max="9743" width="27.375" style="52" customWidth="1"/>
    <col min="9744" max="9744" width="11.5" style="52" bestFit="1" customWidth="1"/>
    <col min="9745" max="9745" width="8.875" style="52"/>
    <col min="9746" max="9746" width="15.625" style="52" bestFit="1" customWidth="1"/>
    <col min="9747" max="9747" width="15.125" style="52" bestFit="1" customWidth="1"/>
    <col min="9748" max="9748" width="16.375" style="52" bestFit="1" customWidth="1"/>
    <col min="9749" max="9749" width="25.375" style="52" bestFit="1" customWidth="1"/>
    <col min="9750" max="9750" width="16.375" style="52" bestFit="1" customWidth="1"/>
    <col min="9751" max="9751" width="11" style="52" customWidth="1"/>
    <col min="9752" max="9985" width="8.875" style="52"/>
    <col min="9986" max="9997" width="0" style="52" hidden="1" customWidth="1"/>
    <col min="9998" max="9998" width="8.875" style="52" bestFit="1" customWidth="1"/>
    <col min="9999" max="9999" width="27.375" style="52" customWidth="1"/>
    <col min="10000" max="10000" width="11.5" style="52" bestFit="1" customWidth="1"/>
    <col min="10001" max="10001" width="8.875" style="52"/>
    <col min="10002" max="10002" width="15.625" style="52" bestFit="1" customWidth="1"/>
    <col min="10003" max="10003" width="15.125" style="52" bestFit="1" customWidth="1"/>
    <col min="10004" max="10004" width="16.375" style="52" bestFit="1" customWidth="1"/>
    <col min="10005" max="10005" width="25.375" style="52" bestFit="1" customWidth="1"/>
    <col min="10006" max="10006" width="16.375" style="52" bestFit="1" customWidth="1"/>
    <col min="10007" max="10007" width="11" style="52" customWidth="1"/>
    <col min="10008" max="10241" width="8.875" style="52"/>
    <col min="10242" max="10253" width="0" style="52" hidden="1" customWidth="1"/>
    <col min="10254" max="10254" width="8.875" style="52" bestFit="1" customWidth="1"/>
    <col min="10255" max="10255" width="27.375" style="52" customWidth="1"/>
    <col min="10256" max="10256" width="11.5" style="52" bestFit="1" customWidth="1"/>
    <col min="10257" max="10257" width="8.875" style="52"/>
    <col min="10258" max="10258" width="15.625" style="52" bestFit="1" customWidth="1"/>
    <col min="10259" max="10259" width="15.125" style="52" bestFit="1" customWidth="1"/>
    <col min="10260" max="10260" width="16.375" style="52" bestFit="1" customWidth="1"/>
    <col min="10261" max="10261" width="25.375" style="52" bestFit="1" customWidth="1"/>
    <col min="10262" max="10262" width="16.375" style="52" bestFit="1" customWidth="1"/>
    <col min="10263" max="10263" width="11" style="52" customWidth="1"/>
    <col min="10264" max="10497" width="8.875" style="52"/>
    <col min="10498" max="10509" width="0" style="52" hidden="1" customWidth="1"/>
    <col min="10510" max="10510" width="8.875" style="52" bestFit="1" customWidth="1"/>
    <col min="10511" max="10511" width="27.375" style="52" customWidth="1"/>
    <col min="10512" max="10512" width="11.5" style="52" bestFit="1" customWidth="1"/>
    <col min="10513" max="10513" width="8.875" style="52"/>
    <col min="10514" max="10514" width="15.625" style="52" bestFit="1" customWidth="1"/>
    <col min="10515" max="10515" width="15.125" style="52" bestFit="1" customWidth="1"/>
    <col min="10516" max="10516" width="16.375" style="52" bestFit="1" customWidth="1"/>
    <col min="10517" max="10517" width="25.375" style="52" bestFit="1" customWidth="1"/>
    <col min="10518" max="10518" width="16.375" style="52" bestFit="1" customWidth="1"/>
    <col min="10519" max="10519" width="11" style="52" customWidth="1"/>
    <col min="10520" max="10753" width="8.875" style="52"/>
    <col min="10754" max="10765" width="0" style="52" hidden="1" customWidth="1"/>
    <col min="10766" max="10766" width="8.875" style="52" bestFit="1" customWidth="1"/>
    <col min="10767" max="10767" width="27.375" style="52" customWidth="1"/>
    <col min="10768" max="10768" width="11.5" style="52" bestFit="1" customWidth="1"/>
    <col min="10769" max="10769" width="8.875" style="52"/>
    <col min="10770" max="10770" width="15.625" style="52" bestFit="1" customWidth="1"/>
    <col min="10771" max="10771" width="15.125" style="52" bestFit="1" customWidth="1"/>
    <col min="10772" max="10772" width="16.375" style="52" bestFit="1" customWidth="1"/>
    <col min="10773" max="10773" width="25.375" style="52" bestFit="1" customWidth="1"/>
    <col min="10774" max="10774" width="16.375" style="52" bestFit="1" customWidth="1"/>
    <col min="10775" max="10775" width="11" style="52" customWidth="1"/>
    <col min="10776" max="11009" width="8.875" style="52"/>
    <col min="11010" max="11021" width="0" style="52" hidden="1" customWidth="1"/>
    <col min="11022" max="11022" width="8.875" style="52" bestFit="1" customWidth="1"/>
    <col min="11023" max="11023" width="27.375" style="52" customWidth="1"/>
    <col min="11024" max="11024" width="11.5" style="52" bestFit="1" customWidth="1"/>
    <col min="11025" max="11025" width="8.875" style="52"/>
    <col min="11026" max="11026" width="15.625" style="52" bestFit="1" customWidth="1"/>
    <col min="11027" max="11027" width="15.125" style="52" bestFit="1" customWidth="1"/>
    <col min="11028" max="11028" width="16.375" style="52" bestFit="1" customWidth="1"/>
    <col min="11029" max="11029" width="25.375" style="52" bestFit="1" customWidth="1"/>
    <col min="11030" max="11030" width="16.375" style="52" bestFit="1" customWidth="1"/>
    <col min="11031" max="11031" width="11" style="52" customWidth="1"/>
    <col min="11032" max="11265" width="8.875" style="52"/>
    <col min="11266" max="11277" width="0" style="52" hidden="1" customWidth="1"/>
    <col min="11278" max="11278" width="8.875" style="52" bestFit="1" customWidth="1"/>
    <col min="11279" max="11279" width="27.375" style="52" customWidth="1"/>
    <col min="11280" max="11280" width="11.5" style="52" bestFit="1" customWidth="1"/>
    <col min="11281" max="11281" width="8.875" style="52"/>
    <col min="11282" max="11282" width="15.625" style="52" bestFit="1" customWidth="1"/>
    <col min="11283" max="11283" width="15.125" style="52" bestFit="1" customWidth="1"/>
    <col min="11284" max="11284" width="16.375" style="52" bestFit="1" customWidth="1"/>
    <col min="11285" max="11285" width="25.375" style="52" bestFit="1" customWidth="1"/>
    <col min="11286" max="11286" width="16.375" style="52" bestFit="1" customWidth="1"/>
    <col min="11287" max="11287" width="11" style="52" customWidth="1"/>
    <col min="11288" max="11521" width="8.875" style="52"/>
    <col min="11522" max="11533" width="0" style="52" hidden="1" customWidth="1"/>
    <col min="11534" max="11534" width="8.875" style="52" bestFit="1" customWidth="1"/>
    <col min="11535" max="11535" width="27.375" style="52" customWidth="1"/>
    <col min="11536" max="11536" width="11.5" style="52" bestFit="1" customWidth="1"/>
    <col min="11537" max="11537" width="8.875" style="52"/>
    <col min="11538" max="11538" width="15.625" style="52" bestFit="1" customWidth="1"/>
    <col min="11539" max="11539" width="15.125" style="52" bestFit="1" customWidth="1"/>
    <col min="11540" max="11540" width="16.375" style="52" bestFit="1" customWidth="1"/>
    <col min="11541" max="11541" width="25.375" style="52" bestFit="1" customWidth="1"/>
    <col min="11542" max="11542" width="16.375" style="52" bestFit="1" customWidth="1"/>
    <col min="11543" max="11543" width="11" style="52" customWidth="1"/>
    <col min="11544" max="11777" width="8.875" style="52"/>
    <col min="11778" max="11789" width="0" style="52" hidden="1" customWidth="1"/>
    <col min="11790" max="11790" width="8.875" style="52" bestFit="1" customWidth="1"/>
    <col min="11791" max="11791" width="27.375" style="52" customWidth="1"/>
    <col min="11792" max="11792" width="11.5" style="52" bestFit="1" customWidth="1"/>
    <col min="11793" max="11793" width="8.875" style="52"/>
    <col min="11794" max="11794" width="15.625" style="52" bestFit="1" customWidth="1"/>
    <col min="11795" max="11795" width="15.125" style="52" bestFit="1" customWidth="1"/>
    <col min="11796" max="11796" width="16.375" style="52" bestFit="1" customWidth="1"/>
    <col min="11797" max="11797" width="25.375" style="52" bestFit="1" customWidth="1"/>
    <col min="11798" max="11798" width="16.375" style="52" bestFit="1" customWidth="1"/>
    <col min="11799" max="11799" width="11" style="52" customWidth="1"/>
    <col min="11800" max="12033" width="8.875" style="52"/>
    <col min="12034" max="12045" width="0" style="52" hidden="1" customWidth="1"/>
    <col min="12046" max="12046" width="8.875" style="52" bestFit="1" customWidth="1"/>
    <col min="12047" max="12047" width="27.375" style="52" customWidth="1"/>
    <col min="12048" max="12048" width="11.5" style="52" bestFit="1" customWidth="1"/>
    <col min="12049" max="12049" width="8.875" style="52"/>
    <col min="12050" max="12050" width="15.625" style="52" bestFit="1" customWidth="1"/>
    <col min="12051" max="12051" width="15.125" style="52" bestFit="1" customWidth="1"/>
    <col min="12052" max="12052" width="16.375" style="52" bestFit="1" customWidth="1"/>
    <col min="12053" max="12053" width="25.375" style="52" bestFit="1" customWidth="1"/>
    <col min="12054" max="12054" width="16.375" style="52" bestFit="1" customWidth="1"/>
    <col min="12055" max="12055" width="11" style="52" customWidth="1"/>
    <col min="12056" max="12289" width="8.875" style="52"/>
    <col min="12290" max="12301" width="0" style="52" hidden="1" customWidth="1"/>
    <col min="12302" max="12302" width="8.875" style="52" bestFit="1" customWidth="1"/>
    <col min="12303" max="12303" width="27.375" style="52" customWidth="1"/>
    <col min="12304" max="12304" width="11.5" style="52" bestFit="1" customWidth="1"/>
    <col min="12305" max="12305" width="8.875" style="52"/>
    <col min="12306" max="12306" width="15.625" style="52" bestFit="1" customWidth="1"/>
    <col min="12307" max="12307" width="15.125" style="52" bestFit="1" customWidth="1"/>
    <col min="12308" max="12308" width="16.375" style="52" bestFit="1" customWidth="1"/>
    <col min="12309" max="12309" width="25.375" style="52" bestFit="1" customWidth="1"/>
    <col min="12310" max="12310" width="16.375" style="52" bestFit="1" customWidth="1"/>
    <col min="12311" max="12311" width="11" style="52" customWidth="1"/>
    <col min="12312" max="12545" width="8.875" style="52"/>
    <col min="12546" max="12557" width="0" style="52" hidden="1" customWidth="1"/>
    <col min="12558" max="12558" width="8.875" style="52" bestFit="1" customWidth="1"/>
    <col min="12559" max="12559" width="27.375" style="52" customWidth="1"/>
    <col min="12560" max="12560" width="11.5" style="52" bestFit="1" customWidth="1"/>
    <col min="12561" max="12561" width="8.875" style="52"/>
    <col min="12562" max="12562" width="15.625" style="52" bestFit="1" customWidth="1"/>
    <col min="12563" max="12563" width="15.125" style="52" bestFit="1" customWidth="1"/>
    <col min="12564" max="12564" width="16.375" style="52" bestFit="1" customWidth="1"/>
    <col min="12565" max="12565" width="25.375" style="52" bestFit="1" customWidth="1"/>
    <col min="12566" max="12566" width="16.375" style="52" bestFit="1" customWidth="1"/>
    <col min="12567" max="12567" width="11" style="52" customWidth="1"/>
    <col min="12568" max="12801" width="8.875" style="52"/>
    <col min="12802" max="12813" width="0" style="52" hidden="1" customWidth="1"/>
    <col min="12814" max="12814" width="8.875" style="52" bestFit="1" customWidth="1"/>
    <col min="12815" max="12815" width="27.375" style="52" customWidth="1"/>
    <col min="12816" max="12816" width="11.5" style="52" bestFit="1" customWidth="1"/>
    <col min="12817" max="12817" width="8.875" style="52"/>
    <col min="12818" max="12818" width="15.625" style="52" bestFit="1" customWidth="1"/>
    <col min="12819" max="12819" width="15.125" style="52" bestFit="1" customWidth="1"/>
    <col min="12820" max="12820" width="16.375" style="52" bestFit="1" customWidth="1"/>
    <col min="12821" max="12821" width="25.375" style="52" bestFit="1" customWidth="1"/>
    <col min="12822" max="12822" width="16.375" style="52" bestFit="1" customWidth="1"/>
    <col min="12823" max="12823" width="11" style="52" customWidth="1"/>
    <col min="12824" max="13057" width="8.875" style="52"/>
    <col min="13058" max="13069" width="0" style="52" hidden="1" customWidth="1"/>
    <col min="13070" max="13070" width="8.875" style="52" bestFit="1" customWidth="1"/>
    <col min="13071" max="13071" width="27.375" style="52" customWidth="1"/>
    <col min="13072" max="13072" width="11.5" style="52" bestFit="1" customWidth="1"/>
    <col min="13073" max="13073" width="8.875" style="52"/>
    <col min="13074" max="13074" width="15.625" style="52" bestFit="1" customWidth="1"/>
    <col min="13075" max="13075" width="15.125" style="52" bestFit="1" customWidth="1"/>
    <col min="13076" max="13076" width="16.375" style="52" bestFit="1" customWidth="1"/>
    <col min="13077" max="13077" width="25.375" style="52" bestFit="1" customWidth="1"/>
    <col min="13078" max="13078" width="16.375" style="52" bestFit="1" customWidth="1"/>
    <col min="13079" max="13079" width="11" style="52" customWidth="1"/>
    <col min="13080" max="13313" width="8.875" style="52"/>
    <col min="13314" max="13325" width="0" style="52" hidden="1" customWidth="1"/>
    <col min="13326" max="13326" width="8.875" style="52" bestFit="1" customWidth="1"/>
    <col min="13327" max="13327" width="27.375" style="52" customWidth="1"/>
    <col min="13328" max="13328" width="11.5" style="52" bestFit="1" customWidth="1"/>
    <col min="13329" max="13329" width="8.875" style="52"/>
    <col min="13330" max="13330" width="15.625" style="52" bestFit="1" customWidth="1"/>
    <col min="13331" max="13331" width="15.125" style="52" bestFit="1" customWidth="1"/>
    <col min="13332" max="13332" width="16.375" style="52" bestFit="1" customWidth="1"/>
    <col min="13333" max="13333" width="25.375" style="52" bestFit="1" customWidth="1"/>
    <col min="13334" max="13334" width="16.375" style="52" bestFit="1" customWidth="1"/>
    <col min="13335" max="13335" width="11" style="52" customWidth="1"/>
    <col min="13336" max="13569" width="8.875" style="52"/>
    <col min="13570" max="13581" width="0" style="52" hidden="1" customWidth="1"/>
    <col min="13582" max="13582" width="8.875" style="52" bestFit="1" customWidth="1"/>
    <col min="13583" max="13583" width="27.375" style="52" customWidth="1"/>
    <col min="13584" max="13584" width="11.5" style="52" bestFit="1" customWidth="1"/>
    <col min="13585" max="13585" width="8.875" style="52"/>
    <col min="13586" max="13586" width="15.625" style="52" bestFit="1" customWidth="1"/>
    <col min="13587" max="13587" width="15.125" style="52" bestFit="1" customWidth="1"/>
    <col min="13588" max="13588" width="16.375" style="52" bestFit="1" customWidth="1"/>
    <col min="13589" max="13589" width="25.375" style="52" bestFit="1" customWidth="1"/>
    <col min="13590" max="13590" width="16.375" style="52" bestFit="1" customWidth="1"/>
    <col min="13591" max="13591" width="11" style="52" customWidth="1"/>
    <col min="13592" max="13825" width="8.875" style="52"/>
    <col min="13826" max="13837" width="0" style="52" hidden="1" customWidth="1"/>
    <col min="13838" max="13838" width="8.875" style="52" bestFit="1" customWidth="1"/>
    <col min="13839" max="13839" width="27.375" style="52" customWidth="1"/>
    <col min="13840" max="13840" width="11.5" style="52" bestFit="1" customWidth="1"/>
    <col min="13841" max="13841" width="8.875" style="52"/>
    <col min="13842" max="13842" width="15.625" style="52" bestFit="1" customWidth="1"/>
    <col min="13843" max="13843" width="15.125" style="52" bestFit="1" customWidth="1"/>
    <col min="13844" max="13844" width="16.375" style="52" bestFit="1" customWidth="1"/>
    <col min="13845" max="13845" width="25.375" style="52" bestFit="1" customWidth="1"/>
    <col min="13846" max="13846" width="16.375" style="52" bestFit="1" customWidth="1"/>
    <col min="13847" max="13847" width="11" style="52" customWidth="1"/>
    <col min="13848" max="14081" width="8.875" style="52"/>
    <col min="14082" max="14093" width="0" style="52" hidden="1" customWidth="1"/>
    <col min="14094" max="14094" width="8.875" style="52" bestFit="1" customWidth="1"/>
    <col min="14095" max="14095" width="27.375" style="52" customWidth="1"/>
    <col min="14096" max="14096" width="11.5" style="52" bestFit="1" customWidth="1"/>
    <col min="14097" max="14097" width="8.875" style="52"/>
    <col min="14098" max="14098" width="15.625" style="52" bestFit="1" customWidth="1"/>
    <col min="14099" max="14099" width="15.125" style="52" bestFit="1" customWidth="1"/>
    <col min="14100" max="14100" width="16.375" style="52" bestFit="1" customWidth="1"/>
    <col min="14101" max="14101" width="25.375" style="52" bestFit="1" customWidth="1"/>
    <col min="14102" max="14102" width="16.375" style="52" bestFit="1" customWidth="1"/>
    <col min="14103" max="14103" width="11" style="52" customWidth="1"/>
    <col min="14104" max="14337" width="8.875" style="52"/>
    <col min="14338" max="14349" width="0" style="52" hidden="1" customWidth="1"/>
    <col min="14350" max="14350" width="8.875" style="52" bestFit="1" customWidth="1"/>
    <col min="14351" max="14351" width="27.375" style="52" customWidth="1"/>
    <col min="14352" max="14352" width="11.5" style="52" bestFit="1" customWidth="1"/>
    <col min="14353" max="14353" width="8.875" style="52"/>
    <col min="14354" max="14354" width="15.625" style="52" bestFit="1" customWidth="1"/>
    <col min="14355" max="14355" width="15.125" style="52" bestFit="1" customWidth="1"/>
    <col min="14356" max="14356" width="16.375" style="52" bestFit="1" customWidth="1"/>
    <col min="14357" max="14357" width="25.375" style="52" bestFit="1" customWidth="1"/>
    <col min="14358" max="14358" width="16.375" style="52" bestFit="1" customWidth="1"/>
    <col min="14359" max="14359" width="11" style="52" customWidth="1"/>
    <col min="14360" max="14593" width="8.875" style="52"/>
    <col min="14594" max="14605" width="0" style="52" hidden="1" customWidth="1"/>
    <col min="14606" max="14606" width="8.875" style="52" bestFit="1" customWidth="1"/>
    <col min="14607" max="14607" width="27.375" style="52" customWidth="1"/>
    <col min="14608" max="14608" width="11.5" style="52" bestFit="1" customWidth="1"/>
    <col min="14609" max="14609" width="8.875" style="52"/>
    <col min="14610" max="14610" width="15.625" style="52" bestFit="1" customWidth="1"/>
    <col min="14611" max="14611" width="15.125" style="52" bestFit="1" customWidth="1"/>
    <col min="14612" max="14612" width="16.375" style="52" bestFit="1" customWidth="1"/>
    <col min="14613" max="14613" width="25.375" style="52" bestFit="1" customWidth="1"/>
    <col min="14614" max="14614" width="16.375" style="52" bestFit="1" customWidth="1"/>
    <col min="14615" max="14615" width="11" style="52" customWidth="1"/>
    <col min="14616" max="14849" width="8.875" style="52"/>
    <col min="14850" max="14861" width="0" style="52" hidden="1" customWidth="1"/>
    <col min="14862" max="14862" width="8.875" style="52" bestFit="1" customWidth="1"/>
    <col min="14863" max="14863" width="27.375" style="52" customWidth="1"/>
    <col min="14864" max="14864" width="11.5" style="52" bestFit="1" customWidth="1"/>
    <col min="14865" max="14865" width="8.875" style="52"/>
    <col min="14866" max="14866" width="15.625" style="52" bestFit="1" customWidth="1"/>
    <col min="14867" max="14867" width="15.125" style="52" bestFit="1" customWidth="1"/>
    <col min="14868" max="14868" width="16.375" style="52" bestFit="1" customWidth="1"/>
    <col min="14869" max="14869" width="25.375" style="52" bestFit="1" customWidth="1"/>
    <col min="14870" max="14870" width="16.375" style="52" bestFit="1" customWidth="1"/>
    <col min="14871" max="14871" width="11" style="52" customWidth="1"/>
    <col min="14872" max="15105" width="8.875" style="52"/>
    <col min="15106" max="15117" width="0" style="52" hidden="1" customWidth="1"/>
    <col min="15118" max="15118" width="8.875" style="52" bestFit="1" customWidth="1"/>
    <col min="15119" max="15119" width="27.375" style="52" customWidth="1"/>
    <col min="15120" max="15120" width="11.5" style="52" bestFit="1" customWidth="1"/>
    <col min="15121" max="15121" width="8.875" style="52"/>
    <col min="15122" max="15122" width="15.625" style="52" bestFit="1" customWidth="1"/>
    <col min="15123" max="15123" width="15.125" style="52" bestFit="1" customWidth="1"/>
    <col min="15124" max="15124" width="16.375" style="52" bestFit="1" customWidth="1"/>
    <col min="15125" max="15125" width="25.375" style="52" bestFit="1" customWidth="1"/>
    <col min="15126" max="15126" width="16.375" style="52" bestFit="1" customWidth="1"/>
    <col min="15127" max="15127" width="11" style="52" customWidth="1"/>
    <col min="15128" max="15361" width="8.875" style="52"/>
    <col min="15362" max="15373" width="0" style="52" hidden="1" customWidth="1"/>
    <col min="15374" max="15374" width="8.875" style="52" bestFit="1" customWidth="1"/>
    <col min="15375" max="15375" width="27.375" style="52" customWidth="1"/>
    <col min="15376" max="15376" width="11.5" style="52" bestFit="1" customWidth="1"/>
    <col min="15377" max="15377" width="8.875" style="52"/>
    <col min="15378" max="15378" width="15.625" style="52" bestFit="1" customWidth="1"/>
    <col min="15379" max="15379" width="15.125" style="52" bestFit="1" customWidth="1"/>
    <col min="15380" max="15380" width="16.375" style="52" bestFit="1" customWidth="1"/>
    <col min="15381" max="15381" width="25.375" style="52" bestFit="1" customWidth="1"/>
    <col min="15382" max="15382" width="16.375" style="52" bestFit="1" customWidth="1"/>
    <col min="15383" max="15383" width="11" style="52" customWidth="1"/>
    <col min="15384" max="15617" width="8.875" style="52"/>
    <col min="15618" max="15629" width="0" style="52" hidden="1" customWidth="1"/>
    <col min="15630" max="15630" width="8.875" style="52" bestFit="1" customWidth="1"/>
    <col min="15631" max="15631" width="27.375" style="52" customWidth="1"/>
    <col min="15632" max="15632" width="11.5" style="52" bestFit="1" customWidth="1"/>
    <col min="15633" max="15633" width="8.875" style="52"/>
    <col min="15634" max="15634" width="15.625" style="52" bestFit="1" customWidth="1"/>
    <col min="15635" max="15635" width="15.125" style="52" bestFit="1" customWidth="1"/>
    <col min="15636" max="15636" width="16.375" style="52" bestFit="1" customWidth="1"/>
    <col min="15637" max="15637" width="25.375" style="52" bestFit="1" customWidth="1"/>
    <col min="15638" max="15638" width="16.375" style="52" bestFit="1" customWidth="1"/>
    <col min="15639" max="15639" width="11" style="52" customWidth="1"/>
    <col min="15640" max="15873" width="8.875" style="52"/>
    <col min="15874" max="15885" width="0" style="52" hidden="1" customWidth="1"/>
    <col min="15886" max="15886" width="8.875" style="52" bestFit="1" customWidth="1"/>
    <col min="15887" max="15887" width="27.375" style="52" customWidth="1"/>
    <col min="15888" max="15888" width="11.5" style="52" bestFit="1" customWidth="1"/>
    <col min="15889" max="15889" width="8.875" style="52"/>
    <col min="15890" max="15890" width="15.625" style="52" bestFit="1" customWidth="1"/>
    <col min="15891" max="15891" width="15.125" style="52" bestFit="1" customWidth="1"/>
    <col min="15892" max="15892" width="16.375" style="52" bestFit="1" customWidth="1"/>
    <col min="15893" max="15893" width="25.375" style="52" bestFit="1" customWidth="1"/>
    <col min="15894" max="15894" width="16.375" style="52" bestFit="1" customWidth="1"/>
    <col min="15895" max="15895" width="11" style="52" customWidth="1"/>
    <col min="15896" max="16129" width="8.875" style="52"/>
    <col min="16130" max="16141" width="0" style="52" hidden="1" customWidth="1"/>
    <col min="16142" max="16142" width="8.875" style="52" bestFit="1" customWidth="1"/>
    <col min="16143" max="16143" width="27.375" style="52" customWidth="1"/>
    <col min="16144" max="16144" width="11.5" style="52" bestFit="1" customWidth="1"/>
    <col min="16145" max="16145" width="8.875" style="52"/>
    <col min="16146" max="16146" width="15.625" style="52" bestFit="1" customWidth="1"/>
    <col min="16147" max="16147" width="15.125" style="52" bestFit="1" customWidth="1"/>
    <col min="16148" max="16148" width="16.375" style="52" bestFit="1" customWidth="1"/>
    <col min="16149" max="16149" width="25.375" style="52" bestFit="1" customWidth="1"/>
    <col min="16150" max="16150" width="16.375" style="52" bestFit="1" customWidth="1"/>
    <col min="16151" max="16151" width="11" style="52" customWidth="1"/>
    <col min="16152" max="16384" width="8.875" style="52"/>
  </cols>
  <sheetData>
    <row r="1" spans="1:29" ht="25.5">
      <c r="A1" s="219" t="s">
        <v>466</v>
      </c>
      <c r="B1" s="220" t="s">
        <v>1354</v>
      </c>
      <c r="C1" s="219" t="s">
        <v>1355</v>
      </c>
      <c r="D1" s="219" t="s">
        <v>1356</v>
      </c>
      <c r="E1" s="219" t="s">
        <v>1357</v>
      </c>
      <c r="F1" s="220" t="s">
        <v>1358</v>
      </c>
      <c r="G1" s="220" t="s">
        <v>1359</v>
      </c>
      <c r="H1" s="220" t="s">
        <v>1360</v>
      </c>
      <c r="I1" s="219" t="s">
        <v>1361</v>
      </c>
      <c r="J1" s="219" t="s">
        <v>1362</v>
      </c>
      <c r="K1" s="221" t="s">
        <v>1363</v>
      </c>
      <c r="L1" s="221" t="s">
        <v>1364</v>
      </c>
      <c r="M1" s="222"/>
      <c r="N1" s="146" t="s">
        <v>1365</v>
      </c>
      <c r="O1" s="146" t="s">
        <v>1366</v>
      </c>
      <c r="P1" s="146" t="s">
        <v>469</v>
      </c>
      <c r="Q1" s="146" t="s">
        <v>1367</v>
      </c>
      <c r="R1" s="146" t="s">
        <v>1368</v>
      </c>
      <c r="S1" s="146" t="s">
        <v>1362</v>
      </c>
      <c r="T1" s="146" t="s">
        <v>1369</v>
      </c>
      <c r="U1" s="146" t="s">
        <v>1370</v>
      </c>
      <c r="V1" s="146" t="s">
        <v>1371</v>
      </c>
      <c r="W1" s="147" t="s">
        <v>1372</v>
      </c>
      <c r="X1" s="147" t="s">
        <v>1373</v>
      </c>
      <c r="Y1" s="147" t="s">
        <v>1374</v>
      </c>
      <c r="Z1" s="147" t="s">
        <v>1375</v>
      </c>
      <c r="AA1" s="147" t="s">
        <v>1376</v>
      </c>
      <c r="AB1" s="147" t="s">
        <v>1374</v>
      </c>
      <c r="AC1" s="147" t="s">
        <v>1375</v>
      </c>
    </row>
    <row r="2" spans="1:29" ht="13.5" thickBot="1">
      <c r="A2" s="98"/>
      <c r="B2" s="55"/>
      <c r="C2" s="148"/>
      <c r="D2" s="148"/>
      <c r="E2" s="148"/>
      <c r="F2" s="55"/>
      <c r="G2" s="56"/>
      <c r="H2" s="56"/>
      <c r="I2" s="56"/>
      <c r="J2" s="56"/>
      <c r="K2" s="149"/>
      <c r="L2" s="149"/>
      <c r="M2" s="134"/>
      <c r="N2" s="148"/>
      <c r="O2" s="148"/>
      <c r="P2" s="148" t="s">
        <v>479</v>
      </c>
      <c r="Q2" s="148" t="s">
        <v>479</v>
      </c>
      <c r="R2" s="148" t="s">
        <v>479</v>
      </c>
      <c r="S2" s="148" t="s">
        <v>479</v>
      </c>
      <c r="T2" s="148"/>
      <c r="U2" s="148"/>
      <c r="V2" s="148"/>
      <c r="W2" s="56" t="s">
        <v>483</v>
      </c>
      <c r="X2" s="56" t="s">
        <v>483</v>
      </c>
      <c r="Y2" s="56" t="s">
        <v>483</v>
      </c>
      <c r="Z2" s="56" t="s">
        <v>483</v>
      </c>
      <c r="AA2" s="56" t="s">
        <v>479</v>
      </c>
      <c r="AB2" s="56" t="s">
        <v>483</v>
      </c>
      <c r="AC2" s="56" t="s">
        <v>483</v>
      </c>
    </row>
    <row r="3" spans="1:29" ht="12.75" customHeight="1">
      <c r="A3" s="239"/>
      <c r="B3" s="144"/>
      <c r="C3" s="1082" t="s">
        <v>1377</v>
      </c>
      <c r="D3" s="1083"/>
      <c r="E3" s="1084"/>
      <c r="F3" s="150"/>
      <c r="G3" s="151"/>
      <c r="H3" s="152"/>
      <c r="I3" s="153"/>
      <c r="J3" s="154"/>
      <c r="K3" s="155"/>
      <c r="L3" s="155"/>
      <c r="M3" s="134"/>
      <c r="N3" s="236" t="s">
        <v>1378</v>
      </c>
      <c r="O3" s="156" t="s">
        <v>1379</v>
      </c>
      <c r="P3" s="157">
        <v>8</v>
      </c>
      <c r="Q3" s="157">
        <v>34.436999999999998</v>
      </c>
      <c r="R3" s="157">
        <f t="shared" ref="R3:R11" si="0">Q3-S3</f>
        <v>29.206999999999997</v>
      </c>
      <c r="S3" s="157">
        <f>2.25+2.98</f>
        <v>5.23</v>
      </c>
      <c r="T3" s="157">
        <v>31</v>
      </c>
      <c r="U3" s="158" t="s">
        <v>1380</v>
      </c>
      <c r="V3" s="158"/>
      <c r="W3" s="159">
        <f>0.4/Q3*100</f>
        <v>1.1615413653918751</v>
      </c>
      <c r="X3" s="159">
        <f>1.8/Q3*100</f>
        <v>5.2269361442634379</v>
      </c>
      <c r="Y3" s="159">
        <f>0.6/Q3*100</f>
        <v>1.7423120480878125</v>
      </c>
      <c r="Z3" s="159">
        <f>0.7/Q3*100</f>
        <v>2.0326973894357812</v>
      </c>
      <c r="AA3" s="160"/>
      <c r="AB3" s="209"/>
      <c r="AC3" s="209"/>
    </row>
    <row r="4" spans="1:29">
      <c r="A4" s="229"/>
      <c r="B4" s="223"/>
      <c r="C4" s="224"/>
      <c r="D4" s="224"/>
      <c r="E4" s="224"/>
      <c r="F4" s="225"/>
      <c r="G4" s="226"/>
      <c r="H4" s="226"/>
      <c r="I4" s="227"/>
      <c r="J4" s="224"/>
      <c r="K4" s="224"/>
      <c r="L4" s="224"/>
      <c r="M4" s="228"/>
      <c r="N4" s="161" t="s">
        <v>1381</v>
      </c>
      <c r="O4" s="161" t="s">
        <v>9071</v>
      </c>
      <c r="P4" s="158">
        <v>2.48</v>
      </c>
      <c r="Q4" s="158">
        <v>8.7200000000000006</v>
      </c>
      <c r="R4" s="158">
        <f t="shared" si="0"/>
        <v>3.2000000000000011</v>
      </c>
      <c r="S4" s="158">
        <v>5.52</v>
      </c>
      <c r="T4" s="158">
        <v>5</v>
      </c>
      <c r="U4" s="158">
        <v>1</v>
      </c>
      <c r="V4" s="158"/>
      <c r="W4" s="162">
        <f>1.38/Q4*100</f>
        <v>15.825688073394492</v>
      </c>
      <c r="X4" s="162">
        <f>5.1/Q4*100</f>
        <v>58.486238532110079</v>
      </c>
      <c r="Y4" s="162">
        <f>1.71/Q4*100</f>
        <v>19.610091743119266</v>
      </c>
      <c r="Z4" s="162">
        <f>2.158/Q4*100</f>
        <v>24.747706422018346</v>
      </c>
      <c r="AA4" s="163"/>
      <c r="AB4" s="162">
        <f>2.972/Q4*100</f>
        <v>34.082568807339449</v>
      </c>
      <c r="AC4" s="162">
        <f>3.379/Q4*100</f>
        <v>38.749999999999993</v>
      </c>
    </row>
    <row r="5" spans="1:29">
      <c r="A5" s="229"/>
      <c r="B5" s="223"/>
      <c r="C5" s="225"/>
      <c r="D5" s="225"/>
      <c r="E5" s="225"/>
      <c r="F5" s="225"/>
      <c r="G5" s="226"/>
      <c r="H5" s="226"/>
      <c r="I5" s="227"/>
      <c r="J5" s="225"/>
      <c r="K5" s="225"/>
      <c r="L5" s="225"/>
      <c r="M5" s="115"/>
      <c r="N5" s="161" t="s">
        <v>1383</v>
      </c>
      <c r="O5" s="161" t="s">
        <v>1382</v>
      </c>
      <c r="P5" s="158">
        <v>1.7</v>
      </c>
      <c r="Q5" s="158">
        <v>8.32</v>
      </c>
      <c r="R5" s="158">
        <f t="shared" si="0"/>
        <v>3.2</v>
      </c>
      <c r="S5" s="158">
        <v>5.12</v>
      </c>
      <c r="T5" s="158">
        <v>5</v>
      </c>
      <c r="U5" s="158">
        <v>1</v>
      </c>
      <c r="V5" s="158"/>
      <c r="W5" s="162">
        <f>2.036/Q5*100</f>
        <v>24.471153846153847</v>
      </c>
      <c r="X5" s="162">
        <f>5.674/Q5*100</f>
        <v>68.197115384615387</v>
      </c>
      <c r="Y5" s="162">
        <f>2.945/Q5*100</f>
        <v>35.396634615384613</v>
      </c>
      <c r="Z5" s="162">
        <f>3.422/Q5*100</f>
        <v>41.129807692307693</v>
      </c>
      <c r="AA5" s="162"/>
      <c r="AB5" s="162">
        <f>4.765/Q5*100</f>
        <v>57.271634615384613</v>
      </c>
      <c r="AC5" s="162">
        <f>5.414/Q5*100</f>
        <v>65.072115384615387</v>
      </c>
    </row>
    <row r="6" spans="1:29">
      <c r="A6" s="229"/>
      <c r="B6" s="223"/>
      <c r="C6" s="225"/>
      <c r="D6" s="225"/>
      <c r="E6" s="225"/>
      <c r="F6" s="225"/>
      <c r="G6" s="226"/>
      <c r="H6" s="226"/>
      <c r="I6" s="227"/>
      <c r="J6" s="225"/>
      <c r="K6" s="225"/>
      <c r="L6" s="225"/>
      <c r="M6" s="115"/>
      <c r="N6" s="161" t="s">
        <v>1384</v>
      </c>
      <c r="O6" s="161" t="s">
        <v>9071</v>
      </c>
      <c r="P6" s="158">
        <v>1.976</v>
      </c>
      <c r="Q6" s="158">
        <v>10.57</v>
      </c>
      <c r="R6" s="158">
        <f t="shared" si="0"/>
        <v>3.0300000000000002</v>
      </c>
      <c r="S6" s="158">
        <v>7.54</v>
      </c>
      <c r="T6" s="158">
        <v>4</v>
      </c>
      <c r="U6" s="158">
        <v>1</v>
      </c>
      <c r="V6" s="158"/>
      <c r="W6" s="162">
        <f>3.794/Q6*100</f>
        <v>35.894039735099334</v>
      </c>
      <c r="X6" s="162">
        <f>7.81/Q6*100</f>
        <v>73.888363292336805</v>
      </c>
      <c r="Y6" s="162">
        <f>4.686/Q6*100</f>
        <v>44.333017975402079</v>
      </c>
      <c r="Z6" s="162">
        <f>5.133/Q6*100</f>
        <v>48.561967833491011</v>
      </c>
      <c r="AA6" s="162"/>
      <c r="AB6" s="162">
        <f>6.561/Q6*100</f>
        <v>62.071901608325454</v>
      </c>
      <c r="AC6" s="162">
        <f>7/Q6*100</f>
        <v>66.225165562913901</v>
      </c>
    </row>
    <row r="7" spans="1:29">
      <c r="A7" s="229"/>
      <c r="B7" s="223"/>
      <c r="C7" s="225"/>
      <c r="D7" s="225"/>
      <c r="E7" s="225"/>
      <c r="F7" s="225"/>
      <c r="G7" s="226"/>
      <c r="H7" s="226"/>
      <c r="I7" s="227"/>
      <c r="J7" s="225"/>
      <c r="K7" s="225"/>
      <c r="L7" s="225"/>
      <c r="M7" s="115"/>
      <c r="N7" s="161" t="s">
        <v>1385</v>
      </c>
      <c r="O7" s="161" t="s">
        <v>1382</v>
      </c>
      <c r="P7" s="206">
        <v>1.7</v>
      </c>
      <c r="Q7" s="206">
        <v>7.55</v>
      </c>
      <c r="R7" s="206">
        <f t="shared" si="0"/>
        <v>3.0300000000000002</v>
      </c>
      <c r="S7" s="206">
        <v>4.5199999999999996</v>
      </c>
      <c r="T7" s="206">
        <v>4</v>
      </c>
      <c r="U7" s="206">
        <v>1</v>
      </c>
      <c r="V7" s="206"/>
      <c r="W7" s="207">
        <f>1.665/Q7*100</f>
        <v>22.05298013245033</v>
      </c>
      <c r="X7" s="207">
        <f>5.178/Q7*100</f>
        <v>68.58278145695364</v>
      </c>
      <c r="Y7" s="207">
        <f>2.607/Q7*100</f>
        <v>34.529801324503318</v>
      </c>
      <c r="Z7" s="207">
        <f>3.042/Q7*100</f>
        <v>40.29139072847682</v>
      </c>
      <c r="AA7" s="208"/>
      <c r="AB7" s="162">
        <f>4.164/Q7*100</f>
        <v>55.152317880794698</v>
      </c>
      <c r="AC7" s="162">
        <f>4.635/Q7*100</f>
        <v>61.390728476821188</v>
      </c>
    </row>
    <row r="8" spans="1:29">
      <c r="A8" s="229"/>
      <c r="B8" s="223"/>
      <c r="C8" s="225"/>
      <c r="D8" s="225"/>
      <c r="E8" s="225"/>
      <c r="F8" s="225"/>
      <c r="G8" s="226"/>
      <c r="H8" s="226"/>
      <c r="I8" s="227"/>
      <c r="J8" s="225"/>
      <c r="K8" s="225"/>
      <c r="L8" s="225"/>
      <c r="M8" s="115"/>
      <c r="N8" s="161" t="s">
        <v>1386</v>
      </c>
      <c r="O8" s="161" t="s">
        <v>1387</v>
      </c>
      <c r="P8" s="158" t="s">
        <v>1388</v>
      </c>
      <c r="Q8" s="158">
        <v>39.636000000000003</v>
      </c>
      <c r="R8" s="158">
        <f t="shared" si="0"/>
        <v>27.594000000000001</v>
      </c>
      <c r="S8" s="158">
        <v>12.042</v>
      </c>
      <c r="T8" s="158">
        <v>35</v>
      </c>
      <c r="U8" s="211" t="s">
        <v>1389</v>
      </c>
      <c r="V8" s="158"/>
      <c r="W8" s="162">
        <f>2.063/Q8*100</f>
        <v>5.2048642648097694</v>
      </c>
      <c r="X8" s="162">
        <f>9.975/Q8*100</f>
        <v>25.166515289131091</v>
      </c>
      <c r="Y8" s="162">
        <f>0.403/Q8*100</f>
        <v>1.0167524472701586</v>
      </c>
      <c r="Z8" s="162">
        <f>8.672/Q8*100</f>
        <v>21.87909980825512</v>
      </c>
      <c r="AA8" s="163"/>
      <c r="AB8" s="162"/>
      <c r="AC8" s="162"/>
    </row>
    <row r="9" spans="1:29">
      <c r="A9" s="229"/>
      <c r="B9" s="223"/>
      <c r="C9" s="225"/>
      <c r="D9" s="225"/>
      <c r="E9" s="225"/>
      <c r="F9" s="225"/>
      <c r="G9" s="226"/>
      <c r="H9" s="226"/>
      <c r="I9" s="227"/>
      <c r="J9" s="225"/>
      <c r="K9" s="225"/>
      <c r="L9" s="225"/>
      <c r="M9" s="115"/>
      <c r="N9" s="161" t="s">
        <v>1390</v>
      </c>
      <c r="O9" s="161" t="s">
        <v>1391</v>
      </c>
      <c r="P9" s="158" t="s">
        <v>1392</v>
      </c>
      <c r="Q9" s="158">
        <f>40.14-2.3-6.475</f>
        <v>31.365000000000002</v>
      </c>
      <c r="R9" s="158">
        <f t="shared" si="0"/>
        <v>23.875</v>
      </c>
      <c r="S9" s="158">
        <v>7.49</v>
      </c>
      <c r="T9" s="158">
        <v>30</v>
      </c>
      <c r="U9" s="211" t="s">
        <v>1393</v>
      </c>
      <c r="V9" s="158"/>
      <c r="W9" s="162">
        <f>1.772/Q9*100</f>
        <v>5.6496094372708434</v>
      </c>
      <c r="X9" s="162">
        <f>7.2/Q9*100</f>
        <v>22.955523672883789</v>
      </c>
      <c r="Y9" s="162">
        <f>5.9/Q9*100</f>
        <v>18.810776343057547</v>
      </c>
      <c r="Z9" s="162">
        <f>7.3/Q9*100</f>
        <v>23.274350390562727</v>
      </c>
      <c r="AA9" s="163"/>
      <c r="AB9" s="162"/>
      <c r="AC9" s="162"/>
    </row>
    <row r="10" spans="1:29">
      <c r="A10" s="229"/>
      <c r="B10" s="223"/>
      <c r="C10" s="225"/>
      <c r="D10" s="225"/>
      <c r="E10" s="225"/>
      <c r="F10" s="225"/>
      <c r="G10" s="226"/>
      <c r="H10" s="226"/>
      <c r="I10" s="227"/>
      <c r="J10" s="225"/>
      <c r="K10" s="225"/>
      <c r="L10" s="225"/>
      <c r="M10" s="115"/>
      <c r="N10" s="161" t="s">
        <v>1394</v>
      </c>
      <c r="O10" s="161" t="s">
        <v>1395</v>
      </c>
      <c r="P10" s="158" t="s">
        <v>10689</v>
      </c>
      <c r="Q10" s="158">
        <f>6.395+1.175+4.18</f>
        <v>11.75</v>
      </c>
      <c r="R10" s="158">
        <f t="shared" si="0"/>
        <v>6.2649999999999997</v>
      </c>
      <c r="S10" s="158">
        <v>5.4850000000000003</v>
      </c>
      <c r="T10" s="158">
        <v>10</v>
      </c>
      <c r="U10" s="158">
        <v>1</v>
      </c>
      <c r="V10" s="158"/>
      <c r="W10" s="162">
        <f>(7.25-6.5)/Q10*100</f>
        <v>6.3829787234042552</v>
      </c>
      <c r="X10" s="162">
        <f>(10-6.5)/Q10*100</f>
        <v>29.787234042553191</v>
      </c>
      <c r="Y10" s="162">
        <f>W10/2</f>
        <v>3.1914893617021276</v>
      </c>
      <c r="Z10" s="162">
        <f>(10.45-6.5)/Q10*100</f>
        <v>33.617021276595736</v>
      </c>
      <c r="AA10" s="163"/>
      <c r="AB10" s="162"/>
      <c r="AC10" s="162"/>
    </row>
    <row r="11" spans="1:29" ht="13.5" thickBot="1">
      <c r="A11" s="230"/>
      <c r="B11" s="231"/>
      <c r="C11" s="232"/>
      <c r="D11" s="232"/>
      <c r="E11" s="232"/>
      <c r="F11" s="232"/>
      <c r="G11" s="233"/>
      <c r="H11" s="233"/>
      <c r="I11" s="234"/>
      <c r="J11" s="232"/>
      <c r="K11" s="232"/>
      <c r="L11" s="232"/>
      <c r="M11" s="235"/>
      <c r="N11" s="238" t="s">
        <v>1396</v>
      </c>
      <c r="O11" s="238" t="s">
        <v>1397</v>
      </c>
      <c r="P11" s="164">
        <v>0.95</v>
      </c>
      <c r="Q11" s="164">
        <v>16</v>
      </c>
      <c r="R11" s="164">
        <f t="shared" si="0"/>
        <v>12.97</v>
      </c>
      <c r="S11" s="217">
        <f>2.28+0.75</f>
        <v>3.03</v>
      </c>
      <c r="T11" s="164">
        <v>20</v>
      </c>
      <c r="U11" s="164">
        <v>1</v>
      </c>
      <c r="V11" s="164"/>
      <c r="W11" s="210">
        <f>0.4/Q11*100</f>
        <v>2.5</v>
      </c>
      <c r="X11" s="210">
        <f>2/Q11*100</f>
        <v>12.5</v>
      </c>
      <c r="Y11" s="210">
        <f>0.28/Q11*100</f>
        <v>1.7500000000000002</v>
      </c>
      <c r="Z11" s="210">
        <f>2.5/Q11*100</f>
        <v>15.625</v>
      </c>
      <c r="AA11" s="165"/>
      <c r="AB11" s="210"/>
      <c r="AC11" s="210"/>
    </row>
  </sheetData>
  <dataConsolidate/>
  <mergeCells count="1">
    <mergeCell ref="C3:E3"/>
  </mergeCells>
  <phoneticPr fontId="14" type="noConversion"/>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sheetPr>
    <tabColor rgb="FFFFFF00"/>
  </sheetPr>
  <dimension ref="A1:F1094"/>
  <sheetViews>
    <sheetView topLeftCell="A205" zoomScaleNormal="100" workbookViewId="0">
      <selection activeCell="B220" sqref="B1:B1048576"/>
    </sheetView>
  </sheetViews>
  <sheetFormatPr defaultRowHeight="12.75"/>
  <cols>
    <col min="1" max="1" width="54.375" style="171" customWidth="1"/>
    <col min="2" max="2" width="29" style="171" customWidth="1"/>
    <col min="3" max="3" width="65.875" style="171" customWidth="1"/>
    <col min="4" max="4" width="14.375" style="172" customWidth="1"/>
    <col min="5" max="5" width="12" style="172" customWidth="1"/>
    <col min="6" max="6" width="16.625" style="172" customWidth="1"/>
    <col min="7" max="256" width="8.875" style="52"/>
    <col min="257" max="257" width="54.375" style="52" customWidth="1"/>
    <col min="258" max="258" width="29" style="52" customWidth="1"/>
    <col min="259" max="259" width="65.875" style="52" customWidth="1"/>
    <col min="260" max="260" width="14.375" style="52" customWidth="1"/>
    <col min="261" max="261" width="12" style="52" customWidth="1"/>
    <col min="262" max="262" width="16.625" style="52" customWidth="1"/>
    <col min="263" max="512" width="8.875" style="52"/>
    <col min="513" max="513" width="54.375" style="52" customWidth="1"/>
    <col min="514" max="514" width="29" style="52" customWidth="1"/>
    <col min="515" max="515" width="65.875" style="52" customWidth="1"/>
    <col min="516" max="516" width="14.375" style="52" customWidth="1"/>
    <col min="517" max="517" width="12" style="52" customWidth="1"/>
    <col min="518" max="518" width="16.625" style="52" customWidth="1"/>
    <col min="519" max="768" width="8.875" style="52"/>
    <col min="769" max="769" width="54.375" style="52" customWidth="1"/>
    <col min="770" max="770" width="29" style="52" customWidth="1"/>
    <col min="771" max="771" width="65.875" style="52" customWidth="1"/>
    <col min="772" max="772" width="14.375" style="52" customWidth="1"/>
    <col min="773" max="773" width="12" style="52" customWidth="1"/>
    <col min="774" max="774" width="16.625" style="52" customWidth="1"/>
    <col min="775" max="1024" width="8.875" style="52"/>
    <col min="1025" max="1025" width="54.375" style="52" customWidth="1"/>
    <col min="1026" max="1026" width="29" style="52" customWidth="1"/>
    <col min="1027" max="1027" width="65.875" style="52" customWidth="1"/>
    <col min="1028" max="1028" width="14.375" style="52" customWidth="1"/>
    <col min="1029" max="1029" width="12" style="52" customWidth="1"/>
    <col min="1030" max="1030" width="16.625" style="52" customWidth="1"/>
    <col min="1031" max="1280" width="8.875" style="52"/>
    <col min="1281" max="1281" width="54.375" style="52" customWidth="1"/>
    <col min="1282" max="1282" width="29" style="52" customWidth="1"/>
    <col min="1283" max="1283" width="65.875" style="52" customWidth="1"/>
    <col min="1284" max="1284" width="14.375" style="52" customWidth="1"/>
    <col min="1285" max="1285" width="12" style="52" customWidth="1"/>
    <col min="1286" max="1286" width="16.625" style="52" customWidth="1"/>
    <col min="1287" max="1536" width="8.875" style="52"/>
    <col min="1537" max="1537" width="54.375" style="52" customWidth="1"/>
    <col min="1538" max="1538" width="29" style="52" customWidth="1"/>
    <col min="1539" max="1539" width="65.875" style="52" customWidth="1"/>
    <col min="1540" max="1540" width="14.375" style="52" customWidth="1"/>
    <col min="1541" max="1541" width="12" style="52" customWidth="1"/>
    <col min="1542" max="1542" width="16.625" style="52" customWidth="1"/>
    <col min="1543" max="1792" width="8.875" style="52"/>
    <col min="1793" max="1793" width="54.375" style="52" customWidth="1"/>
    <col min="1794" max="1794" width="29" style="52" customWidth="1"/>
    <col min="1795" max="1795" width="65.875" style="52" customWidth="1"/>
    <col min="1796" max="1796" width="14.375" style="52" customWidth="1"/>
    <col min="1797" max="1797" width="12" style="52" customWidth="1"/>
    <col min="1798" max="1798" width="16.625" style="52" customWidth="1"/>
    <col min="1799" max="2048" width="8.875" style="52"/>
    <col min="2049" max="2049" width="54.375" style="52" customWidth="1"/>
    <col min="2050" max="2050" width="29" style="52" customWidth="1"/>
    <col min="2051" max="2051" width="65.875" style="52" customWidth="1"/>
    <col min="2052" max="2052" width="14.375" style="52" customWidth="1"/>
    <col min="2053" max="2053" width="12" style="52" customWidth="1"/>
    <col min="2054" max="2054" width="16.625" style="52" customWidth="1"/>
    <col min="2055" max="2304" width="8.875" style="52"/>
    <col min="2305" max="2305" width="54.375" style="52" customWidth="1"/>
    <col min="2306" max="2306" width="29" style="52" customWidth="1"/>
    <col min="2307" max="2307" width="65.875" style="52" customWidth="1"/>
    <col min="2308" max="2308" width="14.375" style="52" customWidth="1"/>
    <col min="2309" max="2309" width="12" style="52" customWidth="1"/>
    <col min="2310" max="2310" width="16.625" style="52" customWidth="1"/>
    <col min="2311" max="2560" width="8.875" style="52"/>
    <col min="2561" max="2561" width="54.375" style="52" customWidth="1"/>
    <col min="2562" max="2562" width="29" style="52" customWidth="1"/>
    <col min="2563" max="2563" width="65.875" style="52" customWidth="1"/>
    <col min="2564" max="2564" width="14.375" style="52" customWidth="1"/>
    <col min="2565" max="2565" width="12" style="52" customWidth="1"/>
    <col min="2566" max="2566" width="16.625" style="52" customWidth="1"/>
    <col min="2567" max="2816" width="8.875" style="52"/>
    <col min="2817" max="2817" width="54.375" style="52" customWidth="1"/>
    <col min="2818" max="2818" width="29" style="52" customWidth="1"/>
    <col min="2819" max="2819" width="65.875" style="52" customWidth="1"/>
    <col min="2820" max="2820" width="14.375" style="52" customWidth="1"/>
    <col min="2821" max="2821" width="12" style="52" customWidth="1"/>
    <col min="2822" max="2822" width="16.625" style="52" customWidth="1"/>
    <col min="2823" max="3072" width="8.875" style="52"/>
    <col min="3073" max="3073" width="54.375" style="52" customWidth="1"/>
    <col min="3074" max="3074" width="29" style="52" customWidth="1"/>
    <col min="3075" max="3075" width="65.875" style="52" customWidth="1"/>
    <col min="3076" max="3076" width="14.375" style="52" customWidth="1"/>
    <col min="3077" max="3077" width="12" style="52" customWidth="1"/>
    <col min="3078" max="3078" width="16.625" style="52" customWidth="1"/>
    <col min="3079" max="3328" width="8.875" style="52"/>
    <col min="3329" max="3329" width="54.375" style="52" customWidth="1"/>
    <col min="3330" max="3330" width="29" style="52" customWidth="1"/>
    <col min="3331" max="3331" width="65.875" style="52" customWidth="1"/>
    <col min="3332" max="3332" width="14.375" style="52" customWidth="1"/>
    <col min="3333" max="3333" width="12" style="52" customWidth="1"/>
    <col min="3334" max="3334" width="16.625" style="52" customWidth="1"/>
    <col min="3335" max="3584" width="8.875" style="52"/>
    <col min="3585" max="3585" width="54.375" style="52" customWidth="1"/>
    <col min="3586" max="3586" width="29" style="52" customWidth="1"/>
    <col min="3587" max="3587" width="65.875" style="52" customWidth="1"/>
    <col min="3588" max="3588" width="14.375" style="52" customWidth="1"/>
    <col min="3589" max="3589" width="12" style="52" customWidth="1"/>
    <col min="3590" max="3590" width="16.625" style="52" customWidth="1"/>
    <col min="3591" max="3840" width="8.875" style="52"/>
    <col min="3841" max="3841" width="54.375" style="52" customWidth="1"/>
    <col min="3842" max="3842" width="29" style="52" customWidth="1"/>
    <col min="3843" max="3843" width="65.875" style="52" customWidth="1"/>
    <col min="3844" max="3844" width="14.375" style="52" customWidth="1"/>
    <col min="3845" max="3845" width="12" style="52" customWidth="1"/>
    <col min="3846" max="3846" width="16.625" style="52" customWidth="1"/>
    <col min="3847" max="4096" width="8.875" style="52"/>
    <col min="4097" max="4097" width="54.375" style="52" customWidth="1"/>
    <col min="4098" max="4098" width="29" style="52" customWidth="1"/>
    <col min="4099" max="4099" width="65.875" style="52" customWidth="1"/>
    <col min="4100" max="4100" width="14.375" style="52" customWidth="1"/>
    <col min="4101" max="4101" width="12" style="52" customWidth="1"/>
    <col min="4102" max="4102" width="16.625" style="52" customWidth="1"/>
    <col min="4103" max="4352" width="8.875" style="52"/>
    <col min="4353" max="4353" width="54.375" style="52" customWidth="1"/>
    <col min="4354" max="4354" width="29" style="52" customWidth="1"/>
    <col min="4355" max="4355" width="65.875" style="52" customWidth="1"/>
    <col min="4356" max="4356" width="14.375" style="52" customWidth="1"/>
    <col min="4357" max="4357" width="12" style="52" customWidth="1"/>
    <col min="4358" max="4358" width="16.625" style="52" customWidth="1"/>
    <col min="4359" max="4608" width="8.875" style="52"/>
    <col min="4609" max="4609" width="54.375" style="52" customWidth="1"/>
    <col min="4610" max="4610" width="29" style="52" customWidth="1"/>
    <col min="4611" max="4611" width="65.875" style="52" customWidth="1"/>
    <col min="4612" max="4612" width="14.375" style="52" customWidth="1"/>
    <col min="4613" max="4613" width="12" style="52" customWidth="1"/>
    <col min="4614" max="4614" width="16.625" style="52" customWidth="1"/>
    <col min="4615" max="4864" width="8.875" style="52"/>
    <col min="4865" max="4865" width="54.375" style="52" customWidth="1"/>
    <col min="4866" max="4866" width="29" style="52" customWidth="1"/>
    <col min="4867" max="4867" width="65.875" style="52" customWidth="1"/>
    <col min="4868" max="4868" width="14.375" style="52" customWidth="1"/>
    <col min="4869" max="4869" width="12" style="52" customWidth="1"/>
    <col min="4870" max="4870" width="16.625" style="52" customWidth="1"/>
    <col min="4871" max="5120" width="8.875" style="52"/>
    <col min="5121" max="5121" width="54.375" style="52" customWidth="1"/>
    <col min="5122" max="5122" width="29" style="52" customWidth="1"/>
    <col min="5123" max="5123" width="65.875" style="52" customWidth="1"/>
    <col min="5124" max="5124" width="14.375" style="52" customWidth="1"/>
    <col min="5125" max="5125" width="12" style="52" customWidth="1"/>
    <col min="5126" max="5126" width="16.625" style="52" customWidth="1"/>
    <col min="5127" max="5376" width="8.875" style="52"/>
    <col min="5377" max="5377" width="54.375" style="52" customWidth="1"/>
    <col min="5378" max="5378" width="29" style="52" customWidth="1"/>
    <col min="5379" max="5379" width="65.875" style="52" customWidth="1"/>
    <col min="5380" max="5380" width="14.375" style="52" customWidth="1"/>
    <col min="5381" max="5381" width="12" style="52" customWidth="1"/>
    <col min="5382" max="5382" width="16.625" style="52" customWidth="1"/>
    <col min="5383" max="5632" width="8.875" style="52"/>
    <col min="5633" max="5633" width="54.375" style="52" customWidth="1"/>
    <col min="5634" max="5634" width="29" style="52" customWidth="1"/>
    <col min="5635" max="5635" width="65.875" style="52" customWidth="1"/>
    <col min="5636" max="5636" width="14.375" style="52" customWidth="1"/>
    <col min="5637" max="5637" width="12" style="52" customWidth="1"/>
    <col min="5638" max="5638" width="16.625" style="52" customWidth="1"/>
    <col min="5639" max="5888" width="8.875" style="52"/>
    <col min="5889" max="5889" width="54.375" style="52" customWidth="1"/>
    <col min="5890" max="5890" width="29" style="52" customWidth="1"/>
    <col min="5891" max="5891" width="65.875" style="52" customWidth="1"/>
    <col min="5892" max="5892" width="14.375" style="52" customWidth="1"/>
    <col min="5893" max="5893" width="12" style="52" customWidth="1"/>
    <col min="5894" max="5894" width="16.625" style="52" customWidth="1"/>
    <col min="5895" max="6144" width="8.875" style="52"/>
    <col min="6145" max="6145" width="54.375" style="52" customWidth="1"/>
    <col min="6146" max="6146" width="29" style="52" customWidth="1"/>
    <col min="6147" max="6147" width="65.875" style="52" customWidth="1"/>
    <col min="6148" max="6148" width="14.375" style="52" customWidth="1"/>
    <col min="6149" max="6149" width="12" style="52" customWidth="1"/>
    <col min="6150" max="6150" width="16.625" style="52" customWidth="1"/>
    <col min="6151" max="6400" width="8.875" style="52"/>
    <col min="6401" max="6401" width="54.375" style="52" customWidth="1"/>
    <col min="6402" max="6402" width="29" style="52" customWidth="1"/>
    <col min="6403" max="6403" width="65.875" style="52" customWidth="1"/>
    <col min="6404" max="6404" width="14.375" style="52" customWidth="1"/>
    <col min="6405" max="6405" width="12" style="52" customWidth="1"/>
    <col min="6406" max="6406" width="16.625" style="52" customWidth="1"/>
    <col min="6407" max="6656" width="8.875" style="52"/>
    <col min="6657" max="6657" width="54.375" style="52" customWidth="1"/>
    <col min="6658" max="6658" width="29" style="52" customWidth="1"/>
    <col min="6659" max="6659" width="65.875" style="52" customWidth="1"/>
    <col min="6660" max="6660" width="14.375" style="52" customWidth="1"/>
    <col min="6661" max="6661" width="12" style="52" customWidth="1"/>
    <col min="6662" max="6662" width="16.625" style="52" customWidth="1"/>
    <col min="6663" max="6912" width="8.875" style="52"/>
    <col min="6913" max="6913" width="54.375" style="52" customWidth="1"/>
    <col min="6914" max="6914" width="29" style="52" customWidth="1"/>
    <col min="6915" max="6915" width="65.875" style="52" customWidth="1"/>
    <col min="6916" max="6916" width="14.375" style="52" customWidth="1"/>
    <col min="6917" max="6917" width="12" style="52" customWidth="1"/>
    <col min="6918" max="6918" width="16.625" style="52" customWidth="1"/>
    <col min="6919" max="7168" width="8.875" style="52"/>
    <col min="7169" max="7169" width="54.375" style="52" customWidth="1"/>
    <col min="7170" max="7170" width="29" style="52" customWidth="1"/>
    <col min="7171" max="7171" width="65.875" style="52" customWidth="1"/>
    <col min="7172" max="7172" width="14.375" style="52" customWidth="1"/>
    <col min="7173" max="7173" width="12" style="52" customWidth="1"/>
    <col min="7174" max="7174" width="16.625" style="52" customWidth="1"/>
    <col min="7175" max="7424" width="8.875" style="52"/>
    <col min="7425" max="7425" width="54.375" style="52" customWidth="1"/>
    <col min="7426" max="7426" width="29" style="52" customWidth="1"/>
    <col min="7427" max="7427" width="65.875" style="52" customWidth="1"/>
    <col min="7428" max="7428" width="14.375" style="52" customWidth="1"/>
    <col min="7429" max="7429" width="12" style="52" customWidth="1"/>
    <col min="7430" max="7430" width="16.625" style="52" customWidth="1"/>
    <col min="7431" max="7680" width="8.875" style="52"/>
    <col min="7681" max="7681" width="54.375" style="52" customWidth="1"/>
    <col min="7682" max="7682" width="29" style="52" customWidth="1"/>
    <col min="7683" max="7683" width="65.875" style="52" customWidth="1"/>
    <col min="7684" max="7684" width="14.375" style="52" customWidth="1"/>
    <col min="7685" max="7685" width="12" style="52" customWidth="1"/>
    <col min="7686" max="7686" width="16.625" style="52" customWidth="1"/>
    <col min="7687" max="7936" width="8.875" style="52"/>
    <col min="7937" max="7937" width="54.375" style="52" customWidth="1"/>
    <col min="7938" max="7938" width="29" style="52" customWidth="1"/>
    <col min="7939" max="7939" width="65.875" style="52" customWidth="1"/>
    <col min="7940" max="7940" width="14.375" style="52" customWidth="1"/>
    <col min="7941" max="7941" width="12" style="52" customWidth="1"/>
    <col min="7942" max="7942" width="16.625" style="52" customWidth="1"/>
    <col min="7943" max="8192" width="8.875" style="52"/>
    <col min="8193" max="8193" width="54.375" style="52" customWidth="1"/>
    <col min="8194" max="8194" width="29" style="52" customWidth="1"/>
    <col min="8195" max="8195" width="65.875" style="52" customWidth="1"/>
    <col min="8196" max="8196" width="14.375" style="52" customWidth="1"/>
    <col min="8197" max="8197" width="12" style="52" customWidth="1"/>
    <col min="8198" max="8198" width="16.625" style="52" customWidth="1"/>
    <col min="8199" max="8448" width="8.875" style="52"/>
    <col min="8449" max="8449" width="54.375" style="52" customWidth="1"/>
    <col min="8450" max="8450" width="29" style="52" customWidth="1"/>
    <col min="8451" max="8451" width="65.875" style="52" customWidth="1"/>
    <col min="8452" max="8452" width="14.375" style="52" customWidth="1"/>
    <col min="8453" max="8453" width="12" style="52" customWidth="1"/>
    <col min="8454" max="8454" width="16.625" style="52" customWidth="1"/>
    <col min="8455" max="8704" width="8.875" style="52"/>
    <col min="8705" max="8705" width="54.375" style="52" customWidth="1"/>
    <col min="8706" max="8706" width="29" style="52" customWidth="1"/>
    <col min="8707" max="8707" width="65.875" style="52" customWidth="1"/>
    <col min="8708" max="8708" width="14.375" style="52" customWidth="1"/>
    <col min="8709" max="8709" width="12" style="52" customWidth="1"/>
    <col min="8710" max="8710" width="16.625" style="52" customWidth="1"/>
    <col min="8711" max="8960" width="8.875" style="52"/>
    <col min="8961" max="8961" width="54.375" style="52" customWidth="1"/>
    <col min="8962" max="8962" width="29" style="52" customWidth="1"/>
    <col min="8963" max="8963" width="65.875" style="52" customWidth="1"/>
    <col min="8964" max="8964" width="14.375" style="52" customWidth="1"/>
    <col min="8965" max="8965" width="12" style="52" customWidth="1"/>
    <col min="8966" max="8966" width="16.625" style="52" customWidth="1"/>
    <col min="8967" max="9216" width="8.875" style="52"/>
    <col min="9217" max="9217" width="54.375" style="52" customWidth="1"/>
    <col min="9218" max="9218" width="29" style="52" customWidth="1"/>
    <col min="9219" max="9219" width="65.875" style="52" customWidth="1"/>
    <col min="9220" max="9220" width="14.375" style="52" customWidth="1"/>
    <col min="9221" max="9221" width="12" style="52" customWidth="1"/>
    <col min="9222" max="9222" width="16.625" style="52" customWidth="1"/>
    <col min="9223" max="9472" width="8.875" style="52"/>
    <col min="9473" max="9473" width="54.375" style="52" customWidth="1"/>
    <col min="9474" max="9474" width="29" style="52" customWidth="1"/>
    <col min="9475" max="9475" width="65.875" style="52" customWidth="1"/>
    <col min="9476" max="9476" width="14.375" style="52" customWidth="1"/>
    <col min="9477" max="9477" width="12" style="52" customWidth="1"/>
    <col min="9478" max="9478" width="16.625" style="52" customWidth="1"/>
    <col min="9479" max="9728" width="8.875" style="52"/>
    <col min="9729" max="9729" width="54.375" style="52" customWidth="1"/>
    <col min="9730" max="9730" width="29" style="52" customWidth="1"/>
    <col min="9731" max="9731" width="65.875" style="52" customWidth="1"/>
    <col min="9732" max="9732" width="14.375" style="52" customWidth="1"/>
    <col min="9733" max="9733" width="12" style="52" customWidth="1"/>
    <col min="9734" max="9734" width="16.625" style="52" customWidth="1"/>
    <col min="9735" max="9984" width="8.875" style="52"/>
    <col min="9985" max="9985" width="54.375" style="52" customWidth="1"/>
    <col min="9986" max="9986" width="29" style="52" customWidth="1"/>
    <col min="9987" max="9987" width="65.875" style="52" customWidth="1"/>
    <col min="9988" max="9988" width="14.375" style="52" customWidth="1"/>
    <col min="9989" max="9989" width="12" style="52" customWidth="1"/>
    <col min="9990" max="9990" width="16.625" style="52" customWidth="1"/>
    <col min="9991" max="10240" width="8.875" style="52"/>
    <col min="10241" max="10241" width="54.375" style="52" customWidth="1"/>
    <col min="10242" max="10242" width="29" style="52" customWidth="1"/>
    <col min="10243" max="10243" width="65.875" style="52" customWidth="1"/>
    <col min="10244" max="10244" width="14.375" style="52" customWidth="1"/>
    <col min="10245" max="10245" width="12" style="52" customWidth="1"/>
    <col min="10246" max="10246" width="16.625" style="52" customWidth="1"/>
    <col min="10247" max="10496" width="8.875" style="52"/>
    <col min="10497" max="10497" width="54.375" style="52" customWidth="1"/>
    <col min="10498" max="10498" width="29" style="52" customWidth="1"/>
    <col min="10499" max="10499" width="65.875" style="52" customWidth="1"/>
    <col min="10500" max="10500" width="14.375" style="52" customWidth="1"/>
    <col min="10501" max="10501" width="12" style="52" customWidth="1"/>
    <col min="10502" max="10502" width="16.625" style="52" customWidth="1"/>
    <col min="10503" max="10752" width="8.875" style="52"/>
    <col min="10753" max="10753" width="54.375" style="52" customWidth="1"/>
    <col min="10754" max="10754" width="29" style="52" customWidth="1"/>
    <col min="10755" max="10755" width="65.875" style="52" customWidth="1"/>
    <col min="10756" max="10756" width="14.375" style="52" customWidth="1"/>
    <col min="10757" max="10757" width="12" style="52" customWidth="1"/>
    <col min="10758" max="10758" width="16.625" style="52" customWidth="1"/>
    <col min="10759" max="11008" width="8.875" style="52"/>
    <col min="11009" max="11009" width="54.375" style="52" customWidth="1"/>
    <col min="11010" max="11010" width="29" style="52" customWidth="1"/>
    <col min="11011" max="11011" width="65.875" style="52" customWidth="1"/>
    <col min="11012" max="11012" width="14.375" style="52" customWidth="1"/>
    <col min="11013" max="11013" width="12" style="52" customWidth="1"/>
    <col min="11014" max="11014" width="16.625" style="52" customWidth="1"/>
    <col min="11015" max="11264" width="8.875" style="52"/>
    <col min="11265" max="11265" width="54.375" style="52" customWidth="1"/>
    <col min="11266" max="11266" width="29" style="52" customWidth="1"/>
    <col min="11267" max="11267" width="65.875" style="52" customWidth="1"/>
    <col min="11268" max="11268" width="14.375" style="52" customWidth="1"/>
    <col min="11269" max="11269" width="12" style="52" customWidth="1"/>
    <col min="11270" max="11270" width="16.625" style="52" customWidth="1"/>
    <col min="11271" max="11520" width="8.875" style="52"/>
    <col min="11521" max="11521" width="54.375" style="52" customWidth="1"/>
    <col min="11522" max="11522" width="29" style="52" customWidth="1"/>
    <col min="11523" max="11523" width="65.875" style="52" customWidth="1"/>
    <col min="11524" max="11524" width="14.375" style="52" customWidth="1"/>
    <col min="11525" max="11525" width="12" style="52" customWidth="1"/>
    <col min="11526" max="11526" width="16.625" style="52" customWidth="1"/>
    <col min="11527" max="11776" width="8.875" style="52"/>
    <col min="11777" max="11777" width="54.375" style="52" customWidth="1"/>
    <col min="11778" max="11778" width="29" style="52" customWidth="1"/>
    <col min="11779" max="11779" width="65.875" style="52" customWidth="1"/>
    <col min="11780" max="11780" width="14.375" style="52" customWidth="1"/>
    <col min="11781" max="11781" width="12" style="52" customWidth="1"/>
    <col min="11782" max="11782" width="16.625" style="52" customWidth="1"/>
    <col min="11783" max="12032" width="8.875" style="52"/>
    <col min="12033" max="12033" width="54.375" style="52" customWidth="1"/>
    <col min="12034" max="12034" width="29" style="52" customWidth="1"/>
    <col min="12035" max="12035" width="65.875" style="52" customWidth="1"/>
    <col min="12036" max="12036" width="14.375" style="52" customWidth="1"/>
    <col min="12037" max="12037" width="12" style="52" customWidth="1"/>
    <col min="12038" max="12038" width="16.625" style="52" customWidth="1"/>
    <col min="12039" max="12288" width="8.875" style="52"/>
    <col min="12289" max="12289" width="54.375" style="52" customWidth="1"/>
    <col min="12290" max="12290" width="29" style="52" customWidth="1"/>
    <col min="12291" max="12291" width="65.875" style="52" customWidth="1"/>
    <col min="12292" max="12292" width="14.375" style="52" customWidth="1"/>
    <col min="12293" max="12293" width="12" style="52" customWidth="1"/>
    <col min="12294" max="12294" width="16.625" style="52" customWidth="1"/>
    <col min="12295" max="12544" width="8.875" style="52"/>
    <col min="12545" max="12545" width="54.375" style="52" customWidth="1"/>
    <col min="12546" max="12546" width="29" style="52" customWidth="1"/>
    <col min="12547" max="12547" width="65.875" style="52" customWidth="1"/>
    <col min="12548" max="12548" width="14.375" style="52" customWidth="1"/>
    <col min="12549" max="12549" width="12" style="52" customWidth="1"/>
    <col min="12550" max="12550" width="16.625" style="52" customWidth="1"/>
    <col min="12551" max="12800" width="8.875" style="52"/>
    <col min="12801" max="12801" width="54.375" style="52" customWidth="1"/>
    <col min="12802" max="12802" width="29" style="52" customWidth="1"/>
    <col min="12803" max="12803" width="65.875" style="52" customWidth="1"/>
    <col min="12804" max="12804" width="14.375" style="52" customWidth="1"/>
    <col min="12805" max="12805" width="12" style="52" customWidth="1"/>
    <col min="12806" max="12806" width="16.625" style="52" customWidth="1"/>
    <col min="12807" max="13056" width="8.875" style="52"/>
    <col min="13057" max="13057" width="54.375" style="52" customWidth="1"/>
    <col min="13058" max="13058" width="29" style="52" customWidth="1"/>
    <col min="13059" max="13059" width="65.875" style="52" customWidth="1"/>
    <col min="13060" max="13060" width="14.375" style="52" customWidth="1"/>
    <col min="13061" max="13061" width="12" style="52" customWidth="1"/>
    <col min="13062" max="13062" width="16.625" style="52" customWidth="1"/>
    <col min="13063" max="13312" width="8.875" style="52"/>
    <col min="13313" max="13313" width="54.375" style="52" customWidth="1"/>
    <col min="13314" max="13314" width="29" style="52" customWidth="1"/>
    <col min="13315" max="13315" width="65.875" style="52" customWidth="1"/>
    <col min="13316" max="13316" width="14.375" style="52" customWidth="1"/>
    <col min="13317" max="13317" width="12" style="52" customWidth="1"/>
    <col min="13318" max="13318" width="16.625" style="52" customWidth="1"/>
    <col min="13319" max="13568" width="8.875" style="52"/>
    <col min="13569" max="13569" width="54.375" style="52" customWidth="1"/>
    <col min="13570" max="13570" width="29" style="52" customWidth="1"/>
    <col min="13571" max="13571" width="65.875" style="52" customWidth="1"/>
    <col min="13572" max="13572" width="14.375" style="52" customWidth="1"/>
    <col min="13573" max="13573" width="12" style="52" customWidth="1"/>
    <col min="13574" max="13574" width="16.625" style="52" customWidth="1"/>
    <col min="13575" max="13824" width="8.875" style="52"/>
    <col min="13825" max="13825" width="54.375" style="52" customWidth="1"/>
    <col min="13826" max="13826" width="29" style="52" customWidth="1"/>
    <col min="13827" max="13827" width="65.875" style="52" customWidth="1"/>
    <col min="13828" max="13828" width="14.375" style="52" customWidth="1"/>
    <col min="13829" max="13829" width="12" style="52" customWidth="1"/>
    <col min="13830" max="13830" width="16.625" style="52" customWidth="1"/>
    <col min="13831" max="14080" width="8.875" style="52"/>
    <col min="14081" max="14081" width="54.375" style="52" customWidth="1"/>
    <col min="14082" max="14082" width="29" style="52" customWidth="1"/>
    <col min="14083" max="14083" width="65.875" style="52" customWidth="1"/>
    <col min="14084" max="14084" width="14.375" style="52" customWidth="1"/>
    <col min="14085" max="14085" width="12" style="52" customWidth="1"/>
    <col min="14086" max="14086" width="16.625" style="52" customWidth="1"/>
    <col min="14087" max="14336" width="8.875" style="52"/>
    <col min="14337" max="14337" width="54.375" style="52" customWidth="1"/>
    <col min="14338" max="14338" width="29" style="52" customWidth="1"/>
    <col min="14339" max="14339" width="65.875" style="52" customWidth="1"/>
    <col min="14340" max="14340" width="14.375" style="52" customWidth="1"/>
    <col min="14341" max="14341" width="12" style="52" customWidth="1"/>
    <col min="14342" max="14342" width="16.625" style="52" customWidth="1"/>
    <col min="14343" max="14592" width="8.875" style="52"/>
    <col min="14593" max="14593" width="54.375" style="52" customWidth="1"/>
    <col min="14594" max="14594" width="29" style="52" customWidth="1"/>
    <col min="14595" max="14595" width="65.875" style="52" customWidth="1"/>
    <col min="14596" max="14596" width="14.375" style="52" customWidth="1"/>
    <col min="14597" max="14597" width="12" style="52" customWidth="1"/>
    <col min="14598" max="14598" width="16.625" style="52" customWidth="1"/>
    <col min="14599" max="14848" width="8.875" style="52"/>
    <col min="14849" max="14849" width="54.375" style="52" customWidth="1"/>
    <col min="14850" max="14850" width="29" style="52" customWidth="1"/>
    <col min="14851" max="14851" width="65.875" style="52" customWidth="1"/>
    <col min="14852" max="14852" width="14.375" style="52" customWidth="1"/>
    <col min="14853" max="14853" width="12" style="52" customWidth="1"/>
    <col min="14854" max="14854" width="16.625" style="52" customWidth="1"/>
    <col min="14855" max="15104" width="8.875" style="52"/>
    <col min="15105" max="15105" width="54.375" style="52" customWidth="1"/>
    <col min="15106" max="15106" width="29" style="52" customWidth="1"/>
    <col min="15107" max="15107" width="65.875" style="52" customWidth="1"/>
    <col min="15108" max="15108" width="14.375" style="52" customWidth="1"/>
    <col min="15109" max="15109" width="12" style="52" customWidth="1"/>
    <col min="15110" max="15110" width="16.625" style="52" customWidth="1"/>
    <col min="15111" max="15360" width="8.875" style="52"/>
    <col min="15361" max="15361" width="54.375" style="52" customWidth="1"/>
    <col min="15362" max="15362" width="29" style="52" customWidth="1"/>
    <col min="15363" max="15363" width="65.875" style="52" customWidth="1"/>
    <col min="15364" max="15364" width="14.375" style="52" customWidth="1"/>
    <col min="15365" max="15365" width="12" style="52" customWidth="1"/>
    <col min="15366" max="15366" width="16.625" style="52" customWidth="1"/>
    <col min="15367" max="15616" width="8.875" style="52"/>
    <col min="15617" max="15617" width="54.375" style="52" customWidth="1"/>
    <col min="15618" max="15618" width="29" style="52" customWidth="1"/>
    <col min="15619" max="15619" width="65.875" style="52" customWidth="1"/>
    <col min="15620" max="15620" width="14.375" style="52" customWidth="1"/>
    <col min="15621" max="15621" width="12" style="52" customWidth="1"/>
    <col min="15622" max="15622" width="16.625" style="52" customWidth="1"/>
    <col min="15623" max="15872" width="8.875" style="52"/>
    <col min="15873" max="15873" width="54.375" style="52" customWidth="1"/>
    <col min="15874" max="15874" width="29" style="52" customWidth="1"/>
    <col min="15875" max="15875" width="65.875" style="52" customWidth="1"/>
    <col min="15876" max="15876" width="14.375" style="52" customWidth="1"/>
    <col min="15877" max="15877" width="12" style="52" customWidth="1"/>
    <col min="15878" max="15878" width="16.625" style="52" customWidth="1"/>
    <col min="15879" max="16128" width="8.875" style="52"/>
    <col min="16129" max="16129" width="54.375" style="52" customWidth="1"/>
    <col min="16130" max="16130" width="29" style="52" customWidth="1"/>
    <col min="16131" max="16131" width="65.875" style="52" customWidth="1"/>
    <col min="16132" max="16132" width="14.375" style="52" customWidth="1"/>
    <col min="16133" max="16133" width="12" style="52" customWidth="1"/>
    <col min="16134" max="16134" width="16.625" style="52" customWidth="1"/>
    <col min="16135" max="16384" width="8.875" style="52"/>
  </cols>
  <sheetData>
    <row r="1" spans="1:6" ht="13.5">
      <c r="A1" s="167" t="s">
        <v>1526</v>
      </c>
      <c r="B1" s="167" t="s">
        <v>1527</v>
      </c>
      <c r="C1" s="167" t="s">
        <v>1528</v>
      </c>
      <c r="D1" s="168" t="s">
        <v>1529</v>
      </c>
      <c r="E1" s="168" t="s">
        <v>1530</v>
      </c>
      <c r="F1" s="168" t="s">
        <v>1531</v>
      </c>
    </row>
    <row r="2" spans="1:6">
      <c r="A2" s="169" t="s">
        <v>1532</v>
      </c>
      <c r="B2" s="169" t="s">
        <v>1533</v>
      </c>
      <c r="C2" s="169" t="s">
        <v>1534</v>
      </c>
      <c r="D2" s="170">
        <v>10</v>
      </c>
      <c r="E2" s="170">
        <v>-20</v>
      </c>
      <c r="F2" s="170" t="s">
        <v>1535</v>
      </c>
    </row>
    <row r="3" spans="1:6">
      <c r="A3" s="169" t="s">
        <v>1536</v>
      </c>
      <c r="B3" s="169" t="s">
        <v>1537</v>
      </c>
      <c r="C3" s="169" t="s">
        <v>1538</v>
      </c>
      <c r="D3" s="170">
        <v>7</v>
      </c>
      <c r="E3" s="170">
        <v>0</v>
      </c>
      <c r="F3" s="170" t="s">
        <v>1539</v>
      </c>
    </row>
    <row r="4" spans="1:6">
      <c r="A4" s="169" t="s">
        <v>1540</v>
      </c>
      <c r="B4" s="169" t="s">
        <v>1541</v>
      </c>
      <c r="C4" s="169" t="s">
        <v>1542</v>
      </c>
      <c r="D4" s="170">
        <v>7</v>
      </c>
      <c r="E4" s="170">
        <v>0</v>
      </c>
      <c r="F4" s="170" t="s">
        <v>1539</v>
      </c>
    </row>
    <row r="5" spans="1:6">
      <c r="A5" s="169" t="s">
        <v>1543</v>
      </c>
      <c r="B5" s="169" t="s">
        <v>1544</v>
      </c>
      <c r="C5" s="169" t="s">
        <v>1545</v>
      </c>
      <c r="D5" s="170">
        <v>400</v>
      </c>
      <c r="E5" s="170">
        <v>100</v>
      </c>
      <c r="F5" s="170" t="s">
        <v>1535</v>
      </c>
    </row>
    <row r="6" spans="1:6">
      <c r="A6" s="169" t="s">
        <v>1546</v>
      </c>
      <c r="B6" s="169" t="s">
        <v>1547</v>
      </c>
      <c r="C6" s="169" t="s">
        <v>1548</v>
      </c>
      <c r="D6" s="170">
        <v>1812</v>
      </c>
      <c r="E6" s="170">
        <v>0</v>
      </c>
      <c r="F6" s="170" t="s">
        <v>1549</v>
      </c>
    </row>
    <row r="7" spans="1:6">
      <c r="A7" s="169" t="s">
        <v>1550</v>
      </c>
      <c r="B7" s="169" t="s">
        <v>1551</v>
      </c>
      <c r="C7" s="169" t="s">
        <v>1552</v>
      </c>
      <c r="D7" s="170">
        <v>1294</v>
      </c>
      <c r="E7" s="170">
        <v>0</v>
      </c>
      <c r="F7" s="170" t="s">
        <v>1549</v>
      </c>
    </row>
    <row r="8" spans="1:6">
      <c r="A8" s="169" t="s">
        <v>1553</v>
      </c>
      <c r="B8" s="169" t="s">
        <v>1554</v>
      </c>
      <c r="C8" s="169" t="s">
        <v>1555</v>
      </c>
      <c r="D8" s="170">
        <v>23.4</v>
      </c>
      <c r="E8" s="170">
        <v>0</v>
      </c>
      <c r="F8" s="170" t="s">
        <v>1556</v>
      </c>
    </row>
    <row r="9" spans="1:6">
      <c r="A9" s="169" t="s">
        <v>1557</v>
      </c>
      <c r="B9" s="169" t="s">
        <v>1558</v>
      </c>
      <c r="C9" s="169" t="s">
        <v>1555</v>
      </c>
      <c r="D9" s="170">
        <v>23.4</v>
      </c>
      <c r="E9" s="170">
        <v>0</v>
      </c>
      <c r="F9" s="170" t="s">
        <v>1556</v>
      </c>
    </row>
    <row r="10" spans="1:6">
      <c r="A10" s="169" t="s">
        <v>1559</v>
      </c>
      <c r="B10" s="169" t="s">
        <v>1560</v>
      </c>
      <c r="C10" s="169" t="s">
        <v>1555</v>
      </c>
      <c r="D10" s="170">
        <v>23.4</v>
      </c>
      <c r="E10" s="170">
        <v>0</v>
      </c>
      <c r="F10" s="170" t="s">
        <v>1556</v>
      </c>
    </row>
    <row r="11" spans="1:6">
      <c r="A11" s="169" t="s">
        <v>1561</v>
      </c>
      <c r="B11" s="169" t="s">
        <v>1562</v>
      </c>
      <c r="C11" s="169" t="s">
        <v>1555</v>
      </c>
      <c r="D11" s="170">
        <v>23.4</v>
      </c>
      <c r="E11" s="170">
        <v>0</v>
      </c>
      <c r="F11" s="170" t="s">
        <v>1556</v>
      </c>
    </row>
    <row r="12" spans="1:6">
      <c r="A12" s="169" t="s">
        <v>1563</v>
      </c>
      <c r="B12" s="169" t="s">
        <v>1564</v>
      </c>
      <c r="C12" s="169" t="s">
        <v>1552</v>
      </c>
      <c r="D12" s="170">
        <v>1294</v>
      </c>
      <c r="E12" s="170">
        <v>0</v>
      </c>
      <c r="F12" s="170" t="s">
        <v>1549</v>
      </c>
    </row>
    <row r="13" spans="1:6">
      <c r="A13" s="169" t="s">
        <v>1565</v>
      </c>
      <c r="B13" s="169" t="s">
        <v>1566</v>
      </c>
      <c r="C13" s="169" t="s">
        <v>1552</v>
      </c>
      <c r="D13" s="170">
        <v>1294</v>
      </c>
      <c r="E13" s="170">
        <v>0</v>
      </c>
      <c r="F13" s="170" t="s">
        <v>1549</v>
      </c>
    </row>
    <row r="14" spans="1:6">
      <c r="A14" s="169" t="s">
        <v>1567</v>
      </c>
      <c r="B14" s="169" t="s">
        <v>1568</v>
      </c>
      <c r="C14" s="169" t="s">
        <v>1548</v>
      </c>
      <c r="D14" s="170">
        <v>1812</v>
      </c>
      <c r="E14" s="170">
        <v>0</v>
      </c>
      <c r="F14" s="170" t="s">
        <v>1549</v>
      </c>
    </row>
    <row r="15" spans="1:6">
      <c r="A15" s="169" t="s">
        <v>1569</v>
      </c>
      <c r="B15" s="169" t="s">
        <v>1570</v>
      </c>
      <c r="C15" s="169" t="s">
        <v>1548</v>
      </c>
      <c r="D15" s="170">
        <v>1812</v>
      </c>
      <c r="E15" s="170">
        <v>0</v>
      </c>
      <c r="F15" s="170" t="s">
        <v>1549</v>
      </c>
    </row>
    <row r="16" spans="1:6">
      <c r="A16" s="169" t="s">
        <v>1571</v>
      </c>
      <c r="B16" s="169" t="s">
        <v>1572</v>
      </c>
      <c r="C16" s="169" t="s">
        <v>1573</v>
      </c>
      <c r="D16" s="170">
        <v>24.4</v>
      </c>
      <c r="E16" s="170">
        <v>0</v>
      </c>
      <c r="F16" s="170" t="s">
        <v>1556</v>
      </c>
    </row>
    <row r="17" spans="1:6">
      <c r="A17" s="169" t="s">
        <v>1574</v>
      </c>
      <c r="B17" s="169" t="s">
        <v>1575</v>
      </c>
      <c r="C17" s="169" t="s">
        <v>1576</v>
      </c>
      <c r="D17" s="170">
        <v>100</v>
      </c>
      <c r="E17" s="170">
        <v>0</v>
      </c>
      <c r="F17" s="170" t="s">
        <v>1577</v>
      </c>
    </row>
    <row r="18" spans="1:6">
      <c r="A18" s="169" t="s">
        <v>1578</v>
      </c>
      <c r="B18" s="169" t="s">
        <v>1579</v>
      </c>
      <c r="C18" s="169" t="s">
        <v>1580</v>
      </c>
      <c r="D18" s="170">
        <v>100</v>
      </c>
      <c r="E18" s="170">
        <v>0</v>
      </c>
      <c r="F18" s="170" t="s">
        <v>1577</v>
      </c>
    </row>
    <row r="19" spans="1:6">
      <c r="A19" s="169" t="s">
        <v>1581</v>
      </c>
      <c r="B19" s="169" t="s">
        <v>1582</v>
      </c>
      <c r="C19" s="169" t="s">
        <v>1583</v>
      </c>
      <c r="D19" s="170">
        <v>100</v>
      </c>
      <c r="E19" s="170">
        <v>0</v>
      </c>
      <c r="F19" s="170" t="s">
        <v>1577</v>
      </c>
    </row>
    <row r="20" spans="1:6">
      <c r="A20" s="169" t="s">
        <v>1584</v>
      </c>
      <c r="B20" s="169" t="s">
        <v>1585</v>
      </c>
      <c r="C20" s="169" t="s">
        <v>1586</v>
      </c>
      <c r="D20" s="170">
        <v>100</v>
      </c>
      <c r="E20" s="170">
        <v>0</v>
      </c>
      <c r="F20" s="170" t="s">
        <v>1577</v>
      </c>
    </row>
    <row r="21" spans="1:6">
      <c r="A21" s="169" t="s">
        <v>1587</v>
      </c>
      <c r="B21" s="169" t="s">
        <v>1588</v>
      </c>
      <c r="C21" s="169" t="s">
        <v>1589</v>
      </c>
      <c r="D21" s="170">
        <v>100</v>
      </c>
      <c r="E21" s="170">
        <v>0</v>
      </c>
      <c r="F21" s="170" t="s">
        <v>1577</v>
      </c>
    </row>
    <row r="22" spans="1:6">
      <c r="A22" s="169" t="s">
        <v>1590</v>
      </c>
      <c r="B22" s="169" t="s">
        <v>1591</v>
      </c>
      <c r="C22" s="169" t="s">
        <v>1592</v>
      </c>
      <c r="D22" s="170">
        <v>100</v>
      </c>
      <c r="E22" s="170">
        <v>0</v>
      </c>
      <c r="F22" s="170" t="s">
        <v>1577</v>
      </c>
    </row>
    <row r="23" spans="1:6">
      <c r="A23" s="169" t="s">
        <v>1593</v>
      </c>
      <c r="B23" s="169" t="s">
        <v>1594</v>
      </c>
      <c r="C23" s="169" t="s">
        <v>1576</v>
      </c>
      <c r="D23" s="170">
        <v>100</v>
      </c>
      <c r="E23" s="170">
        <v>0</v>
      </c>
      <c r="F23" s="170" t="s">
        <v>1577</v>
      </c>
    </row>
    <row r="24" spans="1:6">
      <c r="A24" s="169" t="s">
        <v>1595</v>
      </c>
      <c r="B24" s="169" t="s">
        <v>1596</v>
      </c>
      <c r="C24" s="169" t="s">
        <v>1576</v>
      </c>
      <c r="D24" s="170">
        <v>100</v>
      </c>
      <c r="E24" s="170">
        <v>0</v>
      </c>
      <c r="F24" s="170" t="s">
        <v>1577</v>
      </c>
    </row>
    <row r="25" spans="1:6">
      <c r="A25" s="169" t="s">
        <v>1597</v>
      </c>
      <c r="B25" s="169" t="s">
        <v>1598</v>
      </c>
      <c r="C25" s="169" t="s">
        <v>1576</v>
      </c>
      <c r="D25" s="170">
        <v>100</v>
      </c>
      <c r="E25" s="170">
        <v>0</v>
      </c>
      <c r="F25" s="170" t="s">
        <v>1577</v>
      </c>
    </row>
    <row r="26" spans="1:6">
      <c r="A26" s="169" t="s">
        <v>1599</v>
      </c>
      <c r="B26" s="169" t="s">
        <v>1600</v>
      </c>
      <c r="C26" s="169" t="s">
        <v>1580</v>
      </c>
      <c r="D26" s="170">
        <v>100</v>
      </c>
      <c r="E26" s="170">
        <v>0</v>
      </c>
      <c r="F26" s="170" t="s">
        <v>1577</v>
      </c>
    </row>
    <row r="27" spans="1:6">
      <c r="A27" s="169" t="s">
        <v>1601</v>
      </c>
      <c r="B27" s="169" t="s">
        <v>1602</v>
      </c>
      <c r="C27" s="169" t="s">
        <v>1580</v>
      </c>
      <c r="D27" s="170">
        <v>100</v>
      </c>
      <c r="E27" s="170">
        <v>0</v>
      </c>
      <c r="F27" s="170" t="s">
        <v>1577</v>
      </c>
    </row>
    <row r="28" spans="1:6">
      <c r="A28" s="169" t="s">
        <v>1603</v>
      </c>
      <c r="B28" s="169" t="s">
        <v>1604</v>
      </c>
      <c r="C28" s="169" t="s">
        <v>1580</v>
      </c>
      <c r="D28" s="170">
        <v>100</v>
      </c>
      <c r="E28" s="170">
        <v>0</v>
      </c>
      <c r="F28" s="170" t="s">
        <v>1577</v>
      </c>
    </row>
    <row r="29" spans="1:6">
      <c r="A29" s="169" t="s">
        <v>1605</v>
      </c>
      <c r="B29" s="169" t="s">
        <v>1606</v>
      </c>
      <c r="C29" s="169" t="s">
        <v>1583</v>
      </c>
      <c r="D29" s="170">
        <v>100</v>
      </c>
      <c r="E29" s="170">
        <v>0</v>
      </c>
      <c r="F29" s="170" t="s">
        <v>1577</v>
      </c>
    </row>
    <row r="30" spans="1:6">
      <c r="A30" s="169" t="s">
        <v>1607</v>
      </c>
      <c r="B30" s="169" t="s">
        <v>1608</v>
      </c>
      <c r="C30" s="169" t="s">
        <v>1583</v>
      </c>
      <c r="D30" s="170">
        <v>100</v>
      </c>
      <c r="E30" s="170">
        <v>0</v>
      </c>
      <c r="F30" s="170" t="s">
        <v>1577</v>
      </c>
    </row>
    <row r="31" spans="1:6">
      <c r="A31" s="169" t="s">
        <v>1609</v>
      </c>
      <c r="B31" s="169" t="s">
        <v>1610</v>
      </c>
      <c r="C31" s="169" t="s">
        <v>1583</v>
      </c>
      <c r="D31" s="170">
        <v>100</v>
      </c>
      <c r="E31" s="170">
        <v>0</v>
      </c>
      <c r="F31" s="170" t="s">
        <v>1577</v>
      </c>
    </row>
    <row r="32" spans="1:6">
      <c r="A32" s="169" t="s">
        <v>1611</v>
      </c>
      <c r="B32" s="169" t="s">
        <v>1612</v>
      </c>
      <c r="C32" s="169" t="s">
        <v>1586</v>
      </c>
      <c r="D32" s="170">
        <v>100</v>
      </c>
      <c r="E32" s="170">
        <v>0</v>
      </c>
      <c r="F32" s="170" t="s">
        <v>1577</v>
      </c>
    </row>
    <row r="33" spans="1:6">
      <c r="A33" s="169" t="s">
        <v>1613</v>
      </c>
      <c r="B33" s="169" t="s">
        <v>1614</v>
      </c>
      <c r="C33" s="169" t="s">
        <v>1586</v>
      </c>
      <c r="D33" s="170">
        <v>100</v>
      </c>
      <c r="E33" s="170">
        <v>0</v>
      </c>
      <c r="F33" s="170" t="s">
        <v>1577</v>
      </c>
    </row>
    <row r="34" spans="1:6">
      <c r="A34" s="169" t="s">
        <v>1615</v>
      </c>
      <c r="B34" s="169" t="s">
        <v>1616</v>
      </c>
      <c r="C34" s="169" t="s">
        <v>1586</v>
      </c>
      <c r="D34" s="170">
        <v>100</v>
      </c>
      <c r="E34" s="170">
        <v>0</v>
      </c>
      <c r="F34" s="170" t="s">
        <v>1577</v>
      </c>
    </row>
    <row r="35" spans="1:6">
      <c r="A35" s="169" t="s">
        <v>1617</v>
      </c>
      <c r="B35" s="169" t="s">
        <v>1618</v>
      </c>
      <c r="C35" s="169" t="s">
        <v>1589</v>
      </c>
      <c r="D35" s="170">
        <v>100</v>
      </c>
      <c r="E35" s="170">
        <v>0</v>
      </c>
      <c r="F35" s="170" t="s">
        <v>1577</v>
      </c>
    </row>
    <row r="36" spans="1:6">
      <c r="A36" s="169" t="s">
        <v>1619</v>
      </c>
      <c r="B36" s="169" t="s">
        <v>1620</v>
      </c>
      <c r="C36" s="169" t="s">
        <v>1589</v>
      </c>
      <c r="D36" s="170">
        <v>100</v>
      </c>
      <c r="E36" s="170">
        <v>0</v>
      </c>
      <c r="F36" s="170" t="s">
        <v>1577</v>
      </c>
    </row>
    <row r="37" spans="1:6">
      <c r="A37" s="169" t="s">
        <v>1621</v>
      </c>
      <c r="B37" s="169" t="s">
        <v>1622</v>
      </c>
      <c r="C37" s="169" t="s">
        <v>1589</v>
      </c>
      <c r="D37" s="170">
        <v>100</v>
      </c>
      <c r="E37" s="170">
        <v>0</v>
      </c>
      <c r="F37" s="170" t="s">
        <v>1577</v>
      </c>
    </row>
    <row r="38" spans="1:6">
      <c r="A38" s="169" t="s">
        <v>1623</v>
      </c>
      <c r="B38" s="169" t="s">
        <v>1624</v>
      </c>
      <c r="C38" s="169" t="s">
        <v>1625</v>
      </c>
      <c r="D38" s="170">
        <v>100</v>
      </c>
      <c r="E38" s="170">
        <v>0</v>
      </c>
      <c r="F38" s="170" t="s">
        <v>1577</v>
      </c>
    </row>
    <row r="39" spans="1:6">
      <c r="A39" s="169" t="s">
        <v>1626</v>
      </c>
      <c r="B39" s="169" t="s">
        <v>1627</v>
      </c>
      <c r="C39" s="169" t="s">
        <v>1592</v>
      </c>
      <c r="D39" s="170">
        <v>100</v>
      </c>
      <c r="E39" s="170">
        <v>0</v>
      </c>
      <c r="F39" s="170" t="s">
        <v>1577</v>
      </c>
    </row>
    <row r="40" spans="1:6">
      <c r="A40" s="169" t="s">
        <v>1628</v>
      </c>
      <c r="B40" s="169" t="s">
        <v>1629</v>
      </c>
      <c r="C40" s="169" t="s">
        <v>1592</v>
      </c>
      <c r="D40" s="170">
        <v>100</v>
      </c>
      <c r="E40" s="170">
        <v>0</v>
      </c>
      <c r="F40" s="170" t="s">
        <v>1577</v>
      </c>
    </row>
    <row r="41" spans="1:6">
      <c r="A41" s="169" t="s">
        <v>1630</v>
      </c>
      <c r="B41" s="169" t="s">
        <v>1631</v>
      </c>
      <c r="C41" s="169" t="s">
        <v>1592</v>
      </c>
      <c r="D41" s="170">
        <v>100</v>
      </c>
      <c r="E41" s="170">
        <v>0</v>
      </c>
      <c r="F41" s="170" t="s">
        <v>1577</v>
      </c>
    </row>
    <row r="42" spans="1:6">
      <c r="A42" s="169" t="s">
        <v>1632</v>
      </c>
      <c r="B42" s="169" t="s">
        <v>1633</v>
      </c>
      <c r="C42" s="169" t="s">
        <v>1634</v>
      </c>
      <c r="D42" s="170">
        <v>6.98</v>
      </c>
      <c r="E42" s="170">
        <v>0</v>
      </c>
      <c r="F42" s="170" t="s">
        <v>1635</v>
      </c>
    </row>
    <row r="43" spans="1:6">
      <c r="A43" s="169" t="s">
        <v>1636</v>
      </c>
      <c r="B43" s="169" t="s">
        <v>1637</v>
      </c>
      <c r="C43" s="169" t="s">
        <v>1638</v>
      </c>
      <c r="D43" s="170">
        <v>70</v>
      </c>
      <c r="E43" s="170">
        <v>0</v>
      </c>
      <c r="F43" s="170" t="s">
        <v>1639</v>
      </c>
    </row>
    <row r="44" spans="1:6">
      <c r="A44" s="169" t="s">
        <v>1640</v>
      </c>
      <c r="B44" s="169" t="s">
        <v>1641</v>
      </c>
      <c r="C44" s="169" t="s">
        <v>1642</v>
      </c>
      <c r="D44" s="170">
        <v>40</v>
      </c>
      <c r="E44" s="170">
        <v>0</v>
      </c>
      <c r="F44" s="170" t="s">
        <v>1635</v>
      </c>
    </row>
    <row r="45" spans="1:6">
      <c r="A45" s="169" t="s">
        <v>1643</v>
      </c>
      <c r="B45" s="169" t="s">
        <v>1644</v>
      </c>
      <c r="C45" s="169" t="s">
        <v>1634</v>
      </c>
      <c r="D45" s="170">
        <v>6.98</v>
      </c>
      <c r="E45" s="170">
        <v>0</v>
      </c>
      <c r="F45" s="170" t="s">
        <v>1635</v>
      </c>
    </row>
    <row r="46" spans="1:6">
      <c r="A46" s="169" t="s">
        <v>1645</v>
      </c>
      <c r="B46" s="169" t="s">
        <v>1646</v>
      </c>
      <c r="C46" s="169" t="s">
        <v>1634</v>
      </c>
      <c r="D46" s="170">
        <v>6.98</v>
      </c>
      <c r="E46" s="170">
        <v>0</v>
      </c>
      <c r="F46" s="170" t="s">
        <v>1635</v>
      </c>
    </row>
    <row r="47" spans="1:6">
      <c r="A47" s="169" t="s">
        <v>1647</v>
      </c>
      <c r="B47" s="169" t="s">
        <v>1648</v>
      </c>
      <c r="C47" s="169" t="s">
        <v>1638</v>
      </c>
      <c r="D47" s="170">
        <v>70</v>
      </c>
      <c r="E47" s="170">
        <v>-70</v>
      </c>
      <c r="F47" s="170" t="s">
        <v>1639</v>
      </c>
    </row>
    <row r="48" spans="1:6">
      <c r="A48" s="169" t="s">
        <v>1649</v>
      </c>
      <c r="B48" s="169" t="s">
        <v>1650</v>
      </c>
      <c r="C48" s="169" t="s">
        <v>1638</v>
      </c>
      <c r="D48" s="170">
        <v>70</v>
      </c>
      <c r="E48" s="170">
        <v>-70</v>
      </c>
      <c r="F48" s="170" t="s">
        <v>1639</v>
      </c>
    </row>
    <row r="49" spans="1:6">
      <c r="A49" s="169" t="s">
        <v>1651</v>
      </c>
      <c r="B49" s="169" t="s">
        <v>1652</v>
      </c>
      <c r="C49" s="169" t="s">
        <v>1638</v>
      </c>
      <c r="D49" s="170">
        <v>70</v>
      </c>
      <c r="E49" s="170">
        <v>-70</v>
      </c>
      <c r="F49" s="170" t="s">
        <v>1639</v>
      </c>
    </row>
    <row r="50" spans="1:6">
      <c r="A50" s="169" t="s">
        <v>1653</v>
      </c>
      <c r="B50" s="169" t="s">
        <v>1654</v>
      </c>
      <c r="C50" s="169" t="s">
        <v>1655</v>
      </c>
      <c r="D50" s="170">
        <v>40</v>
      </c>
      <c r="E50" s="170">
        <v>0</v>
      </c>
      <c r="F50" s="170" t="s">
        <v>1635</v>
      </c>
    </row>
    <row r="51" spans="1:6">
      <c r="A51" s="169" t="s">
        <v>1656</v>
      </c>
      <c r="B51" s="169" t="s">
        <v>1657</v>
      </c>
      <c r="C51" s="169" t="s">
        <v>1642</v>
      </c>
      <c r="D51" s="170">
        <v>40</v>
      </c>
      <c r="E51" s="170">
        <v>0</v>
      </c>
      <c r="F51" s="170" t="s">
        <v>1635</v>
      </c>
    </row>
    <row r="52" spans="1:6">
      <c r="A52" s="169" t="s">
        <v>1658</v>
      </c>
      <c r="B52" s="169" t="s">
        <v>1659</v>
      </c>
      <c r="C52" s="169" t="s">
        <v>1642</v>
      </c>
      <c r="D52" s="170">
        <v>40</v>
      </c>
      <c r="E52" s="170">
        <v>0</v>
      </c>
      <c r="F52" s="170" t="s">
        <v>1635</v>
      </c>
    </row>
    <row r="53" spans="1:6">
      <c r="A53" s="169" t="s">
        <v>1660</v>
      </c>
      <c r="B53" s="169" t="s">
        <v>1661</v>
      </c>
      <c r="C53" s="169" t="s">
        <v>1662</v>
      </c>
      <c r="D53" s="170">
        <v>12</v>
      </c>
      <c r="E53" s="170">
        <v>2</v>
      </c>
      <c r="F53" s="170" t="s">
        <v>108</v>
      </c>
    </row>
    <row r="54" spans="1:6">
      <c r="A54" s="169" t="s">
        <v>1663</v>
      </c>
      <c r="B54" s="169" t="s">
        <v>1664</v>
      </c>
      <c r="C54" s="169" t="s">
        <v>1665</v>
      </c>
      <c r="D54" s="170">
        <v>21</v>
      </c>
      <c r="E54" s="170">
        <v>0</v>
      </c>
      <c r="F54" s="170" t="s">
        <v>1549</v>
      </c>
    </row>
    <row r="55" spans="1:6">
      <c r="A55" s="169" t="s">
        <v>1666</v>
      </c>
      <c r="B55" s="169" t="s">
        <v>1667</v>
      </c>
      <c r="C55" s="169" t="s">
        <v>1668</v>
      </c>
      <c r="D55" s="170">
        <v>100</v>
      </c>
      <c r="E55" s="170">
        <v>0</v>
      </c>
      <c r="F55" s="170" t="s">
        <v>463</v>
      </c>
    </row>
    <row r="56" spans="1:6">
      <c r="A56" s="169" t="s">
        <v>1669</v>
      </c>
      <c r="B56" s="169" t="s">
        <v>1670</v>
      </c>
      <c r="C56" s="169" t="s">
        <v>1671</v>
      </c>
      <c r="D56" s="170">
        <v>100</v>
      </c>
      <c r="E56" s="170">
        <v>0</v>
      </c>
      <c r="F56" s="170" t="s">
        <v>463</v>
      </c>
    </row>
    <row r="57" spans="1:6">
      <c r="A57" s="169" t="s">
        <v>1672</v>
      </c>
      <c r="B57" s="169" t="s">
        <v>1673</v>
      </c>
      <c r="C57" s="169" t="s">
        <v>1674</v>
      </c>
      <c r="D57" s="170">
        <v>100</v>
      </c>
      <c r="E57" s="170">
        <v>0</v>
      </c>
      <c r="F57" s="170" t="s">
        <v>463</v>
      </c>
    </row>
    <row r="58" spans="1:6">
      <c r="A58" s="169" t="s">
        <v>1675</v>
      </c>
      <c r="B58" s="169" t="s">
        <v>1676</v>
      </c>
      <c r="C58" s="169" t="s">
        <v>1677</v>
      </c>
      <c r="D58" s="170">
        <v>35</v>
      </c>
      <c r="E58" s="170">
        <v>0</v>
      </c>
      <c r="F58" s="170" t="s">
        <v>1535</v>
      </c>
    </row>
    <row r="59" spans="1:6">
      <c r="A59" s="169" t="s">
        <v>1678</v>
      </c>
      <c r="B59" s="169" t="s">
        <v>1679</v>
      </c>
      <c r="C59" s="169" t="s">
        <v>1680</v>
      </c>
      <c r="D59" s="170">
        <v>40</v>
      </c>
      <c r="E59" s="170">
        <v>0</v>
      </c>
      <c r="F59" s="170" t="s">
        <v>1635</v>
      </c>
    </row>
    <row r="60" spans="1:6">
      <c r="A60" s="169" t="s">
        <v>1681</v>
      </c>
      <c r="B60" s="169" t="s">
        <v>1682</v>
      </c>
      <c r="C60" s="169" t="s">
        <v>1683</v>
      </c>
      <c r="D60" s="170">
        <v>380</v>
      </c>
      <c r="E60" s="170">
        <v>0</v>
      </c>
      <c r="F60" s="170" t="s">
        <v>1684</v>
      </c>
    </row>
    <row r="61" spans="1:6">
      <c r="A61" s="169" t="s">
        <v>1685</v>
      </c>
      <c r="B61" s="169" t="s">
        <v>1686</v>
      </c>
      <c r="C61" s="169" t="s">
        <v>1687</v>
      </c>
      <c r="D61" s="170">
        <v>523</v>
      </c>
      <c r="E61" s="170">
        <v>-25</v>
      </c>
      <c r="F61" s="170" t="s">
        <v>1535</v>
      </c>
    </row>
    <row r="62" spans="1:6">
      <c r="A62" s="169" t="s">
        <v>1688</v>
      </c>
      <c r="B62" s="169" t="s">
        <v>1689</v>
      </c>
      <c r="C62" s="169" t="s">
        <v>1690</v>
      </c>
      <c r="D62" s="170">
        <v>1116</v>
      </c>
      <c r="E62" s="170">
        <v>-25</v>
      </c>
      <c r="F62" s="170" t="s">
        <v>1535</v>
      </c>
    </row>
    <row r="63" spans="1:6">
      <c r="A63" s="169" t="s">
        <v>1691</v>
      </c>
      <c r="B63" s="169" t="s">
        <v>1692</v>
      </c>
      <c r="C63" s="169" t="s">
        <v>1693</v>
      </c>
      <c r="D63" s="170">
        <v>1116</v>
      </c>
      <c r="E63" s="170">
        <v>-25</v>
      </c>
      <c r="F63" s="170" t="s">
        <v>1535</v>
      </c>
    </row>
    <row r="64" spans="1:6">
      <c r="A64" s="169" t="s">
        <v>1694</v>
      </c>
      <c r="B64" s="169" t="s">
        <v>1695</v>
      </c>
      <c r="C64" s="169" t="s">
        <v>1696</v>
      </c>
      <c r="D64" s="170">
        <v>1116</v>
      </c>
      <c r="E64" s="170">
        <v>-25</v>
      </c>
      <c r="F64" s="170" t="s">
        <v>1535</v>
      </c>
    </row>
    <row r="65" spans="1:6">
      <c r="A65" s="169" t="s">
        <v>1697</v>
      </c>
      <c r="B65" s="169" t="s">
        <v>1698</v>
      </c>
      <c r="C65" s="169" t="s">
        <v>1699</v>
      </c>
      <c r="D65" s="170">
        <v>1116</v>
      </c>
      <c r="E65" s="170">
        <v>-25</v>
      </c>
      <c r="F65" s="170" t="s">
        <v>1535</v>
      </c>
    </row>
    <row r="66" spans="1:6">
      <c r="A66" s="169" t="s">
        <v>1700</v>
      </c>
      <c r="B66" s="169" t="s">
        <v>1701</v>
      </c>
      <c r="C66" s="169" t="s">
        <v>1702</v>
      </c>
      <c r="D66" s="170">
        <v>1116</v>
      </c>
      <c r="E66" s="170">
        <v>-25</v>
      </c>
      <c r="F66" s="170" t="s">
        <v>1535</v>
      </c>
    </row>
    <row r="67" spans="1:6">
      <c r="A67" s="169" t="s">
        <v>1703</v>
      </c>
      <c r="B67" s="169" t="s">
        <v>1704</v>
      </c>
      <c r="C67" s="169" t="s">
        <v>1705</v>
      </c>
      <c r="D67" s="170">
        <v>1116</v>
      </c>
      <c r="E67" s="170">
        <v>-25</v>
      </c>
      <c r="F67" s="170" t="s">
        <v>1535</v>
      </c>
    </row>
    <row r="68" spans="1:6">
      <c r="A68" s="169" t="s">
        <v>1706</v>
      </c>
      <c r="B68" s="169" t="s">
        <v>1707</v>
      </c>
      <c r="C68" s="169" t="s">
        <v>1708</v>
      </c>
      <c r="D68" s="170">
        <v>1116</v>
      </c>
      <c r="E68" s="170">
        <v>-25</v>
      </c>
      <c r="F68" s="170" t="s">
        <v>1535</v>
      </c>
    </row>
    <row r="69" spans="1:6">
      <c r="A69" s="169" t="s">
        <v>1709</v>
      </c>
      <c r="B69" s="169" t="s">
        <v>1710</v>
      </c>
      <c r="C69" s="169" t="s">
        <v>1711</v>
      </c>
      <c r="D69" s="170">
        <v>1116</v>
      </c>
      <c r="E69" s="170">
        <v>-25</v>
      </c>
      <c r="F69" s="170" t="s">
        <v>1535</v>
      </c>
    </row>
    <row r="70" spans="1:6">
      <c r="A70" s="169" t="s">
        <v>1712</v>
      </c>
      <c r="B70" s="169" t="s">
        <v>1713</v>
      </c>
      <c r="C70" s="169" t="s">
        <v>1714</v>
      </c>
      <c r="D70" s="170">
        <v>523</v>
      </c>
      <c r="E70" s="170">
        <v>-25</v>
      </c>
      <c r="F70" s="170" t="s">
        <v>1535</v>
      </c>
    </row>
    <row r="71" spans="1:6">
      <c r="A71" s="169" t="s">
        <v>1715</v>
      </c>
      <c r="B71" s="169" t="s">
        <v>1716</v>
      </c>
      <c r="C71" s="169" t="s">
        <v>1717</v>
      </c>
      <c r="D71" s="170">
        <v>238</v>
      </c>
      <c r="E71" s="170">
        <v>-25</v>
      </c>
      <c r="F71" s="170" t="s">
        <v>1535</v>
      </c>
    </row>
    <row r="72" spans="1:6">
      <c r="A72" s="169" t="s">
        <v>1718</v>
      </c>
      <c r="B72" s="169" t="s">
        <v>1719</v>
      </c>
      <c r="C72" s="169" t="s">
        <v>1720</v>
      </c>
      <c r="D72" s="170">
        <v>523</v>
      </c>
      <c r="E72" s="170">
        <v>-25</v>
      </c>
      <c r="F72" s="170" t="s">
        <v>1535</v>
      </c>
    </row>
    <row r="73" spans="1:6">
      <c r="A73" s="169" t="s">
        <v>1721</v>
      </c>
      <c r="B73" s="169" t="s">
        <v>1722</v>
      </c>
      <c r="C73" s="169" t="s">
        <v>1723</v>
      </c>
      <c r="D73" s="170">
        <v>150</v>
      </c>
      <c r="E73" s="170">
        <v>-25</v>
      </c>
      <c r="F73" s="170" t="s">
        <v>1535</v>
      </c>
    </row>
    <row r="74" spans="1:6">
      <c r="A74" s="169" t="s">
        <v>1724</v>
      </c>
      <c r="B74" s="169" t="s">
        <v>1725</v>
      </c>
      <c r="C74" s="169" t="s">
        <v>1726</v>
      </c>
      <c r="D74" s="170">
        <v>200</v>
      </c>
      <c r="E74" s="170">
        <v>-25</v>
      </c>
      <c r="F74" s="170" t="s">
        <v>1535</v>
      </c>
    </row>
    <row r="75" spans="1:6">
      <c r="A75" s="169" t="s">
        <v>1727</v>
      </c>
      <c r="B75" s="169" t="s">
        <v>1728</v>
      </c>
      <c r="C75" s="169" t="s">
        <v>1729</v>
      </c>
      <c r="D75" s="170">
        <v>523</v>
      </c>
      <c r="E75" s="170">
        <v>-25</v>
      </c>
      <c r="F75" s="170" t="s">
        <v>1535</v>
      </c>
    </row>
    <row r="76" spans="1:6">
      <c r="A76" s="169" t="s">
        <v>1730</v>
      </c>
      <c r="B76" s="169" t="s">
        <v>1731</v>
      </c>
      <c r="C76" s="169" t="s">
        <v>1732</v>
      </c>
      <c r="D76" s="170">
        <v>200</v>
      </c>
      <c r="E76" s="170">
        <v>-25</v>
      </c>
      <c r="F76" s="170" t="s">
        <v>1535</v>
      </c>
    </row>
    <row r="77" spans="1:6">
      <c r="A77" s="169" t="s">
        <v>1733</v>
      </c>
      <c r="B77" s="169" t="s">
        <v>1734</v>
      </c>
      <c r="C77" s="169" t="s">
        <v>1735</v>
      </c>
      <c r="D77" s="170">
        <v>200</v>
      </c>
      <c r="E77" s="170">
        <v>-25</v>
      </c>
      <c r="F77" s="170" t="s">
        <v>1535</v>
      </c>
    </row>
    <row r="78" spans="1:6">
      <c r="A78" s="169" t="s">
        <v>1736</v>
      </c>
      <c r="B78" s="169" t="s">
        <v>1737</v>
      </c>
      <c r="C78" s="169" t="s">
        <v>1738</v>
      </c>
      <c r="D78" s="170">
        <v>523</v>
      </c>
      <c r="E78" s="170">
        <v>-25</v>
      </c>
      <c r="F78" s="170" t="s">
        <v>1535</v>
      </c>
    </row>
    <row r="79" spans="1:6">
      <c r="A79" s="169" t="s">
        <v>1739</v>
      </c>
      <c r="B79" s="169" t="s">
        <v>1740</v>
      </c>
      <c r="C79" s="169" t="s">
        <v>1741</v>
      </c>
      <c r="D79" s="170">
        <v>523</v>
      </c>
      <c r="E79" s="170">
        <v>-25</v>
      </c>
      <c r="F79" s="170" t="s">
        <v>1535</v>
      </c>
    </row>
    <row r="80" spans="1:6">
      <c r="A80" s="169" t="s">
        <v>1742</v>
      </c>
      <c r="B80" s="169" t="s">
        <v>1743</v>
      </c>
      <c r="C80" s="169" t="s">
        <v>1744</v>
      </c>
      <c r="D80" s="170">
        <v>1116</v>
      </c>
      <c r="E80" s="170">
        <v>-25</v>
      </c>
      <c r="F80" s="170" t="s">
        <v>1535</v>
      </c>
    </row>
    <row r="81" spans="1:6">
      <c r="A81" s="169" t="s">
        <v>1745</v>
      </c>
      <c r="B81" s="169" t="s">
        <v>1746</v>
      </c>
      <c r="C81" s="169" t="s">
        <v>1747</v>
      </c>
      <c r="D81" s="170">
        <v>1116</v>
      </c>
      <c r="E81" s="170">
        <v>-25</v>
      </c>
      <c r="F81" s="170" t="s">
        <v>1535</v>
      </c>
    </row>
    <row r="82" spans="1:6">
      <c r="A82" s="169" t="s">
        <v>1748</v>
      </c>
      <c r="B82" s="169" t="s">
        <v>1749</v>
      </c>
      <c r="C82" s="169" t="s">
        <v>1750</v>
      </c>
      <c r="D82" s="170">
        <v>523</v>
      </c>
      <c r="E82" s="170">
        <v>-25</v>
      </c>
      <c r="F82" s="170" t="s">
        <v>1535</v>
      </c>
    </row>
    <row r="83" spans="1:6">
      <c r="A83" s="169" t="s">
        <v>1751</v>
      </c>
      <c r="B83" s="169" t="s">
        <v>1752</v>
      </c>
      <c r="C83" s="169" t="s">
        <v>1753</v>
      </c>
      <c r="D83" s="170">
        <v>523</v>
      </c>
      <c r="E83" s="170">
        <v>-25</v>
      </c>
      <c r="F83" s="170" t="s">
        <v>1535</v>
      </c>
    </row>
    <row r="84" spans="1:6">
      <c r="A84" s="169" t="s">
        <v>1754</v>
      </c>
      <c r="B84" s="169" t="s">
        <v>1755</v>
      </c>
      <c r="C84" s="169" t="s">
        <v>1756</v>
      </c>
      <c r="D84" s="170">
        <v>1116</v>
      </c>
      <c r="E84" s="170">
        <v>-25</v>
      </c>
      <c r="F84" s="170" t="s">
        <v>463</v>
      </c>
    </row>
    <row r="85" spans="1:6">
      <c r="A85" s="169" t="s">
        <v>1757</v>
      </c>
      <c r="B85" s="169" t="s">
        <v>1758</v>
      </c>
      <c r="C85" s="169" t="s">
        <v>1759</v>
      </c>
      <c r="D85" s="170">
        <v>1116</v>
      </c>
      <c r="E85" s="170">
        <v>-25</v>
      </c>
      <c r="F85" s="170" t="s">
        <v>1535</v>
      </c>
    </row>
    <row r="86" spans="1:6">
      <c r="A86" s="169" t="s">
        <v>1760</v>
      </c>
      <c r="B86" s="169" t="s">
        <v>1761</v>
      </c>
      <c r="C86" s="169" t="s">
        <v>1762</v>
      </c>
      <c r="D86" s="170">
        <v>1116</v>
      </c>
      <c r="E86" s="170">
        <v>-25</v>
      </c>
      <c r="F86" s="170" t="s">
        <v>1535</v>
      </c>
    </row>
    <row r="87" spans="1:6">
      <c r="A87" s="169" t="s">
        <v>1763</v>
      </c>
      <c r="B87" s="169" t="s">
        <v>1764</v>
      </c>
      <c r="C87" s="169" t="s">
        <v>1765</v>
      </c>
      <c r="D87" s="170">
        <v>1116</v>
      </c>
      <c r="E87" s="170">
        <v>-25</v>
      </c>
      <c r="F87" s="170" t="s">
        <v>1535</v>
      </c>
    </row>
    <row r="88" spans="1:6">
      <c r="A88" s="169" t="s">
        <v>1766</v>
      </c>
      <c r="B88" s="169" t="s">
        <v>1767</v>
      </c>
      <c r="C88" s="169" t="s">
        <v>1768</v>
      </c>
      <c r="D88" s="170">
        <v>1116</v>
      </c>
      <c r="E88" s="170">
        <v>-25</v>
      </c>
      <c r="F88" s="170" t="s">
        <v>1535</v>
      </c>
    </row>
    <row r="89" spans="1:6">
      <c r="A89" s="169" t="s">
        <v>1769</v>
      </c>
      <c r="B89" s="169" t="s">
        <v>1770</v>
      </c>
      <c r="C89" s="169" t="s">
        <v>1771</v>
      </c>
      <c r="D89" s="170">
        <v>1116</v>
      </c>
      <c r="E89" s="170">
        <v>-25</v>
      </c>
      <c r="F89" s="170" t="s">
        <v>1535</v>
      </c>
    </row>
    <row r="90" spans="1:6">
      <c r="A90" s="169" t="s">
        <v>1772</v>
      </c>
      <c r="B90" s="169" t="s">
        <v>1773</v>
      </c>
      <c r="C90" s="169" t="s">
        <v>1774</v>
      </c>
      <c r="D90" s="170">
        <v>1116</v>
      </c>
      <c r="E90" s="170">
        <v>-25</v>
      </c>
      <c r="F90" s="170" t="s">
        <v>1535</v>
      </c>
    </row>
    <row r="91" spans="1:6">
      <c r="A91" s="169" t="s">
        <v>1775</v>
      </c>
      <c r="B91" s="169" t="s">
        <v>1776</v>
      </c>
      <c r="C91" s="169" t="s">
        <v>1777</v>
      </c>
      <c r="D91" s="170">
        <v>1116</v>
      </c>
      <c r="E91" s="170">
        <v>-25</v>
      </c>
      <c r="F91" s="170" t="s">
        <v>1535</v>
      </c>
    </row>
    <row r="92" spans="1:6">
      <c r="A92" s="169" t="s">
        <v>1778</v>
      </c>
      <c r="B92" s="169" t="s">
        <v>1779</v>
      </c>
      <c r="C92" s="169" t="s">
        <v>1780</v>
      </c>
      <c r="D92" s="170">
        <v>1116</v>
      </c>
      <c r="E92" s="170">
        <v>-25</v>
      </c>
      <c r="F92" s="170" t="s">
        <v>1535</v>
      </c>
    </row>
    <row r="93" spans="1:6">
      <c r="A93" s="169" t="s">
        <v>1781</v>
      </c>
      <c r="B93" s="169" t="s">
        <v>1782</v>
      </c>
      <c r="C93" s="169" t="s">
        <v>1783</v>
      </c>
      <c r="D93" s="170">
        <v>1116</v>
      </c>
      <c r="E93" s="170">
        <v>-25</v>
      </c>
      <c r="F93" s="170" t="s">
        <v>1535</v>
      </c>
    </row>
    <row r="94" spans="1:6">
      <c r="A94" s="169" t="s">
        <v>1784</v>
      </c>
      <c r="B94" s="169" t="s">
        <v>1785</v>
      </c>
      <c r="C94" s="169" t="s">
        <v>1786</v>
      </c>
      <c r="D94" s="170">
        <v>1116</v>
      </c>
      <c r="E94" s="170">
        <v>-25</v>
      </c>
      <c r="F94" s="170" t="s">
        <v>1535</v>
      </c>
    </row>
    <row r="95" spans="1:6">
      <c r="A95" s="169" t="s">
        <v>1787</v>
      </c>
      <c r="B95" s="169" t="s">
        <v>1788</v>
      </c>
      <c r="C95" s="169" t="s">
        <v>1789</v>
      </c>
      <c r="D95" s="170">
        <v>1116</v>
      </c>
      <c r="E95" s="170">
        <v>-25</v>
      </c>
      <c r="F95" s="170" t="s">
        <v>1535</v>
      </c>
    </row>
    <row r="96" spans="1:6">
      <c r="A96" s="169" t="s">
        <v>1790</v>
      </c>
      <c r="B96" s="169" t="s">
        <v>1791</v>
      </c>
      <c r="C96" s="169" t="s">
        <v>1792</v>
      </c>
      <c r="D96" s="170">
        <v>1116</v>
      </c>
      <c r="E96" s="170">
        <v>-25</v>
      </c>
      <c r="F96" s="170" t="s">
        <v>1535</v>
      </c>
    </row>
    <row r="97" spans="1:6">
      <c r="A97" s="169" t="s">
        <v>1793</v>
      </c>
      <c r="B97" s="169" t="s">
        <v>1794</v>
      </c>
      <c r="C97" s="169" t="s">
        <v>1795</v>
      </c>
      <c r="D97" s="170">
        <v>1116</v>
      </c>
      <c r="E97" s="170">
        <v>-25</v>
      </c>
      <c r="F97" s="170" t="s">
        <v>1535</v>
      </c>
    </row>
    <row r="98" spans="1:6">
      <c r="A98" s="169" t="s">
        <v>1796</v>
      </c>
      <c r="B98" s="169" t="s">
        <v>1797</v>
      </c>
      <c r="C98" s="169" t="s">
        <v>1798</v>
      </c>
      <c r="D98" s="170">
        <v>1116</v>
      </c>
      <c r="E98" s="170">
        <v>-25</v>
      </c>
      <c r="F98" s="170" t="s">
        <v>1535</v>
      </c>
    </row>
    <row r="99" spans="1:6">
      <c r="A99" s="169" t="s">
        <v>1799</v>
      </c>
      <c r="B99" s="169" t="s">
        <v>1800</v>
      </c>
      <c r="C99" s="169" t="s">
        <v>1801</v>
      </c>
      <c r="D99" s="170">
        <v>1116</v>
      </c>
      <c r="E99" s="170">
        <v>-25</v>
      </c>
      <c r="F99" s="170" t="s">
        <v>1535</v>
      </c>
    </row>
    <row r="100" spans="1:6">
      <c r="A100" s="169" t="s">
        <v>1802</v>
      </c>
      <c r="B100" s="169" t="s">
        <v>1803</v>
      </c>
      <c r="C100" s="169" t="s">
        <v>1804</v>
      </c>
      <c r="D100" s="170">
        <v>1116</v>
      </c>
      <c r="E100" s="170">
        <v>-25</v>
      </c>
      <c r="F100" s="170" t="s">
        <v>1535</v>
      </c>
    </row>
    <row r="101" spans="1:6">
      <c r="A101" s="169" t="s">
        <v>1805</v>
      </c>
      <c r="B101" s="169" t="s">
        <v>1806</v>
      </c>
      <c r="C101" s="169" t="s">
        <v>1807</v>
      </c>
      <c r="D101" s="170">
        <v>1116</v>
      </c>
      <c r="E101" s="170">
        <v>-25</v>
      </c>
      <c r="F101" s="170" t="s">
        <v>1535</v>
      </c>
    </row>
    <row r="102" spans="1:6">
      <c r="A102" s="169" t="s">
        <v>1808</v>
      </c>
      <c r="B102" s="169" t="s">
        <v>1809</v>
      </c>
      <c r="C102" s="169" t="s">
        <v>1810</v>
      </c>
      <c r="D102" s="170">
        <v>1116</v>
      </c>
      <c r="E102" s="170">
        <v>-25</v>
      </c>
      <c r="F102" s="170" t="s">
        <v>1535</v>
      </c>
    </row>
    <row r="103" spans="1:6">
      <c r="A103" s="169" t="s">
        <v>1811</v>
      </c>
      <c r="B103" s="169" t="s">
        <v>1812</v>
      </c>
      <c r="C103" s="169" t="s">
        <v>1813</v>
      </c>
      <c r="D103" s="170">
        <v>1116</v>
      </c>
      <c r="E103" s="170">
        <v>-25</v>
      </c>
      <c r="F103" s="170" t="s">
        <v>1535</v>
      </c>
    </row>
    <row r="104" spans="1:6">
      <c r="A104" s="169" t="s">
        <v>1814</v>
      </c>
      <c r="B104" s="169" t="s">
        <v>1815</v>
      </c>
      <c r="C104" s="169" t="s">
        <v>1816</v>
      </c>
      <c r="D104" s="170">
        <v>1116</v>
      </c>
      <c r="E104" s="170">
        <v>-25</v>
      </c>
      <c r="F104" s="170" t="s">
        <v>1535</v>
      </c>
    </row>
    <row r="105" spans="1:6">
      <c r="A105" s="169" t="s">
        <v>1817</v>
      </c>
      <c r="B105" s="169" t="s">
        <v>1818</v>
      </c>
      <c r="C105" s="169" t="s">
        <v>1819</v>
      </c>
      <c r="D105" s="170">
        <v>1116</v>
      </c>
      <c r="E105" s="170">
        <v>-25</v>
      </c>
      <c r="F105" s="170" t="s">
        <v>1535</v>
      </c>
    </row>
    <row r="106" spans="1:6">
      <c r="A106" s="169" t="s">
        <v>1820</v>
      </c>
      <c r="B106" s="169" t="s">
        <v>1821</v>
      </c>
      <c r="C106" s="169" t="s">
        <v>1822</v>
      </c>
      <c r="D106" s="170">
        <v>1116</v>
      </c>
      <c r="E106" s="170">
        <v>-25</v>
      </c>
      <c r="F106" s="170" t="s">
        <v>1535</v>
      </c>
    </row>
    <row r="107" spans="1:6">
      <c r="A107" s="169" t="s">
        <v>1823</v>
      </c>
      <c r="B107" s="169" t="s">
        <v>1824</v>
      </c>
      <c r="C107" s="169" t="s">
        <v>1825</v>
      </c>
      <c r="D107" s="170">
        <v>1116</v>
      </c>
      <c r="E107" s="170">
        <v>-25</v>
      </c>
      <c r="F107" s="170" t="s">
        <v>1535</v>
      </c>
    </row>
    <row r="108" spans="1:6">
      <c r="A108" s="169" t="s">
        <v>1826</v>
      </c>
      <c r="B108" s="169" t="s">
        <v>1827</v>
      </c>
      <c r="C108" s="169" t="s">
        <v>1828</v>
      </c>
      <c r="D108" s="170">
        <v>1116</v>
      </c>
      <c r="E108" s="170">
        <v>-25</v>
      </c>
      <c r="F108" s="170" t="s">
        <v>1535</v>
      </c>
    </row>
    <row r="109" spans="1:6">
      <c r="A109" s="169" t="s">
        <v>1829</v>
      </c>
      <c r="B109" s="169" t="s">
        <v>1830</v>
      </c>
      <c r="C109" s="169" t="s">
        <v>1831</v>
      </c>
      <c r="D109" s="170">
        <v>1116</v>
      </c>
      <c r="E109" s="170">
        <v>-25</v>
      </c>
      <c r="F109" s="170" t="s">
        <v>1535</v>
      </c>
    </row>
    <row r="110" spans="1:6">
      <c r="A110" s="169" t="s">
        <v>1832</v>
      </c>
      <c r="B110" s="169" t="s">
        <v>1833</v>
      </c>
      <c r="C110" s="169" t="s">
        <v>1834</v>
      </c>
      <c r="D110" s="170">
        <v>1116</v>
      </c>
      <c r="E110" s="170">
        <v>-25</v>
      </c>
      <c r="F110" s="170" t="s">
        <v>1535</v>
      </c>
    </row>
    <row r="111" spans="1:6">
      <c r="A111" s="169" t="s">
        <v>1835</v>
      </c>
      <c r="B111" s="169" t="s">
        <v>1836</v>
      </c>
      <c r="C111" s="169" t="s">
        <v>1837</v>
      </c>
      <c r="D111" s="170">
        <v>1116</v>
      </c>
      <c r="E111" s="170">
        <v>-25</v>
      </c>
      <c r="F111" s="170" t="s">
        <v>1535</v>
      </c>
    </row>
    <row r="112" spans="1:6">
      <c r="A112" s="169" t="s">
        <v>1838</v>
      </c>
      <c r="B112" s="169" t="s">
        <v>1839</v>
      </c>
      <c r="C112" s="169" t="s">
        <v>1840</v>
      </c>
      <c r="D112" s="170">
        <v>1116</v>
      </c>
      <c r="E112" s="170">
        <v>-25</v>
      </c>
      <c r="F112" s="170" t="s">
        <v>1535</v>
      </c>
    </row>
    <row r="113" spans="1:6">
      <c r="A113" s="169" t="s">
        <v>1841</v>
      </c>
      <c r="B113" s="169" t="s">
        <v>1842</v>
      </c>
      <c r="C113" s="169" t="s">
        <v>1843</v>
      </c>
      <c r="D113" s="170">
        <v>1116</v>
      </c>
      <c r="E113" s="170">
        <v>-25</v>
      </c>
      <c r="F113" s="170" t="s">
        <v>1535</v>
      </c>
    </row>
    <row r="114" spans="1:6">
      <c r="A114" s="169" t="s">
        <v>1844</v>
      </c>
      <c r="B114" s="169" t="s">
        <v>1845</v>
      </c>
      <c r="C114" s="169" t="s">
        <v>1634</v>
      </c>
      <c r="D114" s="170">
        <v>523</v>
      </c>
      <c r="E114" s="170">
        <v>-25</v>
      </c>
      <c r="F114" s="170" t="s">
        <v>1535</v>
      </c>
    </row>
    <row r="115" spans="1:6">
      <c r="A115" s="169" t="s">
        <v>1846</v>
      </c>
      <c r="B115" s="169" t="s">
        <v>1847</v>
      </c>
      <c r="C115" s="169" t="s">
        <v>1848</v>
      </c>
      <c r="D115" s="170">
        <v>523</v>
      </c>
      <c r="E115" s="170">
        <v>-25</v>
      </c>
      <c r="F115" s="170" t="s">
        <v>1535</v>
      </c>
    </row>
    <row r="116" spans="1:6">
      <c r="A116" s="169" t="s">
        <v>1849</v>
      </c>
      <c r="B116" s="169" t="s">
        <v>1850</v>
      </c>
      <c r="C116" s="169" t="s">
        <v>1851</v>
      </c>
      <c r="D116" s="170">
        <v>523</v>
      </c>
      <c r="E116" s="170">
        <v>-25</v>
      </c>
      <c r="F116" s="170" t="s">
        <v>1535</v>
      </c>
    </row>
    <row r="117" spans="1:6">
      <c r="A117" s="169" t="s">
        <v>1852</v>
      </c>
      <c r="B117" s="169" t="s">
        <v>1853</v>
      </c>
      <c r="C117" s="169" t="s">
        <v>1854</v>
      </c>
      <c r="D117" s="170">
        <v>523</v>
      </c>
      <c r="E117" s="170">
        <v>-25</v>
      </c>
      <c r="F117" s="170" t="s">
        <v>1535</v>
      </c>
    </row>
    <row r="118" spans="1:6">
      <c r="A118" s="169" t="s">
        <v>1855</v>
      </c>
      <c r="B118" s="169" t="s">
        <v>1856</v>
      </c>
      <c r="C118" s="169" t="s">
        <v>1857</v>
      </c>
      <c r="D118" s="170">
        <v>523</v>
      </c>
      <c r="E118" s="170">
        <v>-25</v>
      </c>
      <c r="F118" s="170" t="s">
        <v>1535</v>
      </c>
    </row>
    <row r="119" spans="1:6">
      <c r="A119" s="169" t="s">
        <v>1858</v>
      </c>
      <c r="B119" s="169" t="s">
        <v>1859</v>
      </c>
      <c r="C119" s="169" t="s">
        <v>1860</v>
      </c>
      <c r="D119" s="170">
        <v>523</v>
      </c>
      <c r="E119" s="170">
        <v>-25</v>
      </c>
      <c r="F119" s="170" t="s">
        <v>1535</v>
      </c>
    </row>
    <row r="120" spans="1:6">
      <c r="A120" s="169" t="s">
        <v>1861</v>
      </c>
      <c r="B120" s="169" t="s">
        <v>1862</v>
      </c>
      <c r="C120" s="169" t="s">
        <v>1863</v>
      </c>
      <c r="D120" s="170">
        <v>523</v>
      </c>
      <c r="E120" s="170">
        <v>-25</v>
      </c>
      <c r="F120" s="170" t="s">
        <v>1535</v>
      </c>
    </row>
    <row r="121" spans="1:6">
      <c r="A121" s="169" t="s">
        <v>1864</v>
      </c>
      <c r="B121" s="169" t="s">
        <v>1865</v>
      </c>
      <c r="C121" s="169" t="s">
        <v>1866</v>
      </c>
      <c r="D121" s="170">
        <v>523</v>
      </c>
      <c r="E121" s="170">
        <v>-25</v>
      </c>
      <c r="F121" s="170" t="s">
        <v>1535</v>
      </c>
    </row>
    <row r="122" spans="1:6">
      <c r="A122" s="169" t="s">
        <v>1867</v>
      </c>
      <c r="B122" s="169" t="s">
        <v>1868</v>
      </c>
      <c r="C122" s="169" t="s">
        <v>1869</v>
      </c>
      <c r="D122" s="170">
        <v>523</v>
      </c>
      <c r="E122" s="170">
        <v>-25</v>
      </c>
      <c r="F122" s="170" t="s">
        <v>1535</v>
      </c>
    </row>
    <row r="123" spans="1:6">
      <c r="A123" s="169" t="s">
        <v>1870</v>
      </c>
      <c r="B123" s="169" t="s">
        <v>1871</v>
      </c>
      <c r="C123" s="169" t="s">
        <v>1872</v>
      </c>
      <c r="D123" s="170">
        <v>523</v>
      </c>
      <c r="E123" s="170">
        <v>-25</v>
      </c>
      <c r="F123" s="170" t="s">
        <v>1535</v>
      </c>
    </row>
    <row r="124" spans="1:6">
      <c r="A124" s="169" t="s">
        <v>1873</v>
      </c>
      <c r="B124" s="169" t="s">
        <v>1874</v>
      </c>
      <c r="C124" s="169" t="s">
        <v>1875</v>
      </c>
      <c r="D124" s="170">
        <v>238</v>
      </c>
      <c r="E124" s="170">
        <v>-25</v>
      </c>
      <c r="F124" s="170" t="s">
        <v>1535</v>
      </c>
    </row>
    <row r="125" spans="1:6">
      <c r="A125" s="169" t="s">
        <v>1876</v>
      </c>
      <c r="B125" s="169" t="s">
        <v>1877</v>
      </c>
      <c r="C125" s="169" t="s">
        <v>1878</v>
      </c>
      <c r="D125" s="170">
        <v>238</v>
      </c>
      <c r="E125" s="170">
        <v>-25</v>
      </c>
      <c r="F125" s="170" t="s">
        <v>1535</v>
      </c>
    </row>
    <row r="126" spans="1:6">
      <c r="A126" s="169" t="s">
        <v>1879</v>
      </c>
      <c r="B126" s="169" t="s">
        <v>1880</v>
      </c>
      <c r="C126" s="169" t="s">
        <v>1881</v>
      </c>
      <c r="D126" s="170">
        <v>523</v>
      </c>
      <c r="E126" s="170">
        <v>-25</v>
      </c>
      <c r="F126" s="170" t="s">
        <v>1535</v>
      </c>
    </row>
    <row r="127" spans="1:6">
      <c r="A127" s="169" t="s">
        <v>1882</v>
      </c>
      <c r="B127" s="169" t="s">
        <v>1883</v>
      </c>
      <c r="C127" s="169" t="s">
        <v>1884</v>
      </c>
      <c r="D127" s="170">
        <v>1116</v>
      </c>
      <c r="E127" s="170">
        <v>-25</v>
      </c>
      <c r="F127" s="170" t="s">
        <v>1535</v>
      </c>
    </row>
    <row r="128" spans="1:6">
      <c r="A128" s="169" t="s">
        <v>1885</v>
      </c>
      <c r="B128" s="169" t="s">
        <v>1886</v>
      </c>
      <c r="C128" s="169" t="s">
        <v>1887</v>
      </c>
      <c r="D128" s="170">
        <v>50</v>
      </c>
      <c r="E128" s="170">
        <v>0</v>
      </c>
      <c r="F128" s="170" t="s">
        <v>1888</v>
      </c>
    </row>
    <row r="129" spans="1:6">
      <c r="A129" s="169" t="s">
        <v>1889</v>
      </c>
      <c r="B129" s="169" t="s">
        <v>1890</v>
      </c>
      <c r="C129" s="169" t="s">
        <v>1891</v>
      </c>
      <c r="D129" s="170">
        <v>50</v>
      </c>
      <c r="E129" s="170">
        <v>0</v>
      </c>
      <c r="F129" s="170" t="s">
        <v>1888</v>
      </c>
    </row>
    <row r="130" spans="1:6">
      <c r="A130" s="169" t="s">
        <v>1892</v>
      </c>
      <c r="B130" s="169" t="s">
        <v>1893</v>
      </c>
      <c r="C130" s="169" t="s">
        <v>1894</v>
      </c>
      <c r="D130" s="170">
        <v>50</v>
      </c>
      <c r="E130" s="170">
        <v>0</v>
      </c>
      <c r="F130" s="170" t="s">
        <v>1888</v>
      </c>
    </row>
    <row r="131" spans="1:6">
      <c r="A131" s="169" t="s">
        <v>1895</v>
      </c>
      <c r="B131" s="169" t="s">
        <v>1896</v>
      </c>
      <c r="C131" s="169" t="s">
        <v>1897</v>
      </c>
      <c r="D131" s="170">
        <v>50</v>
      </c>
      <c r="E131" s="170">
        <v>0</v>
      </c>
      <c r="F131" s="170" t="s">
        <v>1888</v>
      </c>
    </row>
    <row r="132" spans="1:6">
      <c r="A132" s="169" t="s">
        <v>1898</v>
      </c>
      <c r="B132" s="169" t="s">
        <v>1899</v>
      </c>
      <c r="C132" s="169" t="s">
        <v>1900</v>
      </c>
      <c r="D132" s="170">
        <v>50</v>
      </c>
      <c r="E132" s="170">
        <v>0</v>
      </c>
      <c r="F132" s="170" t="s">
        <v>1888</v>
      </c>
    </row>
    <row r="133" spans="1:6">
      <c r="A133" s="169" t="s">
        <v>1901</v>
      </c>
      <c r="B133" s="169" t="s">
        <v>1902</v>
      </c>
      <c r="C133" s="169" t="s">
        <v>1903</v>
      </c>
      <c r="D133" s="170">
        <v>50</v>
      </c>
      <c r="E133" s="170">
        <v>0</v>
      </c>
      <c r="F133" s="170" t="s">
        <v>1888</v>
      </c>
    </row>
    <row r="134" spans="1:6">
      <c r="A134" s="169" t="s">
        <v>1904</v>
      </c>
      <c r="B134" s="169" t="s">
        <v>1905</v>
      </c>
      <c r="C134" s="169" t="s">
        <v>1906</v>
      </c>
      <c r="D134" s="170">
        <v>40</v>
      </c>
      <c r="E134" s="170">
        <v>0</v>
      </c>
      <c r="F134" s="170" t="s">
        <v>1907</v>
      </c>
    </row>
    <row r="135" spans="1:6">
      <c r="A135" s="169" t="s">
        <v>1908</v>
      </c>
      <c r="B135" s="169" t="s">
        <v>1909</v>
      </c>
      <c r="C135" s="169" t="s">
        <v>1910</v>
      </c>
      <c r="D135" s="170">
        <v>40</v>
      </c>
      <c r="E135" s="170">
        <v>0</v>
      </c>
      <c r="F135" s="170" t="s">
        <v>1907</v>
      </c>
    </row>
    <row r="136" spans="1:6">
      <c r="A136" s="169" t="s">
        <v>1911</v>
      </c>
      <c r="B136" s="169" t="s">
        <v>1912</v>
      </c>
      <c r="C136" s="169" t="s">
        <v>1542</v>
      </c>
      <c r="D136" s="170">
        <v>10</v>
      </c>
      <c r="E136" s="170">
        <v>-20</v>
      </c>
      <c r="F136" s="170" t="s">
        <v>1535</v>
      </c>
    </row>
    <row r="137" spans="1:6">
      <c r="A137" s="169" t="s">
        <v>1913</v>
      </c>
      <c r="B137" s="169" t="s">
        <v>1914</v>
      </c>
      <c r="C137" s="169" t="s">
        <v>1542</v>
      </c>
      <c r="D137" s="170">
        <v>10</v>
      </c>
      <c r="E137" s="170">
        <v>0</v>
      </c>
      <c r="F137" s="170" t="s">
        <v>463</v>
      </c>
    </row>
    <row r="138" spans="1:6">
      <c r="A138" s="169" t="s">
        <v>1915</v>
      </c>
      <c r="B138" s="169" t="s">
        <v>1916</v>
      </c>
      <c r="C138" s="169" t="s">
        <v>1917</v>
      </c>
      <c r="D138" s="170">
        <v>5</v>
      </c>
      <c r="E138" s="170">
        <v>0</v>
      </c>
      <c r="F138" s="170" t="s">
        <v>1918</v>
      </c>
    </row>
    <row r="139" spans="1:6">
      <c r="A139" s="169" t="s">
        <v>1919</v>
      </c>
      <c r="B139" s="169" t="s">
        <v>1920</v>
      </c>
      <c r="C139" s="169" t="s">
        <v>1917</v>
      </c>
      <c r="D139" s="170">
        <v>100</v>
      </c>
      <c r="E139" s="170">
        <v>0</v>
      </c>
      <c r="F139" s="170" t="s">
        <v>463</v>
      </c>
    </row>
    <row r="140" spans="1:6">
      <c r="A140" s="169" t="s">
        <v>1921</v>
      </c>
      <c r="B140" s="169" t="s">
        <v>1922</v>
      </c>
      <c r="C140" s="169" t="s">
        <v>1923</v>
      </c>
      <c r="D140" s="170">
        <v>10</v>
      </c>
      <c r="E140" s="170">
        <v>0</v>
      </c>
      <c r="F140" s="170" t="s">
        <v>463</v>
      </c>
    </row>
    <row r="141" spans="1:6">
      <c r="A141" s="169" t="s">
        <v>1924</v>
      </c>
      <c r="B141" s="169" t="s">
        <v>1925</v>
      </c>
      <c r="C141" s="169" t="s">
        <v>1923</v>
      </c>
      <c r="D141" s="170">
        <v>10</v>
      </c>
      <c r="E141" s="170">
        <v>0</v>
      </c>
      <c r="F141" s="170" t="s">
        <v>463</v>
      </c>
    </row>
    <row r="142" spans="1:6">
      <c r="A142" s="169" t="s">
        <v>1926</v>
      </c>
      <c r="B142" s="169" t="s">
        <v>1927</v>
      </c>
      <c r="C142" s="169" t="s">
        <v>1928</v>
      </c>
      <c r="D142" s="170">
        <v>10</v>
      </c>
      <c r="E142" s="170">
        <v>0</v>
      </c>
      <c r="F142" s="170" t="s">
        <v>463</v>
      </c>
    </row>
    <row r="143" spans="1:6">
      <c r="A143" s="169" t="s">
        <v>1929</v>
      </c>
      <c r="B143" s="169" t="s">
        <v>1930</v>
      </c>
      <c r="C143" s="169" t="s">
        <v>1931</v>
      </c>
      <c r="D143" s="170">
        <v>200</v>
      </c>
      <c r="E143" s="170">
        <v>0</v>
      </c>
      <c r="F143" s="170" t="s">
        <v>1932</v>
      </c>
    </row>
    <row r="144" spans="1:6">
      <c r="A144" s="169" t="s">
        <v>1933</v>
      </c>
      <c r="B144" s="169" t="s">
        <v>1934</v>
      </c>
      <c r="C144" s="169" t="s">
        <v>1935</v>
      </c>
      <c r="D144" s="170">
        <v>25</v>
      </c>
      <c r="E144" s="170">
        <v>0</v>
      </c>
      <c r="F144" s="170" t="s">
        <v>1577</v>
      </c>
    </row>
    <row r="145" spans="1:6">
      <c r="A145" s="169" t="s">
        <v>1936</v>
      </c>
      <c r="B145" s="169" t="s">
        <v>1937</v>
      </c>
      <c r="C145" s="169" t="s">
        <v>1938</v>
      </c>
      <c r="D145" s="170">
        <v>400</v>
      </c>
      <c r="E145" s="170">
        <v>0</v>
      </c>
      <c r="F145" s="170" t="s">
        <v>1939</v>
      </c>
    </row>
    <row r="146" spans="1:6">
      <c r="A146" s="169" t="s">
        <v>1940</v>
      </c>
      <c r="B146" s="169" t="s">
        <v>1941</v>
      </c>
      <c r="C146" s="169" t="s">
        <v>1942</v>
      </c>
      <c r="D146" s="170">
        <v>919</v>
      </c>
      <c r="E146" s="170">
        <v>0</v>
      </c>
      <c r="F146" s="170" t="s">
        <v>1549</v>
      </c>
    </row>
    <row r="147" spans="1:6">
      <c r="A147" s="169" t="s">
        <v>1943</v>
      </c>
      <c r="B147" s="169" t="s">
        <v>1944</v>
      </c>
      <c r="C147" s="169" t="s">
        <v>1945</v>
      </c>
      <c r="D147" s="170">
        <v>919</v>
      </c>
      <c r="E147" s="170">
        <v>0</v>
      </c>
      <c r="F147" s="170" t="s">
        <v>1549</v>
      </c>
    </row>
    <row r="148" spans="1:6">
      <c r="A148" s="169" t="s">
        <v>1946</v>
      </c>
      <c r="B148" s="169" t="s">
        <v>1947</v>
      </c>
      <c r="C148" s="169" t="s">
        <v>1948</v>
      </c>
      <c r="D148" s="170">
        <v>14.2</v>
      </c>
      <c r="E148" s="170">
        <v>0</v>
      </c>
      <c r="F148" s="170" t="s">
        <v>1949</v>
      </c>
    </row>
    <row r="149" spans="1:6">
      <c r="A149" s="169" t="s">
        <v>1950</v>
      </c>
      <c r="B149" s="169" t="s">
        <v>1951</v>
      </c>
      <c r="C149" s="169" t="s">
        <v>1952</v>
      </c>
      <c r="D149" s="170">
        <v>36.51</v>
      </c>
      <c r="E149" s="170">
        <v>0</v>
      </c>
      <c r="F149" s="170" t="s">
        <v>1549</v>
      </c>
    </row>
    <row r="150" spans="1:6">
      <c r="A150" s="169" t="s">
        <v>1953</v>
      </c>
      <c r="B150" s="169" t="s">
        <v>1954</v>
      </c>
      <c r="C150" s="169" t="s">
        <v>1955</v>
      </c>
      <c r="D150" s="170">
        <v>300</v>
      </c>
      <c r="E150" s="170">
        <v>0</v>
      </c>
      <c r="F150" s="170" t="s">
        <v>1556</v>
      </c>
    </row>
    <row r="151" spans="1:6">
      <c r="A151" s="169" t="s">
        <v>1956</v>
      </c>
      <c r="B151" s="169" t="s">
        <v>1957</v>
      </c>
      <c r="C151" s="169" t="s">
        <v>1955</v>
      </c>
      <c r="D151" s="170">
        <v>300</v>
      </c>
      <c r="E151" s="170">
        <v>0</v>
      </c>
      <c r="F151" s="170" t="s">
        <v>1556</v>
      </c>
    </row>
    <row r="152" spans="1:6">
      <c r="A152" s="169" t="s">
        <v>1958</v>
      </c>
      <c r="B152" s="169" t="s">
        <v>1959</v>
      </c>
      <c r="C152" s="169" t="s">
        <v>1960</v>
      </c>
      <c r="D152" s="170">
        <v>400</v>
      </c>
      <c r="E152" s="170">
        <v>0</v>
      </c>
      <c r="F152" s="170" t="s">
        <v>1549</v>
      </c>
    </row>
    <row r="153" spans="1:6">
      <c r="A153" s="169" t="s">
        <v>1961</v>
      </c>
      <c r="B153" s="169" t="s">
        <v>1962</v>
      </c>
      <c r="C153" s="169" t="s">
        <v>1963</v>
      </c>
      <c r="D153" s="170">
        <v>30</v>
      </c>
      <c r="E153" s="170">
        <v>0</v>
      </c>
      <c r="F153" s="170" t="s">
        <v>1549</v>
      </c>
    </row>
    <row r="154" spans="1:6">
      <c r="A154" s="169" t="s">
        <v>1964</v>
      </c>
      <c r="B154" s="169" t="s">
        <v>1965</v>
      </c>
      <c r="C154" s="169" t="s">
        <v>1966</v>
      </c>
      <c r="D154" s="170">
        <v>1838</v>
      </c>
      <c r="E154" s="170">
        <v>0</v>
      </c>
      <c r="F154" s="170" t="s">
        <v>1549</v>
      </c>
    </row>
    <row r="155" spans="1:6">
      <c r="A155" s="169" t="s">
        <v>1967</v>
      </c>
      <c r="B155" s="169" t="s">
        <v>1968</v>
      </c>
      <c r="C155" s="169" t="s">
        <v>1969</v>
      </c>
      <c r="D155" s="170">
        <v>1839</v>
      </c>
      <c r="E155" s="170">
        <v>0</v>
      </c>
      <c r="F155" s="170" t="s">
        <v>1549</v>
      </c>
    </row>
    <row r="156" spans="1:6">
      <c r="A156" s="169" t="s">
        <v>1970</v>
      </c>
      <c r="B156" s="169" t="s">
        <v>1971</v>
      </c>
      <c r="C156" s="169" t="s">
        <v>1972</v>
      </c>
      <c r="D156" s="170">
        <v>100</v>
      </c>
      <c r="E156" s="170">
        <v>0</v>
      </c>
      <c r="F156" s="170" t="s">
        <v>1577</v>
      </c>
    </row>
    <row r="157" spans="1:6">
      <c r="A157" s="169" t="s">
        <v>1973</v>
      </c>
      <c r="B157" s="169" t="s">
        <v>1974</v>
      </c>
      <c r="C157" s="169" t="s">
        <v>1975</v>
      </c>
      <c r="D157" s="170">
        <v>100</v>
      </c>
      <c r="E157" s="170">
        <v>0</v>
      </c>
      <c r="F157" s="170" t="s">
        <v>1577</v>
      </c>
    </row>
    <row r="158" spans="1:6">
      <c r="A158" s="169" t="s">
        <v>1976</v>
      </c>
      <c r="B158" s="169" t="s">
        <v>1977</v>
      </c>
      <c r="C158" s="169" t="s">
        <v>1978</v>
      </c>
      <c r="D158" s="170">
        <v>100</v>
      </c>
      <c r="E158" s="170">
        <v>0</v>
      </c>
      <c r="F158" s="170" t="s">
        <v>1577</v>
      </c>
    </row>
    <row r="159" spans="1:6">
      <c r="A159" s="169" t="s">
        <v>1979</v>
      </c>
      <c r="B159" s="169" t="s">
        <v>1980</v>
      </c>
      <c r="C159" s="169" t="s">
        <v>1972</v>
      </c>
      <c r="D159" s="170">
        <v>100</v>
      </c>
      <c r="E159" s="170">
        <v>0</v>
      </c>
      <c r="F159" s="170" t="s">
        <v>1577</v>
      </c>
    </row>
    <row r="160" spans="1:6">
      <c r="A160" s="169" t="s">
        <v>1981</v>
      </c>
      <c r="B160" s="169" t="s">
        <v>1982</v>
      </c>
      <c r="C160" s="169" t="s">
        <v>1972</v>
      </c>
      <c r="D160" s="170">
        <v>100</v>
      </c>
      <c r="E160" s="170">
        <v>0</v>
      </c>
      <c r="F160" s="170" t="s">
        <v>1577</v>
      </c>
    </row>
    <row r="161" spans="1:6">
      <c r="A161" s="169" t="s">
        <v>1983</v>
      </c>
      <c r="B161" s="169" t="s">
        <v>1984</v>
      </c>
      <c r="C161" s="169" t="s">
        <v>1972</v>
      </c>
      <c r="D161" s="170">
        <v>100</v>
      </c>
      <c r="E161" s="170">
        <v>0</v>
      </c>
      <c r="F161" s="170" t="s">
        <v>1577</v>
      </c>
    </row>
    <row r="162" spans="1:6">
      <c r="A162" s="169" t="s">
        <v>1985</v>
      </c>
      <c r="B162" s="169" t="s">
        <v>1986</v>
      </c>
      <c r="C162" s="169" t="s">
        <v>1975</v>
      </c>
      <c r="D162" s="170">
        <v>100</v>
      </c>
      <c r="E162" s="170">
        <v>0</v>
      </c>
      <c r="F162" s="170" t="s">
        <v>1577</v>
      </c>
    </row>
    <row r="163" spans="1:6">
      <c r="A163" s="169" t="s">
        <v>1987</v>
      </c>
      <c r="B163" s="169" t="s">
        <v>1988</v>
      </c>
      <c r="C163" s="169" t="s">
        <v>1975</v>
      </c>
      <c r="D163" s="170">
        <v>100</v>
      </c>
      <c r="E163" s="170">
        <v>0</v>
      </c>
      <c r="F163" s="170" t="s">
        <v>1577</v>
      </c>
    </row>
    <row r="164" spans="1:6">
      <c r="A164" s="169" t="s">
        <v>1989</v>
      </c>
      <c r="B164" s="169" t="s">
        <v>1990</v>
      </c>
      <c r="C164" s="169" t="s">
        <v>1975</v>
      </c>
      <c r="D164" s="170">
        <v>100</v>
      </c>
      <c r="E164" s="170">
        <v>0</v>
      </c>
      <c r="F164" s="170" t="s">
        <v>1577</v>
      </c>
    </row>
    <row r="165" spans="1:6">
      <c r="A165" s="169" t="s">
        <v>1991</v>
      </c>
      <c r="B165" s="169" t="s">
        <v>1992</v>
      </c>
      <c r="C165" s="169" t="s">
        <v>1978</v>
      </c>
      <c r="D165" s="170">
        <v>100</v>
      </c>
      <c r="E165" s="170">
        <v>0</v>
      </c>
      <c r="F165" s="170" t="s">
        <v>1577</v>
      </c>
    </row>
    <row r="166" spans="1:6">
      <c r="A166" s="169" t="s">
        <v>1993</v>
      </c>
      <c r="B166" s="169" t="s">
        <v>1994</v>
      </c>
      <c r="C166" s="169" t="s">
        <v>1978</v>
      </c>
      <c r="D166" s="170">
        <v>100</v>
      </c>
      <c r="E166" s="170">
        <v>0</v>
      </c>
      <c r="F166" s="170" t="s">
        <v>1577</v>
      </c>
    </row>
    <row r="167" spans="1:6">
      <c r="A167" s="169" t="s">
        <v>1995</v>
      </c>
      <c r="B167" s="169" t="s">
        <v>1996</v>
      </c>
      <c r="C167" s="169" t="s">
        <v>1978</v>
      </c>
      <c r="D167" s="170">
        <v>100</v>
      </c>
      <c r="E167" s="170">
        <v>0</v>
      </c>
      <c r="F167" s="170" t="s">
        <v>1577</v>
      </c>
    </row>
    <row r="168" spans="1:6">
      <c r="A168" s="169" t="s">
        <v>1997</v>
      </c>
      <c r="B168" s="169" t="s">
        <v>1998</v>
      </c>
      <c r="C168" s="169" t="s">
        <v>1999</v>
      </c>
      <c r="D168" s="170">
        <v>2</v>
      </c>
      <c r="E168" s="170">
        <v>0</v>
      </c>
      <c r="F168" s="170" t="s">
        <v>2000</v>
      </c>
    </row>
    <row r="169" spans="1:6">
      <c r="A169" s="169" t="s">
        <v>2001</v>
      </c>
      <c r="B169" s="169" t="s">
        <v>2002</v>
      </c>
      <c r="C169" s="169" t="s">
        <v>2003</v>
      </c>
      <c r="D169" s="170">
        <v>70</v>
      </c>
      <c r="E169" s="170">
        <v>-70</v>
      </c>
      <c r="F169" s="170" t="s">
        <v>1639</v>
      </c>
    </row>
    <row r="170" spans="1:6">
      <c r="A170" s="169" t="s">
        <v>2004</v>
      </c>
      <c r="B170" s="169" t="s">
        <v>2005</v>
      </c>
      <c r="C170" s="169" t="s">
        <v>2003</v>
      </c>
      <c r="D170" s="170">
        <v>70</v>
      </c>
      <c r="E170" s="170">
        <v>-70</v>
      </c>
      <c r="F170" s="170" t="s">
        <v>1639</v>
      </c>
    </row>
    <row r="171" spans="1:6">
      <c r="A171" s="169" t="s">
        <v>2006</v>
      </c>
      <c r="B171" s="169" t="s">
        <v>2007</v>
      </c>
      <c r="C171" s="169" t="s">
        <v>2008</v>
      </c>
      <c r="D171" s="170">
        <v>6.98</v>
      </c>
      <c r="E171" s="170">
        <v>0</v>
      </c>
      <c r="F171" s="170" t="s">
        <v>1635</v>
      </c>
    </row>
    <row r="172" spans="1:6">
      <c r="A172" s="169" t="s">
        <v>2009</v>
      </c>
      <c r="B172" s="169" t="s">
        <v>2010</v>
      </c>
      <c r="C172" s="169" t="s">
        <v>2011</v>
      </c>
      <c r="D172" s="170">
        <v>25</v>
      </c>
      <c r="E172" s="170">
        <v>-25</v>
      </c>
      <c r="F172" s="170" t="s">
        <v>1535</v>
      </c>
    </row>
    <row r="173" spans="1:6">
      <c r="A173" s="169" t="s">
        <v>2012</v>
      </c>
      <c r="B173" s="169" t="s">
        <v>2013</v>
      </c>
      <c r="C173" s="169" t="s">
        <v>2014</v>
      </c>
      <c r="D173" s="170">
        <v>624</v>
      </c>
      <c r="E173" s="170">
        <v>0</v>
      </c>
      <c r="F173" s="170" t="s">
        <v>1535</v>
      </c>
    </row>
    <row r="174" spans="1:6">
      <c r="A174" s="169" t="s">
        <v>2015</v>
      </c>
      <c r="B174" s="169" t="s">
        <v>2016</v>
      </c>
      <c r="C174" s="169" t="s">
        <v>2017</v>
      </c>
      <c r="D174" s="170">
        <v>624</v>
      </c>
      <c r="E174" s="170">
        <v>-19</v>
      </c>
      <c r="F174" s="170" t="s">
        <v>1535</v>
      </c>
    </row>
    <row r="175" spans="1:6">
      <c r="A175" s="169" t="s">
        <v>2018</v>
      </c>
      <c r="B175" s="169" t="s">
        <v>1737</v>
      </c>
      <c r="C175" s="169" t="s">
        <v>2014</v>
      </c>
      <c r="D175" s="170">
        <v>624</v>
      </c>
      <c r="E175" s="170">
        <v>-19</v>
      </c>
      <c r="F175" s="170" t="s">
        <v>1535</v>
      </c>
    </row>
    <row r="176" spans="1:6">
      <c r="A176" s="169" t="s">
        <v>2019</v>
      </c>
      <c r="B176" s="169" t="s">
        <v>2020</v>
      </c>
      <c r="C176" s="169" t="s">
        <v>2014</v>
      </c>
      <c r="D176" s="170">
        <v>624</v>
      </c>
      <c r="E176" s="170">
        <v>-19</v>
      </c>
      <c r="F176" s="170" t="s">
        <v>1535</v>
      </c>
    </row>
    <row r="177" spans="1:6">
      <c r="A177" s="169" t="s">
        <v>2021</v>
      </c>
      <c r="B177" s="169" t="s">
        <v>2022</v>
      </c>
      <c r="C177" s="169" t="s">
        <v>2014</v>
      </c>
      <c r="D177" s="170">
        <v>624</v>
      </c>
      <c r="E177" s="170">
        <v>-19</v>
      </c>
      <c r="F177" s="170" t="s">
        <v>1535</v>
      </c>
    </row>
    <row r="178" spans="1:6">
      <c r="A178" s="169" t="s">
        <v>2023</v>
      </c>
      <c r="B178" s="169" t="s">
        <v>2024</v>
      </c>
      <c r="C178" s="169" t="s">
        <v>2025</v>
      </c>
      <c r="D178" s="170">
        <v>500</v>
      </c>
      <c r="E178" s="170">
        <v>0</v>
      </c>
      <c r="F178" s="170" t="s">
        <v>1535</v>
      </c>
    </row>
    <row r="179" spans="1:6">
      <c r="A179" s="169" t="s">
        <v>2026</v>
      </c>
      <c r="B179" s="169" t="s">
        <v>2027</v>
      </c>
      <c r="C179" s="169" t="s">
        <v>2028</v>
      </c>
      <c r="D179" s="170">
        <v>624</v>
      </c>
      <c r="E179" s="170">
        <v>-19</v>
      </c>
      <c r="F179" s="170" t="s">
        <v>1535</v>
      </c>
    </row>
    <row r="180" spans="1:6">
      <c r="A180" s="169" t="s">
        <v>2029</v>
      </c>
      <c r="B180" s="169" t="s">
        <v>2030</v>
      </c>
      <c r="C180" s="169" t="s">
        <v>2031</v>
      </c>
      <c r="D180" s="170">
        <v>200000</v>
      </c>
      <c r="E180" s="170">
        <v>0</v>
      </c>
      <c r="F180" s="170" t="s">
        <v>2032</v>
      </c>
    </row>
    <row r="181" spans="1:6">
      <c r="A181" s="169" t="s">
        <v>2033</v>
      </c>
      <c r="B181" s="169" t="s">
        <v>2034</v>
      </c>
      <c r="C181" s="169" t="s">
        <v>2035</v>
      </c>
      <c r="D181" s="170">
        <v>150000</v>
      </c>
      <c r="E181" s="170">
        <v>0</v>
      </c>
      <c r="F181" s="170" t="s">
        <v>2032</v>
      </c>
    </row>
    <row r="182" spans="1:6">
      <c r="A182" s="169" t="s">
        <v>2036</v>
      </c>
      <c r="B182" s="169" t="s">
        <v>2037</v>
      </c>
      <c r="C182" s="169" t="s">
        <v>2038</v>
      </c>
      <c r="D182" s="170">
        <v>150000</v>
      </c>
      <c r="E182" s="170">
        <v>0</v>
      </c>
      <c r="F182" s="170" t="s">
        <v>2032</v>
      </c>
    </row>
    <row r="183" spans="1:6">
      <c r="A183" s="169" t="s">
        <v>2039</v>
      </c>
      <c r="B183" s="169" t="s">
        <v>2040</v>
      </c>
      <c r="C183" s="169" t="s">
        <v>2041</v>
      </c>
      <c r="D183" s="170">
        <v>150000</v>
      </c>
      <c r="E183" s="170">
        <v>0</v>
      </c>
      <c r="F183" s="170" t="s">
        <v>2032</v>
      </c>
    </row>
    <row r="184" spans="1:6">
      <c r="A184" s="169" t="s">
        <v>2042</v>
      </c>
      <c r="B184" s="169" t="s">
        <v>2043</v>
      </c>
      <c r="C184" s="169" t="s">
        <v>1542</v>
      </c>
      <c r="D184" s="170">
        <v>720</v>
      </c>
      <c r="E184" s="170">
        <v>0</v>
      </c>
      <c r="F184" s="170" t="s">
        <v>1549</v>
      </c>
    </row>
    <row r="185" spans="1:6">
      <c r="A185" s="169" t="s">
        <v>2044</v>
      </c>
      <c r="B185" s="169" t="s">
        <v>2045</v>
      </c>
      <c r="C185" s="169" t="s">
        <v>2046</v>
      </c>
      <c r="D185" s="170">
        <v>500</v>
      </c>
      <c r="E185" s="170">
        <v>0</v>
      </c>
      <c r="F185" s="170" t="s">
        <v>1549</v>
      </c>
    </row>
    <row r="186" spans="1:6">
      <c r="A186" s="169" t="s">
        <v>2047</v>
      </c>
      <c r="B186" s="169" t="s">
        <v>2048</v>
      </c>
      <c r="C186" s="169" t="s">
        <v>1720</v>
      </c>
      <c r="D186" s="170">
        <v>720</v>
      </c>
      <c r="E186" s="170">
        <v>0</v>
      </c>
      <c r="F186" s="170" t="s">
        <v>1549</v>
      </c>
    </row>
    <row r="187" spans="1:6">
      <c r="A187" s="169" t="s">
        <v>2049</v>
      </c>
      <c r="B187" s="169" t="s">
        <v>2050</v>
      </c>
      <c r="C187" s="169" t="s">
        <v>2051</v>
      </c>
      <c r="D187" s="170">
        <v>50</v>
      </c>
      <c r="E187" s="170">
        <v>0</v>
      </c>
      <c r="F187" s="170" t="s">
        <v>1549</v>
      </c>
    </row>
    <row r="188" spans="1:6">
      <c r="A188" s="169" t="s">
        <v>2052</v>
      </c>
      <c r="B188" s="169" t="s">
        <v>2053</v>
      </c>
      <c r="C188" s="169" t="s">
        <v>1732</v>
      </c>
      <c r="D188" s="170">
        <v>919</v>
      </c>
      <c r="E188" s="170">
        <v>0</v>
      </c>
      <c r="F188" s="170" t="s">
        <v>1549</v>
      </c>
    </row>
    <row r="189" spans="1:6">
      <c r="A189" s="169" t="s">
        <v>2054</v>
      </c>
      <c r="B189" s="169" t="s">
        <v>2055</v>
      </c>
      <c r="C189" s="169" t="s">
        <v>1969</v>
      </c>
      <c r="D189" s="170">
        <v>1839</v>
      </c>
      <c r="E189" s="170">
        <v>0</v>
      </c>
      <c r="F189" s="170" t="s">
        <v>1549</v>
      </c>
    </row>
    <row r="190" spans="1:6">
      <c r="A190" s="169" t="s">
        <v>2056</v>
      </c>
      <c r="B190" s="169" t="s">
        <v>2057</v>
      </c>
      <c r="C190" s="169" t="s">
        <v>1735</v>
      </c>
      <c r="D190" s="170">
        <v>919</v>
      </c>
      <c r="E190" s="170">
        <v>0</v>
      </c>
      <c r="F190" s="170" t="s">
        <v>1549</v>
      </c>
    </row>
    <row r="191" spans="1:6">
      <c r="A191" s="169" t="s">
        <v>2058</v>
      </c>
      <c r="B191" s="169" t="s">
        <v>2059</v>
      </c>
      <c r="C191" s="169" t="s">
        <v>2060</v>
      </c>
      <c r="D191" s="170">
        <v>50</v>
      </c>
      <c r="E191" s="170">
        <v>0</v>
      </c>
      <c r="F191" s="170" t="s">
        <v>1549</v>
      </c>
    </row>
    <row r="192" spans="1:6">
      <c r="A192" s="169" t="s">
        <v>2061</v>
      </c>
      <c r="B192" s="169" t="s">
        <v>2062</v>
      </c>
      <c r="C192" s="169" t="s">
        <v>1552</v>
      </c>
      <c r="D192" s="170">
        <v>1294</v>
      </c>
      <c r="E192" s="170">
        <v>0</v>
      </c>
      <c r="F192" s="170" t="s">
        <v>1549</v>
      </c>
    </row>
    <row r="193" spans="1:6">
      <c r="A193" s="169" t="s">
        <v>2063</v>
      </c>
      <c r="B193" s="169" t="s">
        <v>2064</v>
      </c>
      <c r="C193" s="169" t="s">
        <v>2065</v>
      </c>
      <c r="D193" s="170">
        <v>1179</v>
      </c>
      <c r="E193" s="170">
        <v>0</v>
      </c>
      <c r="F193" s="170" t="s">
        <v>1549</v>
      </c>
    </row>
    <row r="194" spans="1:6">
      <c r="A194" s="169" t="s">
        <v>2066</v>
      </c>
      <c r="B194" s="169" t="s">
        <v>2067</v>
      </c>
      <c r="C194" s="169" t="s">
        <v>2068</v>
      </c>
      <c r="D194" s="170">
        <v>794</v>
      </c>
      <c r="E194" s="170">
        <v>0</v>
      </c>
      <c r="F194" s="170" t="s">
        <v>1549</v>
      </c>
    </row>
    <row r="195" spans="1:6">
      <c r="A195" s="169" t="s">
        <v>2069</v>
      </c>
      <c r="B195" s="169" t="s">
        <v>2070</v>
      </c>
      <c r="C195" s="169" t="s">
        <v>2071</v>
      </c>
      <c r="D195" s="170">
        <v>31.6</v>
      </c>
      <c r="E195" s="170">
        <v>0</v>
      </c>
      <c r="F195" s="170" t="s">
        <v>1549</v>
      </c>
    </row>
    <row r="196" spans="1:6">
      <c r="A196" s="169" t="s">
        <v>2072</v>
      </c>
      <c r="B196" s="169" t="s">
        <v>2073</v>
      </c>
      <c r="C196" s="169" t="s">
        <v>2074</v>
      </c>
      <c r="D196" s="170">
        <v>200</v>
      </c>
      <c r="E196" s="170">
        <v>0</v>
      </c>
      <c r="F196" s="170" t="s">
        <v>1549</v>
      </c>
    </row>
    <row r="197" spans="1:6">
      <c r="A197" s="169" t="s">
        <v>2075</v>
      </c>
      <c r="B197" s="169" t="s">
        <v>2076</v>
      </c>
      <c r="C197" s="169" t="s">
        <v>2077</v>
      </c>
      <c r="D197" s="170">
        <v>16.899999999999999</v>
      </c>
      <c r="E197" s="170">
        <v>0</v>
      </c>
      <c r="F197" s="170" t="s">
        <v>1556</v>
      </c>
    </row>
    <row r="198" spans="1:6">
      <c r="A198" s="169" t="s">
        <v>2078</v>
      </c>
      <c r="B198" s="169" t="s">
        <v>2079</v>
      </c>
      <c r="C198" s="169" t="s">
        <v>2080</v>
      </c>
      <c r="D198" s="170">
        <v>300</v>
      </c>
      <c r="E198" s="170">
        <v>0</v>
      </c>
      <c r="F198" s="170" t="s">
        <v>1549</v>
      </c>
    </row>
    <row r="199" spans="1:6">
      <c r="A199" s="169" t="s">
        <v>2081</v>
      </c>
      <c r="B199" s="169" t="s">
        <v>2082</v>
      </c>
      <c r="C199" s="169" t="s">
        <v>2083</v>
      </c>
      <c r="D199" s="170">
        <v>1.5</v>
      </c>
      <c r="E199" s="170">
        <v>0</v>
      </c>
      <c r="F199" s="170" t="s">
        <v>1556</v>
      </c>
    </row>
    <row r="200" spans="1:6">
      <c r="A200" s="169" t="s">
        <v>2084</v>
      </c>
      <c r="B200" s="169" t="s">
        <v>2085</v>
      </c>
      <c r="C200" s="169" t="s">
        <v>2086</v>
      </c>
      <c r="D200" s="170">
        <v>100</v>
      </c>
      <c r="E200" s="170">
        <v>0</v>
      </c>
      <c r="F200" s="170" t="s">
        <v>463</v>
      </c>
    </row>
    <row r="201" spans="1:6">
      <c r="A201" s="169" t="s">
        <v>2087</v>
      </c>
      <c r="B201" s="169" t="s">
        <v>2088</v>
      </c>
      <c r="C201" s="169" t="s">
        <v>2089</v>
      </c>
      <c r="D201" s="170">
        <v>100</v>
      </c>
      <c r="E201" s="170">
        <v>0</v>
      </c>
      <c r="F201" s="170" t="s">
        <v>463</v>
      </c>
    </row>
    <row r="202" spans="1:6">
      <c r="A202" s="169" t="s">
        <v>2090</v>
      </c>
      <c r="B202" s="169" t="s">
        <v>2091</v>
      </c>
      <c r="C202" s="169" t="s">
        <v>2092</v>
      </c>
      <c r="D202" s="170">
        <v>2</v>
      </c>
      <c r="E202" s="170">
        <v>0</v>
      </c>
      <c r="F202" s="170" t="s">
        <v>1635</v>
      </c>
    </row>
    <row r="203" spans="1:6">
      <c r="A203" s="169" t="s">
        <v>2093</v>
      </c>
      <c r="B203" s="169" t="s">
        <v>2094</v>
      </c>
      <c r="C203" s="169" t="s">
        <v>1634</v>
      </c>
      <c r="D203" s="170">
        <v>6.98</v>
      </c>
      <c r="E203" s="170">
        <v>0</v>
      </c>
      <c r="F203" s="170" t="s">
        <v>2000</v>
      </c>
    </row>
    <row r="204" spans="1:6">
      <c r="A204" s="169" t="s">
        <v>2095</v>
      </c>
      <c r="B204" s="169" t="s">
        <v>2096</v>
      </c>
      <c r="C204" s="169" t="s">
        <v>2097</v>
      </c>
      <c r="D204" s="170">
        <v>16</v>
      </c>
      <c r="E204" s="170">
        <v>0</v>
      </c>
      <c r="F204" s="170" t="s">
        <v>1635</v>
      </c>
    </row>
    <row r="205" spans="1:6">
      <c r="A205" s="169" t="s">
        <v>2098</v>
      </c>
      <c r="B205" s="169" t="s">
        <v>2099</v>
      </c>
      <c r="C205" s="169" t="s">
        <v>2100</v>
      </c>
      <c r="D205" s="170">
        <v>3</v>
      </c>
      <c r="E205" s="170">
        <v>0</v>
      </c>
      <c r="F205" s="170" t="s">
        <v>2000</v>
      </c>
    </row>
    <row r="206" spans="1:6">
      <c r="A206" s="169" t="s">
        <v>2101</v>
      </c>
      <c r="B206" s="169" t="s">
        <v>2102</v>
      </c>
      <c r="C206" s="169" t="s">
        <v>2103</v>
      </c>
      <c r="D206" s="170">
        <v>25</v>
      </c>
      <c r="E206" s="170">
        <v>0</v>
      </c>
      <c r="F206" s="170" t="s">
        <v>1535</v>
      </c>
    </row>
    <row r="207" spans="1:6">
      <c r="A207" s="169" t="s">
        <v>2104</v>
      </c>
      <c r="B207" s="169" t="s">
        <v>2105</v>
      </c>
      <c r="C207" s="169" t="s">
        <v>1720</v>
      </c>
      <c r="D207" s="170">
        <v>624</v>
      </c>
      <c r="E207" s="170">
        <v>-19</v>
      </c>
      <c r="F207" s="170" t="s">
        <v>1535</v>
      </c>
    </row>
    <row r="208" spans="1:6">
      <c r="A208" s="169" t="s">
        <v>2106</v>
      </c>
      <c r="B208" s="169" t="s">
        <v>2107</v>
      </c>
      <c r="C208" s="169" t="s">
        <v>2108</v>
      </c>
      <c r="D208" s="170">
        <v>624</v>
      </c>
      <c r="E208" s="170">
        <v>-19</v>
      </c>
      <c r="F208" s="170" t="s">
        <v>1535</v>
      </c>
    </row>
    <row r="209" spans="1:6">
      <c r="A209" s="169" t="s">
        <v>2109</v>
      </c>
      <c r="B209" s="169" t="s">
        <v>2110</v>
      </c>
      <c r="C209" s="169" t="s">
        <v>2111</v>
      </c>
      <c r="D209" s="170">
        <v>624</v>
      </c>
      <c r="E209" s="170">
        <v>-19</v>
      </c>
      <c r="F209" s="170" t="s">
        <v>1535</v>
      </c>
    </row>
    <row r="210" spans="1:6">
      <c r="A210" s="169" t="s">
        <v>2112</v>
      </c>
      <c r="B210" s="169" t="s">
        <v>2113</v>
      </c>
      <c r="C210" s="169" t="s">
        <v>2114</v>
      </c>
      <c r="D210" s="170">
        <v>624</v>
      </c>
      <c r="E210" s="170">
        <v>-19</v>
      </c>
      <c r="F210" s="170" t="s">
        <v>1535</v>
      </c>
    </row>
    <row r="211" spans="1:6">
      <c r="A211" s="169" t="s">
        <v>2115</v>
      </c>
      <c r="B211" s="169" t="s">
        <v>2116</v>
      </c>
      <c r="C211" s="169" t="s">
        <v>2117</v>
      </c>
      <c r="D211" s="170">
        <v>624</v>
      </c>
      <c r="E211" s="170">
        <v>-19</v>
      </c>
      <c r="F211" s="170" t="s">
        <v>1535</v>
      </c>
    </row>
    <row r="212" spans="1:6">
      <c r="A212" s="169" t="s">
        <v>2118</v>
      </c>
      <c r="B212" s="169" t="s">
        <v>2119</v>
      </c>
      <c r="C212" s="169" t="s">
        <v>1634</v>
      </c>
      <c r="D212" s="170">
        <v>624</v>
      </c>
      <c r="E212" s="170">
        <v>-19</v>
      </c>
      <c r="F212" s="170" t="s">
        <v>1535</v>
      </c>
    </row>
    <row r="213" spans="1:6">
      <c r="A213" s="169" t="s">
        <v>2120</v>
      </c>
      <c r="B213" s="169" t="s">
        <v>2121</v>
      </c>
      <c r="C213" s="169" t="s">
        <v>2122</v>
      </c>
      <c r="D213" s="170">
        <v>250</v>
      </c>
      <c r="E213" s="170">
        <v>150</v>
      </c>
      <c r="F213" s="170" t="s">
        <v>1535</v>
      </c>
    </row>
    <row r="214" spans="1:6">
      <c r="A214" s="169" t="s">
        <v>2123</v>
      </c>
      <c r="B214" s="169" t="s">
        <v>2124</v>
      </c>
      <c r="C214" s="169" t="s">
        <v>2125</v>
      </c>
      <c r="D214" s="170">
        <v>300</v>
      </c>
      <c r="E214" s="170">
        <v>0</v>
      </c>
      <c r="F214" s="170" t="s">
        <v>1535</v>
      </c>
    </row>
    <row r="215" spans="1:6">
      <c r="A215" s="169" t="s">
        <v>2126</v>
      </c>
      <c r="B215" s="169" t="s">
        <v>2127</v>
      </c>
      <c r="C215" s="169" t="s">
        <v>2128</v>
      </c>
      <c r="D215" s="170">
        <v>400</v>
      </c>
      <c r="E215" s="170">
        <v>0</v>
      </c>
      <c r="F215" s="170" t="s">
        <v>1535</v>
      </c>
    </row>
    <row r="216" spans="1:6">
      <c r="A216" s="169" t="s">
        <v>2129</v>
      </c>
      <c r="B216" s="169" t="s">
        <v>2130</v>
      </c>
      <c r="C216" s="169" t="s">
        <v>2131</v>
      </c>
      <c r="D216" s="170">
        <v>100</v>
      </c>
      <c r="E216" s="170">
        <v>0</v>
      </c>
      <c r="F216" s="170" t="s">
        <v>463</v>
      </c>
    </row>
    <row r="217" spans="1:6">
      <c r="A217" s="169" t="s">
        <v>2132</v>
      </c>
      <c r="B217" s="169" t="s">
        <v>2133</v>
      </c>
      <c r="C217" s="169" t="s">
        <v>2134</v>
      </c>
      <c r="D217" s="170">
        <v>100</v>
      </c>
      <c r="E217" s="170">
        <v>0</v>
      </c>
      <c r="F217" s="170" t="s">
        <v>2135</v>
      </c>
    </row>
    <row r="218" spans="1:6">
      <c r="A218" s="169" t="s">
        <v>2136</v>
      </c>
      <c r="B218" s="169" t="s">
        <v>2137</v>
      </c>
      <c r="C218" s="169" t="s">
        <v>2138</v>
      </c>
      <c r="D218" s="170">
        <v>100</v>
      </c>
      <c r="E218" s="170">
        <v>0</v>
      </c>
      <c r="F218" s="170" t="s">
        <v>2135</v>
      </c>
    </row>
    <row r="219" spans="1:6">
      <c r="A219" s="169" t="s">
        <v>2139</v>
      </c>
      <c r="B219" s="169" t="s">
        <v>2140</v>
      </c>
      <c r="C219" s="169" t="s">
        <v>2141</v>
      </c>
      <c r="D219" s="170">
        <v>100</v>
      </c>
      <c r="E219" s="170">
        <v>0</v>
      </c>
      <c r="F219" s="170" t="s">
        <v>2135</v>
      </c>
    </row>
    <row r="220" spans="1:6">
      <c r="A220" s="169" t="s">
        <v>2142</v>
      </c>
      <c r="B220" s="169" t="s">
        <v>2143</v>
      </c>
      <c r="C220" s="169" t="s">
        <v>2144</v>
      </c>
      <c r="D220" s="170">
        <v>125</v>
      </c>
      <c r="E220" s="170">
        <v>0</v>
      </c>
      <c r="F220" s="170" t="s">
        <v>1577</v>
      </c>
    </row>
    <row r="221" spans="1:6">
      <c r="A221" s="169" t="s">
        <v>2145</v>
      </c>
      <c r="B221" s="169" t="s">
        <v>2146</v>
      </c>
      <c r="C221" s="169" t="s">
        <v>1542</v>
      </c>
      <c r="D221" s="170">
        <v>171.4</v>
      </c>
      <c r="E221" s="170">
        <v>0</v>
      </c>
      <c r="F221" s="170" t="s">
        <v>1549</v>
      </c>
    </row>
    <row r="222" spans="1:6">
      <c r="A222" s="169" t="s">
        <v>2147</v>
      </c>
      <c r="B222" s="169" t="s">
        <v>2148</v>
      </c>
      <c r="C222" s="169" t="s">
        <v>1542</v>
      </c>
      <c r="D222" s="170">
        <v>401</v>
      </c>
      <c r="E222" s="170">
        <v>0</v>
      </c>
      <c r="F222" s="170" t="s">
        <v>1549</v>
      </c>
    </row>
    <row r="223" spans="1:6">
      <c r="A223" s="169" t="s">
        <v>2149</v>
      </c>
      <c r="B223" s="169" t="s">
        <v>2150</v>
      </c>
      <c r="C223" s="169" t="s">
        <v>1548</v>
      </c>
      <c r="D223" s="170">
        <v>1812</v>
      </c>
      <c r="E223" s="170">
        <v>0</v>
      </c>
      <c r="F223" s="170" t="s">
        <v>1549</v>
      </c>
    </row>
    <row r="224" spans="1:6">
      <c r="A224" s="169" t="s">
        <v>2151</v>
      </c>
      <c r="B224" s="169" t="s">
        <v>2152</v>
      </c>
      <c r="C224" s="169" t="s">
        <v>1542</v>
      </c>
      <c r="D224" s="170">
        <v>1812</v>
      </c>
      <c r="E224" s="170">
        <v>0</v>
      </c>
      <c r="F224" s="170" t="s">
        <v>1549</v>
      </c>
    </row>
    <row r="225" spans="1:6">
      <c r="A225" s="169" t="s">
        <v>2153</v>
      </c>
      <c r="B225" s="169" t="s">
        <v>2154</v>
      </c>
      <c r="C225" s="169" t="s">
        <v>2155</v>
      </c>
      <c r="D225" s="170">
        <v>100</v>
      </c>
      <c r="E225" s="170">
        <v>0</v>
      </c>
      <c r="F225" s="170" t="s">
        <v>463</v>
      </c>
    </row>
    <row r="226" spans="1:6">
      <c r="A226" s="169" t="s">
        <v>2156</v>
      </c>
      <c r="B226" s="169" t="s">
        <v>2157</v>
      </c>
      <c r="C226" s="169" t="s">
        <v>1881</v>
      </c>
      <c r="D226" s="170">
        <v>171.4</v>
      </c>
      <c r="E226" s="170">
        <v>0</v>
      </c>
      <c r="F226" s="170" t="s">
        <v>1549</v>
      </c>
    </row>
    <row r="227" spans="1:6">
      <c r="A227" s="169" t="s">
        <v>2158</v>
      </c>
      <c r="B227" s="169" t="s">
        <v>2159</v>
      </c>
      <c r="C227" s="169" t="s">
        <v>2160</v>
      </c>
      <c r="D227" s="170">
        <v>313</v>
      </c>
      <c r="E227" s="170">
        <v>0</v>
      </c>
      <c r="F227" s="170" t="s">
        <v>1549</v>
      </c>
    </row>
    <row r="228" spans="1:6">
      <c r="A228" s="169" t="s">
        <v>2161</v>
      </c>
      <c r="B228" s="169" t="s">
        <v>2162</v>
      </c>
      <c r="C228" s="169" t="s">
        <v>2163</v>
      </c>
      <c r="D228" s="170">
        <v>313</v>
      </c>
      <c r="E228" s="170">
        <v>0</v>
      </c>
      <c r="F228" s="170" t="s">
        <v>1549</v>
      </c>
    </row>
    <row r="229" spans="1:6">
      <c r="A229" s="169" t="s">
        <v>2164</v>
      </c>
      <c r="B229" s="169" t="s">
        <v>2165</v>
      </c>
      <c r="C229" s="169" t="s">
        <v>2166</v>
      </c>
      <c r="D229" s="170">
        <v>313</v>
      </c>
      <c r="E229" s="170">
        <v>0</v>
      </c>
      <c r="F229" s="170" t="s">
        <v>1549</v>
      </c>
    </row>
    <row r="230" spans="1:6">
      <c r="A230" s="169" t="s">
        <v>2167</v>
      </c>
      <c r="B230" s="169" t="s">
        <v>2168</v>
      </c>
      <c r="C230" s="169" t="s">
        <v>2169</v>
      </c>
      <c r="D230" s="170">
        <v>313</v>
      </c>
      <c r="E230" s="170">
        <v>0</v>
      </c>
      <c r="F230" s="170" t="s">
        <v>1549</v>
      </c>
    </row>
    <row r="231" spans="1:6">
      <c r="A231" s="169" t="s">
        <v>2170</v>
      </c>
      <c r="B231" s="169" t="s">
        <v>2171</v>
      </c>
      <c r="C231" s="169" t="s">
        <v>2172</v>
      </c>
      <c r="D231" s="170">
        <v>313</v>
      </c>
      <c r="E231" s="170">
        <v>0</v>
      </c>
      <c r="F231" s="170" t="s">
        <v>1549</v>
      </c>
    </row>
    <row r="232" spans="1:6">
      <c r="A232" s="169" t="s">
        <v>2173</v>
      </c>
      <c r="B232" s="169" t="s">
        <v>2174</v>
      </c>
      <c r="C232" s="169" t="s">
        <v>2175</v>
      </c>
      <c r="D232" s="170">
        <v>313</v>
      </c>
      <c r="E232" s="170">
        <v>0</v>
      </c>
      <c r="F232" s="170" t="s">
        <v>1549</v>
      </c>
    </row>
    <row r="233" spans="1:6">
      <c r="A233" s="169" t="s">
        <v>2176</v>
      </c>
      <c r="B233" s="169" t="s">
        <v>2177</v>
      </c>
      <c r="C233" s="169" t="s">
        <v>2178</v>
      </c>
      <c r="D233" s="170">
        <v>313</v>
      </c>
      <c r="E233" s="170">
        <v>0</v>
      </c>
      <c r="F233" s="170" t="s">
        <v>1549</v>
      </c>
    </row>
    <row r="234" spans="1:6">
      <c r="A234" s="169" t="s">
        <v>2179</v>
      </c>
      <c r="B234" s="169" t="s">
        <v>2180</v>
      </c>
      <c r="C234" s="169" t="s">
        <v>2181</v>
      </c>
      <c r="D234" s="170">
        <v>313</v>
      </c>
      <c r="E234" s="170">
        <v>0</v>
      </c>
      <c r="F234" s="170" t="s">
        <v>1549</v>
      </c>
    </row>
    <row r="235" spans="1:6">
      <c r="A235" s="169" t="s">
        <v>2182</v>
      </c>
      <c r="B235" s="169" t="s">
        <v>2183</v>
      </c>
      <c r="C235" s="169" t="s">
        <v>2184</v>
      </c>
      <c r="D235" s="170">
        <v>313</v>
      </c>
      <c r="E235" s="170">
        <v>0</v>
      </c>
      <c r="F235" s="170" t="s">
        <v>1549</v>
      </c>
    </row>
    <row r="236" spans="1:6">
      <c r="A236" s="169" t="s">
        <v>2185</v>
      </c>
      <c r="B236" s="169" t="s">
        <v>2186</v>
      </c>
      <c r="C236" s="169" t="s">
        <v>2187</v>
      </c>
      <c r="D236" s="170">
        <v>313</v>
      </c>
      <c r="E236" s="170">
        <v>0</v>
      </c>
      <c r="F236" s="170" t="s">
        <v>1549</v>
      </c>
    </row>
    <row r="237" spans="1:6">
      <c r="A237" s="169" t="s">
        <v>2188</v>
      </c>
      <c r="B237" s="169" t="s">
        <v>2189</v>
      </c>
      <c r="C237" s="169" t="s">
        <v>2190</v>
      </c>
      <c r="D237" s="170">
        <v>313</v>
      </c>
      <c r="E237" s="170">
        <v>0</v>
      </c>
      <c r="F237" s="170" t="s">
        <v>1549</v>
      </c>
    </row>
    <row r="238" spans="1:6">
      <c r="A238" s="169" t="s">
        <v>2191</v>
      </c>
      <c r="B238" s="169" t="s">
        <v>2192</v>
      </c>
      <c r="C238" s="169" t="s">
        <v>2193</v>
      </c>
      <c r="D238" s="170">
        <v>313</v>
      </c>
      <c r="E238" s="170">
        <v>0</v>
      </c>
      <c r="F238" s="170" t="s">
        <v>1549</v>
      </c>
    </row>
    <row r="239" spans="1:6">
      <c r="A239" s="169" t="s">
        <v>2194</v>
      </c>
      <c r="B239" s="169" t="s">
        <v>2195</v>
      </c>
      <c r="C239" s="169" t="s">
        <v>2196</v>
      </c>
      <c r="D239" s="170">
        <v>313</v>
      </c>
      <c r="E239" s="170">
        <v>0</v>
      </c>
      <c r="F239" s="170" t="s">
        <v>1549</v>
      </c>
    </row>
    <row r="240" spans="1:6">
      <c r="A240" s="169" t="s">
        <v>2197</v>
      </c>
      <c r="B240" s="169" t="s">
        <v>2198</v>
      </c>
      <c r="C240" s="169" t="s">
        <v>2199</v>
      </c>
      <c r="D240" s="170">
        <v>313</v>
      </c>
      <c r="E240" s="170">
        <v>0</v>
      </c>
      <c r="F240" s="170" t="s">
        <v>1549</v>
      </c>
    </row>
    <row r="241" spans="1:6">
      <c r="A241" s="169" t="s">
        <v>2200</v>
      </c>
      <c r="B241" s="169" t="s">
        <v>2201</v>
      </c>
      <c r="C241" s="169" t="s">
        <v>2202</v>
      </c>
      <c r="D241" s="170">
        <v>313</v>
      </c>
      <c r="E241" s="170">
        <v>0</v>
      </c>
      <c r="F241" s="170" t="s">
        <v>1549</v>
      </c>
    </row>
    <row r="242" spans="1:6">
      <c r="A242" s="169" t="s">
        <v>2203</v>
      </c>
      <c r="B242" s="169" t="s">
        <v>2204</v>
      </c>
      <c r="C242" s="169" t="s">
        <v>2205</v>
      </c>
      <c r="D242" s="170">
        <v>313</v>
      </c>
      <c r="E242" s="170">
        <v>0</v>
      </c>
      <c r="F242" s="170" t="s">
        <v>1549</v>
      </c>
    </row>
    <row r="243" spans="1:6">
      <c r="A243" s="169" t="s">
        <v>2206</v>
      </c>
      <c r="B243" s="169" t="s">
        <v>2207</v>
      </c>
      <c r="C243" s="169" t="s">
        <v>2208</v>
      </c>
      <c r="D243" s="170">
        <v>2116</v>
      </c>
      <c r="E243" s="170">
        <v>0</v>
      </c>
      <c r="F243" s="170" t="s">
        <v>2209</v>
      </c>
    </row>
    <row r="244" spans="1:6">
      <c r="A244" s="169" t="s">
        <v>2210</v>
      </c>
      <c r="B244" s="169" t="s">
        <v>2211</v>
      </c>
      <c r="C244" s="169" t="s">
        <v>2212</v>
      </c>
      <c r="D244" s="170">
        <v>7.08</v>
      </c>
      <c r="E244" s="170">
        <v>0</v>
      </c>
      <c r="F244" s="170" t="s">
        <v>1556</v>
      </c>
    </row>
    <row r="245" spans="1:6">
      <c r="A245" s="169" t="s">
        <v>2213</v>
      </c>
      <c r="B245" s="169" t="s">
        <v>2214</v>
      </c>
      <c r="C245" s="169" t="s">
        <v>2215</v>
      </c>
      <c r="D245" s="170">
        <v>2.13</v>
      </c>
      <c r="E245" s="170">
        <v>0</v>
      </c>
      <c r="F245" s="170" t="s">
        <v>1556</v>
      </c>
    </row>
    <row r="246" spans="1:6">
      <c r="A246" s="169" t="s">
        <v>2216</v>
      </c>
      <c r="B246" s="169" t="s">
        <v>2217</v>
      </c>
      <c r="C246" s="169" t="s">
        <v>1969</v>
      </c>
      <c r="D246" s="170">
        <v>1839</v>
      </c>
      <c r="E246" s="170">
        <v>0</v>
      </c>
      <c r="F246" s="170" t="s">
        <v>1549</v>
      </c>
    </row>
    <row r="247" spans="1:6">
      <c r="A247" s="169" t="s">
        <v>2218</v>
      </c>
      <c r="B247" s="169" t="s">
        <v>2219</v>
      </c>
      <c r="C247" s="169" t="s">
        <v>1872</v>
      </c>
      <c r="D247" s="170">
        <v>401</v>
      </c>
      <c r="E247" s="170">
        <v>0</v>
      </c>
      <c r="F247" s="170" t="s">
        <v>1549</v>
      </c>
    </row>
    <row r="248" spans="1:6">
      <c r="A248" s="169" t="s">
        <v>2220</v>
      </c>
      <c r="B248" s="169" t="s">
        <v>2221</v>
      </c>
      <c r="C248" s="169" t="s">
        <v>2222</v>
      </c>
      <c r="D248" s="170">
        <v>100</v>
      </c>
      <c r="E248" s="170">
        <v>0</v>
      </c>
      <c r="F248" s="170" t="s">
        <v>1577</v>
      </c>
    </row>
    <row r="249" spans="1:6">
      <c r="A249" s="169" t="s">
        <v>2223</v>
      </c>
      <c r="B249" s="169" t="s">
        <v>2224</v>
      </c>
      <c r="C249" s="169" t="s">
        <v>2225</v>
      </c>
      <c r="D249" s="170">
        <v>100</v>
      </c>
      <c r="E249" s="170">
        <v>0</v>
      </c>
      <c r="F249" s="170" t="s">
        <v>1577</v>
      </c>
    </row>
    <row r="250" spans="1:6">
      <c r="A250" s="169" t="s">
        <v>2226</v>
      </c>
      <c r="B250" s="169" t="s">
        <v>2227</v>
      </c>
      <c r="C250" s="169" t="s">
        <v>2222</v>
      </c>
      <c r="D250" s="170">
        <v>100</v>
      </c>
      <c r="E250" s="170">
        <v>0</v>
      </c>
      <c r="F250" s="170" t="s">
        <v>1577</v>
      </c>
    </row>
    <row r="251" spans="1:6">
      <c r="A251" s="169" t="s">
        <v>2228</v>
      </c>
      <c r="B251" s="169" t="s">
        <v>2229</v>
      </c>
      <c r="C251" s="169" t="s">
        <v>2222</v>
      </c>
      <c r="D251" s="170">
        <v>100</v>
      </c>
      <c r="E251" s="170">
        <v>0</v>
      </c>
      <c r="F251" s="170" t="s">
        <v>1577</v>
      </c>
    </row>
    <row r="252" spans="1:6">
      <c r="A252" s="169" t="s">
        <v>2230</v>
      </c>
      <c r="B252" s="169" t="s">
        <v>2231</v>
      </c>
      <c r="C252" s="169" t="s">
        <v>2222</v>
      </c>
      <c r="D252" s="170">
        <v>100</v>
      </c>
      <c r="E252" s="170">
        <v>0</v>
      </c>
      <c r="F252" s="170" t="s">
        <v>1577</v>
      </c>
    </row>
    <row r="253" spans="1:6">
      <c r="A253" s="169" t="s">
        <v>2232</v>
      </c>
      <c r="B253" s="169" t="s">
        <v>2233</v>
      </c>
      <c r="C253" s="169" t="s">
        <v>2225</v>
      </c>
      <c r="D253" s="170">
        <v>100</v>
      </c>
      <c r="E253" s="170">
        <v>0</v>
      </c>
      <c r="F253" s="170" t="s">
        <v>1577</v>
      </c>
    </row>
    <row r="254" spans="1:6">
      <c r="A254" s="169" t="s">
        <v>2234</v>
      </c>
      <c r="B254" s="169" t="s">
        <v>2235</v>
      </c>
      <c r="C254" s="169" t="s">
        <v>2225</v>
      </c>
      <c r="D254" s="170">
        <v>100</v>
      </c>
      <c r="E254" s="170">
        <v>0</v>
      </c>
      <c r="F254" s="170" t="s">
        <v>1577</v>
      </c>
    </row>
    <row r="255" spans="1:6">
      <c r="A255" s="169" t="s">
        <v>2236</v>
      </c>
      <c r="B255" s="169" t="s">
        <v>2237</v>
      </c>
      <c r="C255" s="169" t="s">
        <v>2225</v>
      </c>
      <c r="D255" s="170">
        <v>100</v>
      </c>
      <c r="E255" s="170">
        <v>0</v>
      </c>
      <c r="F255" s="170" t="s">
        <v>1577</v>
      </c>
    </row>
    <row r="256" spans="1:6">
      <c r="A256" s="169" t="s">
        <v>2238</v>
      </c>
      <c r="B256" s="169" t="s">
        <v>2239</v>
      </c>
      <c r="C256" s="169" t="s">
        <v>2240</v>
      </c>
      <c r="D256" s="170">
        <v>100</v>
      </c>
      <c r="E256" s="170">
        <v>0</v>
      </c>
      <c r="F256" s="170" t="s">
        <v>2241</v>
      </c>
    </row>
    <row r="257" spans="1:6">
      <c r="A257" s="169" t="s">
        <v>2242</v>
      </c>
      <c r="B257" s="169" t="s">
        <v>2243</v>
      </c>
      <c r="C257" s="169" t="s">
        <v>2244</v>
      </c>
      <c r="D257" s="170">
        <v>127</v>
      </c>
      <c r="E257" s="170">
        <v>-127</v>
      </c>
      <c r="F257" s="170" t="s">
        <v>2245</v>
      </c>
    </row>
    <row r="258" spans="1:6">
      <c r="A258" s="169" t="s">
        <v>2246</v>
      </c>
      <c r="B258" s="169" t="s">
        <v>2247</v>
      </c>
      <c r="C258" s="169" t="s">
        <v>2248</v>
      </c>
      <c r="D258" s="170">
        <v>2504</v>
      </c>
      <c r="E258" s="170">
        <v>0</v>
      </c>
      <c r="F258" s="170" t="s">
        <v>1549</v>
      </c>
    </row>
    <row r="259" spans="1:6">
      <c r="A259" s="169" t="s">
        <v>2249</v>
      </c>
      <c r="B259" s="169" t="s">
        <v>2250</v>
      </c>
      <c r="C259" s="169" t="s">
        <v>2251</v>
      </c>
      <c r="D259" s="170">
        <v>1.5</v>
      </c>
      <c r="E259" s="170">
        <v>0.65</v>
      </c>
      <c r="F259" s="170" t="s">
        <v>2252</v>
      </c>
    </row>
    <row r="260" spans="1:6">
      <c r="A260" s="169" t="s">
        <v>2253</v>
      </c>
      <c r="B260" s="169" t="s">
        <v>2254</v>
      </c>
      <c r="C260" s="169" t="s">
        <v>2255</v>
      </c>
      <c r="D260" s="170">
        <v>3</v>
      </c>
      <c r="E260" s="170">
        <v>0</v>
      </c>
      <c r="F260" s="170" t="s">
        <v>2000</v>
      </c>
    </row>
    <row r="261" spans="1:6">
      <c r="A261" s="169" t="s">
        <v>2256</v>
      </c>
      <c r="B261" s="169" t="s">
        <v>2257</v>
      </c>
      <c r="C261" s="169" t="s">
        <v>2258</v>
      </c>
      <c r="D261" s="170">
        <v>1020</v>
      </c>
      <c r="E261" s="170">
        <v>0</v>
      </c>
      <c r="F261" s="170" t="s">
        <v>1684</v>
      </c>
    </row>
    <row r="262" spans="1:6">
      <c r="A262" s="169" t="s">
        <v>2259</v>
      </c>
      <c r="B262" s="169" t="s">
        <v>2260</v>
      </c>
      <c r="C262" s="169" t="s">
        <v>2261</v>
      </c>
      <c r="D262" s="170">
        <v>100</v>
      </c>
      <c r="E262" s="170">
        <v>0</v>
      </c>
      <c r="F262" s="170" t="s">
        <v>463</v>
      </c>
    </row>
    <row r="263" spans="1:6">
      <c r="A263" s="169" t="s">
        <v>2262</v>
      </c>
      <c r="B263" s="169" t="s">
        <v>2263</v>
      </c>
      <c r="C263" s="169" t="s">
        <v>2264</v>
      </c>
      <c r="D263" s="170">
        <v>100</v>
      </c>
      <c r="E263" s="170">
        <v>0</v>
      </c>
      <c r="F263" s="170" t="s">
        <v>463</v>
      </c>
    </row>
    <row r="264" spans="1:6">
      <c r="A264" s="169" t="s">
        <v>2265</v>
      </c>
      <c r="B264" s="169" t="s">
        <v>2266</v>
      </c>
      <c r="C264" s="169" t="s">
        <v>2267</v>
      </c>
      <c r="D264" s="170">
        <v>624</v>
      </c>
      <c r="E264" s="170">
        <v>-19</v>
      </c>
      <c r="F264" s="170" t="s">
        <v>1535</v>
      </c>
    </row>
    <row r="265" spans="1:6">
      <c r="A265" s="169" t="s">
        <v>2268</v>
      </c>
      <c r="B265" s="169" t="s">
        <v>2269</v>
      </c>
      <c r="C265" s="169" t="s">
        <v>2270</v>
      </c>
      <c r="D265" s="170">
        <v>624</v>
      </c>
      <c r="E265" s="170">
        <v>-19</v>
      </c>
      <c r="F265" s="170" t="s">
        <v>1535</v>
      </c>
    </row>
    <row r="266" spans="1:6">
      <c r="A266" s="169" t="s">
        <v>2271</v>
      </c>
      <c r="B266" s="169" t="s">
        <v>2272</v>
      </c>
      <c r="C266" s="169" t="s">
        <v>2273</v>
      </c>
      <c r="D266" s="170">
        <v>100</v>
      </c>
      <c r="E266" s="170">
        <v>0</v>
      </c>
      <c r="F266" s="170" t="s">
        <v>463</v>
      </c>
    </row>
    <row r="267" spans="1:6">
      <c r="A267" s="169" t="s">
        <v>2274</v>
      </c>
      <c r="B267" s="169" t="s">
        <v>2275</v>
      </c>
      <c r="C267" s="169" t="s">
        <v>2273</v>
      </c>
      <c r="D267" s="170">
        <v>100</v>
      </c>
      <c r="E267" s="170">
        <v>0</v>
      </c>
      <c r="F267" s="170" t="s">
        <v>1577</v>
      </c>
    </row>
    <row r="268" spans="1:6">
      <c r="A268" s="169" t="s">
        <v>2276</v>
      </c>
      <c r="B268" s="169" t="s">
        <v>2277</v>
      </c>
      <c r="C268" s="169" t="s">
        <v>2273</v>
      </c>
      <c r="D268" s="170">
        <v>100</v>
      </c>
      <c r="E268" s="170">
        <v>0</v>
      </c>
      <c r="F268" s="170" t="s">
        <v>1577</v>
      </c>
    </row>
    <row r="269" spans="1:6">
      <c r="A269" s="169" t="s">
        <v>2278</v>
      </c>
      <c r="B269" s="169" t="s">
        <v>2279</v>
      </c>
      <c r="C269" s="169" t="s">
        <v>2273</v>
      </c>
      <c r="D269" s="170">
        <v>100</v>
      </c>
      <c r="E269" s="170">
        <v>0</v>
      </c>
      <c r="F269" s="170" t="s">
        <v>1577</v>
      </c>
    </row>
    <row r="270" spans="1:6">
      <c r="A270" s="169" t="s">
        <v>2280</v>
      </c>
      <c r="B270" s="169" t="s">
        <v>2281</v>
      </c>
      <c r="C270" s="169" t="s">
        <v>2282</v>
      </c>
      <c r="D270" s="170">
        <v>5</v>
      </c>
      <c r="E270" s="170">
        <v>0</v>
      </c>
      <c r="F270" s="170" t="s">
        <v>1549</v>
      </c>
    </row>
    <row r="271" spans="1:6">
      <c r="A271" s="169" t="s">
        <v>2283</v>
      </c>
      <c r="B271" s="169" t="s">
        <v>2284</v>
      </c>
      <c r="C271" s="169" t="s">
        <v>2285</v>
      </c>
      <c r="D271" s="170">
        <v>800</v>
      </c>
      <c r="E271" s="170">
        <v>0</v>
      </c>
      <c r="F271" s="170" t="s">
        <v>2286</v>
      </c>
    </row>
    <row r="272" spans="1:6">
      <c r="A272" s="169" t="s">
        <v>2287</v>
      </c>
      <c r="B272" s="169" t="s">
        <v>2288</v>
      </c>
      <c r="C272" s="169" t="s">
        <v>2289</v>
      </c>
      <c r="D272" s="170">
        <v>16</v>
      </c>
      <c r="E272" s="170">
        <v>0</v>
      </c>
      <c r="F272" s="170" t="s">
        <v>1635</v>
      </c>
    </row>
    <row r="273" spans="1:6">
      <c r="A273" s="169" t="s">
        <v>2290</v>
      </c>
      <c r="B273" s="169" t="s">
        <v>2291</v>
      </c>
      <c r="C273" s="169" t="s">
        <v>2292</v>
      </c>
      <c r="D273" s="170">
        <v>10</v>
      </c>
      <c r="E273" s="170">
        <v>0</v>
      </c>
      <c r="F273" s="170" t="s">
        <v>1635</v>
      </c>
    </row>
    <row r="274" spans="1:6">
      <c r="A274" s="169" t="s">
        <v>2293</v>
      </c>
      <c r="B274" s="169" t="s">
        <v>2294</v>
      </c>
      <c r="C274" s="169" t="s">
        <v>2295</v>
      </c>
      <c r="D274" s="170">
        <v>25</v>
      </c>
      <c r="E274" s="170">
        <v>0</v>
      </c>
      <c r="F274" s="170" t="s">
        <v>2135</v>
      </c>
    </row>
    <row r="275" spans="1:6">
      <c r="A275" s="169" t="s">
        <v>2296</v>
      </c>
      <c r="B275" s="169" t="s">
        <v>2297</v>
      </c>
      <c r="C275" s="169" t="s">
        <v>2298</v>
      </c>
      <c r="D275" s="170">
        <v>2000</v>
      </c>
      <c r="E275" s="170">
        <v>0</v>
      </c>
      <c r="F275" s="170" t="s">
        <v>1932</v>
      </c>
    </row>
    <row r="276" spans="1:6">
      <c r="A276" s="169" t="s">
        <v>2299</v>
      </c>
      <c r="B276" s="169" t="s">
        <v>2300</v>
      </c>
      <c r="C276" s="169" t="s">
        <v>2301</v>
      </c>
      <c r="D276" s="170">
        <v>25</v>
      </c>
      <c r="E276" s="170">
        <v>0</v>
      </c>
      <c r="F276" s="170" t="s">
        <v>2135</v>
      </c>
    </row>
    <row r="277" spans="1:6">
      <c r="A277" s="169" t="s">
        <v>2302</v>
      </c>
      <c r="B277" s="169" t="s">
        <v>2303</v>
      </c>
      <c r="C277" s="169" t="s">
        <v>2304</v>
      </c>
      <c r="D277" s="170">
        <v>2000</v>
      </c>
      <c r="E277" s="170">
        <v>0</v>
      </c>
      <c r="F277" s="170" t="s">
        <v>1932</v>
      </c>
    </row>
    <row r="278" spans="1:6">
      <c r="A278" s="169" t="s">
        <v>2305</v>
      </c>
      <c r="B278" s="169" t="s">
        <v>2306</v>
      </c>
      <c r="C278" s="169" t="s">
        <v>2307</v>
      </c>
      <c r="D278" s="170">
        <v>25</v>
      </c>
      <c r="E278" s="170">
        <v>0</v>
      </c>
      <c r="F278" s="170" t="s">
        <v>2135</v>
      </c>
    </row>
    <row r="279" spans="1:6">
      <c r="A279" s="169" t="s">
        <v>2308</v>
      </c>
      <c r="B279" s="169" t="s">
        <v>2309</v>
      </c>
      <c r="C279" s="169" t="s">
        <v>2310</v>
      </c>
      <c r="D279" s="170">
        <v>2000</v>
      </c>
      <c r="E279" s="170">
        <v>0</v>
      </c>
      <c r="F279" s="170" t="s">
        <v>1932</v>
      </c>
    </row>
    <row r="280" spans="1:6">
      <c r="A280" s="169" t="s">
        <v>2311</v>
      </c>
      <c r="B280" s="169" t="s">
        <v>2312</v>
      </c>
      <c r="C280" s="169" t="s">
        <v>2313</v>
      </c>
      <c r="D280" s="170">
        <v>25</v>
      </c>
      <c r="E280" s="170">
        <v>0</v>
      </c>
      <c r="F280" s="170" t="s">
        <v>2135</v>
      </c>
    </row>
    <row r="281" spans="1:6">
      <c r="A281" s="169" t="s">
        <v>2314</v>
      </c>
      <c r="B281" s="169" t="s">
        <v>2315</v>
      </c>
      <c r="C281" s="169" t="s">
        <v>2316</v>
      </c>
      <c r="D281" s="170">
        <v>2000</v>
      </c>
      <c r="E281" s="170">
        <v>0</v>
      </c>
      <c r="F281" s="170" t="s">
        <v>1932</v>
      </c>
    </row>
    <row r="282" spans="1:6">
      <c r="A282" s="169" t="s">
        <v>2317</v>
      </c>
      <c r="B282" s="169" t="s">
        <v>2318</v>
      </c>
      <c r="C282" s="169" t="s">
        <v>2319</v>
      </c>
      <c r="D282" s="170">
        <v>25</v>
      </c>
      <c r="E282" s="170">
        <v>0</v>
      </c>
      <c r="F282" s="170" t="s">
        <v>2135</v>
      </c>
    </row>
    <row r="283" spans="1:6">
      <c r="A283" s="169" t="s">
        <v>2320</v>
      </c>
      <c r="B283" s="169" t="s">
        <v>2321</v>
      </c>
      <c r="C283" s="169" t="s">
        <v>2322</v>
      </c>
      <c r="D283" s="170">
        <v>2000</v>
      </c>
      <c r="E283" s="170">
        <v>0</v>
      </c>
      <c r="F283" s="170" t="s">
        <v>1932</v>
      </c>
    </row>
    <row r="284" spans="1:6">
      <c r="A284" s="169" t="s">
        <v>2323</v>
      </c>
      <c r="B284" s="169" t="s">
        <v>2324</v>
      </c>
      <c r="C284" s="169" t="s">
        <v>2325</v>
      </c>
      <c r="D284" s="170">
        <v>30</v>
      </c>
      <c r="E284" s="170">
        <v>0</v>
      </c>
      <c r="F284" s="170" t="s">
        <v>1635</v>
      </c>
    </row>
    <row r="285" spans="1:6">
      <c r="A285" s="169" t="s">
        <v>2326</v>
      </c>
      <c r="B285" s="169" t="s">
        <v>2327</v>
      </c>
      <c r="C285" s="169" t="s">
        <v>2328</v>
      </c>
      <c r="D285" s="170">
        <v>30</v>
      </c>
      <c r="E285" s="170">
        <v>0</v>
      </c>
      <c r="F285" s="170" t="s">
        <v>1635</v>
      </c>
    </row>
    <row r="286" spans="1:6">
      <c r="A286" s="169" t="s">
        <v>2329</v>
      </c>
      <c r="B286" s="169" t="s">
        <v>2330</v>
      </c>
      <c r="C286" s="169" t="s">
        <v>2331</v>
      </c>
      <c r="D286" s="170">
        <v>30</v>
      </c>
      <c r="E286" s="170">
        <v>0</v>
      </c>
      <c r="F286" s="170" t="s">
        <v>1635</v>
      </c>
    </row>
    <row r="287" spans="1:6">
      <c r="A287" s="169" t="s">
        <v>2332</v>
      </c>
      <c r="B287" s="169" t="s">
        <v>2333</v>
      </c>
      <c r="C287" s="169" t="s">
        <v>2334</v>
      </c>
      <c r="D287" s="170">
        <v>30</v>
      </c>
      <c r="E287" s="170">
        <v>0</v>
      </c>
      <c r="F287" s="170" t="s">
        <v>1635</v>
      </c>
    </row>
    <row r="288" spans="1:6">
      <c r="A288" s="169" t="s">
        <v>2335</v>
      </c>
      <c r="B288" s="169" t="s">
        <v>2336</v>
      </c>
      <c r="C288" s="169" t="s">
        <v>2337</v>
      </c>
      <c r="D288" s="170">
        <v>30</v>
      </c>
      <c r="E288" s="170">
        <v>0</v>
      </c>
      <c r="F288" s="170" t="s">
        <v>1635</v>
      </c>
    </row>
    <row r="289" spans="1:6">
      <c r="A289" s="169" t="s">
        <v>2338</v>
      </c>
      <c r="B289" s="169" t="s">
        <v>2339</v>
      </c>
      <c r="C289" s="169" t="s">
        <v>2340</v>
      </c>
      <c r="D289" s="170">
        <v>30</v>
      </c>
      <c r="E289" s="170">
        <v>0</v>
      </c>
      <c r="F289" s="170" t="s">
        <v>1635</v>
      </c>
    </row>
    <row r="290" spans="1:6">
      <c r="A290" s="169" t="s">
        <v>2341</v>
      </c>
      <c r="B290" s="169" t="s">
        <v>2342</v>
      </c>
      <c r="C290" s="169" t="s">
        <v>2343</v>
      </c>
      <c r="D290" s="170">
        <v>30</v>
      </c>
      <c r="E290" s="170">
        <v>0</v>
      </c>
      <c r="F290" s="170" t="s">
        <v>1635</v>
      </c>
    </row>
    <row r="291" spans="1:6">
      <c r="A291" s="169" t="s">
        <v>2344</v>
      </c>
      <c r="B291" s="169" t="s">
        <v>2345</v>
      </c>
      <c r="C291" s="169" t="s">
        <v>2346</v>
      </c>
      <c r="D291" s="170">
        <v>30</v>
      </c>
      <c r="E291" s="170">
        <v>0</v>
      </c>
      <c r="F291" s="170" t="s">
        <v>1635</v>
      </c>
    </row>
    <row r="292" spans="1:6">
      <c r="A292" s="169" t="s">
        <v>2347</v>
      </c>
      <c r="B292" s="169" t="s">
        <v>2348</v>
      </c>
      <c r="C292" s="169" t="s">
        <v>2349</v>
      </c>
      <c r="D292" s="170">
        <v>400</v>
      </c>
      <c r="E292" s="170">
        <v>0</v>
      </c>
      <c r="F292" s="170" t="s">
        <v>1535</v>
      </c>
    </row>
    <row r="293" spans="1:6">
      <c r="A293" s="169" t="s">
        <v>2350</v>
      </c>
      <c r="B293" s="169" t="s">
        <v>2351</v>
      </c>
      <c r="C293" s="169" t="s">
        <v>2352</v>
      </c>
      <c r="D293" s="170">
        <v>400</v>
      </c>
      <c r="E293" s="170">
        <v>0</v>
      </c>
      <c r="F293" s="170" t="s">
        <v>1535</v>
      </c>
    </row>
    <row r="294" spans="1:6">
      <c r="A294" s="169" t="s">
        <v>2353</v>
      </c>
      <c r="B294" s="169" t="s">
        <v>2354</v>
      </c>
      <c r="C294" s="169" t="s">
        <v>2355</v>
      </c>
      <c r="D294" s="170">
        <v>400</v>
      </c>
      <c r="E294" s="170">
        <v>0</v>
      </c>
      <c r="F294" s="170" t="s">
        <v>1535</v>
      </c>
    </row>
    <row r="295" spans="1:6">
      <c r="A295" s="169" t="s">
        <v>2356</v>
      </c>
      <c r="B295" s="169" t="s">
        <v>2357</v>
      </c>
      <c r="C295" s="169" t="s">
        <v>2358</v>
      </c>
      <c r="D295" s="170">
        <v>400</v>
      </c>
      <c r="E295" s="170">
        <v>0</v>
      </c>
      <c r="F295" s="170" t="s">
        <v>1535</v>
      </c>
    </row>
    <row r="296" spans="1:6">
      <c r="A296" s="169" t="s">
        <v>2359</v>
      </c>
      <c r="B296" s="169" t="s">
        <v>2360</v>
      </c>
      <c r="C296" s="169" t="s">
        <v>2361</v>
      </c>
      <c r="D296" s="170">
        <v>400</v>
      </c>
      <c r="E296" s="170">
        <v>0</v>
      </c>
      <c r="F296" s="170" t="s">
        <v>1535</v>
      </c>
    </row>
    <row r="297" spans="1:6">
      <c r="A297" s="169" t="s">
        <v>2362</v>
      </c>
      <c r="B297" s="169" t="s">
        <v>2363</v>
      </c>
      <c r="C297" s="169" t="s">
        <v>2364</v>
      </c>
      <c r="D297" s="170">
        <v>400</v>
      </c>
      <c r="E297" s="170">
        <v>0</v>
      </c>
      <c r="F297" s="170" t="s">
        <v>1535</v>
      </c>
    </row>
    <row r="298" spans="1:6">
      <c r="A298" s="169" t="s">
        <v>2365</v>
      </c>
      <c r="B298" s="169" t="s">
        <v>2366</v>
      </c>
      <c r="C298" s="169" t="s">
        <v>2367</v>
      </c>
      <c r="D298" s="170">
        <v>400</v>
      </c>
      <c r="E298" s="170">
        <v>0</v>
      </c>
      <c r="F298" s="170" t="s">
        <v>1535</v>
      </c>
    </row>
    <row r="299" spans="1:6">
      <c r="A299" s="169" t="s">
        <v>2368</v>
      </c>
      <c r="B299" s="169" t="s">
        <v>2369</v>
      </c>
      <c r="C299" s="169" t="s">
        <v>2370</v>
      </c>
      <c r="D299" s="170">
        <v>400</v>
      </c>
      <c r="E299" s="170">
        <v>0</v>
      </c>
      <c r="F299" s="170" t="s">
        <v>1535</v>
      </c>
    </row>
    <row r="300" spans="1:6">
      <c r="A300" s="169" t="s">
        <v>2371</v>
      </c>
      <c r="B300" s="169" t="s">
        <v>2372</v>
      </c>
      <c r="C300" s="169" t="s">
        <v>2373</v>
      </c>
      <c r="D300" s="170">
        <v>750</v>
      </c>
      <c r="E300" s="170">
        <v>0</v>
      </c>
      <c r="F300" s="170" t="s">
        <v>1535</v>
      </c>
    </row>
    <row r="301" spans="1:6">
      <c r="A301" s="169" t="s">
        <v>2374</v>
      </c>
      <c r="B301" s="169" t="s">
        <v>2375</v>
      </c>
      <c r="C301" s="169" t="s">
        <v>2373</v>
      </c>
      <c r="D301" s="170">
        <v>750</v>
      </c>
      <c r="E301" s="170">
        <v>0</v>
      </c>
      <c r="F301" s="170" t="s">
        <v>1535</v>
      </c>
    </row>
    <row r="302" spans="1:6">
      <c r="A302" s="169" t="s">
        <v>2376</v>
      </c>
      <c r="B302" s="169" t="s">
        <v>2377</v>
      </c>
      <c r="C302" s="169" t="s">
        <v>2378</v>
      </c>
      <c r="D302" s="170">
        <v>750</v>
      </c>
      <c r="E302" s="170">
        <v>0</v>
      </c>
      <c r="F302" s="170" t="s">
        <v>1535</v>
      </c>
    </row>
    <row r="303" spans="1:6">
      <c r="A303" s="169" t="s">
        <v>2379</v>
      </c>
      <c r="B303" s="169" t="s">
        <v>2380</v>
      </c>
      <c r="C303" s="169" t="s">
        <v>2378</v>
      </c>
      <c r="D303" s="170">
        <v>750</v>
      </c>
      <c r="E303" s="170">
        <v>0</v>
      </c>
      <c r="F303" s="170" t="s">
        <v>1535</v>
      </c>
    </row>
    <row r="304" spans="1:6">
      <c r="A304" s="169" t="s">
        <v>2381</v>
      </c>
      <c r="B304" s="169" t="s">
        <v>2382</v>
      </c>
      <c r="C304" s="169" t="s">
        <v>2383</v>
      </c>
      <c r="D304" s="170">
        <v>1200</v>
      </c>
      <c r="E304" s="170">
        <v>0</v>
      </c>
      <c r="F304" s="170" t="s">
        <v>1535</v>
      </c>
    </row>
    <row r="305" spans="1:6">
      <c r="A305" s="169" t="s">
        <v>2384</v>
      </c>
      <c r="B305" s="169" t="s">
        <v>2385</v>
      </c>
      <c r="C305" s="169" t="s">
        <v>2386</v>
      </c>
      <c r="D305" s="170">
        <v>1200</v>
      </c>
      <c r="E305" s="170">
        <v>0</v>
      </c>
      <c r="F305" s="170" t="s">
        <v>1535</v>
      </c>
    </row>
    <row r="306" spans="1:6">
      <c r="A306" s="169" t="s">
        <v>2387</v>
      </c>
      <c r="B306" s="169" t="s">
        <v>2388</v>
      </c>
      <c r="C306" s="169" t="s">
        <v>2389</v>
      </c>
      <c r="D306" s="170">
        <v>1200</v>
      </c>
      <c r="E306" s="170">
        <v>0</v>
      </c>
      <c r="F306" s="170" t="s">
        <v>1535</v>
      </c>
    </row>
    <row r="307" spans="1:6">
      <c r="A307" s="169" t="s">
        <v>2390</v>
      </c>
      <c r="B307" s="169" t="s">
        <v>2391</v>
      </c>
      <c r="C307" s="169" t="s">
        <v>2392</v>
      </c>
      <c r="D307" s="170">
        <v>1200</v>
      </c>
      <c r="E307" s="170">
        <v>0</v>
      </c>
      <c r="F307" s="170" t="s">
        <v>1535</v>
      </c>
    </row>
    <row r="308" spans="1:6">
      <c r="A308" s="169" t="s">
        <v>2393</v>
      </c>
      <c r="B308" s="169" t="s">
        <v>2394</v>
      </c>
      <c r="C308" s="169" t="s">
        <v>2395</v>
      </c>
      <c r="D308" s="170">
        <v>1200</v>
      </c>
      <c r="E308" s="170">
        <v>0</v>
      </c>
      <c r="F308" s="170" t="s">
        <v>1535</v>
      </c>
    </row>
    <row r="309" spans="1:6">
      <c r="A309" s="169" t="s">
        <v>2396</v>
      </c>
      <c r="B309" s="169" t="s">
        <v>2397</v>
      </c>
      <c r="C309" s="169" t="s">
        <v>2398</v>
      </c>
      <c r="D309" s="170">
        <v>750</v>
      </c>
      <c r="E309" s="170">
        <v>0</v>
      </c>
      <c r="F309" s="170" t="s">
        <v>1535</v>
      </c>
    </row>
    <row r="310" spans="1:6">
      <c r="A310" s="169" t="s">
        <v>2399</v>
      </c>
      <c r="B310" s="169" t="s">
        <v>2400</v>
      </c>
      <c r="C310" s="169" t="s">
        <v>2401</v>
      </c>
      <c r="D310" s="170">
        <v>750</v>
      </c>
      <c r="E310" s="170">
        <v>0</v>
      </c>
      <c r="F310" s="170" t="s">
        <v>1535</v>
      </c>
    </row>
    <row r="311" spans="1:6">
      <c r="A311" s="169" t="s">
        <v>2402</v>
      </c>
      <c r="B311" s="169" t="s">
        <v>2403</v>
      </c>
      <c r="C311" s="169" t="s">
        <v>2404</v>
      </c>
      <c r="D311" s="170">
        <v>650</v>
      </c>
      <c r="E311" s="170">
        <v>0</v>
      </c>
      <c r="F311" s="170" t="s">
        <v>1535</v>
      </c>
    </row>
    <row r="312" spans="1:6">
      <c r="A312" s="169" t="s">
        <v>2405</v>
      </c>
      <c r="B312" s="169" t="s">
        <v>1785</v>
      </c>
      <c r="C312" s="169" t="s">
        <v>2406</v>
      </c>
      <c r="D312" s="170">
        <v>650</v>
      </c>
      <c r="E312" s="170">
        <v>0</v>
      </c>
      <c r="F312" s="170" t="s">
        <v>1535</v>
      </c>
    </row>
    <row r="313" spans="1:6">
      <c r="A313" s="169" t="s">
        <v>2407</v>
      </c>
      <c r="B313" s="169" t="s">
        <v>1791</v>
      </c>
      <c r="C313" s="169" t="s">
        <v>2408</v>
      </c>
      <c r="D313" s="170">
        <v>650</v>
      </c>
      <c r="E313" s="170">
        <v>0</v>
      </c>
      <c r="F313" s="170" t="s">
        <v>1535</v>
      </c>
    </row>
    <row r="314" spans="1:6">
      <c r="A314" s="169" t="s">
        <v>2409</v>
      </c>
      <c r="B314" s="169" t="s">
        <v>1800</v>
      </c>
      <c r="C314" s="169" t="s">
        <v>2410</v>
      </c>
      <c r="D314" s="170">
        <v>650</v>
      </c>
      <c r="E314" s="170">
        <v>0</v>
      </c>
      <c r="F314" s="170" t="s">
        <v>1535</v>
      </c>
    </row>
    <row r="315" spans="1:6">
      <c r="A315" s="169" t="s">
        <v>2411</v>
      </c>
      <c r="B315" s="169" t="s">
        <v>1803</v>
      </c>
      <c r="C315" s="169" t="s">
        <v>2412</v>
      </c>
      <c r="D315" s="170">
        <v>650</v>
      </c>
      <c r="E315" s="170">
        <v>0</v>
      </c>
      <c r="F315" s="170" t="s">
        <v>1535</v>
      </c>
    </row>
    <row r="316" spans="1:6">
      <c r="A316" s="169" t="s">
        <v>2413</v>
      </c>
      <c r="B316" s="169" t="s">
        <v>2414</v>
      </c>
      <c r="C316" s="169" t="s">
        <v>2415</v>
      </c>
      <c r="D316" s="170">
        <v>650</v>
      </c>
      <c r="E316" s="170">
        <v>0</v>
      </c>
      <c r="F316" s="170" t="s">
        <v>1535</v>
      </c>
    </row>
    <row r="317" spans="1:6">
      <c r="A317" s="169" t="s">
        <v>2416</v>
      </c>
      <c r="B317" s="169" t="s">
        <v>2417</v>
      </c>
      <c r="C317" s="169" t="s">
        <v>2418</v>
      </c>
      <c r="D317" s="170">
        <v>650</v>
      </c>
      <c r="E317" s="170">
        <v>0</v>
      </c>
      <c r="F317" s="170" t="s">
        <v>1535</v>
      </c>
    </row>
    <row r="318" spans="1:6">
      <c r="A318" s="169" t="s">
        <v>2419</v>
      </c>
      <c r="B318" s="169" t="s">
        <v>2420</v>
      </c>
      <c r="C318" s="169" t="s">
        <v>2421</v>
      </c>
      <c r="D318" s="170">
        <v>650</v>
      </c>
      <c r="E318" s="170">
        <v>0</v>
      </c>
      <c r="F318" s="170" t="s">
        <v>1535</v>
      </c>
    </row>
    <row r="319" spans="1:6">
      <c r="A319" s="169" t="s">
        <v>2422</v>
      </c>
      <c r="B319" s="169" t="s">
        <v>2423</v>
      </c>
      <c r="C319" s="169" t="s">
        <v>2424</v>
      </c>
      <c r="D319" s="170">
        <v>650</v>
      </c>
      <c r="E319" s="170">
        <v>0</v>
      </c>
      <c r="F319" s="170" t="s">
        <v>1535</v>
      </c>
    </row>
    <row r="320" spans="1:6">
      <c r="A320" s="169" t="s">
        <v>2425</v>
      </c>
      <c r="B320" s="169" t="s">
        <v>2426</v>
      </c>
      <c r="C320" s="169" t="s">
        <v>2427</v>
      </c>
      <c r="D320" s="170">
        <v>650</v>
      </c>
      <c r="E320" s="170">
        <v>0</v>
      </c>
      <c r="F320" s="170" t="s">
        <v>1535</v>
      </c>
    </row>
    <row r="321" spans="1:6">
      <c r="A321" s="169" t="s">
        <v>2428</v>
      </c>
      <c r="B321" s="169" t="s">
        <v>2429</v>
      </c>
      <c r="C321" s="169" t="s">
        <v>2430</v>
      </c>
      <c r="D321" s="170">
        <v>650</v>
      </c>
      <c r="E321" s="170">
        <v>0</v>
      </c>
      <c r="F321" s="170" t="s">
        <v>1535</v>
      </c>
    </row>
    <row r="322" spans="1:6">
      <c r="A322" s="169" t="s">
        <v>2431</v>
      </c>
      <c r="B322" s="169" t="s">
        <v>2432</v>
      </c>
      <c r="C322" s="169" t="s">
        <v>2433</v>
      </c>
      <c r="D322" s="170">
        <v>650</v>
      </c>
      <c r="E322" s="170">
        <v>0</v>
      </c>
      <c r="F322" s="170" t="s">
        <v>1535</v>
      </c>
    </row>
    <row r="323" spans="1:6">
      <c r="A323" s="169" t="s">
        <v>2434</v>
      </c>
      <c r="B323" s="169" t="s">
        <v>2435</v>
      </c>
      <c r="C323" s="169" t="s">
        <v>2080</v>
      </c>
      <c r="D323" s="170">
        <v>400</v>
      </c>
      <c r="E323" s="170">
        <v>0</v>
      </c>
      <c r="F323" s="170" t="s">
        <v>1535</v>
      </c>
    </row>
    <row r="324" spans="1:6">
      <c r="A324" s="169" t="s">
        <v>2436</v>
      </c>
      <c r="B324" s="169" t="s">
        <v>2437</v>
      </c>
      <c r="C324" s="169" t="s">
        <v>2406</v>
      </c>
      <c r="D324" s="170">
        <v>650</v>
      </c>
      <c r="E324" s="170">
        <v>0</v>
      </c>
      <c r="F324" s="170" t="s">
        <v>1535</v>
      </c>
    </row>
    <row r="325" spans="1:6">
      <c r="A325" s="169" t="s">
        <v>2438</v>
      </c>
      <c r="B325" s="169" t="s">
        <v>2439</v>
      </c>
      <c r="C325" s="169" t="s">
        <v>2410</v>
      </c>
      <c r="D325" s="170">
        <v>650</v>
      </c>
      <c r="E325" s="170">
        <v>0</v>
      </c>
      <c r="F325" s="170" t="s">
        <v>1535</v>
      </c>
    </row>
    <row r="326" spans="1:6">
      <c r="A326" s="169" t="s">
        <v>2440</v>
      </c>
      <c r="B326" s="169" t="s">
        <v>2441</v>
      </c>
      <c r="C326" s="169" t="s">
        <v>2442</v>
      </c>
      <c r="D326" s="170">
        <v>650</v>
      </c>
      <c r="E326" s="170">
        <v>0</v>
      </c>
      <c r="F326" s="170" t="s">
        <v>1535</v>
      </c>
    </row>
    <row r="327" spans="1:6">
      <c r="A327" s="169" t="s">
        <v>2443</v>
      </c>
      <c r="B327" s="169" t="s">
        <v>2444</v>
      </c>
      <c r="C327" s="169" t="s">
        <v>2408</v>
      </c>
      <c r="D327" s="170">
        <v>650</v>
      </c>
      <c r="E327" s="170">
        <v>0</v>
      </c>
      <c r="F327" s="170" t="s">
        <v>1535</v>
      </c>
    </row>
    <row r="328" spans="1:6">
      <c r="A328" s="169" t="s">
        <v>2445</v>
      </c>
      <c r="B328" s="169" t="s">
        <v>2446</v>
      </c>
      <c r="C328" s="169" t="s">
        <v>2447</v>
      </c>
      <c r="D328" s="170">
        <v>75</v>
      </c>
      <c r="E328" s="170">
        <v>0</v>
      </c>
      <c r="F328" s="170" t="s">
        <v>1549</v>
      </c>
    </row>
    <row r="329" spans="1:6">
      <c r="A329" s="169" t="s">
        <v>2448</v>
      </c>
      <c r="B329" s="169" t="s">
        <v>2449</v>
      </c>
      <c r="C329" s="169" t="s">
        <v>2450</v>
      </c>
      <c r="D329" s="170">
        <v>100</v>
      </c>
      <c r="E329" s="170">
        <v>0</v>
      </c>
      <c r="F329" s="170" t="s">
        <v>463</v>
      </c>
    </row>
    <row r="330" spans="1:6">
      <c r="A330" s="169" t="s">
        <v>2451</v>
      </c>
      <c r="B330" s="169" t="s">
        <v>2452</v>
      </c>
      <c r="C330" s="169" t="s">
        <v>2453</v>
      </c>
      <c r="D330" s="170">
        <v>100</v>
      </c>
      <c r="E330" s="170">
        <v>0</v>
      </c>
      <c r="F330" s="170" t="s">
        <v>463</v>
      </c>
    </row>
    <row r="331" spans="1:6">
      <c r="A331" s="169" t="s">
        <v>2454</v>
      </c>
      <c r="B331" s="169" t="s">
        <v>2455</v>
      </c>
      <c r="C331" s="169" t="s">
        <v>2456</v>
      </c>
      <c r="D331" s="170">
        <v>183.2</v>
      </c>
      <c r="E331" s="170">
        <v>0</v>
      </c>
      <c r="F331" s="170" t="s">
        <v>463</v>
      </c>
    </row>
    <row r="332" spans="1:6">
      <c r="A332" s="169" t="s">
        <v>2457</v>
      </c>
      <c r="B332" s="169" t="s">
        <v>2458</v>
      </c>
      <c r="C332" s="169" t="s">
        <v>2459</v>
      </c>
      <c r="D332" s="170">
        <v>100</v>
      </c>
      <c r="E332" s="170">
        <v>0</v>
      </c>
      <c r="F332" s="170" t="s">
        <v>1577</v>
      </c>
    </row>
    <row r="333" spans="1:6">
      <c r="A333" s="169" t="s">
        <v>2460</v>
      </c>
      <c r="B333" s="169" t="s">
        <v>2461</v>
      </c>
      <c r="C333" s="169" t="s">
        <v>2453</v>
      </c>
      <c r="D333" s="170">
        <v>100</v>
      </c>
      <c r="E333" s="170">
        <v>0</v>
      </c>
      <c r="F333" s="170" t="s">
        <v>1577</v>
      </c>
    </row>
    <row r="334" spans="1:6">
      <c r="A334" s="169" t="s">
        <v>2462</v>
      </c>
      <c r="B334" s="169" t="s">
        <v>2463</v>
      </c>
      <c r="C334" s="169" t="s">
        <v>2453</v>
      </c>
      <c r="D334" s="170">
        <v>100</v>
      </c>
      <c r="E334" s="170">
        <v>0</v>
      </c>
      <c r="F334" s="170" t="s">
        <v>1577</v>
      </c>
    </row>
    <row r="335" spans="1:6">
      <c r="A335" s="169" t="s">
        <v>2464</v>
      </c>
      <c r="B335" s="169" t="s">
        <v>2465</v>
      </c>
      <c r="C335" s="169" t="s">
        <v>2453</v>
      </c>
      <c r="D335" s="170">
        <v>100</v>
      </c>
      <c r="E335" s="170">
        <v>0</v>
      </c>
      <c r="F335" s="170" t="s">
        <v>1577</v>
      </c>
    </row>
    <row r="336" spans="1:6">
      <c r="A336" s="169" t="s">
        <v>2466</v>
      </c>
      <c r="B336" s="169" t="s">
        <v>2467</v>
      </c>
      <c r="C336" s="169" t="s">
        <v>2468</v>
      </c>
      <c r="D336" s="170">
        <v>183.2</v>
      </c>
      <c r="E336" s="170">
        <v>0</v>
      </c>
      <c r="F336" s="170" t="s">
        <v>463</v>
      </c>
    </row>
    <row r="337" spans="1:6">
      <c r="A337" s="169" t="s">
        <v>2469</v>
      </c>
      <c r="B337" s="169" t="s">
        <v>2470</v>
      </c>
      <c r="C337" s="169" t="s">
        <v>2471</v>
      </c>
      <c r="D337" s="170">
        <v>183.2</v>
      </c>
      <c r="E337" s="170">
        <v>0</v>
      </c>
      <c r="F337" s="170" t="s">
        <v>1577</v>
      </c>
    </row>
    <row r="338" spans="1:6">
      <c r="A338" s="169" t="s">
        <v>2472</v>
      </c>
      <c r="B338" s="169" t="s">
        <v>2473</v>
      </c>
      <c r="C338" s="169" t="s">
        <v>2471</v>
      </c>
      <c r="D338" s="170">
        <v>183.2</v>
      </c>
      <c r="E338" s="170">
        <v>0</v>
      </c>
      <c r="F338" s="170" t="s">
        <v>1577</v>
      </c>
    </row>
    <row r="339" spans="1:6">
      <c r="A339" s="169" t="s">
        <v>2474</v>
      </c>
      <c r="B339" s="169" t="s">
        <v>2475</v>
      </c>
      <c r="C339" s="169" t="s">
        <v>2471</v>
      </c>
      <c r="D339" s="170">
        <v>183.2</v>
      </c>
      <c r="E339" s="170">
        <v>0</v>
      </c>
      <c r="F339" s="170" t="s">
        <v>1577</v>
      </c>
    </row>
    <row r="340" spans="1:6">
      <c r="A340" s="169" t="s">
        <v>2476</v>
      </c>
      <c r="B340" s="169" t="s">
        <v>2477</v>
      </c>
      <c r="C340" s="169" t="s">
        <v>2478</v>
      </c>
      <c r="D340" s="170">
        <v>100</v>
      </c>
      <c r="E340" s="170">
        <v>0</v>
      </c>
      <c r="F340" s="170" t="s">
        <v>1577</v>
      </c>
    </row>
    <row r="341" spans="1:6">
      <c r="A341" s="169" t="s">
        <v>2479</v>
      </c>
      <c r="B341" s="169" t="s">
        <v>2480</v>
      </c>
      <c r="C341" s="169" t="s">
        <v>2481</v>
      </c>
      <c r="D341" s="170">
        <v>100</v>
      </c>
      <c r="E341" s="170">
        <v>0</v>
      </c>
      <c r="F341" s="170" t="s">
        <v>1577</v>
      </c>
    </row>
    <row r="342" spans="1:6">
      <c r="A342" s="169" t="s">
        <v>2482</v>
      </c>
      <c r="B342" s="169" t="s">
        <v>2483</v>
      </c>
      <c r="C342" s="169" t="s">
        <v>2484</v>
      </c>
      <c r="D342" s="170">
        <v>100</v>
      </c>
      <c r="E342" s="170">
        <v>0</v>
      </c>
      <c r="F342" s="170" t="s">
        <v>1577</v>
      </c>
    </row>
    <row r="343" spans="1:6">
      <c r="A343" s="169" t="s">
        <v>2485</v>
      </c>
      <c r="B343" s="169" t="s">
        <v>2486</v>
      </c>
      <c r="C343" s="169" t="s">
        <v>2487</v>
      </c>
      <c r="D343" s="170">
        <v>100</v>
      </c>
      <c r="E343" s="170">
        <v>0</v>
      </c>
      <c r="F343" s="170" t="s">
        <v>1577</v>
      </c>
    </row>
    <row r="344" spans="1:6">
      <c r="A344" s="169" t="s">
        <v>2488</v>
      </c>
      <c r="B344" s="169" t="s">
        <v>2489</v>
      </c>
      <c r="C344" s="169" t="s">
        <v>2487</v>
      </c>
      <c r="D344" s="170">
        <v>100</v>
      </c>
      <c r="E344" s="170">
        <v>0</v>
      </c>
      <c r="F344" s="170" t="s">
        <v>1577</v>
      </c>
    </row>
    <row r="345" spans="1:6">
      <c r="A345" s="169" t="s">
        <v>2490</v>
      </c>
      <c r="B345" s="169" t="s">
        <v>2491</v>
      </c>
      <c r="C345" s="169" t="s">
        <v>2487</v>
      </c>
      <c r="D345" s="170">
        <v>100</v>
      </c>
      <c r="E345" s="170">
        <v>0</v>
      </c>
      <c r="F345" s="170" t="s">
        <v>1577</v>
      </c>
    </row>
    <row r="346" spans="1:6">
      <c r="A346" s="169" t="s">
        <v>2492</v>
      </c>
      <c r="B346" s="169" t="s">
        <v>2493</v>
      </c>
      <c r="C346" s="169" t="s">
        <v>2494</v>
      </c>
      <c r="D346" s="170">
        <v>100</v>
      </c>
      <c r="E346" s="170">
        <v>0</v>
      </c>
      <c r="F346" s="170" t="s">
        <v>1577</v>
      </c>
    </row>
    <row r="347" spans="1:6">
      <c r="A347" s="169" t="s">
        <v>2495</v>
      </c>
      <c r="B347" s="169" t="s">
        <v>2496</v>
      </c>
      <c r="C347" s="169" t="s">
        <v>2497</v>
      </c>
      <c r="D347" s="170">
        <v>10</v>
      </c>
      <c r="E347" s="170">
        <v>0</v>
      </c>
      <c r="F347" s="170" t="s">
        <v>2000</v>
      </c>
    </row>
    <row r="348" spans="1:6">
      <c r="A348" s="169" t="s">
        <v>2498</v>
      </c>
      <c r="B348" s="169" t="s">
        <v>2499</v>
      </c>
      <c r="C348" s="169" t="s">
        <v>2500</v>
      </c>
      <c r="D348" s="170">
        <v>10</v>
      </c>
      <c r="E348" s="170">
        <v>0</v>
      </c>
      <c r="F348" s="170" t="s">
        <v>2000</v>
      </c>
    </row>
    <row r="349" spans="1:6">
      <c r="A349" s="169" t="s">
        <v>2501</v>
      </c>
      <c r="B349" s="169" t="s">
        <v>2502</v>
      </c>
      <c r="C349" s="169" t="s">
        <v>2503</v>
      </c>
      <c r="D349" s="170">
        <v>1</v>
      </c>
      <c r="E349" s="170">
        <v>0</v>
      </c>
      <c r="F349" s="170" t="s">
        <v>2000</v>
      </c>
    </row>
    <row r="350" spans="1:6">
      <c r="A350" s="169" t="s">
        <v>2504</v>
      </c>
      <c r="B350" s="169" t="s">
        <v>2505</v>
      </c>
      <c r="C350" s="169" t="s">
        <v>2506</v>
      </c>
      <c r="D350" s="170">
        <v>1</v>
      </c>
      <c r="E350" s="170">
        <v>0</v>
      </c>
      <c r="F350" s="170" t="s">
        <v>2000</v>
      </c>
    </row>
    <row r="351" spans="1:6">
      <c r="A351" s="169" t="s">
        <v>2507</v>
      </c>
      <c r="B351" s="169" t="s">
        <v>2508</v>
      </c>
      <c r="C351" s="169" t="s">
        <v>2509</v>
      </c>
      <c r="D351" s="170">
        <v>10</v>
      </c>
      <c r="E351" s="170">
        <v>0</v>
      </c>
      <c r="F351" s="170" t="s">
        <v>2000</v>
      </c>
    </row>
    <row r="352" spans="1:6">
      <c r="A352" s="169" t="s">
        <v>2510</v>
      </c>
      <c r="B352" s="169" t="s">
        <v>2511</v>
      </c>
      <c r="C352" s="169" t="s">
        <v>2497</v>
      </c>
      <c r="D352" s="170">
        <v>10</v>
      </c>
      <c r="E352" s="170">
        <v>0</v>
      </c>
      <c r="F352" s="170" t="s">
        <v>2000</v>
      </c>
    </row>
    <row r="353" spans="1:6">
      <c r="A353" s="169" t="s">
        <v>2512</v>
      </c>
      <c r="B353" s="169" t="s">
        <v>2513</v>
      </c>
      <c r="C353" s="169" t="s">
        <v>2514</v>
      </c>
      <c r="D353" s="170">
        <v>10</v>
      </c>
      <c r="E353" s="170">
        <v>0</v>
      </c>
      <c r="F353" s="170" t="s">
        <v>2000</v>
      </c>
    </row>
    <row r="354" spans="1:6">
      <c r="A354" s="169" t="s">
        <v>2515</v>
      </c>
      <c r="B354" s="169" t="s">
        <v>2516</v>
      </c>
      <c r="C354" s="169" t="s">
        <v>2517</v>
      </c>
      <c r="D354" s="170">
        <v>16</v>
      </c>
      <c r="E354" s="170">
        <v>0</v>
      </c>
      <c r="F354" s="170" t="s">
        <v>2000</v>
      </c>
    </row>
    <row r="355" spans="1:6">
      <c r="A355" s="169" t="s">
        <v>2518</v>
      </c>
      <c r="B355" s="169" t="s">
        <v>2519</v>
      </c>
      <c r="C355" s="169" t="s">
        <v>2500</v>
      </c>
      <c r="D355" s="170">
        <v>10</v>
      </c>
      <c r="E355" s="170">
        <v>0</v>
      </c>
      <c r="F355" s="170" t="s">
        <v>2000</v>
      </c>
    </row>
    <row r="356" spans="1:6">
      <c r="A356" s="169" t="s">
        <v>2520</v>
      </c>
      <c r="B356" s="169" t="s">
        <v>2521</v>
      </c>
      <c r="C356" s="169" t="s">
        <v>2522</v>
      </c>
      <c r="D356" s="170">
        <v>16</v>
      </c>
      <c r="E356" s="170">
        <v>0</v>
      </c>
      <c r="F356" s="170" t="s">
        <v>1635</v>
      </c>
    </row>
    <row r="357" spans="1:6">
      <c r="A357" s="169" t="s">
        <v>2523</v>
      </c>
      <c r="B357" s="169" t="s">
        <v>2524</v>
      </c>
      <c r="C357" s="169" t="s">
        <v>2525</v>
      </c>
      <c r="D357" s="170">
        <v>12</v>
      </c>
      <c r="E357" s="170">
        <v>0</v>
      </c>
      <c r="F357" s="170" t="s">
        <v>1635</v>
      </c>
    </row>
    <row r="358" spans="1:6">
      <c r="A358" s="169" t="s">
        <v>2526</v>
      </c>
      <c r="B358" s="169" t="s">
        <v>2527</v>
      </c>
      <c r="C358" s="169" t="s">
        <v>2528</v>
      </c>
      <c r="D358" s="170">
        <v>10</v>
      </c>
      <c r="E358" s="170">
        <v>0</v>
      </c>
      <c r="F358" s="170" t="s">
        <v>2000</v>
      </c>
    </row>
    <row r="359" spans="1:6">
      <c r="A359" s="169" t="s">
        <v>2529</v>
      </c>
      <c r="B359" s="169" t="s">
        <v>2530</v>
      </c>
      <c r="C359" s="169" t="s">
        <v>2531</v>
      </c>
      <c r="D359" s="170">
        <v>10</v>
      </c>
      <c r="E359" s="170">
        <v>0</v>
      </c>
      <c r="F359" s="170" t="s">
        <v>2000</v>
      </c>
    </row>
    <row r="360" spans="1:6">
      <c r="A360" s="169" t="s">
        <v>2532</v>
      </c>
      <c r="B360" s="169" t="s">
        <v>2533</v>
      </c>
      <c r="C360" s="169" t="s">
        <v>2534</v>
      </c>
      <c r="D360" s="170">
        <v>10</v>
      </c>
      <c r="E360" s="170">
        <v>0</v>
      </c>
      <c r="F360" s="170" t="s">
        <v>2000</v>
      </c>
    </row>
    <row r="361" spans="1:6">
      <c r="A361" s="169" t="s">
        <v>2535</v>
      </c>
      <c r="B361" s="169" t="s">
        <v>2536</v>
      </c>
      <c r="C361" s="169" t="s">
        <v>2537</v>
      </c>
      <c r="D361" s="170">
        <v>10</v>
      </c>
      <c r="E361" s="170">
        <v>0</v>
      </c>
      <c r="F361" s="170" t="s">
        <v>2000</v>
      </c>
    </row>
    <row r="362" spans="1:6">
      <c r="A362" s="169" t="s">
        <v>2538</v>
      </c>
      <c r="B362" s="169" t="s">
        <v>2539</v>
      </c>
      <c r="C362" s="169" t="s">
        <v>2540</v>
      </c>
      <c r="D362" s="170">
        <v>100</v>
      </c>
      <c r="E362" s="170">
        <v>0</v>
      </c>
      <c r="F362" s="170" t="s">
        <v>2000</v>
      </c>
    </row>
    <row r="363" spans="1:6">
      <c r="A363" s="169" t="s">
        <v>2541</v>
      </c>
      <c r="B363" s="169" t="s">
        <v>2542</v>
      </c>
      <c r="C363" s="169" t="s">
        <v>2543</v>
      </c>
      <c r="D363" s="170">
        <v>100</v>
      </c>
      <c r="E363" s="170">
        <v>0</v>
      </c>
      <c r="F363" s="170" t="s">
        <v>2000</v>
      </c>
    </row>
    <row r="364" spans="1:6">
      <c r="A364" s="169" t="s">
        <v>2544</v>
      </c>
      <c r="B364" s="169" t="s">
        <v>2545</v>
      </c>
      <c r="C364" s="169" t="s">
        <v>2546</v>
      </c>
      <c r="D364" s="170">
        <v>100</v>
      </c>
      <c r="E364" s="170">
        <v>0</v>
      </c>
      <c r="F364" s="170" t="s">
        <v>2000</v>
      </c>
    </row>
    <row r="365" spans="1:6">
      <c r="A365" s="169" t="s">
        <v>2547</v>
      </c>
      <c r="B365" s="169" t="s">
        <v>2548</v>
      </c>
      <c r="C365" s="169" t="s">
        <v>2549</v>
      </c>
      <c r="D365" s="170">
        <v>100</v>
      </c>
      <c r="E365" s="170">
        <v>0</v>
      </c>
      <c r="F365" s="170" t="s">
        <v>1535</v>
      </c>
    </row>
    <row r="366" spans="1:6">
      <c r="A366" s="169" t="s">
        <v>2550</v>
      </c>
      <c r="B366" s="169" t="s">
        <v>2551</v>
      </c>
      <c r="C366" s="169" t="s">
        <v>2552</v>
      </c>
      <c r="D366" s="170">
        <v>100</v>
      </c>
      <c r="E366" s="170">
        <v>0</v>
      </c>
      <c r="F366" s="170" t="s">
        <v>1535</v>
      </c>
    </row>
    <row r="367" spans="1:6">
      <c r="A367" s="169" t="s">
        <v>2553</v>
      </c>
      <c r="B367" s="169" t="s">
        <v>2554</v>
      </c>
      <c r="C367" s="169" t="s">
        <v>2555</v>
      </c>
      <c r="D367" s="170">
        <v>180</v>
      </c>
      <c r="E367" s="170">
        <v>0</v>
      </c>
      <c r="F367" s="170" t="s">
        <v>1535</v>
      </c>
    </row>
    <row r="368" spans="1:6">
      <c r="A368" s="169" t="s">
        <v>2556</v>
      </c>
      <c r="B368" s="169" t="s">
        <v>2557</v>
      </c>
      <c r="C368" s="169" t="s">
        <v>2558</v>
      </c>
      <c r="D368" s="170">
        <v>180</v>
      </c>
      <c r="E368" s="170">
        <v>0</v>
      </c>
      <c r="F368" s="170" t="s">
        <v>1535</v>
      </c>
    </row>
    <row r="369" spans="1:6">
      <c r="A369" s="169" t="s">
        <v>2559</v>
      </c>
      <c r="B369" s="169" t="s">
        <v>2560</v>
      </c>
      <c r="C369" s="169" t="s">
        <v>2561</v>
      </c>
      <c r="D369" s="170">
        <v>180</v>
      </c>
      <c r="E369" s="170">
        <v>0</v>
      </c>
      <c r="F369" s="170" t="s">
        <v>1535</v>
      </c>
    </row>
    <row r="370" spans="1:6">
      <c r="A370" s="169" t="s">
        <v>2562</v>
      </c>
      <c r="B370" s="169" t="s">
        <v>2563</v>
      </c>
      <c r="C370" s="169" t="s">
        <v>2564</v>
      </c>
      <c r="D370" s="170">
        <v>180</v>
      </c>
      <c r="E370" s="170">
        <v>0</v>
      </c>
      <c r="F370" s="170" t="s">
        <v>1535</v>
      </c>
    </row>
    <row r="371" spans="1:6">
      <c r="A371" s="169" t="s">
        <v>2565</v>
      </c>
      <c r="B371" s="169" t="s">
        <v>2566</v>
      </c>
      <c r="C371" s="169" t="s">
        <v>2567</v>
      </c>
      <c r="D371" s="170">
        <v>200</v>
      </c>
      <c r="E371" s="170">
        <v>0</v>
      </c>
      <c r="F371" s="170" t="s">
        <v>1535</v>
      </c>
    </row>
    <row r="372" spans="1:6">
      <c r="A372" s="169" t="s">
        <v>2568</v>
      </c>
      <c r="B372" s="169" t="s">
        <v>2569</v>
      </c>
      <c r="C372" s="169" t="s">
        <v>2570</v>
      </c>
      <c r="D372" s="170">
        <v>200</v>
      </c>
      <c r="E372" s="170">
        <v>0</v>
      </c>
      <c r="F372" s="170" t="s">
        <v>1535</v>
      </c>
    </row>
    <row r="373" spans="1:6">
      <c r="A373" s="169" t="s">
        <v>2571</v>
      </c>
      <c r="B373" s="169" t="s">
        <v>2572</v>
      </c>
      <c r="C373" s="169" t="s">
        <v>2573</v>
      </c>
      <c r="D373" s="170">
        <v>100</v>
      </c>
      <c r="E373" s="170">
        <v>0</v>
      </c>
      <c r="F373" s="170" t="s">
        <v>1535</v>
      </c>
    </row>
    <row r="374" spans="1:6">
      <c r="A374" s="169" t="s">
        <v>2574</v>
      </c>
      <c r="B374" s="169" t="s">
        <v>2575</v>
      </c>
      <c r="C374" s="169" t="s">
        <v>2576</v>
      </c>
      <c r="D374" s="170">
        <v>30</v>
      </c>
      <c r="E374" s="170">
        <v>0</v>
      </c>
      <c r="F374" s="170" t="s">
        <v>1888</v>
      </c>
    </row>
    <row r="375" spans="1:6">
      <c r="A375" s="169" t="s">
        <v>2577</v>
      </c>
      <c r="B375" s="169" t="s">
        <v>2578</v>
      </c>
      <c r="C375" s="169" t="s">
        <v>2579</v>
      </c>
      <c r="D375" s="170">
        <v>30</v>
      </c>
      <c r="E375" s="170">
        <v>0</v>
      </c>
      <c r="F375" s="170" t="s">
        <v>1888</v>
      </c>
    </row>
    <row r="376" spans="1:6">
      <c r="A376" s="169" t="s">
        <v>2580</v>
      </c>
      <c r="B376" s="169" t="s">
        <v>2581</v>
      </c>
      <c r="C376" s="169" t="s">
        <v>2582</v>
      </c>
      <c r="D376" s="170">
        <v>30</v>
      </c>
      <c r="E376" s="170">
        <v>0</v>
      </c>
      <c r="F376" s="170" t="s">
        <v>1888</v>
      </c>
    </row>
    <row r="377" spans="1:6">
      <c r="A377" s="169" t="s">
        <v>2583</v>
      </c>
      <c r="B377" s="169" t="s">
        <v>2584</v>
      </c>
      <c r="C377" s="169" t="s">
        <v>2585</v>
      </c>
      <c r="D377" s="170">
        <v>95</v>
      </c>
      <c r="E377" s="170">
        <v>0</v>
      </c>
      <c r="F377" s="170" t="s">
        <v>1556</v>
      </c>
    </row>
    <row r="378" spans="1:6">
      <c r="A378" s="169" t="s">
        <v>2586</v>
      </c>
      <c r="B378" s="169" t="s">
        <v>2587</v>
      </c>
      <c r="C378" s="169" t="s">
        <v>2588</v>
      </c>
      <c r="D378" s="170">
        <v>60</v>
      </c>
      <c r="E378" s="170">
        <v>0</v>
      </c>
      <c r="F378" s="170" t="s">
        <v>1549</v>
      </c>
    </row>
    <row r="379" spans="1:6">
      <c r="A379" s="169" t="s">
        <v>2589</v>
      </c>
      <c r="B379" s="169" t="s">
        <v>2590</v>
      </c>
      <c r="C379" s="169" t="s">
        <v>2591</v>
      </c>
      <c r="D379" s="170">
        <v>60</v>
      </c>
      <c r="E379" s="170">
        <v>0</v>
      </c>
      <c r="F379" s="170" t="s">
        <v>1549</v>
      </c>
    </row>
    <row r="380" spans="1:6">
      <c r="A380" s="169" t="s">
        <v>2592</v>
      </c>
      <c r="B380" s="169" t="s">
        <v>2593</v>
      </c>
      <c r="C380" s="169" t="s">
        <v>2594</v>
      </c>
      <c r="D380" s="170">
        <v>25</v>
      </c>
      <c r="E380" s="170">
        <v>0</v>
      </c>
      <c r="F380" s="170" t="s">
        <v>2000</v>
      </c>
    </row>
    <row r="381" spans="1:6">
      <c r="A381" s="169" t="s">
        <v>2595</v>
      </c>
      <c r="B381" s="169" t="s">
        <v>2596</v>
      </c>
      <c r="C381" s="169" t="s">
        <v>2597</v>
      </c>
      <c r="D381" s="170">
        <v>25</v>
      </c>
      <c r="E381" s="170">
        <v>0</v>
      </c>
      <c r="F381" s="170" t="s">
        <v>2000</v>
      </c>
    </row>
    <row r="382" spans="1:6">
      <c r="A382" s="169" t="s">
        <v>2598</v>
      </c>
      <c r="B382" s="169" t="s">
        <v>2599</v>
      </c>
      <c r="C382" s="169" t="s">
        <v>2600</v>
      </c>
      <c r="D382" s="170">
        <v>15</v>
      </c>
      <c r="E382" s="170">
        <v>0</v>
      </c>
      <c r="F382" s="170" t="s">
        <v>2000</v>
      </c>
    </row>
    <row r="383" spans="1:6">
      <c r="A383" s="169" t="s">
        <v>2601</v>
      </c>
      <c r="B383" s="169" t="s">
        <v>2602</v>
      </c>
      <c r="C383" s="169" t="s">
        <v>2603</v>
      </c>
      <c r="D383" s="170">
        <v>15</v>
      </c>
      <c r="E383" s="170">
        <v>0</v>
      </c>
      <c r="F383" s="170" t="s">
        <v>2000</v>
      </c>
    </row>
    <row r="384" spans="1:6">
      <c r="A384" s="169" t="s">
        <v>2604</v>
      </c>
      <c r="B384" s="169" t="s">
        <v>2605</v>
      </c>
      <c r="C384" s="169" t="s">
        <v>2606</v>
      </c>
      <c r="D384" s="170">
        <v>15</v>
      </c>
      <c r="E384" s="170">
        <v>0</v>
      </c>
      <c r="F384" s="170" t="s">
        <v>2000</v>
      </c>
    </row>
    <row r="385" spans="1:6">
      <c r="A385" s="169" t="s">
        <v>2607</v>
      </c>
      <c r="B385" s="169" t="s">
        <v>2414</v>
      </c>
      <c r="C385" s="169" t="s">
        <v>2608</v>
      </c>
      <c r="D385" s="170">
        <v>500</v>
      </c>
      <c r="E385" s="170">
        <v>-20</v>
      </c>
      <c r="F385" s="170" t="s">
        <v>1535</v>
      </c>
    </row>
    <row r="386" spans="1:6">
      <c r="A386" s="169" t="s">
        <v>2609</v>
      </c>
      <c r="B386" s="169" t="s">
        <v>2610</v>
      </c>
      <c r="C386" s="169" t="s">
        <v>2611</v>
      </c>
      <c r="D386" s="170">
        <v>290</v>
      </c>
      <c r="E386" s="170">
        <v>0</v>
      </c>
      <c r="F386" s="170" t="s">
        <v>1556</v>
      </c>
    </row>
    <row r="387" spans="1:6">
      <c r="A387" s="169" t="s">
        <v>2612</v>
      </c>
      <c r="B387" s="169" t="s">
        <v>2613</v>
      </c>
      <c r="C387" s="169" t="s">
        <v>2614</v>
      </c>
      <c r="D387" s="170">
        <v>290</v>
      </c>
      <c r="E387" s="170">
        <v>0</v>
      </c>
      <c r="F387" s="170" t="s">
        <v>1556</v>
      </c>
    </row>
    <row r="388" spans="1:6">
      <c r="A388" s="169" t="s">
        <v>2615</v>
      </c>
      <c r="B388" s="169" t="s">
        <v>2616</v>
      </c>
      <c r="C388" s="169" t="s">
        <v>2617</v>
      </c>
      <c r="D388" s="170">
        <v>500</v>
      </c>
      <c r="E388" s="170">
        <v>-20</v>
      </c>
      <c r="F388" s="170" t="s">
        <v>1535</v>
      </c>
    </row>
    <row r="389" spans="1:6">
      <c r="A389" s="169" t="s">
        <v>2618</v>
      </c>
      <c r="B389" s="169" t="s">
        <v>2619</v>
      </c>
      <c r="C389" s="169" t="s">
        <v>2620</v>
      </c>
      <c r="D389" s="170">
        <v>600</v>
      </c>
      <c r="E389" s="170">
        <v>-20</v>
      </c>
      <c r="F389" s="170" t="s">
        <v>1535</v>
      </c>
    </row>
    <row r="390" spans="1:6">
      <c r="A390" s="169" t="s">
        <v>2621</v>
      </c>
      <c r="B390" s="169" t="s">
        <v>2622</v>
      </c>
      <c r="C390" s="169" t="s">
        <v>2623</v>
      </c>
      <c r="D390" s="170">
        <v>300</v>
      </c>
      <c r="E390" s="170">
        <v>-20</v>
      </c>
      <c r="F390" s="170" t="s">
        <v>1535</v>
      </c>
    </row>
    <row r="391" spans="1:6">
      <c r="A391" s="169" t="s">
        <v>2624</v>
      </c>
      <c r="B391" s="169" t="s">
        <v>2625</v>
      </c>
      <c r="C391" s="169" t="s">
        <v>2626</v>
      </c>
      <c r="D391" s="170">
        <v>500</v>
      </c>
      <c r="E391" s="170">
        <v>-20</v>
      </c>
      <c r="F391" s="170" t="s">
        <v>1535</v>
      </c>
    </row>
    <row r="392" spans="1:6">
      <c r="A392" s="169" t="s">
        <v>2627</v>
      </c>
      <c r="B392" s="169" t="s">
        <v>2628</v>
      </c>
      <c r="C392" s="169" t="s">
        <v>2611</v>
      </c>
      <c r="D392" s="170">
        <v>60</v>
      </c>
      <c r="E392" s="170">
        <v>-20</v>
      </c>
      <c r="F392" s="170" t="s">
        <v>1535</v>
      </c>
    </row>
    <row r="393" spans="1:6">
      <c r="A393" s="169" t="s">
        <v>2629</v>
      </c>
      <c r="B393" s="169" t="s">
        <v>2630</v>
      </c>
      <c r="C393" s="169" t="s">
        <v>2614</v>
      </c>
      <c r="D393" s="170">
        <v>60</v>
      </c>
      <c r="E393" s="170">
        <v>-20</v>
      </c>
      <c r="F393" s="170" t="s">
        <v>1535</v>
      </c>
    </row>
    <row r="394" spans="1:6">
      <c r="A394" s="169" t="s">
        <v>2631</v>
      </c>
      <c r="B394" s="169" t="s">
        <v>2632</v>
      </c>
      <c r="C394" s="169" t="s">
        <v>2611</v>
      </c>
      <c r="D394" s="170">
        <v>80</v>
      </c>
      <c r="E394" s="170">
        <v>-20</v>
      </c>
      <c r="F394" s="170" t="s">
        <v>2633</v>
      </c>
    </row>
    <row r="395" spans="1:6">
      <c r="A395" s="169" t="s">
        <v>2634</v>
      </c>
      <c r="B395" s="169" t="s">
        <v>2635</v>
      </c>
      <c r="C395" s="169" t="s">
        <v>2636</v>
      </c>
      <c r="D395" s="170">
        <v>600</v>
      </c>
      <c r="E395" s="170">
        <v>-20</v>
      </c>
      <c r="F395" s="170" t="s">
        <v>1535</v>
      </c>
    </row>
    <row r="396" spans="1:6">
      <c r="A396" s="169" t="s">
        <v>2637</v>
      </c>
      <c r="B396" s="169" t="s">
        <v>2638</v>
      </c>
      <c r="C396" s="169" t="s">
        <v>2639</v>
      </c>
      <c r="D396" s="170">
        <v>300</v>
      </c>
      <c r="E396" s="170">
        <v>-20</v>
      </c>
      <c r="F396" s="170" t="s">
        <v>1535</v>
      </c>
    </row>
    <row r="397" spans="1:6">
      <c r="A397" s="169" t="s">
        <v>2640</v>
      </c>
      <c r="B397" s="169" t="s">
        <v>2641</v>
      </c>
      <c r="C397" s="169" t="s">
        <v>2642</v>
      </c>
      <c r="D397" s="170">
        <v>750</v>
      </c>
      <c r="E397" s="170">
        <v>0</v>
      </c>
      <c r="F397" s="170" t="s">
        <v>1535</v>
      </c>
    </row>
    <row r="398" spans="1:6">
      <c r="A398" s="169" t="s">
        <v>2643</v>
      </c>
      <c r="B398" s="169" t="s">
        <v>2644</v>
      </c>
      <c r="C398" s="169" t="s">
        <v>2642</v>
      </c>
      <c r="D398" s="170">
        <v>750</v>
      </c>
      <c r="E398" s="170">
        <v>0</v>
      </c>
      <c r="F398" s="170" t="s">
        <v>1535</v>
      </c>
    </row>
    <row r="399" spans="1:6">
      <c r="A399" s="169" t="s">
        <v>2645</v>
      </c>
      <c r="B399" s="169" t="s">
        <v>2646</v>
      </c>
      <c r="C399" s="169" t="s">
        <v>2617</v>
      </c>
      <c r="D399" s="170">
        <v>80</v>
      </c>
      <c r="E399" s="170">
        <v>-20</v>
      </c>
      <c r="F399" s="170" t="s">
        <v>2633</v>
      </c>
    </row>
    <row r="400" spans="1:6">
      <c r="A400" s="169" t="s">
        <v>2647</v>
      </c>
      <c r="B400" s="169" t="s">
        <v>2648</v>
      </c>
      <c r="C400" s="169" t="s">
        <v>2620</v>
      </c>
      <c r="D400" s="170">
        <v>20</v>
      </c>
      <c r="E400" s="170">
        <v>-40</v>
      </c>
      <c r="F400" s="170" t="s">
        <v>2633</v>
      </c>
    </row>
    <row r="401" spans="1:6">
      <c r="A401" s="169" t="s">
        <v>2649</v>
      </c>
      <c r="B401" s="169" t="s">
        <v>2650</v>
      </c>
      <c r="C401" s="169" t="s">
        <v>2623</v>
      </c>
      <c r="D401" s="170">
        <v>20</v>
      </c>
      <c r="E401" s="170">
        <v>-40</v>
      </c>
      <c r="F401" s="170" t="s">
        <v>2633</v>
      </c>
    </row>
    <row r="402" spans="1:6">
      <c r="A402" s="169" t="s">
        <v>2651</v>
      </c>
      <c r="B402" s="169" t="s">
        <v>2652</v>
      </c>
      <c r="C402" s="169" t="s">
        <v>2614</v>
      </c>
      <c r="D402" s="170">
        <v>80</v>
      </c>
      <c r="E402" s="170">
        <v>-20</v>
      </c>
      <c r="F402" s="170" t="s">
        <v>2633</v>
      </c>
    </row>
    <row r="403" spans="1:6">
      <c r="A403" s="169" t="s">
        <v>2653</v>
      </c>
      <c r="B403" s="169" t="s">
        <v>2654</v>
      </c>
      <c r="C403" s="169" t="s">
        <v>2626</v>
      </c>
      <c r="D403" s="170">
        <v>80</v>
      </c>
      <c r="E403" s="170">
        <v>-20</v>
      </c>
      <c r="F403" s="170" t="s">
        <v>2633</v>
      </c>
    </row>
    <row r="404" spans="1:6">
      <c r="A404" s="169" t="s">
        <v>2655</v>
      </c>
      <c r="B404" s="169" t="s">
        <v>2656</v>
      </c>
      <c r="C404" s="169" t="s">
        <v>2636</v>
      </c>
      <c r="D404" s="170">
        <v>20</v>
      </c>
      <c r="E404" s="170">
        <v>-40</v>
      </c>
      <c r="F404" s="170" t="s">
        <v>2633</v>
      </c>
    </row>
    <row r="405" spans="1:6">
      <c r="A405" s="169" t="s">
        <v>2657</v>
      </c>
      <c r="B405" s="169" t="s">
        <v>2658</v>
      </c>
      <c r="C405" s="169" t="s">
        <v>2639</v>
      </c>
      <c r="D405" s="170">
        <v>20</v>
      </c>
      <c r="E405" s="170">
        <v>-40</v>
      </c>
      <c r="F405" s="170" t="s">
        <v>2633</v>
      </c>
    </row>
    <row r="406" spans="1:6">
      <c r="A406" s="169" t="s">
        <v>2659</v>
      </c>
      <c r="B406" s="169" t="s">
        <v>2660</v>
      </c>
      <c r="C406" s="169" t="s">
        <v>2661</v>
      </c>
      <c r="D406" s="170">
        <v>750</v>
      </c>
      <c r="E406" s="170">
        <v>0</v>
      </c>
      <c r="F406" s="170" t="s">
        <v>1535</v>
      </c>
    </row>
    <row r="407" spans="1:6">
      <c r="A407" s="169" t="s">
        <v>2662</v>
      </c>
      <c r="B407" s="169" t="s">
        <v>2663</v>
      </c>
      <c r="C407" s="169" t="s">
        <v>2661</v>
      </c>
      <c r="D407" s="170">
        <v>750</v>
      </c>
      <c r="E407" s="170">
        <v>0</v>
      </c>
      <c r="F407" s="170" t="s">
        <v>1535</v>
      </c>
    </row>
    <row r="408" spans="1:6">
      <c r="A408" s="169" t="s">
        <v>2664</v>
      </c>
      <c r="B408" s="169" t="s">
        <v>2665</v>
      </c>
      <c r="C408" s="169" t="s">
        <v>2666</v>
      </c>
      <c r="D408" s="170">
        <v>750</v>
      </c>
      <c r="E408" s="170">
        <v>0</v>
      </c>
      <c r="F408" s="170" t="s">
        <v>1535</v>
      </c>
    </row>
    <row r="409" spans="1:6">
      <c r="A409" s="169" t="s">
        <v>2667</v>
      </c>
      <c r="B409" s="169" t="s">
        <v>2668</v>
      </c>
      <c r="C409" s="169" t="s">
        <v>2666</v>
      </c>
      <c r="D409" s="170">
        <v>750</v>
      </c>
      <c r="E409" s="170">
        <v>0</v>
      </c>
      <c r="F409" s="170" t="s">
        <v>1535</v>
      </c>
    </row>
    <row r="410" spans="1:6">
      <c r="A410" s="169" t="s">
        <v>2669</v>
      </c>
      <c r="B410" s="169" t="s">
        <v>2670</v>
      </c>
      <c r="C410" s="169" t="s">
        <v>2671</v>
      </c>
      <c r="D410" s="170">
        <v>750</v>
      </c>
      <c r="E410" s="170">
        <v>0</v>
      </c>
      <c r="F410" s="170" t="s">
        <v>1535</v>
      </c>
    </row>
    <row r="411" spans="1:6">
      <c r="A411" s="169" t="s">
        <v>2672</v>
      </c>
      <c r="B411" s="169" t="s">
        <v>2673</v>
      </c>
      <c r="C411" s="169" t="s">
        <v>2671</v>
      </c>
      <c r="D411" s="170">
        <v>750</v>
      </c>
      <c r="E411" s="170">
        <v>0</v>
      </c>
      <c r="F411" s="170" t="s">
        <v>1535</v>
      </c>
    </row>
    <row r="412" spans="1:6">
      <c r="A412" s="169" t="s">
        <v>2674</v>
      </c>
      <c r="B412" s="169" t="s">
        <v>2675</v>
      </c>
      <c r="C412" s="169" t="s">
        <v>2676</v>
      </c>
      <c r="D412" s="170">
        <v>750</v>
      </c>
      <c r="E412" s="170">
        <v>0</v>
      </c>
      <c r="F412" s="170" t="s">
        <v>1535</v>
      </c>
    </row>
    <row r="413" spans="1:6">
      <c r="A413" s="169" t="s">
        <v>2677</v>
      </c>
      <c r="B413" s="169" t="s">
        <v>2678</v>
      </c>
      <c r="C413" s="169" t="s">
        <v>2676</v>
      </c>
      <c r="D413" s="170">
        <v>750</v>
      </c>
      <c r="E413" s="170">
        <v>0</v>
      </c>
      <c r="F413" s="170" t="s">
        <v>1535</v>
      </c>
    </row>
    <row r="414" spans="1:6">
      <c r="A414" s="169" t="s">
        <v>2679</v>
      </c>
      <c r="B414" s="169" t="s">
        <v>2680</v>
      </c>
      <c r="C414" s="169" t="s">
        <v>2681</v>
      </c>
      <c r="D414" s="170">
        <v>750</v>
      </c>
      <c r="E414" s="170">
        <v>0</v>
      </c>
      <c r="F414" s="170" t="s">
        <v>1535</v>
      </c>
    </row>
    <row r="415" spans="1:6">
      <c r="A415" s="169" t="s">
        <v>2682</v>
      </c>
      <c r="B415" s="169" t="s">
        <v>2683</v>
      </c>
      <c r="C415" s="169" t="s">
        <v>2681</v>
      </c>
      <c r="D415" s="170">
        <v>750</v>
      </c>
      <c r="E415" s="170">
        <v>0</v>
      </c>
      <c r="F415" s="170" t="s">
        <v>1535</v>
      </c>
    </row>
    <row r="416" spans="1:6">
      <c r="A416" s="169" t="s">
        <v>2684</v>
      </c>
      <c r="B416" s="169" t="s">
        <v>2685</v>
      </c>
      <c r="C416" s="169" t="s">
        <v>2686</v>
      </c>
      <c r="D416" s="170">
        <v>16</v>
      </c>
      <c r="E416" s="170">
        <v>0</v>
      </c>
      <c r="F416" s="170" t="s">
        <v>1635</v>
      </c>
    </row>
    <row r="417" spans="1:6">
      <c r="A417" s="169" t="s">
        <v>2687</v>
      </c>
      <c r="B417" s="169" t="s">
        <v>2688</v>
      </c>
      <c r="C417" s="169" t="s">
        <v>2689</v>
      </c>
      <c r="D417" s="170">
        <v>15</v>
      </c>
      <c r="E417" s="170">
        <v>0</v>
      </c>
      <c r="F417" s="170" t="s">
        <v>2000</v>
      </c>
    </row>
    <row r="418" spans="1:6">
      <c r="A418" s="169" t="s">
        <v>2690</v>
      </c>
      <c r="B418" s="169" t="s">
        <v>2691</v>
      </c>
      <c r="C418" s="169" t="s">
        <v>2692</v>
      </c>
      <c r="D418" s="170">
        <v>15</v>
      </c>
      <c r="E418" s="170">
        <v>0</v>
      </c>
      <c r="F418" s="170" t="s">
        <v>2000</v>
      </c>
    </row>
    <row r="419" spans="1:6">
      <c r="A419" s="169" t="s">
        <v>2693</v>
      </c>
      <c r="B419" s="169" t="s">
        <v>2694</v>
      </c>
      <c r="C419" s="169" t="s">
        <v>2642</v>
      </c>
      <c r="D419" s="170">
        <v>750</v>
      </c>
      <c r="E419" s="170">
        <v>0</v>
      </c>
      <c r="F419" s="170" t="s">
        <v>1535</v>
      </c>
    </row>
    <row r="420" spans="1:6">
      <c r="A420" s="169" t="s">
        <v>2695</v>
      </c>
      <c r="B420" s="169" t="s">
        <v>2696</v>
      </c>
      <c r="C420" s="169" t="s">
        <v>2642</v>
      </c>
      <c r="D420" s="170">
        <v>750</v>
      </c>
      <c r="E420" s="170">
        <v>0</v>
      </c>
      <c r="F420" s="170" t="s">
        <v>1535</v>
      </c>
    </row>
    <row r="421" spans="1:6">
      <c r="A421" s="169" t="s">
        <v>2697</v>
      </c>
      <c r="B421" s="169" t="s">
        <v>2698</v>
      </c>
      <c r="C421" s="169" t="s">
        <v>2661</v>
      </c>
      <c r="D421" s="170">
        <v>750</v>
      </c>
      <c r="E421" s="170">
        <v>0</v>
      </c>
      <c r="F421" s="170" t="s">
        <v>1535</v>
      </c>
    </row>
    <row r="422" spans="1:6">
      <c r="A422" s="169" t="s">
        <v>2699</v>
      </c>
      <c r="B422" s="169" t="s">
        <v>2700</v>
      </c>
      <c r="C422" s="169" t="s">
        <v>2661</v>
      </c>
      <c r="D422" s="170">
        <v>750</v>
      </c>
      <c r="E422" s="170">
        <v>0</v>
      </c>
      <c r="F422" s="170" t="s">
        <v>1535</v>
      </c>
    </row>
    <row r="423" spans="1:6">
      <c r="A423" s="169" t="s">
        <v>2701</v>
      </c>
      <c r="B423" s="169" t="s">
        <v>2702</v>
      </c>
      <c r="C423" s="169" t="s">
        <v>2703</v>
      </c>
      <c r="D423" s="170">
        <v>750</v>
      </c>
      <c r="E423" s="170">
        <v>0</v>
      </c>
      <c r="F423" s="170" t="s">
        <v>1535</v>
      </c>
    </row>
    <row r="424" spans="1:6">
      <c r="A424" s="169" t="s">
        <v>2704</v>
      </c>
      <c r="B424" s="169" t="s">
        <v>2705</v>
      </c>
      <c r="C424" s="169" t="s">
        <v>2666</v>
      </c>
      <c r="D424" s="170">
        <v>750</v>
      </c>
      <c r="E424" s="170">
        <v>0</v>
      </c>
      <c r="F424" s="170" t="s">
        <v>1535</v>
      </c>
    </row>
    <row r="425" spans="1:6">
      <c r="A425" s="169" t="s">
        <v>2706</v>
      </c>
      <c r="B425" s="169" t="s">
        <v>2707</v>
      </c>
      <c r="C425" s="169" t="s">
        <v>2671</v>
      </c>
      <c r="D425" s="170">
        <v>750</v>
      </c>
      <c r="E425" s="170">
        <v>0</v>
      </c>
      <c r="F425" s="170" t="s">
        <v>1535</v>
      </c>
    </row>
    <row r="426" spans="1:6">
      <c r="A426" s="169" t="s">
        <v>2708</v>
      </c>
      <c r="B426" s="169" t="s">
        <v>2709</v>
      </c>
      <c r="C426" s="169" t="s">
        <v>2676</v>
      </c>
      <c r="D426" s="170">
        <v>750</v>
      </c>
      <c r="E426" s="170">
        <v>0</v>
      </c>
      <c r="F426" s="170" t="s">
        <v>1535</v>
      </c>
    </row>
    <row r="427" spans="1:6">
      <c r="A427" s="169" t="s">
        <v>2710</v>
      </c>
      <c r="B427" s="169" t="s">
        <v>2711</v>
      </c>
      <c r="C427" s="169" t="s">
        <v>2681</v>
      </c>
      <c r="D427" s="170">
        <v>750</v>
      </c>
      <c r="E427" s="170">
        <v>0</v>
      </c>
      <c r="F427" s="170" t="s">
        <v>1535</v>
      </c>
    </row>
    <row r="428" spans="1:6">
      <c r="A428" s="169" t="s">
        <v>2712</v>
      </c>
      <c r="B428" s="169" t="s">
        <v>2713</v>
      </c>
      <c r="C428" s="169" t="s">
        <v>2681</v>
      </c>
      <c r="D428" s="170">
        <v>750</v>
      </c>
      <c r="E428" s="170">
        <v>0</v>
      </c>
      <c r="F428" s="170" t="s">
        <v>1535</v>
      </c>
    </row>
    <row r="429" spans="1:6">
      <c r="A429" s="169" t="s">
        <v>2714</v>
      </c>
      <c r="B429" s="169" t="s">
        <v>2715</v>
      </c>
      <c r="C429" s="169" t="s">
        <v>2716</v>
      </c>
      <c r="D429" s="170">
        <v>750</v>
      </c>
      <c r="E429" s="170">
        <v>0</v>
      </c>
      <c r="F429" s="170" t="s">
        <v>1535</v>
      </c>
    </row>
    <row r="430" spans="1:6">
      <c r="A430" s="169" t="s">
        <v>2717</v>
      </c>
      <c r="B430" s="169" t="s">
        <v>2718</v>
      </c>
      <c r="C430" s="169" t="s">
        <v>2716</v>
      </c>
      <c r="D430" s="170">
        <v>750</v>
      </c>
      <c r="E430" s="170">
        <v>0</v>
      </c>
      <c r="F430" s="170" t="s">
        <v>1535</v>
      </c>
    </row>
    <row r="431" spans="1:6">
      <c r="A431" s="169" t="s">
        <v>2719</v>
      </c>
      <c r="B431" s="169" t="s">
        <v>2720</v>
      </c>
      <c r="C431" s="169" t="s">
        <v>2721</v>
      </c>
      <c r="D431" s="170">
        <v>25</v>
      </c>
      <c r="E431" s="170">
        <v>-10</v>
      </c>
      <c r="F431" s="170" t="s">
        <v>1535</v>
      </c>
    </row>
    <row r="432" spans="1:6">
      <c r="A432" s="169" t="s">
        <v>2722</v>
      </c>
      <c r="B432" s="169" t="s">
        <v>2723</v>
      </c>
      <c r="C432" s="169" t="s">
        <v>2724</v>
      </c>
      <c r="D432" s="170">
        <v>391.5</v>
      </c>
      <c r="E432" s="170">
        <v>-30.9</v>
      </c>
      <c r="F432" s="170" t="s">
        <v>1535</v>
      </c>
    </row>
    <row r="433" spans="1:6">
      <c r="A433" s="169" t="s">
        <v>2725</v>
      </c>
      <c r="B433" s="169" t="s">
        <v>2726</v>
      </c>
      <c r="C433" s="169" t="s">
        <v>2727</v>
      </c>
      <c r="D433" s="170">
        <v>391.5</v>
      </c>
      <c r="E433" s="170">
        <v>-30.9</v>
      </c>
      <c r="F433" s="170" t="s">
        <v>1535</v>
      </c>
    </row>
    <row r="434" spans="1:6">
      <c r="A434" s="169" t="s">
        <v>2728</v>
      </c>
      <c r="B434" s="169" t="s">
        <v>2729</v>
      </c>
      <c r="C434" s="169" t="s">
        <v>2730</v>
      </c>
      <c r="D434" s="170">
        <v>75</v>
      </c>
      <c r="E434" s="170">
        <v>-25</v>
      </c>
      <c r="F434" s="170" t="s">
        <v>1535</v>
      </c>
    </row>
    <row r="435" spans="1:6">
      <c r="A435" s="169" t="s">
        <v>2731</v>
      </c>
      <c r="B435" s="169" t="s">
        <v>2732</v>
      </c>
      <c r="C435" s="169" t="s">
        <v>2733</v>
      </c>
      <c r="D435" s="170">
        <v>1116</v>
      </c>
      <c r="E435" s="170">
        <v>-25</v>
      </c>
      <c r="F435" s="170" t="s">
        <v>1535</v>
      </c>
    </row>
    <row r="436" spans="1:6">
      <c r="A436" s="169" t="s">
        <v>2734</v>
      </c>
      <c r="B436" s="169" t="s">
        <v>2735</v>
      </c>
      <c r="C436" s="169" t="s">
        <v>2736</v>
      </c>
      <c r="D436" s="170">
        <v>1116</v>
      </c>
      <c r="E436" s="170">
        <v>-25</v>
      </c>
      <c r="F436" s="170" t="s">
        <v>1535</v>
      </c>
    </row>
    <row r="437" spans="1:6">
      <c r="A437" s="169" t="s">
        <v>2737</v>
      </c>
      <c r="B437" s="169" t="s">
        <v>2738</v>
      </c>
      <c r="C437" s="169" t="s">
        <v>2736</v>
      </c>
      <c r="D437" s="170">
        <v>1116</v>
      </c>
      <c r="E437" s="170">
        <v>-25</v>
      </c>
      <c r="F437" s="170" t="s">
        <v>1535</v>
      </c>
    </row>
    <row r="438" spans="1:6">
      <c r="A438" s="169" t="s">
        <v>2739</v>
      </c>
      <c r="B438" s="169" t="s">
        <v>2740</v>
      </c>
      <c r="C438" s="169" t="s">
        <v>2741</v>
      </c>
      <c r="D438" s="170">
        <v>523</v>
      </c>
      <c r="E438" s="170">
        <v>-25</v>
      </c>
      <c r="F438" s="170" t="s">
        <v>1535</v>
      </c>
    </row>
    <row r="439" spans="1:6">
      <c r="A439" s="169" t="s">
        <v>2742</v>
      </c>
      <c r="B439" s="169" t="s">
        <v>2743</v>
      </c>
      <c r="C439" s="169" t="s">
        <v>2744</v>
      </c>
      <c r="D439" s="170">
        <v>200</v>
      </c>
      <c r="E439" s="170">
        <v>-25</v>
      </c>
      <c r="F439" s="170" t="s">
        <v>1535</v>
      </c>
    </row>
    <row r="440" spans="1:6">
      <c r="A440" s="169" t="s">
        <v>2745</v>
      </c>
      <c r="B440" s="169" t="s">
        <v>2746</v>
      </c>
      <c r="C440" s="169" t="s">
        <v>2747</v>
      </c>
      <c r="D440" s="170">
        <v>200</v>
      </c>
      <c r="E440" s="170">
        <v>-25</v>
      </c>
      <c r="F440" s="170" t="s">
        <v>1535</v>
      </c>
    </row>
    <row r="441" spans="1:6">
      <c r="A441" s="169" t="s">
        <v>2748</v>
      </c>
      <c r="B441" s="169" t="s">
        <v>2749</v>
      </c>
      <c r="C441" s="169" t="s">
        <v>2750</v>
      </c>
      <c r="D441" s="170">
        <v>523</v>
      </c>
      <c r="E441" s="170">
        <v>-25</v>
      </c>
      <c r="F441" s="170" t="s">
        <v>1535</v>
      </c>
    </row>
    <row r="442" spans="1:6">
      <c r="A442" s="169" t="s">
        <v>2751</v>
      </c>
      <c r="B442" s="169" t="s">
        <v>2752</v>
      </c>
      <c r="C442" s="169" t="s">
        <v>2753</v>
      </c>
      <c r="D442" s="170">
        <v>200</v>
      </c>
      <c r="E442" s="170">
        <v>0</v>
      </c>
      <c r="F442" s="170" t="s">
        <v>1535</v>
      </c>
    </row>
    <row r="443" spans="1:6">
      <c r="A443" s="169" t="s">
        <v>2754</v>
      </c>
      <c r="B443" s="169" t="s">
        <v>2755</v>
      </c>
      <c r="C443" s="169" t="s">
        <v>2756</v>
      </c>
      <c r="D443" s="170">
        <v>200</v>
      </c>
      <c r="E443" s="170">
        <v>0</v>
      </c>
      <c r="F443" s="170" t="s">
        <v>1535</v>
      </c>
    </row>
    <row r="444" spans="1:6">
      <c r="A444" s="169" t="s">
        <v>2757</v>
      </c>
      <c r="B444" s="169" t="s">
        <v>2758</v>
      </c>
      <c r="C444" s="169" t="s">
        <v>2759</v>
      </c>
      <c r="D444" s="170">
        <v>650</v>
      </c>
      <c r="E444" s="170">
        <v>0</v>
      </c>
      <c r="F444" s="170" t="s">
        <v>1535</v>
      </c>
    </row>
    <row r="445" spans="1:6">
      <c r="A445" s="169" t="s">
        <v>2760</v>
      </c>
      <c r="B445" s="169" t="s">
        <v>2761</v>
      </c>
      <c r="C445" s="169" t="s">
        <v>2762</v>
      </c>
      <c r="D445" s="170">
        <v>650</v>
      </c>
      <c r="E445" s="170">
        <v>0</v>
      </c>
      <c r="F445" s="170" t="s">
        <v>1535</v>
      </c>
    </row>
    <row r="446" spans="1:6">
      <c r="A446" s="169" t="s">
        <v>2763</v>
      </c>
      <c r="B446" s="169" t="s">
        <v>2764</v>
      </c>
      <c r="C446" s="169" t="s">
        <v>2765</v>
      </c>
      <c r="D446" s="170">
        <v>650</v>
      </c>
      <c r="E446" s="170">
        <v>0</v>
      </c>
      <c r="F446" s="170" t="s">
        <v>1535</v>
      </c>
    </row>
    <row r="447" spans="1:6">
      <c r="A447" s="169" t="s">
        <v>2766</v>
      </c>
      <c r="B447" s="169" t="s">
        <v>2767</v>
      </c>
      <c r="C447" s="169" t="s">
        <v>2768</v>
      </c>
      <c r="D447" s="170">
        <v>600</v>
      </c>
      <c r="E447" s="170">
        <v>0</v>
      </c>
      <c r="F447" s="170" t="s">
        <v>1535</v>
      </c>
    </row>
    <row r="448" spans="1:6">
      <c r="A448" s="169" t="s">
        <v>2769</v>
      </c>
      <c r="B448" s="169" t="s">
        <v>2770</v>
      </c>
      <c r="C448" s="169" t="s">
        <v>2771</v>
      </c>
      <c r="D448" s="170">
        <v>600</v>
      </c>
      <c r="E448" s="170">
        <v>0</v>
      </c>
      <c r="F448" s="170" t="s">
        <v>1535</v>
      </c>
    </row>
    <row r="449" spans="1:6">
      <c r="A449" s="169" t="s">
        <v>2772</v>
      </c>
      <c r="B449" s="169" t="s">
        <v>2773</v>
      </c>
      <c r="C449" s="169" t="s">
        <v>2774</v>
      </c>
      <c r="D449" s="170">
        <v>400</v>
      </c>
      <c r="E449" s="170">
        <v>0</v>
      </c>
      <c r="F449" s="170" t="s">
        <v>1535</v>
      </c>
    </row>
    <row r="450" spans="1:6">
      <c r="A450" s="169" t="s">
        <v>2775</v>
      </c>
      <c r="B450" s="169" t="s">
        <v>2776</v>
      </c>
      <c r="C450" s="169" t="s">
        <v>2777</v>
      </c>
      <c r="D450" s="170">
        <v>600</v>
      </c>
      <c r="E450" s="170">
        <v>0</v>
      </c>
      <c r="F450" s="170" t="s">
        <v>1535</v>
      </c>
    </row>
    <row r="451" spans="1:6">
      <c r="A451" s="169" t="s">
        <v>2778</v>
      </c>
      <c r="B451" s="169" t="s">
        <v>2779</v>
      </c>
      <c r="C451" s="169" t="s">
        <v>2780</v>
      </c>
      <c r="D451" s="170">
        <v>5</v>
      </c>
      <c r="E451" s="170">
        <v>0</v>
      </c>
      <c r="F451" s="170" t="s">
        <v>1635</v>
      </c>
    </row>
    <row r="452" spans="1:6">
      <c r="A452" s="169" t="s">
        <v>2781</v>
      </c>
      <c r="B452" s="169" t="s">
        <v>2782</v>
      </c>
      <c r="C452" s="169" t="s">
        <v>2783</v>
      </c>
      <c r="D452" s="170">
        <v>103.5</v>
      </c>
      <c r="E452" s="170">
        <v>0</v>
      </c>
      <c r="F452" s="170" t="s">
        <v>1549</v>
      </c>
    </row>
    <row r="453" spans="1:6">
      <c r="A453" s="169" t="s">
        <v>2784</v>
      </c>
      <c r="B453" s="169" t="s">
        <v>2785</v>
      </c>
      <c r="C453" s="169" t="s">
        <v>2786</v>
      </c>
      <c r="D453" s="170">
        <v>21</v>
      </c>
      <c r="E453" s="170">
        <v>0</v>
      </c>
      <c r="F453" s="170" t="s">
        <v>1549</v>
      </c>
    </row>
    <row r="454" spans="1:6">
      <c r="A454" s="169" t="s">
        <v>2787</v>
      </c>
      <c r="B454" s="169" t="s">
        <v>2788</v>
      </c>
      <c r="C454" s="169" t="s">
        <v>2789</v>
      </c>
      <c r="D454" s="170">
        <v>10</v>
      </c>
      <c r="E454" s="170">
        <v>0</v>
      </c>
      <c r="F454" s="170" t="s">
        <v>1549</v>
      </c>
    </row>
    <row r="455" spans="1:6">
      <c r="A455" s="169" t="s">
        <v>2790</v>
      </c>
      <c r="B455" s="169" t="s">
        <v>2791</v>
      </c>
      <c r="C455" s="169" t="s">
        <v>2792</v>
      </c>
      <c r="D455" s="170">
        <v>598</v>
      </c>
      <c r="E455" s="170">
        <v>0</v>
      </c>
      <c r="F455" s="170" t="s">
        <v>1549</v>
      </c>
    </row>
    <row r="456" spans="1:6">
      <c r="A456" s="169" t="s">
        <v>2793</v>
      </c>
      <c r="B456" s="169" t="s">
        <v>2794</v>
      </c>
      <c r="C456" s="169" t="s">
        <v>2795</v>
      </c>
      <c r="D456" s="170">
        <v>10</v>
      </c>
      <c r="E456" s="170">
        <v>0</v>
      </c>
      <c r="F456" s="170" t="s">
        <v>1549</v>
      </c>
    </row>
    <row r="457" spans="1:6">
      <c r="A457" s="169" t="s">
        <v>2796</v>
      </c>
      <c r="B457" s="169" t="s">
        <v>2797</v>
      </c>
      <c r="C457" s="169" t="s">
        <v>2792</v>
      </c>
      <c r="D457" s="170">
        <v>598</v>
      </c>
      <c r="E457" s="170">
        <v>0</v>
      </c>
      <c r="F457" s="170" t="s">
        <v>1549</v>
      </c>
    </row>
    <row r="458" spans="1:6">
      <c r="A458" s="169" t="s">
        <v>2798</v>
      </c>
      <c r="B458" s="169" t="s">
        <v>2799</v>
      </c>
      <c r="C458" s="169" t="s">
        <v>2792</v>
      </c>
      <c r="D458" s="170">
        <v>598</v>
      </c>
      <c r="E458" s="170">
        <v>0</v>
      </c>
      <c r="F458" s="170" t="s">
        <v>1549</v>
      </c>
    </row>
    <row r="459" spans="1:6">
      <c r="A459" s="169" t="s">
        <v>2800</v>
      </c>
      <c r="B459" s="169" t="s">
        <v>2801</v>
      </c>
      <c r="C459" s="169" t="s">
        <v>2795</v>
      </c>
      <c r="D459" s="170">
        <v>10</v>
      </c>
      <c r="E459" s="170">
        <v>0</v>
      </c>
      <c r="F459" s="170" t="s">
        <v>1549</v>
      </c>
    </row>
    <row r="460" spans="1:6">
      <c r="A460" s="169" t="s">
        <v>2802</v>
      </c>
      <c r="B460" s="169" t="s">
        <v>2803</v>
      </c>
      <c r="C460" s="169" t="s">
        <v>2795</v>
      </c>
      <c r="D460" s="170">
        <v>10</v>
      </c>
      <c r="E460" s="170">
        <v>0</v>
      </c>
      <c r="F460" s="170" t="s">
        <v>1549</v>
      </c>
    </row>
    <row r="461" spans="1:6">
      <c r="A461" s="169" t="s">
        <v>2804</v>
      </c>
      <c r="B461" s="169" t="s">
        <v>2805</v>
      </c>
      <c r="C461" s="169" t="s">
        <v>2795</v>
      </c>
      <c r="D461" s="170">
        <v>10</v>
      </c>
      <c r="E461" s="170">
        <v>0</v>
      </c>
      <c r="F461" s="170" t="s">
        <v>1549</v>
      </c>
    </row>
    <row r="462" spans="1:6">
      <c r="A462" s="169" t="s">
        <v>2806</v>
      </c>
      <c r="B462" s="169" t="s">
        <v>2807</v>
      </c>
      <c r="C462" s="169" t="s">
        <v>2808</v>
      </c>
      <c r="D462" s="170">
        <v>100</v>
      </c>
      <c r="E462" s="170">
        <v>0</v>
      </c>
      <c r="F462" s="170" t="s">
        <v>463</v>
      </c>
    </row>
    <row r="463" spans="1:6">
      <c r="A463" s="169" t="s">
        <v>2809</v>
      </c>
      <c r="B463" s="169" t="s">
        <v>2810</v>
      </c>
      <c r="C463" s="169" t="s">
        <v>2811</v>
      </c>
      <c r="D463" s="170">
        <v>100</v>
      </c>
      <c r="E463" s="170">
        <v>0</v>
      </c>
      <c r="F463" s="170" t="s">
        <v>463</v>
      </c>
    </row>
    <row r="464" spans="1:6">
      <c r="A464" s="169" t="s">
        <v>2812</v>
      </c>
      <c r="B464" s="169" t="s">
        <v>2813</v>
      </c>
      <c r="C464" s="169" t="s">
        <v>2814</v>
      </c>
      <c r="D464" s="170">
        <v>100</v>
      </c>
      <c r="E464" s="170">
        <v>0</v>
      </c>
      <c r="F464" s="170" t="s">
        <v>463</v>
      </c>
    </row>
    <row r="465" spans="1:6">
      <c r="A465" s="169" t="s">
        <v>2815</v>
      </c>
      <c r="B465" s="169" t="s">
        <v>2816</v>
      </c>
      <c r="C465" s="169" t="s">
        <v>2817</v>
      </c>
      <c r="D465" s="170">
        <v>100</v>
      </c>
      <c r="E465" s="170">
        <v>0</v>
      </c>
      <c r="F465" s="170" t="s">
        <v>463</v>
      </c>
    </row>
    <row r="466" spans="1:6">
      <c r="A466" s="169" t="s">
        <v>2818</v>
      </c>
      <c r="B466" s="169" t="s">
        <v>2819</v>
      </c>
      <c r="C466" s="169" t="s">
        <v>2814</v>
      </c>
      <c r="D466" s="170">
        <v>100</v>
      </c>
      <c r="E466" s="170">
        <v>0</v>
      </c>
      <c r="F466" s="170" t="s">
        <v>1577</v>
      </c>
    </row>
    <row r="467" spans="1:6">
      <c r="A467" s="169" t="s">
        <v>2820</v>
      </c>
      <c r="B467" s="169" t="s">
        <v>2821</v>
      </c>
      <c r="C467" s="169" t="s">
        <v>2814</v>
      </c>
      <c r="D467" s="170">
        <v>100</v>
      </c>
      <c r="E467" s="170">
        <v>0</v>
      </c>
      <c r="F467" s="170" t="s">
        <v>1577</v>
      </c>
    </row>
    <row r="468" spans="1:6">
      <c r="A468" s="169" t="s">
        <v>2822</v>
      </c>
      <c r="B468" s="169" t="s">
        <v>2823</v>
      </c>
      <c r="C468" s="169" t="s">
        <v>2814</v>
      </c>
      <c r="D468" s="170">
        <v>100</v>
      </c>
      <c r="E468" s="170">
        <v>0</v>
      </c>
      <c r="F468" s="170" t="s">
        <v>1577</v>
      </c>
    </row>
    <row r="469" spans="1:6">
      <c r="A469" s="169" t="s">
        <v>2824</v>
      </c>
      <c r="B469" s="169" t="s">
        <v>2825</v>
      </c>
      <c r="C469" s="169" t="s">
        <v>2826</v>
      </c>
      <c r="D469" s="170">
        <v>100</v>
      </c>
      <c r="E469" s="170">
        <v>0</v>
      </c>
      <c r="F469" s="170" t="s">
        <v>463</v>
      </c>
    </row>
    <row r="470" spans="1:6">
      <c r="A470" s="169" t="s">
        <v>2827</v>
      </c>
      <c r="B470" s="169" t="s">
        <v>2828</v>
      </c>
      <c r="C470" s="169" t="s">
        <v>2826</v>
      </c>
      <c r="D470" s="170">
        <v>100</v>
      </c>
      <c r="E470" s="170">
        <v>0</v>
      </c>
      <c r="F470" s="170" t="s">
        <v>1577</v>
      </c>
    </row>
    <row r="471" spans="1:6">
      <c r="A471" s="169" t="s">
        <v>2829</v>
      </c>
      <c r="B471" s="169" t="s">
        <v>2830</v>
      </c>
      <c r="C471" s="169" t="s">
        <v>2826</v>
      </c>
      <c r="D471" s="170">
        <v>100</v>
      </c>
      <c r="E471" s="170">
        <v>0</v>
      </c>
      <c r="F471" s="170" t="s">
        <v>1577</v>
      </c>
    </row>
    <row r="472" spans="1:6">
      <c r="A472" s="169" t="s">
        <v>2831</v>
      </c>
      <c r="B472" s="169" t="s">
        <v>2832</v>
      </c>
      <c r="C472" s="169" t="s">
        <v>2833</v>
      </c>
      <c r="D472" s="170">
        <v>100</v>
      </c>
      <c r="E472" s="170">
        <v>0</v>
      </c>
      <c r="F472" s="170" t="s">
        <v>463</v>
      </c>
    </row>
    <row r="473" spans="1:6">
      <c r="A473" s="169" t="s">
        <v>2834</v>
      </c>
      <c r="B473" s="169" t="s">
        <v>2835</v>
      </c>
      <c r="C473" s="169" t="s">
        <v>2833</v>
      </c>
      <c r="D473" s="170">
        <v>100</v>
      </c>
      <c r="E473" s="170">
        <v>0</v>
      </c>
      <c r="F473" s="170" t="s">
        <v>1577</v>
      </c>
    </row>
    <row r="474" spans="1:6">
      <c r="A474" s="169" t="s">
        <v>2836</v>
      </c>
      <c r="B474" s="169" t="s">
        <v>2837</v>
      </c>
      <c r="C474" s="169" t="s">
        <v>2838</v>
      </c>
      <c r="D474" s="170">
        <v>100</v>
      </c>
      <c r="E474" s="170">
        <v>0</v>
      </c>
      <c r="F474" s="170" t="s">
        <v>1577</v>
      </c>
    </row>
    <row r="475" spans="1:6">
      <c r="A475" s="169" t="s">
        <v>2839</v>
      </c>
      <c r="B475" s="169" t="s">
        <v>2840</v>
      </c>
      <c r="C475" s="169" t="s">
        <v>2817</v>
      </c>
      <c r="D475" s="170">
        <v>100</v>
      </c>
      <c r="E475" s="170">
        <v>0</v>
      </c>
      <c r="F475" s="170" t="s">
        <v>463</v>
      </c>
    </row>
    <row r="476" spans="1:6">
      <c r="A476" s="169" t="s">
        <v>2841</v>
      </c>
      <c r="B476" s="169" t="s">
        <v>2842</v>
      </c>
      <c r="C476" s="169" t="s">
        <v>2817</v>
      </c>
      <c r="D476" s="170">
        <v>100</v>
      </c>
      <c r="E476" s="170">
        <v>0</v>
      </c>
      <c r="F476" s="170" t="s">
        <v>1577</v>
      </c>
    </row>
    <row r="477" spans="1:6">
      <c r="A477" s="169" t="s">
        <v>2843</v>
      </c>
      <c r="B477" s="169" t="s">
        <v>2844</v>
      </c>
      <c r="C477" s="169" t="s">
        <v>2817</v>
      </c>
      <c r="D477" s="170">
        <v>100</v>
      </c>
      <c r="E477" s="170">
        <v>0</v>
      </c>
      <c r="F477" s="170" t="s">
        <v>1577</v>
      </c>
    </row>
    <row r="478" spans="1:6">
      <c r="A478" s="169" t="s">
        <v>2845</v>
      </c>
      <c r="B478" s="169" t="s">
        <v>2846</v>
      </c>
      <c r="C478" s="169" t="s">
        <v>2847</v>
      </c>
      <c r="D478" s="170">
        <v>26</v>
      </c>
      <c r="E478" s="170">
        <v>0</v>
      </c>
      <c r="F478" s="170" t="s">
        <v>2000</v>
      </c>
    </row>
    <row r="479" spans="1:6">
      <c r="A479" s="169" t="s">
        <v>2848</v>
      </c>
      <c r="B479" s="169" t="s">
        <v>2849</v>
      </c>
      <c r="C479" s="169" t="s">
        <v>2850</v>
      </c>
      <c r="D479" s="170">
        <v>50</v>
      </c>
      <c r="E479" s="170">
        <v>0</v>
      </c>
      <c r="F479" s="170" t="s">
        <v>1635</v>
      </c>
    </row>
    <row r="480" spans="1:6">
      <c r="A480" s="169" t="s">
        <v>2851</v>
      </c>
      <c r="B480" s="169" t="s">
        <v>2852</v>
      </c>
      <c r="C480" s="169" t="s">
        <v>2817</v>
      </c>
      <c r="D480" s="170">
        <v>4</v>
      </c>
      <c r="E480" s="170">
        <v>0</v>
      </c>
      <c r="F480" s="170" t="s">
        <v>1635</v>
      </c>
    </row>
    <row r="481" spans="1:6">
      <c r="A481" s="169" t="s">
        <v>2853</v>
      </c>
      <c r="B481" s="169" t="s">
        <v>2854</v>
      </c>
      <c r="C481" s="169" t="s">
        <v>2817</v>
      </c>
      <c r="D481" s="170">
        <v>4</v>
      </c>
      <c r="E481" s="170">
        <v>0</v>
      </c>
      <c r="F481" s="170" t="s">
        <v>1635</v>
      </c>
    </row>
    <row r="482" spans="1:6">
      <c r="A482" s="169" t="s">
        <v>2855</v>
      </c>
      <c r="B482" s="169" t="s">
        <v>2856</v>
      </c>
      <c r="C482" s="169" t="s">
        <v>2847</v>
      </c>
      <c r="D482" s="170">
        <v>26</v>
      </c>
      <c r="E482" s="170">
        <v>0</v>
      </c>
      <c r="F482" s="170" t="s">
        <v>2000</v>
      </c>
    </row>
    <row r="483" spans="1:6">
      <c r="A483" s="169" t="s">
        <v>2857</v>
      </c>
      <c r="B483" s="169" t="s">
        <v>2858</v>
      </c>
      <c r="C483" s="169" t="s">
        <v>2859</v>
      </c>
      <c r="D483" s="170">
        <v>3</v>
      </c>
      <c r="E483" s="170">
        <v>0</v>
      </c>
      <c r="F483" s="170" t="s">
        <v>2860</v>
      </c>
    </row>
    <row r="484" spans="1:6">
      <c r="A484" s="169" t="s">
        <v>2861</v>
      </c>
      <c r="B484" s="169" t="s">
        <v>2862</v>
      </c>
      <c r="C484" s="169" t="s">
        <v>2850</v>
      </c>
      <c r="D484" s="170">
        <v>50</v>
      </c>
      <c r="E484" s="170">
        <v>0</v>
      </c>
      <c r="F484" s="170" t="s">
        <v>2000</v>
      </c>
    </row>
    <row r="485" spans="1:6">
      <c r="A485" s="169" t="s">
        <v>2863</v>
      </c>
      <c r="B485" s="169" t="s">
        <v>2864</v>
      </c>
      <c r="C485" s="169" t="s">
        <v>2850</v>
      </c>
      <c r="D485" s="170">
        <v>50</v>
      </c>
      <c r="E485" s="170">
        <v>0</v>
      </c>
      <c r="F485" s="170" t="s">
        <v>1635</v>
      </c>
    </row>
    <row r="486" spans="1:6">
      <c r="A486" s="169" t="s">
        <v>2865</v>
      </c>
      <c r="B486" s="169" t="s">
        <v>2866</v>
      </c>
      <c r="C486" s="169" t="s">
        <v>2850</v>
      </c>
      <c r="D486" s="170">
        <v>50</v>
      </c>
      <c r="E486" s="170">
        <v>0</v>
      </c>
      <c r="F486" s="170" t="s">
        <v>1635</v>
      </c>
    </row>
    <row r="487" spans="1:6">
      <c r="A487" s="169" t="s">
        <v>2867</v>
      </c>
      <c r="B487" s="169" t="s">
        <v>2868</v>
      </c>
      <c r="C487" s="169" t="s">
        <v>2817</v>
      </c>
      <c r="D487" s="170">
        <v>4</v>
      </c>
      <c r="E487" s="170">
        <v>0</v>
      </c>
      <c r="F487" s="170" t="s">
        <v>1635</v>
      </c>
    </row>
    <row r="488" spans="1:6">
      <c r="A488" s="169" t="s">
        <v>2869</v>
      </c>
      <c r="B488" s="169" t="s">
        <v>2870</v>
      </c>
      <c r="C488" s="169" t="s">
        <v>2817</v>
      </c>
      <c r="D488" s="170">
        <v>4</v>
      </c>
      <c r="E488" s="170">
        <v>0</v>
      </c>
      <c r="F488" s="170" t="s">
        <v>1635</v>
      </c>
    </row>
    <row r="489" spans="1:6">
      <c r="A489" s="169" t="s">
        <v>2871</v>
      </c>
      <c r="B489" s="169" t="s">
        <v>2872</v>
      </c>
      <c r="C489" s="169" t="s">
        <v>2817</v>
      </c>
      <c r="D489" s="170">
        <v>4</v>
      </c>
      <c r="E489" s="170">
        <v>0</v>
      </c>
      <c r="F489" s="170" t="s">
        <v>1635</v>
      </c>
    </row>
    <row r="490" spans="1:6">
      <c r="A490" s="169" t="s">
        <v>2873</v>
      </c>
      <c r="B490" s="169" t="s">
        <v>2874</v>
      </c>
      <c r="C490" s="169" t="s">
        <v>2875</v>
      </c>
      <c r="D490" s="170">
        <v>26</v>
      </c>
      <c r="E490" s="170">
        <v>0</v>
      </c>
      <c r="F490" s="170" t="s">
        <v>1635</v>
      </c>
    </row>
    <row r="491" spans="1:6">
      <c r="A491" s="169" t="s">
        <v>2876</v>
      </c>
      <c r="B491" s="169" t="s">
        <v>2877</v>
      </c>
      <c r="C491" s="169" t="s">
        <v>2878</v>
      </c>
      <c r="D491" s="170">
        <v>26</v>
      </c>
      <c r="E491" s="170">
        <v>0</v>
      </c>
      <c r="F491" s="170" t="s">
        <v>1635</v>
      </c>
    </row>
    <row r="492" spans="1:6">
      <c r="A492" s="169" t="s">
        <v>2879</v>
      </c>
      <c r="B492" s="169" t="s">
        <v>2880</v>
      </c>
      <c r="C492" s="169" t="s">
        <v>2881</v>
      </c>
      <c r="D492" s="170">
        <v>400</v>
      </c>
      <c r="E492" s="170">
        <v>0</v>
      </c>
      <c r="F492" s="170" t="s">
        <v>1535</v>
      </c>
    </row>
    <row r="493" spans="1:6">
      <c r="A493" s="169" t="s">
        <v>2882</v>
      </c>
      <c r="B493" s="169" t="s">
        <v>2883</v>
      </c>
      <c r="C493" s="169" t="s">
        <v>2881</v>
      </c>
      <c r="D493" s="170">
        <v>400</v>
      </c>
      <c r="E493" s="170">
        <v>0</v>
      </c>
      <c r="F493" s="170" t="s">
        <v>1535</v>
      </c>
    </row>
    <row r="494" spans="1:6">
      <c r="A494" s="169" t="s">
        <v>2884</v>
      </c>
      <c r="B494" s="169" t="s">
        <v>2885</v>
      </c>
      <c r="C494" s="169" t="s">
        <v>2881</v>
      </c>
      <c r="D494" s="170">
        <v>400</v>
      </c>
      <c r="E494" s="170">
        <v>0</v>
      </c>
      <c r="F494" s="170" t="s">
        <v>1535</v>
      </c>
    </row>
    <row r="495" spans="1:6">
      <c r="A495" s="169" t="s">
        <v>2886</v>
      </c>
      <c r="B495" s="169" t="s">
        <v>2887</v>
      </c>
      <c r="C495" s="169" t="s">
        <v>2881</v>
      </c>
      <c r="D495" s="170">
        <v>400</v>
      </c>
      <c r="E495" s="170">
        <v>0</v>
      </c>
      <c r="F495" s="170" t="s">
        <v>1535</v>
      </c>
    </row>
    <row r="496" spans="1:6">
      <c r="A496" s="169" t="s">
        <v>2888</v>
      </c>
      <c r="B496" s="169" t="s">
        <v>2889</v>
      </c>
      <c r="C496" s="169" t="s">
        <v>2890</v>
      </c>
      <c r="D496" s="170">
        <v>10</v>
      </c>
      <c r="E496" s="170">
        <v>0</v>
      </c>
      <c r="F496" s="170" t="s">
        <v>463</v>
      </c>
    </row>
    <row r="497" spans="1:6">
      <c r="A497" s="169" t="s">
        <v>2891</v>
      </c>
      <c r="B497" s="169" t="s">
        <v>2892</v>
      </c>
      <c r="C497" s="169" t="s">
        <v>1542</v>
      </c>
      <c r="D497" s="170">
        <v>10</v>
      </c>
      <c r="E497" s="170">
        <v>0</v>
      </c>
      <c r="F497" s="170" t="s">
        <v>463</v>
      </c>
    </row>
    <row r="498" spans="1:6">
      <c r="A498" s="169" t="s">
        <v>2893</v>
      </c>
      <c r="B498" s="169" t="s">
        <v>2894</v>
      </c>
      <c r="C498" s="169" t="s">
        <v>2895</v>
      </c>
      <c r="D498" s="170">
        <v>11113</v>
      </c>
      <c r="E498" s="170">
        <v>0</v>
      </c>
      <c r="F498" s="170" t="s">
        <v>2209</v>
      </c>
    </row>
    <row r="499" spans="1:6">
      <c r="A499" s="169" t="s">
        <v>2896</v>
      </c>
      <c r="B499" s="169" t="s">
        <v>2897</v>
      </c>
      <c r="C499" s="169" t="s">
        <v>2898</v>
      </c>
      <c r="D499" s="170">
        <v>1726</v>
      </c>
      <c r="E499" s="170">
        <v>0</v>
      </c>
      <c r="F499" s="170" t="s">
        <v>2209</v>
      </c>
    </row>
    <row r="500" spans="1:6">
      <c r="A500" s="169" t="s">
        <v>2899</v>
      </c>
      <c r="B500" s="169" t="s">
        <v>2900</v>
      </c>
      <c r="C500" s="169" t="s">
        <v>2901</v>
      </c>
      <c r="D500" s="170">
        <v>61.5</v>
      </c>
      <c r="E500" s="170">
        <v>0</v>
      </c>
      <c r="F500" s="170" t="s">
        <v>1549</v>
      </c>
    </row>
    <row r="501" spans="1:6">
      <c r="A501" s="169" t="s">
        <v>2902</v>
      </c>
      <c r="B501" s="169" t="s">
        <v>2903</v>
      </c>
      <c r="C501" s="169" t="s">
        <v>2904</v>
      </c>
      <c r="D501" s="170">
        <v>150</v>
      </c>
      <c r="E501" s="170">
        <v>0</v>
      </c>
      <c r="F501" s="170" t="s">
        <v>2209</v>
      </c>
    </row>
    <row r="502" spans="1:6">
      <c r="A502" s="169" t="s">
        <v>2905</v>
      </c>
      <c r="B502" s="169" t="s">
        <v>2906</v>
      </c>
      <c r="C502" s="169" t="s">
        <v>2907</v>
      </c>
      <c r="D502" s="170">
        <v>5686</v>
      </c>
      <c r="E502" s="170">
        <v>0</v>
      </c>
      <c r="F502" s="170" t="s">
        <v>2209</v>
      </c>
    </row>
    <row r="503" spans="1:6">
      <c r="A503" s="169" t="s">
        <v>2908</v>
      </c>
      <c r="B503" s="169" t="s">
        <v>2909</v>
      </c>
      <c r="C503" s="169" t="s">
        <v>2910</v>
      </c>
      <c r="D503" s="170">
        <v>200</v>
      </c>
      <c r="E503" s="170">
        <v>0</v>
      </c>
      <c r="F503" s="170" t="s">
        <v>1907</v>
      </c>
    </row>
    <row r="504" spans="1:6">
      <c r="A504" s="169" t="s">
        <v>2911</v>
      </c>
      <c r="B504" s="169" t="s">
        <v>2912</v>
      </c>
      <c r="C504" s="169" t="s">
        <v>2913</v>
      </c>
      <c r="D504" s="170">
        <v>10</v>
      </c>
      <c r="E504" s="170">
        <v>0</v>
      </c>
      <c r="F504" s="170" t="s">
        <v>1635</v>
      </c>
    </row>
    <row r="505" spans="1:6">
      <c r="A505" s="169" t="s">
        <v>2914</v>
      </c>
      <c r="B505" s="169" t="s">
        <v>2915</v>
      </c>
      <c r="C505" s="169" t="s">
        <v>2916</v>
      </c>
      <c r="D505" s="170">
        <v>40</v>
      </c>
      <c r="E505" s="170">
        <v>0</v>
      </c>
      <c r="F505" s="170" t="s">
        <v>2000</v>
      </c>
    </row>
    <row r="506" spans="1:6">
      <c r="A506" s="169" t="s">
        <v>2917</v>
      </c>
      <c r="B506" s="169" t="s">
        <v>2918</v>
      </c>
      <c r="C506" s="169" t="s">
        <v>2919</v>
      </c>
      <c r="D506" s="170">
        <v>523</v>
      </c>
      <c r="E506" s="170">
        <v>-25</v>
      </c>
      <c r="F506" s="170" t="s">
        <v>1535</v>
      </c>
    </row>
    <row r="507" spans="1:6">
      <c r="A507" s="169" t="s">
        <v>2920</v>
      </c>
      <c r="B507" s="169" t="s">
        <v>2921</v>
      </c>
      <c r="C507" s="169" t="s">
        <v>2922</v>
      </c>
      <c r="D507" s="170">
        <v>616</v>
      </c>
      <c r="E507" s="170">
        <v>0</v>
      </c>
      <c r="F507" s="170" t="s">
        <v>463</v>
      </c>
    </row>
    <row r="508" spans="1:6">
      <c r="A508" s="169" t="s">
        <v>2923</v>
      </c>
      <c r="B508" s="169" t="s">
        <v>2924</v>
      </c>
      <c r="C508" s="169" t="s">
        <v>2925</v>
      </c>
      <c r="D508" s="170">
        <v>523</v>
      </c>
      <c r="E508" s="170">
        <v>-25</v>
      </c>
      <c r="F508" s="170" t="s">
        <v>1535</v>
      </c>
    </row>
    <row r="509" spans="1:6">
      <c r="A509" s="169" t="s">
        <v>2926</v>
      </c>
      <c r="B509" s="169" t="s">
        <v>2927</v>
      </c>
      <c r="C509" s="169" t="s">
        <v>2928</v>
      </c>
      <c r="D509" s="170">
        <v>523</v>
      </c>
      <c r="E509" s="170">
        <v>-25</v>
      </c>
      <c r="F509" s="170" t="s">
        <v>1535</v>
      </c>
    </row>
    <row r="510" spans="1:6">
      <c r="A510" s="169" t="s">
        <v>2929</v>
      </c>
      <c r="B510" s="169" t="s">
        <v>2930</v>
      </c>
      <c r="C510" s="169" t="s">
        <v>2931</v>
      </c>
      <c r="D510" s="170">
        <v>523</v>
      </c>
      <c r="E510" s="170">
        <v>-25</v>
      </c>
      <c r="F510" s="170" t="s">
        <v>1535</v>
      </c>
    </row>
    <row r="511" spans="1:6">
      <c r="A511" s="169" t="s">
        <v>2932</v>
      </c>
      <c r="B511" s="169" t="s">
        <v>2933</v>
      </c>
      <c r="C511" s="169" t="s">
        <v>2934</v>
      </c>
      <c r="D511" s="170">
        <v>523</v>
      </c>
      <c r="E511" s="170">
        <v>-25</v>
      </c>
      <c r="F511" s="170" t="s">
        <v>1535</v>
      </c>
    </row>
    <row r="512" spans="1:6">
      <c r="A512" s="169" t="s">
        <v>2935</v>
      </c>
      <c r="B512" s="169" t="s">
        <v>2936</v>
      </c>
      <c r="C512" s="169" t="s">
        <v>2937</v>
      </c>
      <c r="D512" s="170">
        <v>523</v>
      </c>
      <c r="E512" s="170">
        <v>-25</v>
      </c>
      <c r="F512" s="170" t="s">
        <v>1535</v>
      </c>
    </row>
    <row r="513" spans="1:6">
      <c r="A513" s="169" t="s">
        <v>2938</v>
      </c>
      <c r="B513" s="169" t="s">
        <v>2939</v>
      </c>
      <c r="C513" s="169" t="s">
        <v>2940</v>
      </c>
      <c r="D513" s="170">
        <v>523</v>
      </c>
      <c r="E513" s="170">
        <v>-25</v>
      </c>
      <c r="F513" s="170" t="s">
        <v>1535</v>
      </c>
    </row>
    <row r="514" spans="1:6">
      <c r="A514" s="169" t="s">
        <v>2941</v>
      </c>
      <c r="B514" s="169" t="s">
        <v>2942</v>
      </c>
      <c r="C514" s="169" t="s">
        <v>2943</v>
      </c>
      <c r="D514" s="170">
        <v>523</v>
      </c>
      <c r="E514" s="170">
        <v>-25</v>
      </c>
      <c r="F514" s="170" t="s">
        <v>1535</v>
      </c>
    </row>
    <row r="515" spans="1:6">
      <c r="A515" s="169" t="s">
        <v>2944</v>
      </c>
      <c r="B515" s="169" t="s">
        <v>2945</v>
      </c>
      <c r="C515" s="169" t="s">
        <v>2946</v>
      </c>
      <c r="D515" s="170">
        <v>523</v>
      </c>
      <c r="E515" s="170">
        <v>-25</v>
      </c>
      <c r="F515" s="170" t="s">
        <v>1535</v>
      </c>
    </row>
    <row r="516" spans="1:6">
      <c r="A516" s="169" t="s">
        <v>2947</v>
      </c>
      <c r="B516" s="169" t="s">
        <v>2948</v>
      </c>
      <c r="C516" s="169" t="s">
        <v>2949</v>
      </c>
      <c r="D516" s="170">
        <v>523</v>
      </c>
      <c r="E516" s="170">
        <v>-25</v>
      </c>
      <c r="F516" s="170" t="s">
        <v>1535</v>
      </c>
    </row>
    <row r="517" spans="1:6">
      <c r="A517" s="169" t="s">
        <v>2950</v>
      </c>
      <c r="B517" s="169" t="s">
        <v>2951</v>
      </c>
      <c r="C517" s="169" t="s">
        <v>2952</v>
      </c>
      <c r="D517" s="170">
        <v>523</v>
      </c>
      <c r="E517" s="170">
        <v>-25</v>
      </c>
      <c r="F517" s="170" t="s">
        <v>1535</v>
      </c>
    </row>
    <row r="518" spans="1:6">
      <c r="A518" s="169" t="s">
        <v>2953</v>
      </c>
      <c r="B518" s="169" t="s">
        <v>2954</v>
      </c>
      <c r="C518" s="169" t="s">
        <v>2955</v>
      </c>
      <c r="D518" s="170">
        <v>523</v>
      </c>
      <c r="E518" s="170">
        <v>-25</v>
      </c>
      <c r="F518" s="170" t="s">
        <v>1535</v>
      </c>
    </row>
    <row r="519" spans="1:6">
      <c r="A519" s="169" t="s">
        <v>2956</v>
      </c>
      <c r="B519" s="169" t="s">
        <v>2957</v>
      </c>
      <c r="C519" s="169" t="s">
        <v>2958</v>
      </c>
      <c r="D519" s="170">
        <v>523</v>
      </c>
      <c r="E519" s="170">
        <v>-25</v>
      </c>
      <c r="F519" s="170" t="s">
        <v>1535</v>
      </c>
    </row>
    <row r="520" spans="1:6">
      <c r="A520" s="169" t="s">
        <v>2959</v>
      </c>
      <c r="B520" s="169" t="s">
        <v>2960</v>
      </c>
      <c r="C520" s="169" t="s">
        <v>2961</v>
      </c>
      <c r="D520" s="170">
        <v>1116</v>
      </c>
      <c r="E520" s="170">
        <v>-25</v>
      </c>
      <c r="F520" s="170" t="s">
        <v>1535</v>
      </c>
    </row>
    <row r="521" spans="1:6">
      <c r="A521" s="169" t="s">
        <v>2962</v>
      </c>
      <c r="B521" s="169" t="s">
        <v>2963</v>
      </c>
      <c r="C521" s="169" t="s">
        <v>2964</v>
      </c>
      <c r="D521" s="170">
        <v>523</v>
      </c>
      <c r="E521" s="170">
        <v>-25</v>
      </c>
      <c r="F521" s="170" t="s">
        <v>1535</v>
      </c>
    </row>
    <row r="522" spans="1:6">
      <c r="A522" s="169" t="s">
        <v>2965</v>
      </c>
      <c r="B522" s="169" t="s">
        <v>2966</v>
      </c>
      <c r="C522" s="169" t="s">
        <v>2967</v>
      </c>
      <c r="D522" s="170">
        <v>523</v>
      </c>
      <c r="E522" s="170">
        <v>-25</v>
      </c>
      <c r="F522" s="170" t="s">
        <v>1535</v>
      </c>
    </row>
    <row r="523" spans="1:6">
      <c r="A523" s="169" t="s">
        <v>2968</v>
      </c>
      <c r="B523" s="169" t="s">
        <v>2969</v>
      </c>
      <c r="C523" s="169" t="s">
        <v>2970</v>
      </c>
      <c r="D523" s="170">
        <v>616</v>
      </c>
      <c r="E523" s="170">
        <v>0</v>
      </c>
      <c r="F523" s="170" t="s">
        <v>463</v>
      </c>
    </row>
    <row r="524" spans="1:6">
      <c r="A524" s="169" t="s">
        <v>2971</v>
      </c>
      <c r="B524" s="169" t="s">
        <v>2972</v>
      </c>
      <c r="C524" s="169" t="s">
        <v>2973</v>
      </c>
      <c r="D524" s="170">
        <v>523</v>
      </c>
      <c r="E524" s="170">
        <v>-25</v>
      </c>
      <c r="F524" s="170" t="s">
        <v>1535</v>
      </c>
    </row>
    <row r="525" spans="1:6">
      <c r="A525" s="169" t="s">
        <v>2974</v>
      </c>
      <c r="B525" s="169" t="s">
        <v>2975</v>
      </c>
      <c r="C525" s="169" t="s">
        <v>2976</v>
      </c>
      <c r="D525" s="170">
        <v>523</v>
      </c>
      <c r="E525" s="170">
        <v>-25</v>
      </c>
      <c r="F525" s="170" t="s">
        <v>1535</v>
      </c>
    </row>
    <row r="526" spans="1:6">
      <c r="A526" s="169" t="s">
        <v>2977</v>
      </c>
      <c r="B526" s="169" t="s">
        <v>2978</v>
      </c>
      <c r="C526" s="169" t="s">
        <v>2979</v>
      </c>
      <c r="D526" s="170">
        <v>523</v>
      </c>
      <c r="E526" s="170">
        <v>-25</v>
      </c>
      <c r="F526" s="170" t="s">
        <v>1535</v>
      </c>
    </row>
    <row r="527" spans="1:6">
      <c r="A527" s="169" t="s">
        <v>2980</v>
      </c>
      <c r="B527" s="169" t="s">
        <v>2981</v>
      </c>
      <c r="C527" s="169" t="s">
        <v>2982</v>
      </c>
      <c r="D527" s="170">
        <v>523</v>
      </c>
      <c r="E527" s="170">
        <v>-25</v>
      </c>
      <c r="F527" s="170" t="s">
        <v>1535</v>
      </c>
    </row>
    <row r="528" spans="1:6">
      <c r="A528" s="169" t="s">
        <v>2983</v>
      </c>
      <c r="B528" s="169" t="s">
        <v>2984</v>
      </c>
      <c r="C528" s="169" t="s">
        <v>2985</v>
      </c>
      <c r="D528" s="170">
        <v>523</v>
      </c>
      <c r="E528" s="170">
        <v>-25</v>
      </c>
      <c r="F528" s="170" t="s">
        <v>1535</v>
      </c>
    </row>
    <row r="529" spans="1:6">
      <c r="A529" s="169" t="s">
        <v>2986</v>
      </c>
      <c r="B529" s="169" t="s">
        <v>2987</v>
      </c>
      <c r="C529" s="169" t="s">
        <v>2988</v>
      </c>
      <c r="D529" s="170">
        <v>523</v>
      </c>
      <c r="E529" s="170">
        <v>-25</v>
      </c>
      <c r="F529" s="170" t="s">
        <v>1535</v>
      </c>
    </row>
    <row r="530" spans="1:6">
      <c r="A530" s="169" t="s">
        <v>2989</v>
      </c>
      <c r="B530" s="169" t="s">
        <v>2990</v>
      </c>
      <c r="C530" s="169" t="s">
        <v>2991</v>
      </c>
      <c r="D530" s="170">
        <v>238</v>
      </c>
      <c r="E530" s="170">
        <v>-25</v>
      </c>
      <c r="F530" s="170" t="s">
        <v>1535</v>
      </c>
    </row>
    <row r="531" spans="1:6">
      <c r="A531" s="169" t="s">
        <v>2992</v>
      </c>
      <c r="B531" s="169" t="s">
        <v>2993</v>
      </c>
      <c r="C531" s="169" t="s">
        <v>2994</v>
      </c>
      <c r="D531" s="170">
        <v>238</v>
      </c>
      <c r="E531" s="170">
        <v>-25</v>
      </c>
      <c r="F531" s="170" t="s">
        <v>1535</v>
      </c>
    </row>
    <row r="532" spans="1:6">
      <c r="A532" s="169" t="s">
        <v>2995</v>
      </c>
      <c r="B532" s="169" t="s">
        <v>2996</v>
      </c>
      <c r="C532" s="169" t="s">
        <v>2997</v>
      </c>
      <c r="D532" s="170">
        <v>238</v>
      </c>
      <c r="E532" s="170">
        <v>-25</v>
      </c>
      <c r="F532" s="170" t="s">
        <v>1535</v>
      </c>
    </row>
    <row r="533" spans="1:6">
      <c r="A533" s="169" t="s">
        <v>2998</v>
      </c>
      <c r="B533" s="169" t="s">
        <v>2999</v>
      </c>
      <c r="C533" s="169" t="s">
        <v>3000</v>
      </c>
      <c r="D533" s="170">
        <v>523</v>
      </c>
      <c r="E533" s="170">
        <v>-25</v>
      </c>
      <c r="F533" s="170" t="s">
        <v>1535</v>
      </c>
    </row>
    <row r="534" spans="1:6">
      <c r="A534" s="169" t="s">
        <v>3001</v>
      </c>
      <c r="B534" s="169" t="s">
        <v>3002</v>
      </c>
      <c r="C534" s="169" t="s">
        <v>3000</v>
      </c>
      <c r="D534" s="170">
        <v>523</v>
      </c>
      <c r="E534" s="170">
        <v>-25</v>
      </c>
      <c r="F534" s="170" t="s">
        <v>1535</v>
      </c>
    </row>
    <row r="535" spans="1:6">
      <c r="A535" s="169" t="s">
        <v>3003</v>
      </c>
      <c r="B535" s="169" t="s">
        <v>3004</v>
      </c>
      <c r="C535" s="169" t="s">
        <v>3000</v>
      </c>
      <c r="D535" s="170">
        <v>523</v>
      </c>
      <c r="E535" s="170">
        <v>-25</v>
      </c>
      <c r="F535" s="170" t="s">
        <v>1535</v>
      </c>
    </row>
    <row r="536" spans="1:6">
      <c r="A536" s="169" t="s">
        <v>3005</v>
      </c>
      <c r="B536" s="169" t="s">
        <v>3006</v>
      </c>
      <c r="C536" s="169" t="s">
        <v>3000</v>
      </c>
      <c r="D536" s="170">
        <v>523</v>
      </c>
      <c r="E536" s="170">
        <v>-25</v>
      </c>
      <c r="F536" s="170" t="s">
        <v>1535</v>
      </c>
    </row>
    <row r="537" spans="1:6">
      <c r="A537" s="169" t="s">
        <v>3007</v>
      </c>
      <c r="B537" s="169" t="s">
        <v>3008</v>
      </c>
      <c r="C537" s="169" t="s">
        <v>3000</v>
      </c>
      <c r="D537" s="170">
        <v>523</v>
      </c>
      <c r="E537" s="170">
        <v>-25</v>
      </c>
      <c r="F537" s="170" t="s">
        <v>1535</v>
      </c>
    </row>
    <row r="538" spans="1:6">
      <c r="A538" s="169" t="s">
        <v>3009</v>
      </c>
      <c r="B538" s="169" t="s">
        <v>3010</v>
      </c>
      <c r="C538" s="169" t="s">
        <v>3000</v>
      </c>
      <c r="D538" s="170">
        <v>523</v>
      </c>
      <c r="E538" s="170">
        <v>-25</v>
      </c>
      <c r="F538" s="170" t="s">
        <v>1535</v>
      </c>
    </row>
    <row r="539" spans="1:6">
      <c r="A539" s="169" t="s">
        <v>3011</v>
      </c>
      <c r="B539" s="169" t="s">
        <v>3012</v>
      </c>
      <c r="C539" s="169" t="s">
        <v>3000</v>
      </c>
      <c r="D539" s="170">
        <v>523</v>
      </c>
      <c r="E539" s="170">
        <v>-25</v>
      </c>
      <c r="F539" s="170" t="s">
        <v>1535</v>
      </c>
    </row>
    <row r="540" spans="1:6">
      <c r="A540" s="169" t="s">
        <v>3013</v>
      </c>
      <c r="B540" s="169" t="s">
        <v>3014</v>
      </c>
      <c r="C540" s="169" t="s">
        <v>3000</v>
      </c>
      <c r="D540" s="170">
        <v>523</v>
      </c>
      <c r="E540" s="170">
        <v>-25</v>
      </c>
      <c r="F540" s="170" t="s">
        <v>1535</v>
      </c>
    </row>
    <row r="541" spans="1:6">
      <c r="A541" s="169" t="s">
        <v>3015</v>
      </c>
      <c r="B541" s="169" t="s">
        <v>3016</v>
      </c>
      <c r="C541" s="169" t="s">
        <v>3000</v>
      </c>
      <c r="D541" s="170">
        <v>523</v>
      </c>
      <c r="E541" s="170">
        <v>-25</v>
      </c>
      <c r="F541" s="170" t="s">
        <v>1535</v>
      </c>
    </row>
    <row r="542" spans="1:6">
      <c r="A542" s="169" t="s">
        <v>3017</v>
      </c>
      <c r="B542" s="169" t="s">
        <v>3018</v>
      </c>
      <c r="C542" s="169" t="s">
        <v>3000</v>
      </c>
      <c r="D542" s="170">
        <v>523</v>
      </c>
      <c r="E542" s="170">
        <v>-25</v>
      </c>
      <c r="F542" s="170" t="s">
        <v>1535</v>
      </c>
    </row>
    <row r="543" spans="1:6">
      <c r="A543" s="169" t="s">
        <v>3019</v>
      </c>
      <c r="B543" s="169" t="s">
        <v>3020</v>
      </c>
      <c r="C543" s="169" t="s">
        <v>3021</v>
      </c>
      <c r="D543" s="170">
        <v>200</v>
      </c>
      <c r="E543" s="170">
        <v>0</v>
      </c>
      <c r="F543" s="170" t="s">
        <v>1888</v>
      </c>
    </row>
    <row r="544" spans="1:6">
      <c r="A544" s="169" t="s">
        <v>3022</v>
      </c>
      <c r="B544" s="169" t="s">
        <v>3023</v>
      </c>
      <c r="C544" s="169" t="s">
        <v>3024</v>
      </c>
      <c r="D544" s="170">
        <v>200</v>
      </c>
      <c r="E544" s="170">
        <v>0</v>
      </c>
      <c r="F544" s="170" t="s">
        <v>1888</v>
      </c>
    </row>
    <row r="545" spans="1:6">
      <c r="A545" s="169" t="s">
        <v>3025</v>
      </c>
      <c r="B545" s="169" t="s">
        <v>3026</v>
      </c>
      <c r="C545" s="169" t="s">
        <v>3027</v>
      </c>
      <c r="D545" s="170">
        <v>720</v>
      </c>
      <c r="E545" s="170">
        <v>0</v>
      </c>
      <c r="F545" s="170" t="s">
        <v>1549</v>
      </c>
    </row>
    <row r="546" spans="1:6">
      <c r="A546" s="169" t="s">
        <v>3028</v>
      </c>
      <c r="B546" s="169" t="s">
        <v>3029</v>
      </c>
      <c r="C546" s="169" t="s">
        <v>3030</v>
      </c>
      <c r="D546" s="170">
        <v>598</v>
      </c>
      <c r="E546" s="170">
        <v>0</v>
      </c>
      <c r="F546" s="170" t="s">
        <v>1549</v>
      </c>
    </row>
    <row r="547" spans="1:6">
      <c r="A547" s="169" t="s">
        <v>3031</v>
      </c>
      <c r="B547" s="169" t="s">
        <v>3032</v>
      </c>
      <c r="C547" s="169" t="s">
        <v>3033</v>
      </c>
      <c r="D547" s="170">
        <v>598</v>
      </c>
      <c r="E547" s="170">
        <v>0</v>
      </c>
      <c r="F547" s="170" t="s">
        <v>1549</v>
      </c>
    </row>
    <row r="548" spans="1:6">
      <c r="A548" s="169" t="s">
        <v>3034</v>
      </c>
      <c r="B548" s="169" t="s">
        <v>3035</v>
      </c>
      <c r="C548" s="169" t="s">
        <v>3036</v>
      </c>
      <c r="D548" s="170">
        <v>598</v>
      </c>
      <c r="E548" s="170">
        <v>0</v>
      </c>
      <c r="F548" s="170" t="s">
        <v>1549</v>
      </c>
    </row>
    <row r="549" spans="1:6">
      <c r="A549" s="169" t="s">
        <v>3037</v>
      </c>
      <c r="B549" s="169" t="s">
        <v>3038</v>
      </c>
      <c r="C549" s="169" t="s">
        <v>3027</v>
      </c>
      <c r="D549" s="170">
        <v>1839</v>
      </c>
      <c r="E549" s="170">
        <v>0</v>
      </c>
      <c r="F549" s="170" t="s">
        <v>1549</v>
      </c>
    </row>
    <row r="550" spans="1:6">
      <c r="A550" s="169" t="s">
        <v>3039</v>
      </c>
      <c r="B550" s="169" t="s">
        <v>3040</v>
      </c>
      <c r="C550" s="169" t="s">
        <v>3041</v>
      </c>
      <c r="D550" s="170">
        <v>87.58</v>
      </c>
      <c r="E550" s="170">
        <v>0</v>
      </c>
      <c r="F550" s="170" t="s">
        <v>1949</v>
      </c>
    </row>
    <row r="551" spans="1:6">
      <c r="A551" s="169" t="s">
        <v>3042</v>
      </c>
      <c r="B551" s="169" t="s">
        <v>3043</v>
      </c>
      <c r="C551" s="169" t="s">
        <v>1542</v>
      </c>
      <c r="D551" s="170">
        <v>690</v>
      </c>
      <c r="E551" s="170">
        <v>0</v>
      </c>
      <c r="F551" s="170" t="s">
        <v>1549</v>
      </c>
    </row>
    <row r="552" spans="1:6">
      <c r="A552" s="169" t="s">
        <v>3044</v>
      </c>
      <c r="B552" s="169" t="s">
        <v>3045</v>
      </c>
      <c r="C552" s="169" t="s">
        <v>3036</v>
      </c>
      <c r="D552" s="170">
        <v>598</v>
      </c>
      <c r="E552" s="170">
        <v>0</v>
      </c>
      <c r="F552" s="170" t="s">
        <v>1539</v>
      </c>
    </row>
    <row r="553" spans="1:6">
      <c r="A553" s="169" t="s">
        <v>3046</v>
      </c>
      <c r="B553" s="169" t="s">
        <v>3047</v>
      </c>
      <c r="C553" s="169" t="s">
        <v>3041</v>
      </c>
      <c r="D553" s="170">
        <v>87.58</v>
      </c>
      <c r="E553" s="170">
        <v>0</v>
      </c>
      <c r="F553" s="170" t="s">
        <v>1949</v>
      </c>
    </row>
    <row r="554" spans="1:6">
      <c r="A554" s="169" t="s">
        <v>3048</v>
      </c>
      <c r="B554" s="169" t="s">
        <v>3049</v>
      </c>
      <c r="C554" s="169" t="s">
        <v>3050</v>
      </c>
      <c r="D554" s="170">
        <v>690</v>
      </c>
      <c r="E554" s="170">
        <v>0</v>
      </c>
      <c r="F554" s="170" t="s">
        <v>1549</v>
      </c>
    </row>
    <row r="555" spans="1:6">
      <c r="A555" s="169" t="s">
        <v>3051</v>
      </c>
      <c r="B555" s="169" t="s">
        <v>3052</v>
      </c>
      <c r="C555" s="169" t="s">
        <v>3053</v>
      </c>
      <c r="D555" s="170">
        <v>2500</v>
      </c>
      <c r="E555" s="170">
        <v>0</v>
      </c>
      <c r="F555" s="170" t="s">
        <v>2209</v>
      </c>
    </row>
    <row r="556" spans="1:6">
      <c r="A556" s="169" t="s">
        <v>3054</v>
      </c>
      <c r="B556" s="169" t="s">
        <v>3055</v>
      </c>
      <c r="C556" s="169" t="s">
        <v>3056</v>
      </c>
      <c r="D556" s="170">
        <v>139</v>
      </c>
      <c r="E556" s="170">
        <v>0</v>
      </c>
      <c r="F556" s="170" t="s">
        <v>1549</v>
      </c>
    </row>
    <row r="557" spans="1:6">
      <c r="A557" s="169" t="s">
        <v>3057</v>
      </c>
      <c r="B557" s="169" t="s">
        <v>3058</v>
      </c>
      <c r="C557" s="169" t="s">
        <v>3059</v>
      </c>
      <c r="D557" s="170">
        <v>100</v>
      </c>
      <c r="E557" s="170">
        <v>0</v>
      </c>
      <c r="F557" s="170" t="s">
        <v>463</v>
      </c>
    </row>
    <row r="558" spans="1:6">
      <c r="A558" s="169" t="s">
        <v>3060</v>
      </c>
      <c r="B558" s="169" t="s">
        <v>3061</v>
      </c>
      <c r="C558" s="169" t="s">
        <v>3062</v>
      </c>
      <c r="D558" s="170">
        <v>100</v>
      </c>
      <c r="E558" s="170">
        <v>0</v>
      </c>
      <c r="F558" s="170" t="s">
        <v>463</v>
      </c>
    </row>
    <row r="559" spans="1:6">
      <c r="A559" s="169" t="s">
        <v>3063</v>
      </c>
      <c r="B559" s="169" t="s">
        <v>3064</v>
      </c>
      <c r="C559" s="169" t="s">
        <v>3059</v>
      </c>
      <c r="D559" s="170">
        <v>100</v>
      </c>
      <c r="E559" s="170">
        <v>0</v>
      </c>
      <c r="F559" s="170" t="s">
        <v>1577</v>
      </c>
    </row>
    <row r="560" spans="1:6">
      <c r="A560" s="169" t="s">
        <v>3065</v>
      </c>
      <c r="B560" s="169" t="s">
        <v>3066</v>
      </c>
      <c r="C560" s="169" t="s">
        <v>3059</v>
      </c>
      <c r="D560" s="170">
        <v>100</v>
      </c>
      <c r="E560" s="170">
        <v>0</v>
      </c>
      <c r="F560" s="170" t="s">
        <v>1577</v>
      </c>
    </row>
    <row r="561" spans="1:6">
      <c r="A561" s="169" t="s">
        <v>3067</v>
      </c>
      <c r="B561" s="169" t="s">
        <v>3068</v>
      </c>
      <c r="C561" s="169" t="s">
        <v>3059</v>
      </c>
      <c r="D561" s="170">
        <v>100</v>
      </c>
      <c r="E561" s="170">
        <v>0</v>
      </c>
      <c r="F561" s="170" t="s">
        <v>1577</v>
      </c>
    </row>
    <row r="562" spans="1:6">
      <c r="A562" s="169" t="s">
        <v>3069</v>
      </c>
      <c r="B562" s="169" t="s">
        <v>3070</v>
      </c>
      <c r="C562" s="169" t="s">
        <v>3062</v>
      </c>
      <c r="D562" s="170">
        <v>100</v>
      </c>
      <c r="E562" s="170">
        <v>0</v>
      </c>
      <c r="F562" s="170" t="s">
        <v>1577</v>
      </c>
    </row>
    <row r="563" spans="1:6">
      <c r="A563" s="169" t="s">
        <v>3071</v>
      </c>
      <c r="B563" s="169" t="s">
        <v>3072</v>
      </c>
      <c r="C563" s="169" t="s">
        <v>3062</v>
      </c>
      <c r="D563" s="170">
        <v>100</v>
      </c>
      <c r="E563" s="170">
        <v>0</v>
      </c>
      <c r="F563" s="170" t="s">
        <v>1577</v>
      </c>
    </row>
    <row r="564" spans="1:6">
      <c r="A564" s="169" t="s">
        <v>3073</v>
      </c>
      <c r="B564" s="169" t="s">
        <v>3074</v>
      </c>
      <c r="C564" s="169" t="s">
        <v>3062</v>
      </c>
      <c r="D564" s="170">
        <v>100</v>
      </c>
      <c r="E564" s="170">
        <v>0</v>
      </c>
      <c r="F564" s="170" t="s">
        <v>1577</v>
      </c>
    </row>
    <row r="565" spans="1:6">
      <c r="A565" s="169" t="s">
        <v>3075</v>
      </c>
      <c r="B565" s="169" t="s">
        <v>3076</v>
      </c>
      <c r="C565" s="169" t="s">
        <v>3077</v>
      </c>
      <c r="D565" s="170">
        <v>15</v>
      </c>
      <c r="E565" s="170">
        <v>0</v>
      </c>
      <c r="F565" s="170" t="s">
        <v>1635</v>
      </c>
    </row>
    <row r="566" spans="1:6">
      <c r="A566" s="169" t="s">
        <v>3078</v>
      </c>
      <c r="B566" s="169" t="s">
        <v>3079</v>
      </c>
      <c r="C566" s="169" t="s">
        <v>3062</v>
      </c>
      <c r="D566" s="170">
        <v>40</v>
      </c>
      <c r="E566" s="170">
        <v>0</v>
      </c>
      <c r="F566" s="170" t="s">
        <v>2000</v>
      </c>
    </row>
    <row r="567" spans="1:6">
      <c r="A567" s="169" t="s">
        <v>3080</v>
      </c>
      <c r="B567" s="169" t="s">
        <v>3081</v>
      </c>
      <c r="C567" s="169" t="s">
        <v>3059</v>
      </c>
      <c r="D567" s="170">
        <v>10</v>
      </c>
      <c r="E567" s="170">
        <v>0</v>
      </c>
      <c r="F567" s="170" t="s">
        <v>2000</v>
      </c>
    </row>
    <row r="568" spans="1:6">
      <c r="A568" s="169" t="s">
        <v>3082</v>
      </c>
      <c r="B568" s="169" t="s">
        <v>3083</v>
      </c>
      <c r="C568" s="169" t="s">
        <v>3084</v>
      </c>
      <c r="D568" s="170">
        <v>3</v>
      </c>
      <c r="E568" s="170">
        <v>0</v>
      </c>
      <c r="F568" s="170" t="s">
        <v>1635</v>
      </c>
    </row>
    <row r="569" spans="1:6">
      <c r="A569" s="169" t="s">
        <v>3085</v>
      </c>
      <c r="B569" s="169" t="s">
        <v>3086</v>
      </c>
      <c r="C569" s="169" t="s">
        <v>3087</v>
      </c>
      <c r="D569" s="170">
        <v>40</v>
      </c>
      <c r="E569" s="170">
        <v>0</v>
      </c>
      <c r="F569" s="170" t="s">
        <v>1635</v>
      </c>
    </row>
    <row r="570" spans="1:6">
      <c r="A570" s="169" t="s">
        <v>3088</v>
      </c>
      <c r="B570" s="169" t="s">
        <v>3089</v>
      </c>
      <c r="C570" s="169" t="s">
        <v>3090</v>
      </c>
      <c r="D570" s="170">
        <v>60</v>
      </c>
      <c r="E570" s="170">
        <v>0</v>
      </c>
      <c r="F570" s="170" t="s">
        <v>1635</v>
      </c>
    </row>
    <row r="571" spans="1:6">
      <c r="A571" s="169" t="s">
        <v>3091</v>
      </c>
      <c r="B571" s="169" t="s">
        <v>3092</v>
      </c>
      <c r="C571" s="169" t="s">
        <v>3093</v>
      </c>
      <c r="D571" s="170">
        <v>20000</v>
      </c>
      <c r="E571" s="170">
        <v>0</v>
      </c>
      <c r="F571" s="170" t="s">
        <v>3094</v>
      </c>
    </row>
    <row r="572" spans="1:6">
      <c r="A572" s="169" t="s">
        <v>3095</v>
      </c>
      <c r="B572" s="169" t="s">
        <v>3096</v>
      </c>
      <c r="C572" s="169" t="s">
        <v>3097</v>
      </c>
      <c r="D572" s="170">
        <v>20000</v>
      </c>
      <c r="E572" s="170">
        <v>0</v>
      </c>
      <c r="F572" s="170" t="s">
        <v>3094</v>
      </c>
    </row>
    <row r="573" spans="1:6">
      <c r="A573" s="169" t="s">
        <v>3098</v>
      </c>
      <c r="B573" s="169" t="s">
        <v>3099</v>
      </c>
      <c r="C573" s="169" t="s">
        <v>3100</v>
      </c>
      <c r="D573" s="170">
        <v>100</v>
      </c>
      <c r="E573" s="170">
        <v>0</v>
      </c>
      <c r="F573" s="170" t="s">
        <v>1577</v>
      </c>
    </row>
    <row r="574" spans="1:6">
      <c r="A574" s="169" t="s">
        <v>3101</v>
      </c>
      <c r="B574" s="169" t="s">
        <v>3102</v>
      </c>
      <c r="C574" s="169" t="s">
        <v>2988</v>
      </c>
      <c r="D574" s="170">
        <v>624</v>
      </c>
      <c r="E574" s="170">
        <v>-19</v>
      </c>
      <c r="F574" s="170" t="s">
        <v>1535</v>
      </c>
    </row>
    <row r="575" spans="1:6">
      <c r="A575" s="169" t="s">
        <v>3103</v>
      </c>
      <c r="B575" s="169" t="s">
        <v>3104</v>
      </c>
      <c r="C575" s="169" t="s">
        <v>3105</v>
      </c>
      <c r="D575" s="170">
        <v>250</v>
      </c>
      <c r="E575" s="170">
        <v>0</v>
      </c>
      <c r="F575" s="170" t="s">
        <v>3106</v>
      </c>
    </row>
    <row r="576" spans="1:6">
      <c r="A576" s="169" t="s">
        <v>3107</v>
      </c>
      <c r="B576" s="169" t="s">
        <v>3108</v>
      </c>
      <c r="C576" s="169" t="s">
        <v>3109</v>
      </c>
      <c r="D576" s="170">
        <v>5</v>
      </c>
      <c r="E576" s="170">
        <v>0</v>
      </c>
      <c r="F576" s="170" t="s">
        <v>2000</v>
      </c>
    </row>
    <row r="577" spans="1:6">
      <c r="A577" s="169" t="s">
        <v>3110</v>
      </c>
      <c r="B577" s="169" t="s">
        <v>3111</v>
      </c>
      <c r="C577" s="169" t="s">
        <v>3112</v>
      </c>
      <c r="D577" s="170">
        <v>5</v>
      </c>
      <c r="E577" s="170">
        <v>0</v>
      </c>
      <c r="F577" s="170" t="s">
        <v>2000</v>
      </c>
    </row>
    <row r="578" spans="1:6">
      <c r="A578" s="169" t="s">
        <v>3113</v>
      </c>
      <c r="B578" s="169" t="s">
        <v>3114</v>
      </c>
      <c r="C578" s="169" t="s">
        <v>3115</v>
      </c>
      <c r="D578" s="170">
        <v>10</v>
      </c>
      <c r="E578" s="170">
        <v>0</v>
      </c>
      <c r="F578" s="170" t="s">
        <v>1635</v>
      </c>
    </row>
    <row r="579" spans="1:6">
      <c r="A579" s="169" t="s">
        <v>3116</v>
      </c>
      <c r="B579" s="169" t="s">
        <v>3117</v>
      </c>
      <c r="C579" s="169" t="s">
        <v>3118</v>
      </c>
      <c r="D579" s="170">
        <v>10</v>
      </c>
      <c r="E579" s="170">
        <v>0</v>
      </c>
      <c r="F579" s="170" t="s">
        <v>2000</v>
      </c>
    </row>
    <row r="580" spans="1:6">
      <c r="A580" s="169" t="s">
        <v>3119</v>
      </c>
      <c r="B580" s="169" t="s">
        <v>3120</v>
      </c>
      <c r="C580" s="169" t="s">
        <v>3109</v>
      </c>
      <c r="D580" s="170">
        <v>5</v>
      </c>
      <c r="E580" s="170">
        <v>0</v>
      </c>
      <c r="F580" s="170" t="s">
        <v>2000</v>
      </c>
    </row>
    <row r="581" spans="1:6">
      <c r="A581" s="169" t="s">
        <v>3121</v>
      </c>
      <c r="B581" s="169" t="s">
        <v>3122</v>
      </c>
      <c r="C581" s="169" t="s">
        <v>3123</v>
      </c>
      <c r="D581" s="170">
        <v>5</v>
      </c>
      <c r="E581" s="170">
        <v>0</v>
      </c>
      <c r="F581" s="170" t="s">
        <v>2000</v>
      </c>
    </row>
    <row r="582" spans="1:6">
      <c r="A582" s="169" t="s">
        <v>3124</v>
      </c>
      <c r="B582" s="169" t="s">
        <v>3125</v>
      </c>
      <c r="C582" s="169" t="s">
        <v>3112</v>
      </c>
      <c r="D582" s="170">
        <v>5</v>
      </c>
      <c r="E582" s="170">
        <v>0</v>
      </c>
      <c r="F582" s="170" t="s">
        <v>2000</v>
      </c>
    </row>
    <row r="583" spans="1:6">
      <c r="A583" s="169" t="s">
        <v>3126</v>
      </c>
      <c r="B583" s="169" t="s">
        <v>3127</v>
      </c>
      <c r="C583" s="169" t="s">
        <v>3128</v>
      </c>
      <c r="D583" s="170">
        <v>50</v>
      </c>
      <c r="E583" s="170">
        <v>0</v>
      </c>
      <c r="F583" s="170" t="s">
        <v>2000</v>
      </c>
    </row>
    <row r="584" spans="1:6">
      <c r="A584" s="169" t="s">
        <v>3129</v>
      </c>
      <c r="B584" s="169" t="s">
        <v>3130</v>
      </c>
      <c r="C584" s="169" t="s">
        <v>3131</v>
      </c>
      <c r="D584" s="170">
        <v>50</v>
      </c>
      <c r="E584" s="170">
        <v>0</v>
      </c>
      <c r="F584" s="170" t="s">
        <v>2000</v>
      </c>
    </row>
    <row r="585" spans="1:6">
      <c r="A585" s="169" t="s">
        <v>3132</v>
      </c>
      <c r="B585" s="169" t="s">
        <v>3133</v>
      </c>
      <c r="C585" s="169" t="s">
        <v>3134</v>
      </c>
      <c r="D585" s="170">
        <v>5</v>
      </c>
      <c r="E585" s="170">
        <v>0</v>
      </c>
      <c r="F585" s="170" t="s">
        <v>2000</v>
      </c>
    </row>
    <row r="586" spans="1:6">
      <c r="A586" s="169" t="s">
        <v>3135</v>
      </c>
      <c r="B586" s="169" t="s">
        <v>3136</v>
      </c>
      <c r="C586" s="169" t="s">
        <v>3137</v>
      </c>
      <c r="D586" s="170">
        <v>5</v>
      </c>
      <c r="E586" s="170">
        <v>0</v>
      </c>
      <c r="F586" s="170" t="s">
        <v>2000</v>
      </c>
    </row>
    <row r="587" spans="1:6">
      <c r="A587" s="169" t="s">
        <v>3138</v>
      </c>
      <c r="B587" s="169" t="s">
        <v>3139</v>
      </c>
      <c r="C587" s="169" t="s">
        <v>3140</v>
      </c>
      <c r="D587" s="170">
        <v>5</v>
      </c>
      <c r="E587" s="170">
        <v>0</v>
      </c>
      <c r="F587" s="170" t="s">
        <v>2000</v>
      </c>
    </row>
    <row r="588" spans="1:6">
      <c r="A588" s="169" t="s">
        <v>3141</v>
      </c>
      <c r="B588" s="169" t="s">
        <v>3142</v>
      </c>
      <c r="C588" s="169" t="s">
        <v>3143</v>
      </c>
      <c r="D588" s="170">
        <v>5</v>
      </c>
      <c r="E588" s="170">
        <v>0</v>
      </c>
      <c r="F588" s="170" t="s">
        <v>2000</v>
      </c>
    </row>
    <row r="589" spans="1:6">
      <c r="A589" s="169" t="s">
        <v>3144</v>
      </c>
      <c r="B589" s="169" t="s">
        <v>3145</v>
      </c>
      <c r="C589" s="169" t="s">
        <v>3146</v>
      </c>
      <c r="D589" s="170">
        <v>400</v>
      </c>
      <c r="E589" s="170">
        <v>0</v>
      </c>
      <c r="F589" s="170" t="s">
        <v>1535</v>
      </c>
    </row>
    <row r="590" spans="1:6">
      <c r="A590" s="169" t="s">
        <v>3147</v>
      </c>
      <c r="B590" s="169" t="s">
        <v>3148</v>
      </c>
      <c r="C590" s="169" t="s">
        <v>3149</v>
      </c>
      <c r="D590" s="170">
        <v>1200</v>
      </c>
      <c r="E590" s="170">
        <v>0</v>
      </c>
      <c r="F590" s="170" t="s">
        <v>1535</v>
      </c>
    </row>
    <row r="591" spans="1:6">
      <c r="A591" s="169" t="s">
        <v>3150</v>
      </c>
      <c r="B591" s="169" t="s">
        <v>3151</v>
      </c>
      <c r="C591" s="169" t="s">
        <v>3149</v>
      </c>
      <c r="D591" s="170">
        <v>1200</v>
      </c>
      <c r="E591" s="170">
        <v>0</v>
      </c>
      <c r="F591" s="170" t="s">
        <v>1535</v>
      </c>
    </row>
    <row r="592" spans="1:6">
      <c r="A592" s="169" t="s">
        <v>3152</v>
      </c>
      <c r="B592" s="169" t="s">
        <v>3153</v>
      </c>
      <c r="C592" s="169" t="s">
        <v>3149</v>
      </c>
      <c r="D592" s="170">
        <v>1200</v>
      </c>
      <c r="E592" s="170">
        <v>0</v>
      </c>
      <c r="F592" s="170" t="s">
        <v>1535</v>
      </c>
    </row>
    <row r="593" spans="1:6">
      <c r="A593" s="169" t="s">
        <v>3154</v>
      </c>
      <c r="B593" s="169" t="s">
        <v>3155</v>
      </c>
      <c r="C593" s="169" t="s">
        <v>3149</v>
      </c>
      <c r="D593" s="170">
        <v>1200</v>
      </c>
      <c r="E593" s="170">
        <v>0</v>
      </c>
      <c r="F593" s="170" t="s">
        <v>1535</v>
      </c>
    </row>
    <row r="594" spans="1:6">
      <c r="A594" s="169" t="s">
        <v>3156</v>
      </c>
      <c r="B594" s="169" t="s">
        <v>3157</v>
      </c>
      <c r="C594" s="169" t="s">
        <v>3149</v>
      </c>
      <c r="D594" s="170">
        <v>1200</v>
      </c>
      <c r="E594" s="170">
        <v>0</v>
      </c>
      <c r="F594" s="170" t="s">
        <v>1535</v>
      </c>
    </row>
    <row r="595" spans="1:6">
      <c r="A595" s="169" t="s">
        <v>3158</v>
      </c>
      <c r="B595" s="169" t="s">
        <v>3159</v>
      </c>
      <c r="C595" s="169" t="s">
        <v>3149</v>
      </c>
      <c r="D595" s="170">
        <v>1200</v>
      </c>
      <c r="E595" s="170">
        <v>0</v>
      </c>
      <c r="F595" s="170" t="s">
        <v>1535</v>
      </c>
    </row>
    <row r="596" spans="1:6">
      <c r="A596" s="169" t="s">
        <v>3160</v>
      </c>
      <c r="B596" s="169" t="s">
        <v>3161</v>
      </c>
      <c r="C596" s="169" t="s">
        <v>3149</v>
      </c>
      <c r="D596" s="170">
        <v>1200</v>
      </c>
      <c r="E596" s="170">
        <v>0</v>
      </c>
      <c r="F596" s="170" t="s">
        <v>1535</v>
      </c>
    </row>
    <row r="597" spans="1:6">
      <c r="A597" s="169" t="s">
        <v>3162</v>
      </c>
      <c r="B597" s="169" t="s">
        <v>3163</v>
      </c>
      <c r="C597" s="169" t="s">
        <v>3149</v>
      </c>
      <c r="D597" s="170">
        <v>1200</v>
      </c>
      <c r="E597" s="170">
        <v>0</v>
      </c>
      <c r="F597" s="170" t="s">
        <v>1535</v>
      </c>
    </row>
    <row r="598" spans="1:6">
      <c r="A598" s="169" t="s">
        <v>3164</v>
      </c>
      <c r="B598" s="169" t="s">
        <v>3165</v>
      </c>
      <c r="C598" s="169" t="s">
        <v>3149</v>
      </c>
      <c r="D598" s="170">
        <v>1200</v>
      </c>
      <c r="E598" s="170">
        <v>0</v>
      </c>
      <c r="F598" s="170" t="s">
        <v>1535</v>
      </c>
    </row>
    <row r="599" spans="1:6">
      <c r="A599" s="169" t="s">
        <v>3166</v>
      </c>
      <c r="B599" s="169" t="s">
        <v>3167</v>
      </c>
      <c r="C599" s="169" t="s">
        <v>3149</v>
      </c>
      <c r="D599" s="170">
        <v>1200</v>
      </c>
      <c r="E599" s="170">
        <v>0</v>
      </c>
      <c r="F599" s="170" t="s">
        <v>1535</v>
      </c>
    </row>
    <row r="600" spans="1:6">
      <c r="A600" s="169" t="s">
        <v>3168</v>
      </c>
      <c r="B600" s="169" t="s">
        <v>3169</v>
      </c>
      <c r="C600" s="169" t="s">
        <v>3149</v>
      </c>
      <c r="D600" s="170">
        <v>1200</v>
      </c>
      <c r="E600" s="170">
        <v>0</v>
      </c>
      <c r="F600" s="170" t="s">
        <v>1535</v>
      </c>
    </row>
    <row r="601" spans="1:6">
      <c r="A601" s="169" t="s">
        <v>3170</v>
      </c>
      <c r="B601" s="169" t="s">
        <v>3171</v>
      </c>
      <c r="C601" s="169" t="s">
        <v>3149</v>
      </c>
      <c r="D601" s="170">
        <v>1200</v>
      </c>
      <c r="E601" s="170">
        <v>0</v>
      </c>
      <c r="F601" s="170" t="s">
        <v>1535</v>
      </c>
    </row>
    <row r="602" spans="1:6">
      <c r="A602" s="169" t="s">
        <v>3172</v>
      </c>
      <c r="B602" s="169" t="s">
        <v>3173</v>
      </c>
      <c r="C602" s="169" t="s">
        <v>3174</v>
      </c>
      <c r="D602" s="170">
        <v>100</v>
      </c>
      <c r="E602" s="170">
        <v>0</v>
      </c>
      <c r="F602" s="170" t="s">
        <v>1535</v>
      </c>
    </row>
    <row r="603" spans="1:6">
      <c r="A603" s="169" t="s">
        <v>3175</v>
      </c>
      <c r="B603" s="169" t="s">
        <v>3176</v>
      </c>
      <c r="C603" s="169" t="s">
        <v>3177</v>
      </c>
      <c r="D603" s="170">
        <v>125</v>
      </c>
      <c r="E603" s="170">
        <v>0</v>
      </c>
      <c r="F603" s="170" t="s">
        <v>1907</v>
      </c>
    </row>
    <row r="604" spans="1:6">
      <c r="A604" s="169" t="s">
        <v>3178</v>
      </c>
      <c r="B604" s="169" t="s">
        <v>3179</v>
      </c>
      <c r="C604" s="169" t="s">
        <v>3180</v>
      </c>
      <c r="D604" s="170">
        <v>125</v>
      </c>
      <c r="E604" s="170">
        <v>0</v>
      </c>
      <c r="F604" s="170" t="s">
        <v>1907</v>
      </c>
    </row>
    <row r="605" spans="1:6">
      <c r="A605" s="169" t="s">
        <v>3181</v>
      </c>
      <c r="B605" s="169" t="s">
        <v>3182</v>
      </c>
      <c r="C605" s="169" t="s">
        <v>3183</v>
      </c>
      <c r="D605" s="170">
        <v>125</v>
      </c>
      <c r="E605" s="170">
        <v>0</v>
      </c>
      <c r="F605" s="170" t="s">
        <v>1907</v>
      </c>
    </row>
    <row r="606" spans="1:6">
      <c r="A606" s="169" t="s">
        <v>3184</v>
      </c>
      <c r="B606" s="169" t="s">
        <v>3185</v>
      </c>
      <c r="C606" s="169" t="s">
        <v>3186</v>
      </c>
      <c r="D606" s="170">
        <v>100</v>
      </c>
      <c r="E606" s="170">
        <v>0</v>
      </c>
      <c r="F606" s="170" t="s">
        <v>463</v>
      </c>
    </row>
    <row r="607" spans="1:6">
      <c r="A607" s="169" t="s">
        <v>3187</v>
      </c>
      <c r="B607" s="169" t="s">
        <v>3188</v>
      </c>
      <c r="C607" s="169" t="s">
        <v>3189</v>
      </c>
      <c r="D607" s="170">
        <v>100</v>
      </c>
      <c r="E607" s="170">
        <v>0</v>
      </c>
      <c r="F607" s="170" t="s">
        <v>463</v>
      </c>
    </row>
    <row r="608" spans="1:6">
      <c r="A608" s="169" t="s">
        <v>3190</v>
      </c>
      <c r="B608" s="169" t="s">
        <v>3191</v>
      </c>
      <c r="C608" s="169" t="s">
        <v>3192</v>
      </c>
      <c r="D608" s="170">
        <v>100</v>
      </c>
      <c r="E608" s="170">
        <v>0</v>
      </c>
      <c r="F608" s="170" t="s">
        <v>463</v>
      </c>
    </row>
    <row r="609" spans="1:6">
      <c r="A609" s="169" t="s">
        <v>3193</v>
      </c>
      <c r="B609" s="169" t="s">
        <v>3194</v>
      </c>
      <c r="C609" s="169" t="s">
        <v>3195</v>
      </c>
      <c r="D609" s="170">
        <v>100</v>
      </c>
      <c r="E609" s="170">
        <v>0</v>
      </c>
      <c r="F609" s="170" t="s">
        <v>463</v>
      </c>
    </row>
    <row r="610" spans="1:6">
      <c r="A610" s="169" t="s">
        <v>3196</v>
      </c>
      <c r="B610" s="169" t="s">
        <v>3197</v>
      </c>
      <c r="C610" s="169" t="s">
        <v>3198</v>
      </c>
      <c r="D610" s="170">
        <v>70</v>
      </c>
      <c r="E610" s="170">
        <v>-70</v>
      </c>
      <c r="F610" s="170" t="s">
        <v>1639</v>
      </c>
    </row>
    <row r="611" spans="1:6">
      <c r="A611" s="169" t="s">
        <v>3199</v>
      </c>
      <c r="B611" s="169" t="s">
        <v>3200</v>
      </c>
      <c r="C611" s="169" t="s">
        <v>3201</v>
      </c>
      <c r="D611" s="170">
        <v>8000</v>
      </c>
      <c r="E611" s="170">
        <v>0</v>
      </c>
      <c r="F611" s="170" t="s">
        <v>2209</v>
      </c>
    </row>
    <row r="612" spans="1:6">
      <c r="A612" s="169" t="s">
        <v>3202</v>
      </c>
      <c r="B612" s="169" t="s">
        <v>3203</v>
      </c>
      <c r="C612" s="169" t="s">
        <v>3204</v>
      </c>
      <c r="D612" s="170">
        <v>13750</v>
      </c>
      <c r="E612" s="170">
        <v>0</v>
      </c>
      <c r="F612" s="170" t="s">
        <v>2209</v>
      </c>
    </row>
    <row r="613" spans="1:6">
      <c r="A613" s="169" t="s">
        <v>3205</v>
      </c>
      <c r="B613" s="169" t="s">
        <v>3206</v>
      </c>
      <c r="C613" s="169" t="s">
        <v>3207</v>
      </c>
      <c r="D613" s="170">
        <v>14</v>
      </c>
      <c r="E613" s="170">
        <v>0</v>
      </c>
      <c r="F613" s="170" t="s">
        <v>2633</v>
      </c>
    </row>
    <row r="614" spans="1:6">
      <c r="A614" s="169" t="s">
        <v>3208</v>
      </c>
      <c r="B614" s="169" t="s">
        <v>3209</v>
      </c>
      <c r="C614" s="169" t="s">
        <v>3207</v>
      </c>
      <c r="D614" s="170">
        <v>7</v>
      </c>
      <c r="E614" s="170">
        <v>-7</v>
      </c>
      <c r="F614" s="170" t="s">
        <v>2633</v>
      </c>
    </row>
    <row r="615" spans="1:6">
      <c r="A615" s="169" t="s">
        <v>3210</v>
      </c>
      <c r="B615" s="169" t="s">
        <v>3211</v>
      </c>
      <c r="C615" s="169" t="s">
        <v>3207</v>
      </c>
      <c r="D615" s="170">
        <v>1800</v>
      </c>
      <c r="E615" s="170">
        <v>0</v>
      </c>
      <c r="F615" s="170" t="s">
        <v>3212</v>
      </c>
    </row>
    <row r="616" spans="1:6">
      <c r="A616" s="169" t="s">
        <v>3213</v>
      </c>
      <c r="B616" s="169" t="s">
        <v>3214</v>
      </c>
      <c r="C616" s="169" t="s">
        <v>3215</v>
      </c>
      <c r="D616" s="170">
        <v>120</v>
      </c>
      <c r="E616" s="170">
        <v>60</v>
      </c>
      <c r="F616" s="170" t="s">
        <v>1535</v>
      </c>
    </row>
    <row r="617" spans="1:6">
      <c r="A617" s="169" t="s">
        <v>3216</v>
      </c>
      <c r="B617" s="169" t="s">
        <v>3217</v>
      </c>
      <c r="C617" s="169" t="s">
        <v>1542</v>
      </c>
      <c r="D617" s="170">
        <v>120</v>
      </c>
      <c r="E617" s="170">
        <v>60</v>
      </c>
      <c r="F617" s="170" t="s">
        <v>1535</v>
      </c>
    </row>
    <row r="618" spans="1:6">
      <c r="A618" s="169" t="s">
        <v>3218</v>
      </c>
      <c r="B618" s="169" t="s">
        <v>3219</v>
      </c>
      <c r="C618" s="169" t="s">
        <v>3220</v>
      </c>
      <c r="D618" s="170">
        <v>2</v>
      </c>
      <c r="E618" s="170">
        <v>0</v>
      </c>
      <c r="F618" s="170" t="s">
        <v>1635</v>
      </c>
    </row>
    <row r="619" spans="1:6">
      <c r="A619" s="169" t="s">
        <v>3221</v>
      </c>
      <c r="B619" s="169" t="s">
        <v>3222</v>
      </c>
      <c r="C619" s="169" t="s">
        <v>1542</v>
      </c>
      <c r="D619" s="170">
        <v>2</v>
      </c>
      <c r="E619" s="170">
        <v>0</v>
      </c>
      <c r="F619" s="170" t="s">
        <v>1635</v>
      </c>
    </row>
    <row r="620" spans="1:6">
      <c r="A620" s="169" t="s">
        <v>3223</v>
      </c>
      <c r="B620" s="169" t="s">
        <v>3224</v>
      </c>
      <c r="C620" s="169" t="s">
        <v>3225</v>
      </c>
      <c r="D620" s="170">
        <v>900</v>
      </c>
      <c r="E620" s="170">
        <v>500</v>
      </c>
      <c r="F620" s="170" t="s">
        <v>3226</v>
      </c>
    </row>
    <row r="621" spans="1:6">
      <c r="A621" s="169" t="s">
        <v>3227</v>
      </c>
      <c r="B621" s="169" t="s">
        <v>3228</v>
      </c>
      <c r="C621" s="169" t="s">
        <v>3229</v>
      </c>
      <c r="D621" s="170">
        <v>10</v>
      </c>
      <c r="E621" s="170">
        <v>0</v>
      </c>
      <c r="F621" s="170" t="s">
        <v>3230</v>
      </c>
    </row>
    <row r="622" spans="1:6">
      <c r="A622" s="169" t="s">
        <v>3231</v>
      </c>
      <c r="B622" s="169" t="s">
        <v>3232</v>
      </c>
      <c r="C622" s="169" t="s">
        <v>3233</v>
      </c>
      <c r="D622" s="170">
        <v>50</v>
      </c>
      <c r="E622" s="170">
        <v>0</v>
      </c>
      <c r="F622" s="170" t="s">
        <v>3230</v>
      </c>
    </row>
    <row r="623" spans="1:6">
      <c r="A623" s="169" t="s">
        <v>3234</v>
      </c>
      <c r="B623" s="169" t="s">
        <v>3235</v>
      </c>
      <c r="C623" s="169" t="s">
        <v>3236</v>
      </c>
      <c r="D623" s="170">
        <v>50</v>
      </c>
      <c r="E623" s="170">
        <v>0</v>
      </c>
      <c r="F623" s="170" t="s">
        <v>3230</v>
      </c>
    </row>
    <row r="624" spans="1:6">
      <c r="A624" s="169" t="s">
        <v>3237</v>
      </c>
      <c r="B624" s="169" t="s">
        <v>3238</v>
      </c>
      <c r="C624" s="169" t="s">
        <v>3239</v>
      </c>
      <c r="D624" s="170">
        <v>10</v>
      </c>
      <c r="E624" s="170">
        <v>0</v>
      </c>
      <c r="F624" s="170" t="s">
        <v>3230</v>
      </c>
    </row>
    <row r="625" spans="1:6">
      <c r="A625" s="169" t="s">
        <v>3240</v>
      </c>
      <c r="B625" s="169" t="s">
        <v>3241</v>
      </c>
      <c r="C625" s="169" t="s">
        <v>3242</v>
      </c>
      <c r="D625" s="170">
        <v>190</v>
      </c>
      <c r="E625" s="170">
        <v>80</v>
      </c>
      <c r="F625" s="170" t="s">
        <v>1535</v>
      </c>
    </row>
    <row r="626" spans="1:6">
      <c r="A626" s="169" t="s">
        <v>3243</v>
      </c>
      <c r="B626" s="169" t="s">
        <v>3244</v>
      </c>
      <c r="C626" s="169" t="s">
        <v>1542</v>
      </c>
      <c r="D626" s="170">
        <v>190</v>
      </c>
      <c r="E626" s="170">
        <v>80</v>
      </c>
      <c r="F626" s="170" t="s">
        <v>1535</v>
      </c>
    </row>
    <row r="627" spans="1:6">
      <c r="A627" s="169" t="s">
        <v>3245</v>
      </c>
      <c r="B627" s="169" t="s">
        <v>3246</v>
      </c>
      <c r="C627" s="169" t="s">
        <v>3247</v>
      </c>
      <c r="D627" s="170">
        <v>140</v>
      </c>
      <c r="E627" s="170">
        <v>70</v>
      </c>
      <c r="F627" s="170" t="s">
        <v>1535</v>
      </c>
    </row>
    <row r="628" spans="1:6">
      <c r="A628" s="169" t="s">
        <v>3248</v>
      </c>
      <c r="B628" s="169" t="s">
        <v>3249</v>
      </c>
      <c r="C628" s="169" t="s">
        <v>1542</v>
      </c>
      <c r="D628" s="170">
        <v>140</v>
      </c>
      <c r="E628" s="170">
        <v>70</v>
      </c>
      <c r="F628" s="170" t="s">
        <v>1535</v>
      </c>
    </row>
    <row r="629" spans="1:6">
      <c r="A629" s="169" t="s">
        <v>3250</v>
      </c>
      <c r="B629" s="169" t="s">
        <v>3251</v>
      </c>
      <c r="C629" s="169" t="s">
        <v>3252</v>
      </c>
      <c r="D629" s="170">
        <v>900</v>
      </c>
      <c r="E629" s="170">
        <v>600</v>
      </c>
      <c r="F629" s="170" t="s">
        <v>3226</v>
      </c>
    </row>
    <row r="630" spans="1:6">
      <c r="A630" s="169" t="s">
        <v>3253</v>
      </c>
      <c r="B630" s="169" t="s">
        <v>3254</v>
      </c>
      <c r="C630" s="169" t="s">
        <v>3255</v>
      </c>
      <c r="D630" s="170">
        <v>80</v>
      </c>
      <c r="E630" s="170">
        <v>20</v>
      </c>
      <c r="F630" s="170" t="s">
        <v>1535</v>
      </c>
    </row>
    <row r="631" spans="1:6">
      <c r="A631" s="169" t="s">
        <v>3256</v>
      </c>
      <c r="B631" s="169" t="s">
        <v>3257</v>
      </c>
      <c r="C631" s="169" t="s">
        <v>1542</v>
      </c>
      <c r="D631" s="170">
        <v>80</v>
      </c>
      <c r="E631" s="170">
        <v>20</v>
      </c>
      <c r="F631" s="170" t="s">
        <v>1535</v>
      </c>
    </row>
    <row r="632" spans="1:6">
      <c r="A632" s="169" t="s">
        <v>3258</v>
      </c>
      <c r="B632" s="169" t="s">
        <v>3259</v>
      </c>
      <c r="C632" s="169" t="s">
        <v>3260</v>
      </c>
      <c r="D632" s="170">
        <v>280</v>
      </c>
      <c r="E632" s="170">
        <v>180</v>
      </c>
      <c r="F632" s="170" t="s">
        <v>1535</v>
      </c>
    </row>
    <row r="633" spans="1:6">
      <c r="A633" s="169" t="s">
        <v>3261</v>
      </c>
      <c r="B633" s="169" t="s">
        <v>3262</v>
      </c>
      <c r="C633" s="169" t="s">
        <v>1542</v>
      </c>
      <c r="D633" s="170">
        <v>280</v>
      </c>
      <c r="E633" s="170">
        <v>180</v>
      </c>
      <c r="F633" s="170" t="s">
        <v>1535</v>
      </c>
    </row>
    <row r="634" spans="1:6">
      <c r="A634" s="169" t="s">
        <v>3263</v>
      </c>
      <c r="B634" s="169" t="s">
        <v>3264</v>
      </c>
      <c r="C634" s="169" t="s">
        <v>3265</v>
      </c>
      <c r="D634" s="170">
        <v>1000</v>
      </c>
      <c r="E634" s="170">
        <v>600</v>
      </c>
      <c r="F634" s="170" t="s">
        <v>3226</v>
      </c>
    </row>
    <row r="635" spans="1:6">
      <c r="A635" s="169" t="s">
        <v>3266</v>
      </c>
      <c r="B635" s="169" t="s">
        <v>3267</v>
      </c>
      <c r="C635" s="169" t="s">
        <v>3268</v>
      </c>
      <c r="D635" s="170">
        <v>-30</v>
      </c>
      <c r="E635" s="170">
        <v>-80</v>
      </c>
      <c r="F635" s="170" t="s">
        <v>1535</v>
      </c>
    </row>
    <row r="636" spans="1:6">
      <c r="A636" s="169" t="s">
        <v>3269</v>
      </c>
      <c r="B636" s="169" t="s">
        <v>3270</v>
      </c>
      <c r="C636" s="169" t="s">
        <v>3271</v>
      </c>
      <c r="D636" s="170">
        <v>50</v>
      </c>
      <c r="E636" s="170">
        <v>0</v>
      </c>
      <c r="F636" s="170" t="s">
        <v>3272</v>
      </c>
    </row>
    <row r="637" spans="1:6">
      <c r="A637" s="169" t="s">
        <v>3273</v>
      </c>
      <c r="B637" s="169" t="s">
        <v>3274</v>
      </c>
      <c r="C637" s="169" t="s">
        <v>3275</v>
      </c>
      <c r="D637" s="170">
        <v>100</v>
      </c>
      <c r="E637" s="170">
        <v>0</v>
      </c>
      <c r="F637" s="170" t="s">
        <v>463</v>
      </c>
    </row>
    <row r="638" spans="1:6">
      <c r="A638" s="169" t="s">
        <v>3276</v>
      </c>
      <c r="B638" s="169" t="s">
        <v>3277</v>
      </c>
      <c r="C638" s="169" t="s">
        <v>3278</v>
      </c>
      <c r="D638" s="170">
        <v>100</v>
      </c>
      <c r="E638" s="170">
        <v>0</v>
      </c>
      <c r="F638" s="170" t="s">
        <v>463</v>
      </c>
    </row>
    <row r="639" spans="1:6">
      <c r="A639" s="169" t="s">
        <v>3279</v>
      </c>
      <c r="B639" s="169" t="s">
        <v>3280</v>
      </c>
      <c r="C639" s="169" t="s">
        <v>3281</v>
      </c>
      <c r="D639" s="170">
        <v>100</v>
      </c>
      <c r="E639" s="170">
        <v>0</v>
      </c>
      <c r="F639" s="170" t="s">
        <v>463</v>
      </c>
    </row>
    <row r="640" spans="1:6">
      <c r="A640" s="169" t="s">
        <v>3282</v>
      </c>
      <c r="B640" s="169" t="s">
        <v>3283</v>
      </c>
      <c r="C640" s="169" t="s">
        <v>3284</v>
      </c>
      <c r="D640" s="170">
        <v>100</v>
      </c>
      <c r="E640" s="170">
        <v>0</v>
      </c>
      <c r="F640" s="170" t="s">
        <v>463</v>
      </c>
    </row>
    <row r="641" spans="1:6">
      <c r="A641" s="169" t="s">
        <v>3285</v>
      </c>
      <c r="B641" s="169" t="s">
        <v>3286</v>
      </c>
      <c r="C641" s="169" t="s">
        <v>3287</v>
      </c>
      <c r="D641" s="170">
        <v>100</v>
      </c>
      <c r="E641" s="170">
        <v>0</v>
      </c>
      <c r="F641" s="170" t="s">
        <v>463</v>
      </c>
    </row>
    <row r="642" spans="1:6">
      <c r="A642" s="169" t="s">
        <v>3288</v>
      </c>
      <c r="B642" s="169" t="s">
        <v>3289</v>
      </c>
      <c r="C642" s="169" t="s">
        <v>3290</v>
      </c>
      <c r="D642" s="170">
        <v>100</v>
      </c>
      <c r="E642" s="170">
        <v>0</v>
      </c>
      <c r="F642" s="170" t="s">
        <v>463</v>
      </c>
    </row>
    <row r="643" spans="1:6">
      <c r="A643" s="169" t="s">
        <v>3291</v>
      </c>
      <c r="B643" s="169" t="s">
        <v>3292</v>
      </c>
      <c r="C643" s="169" t="s">
        <v>3293</v>
      </c>
      <c r="D643" s="170">
        <v>100</v>
      </c>
      <c r="E643" s="170">
        <v>-100</v>
      </c>
      <c r="F643" s="170" t="s">
        <v>463</v>
      </c>
    </row>
    <row r="644" spans="1:6">
      <c r="A644" s="169" t="s">
        <v>3294</v>
      </c>
      <c r="B644" s="169" t="s">
        <v>3295</v>
      </c>
      <c r="C644" s="169" t="s">
        <v>3296</v>
      </c>
      <c r="D644" s="170">
        <v>100</v>
      </c>
      <c r="E644" s="170">
        <v>0</v>
      </c>
      <c r="F644" s="170" t="s">
        <v>463</v>
      </c>
    </row>
    <row r="645" spans="1:6">
      <c r="A645" s="169" t="s">
        <v>3297</v>
      </c>
      <c r="B645" s="169" t="s">
        <v>3298</v>
      </c>
      <c r="C645" s="169" t="s">
        <v>3299</v>
      </c>
      <c r="D645" s="170">
        <v>100</v>
      </c>
      <c r="E645" s="170">
        <v>0</v>
      </c>
      <c r="F645" s="170" t="s">
        <v>1577</v>
      </c>
    </row>
    <row r="646" spans="1:6">
      <c r="A646" s="169" t="s">
        <v>3300</v>
      </c>
      <c r="B646" s="169" t="s">
        <v>3301</v>
      </c>
      <c r="C646" s="169" t="s">
        <v>3302</v>
      </c>
      <c r="D646" s="170">
        <v>100</v>
      </c>
      <c r="E646" s="170">
        <v>0</v>
      </c>
      <c r="F646" s="170" t="s">
        <v>1577</v>
      </c>
    </row>
    <row r="647" spans="1:6">
      <c r="A647" s="169" t="s">
        <v>3303</v>
      </c>
      <c r="B647" s="169" t="s">
        <v>3304</v>
      </c>
      <c r="C647" s="169" t="s">
        <v>3305</v>
      </c>
      <c r="D647" s="170">
        <v>16</v>
      </c>
      <c r="E647" s="170">
        <v>0</v>
      </c>
      <c r="F647" s="170" t="s">
        <v>1635</v>
      </c>
    </row>
    <row r="648" spans="1:6">
      <c r="A648" s="169" t="s">
        <v>3306</v>
      </c>
      <c r="B648" s="169" t="s">
        <v>3307</v>
      </c>
      <c r="C648" s="169" t="s">
        <v>3308</v>
      </c>
      <c r="D648" s="170">
        <v>4</v>
      </c>
      <c r="E648" s="170">
        <v>0</v>
      </c>
      <c r="F648" s="170" t="s">
        <v>1635</v>
      </c>
    </row>
    <row r="649" spans="1:6">
      <c r="A649" s="169" t="s">
        <v>3309</v>
      </c>
      <c r="B649" s="169" t="s">
        <v>3310</v>
      </c>
      <c r="C649" s="169" t="s">
        <v>3311</v>
      </c>
      <c r="D649" s="170">
        <v>16</v>
      </c>
      <c r="E649" s="170">
        <v>0</v>
      </c>
      <c r="F649" s="170" t="s">
        <v>2000</v>
      </c>
    </row>
    <row r="650" spans="1:6">
      <c r="A650" s="169" t="s">
        <v>3312</v>
      </c>
      <c r="B650" s="169" t="s">
        <v>3313</v>
      </c>
      <c r="C650" s="169" t="s">
        <v>3305</v>
      </c>
      <c r="D650" s="170">
        <v>16</v>
      </c>
      <c r="E650" s="170">
        <v>0</v>
      </c>
      <c r="F650" s="170" t="s">
        <v>1635</v>
      </c>
    </row>
    <row r="651" spans="1:6">
      <c r="A651" s="169" t="s">
        <v>3314</v>
      </c>
      <c r="B651" s="169" t="s">
        <v>3315</v>
      </c>
      <c r="C651" s="169" t="s">
        <v>3305</v>
      </c>
      <c r="D651" s="170">
        <v>16</v>
      </c>
      <c r="E651" s="170">
        <v>0</v>
      </c>
      <c r="F651" s="170" t="s">
        <v>1635</v>
      </c>
    </row>
    <row r="652" spans="1:6">
      <c r="A652" s="169" t="s">
        <v>3316</v>
      </c>
      <c r="B652" s="169" t="s">
        <v>3317</v>
      </c>
      <c r="C652" s="169" t="s">
        <v>3308</v>
      </c>
      <c r="D652" s="170">
        <v>4</v>
      </c>
      <c r="E652" s="170">
        <v>0</v>
      </c>
      <c r="F652" s="170" t="s">
        <v>2000</v>
      </c>
    </row>
    <row r="653" spans="1:6">
      <c r="A653" s="169" t="s">
        <v>3318</v>
      </c>
      <c r="B653" s="169" t="s">
        <v>3319</v>
      </c>
      <c r="C653" s="169" t="s">
        <v>3308</v>
      </c>
      <c r="D653" s="170">
        <v>4</v>
      </c>
      <c r="E653" s="170">
        <v>0</v>
      </c>
      <c r="F653" s="170" t="s">
        <v>1635</v>
      </c>
    </row>
    <row r="654" spans="1:6">
      <c r="A654" s="169" t="s">
        <v>3320</v>
      </c>
      <c r="B654" s="169" t="s">
        <v>3321</v>
      </c>
      <c r="C654" s="169" t="s">
        <v>3308</v>
      </c>
      <c r="D654" s="170">
        <v>4</v>
      </c>
      <c r="E654" s="170">
        <v>0</v>
      </c>
      <c r="F654" s="170" t="s">
        <v>1635</v>
      </c>
    </row>
    <row r="655" spans="1:6">
      <c r="A655" s="169" t="s">
        <v>3322</v>
      </c>
      <c r="B655" s="169" t="s">
        <v>3323</v>
      </c>
      <c r="C655" s="169" t="s">
        <v>3324</v>
      </c>
      <c r="D655" s="170">
        <v>14</v>
      </c>
      <c r="E655" s="170">
        <v>0</v>
      </c>
      <c r="F655" s="170" t="s">
        <v>108</v>
      </c>
    </row>
    <row r="656" spans="1:6">
      <c r="A656" s="169" t="s">
        <v>3325</v>
      </c>
      <c r="B656" s="169" t="s">
        <v>3326</v>
      </c>
      <c r="C656" s="169" t="s">
        <v>3324</v>
      </c>
      <c r="D656" s="170">
        <v>14</v>
      </c>
      <c r="E656" s="170">
        <v>0</v>
      </c>
      <c r="F656" s="170" t="s">
        <v>108</v>
      </c>
    </row>
    <row r="657" spans="1:6">
      <c r="A657" s="169" t="s">
        <v>3327</v>
      </c>
      <c r="B657" s="169" t="s">
        <v>3328</v>
      </c>
      <c r="C657" s="169" t="s">
        <v>3329</v>
      </c>
      <c r="D657" s="170">
        <v>14</v>
      </c>
      <c r="E657" s="170">
        <v>0</v>
      </c>
      <c r="F657" s="170" t="s">
        <v>108</v>
      </c>
    </row>
    <row r="658" spans="1:6">
      <c r="A658" s="169" t="s">
        <v>3330</v>
      </c>
      <c r="B658" s="169" t="s">
        <v>3331</v>
      </c>
      <c r="C658" s="169" t="s">
        <v>3329</v>
      </c>
      <c r="D658" s="170">
        <v>14</v>
      </c>
      <c r="E658" s="170">
        <v>0</v>
      </c>
      <c r="F658" s="170" t="s">
        <v>108</v>
      </c>
    </row>
    <row r="659" spans="1:6">
      <c r="A659" s="169" t="s">
        <v>3332</v>
      </c>
      <c r="B659" s="169" t="s">
        <v>3333</v>
      </c>
      <c r="C659" s="169" t="s">
        <v>3334</v>
      </c>
      <c r="D659" s="170">
        <v>10</v>
      </c>
      <c r="E659" s="170">
        <v>0</v>
      </c>
      <c r="F659" s="170" t="s">
        <v>463</v>
      </c>
    </row>
    <row r="660" spans="1:6">
      <c r="A660" s="169" t="s">
        <v>3335</v>
      </c>
      <c r="B660" s="169" t="s">
        <v>3336</v>
      </c>
      <c r="C660" s="169" t="s">
        <v>1542</v>
      </c>
      <c r="D660" s="170">
        <v>10</v>
      </c>
      <c r="E660" s="170">
        <v>0</v>
      </c>
      <c r="F660" s="170" t="s">
        <v>463</v>
      </c>
    </row>
    <row r="661" spans="1:6">
      <c r="A661" s="169" t="s">
        <v>3337</v>
      </c>
      <c r="B661" s="169" t="s">
        <v>3338</v>
      </c>
      <c r="C661" s="169" t="s">
        <v>3339</v>
      </c>
      <c r="D661" s="170">
        <v>14.08</v>
      </c>
      <c r="E661" s="170">
        <v>0</v>
      </c>
      <c r="F661" s="170" t="s">
        <v>1949</v>
      </c>
    </row>
    <row r="662" spans="1:6">
      <c r="A662" s="169" t="s">
        <v>3340</v>
      </c>
      <c r="B662" s="169" t="s">
        <v>3341</v>
      </c>
      <c r="C662" s="169" t="s">
        <v>3342</v>
      </c>
      <c r="D662" s="170">
        <v>3154</v>
      </c>
      <c r="E662" s="170">
        <v>0</v>
      </c>
      <c r="F662" s="170" t="s">
        <v>2209</v>
      </c>
    </row>
    <row r="663" spans="1:6">
      <c r="A663" s="169" t="s">
        <v>3343</v>
      </c>
      <c r="B663" s="169" t="s">
        <v>3344</v>
      </c>
      <c r="C663" s="169" t="s">
        <v>3345</v>
      </c>
      <c r="D663" s="170">
        <v>200</v>
      </c>
      <c r="E663" s="170">
        <v>0</v>
      </c>
      <c r="F663" s="170" t="s">
        <v>2209</v>
      </c>
    </row>
    <row r="664" spans="1:6">
      <c r="A664" s="169" t="s">
        <v>3346</v>
      </c>
      <c r="B664" s="169" t="s">
        <v>3347</v>
      </c>
      <c r="C664" s="169" t="s">
        <v>3348</v>
      </c>
      <c r="D664" s="170">
        <v>15</v>
      </c>
      <c r="E664" s="170">
        <v>0</v>
      </c>
      <c r="F664" s="170" t="s">
        <v>3349</v>
      </c>
    </row>
    <row r="665" spans="1:6">
      <c r="A665" s="169" t="s">
        <v>3350</v>
      </c>
      <c r="B665" s="169" t="s">
        <v>3351</v>
      </c>
      <c r="C665" s="169" t="s">
        <v>3352</v>
      </c>
      <c r="D665" s="170">
        <v>523</v>
      </c>
      <c r="E665" s="170">
        <v>-25</v>
      </c>
      <c r="F665" s="170" t="s">
        <v>1535</v>
      </c>
    </row>
    <row r="666" spans="1:6">
      <c r="A666" s="169" t="s">
        <v>3353</v>
      </c>
      <c r="B666" s="169" t="s">
        <v>3354</v>
      </c>
      <c r="C666" s="169" t="s">
        <v>3355</v>
      </c>
      <c r="D666" s="170">
        <v>616</v>
      </c>
      <c r="E666" s="170">
        <v>0</v>
      </c>
      <c r="F666" s="170" t="s">
        <v>463</v>
      </c>
    </row>
    <row r="667" spans="1:6">
      <c r="A667" s="169" t="s">
        <v>3356</v>
      </c>
      <c r="B667" s="169" t="s">
        <v>3357</v>
      </c>
      <c r="C667" s="169" t="s">
        <v>3358</v>
      </c>
      <c r="D667" s="170">
        <v>523</v>
      </c>
      <c r="E667" s="170">
        <v>-25</v>
      </c>
      <c r="F667" s="170" t="s">
        <v>1535</v>
      </c>
    </row>
    <row r="668" spans="1:6">
      <c r="A668" s="169" t="s">
        <v>3359</v>
      </c>
      <c r="B668" s="169" t="s">
        <v>3360</v>
      </c>
      <c r="C668" s="169" t="s">
        <v>3361</v>
      </c>
      <c r="D668" s="170">
        <v>523</v>
      </c>
      <c r="E668" s="170">
        <v>-25</v>
      </c>
      <c r="F668" s="170" t="s">
        <v>1535</v>
      </c>
    </row>
    <row r="669" spans="1:6">
      <c r="A669" s="169" t="s">
        <v>3362</v>
      </c>
      <c r="B669" s="169" t="s">
        <v>3363</v>
      </c>
      <c r="C669" s="169" t="s">
        <v>3364</v>
      </c>
      <c r="D669" s="170">
        <v>523</v>
      </c>
      <c r="E669" s="170">
        <v>-25</v>
      </c>
      <c r="F669" s="170" t="s">
        <v>1535</v>
      </c>
    </row>
    <row r="670" spans="1:6">
      <c r="A670" s="169" t="s">
        <v>3365</v>
      </c>
      <c r="B670" s="169" t="s">
        <v>3366</v>
      </c>
      <c r="C670" s="169" t="s">
        <v>3367</v>
      </c>
      <c r="D670" s="170">
        <v>523</v>
      </c>
      <c r="E670" s="170">
        <v>-25</v>
      </c>
      <c r="F670" s="170" t="s">
        <v>1535</v>
      </c>
    </row>
    <row r="671" spans="1:6">
      <c r="A671" s="169" t="s">
        <v>3368</v>
      </c>
      <c r="B671" s="169" t="s">
        <v>3369</v>
      </c>
      <c r="C671" s="169" t="s">
        <v>3370</v>
      </c>
      <c r="D671" s="170">
        <v>523</v>
      </c>
      <c r="E671" s="170">
        <v>-25</v>
      </c>
      <c r="F671" s="170" t="s">
        <v>1535</v>
      </c>
    </row>
    <row r="672" spans="1:6">
      <c r="A672" s="169" t="s">
        <v>3371</v>
      </c>
      <c r="B672" s="169" t="s">
        <v>3372</v>
      </c>
      <c r="C672" s="169" t="s">
        <v>3373</v>
      </c>
      <c r="D672" s="170">
        <v>523</v>
      </c>
      <c r="E672" s="170">
        <v>-25</v>
      </c>
      <c r="F672" s="170" t="s">
        <v>1535</v>
      </c>
    </row>
    <row r="673" spans="1:6">
      <c r="A673" s="169" t="s">
        <v>3374</v>
      </c>
      <c r="B673" s="169" t="s">
        <v>3375</v>
      </c>
      <c r="C673" s="169" t="s">
        <v>3376</v>
      </c>
      <c r="D673" s="170">
        <v>523</v>
      </c>
      <c r="E673" s="170">
        <v>-25</v>
      </c>
      <c r="F673" s="170" t="s">
        <v>1535</v>
      </c>
    </row>
    <row r="674" spans="1:6">
      <c r="A674" s="169" t="s">
        <v>3377</v>
      </c>
      <c r="B674" s="169" t="s">
        <v>3378</v>
      </c>
      <c r="C674" s="169" t="s">
        <v>3379</v>
      </c>
      <c r="D674" s="170">
        <v>523</v>
      </c>
      <c r="E674" s="170">
        <v>-25</v>
      </c>
      <c r="F674" s="170" t="s">
        <v>1535</v>
      </c>
    </row>
    <row r="675" spans="1:6">
      <c r="A675" s="169" t="s">
        <v>3380</v>
      </c>
      <c r="B675" s="169" t="s">
        <v>3381</v>
      </c>
      <c r="C675" s="169" t="s">
        <v>3382</v>
      </c>
      <c r="D675" s="170">
        <v>523</v>
      </c>
      <c r="E675" s="170">
        <v>-25</v>
      </c>
      <c r="F675" s="170" t="s">
        <v>1535</v>
      </c>
    </row>
    <row r="676" spans="1:6">
      <c r="A676" s="169" t="s">
        <v>3383</v>
      </c>
      <c r="B676" s="169" t="s">
        <v>3384</v>
      </c>
      <c r="C676" s="169" t="s">
        <v>3385</v>
      </c>
      <c r="D676" s="170">
        <v>523</v>
      </c>
      <c r="E676" s="170">
        <v>-25</v>
      </c>
      <c r="F676" s="170" t="s">
        <v>1535</v>
      </c>
    </row>
    <row r="677" spans="1:6">
      <c r="A677" s="169" t="s">
        <v>3386</v>
      </c>
      <c r="B677" s="169" t="s">
        <v>3387</v>
      </c>
      <c r="C677" s="169" t="s">
        <v>3388</v>
      </c>
      <c r="D677" s="170">
        <v>523</v>
      </c>
      <c r="E677" s="170">
        <v>-25</v>
      </c>
      <c r="F677" s="170" t="s">
        <v>1535</v>
      </c>
    </row>
    <row r="678" spans="1:6">
      <c r="A678" s="169" t="s">
        <v>3389</v>
      </c>
      <c r="B678" s="169" t="s">
        <v>3390</v>
      </c>
      <c r="C678" s="169" t="s">
        <v>3391</v>
      </c>
      <c r="D678" s="170">
        <v>523</v>
      </c>
      <c r="E678" s="170">
        <v>-25</v>
      </c>
      <c r="F678" s="170" t="s">
        <v>1535</v>
      </c>
    </row>
    <row r="679" spans="1:6">
      <c r="A679" s="169" t="s">
        <v>3392</v>
      </c>
      <c r="B679" s="169" t="s">
        <v>3393</v>
      </c>
      <c r="C679" s="169" t="s">
        <v>3394</v>
      </c>
      <c r="D679" s="170">
        <v>523</v>
      </c>
      <c r="E679" s="170">
        <v>-25</v>
      </c>
      <c r="F679" s="170" t="s">
        <v>1535</v>
      </c>
    </row>
    <row r="680" spans="1:6">
      <c r="A680" s="169" t="s">
        <v>3395</v>
      </c>
      <c r="B680" s="169" t="s">
        <v>3396</v>
      </c>
      <c r="C680" s="169" t="s">
        <v>3397</v>
      </c>
      <c r="D680" s="170">
        <v>523</v>
      </c>
      <c r="E680" s="170">
        <v>-25</v>
      </c>
      <c r="F680" s="170" t="s">
        <v>1535</v>
      </c>
    </row>
    <row r="681" spans="1:6">
      <c r="A681" s="169" t="s">
        <v>3398</v>
      </c>
      <c r="B681" s="169" t="s">
        <v>3399</v>
      </c>
      <c r="C681" s="169" t="s">
        <v>3400</v>
      </c>
      <c r="D681" s="170">
        <v>523</v>
      </c>
      <c r="E681" s="170">
        <v>-25</v>
      </c>
      <c r="F681" s="170" t="s">
        <v>1535</v>
      </c>
    </row>
    <row r="682" spans="1:6">
      <c r="A682" s="169" t="s">
        <v>3401</v>
      </c>
      <c r="B682" s="169" t="s">
        <v>3402</v>
      </c>
      <c r="C682" s="169" t="s">
        <v>3403</v>
      </c>
      <c r="D682" s="170">
        <v>523</v>
      </c>
      <c r="E682" s="170">
        <v>-25</v>
      </c>
      <c r="F682" s="170" t="s">
        <v>1535</v>
      </c>
    </row>
    <row r="683" spans="1:6">
      <c r="A683" s="169" t="s">
        <v>3404</v>
      </c>
      <c r="B683" s="169" t="s">
        <v>3405</v>
      </c>
      <c r="C683" s="169" t="s">
        <v>3406</v>
      </c>
      <c r="D683" s="170">
        <v>238</v>
      </c>
      <c r="E683" s="170">
        <v>-25</v>
      </c>
      <c r="F683" s="170" t="s">
        <v>1535</v>
      </c>
    </row>
    <row r="684" spans="1:6">
      <c r="A684" s="169" t="s">
        <v>3407</v>
      </c>
      <c r="B684" s="169" t="s">
        <v>3408</v>
      </c>
      <c r="C684" s="169" t="s">
        <v>3409</v>
      </c>
      <c r="D684" s="170">
        <v>523</v>
      </c>
      <c r="E684" s="170">
        <v>-25</v>
      </c>
      <c r="F684" s="170" t="s">
        <v>1535</v>
      </c>
    </row>
    <row r="685" spans="1:6">
      <c r="A685" s="169" t="s">
        <v>3410</v>
      </c>
      <c r="B685" s="169" t="s">
        <v>3411</v>
      </c>
      <c r="C685" s="169" t="s">
        <v>3412</v>
      </c>
      <c r="D685" s="170">
        <v>523</v>
      </c>
      <c r="E685" s="170">
        <v>-25</v>
      </c>
      <c r="F685" s="170" t="s">
        <v>1535</v>
      </c>
    </row>
    <row r="686" spans="1:6">
      <c r="A686" s="169" t="s">
        <v>3413</v>
      </c>
      <c r="B686" s="169" t="s">
        <v>3414</v>
      </c>
      <c r="C686" s="169" t="s">
        <v>3415</v>
      </c>
      <c r="D686" s="170">
        <v>616</v>
      </c>
      <c r="E686" s="170">
        <v>0</v>
      </c>
      <c r="F686" s="170" t="s">
        <v>463</v>
      </c>
    </row>
    <row r="687" spans="1:6">
      <c r="A687" s="169" t="s">
        <v>3416</v>
      </c>
      <c r="B687" s="169" t="s">
        <v>3417</v>
      </c>
      <c r="C687" s="169" t="s">
        <v>3418</v>
      </c>
      <c r="D687" s="170">
        <v>523</v>
      </c>
      <c r="E687" s="170">
        <v>-25</v>
      </c>
      <c r="F687" s="170" t="s">
        <v>1535</v>
      </c>
    </row>
    <row r="688" spans="1:6">
      <c r="A688" s="169" t="s">
        <v>3419</v>
      </c>
      <c r="B688" s="169" t="s">
        <v>3420</v>
      </c>
      <c r="C688" s="169" t="s">
        <v>3421</v>
      </c>
      <c r="D688" s="170">
        <v>523</v>
      </c>
      <c r="E688" s="170">
        <v>-25</v>
      </c>
      <c r="F688" s="170" t="s">
        <v>1535</v>
      </c>
    </row>
    <row r="689" spans="1:6">
      <c r="A689" s="169" t="s">
        <v>3422</v>
      </c>
      <c r="B689" s="169" t="s">
        <v>3423</v>
      </c>
      <c r="C689" s="169" t="s">
        <v>3424</v>
      </c>
      <c r="D689" s="170">
        <v>523</v>
      </c>
      <c r="E689" s="170">
        <v>-25</v>
      </c>
      <c r="F689" s="170" t="s">
        <v>1535</v>
      </c>
    </row>
    <row r="690" spans="1:6">
      <c r="A690" s="169" t="s">
        <v>3425</v>
      </c>
      <c r="B690" s="169" t="s">
        <v>3426</v>
      </c>
      <c r="C690" s="169" t="s">
        <v>3427</v>
      </c>
      <c r="D690" s="170">
        <v>523</v>
      </c>
      <c r="E690" s="170">
        <v>-25</v>
      </c>
      <c r="F690" s="170" t="s">
        <v>1535</v>
      </c>
    </row>
    <row r="691" spans="1:6">
      <c r="A691" s="169" t="s">
        <v>3428</v>
      </c>
      <c r="B691" s="169" t="s">
        <v>3429</v>
      </c>
      <c r="C691" s="169" t="s">
        <v>3430</v>
      </c>
      <c r="D691" s="170">
        <v>523</v>
      </c>
      <c r="E691" s="170">
        <v>-25</v>
      </c>
      <c r="F691" s="170" t="s">
        <v>1535</v>
      </c>
    </row>
    <row r="692" spans="1:6">
      <c r="A692" s="169" t="s">
        <v>3431</v>
      </c>
      <c r="B692" s="169" t="s">
        <v>3432</v>
      </c>
      <c r="C692" s="169" t="s">
        <v>3433</v>
      </c>
      <c r="D692" s="170">
        <v>523</v>
      </c>
      <c r="E692" s="170">
        <v>-25</v>
      </c>
      <c r="F692" s="170" t="s">
        <v>1535</v>
      </c>
    </row>
    <row r="693" spans="1:6">
      <c r="A693" s="169" t="s">
        <v>3434</v>
      </c>
      <c r="B693" s="169" t="s">
        <v>3435</v>
      </c>
      <c r="C693" s="169" t="s">
        <v>3436</v>
      </c>
      <c r="D693" s="170">
        <v>523</v>
      </c>
      <c r="E693" s="170">
        <v>-25</v>
      </c>
      <c r="F693" s="170" t="s">
        <v>1535</v>
      </c>
    </row>
    <row r="694" spans="1:6">
      <c r="A694" s="169" t="s">
        <v>3437</v>
      </c>
      <c r="B694" s="169" t="s">
        <v>3438</v>
      </c>
      <c r="C694" s="169" t="s">
        <v>3439</v>
      </c>
      <c r="D694" s="170">
        <v>523</v>
      </c>
      <c r="E694" s="170">
        <v>-25</v>
      </c>
      <c r="F694" s="170" t="s">
        <v>1535</v>
      </c>
    </row>
    <row r="695" spans="1:6">
      <c r="A695" s="169" t="s">
        <v>3440</v>
      </c>
      <c r="B695" s="169" t="s">
        <v>3441</v>
      </c>
      <c r="C695" s="169" t="s">
        <v>3442</v>
      </c>
      <c r="D695" s="170">
        <v>1116</v>
      </c>
      <c r="E695" s="170">
        <v>-25</v>
      </c>
      <c r="F695" s="170" t="s">
        <v>1535</v>
      </c>
    </row>
    <row r="696" spans="1:6">
      <c r="A696" s="169" t="s">
        <v>3443</v>
      </c>
      <c r="B696" s="169" t="s">
        <v>3444</v>
      </c>
      <c r="C696" s="169" t="s">
        <v>3445</v>
      </c>
      <c r="D696" s="170">
        <v>523</v>
      </c>
      <c r="E696" s="170">
        <v>-25</v>
      </c>
      <c r="F696" s="170" t="s">
        <v>1535</v>
      </c>
    </row>
    <row r="697" spans="1:6">
      <c r="A697" s="169" t="s">
        <v>3446</v>
      </c>
      <c r="B697" s="169" t="s">
        <v>3447</v>
      </c>
      <c r="C697" s="169" t="s">
        <v>3448</v>
      </c>
      <c r="D697" s="170">
        <v>523</v>
      </c>
      <c r="E697" s="170">
        <v>-25</v>
      </c>
      <c r="F697" s="170" t="s">
        <v>1535</v>
      </c>
    </row>
    <row r="698" spans="1:6">
      <c r="A698" s="169" t="s">
        <v>3449</v>
      </c>
      <c r="B698" s="169" t="s">
        <v>3450</v>
      </c>
      <c r="C698" s="169" t="s">
        <v>3451</v>
      </c>
      <c r="D698" s="170">
        <v>523</v>
      </c>
      <c r="E698" s="170">
        <v>-25</v>
      </c>
      <c r="F698" s="170" t="s">
        <v>1535</v>
      </c>
    </row>
    <row r="699" spans="1:6">
      <c r="A699" s="169" t="s">
        <v>3452</v>
      </c>
      <c r="B699" s="169" t="s">
        <v>3453</v>
      </c>
      <c r="C699" s="169" t="s">
        <v>3454</v>
      </c>
      <c r="D699" s="170">
        <v>523</v>
      </c>
      <c r="E699" s="170">
        <v>-25</v>
      </c>
      <c r="F699" s="170" t="s">
        <v>1535</v>
      </c>
    </row>
    <row r="700" spans="1:6">
      <c r="A700" s="169" t="s">
        <v>3455</v>
      </c>
      <c r="B700" s="169" t="s">
        <v>3456</v>
      </c>
      <c r="C700" s="169" t="s">
        <v>3457</v>
      </c>
      <c r="D700" s="170">
        <v>523</v>
      </c>
      <c r="E700" s="170">
        <v>-25</v>
      </c>
      <c r="F700" s="170" t="s">
        <v>1535</v>
      </c>
    </row>
    <row r="701" spans="1:6">
      <c r="A701" s="169" t="s">
        <v>3458</v>
      </c>
      <c r="B701" s="169" t="s">
        <v>3459</v>
      </c>
      <c r="C701" s="169" t="s">
        <v>3460</v>
      </c>
      <c r="D701" s="170">
        <v>523</v>
      </c>
      <c r="E701" s="170">
        <v>-25</v>
      </c>
      <c r="F701" s="170" t="s">
        <v>1535</v>
      </c>
    </row>
    <row r="702" spans="1:6">
      <c r="A702" s="169" t="s">
        <v>3461</v>
      </c>
      <c r="B702" s="169" t="s">
        <v>3462</v>
      </c>
      <c r="C702" s="169" t="s">
        <v>3463</v>
      </c>
      <c r="D702" s="170">
        <v>523</v>
      </c>
      <c r="E702" s="170">
        <v>-25</v>
      </c>
      <c r="F702" s="170" t="s">
        <v>1535</v>
      </c>
    </row>
    <row r="703" spans="1:6">
      <c r="A703" s="169" t="s">
        <v>3464</v>
      </c>
      <c r="B703" s="169" t="s">
        <v>3465</v>
      </c>
      <c r="C703" s="169" t="s">
        <v>3466</v>
      </c>
      <c r="D703" s="170">
        <v>523</v>
      </c>
      <c r="E703" s="170">
        <v>-25</v>
      </c>
      <c r="F703" s="170" t="s">
        <v>1535</v>
      </c>
    </row>
    <row r="704" spans="1:6">
      <c r="A704" s="169" t="s">
        <v>3467</v>
      </c>
      <c r="B704" s="169" t="s">
        <v>3468</v>
      </c>
      <c r="C704" s="169" t="s">
        <v>3050</v>
      </c>
      <c r="D704" s="170">
        <v>523</v>
      </c>
      <c r="E704" s="170">
        <v>-25</v>
      </c>
      <c r="F704" s="170" t="s">
        <v>1535</v>
      </c>
    </row>
    <row r="705" spans="1:6">
      <c r="A705" s="169" t="s">
        <v>3469</v>
      </c>
      <c r="B705" s="169" t="s">
        <v>3470</v>
      </c>
      <c r="C705" s="169" t="s">
        <v>3471</v>
      </c>
      <c r="D705" s="170">
        <v>100</v>
      </c>
      <c r="E705" s="170">
        <v>0</v>
      </c>
      <c r="F705" s="170" t="s">
        <v>3472</v>
      </c>
    </row>
    <row r="706" spans="1:6">
      <c r="A706" s="169" t="s">
        <v>3473</v>
      </c>
      <c r="B706" s="169" t="s">
        <v>3474</v>
      </c>
      <c r="C706" s="169" t="s">
        <v>3475</v>
      </c>
      <c r="D706" s="170">
        <v>523</v>
      </c>
      <c r="E706" s="170">
        <v>-25</v>
      </c>
      <c r="F706" s="170" t="s">
        <v>1535</v>
      </c>
    </row>
    <row r="707" spans="1:6">
      <c r="A707" s="169" t="s">
        <v>3476</v>
      </c>
      <c r="B707" s="169" t="s">
        <v>3477</v>
      </c>
      <c r="C707" s="169" t="s">
        <v>1542</v>
      </c>
      <c r="D707" s="170">
        <v>597</v>
      </c>
      <c r="E707" s="170">
        <v>0</v>
      </c>
      <c r="F707" s="170" t="s">
        <v>1549</v>
      </c>
    </row>
    <row r="708" spans="1:6">
      <c r="A708" s="169" t="s">
        <v>3478</v>
      </c>
      <c r="B708" s="169" t="s">
        <v>3479</v>
      </c>
      <c r="C708" s="169" t="s">
        <v>1542</v>
      </c>
      <c r="D708" s="170">
        <v>43</v>
      </c>
      <c r="E708" s="170">
        <v>0</v>
      </c>
      <c r="F708" s="170" t="s">
        <v>1549</v>
      </c>
    </row>
    <row r="709" spans="1:6">
      <c r="A709" s="169" t="s">
        <v>3480</v>
      </c>
      <c r="B709" s="169" t="s">
        <v>3481</v>
      </c>
      <c r="C709" s="169" t="s">
        <v>3482</v>
      </c>
      <c r="D709" s="170">
        <v>222</v>
      </c>
      <c r="E709" s="170">
        <v>0</v>
      </c>
      <c r="F709" s="170" t="s">
        <v>1549</v>
      </c>
    </row>
    <row r="710" spans="1:6">
      <c r="A710" s="169" t="s">
        <v>3483</v>
      </c>
      <c r="B710" s="169" t="s">
        <v>3484</v>
      </c>
      <c r="C710" s="169" t="s">
        <v>3409</v>
      </c>
      <c r="D710" s="170">
        <v>597</v>
      </c>
      <c r="E710" s="170">
        <v>0</v>
      </c>
      <c r="F710" s="170" t="s">
        <v>1549</v>
      </c>
    </row>
    <row r="711" spans="1:6">
      <c r="A711" s="169" t="s">
        <v>3485</v>
      </c>
      <c r="B711" s="169" t="s">
        <v>3486</v>
      </c>
      <c r="C711" s="169" t="s">
        <v>3487</v>
      </c>
      <c r="D711" s="170">
        <v>43</v>
      </c>
      <c r="E711" s="170">
        <v>0</v>
      </c>
      <c r="F711" s="170" t="s">
        <v>1549</v>
      </c>
    </row>
    <row r="712" spans="1:6">
      <c r="A712" s="169" t="s">
        <v>3488</v>
      </c>
      <c r="B712" s="169" t="s">
        <v>3489</v>
      </c>
      <c r="C712" s="169" t="s">
        <v>3490</v>
      </c>
      <c r="D712" s="170">
        <v>333</v>
      </c>
      <c r="E712" s="170">
        <v>0</v>
      </c>
      <c r="F712" s="170" t="s">
        <v>1549</v>
      </c>
    </row>
    <row r="713" spans="1:6">
      <c r="A713" s="169" t="s">
        <v>3491</v>
      </c>
      <c r="B713" s="169" t="s">
        <v>3492</v>
      </c>
      <c r="C713" s="169" t="s">
        <v>3493</v>
      </c>
      <c r="D713" s="170">
        <v>1020</v>
      </c>
      <c r="E713" s="170">
        <v>0</v>
      </c>
      <c r="F713" s="170" t="s">
        <v>1549</v>
      </c>
    </row>
    <row r="714" spans="1:6">
      <c r="A714" s="169" t="s">
        <v>3494</v>
      </c>
      <c r="B714" s="169" t="s">
        <v>3495</v>
      </c>
      <c r="C714" s="169" t="s">
        <v>3496</v>
      </c>
      <c r="D714" s="170">
        <v>100</v>
      </c>
      <c r="E714" s="170">
        <v>0</v>
      </c>
      <c r="F714" s="170" t="s">
        <v>1577</v>
      </c>
    </row>
    <row r="715" spans="1:6">
      <c r="A715" s="169" t="s">
        <v>3497</v>
      </c>
      <c r="B715" s="169" t="s">
        <v>3498</v>
      </c>
      <c r="C715" s="169" t="s">
        <v>3406</v>
      </c>
      <c r="D715" s="170">
        <v>100</v>
      </c>
      <c r="E715" s="170">
        <v>0</v>
      </c>
      <c r="F715" s="170" t="s">
        <v>1577</v>
      </c>
    </row>
    <row r="716" spans="1:6">
      <c r="A716" s="169" t="s">
        <v>3499</v>
      </c>
      <c r="B716" s="169" t="s">
        <v>3500</v>
      </c>
      <c r="C716" s="169" t="s">
        <v>3406</v>
      </c>
      <c r="D716" s="170">
        <v>100</v>
      </c>
      <c r="E716" s="170">
        <v>0</v>
      </c>
      <c r="F716" s="170" t="s">
        <v>1577</v>
      </c>
    </row>
    <row r="717" spans="1:6">
      <c r="A717" s="169" t="s">
        <v>3501</v>
      </c>
      <c r="B717" s="169" t="s">
        <v>3502</v>
      </c>
      <c r="C717" s="169" t="s">
        <v>3406</v>
      </c>
      <c r="D717" s="170">
        <v>100</v>
      </c>
      <c r="E717" s="170">
        <v>0</v>
      </c>
      <c r="F717" s="170" t="s">
        <v>1577</v>
      </c>
    </row>
    <row r="718" spans="1:6">
      <c r="A718" s="169" t="s">
        <v>3503</v>
      </c>
      <c r="B718" s="169" t="s">
        <v>3504</v>
      </c>
      <c r="C718" s="169" t="s">
        <v>3505</v>
      </c>
      <c r="D718" s="170">
        <v>350</v>
      </c>
      <c r="E718" s="170">
        <v>0</v>
      </c>
      <c r="F718" s="170" t="s">
        <v>3506</v>
      </c>
    </row>
    <row r="719" spans="1:6">
      <c r="A719" s="169" t="s">
        <v>3507</v>
      </c>
      <c r="B719" s="169" t="s">
        <v>3508</v>
      </c>
      <c r="C719" s="169" t="s">
        <v>3509</v>
      </c>
      <c r="D719" s="170">
        <v>200</v>
      </c>
      <c r="E719" s="170">
        <v>0</v>
      </c>
      <c r="F719" s="170" t="s">
        <v>3506</v>
      </c>
    </row>
    <row r="720" spans="1:6">
      <c r="A720" s="169" t="s">
        <v>3510</v>
      </c>
      <c r="B720" s="169" t="s">
        <v>3511</v>
      </c>
      <c r="C720" s="169" t="s">
        <v>3406</v>
      </c>
      <c r="D720" s="170">
        <v>16</v>
      </c>
      <c r="E720" s="170">
        <v>0</v>
      </c>
      <c r="F720" s="170" t="s">
        <v>1635</v>
      </c>
    </row>
    <row r="721" spans="1:6">
      <c r="A721" s="169" t="s">
        <v>3512</v>
      </c>
      <c r="B721" s="169" t="s">
        <v>3513</v>
      </c>
      <c r="C721" s="169" t="s">
        <v>3514</v>
      </c>
      <c r="D721" s="170">
        <v>624</v>
      </c>
      <c r="E721" s="170">
        <v>-19</v>
      </c>
      <c r="F721" s="170" t="s">
        <v>1535</v>
      </c>
    </row>
    <row r="722" spans="1:6">
      <c r="A722" s="169" t="s">
        <v>3515</v>
      </c>
      <c r="B722" s="169" t="s">
        <v>3516</v>
      </c>
      <c r="C722" s="169" t="s">
        <v>3517</v>
      </c>
      <c r="D722" s="170">
        <v>624</v>
      </c>
      <c r="E722" s="170">
        <v>-19</v>
      </c>
      <c r="F722" s="170" t="s">
        <v>1535</v>
      </c>
    </row>
    <row r="723" spans="1:6">
      <c r="A723" s="169" t="s">
        <v>3518</v>
      </c>
      <c r="B723" s="169" t="s">
        <v>3519</v>
      </c>
      <c r="C723" s="169" t="s">
        <v>3311</v>
      </c>
      <c r="D723" s="170">
        <v>100</v>
      </c>
      <c r="E723" s="170">
        <v>0</v>
      </c>
      <c r="F723" s="170" t="s">
        <v>1535</v>
      </c>
    </row>
    <row r="724" spans="1:6">
      <c r="A724" s="169" t="s">
        <v>3520</v>
      </c>
      <c r="B724" s="169" t="s">
        <v>3521</v>
      </c>
      <c r="C724" s="169" t="s">
        <v>3522</v>
      </c>
      <c r="D724" s="170">
        <v>100</v>
      </c>
      <c r="E724" s="170">
        <v>0</v>
      </c>
      <c r="F724" s="170" t="s">
        <v>1535</v>
      </c>
    </row>
    <row r="725" spans="1:6">
      <c r="A725" s="169" t="s">
        <v>3523</v>
      </c>
      <c r="B725" s="169" t="s">
        <v>3524</v>
      </c>
      <c r="C725" s="169" t="s">
        <v>3525</v>
      </c>
      <c r="D725" s="170">
        <v>100</v>
      </c>
      <c r="E725" s="170">
        <v>0</v>
      </c>
      <c r="F725" s="170" t="s">
        <v>1535</v>
      </c>
    </row>
    <row r="726" spans="1:6">
      <c r="A726" s="169" t="s">
        <v>3526</v>
      </c>
      <c r="B726" s="169" t="s">
        <v>3527</v>
      </c>
      <c r="C726" s="169" t="s">
        <v>3528</v>
      </c>
      <c r="D726" s="170">
        <v>200</v>
      </c>
      <c r="E726" s="170">
        <v>-19</v>
      </c>
      <c r="F726" s="170" t="s">
        <v>1535</v>
      </c>
    </row>
    <row r="727" spans="1:6">
      <c r="A727" s="169" t="s">
        <v>3529</v>
      </c>
      <c r="B727" s="169" t="s">
        <v>3530</v>
      </c>
      <c r="C727" s="169" t="s">
        <v>3531</v>
      </c>
      <c r="D727" s="170">
        <v>100</v>
      </c>
      <c r="E727" s="170">
        <v>0</v>
      </c>
      <c r="F727" s="170" t="s">
        <v>1535</v>
      </c>
    </row>
    <row r="728" spans="1:6">
      <c r="A728" s="169" t="s">
        <v>3532</v>
      </c>
      <c r="B728" s="169" t="s">
        <v>3533</v>
      </c>
      <c r="C728" s="169" t="s">
        <v>3534</v>
      </c>
      <c r="D728" s="170">
        <v>624</v>
      </c>
      <c r="E728" s="170">
        <v>-19</v>
      </c>
      <c r="F728" s="170" t="s">
        <v>1535</v>
      </c>
    </row>
    <row r="729" spans="1:6">
      <c r="A729" s="169" t="s">
        <v>3535</v>
      </c>
      <c r="B729" s="169" t="s">
        <v>3536</v>
      </c>
      <c r="C729" s="169" t="s">
        <v>3537</v>
      </c>
      <c r="D729" s="170">
        <v>400</v>
      </c>
      <c r="E729" s="170">
        <v>0</v>
      </c>
      <c r="F729" s="170" t="s">
        <v>1535</v>
      </c>
    </row>
    <row r="730" spans="1:6">
      <c r="A730" s="169" t="s">
        <v>3538</v>
      </c>
      <c r="B730" s="169" t="s">
        <v>3539</v>
      </c>
      <c r="C730" s="169" t="s">
        <v>3540</v>
      </c>
      <c r="D730" s="170">
        <v>400</v>
      </c>
      <c r="E730" s="170">
        <v>0</v>
      </c>
      <c r="F730" s="170" t="s">
        <v>1535</v>
      </c>
    </row>
    <row r="731" spans="1:6">
      <c r="A731" s="169" t="s">
        <v>3541</v>
      </c>
      <c r="B731" s="169" t="s">
        <v>3542</v>
      </c>
      <c r="C731" s="169" t="s">
        <v>3543</v>
      </c>
      <c r="D731" s="170">
        <v>30</v>
      </c>
      <c r="E731" s="170">
        <v>0</v>
      </c>
      <c r="F731" s="170" t="s">
        <v>3472</v>
      </c>
    </row>
    <row r="732" spans="1:6">
      <c r="A732" s="169" t="s">
        <v>3544</v>
      </c>
      <c r="B732" s="169" t="s">
        <v>3545</v>
      </c>
      <c r="C732" s="169" t="s">
        <v>3546</v>
      </c>
      <c r="D732" s="170">
        <v>12.7</v>
      </c>
      <c r="E732" s="170">
        <v>0</v>
      </c>
      <c r="F732" s="170" t="s">
        <v>3547</v>
      </c>
    </row>
    <row r="733" spans="1:6">
      <c r="A733" s="169" t="s">
        <v>3548</v>
      </c>
      <c r="B733" s="169" t="s">
        <v>3549</v>
      </c>
      <c r="C733" s="169" t="s">
        <v>3550</v>
      </c>
      <c r="D733" s="170">
        <v>12.7</v>
      </c>
      <c r="E733" s="170">
        <v>0</v>
      </c>
      <c r="F733" s="170" t="s">
        <v>3547</v>
      </c>
    </row>
    <row r="734" spans="1:6">
      <c r="A734" s="169" t="s">
        <v>3551</v>
      </c>
      <c r="B734" s="169" t="s">
        <v>3552</v>
      </c>
      <c r="C734" s="169" t="s">
        <v>1542</v>
      </c>
      <c r="D734" s="170">
        <v>250.1</v>
      </c>
      <c r="E734" s="170">
        <v>0</v>
      </c>
      <c r="F734" s="170" t="s">
        <v>1549</v>
      </c>
    </row>
    <row r="735" spans="1:6">
      <c r="A735" s="169" t="s">
        <v>3553</v>
      </c>
      <c r="B735" s="169" t="s">
        <v>3554</v>
      </c>
      <c r="C735" s="169" t="s">
        <v>1542</v>
      </c>
      <c r="D735" s="170">
        <v>220</v>
      </c>
      <c r="E735" s="170">
        <v>0</v>
      </c>
      <c r="F735" s="170" t="s">
        <v>1549</v>
      </c>
    </row>
    <row r="736" spans="1:6">
      <c r="A736" s="169" t="s">
        <v>3555</v>
      </c>
      <c r="B736" s="169" t="s">
        <v>3556</v>
      </c>
      <c r="C736" s="169" t="s">
        <v>3557</v>
      </c>
      <c r="D736" s="170">
        <v>1090</v>
      </c>
      <c r="E736" s="170">
        <v>0</v>
      </c>
      <c r="F736" s="170" t="s">
        <v>1549</v>
      </c>
    </row>
    <row r="737" spans="1:6">
      <c r="A737" s="169" t="s">
        <v>3558</v>
      </c>
      <c r="B737" s="169" t="s">
        <v>3559</v>
      </c>
      <c r="C737" s="169" t="s">
        <v>3560</v>
      </c>
      <c r="D737" s="170">
        <v>500</v>
      </c>
      <c r="E737" s="170">
        <v>0</v>
      </c>
      <c r="F737" s="170" t="s">
        <v>1549</v>
      </c>
    </row>
    <row r="738" spans="1:6">
      <c r="A738" s="169" t="s">
        <v>3561</v>
      </c>
      <c r="B738" s="169" t="s">
        <v>3562</v>
      </c>
      <c r="C738" s="169" t="s">
        <v>1542</v>
      </c>
      <c r="D738" s="170">
        <v>400</v>
      </c>
      <c r="E738" s="170">
        <v>0</v>
      </c>
      <c r="F738" s="170" t="s">
        <v>1549</v>
      </c>
    </row>
    <row r="739" spans="1:6">
      <c r="A739" s="169" t="s">
        <v>3563</v>
      </c>
      <c r="B739" s="169" t="s">
        <v>3564</v>
      </c>
      <c r="C739" s="169" t="s">
        <v>3565</v>
      </c>
      <c r="D739" s="170">
        <v>400</v>
      </c>
      <c r="E739" s="170">
        <v>0</v>
      </c>
      <c r="F739" s="170" t="s">
        <v>1549</v>
      </c>
    </row>
    <row r="740" spans="1:6">
      <c r="A740" s="169" t="s">
        <v>3566</v>
      </c>
      <c r="B740" s="169" t="s">
        <v>3567</v>
      </c>
      <c r="C740" s="169" t="s">
        <v>3568</v>
      </c>
      <c r="D740" s="170">
        <v>864</v>
      </c>
      <c r="E740" s="170">
        <v>0</v>
      </c>
      <c r="F740" s="170" t="s">
        <v>1549</v>
      </c>
    </row>
    <row r="741" spans="1:6">
      <c r="A741" s="169" t="s">
        <v>3569</v>
      </c>
      <c r="B741" s="169" t="s">
        <v>3570</v>
      </c>
      <c r="C741" s="169" t="s">
        <v>3571</v>
      </c>
      <c r="D741" s="170">
        <v>342</v>
      </c>
      <c r="E741" s="170">
        <v>0</v>
      </c>
      <c r="F741" s="170" t="s">
        <v>1549</v>
      </c>
    </row>
    <row r="742" spans="1:6">
      <c r="A742" s="169" t="s">
        <v>3572</v>
      </c>
      <c r="B742" s="169" t="s">
        <v>3573</v>
      </c>
      <c r="C742" s="169" t="s">
        <v>3574</v>
      </c>
      <c r="D742" s="170">
        <v>250.1</v>
      </c>
      <c r="E742" s="170">
        <v>0</v>
      </c>
      <c r="F742" s="170" t="s">
        <v>1549</v>
      </c>
    </row>
    <row r="743" spans="1:6">
      <c r="A743" s="169" t="s">
        <v>3575</v>
      </c>
      <c r="B743" s="169" t="s">
        <v>3576</v>
      </c>
      <c r="C743" s="169" t="s">
        <v>3577</v>
      </c>
      <c r="D743" s="170">
        <v>220</v>
      </c>
      <c r="E743" s="170">
        <v>0</v>
      </c>
      <c r="F743" s="170" t="s">
        <v>1549</v>
      </c>
    </row>
    <row r="744" spans="1:6">
      <c r="A744" s="169" t="s">
        <v>3578</v>
      </c>
      <c r="B744" s="169" t="s">
        <v>3579</v>
      </c>
      <c r="C744" s="169" t="s">
        <v>3580</v>
      </c>
      <c r="D744" s="170">
        <v>152</v>
      </c>
      <c r="E744" s="170">
        <v>0</v>
      </c>
      <c r="F744" s="170" t="s">
        <v>1549</v>
      </c>
    </row>
    <row r="745" spans="1:6">
      <c r="A745" s="169" t="s">
        <v>3581</v>
      </c>
      <c r="B745" s="169" t="s">
        <v>3582</v>
      </c>
      <c r="C745" s="169" t="s">
        <v>3583</v>
      </c>
      <c r="D745" s="170">
        <v>152</v>
      </c>
      <c r="E745" s="170">
        <v>0</v>
      </c>
      <c r="F745" s="170" t="s">
        <v>1549</v>
      </c>
    </row>
    <row r="746" spans="1:6">
      <c r="A746" s="169" t="s">
        <v>3584</v>
      </c>
      <c r="B746" s="169" t="s">
        <v>3585</v>
      </c>
      <c r="C746" s="169" t="s">
        <v>3586</v>
      </c>
      <c r="D746" s="170">
        <v>152</v>
      </c>
      <c r="E746" s="170">
        <v>0</v>
      </c>
      <c r="F746" s="170" t="s">
        <v>1549</v>
      </c>
    </row>
    <row r="747" spans="1:6">
      <c r="A747" s="169" t="s">
        <v>3587</v>
      </c>
      <c r="B747" s="169" t="s">
        <v>3588</v>
      </c>
      <c r="C747" s="169" t="s">
        <v>3589</v>
      </c>
      <c r="D747" s="170">
        <v>152</v>
      </c>
      <c r="E747" s="170">
        <v>0</v>
      </c>
      <c r="F747" s="170" t="s">
        <v>1549</v>
      </c>
    </row>
    <row r="748" spans="1:6">
      <c r="A748" s="169" t="s">
        <v>3590</v>
      </c>
      <c r="B748" s="169" t="s">
        <v>3591</v>
      </c>
      <c r="C748" s="169" t="s">
        <v>3592</v>
      </c>
      <c r="D748" s="170">
        <v>152</v>
      </c>
      <c r="E748" s="170">
        <v>0</v>
      </c>
      <c r="F748" s="170" t="s">
        <v>1549</v>
      </c>
    </row>
    <row r="749" spans="1:6">
      <c r="A749" s="169" t="s">
        <v>3593</v>
      </c>
      <c r="B749" s="169" t="s">
        <v>3594</v>
      </c>
      <c r="C749" s="169" t="s">
        <v>3595</v>
      </c>
      <c r="D749" s="170">
        <v>152</v>
      </c>
      <c r="E749" s="170">
        <v>0</v>
      </c>
      <c r="F749" s="170" t="s">
        <v>1549</v>
      </c>
    </row>
    <row r="750" spans="1:6">
      <c r="A750" s="169" t="s">
        <v>3596</v>
      </c>
      <c r="B750" s="169" t="s">
        <v>3597</v>
      </c>
      <c r="C750" s="169" t="s">
        <v>3598</v>
      </c>
      <c r="D750" s="170">
        <v>152</v>
      </c>
      <c r="E750" s="170">
        <v>0</v>
      </c>
      <c r="F750" s="170" t="s">
        <v>1549</v>
      </c>
    </row>
    <row r="751" spans="1:6">
      <c r="A751" s="169" t="s">
        <v>3599</v>
      </c>
      <c r="B751" s="169" t="s">
        <v>3600</v>
      </c>
      <c r="C751" s="169" t="s">
        <v>3601</v>
      </c>
      <c r="D751" s="170">
        <v>152</v>
      </c>
      <c r="E751" s="170">
        <v>0</v>
      </c>
      <c r="F751" s="170" t="s">
        <v>1549</v>
      </c>
    </row>
    <row r="752" spans="1:6">
      <c r="A752" s="169" t="s">
        <v>3602</v>
      </c>
      <c r="B752" s="169" t="s">
        <v>3603</v>
      </c>
      <c r="C752" s="169" t="s">
        <v>3604</v>
      </c>
      <c r="D752" s="170">
        <v>10</v>
      </c>
      <c r="E752" s="170">
        <v>0</v>
      </c>
      <c r="F752" s="170" t="s">
        <v>3605</v>
      </c>
    </row>
    <row r="753" spans="1:6">
      <c r="A753" s="169" t="s">
        <v>3606</v>
      </c>
      <c r="B753" s="169" t="s">
        <v>3607</v>
      </c>
      <c r="C753" s="169" t="s">
        <v>3608</v>
      </c>
      <c r="D753" s="170">
        <v>1.2</v>
      </c>
      <c r="E753" s="170">
        <v>0</v>
      </c>
      <c r="F753" s="170" t="s">
        <v>463</v>
      </c>
    </row>
    <row r="754" spans="1:6">
      <c r="A754" s="169" t="s">
        <v>3609</v>
      </c>
      <c r="B754" s="169" t="s">
        <v>3610</v>
      </c>
      <c r="C754" s="169" t="s">
        <v>3611</v>
      </c>
      <c r="D754" s="170">
        <v>100</v>
      </c>
      <c r="E754" s="170">
        <v>0</v>
      </c>
      <c r="F754" s="170" t="s">
        <v>463</v>
      </c>
    </row>
    <row r="755" spans="1:6">
      <c r="A755" s="169" t="s">
        <v>3612</v>
      </c>
      <c r="B755" s="169" t="s">
        <v>3613</v>
      </c>
      <c r="C755" s="169" t="s">
        <v>3614</v>
      </c>
      <c r="D755" s="170">
        <v>100</v>
      </c>
      <c r="E755" s="170">
        <v>0</v>
      </c>
      <c r="F755" s="170" t="s">
        <v>463</v>
      </c>
    </row>
    <row r="756" spans="1:6">
      <c r="A756" s="169" t="s">
        <v>3615</v>
      </c>
      <c r="B756" s="169" t="s">
        <v>3616</v>
      </c>
      <c r="C756" s="169" t="s">
        <v>3617</v>
      </c>
      <c r="D756" s="170">
        <v>100</v>
      </c>
      <c r="E756" s="170">
        <v>0</v>
      </c>
      <c r="F756" s="170" t="s">
        <v>1577</v>
      </c>
    </row>
    <row r="757" spans="1:6">
      <c r="A757" s="169" t="s">
        <v>3618</v>
      </c>
      <c r="B757" s="169" t="s">
        <v>3619</v>
      </c>
      <c r="C757" s="169" t="s">
        <v>3617</v>
      </c>
      <c r="D757" s="170">
        <v>100</v>
      </c>
      <c r="E757" s="170">
        <v>0</v>
      </c>
      <c r="F757" s="170" t="s">
        <v>1577</v>
      </c>
    </row>
    <row r="758" spans="1:6">
      <c r="A758" s="169" t="s">
        <v>3620</v>
      </c>
      <c r="B758" s="169" t="s">
        <v>3621</v>
      </c>
      <c r="C758" s="169" t="s">
        <v>3617</v>
      </c>
      <c r="D758" s="170">
        <v>100</v>
      </c>
      <c r="E758" s="170">
        <v>0</v>
      </c>
      <c r="F758" s="170" t="s">
        <v>1577</v>
      </c>
    </row>
    <row r="759" spans="1:6">
      <c r="A759" s="169" t="s">
        <v>3622</v>
      </c>
      <c r="B759" s="169" t="s">
        <v>3623</v>
      </c>
      <c r="C759" s="169" t="s">
        <v>3624</v>
      </c>
      <c r="D759" s="170">
        <v>100</v>
      </c>
      <c r="E759" s="170">
        <v>0</v>
      </c>
      <c r="F759" s="170" t="s">
        <v>1577</v>
      </c>
    </row>
    <row r="760" spans="1:6">
      <c r="A760" s="169" t="s">
        <v>3625</v>
      </c>
      <c r="B760" s="169" t="s">
        <v>3626</v>
      </c>
      <c r="C760" s="169" t="s">
        <v>3624</v>
      </c>
      <c r="D760" s="170">
        <v>100</v>
      </c>
      <c r="E760" s="170">
        <v>0</v>
      </c>
      <c r="F760" s="170" t="s">
        <v>1577</v>
      </c>
    </row>
    <row r="761" spans="1:6">
      <c r="A761" s="169" t="s">
        <v>3627</v>
      </c>
      <c r="B761" s="169" t="s">
        <v>3628</v>
      </c>
      <c r="C761" s="169" t="s">
        <v>3624</v>
      </c>
      <c r="D761" s="170">
        <v>100</v>
      </c>
      <c r="E761" s="170">
        <v>0</v>
      </c>
      <c r="F761" s="170" t="s">
        <v>1577</v>
      </c>
    </row>
    <row r="762" spans="1:6">
      <c r="A762" s="169" t="s">
        <v>3629</v>
      </c>
      <c r="B762" s="169" t="s">
        <v>3630</v>
      </c>
      <c r="C762" s="169" t="s">
        <v>3342</v>
      </c>
      <c r="D762" s="170">
        <v>100</v>
      </c>
      <c r="E762" s="170">
        <v>0</v>
      </c>
      <c r="F762" s="170" t="s">
        <v>463</v>
      </c>
    </row>
    <row r="763" spans="1:6">
      <c r="A763" s="169" t="s">
        <v>3631</v>
      </c>
      <c r="B763" s="169" t="s">
        <v>3632</v>
      </c>
      <c r="C763" s="169" t="s">
        <v>3624</v>
      </c>
      <c r="D763" s="170">
        <v>1.8</v>
      </c>
      <c r="E763" s="170">
        <v>0</v>
      </c>
      <c r="F763" s="170" t="s">
        <v>1635</v>
      </c>
    </row>
    <row r="764" spans="1:6">
      <c r="A764" s="169" t="s">
        <v>3633</v>
      </c>
      <c r="B764" s="169" t="s">
        <v>3634</v>
      </c>
      <c r="C764" s="169" t="s">
        <v>3342</v>
      </c>
      <c r="D764" s="170">
        <v>2</v>
      </c>
      <c r="E764" s="170">
        <v>0</v>
      </c>
      <c r="F764" s="170" t="s">
        <v>1635</v>
      </c>
    </row>
    <row r="765" spans="1:6">
      <c r="A765" s="169" t="s">
        <v>3635</v>
      </c>
      <c r="B765" s="169" t="s">
        <v>3636</v>
      </c>
      <c r="C765" s="169" t="s">
        <v>3637</v>
      </c>
      <c r="D765" s="170">
        <v>1</v>
      </c>
      <c r="E765" s="170">
        <v>0</v>
      </c>
      <c r="F765" s="170" t="s">
        <v>1539</v>
      </c>
    </row>
    <row r="766" spans="1:6">
      <c r="A766" s="169" t="s">
        <v>3638</v>
      </c>
      <c r="B766" s="169" t="s">
        <v>3639</v>
      </c>
      <c r="C766" s="169" t="s">
        <v>3640</v>
      </c>
      <c r="D766" s="170">
        <v>25</v>
      </c>
      <c r="E766" s="170">
        <v>-25</v>
      </c>
      <c r="F766" s="170" t="s">
        <v>1535</v>
      </c>
    </row>
    <row r="767" spans="1:6">
      <c r="A767" s="169" t="s">
        <v>3641</v>
      </c>
      <c r="B767" s="169" t="s">
        <v>3642</v>
      </c>
      <c r="C767" s="169" t="s">
        <v>3643</v>
      </c>
      <c r="D767" s="170">
        <v>20</v>
      </c>
      <c r="E767" s="170">
        <v>-10</v>
      </c>
      <c r="F767" s="170" t="s">
        <v>1535</v>
      </c>
    </row>
    <row r="768" spans="1:6">
      <c r="A768" s="169" t="s">
        <v>3644</v>
      </c>
      <c r="B768" s="169" t="s">
        <v>3645</v>
      </c>
      <c r="C768" s="169" t="s">
        <v>3646</v>
      </c>
      <c r="D768" s="170">
        <v>643</v>
      </c>
      <c r="E768" s="170">
        <v>0</v>
      </c>
      <c r="F768" s="170" t="s">
        <v>1535</v>
      </c>
    </row>
    <row r="769" spans="1:6">
      <c r="A769" s="169" t="s">
        <v>3647</v>
      </c>
      <c r="B769" s="169" t="s">
        <v>3648</v>
      </c>
      <c r="C769" s="169" t="s">
        <v>3649</v>
      </c>
      <c r="D769" s="170">
        <v>250</v>
      </c>
      <c r="E769" s="170">
        <v>0</v>
      </c>
      <c r="F769" s="170" t="s">
        <v>1535</v>
      </c>
    </row>
    <row r="770" spans="1:6">
      <c r="A770" s="169" t="s">
        <v>3650</v>
      </c>
      <c r="B770" s="169" t="s">
        <v>3651</v>
      </c>
      <c r="C770" s="169" t="s">
        <v>3571</v>
      </c>
      <c r="D770" s="170">
        <v>200</v>
      </c>
      <c r="E770" s="170">
        <v>0</v>
      </c>
      <c r="F770" s="170" t="s">
        <v>1535</v>
      </c>
    </row>
    <row r="771" spans="1:6">
      <c r="A771" s="169" t="s">
        <v>3652</v>
      </c>
      <c r="B771" s="169" t="s">
        <v>3653</v>
      </c>
      <c r="C771" s="169" t="s">
        <v>3654</v>
      </c>
      <c r="D771" s="170">
        <v>200</v>
      </c>
      <c r="E771" s="170">
        <v>0</v>
      </c>
      <c r="F771" s="170" t="s">
        <v>1535</v>
      </c>
    </row>
    <row r="772" spans="1:6">
      <c r="A772" s="169" t="s">
        <v>3655</v>
      </c>
      <c r="B772" s="169" t="s">
        <v>3399</v>
      </c>
      <c r="C772" s="169" t="s">
        <v>3646</v>
      </c>
      <c r="D772" s="170">
        <v>624</v>
      </c>
      <c r="E772" s="170">
        <v>-19</v>
      </c>
      <c r="F772" s="170" t="s">
        <v>1535</v>
      </c>
    </row>
    <row r="773" spans="1:6">
      <c r="A773" s="169" t="s">
        <v>3656</v>
      </c>
      <c r="B773" s="169" t="s">
        <v>3657</v>
      </c>
      <c r="C773" s="169" t="s">
        <v>3646</v>
      </c>
      <c r="D773" s="170">
        <v>624</v>
      </c>
      <c r="E773" s="170">
        <v>-19</v>
      </c>
      <c r="F773" s="170" t="s">
        <v>1535</v>
      </c>
    </row>
    <row r="774" spans="1:6">
      <c r="A774" s="169" t="s">
        <v>3658</v>
      </c>
      <c r="B774" s="169" t="s">
        <v>3659</v>
      </c>
      <c r="C774" s="169" t="s">
        <v>3646</v>
      </c>
      <c r="D774" s="170">
        <v>624</v>
      </c>
      <c r="E774" s="170">
        <v>-19</v>
      </c>
      <c r="F774" s="170" t="s">
        <v>1535</v>
      </c>
    </row>
    <row r="775" spans="1:6">
      <c r="A775" s="169" t="s">
        <v>3660</v>
      </c>
      <c r="B775" s="169" t="s">
        <v>3661</v>
      </c>
      <c r="C775" s="169" t="s">
        <v>3308</v>
      </c>
      <c r="D775" s="170">
        <v>624</v>
      </c>
      <c r="E775" s="170">
        <v>-19</v>
      </c>
      <c r="F775" s="170" t="s">
        <v>1535</v>
      </c>
    </row>
    <row r="776" spans="1:6">
      <c r="A776" s="169" t="s">
        <v>3662</v>
      </c>
      <c r="B776" s="169" t="s">
        <v>3663</v>
      </c>
      <c r="C776" s="169" t="s">
        <v>3664</v>
      </c>
      <c r="D776" s="170">
        <v>300</v>
      </c>
      <c r="E776" s="170">
        <v>0</v>
      </c>
      <c r="F776" s="170" t="s">
        <v>1535</v>
      </c>
    </row>
    <row r="777" spans="1:6">
      <c r="A777" s="169" t="s">
        <v>3665</v>
      </c>
      <c r="B777" s="169" t="s">
        <v>3666</v>
      </c>
      <c r="C777" s="169" t="s">
        <v>3667</v>
      </c>
      <c r="D777" s="170">
        <v>300</v>
      </c>
      <c r="E777" s="170">
        <v>0</v>
      </c>
      <c r="F777" s="170" t="s">
        <v>1535</v>
      </c>
    </row>
    <row r="778" spans="1:6">
      <c r="A778" s="169" t="s">
        <v>3668</v>
      </c>
      <c r="B778" s="169" t="s">
        <v>3669</v>
      </c>
      <c r="C778" s="169" t="s">
        <v>3670</v>
      </c>
      <c r="D778" s="170">
        <v>400</v>
      </c>
      <c r="E778" s="170">
        <v>0</v>
      </c>
      <c r="F778" s="170" t="s">
        <v>1535</v>
      </c>
    </row>
    <row r="779" spans="1:6">
      <c r="A779" s="169" t="s">
        <v>3671</v>
      </c>
      <c r="B779" s="169" t="s">
        <v>3672</v>
      </c>
      <c r="C779" s="169" t="s">
        <v>3673</v>
      </c>
      <c r="D779" s="170">
        <v>200</v>
      </c>
      <c r="E779" s="170">
        <v>0</v>
      </c>
      <c r="F779" s="170" t="s">
        <v>1535</v>
      </c>
    </row>
    <row r="780" spans="1:6">
      <c r="A780" s="169" t="s">
        <v>3674</v>
      </c>
      <c r="B780" s="169" t="s">
        <v>3675</v>
      </c>
      <c r="C780" s="169" t="s">
        <v>3676</v>
      </c>
      <c r="D780" s="170">
        <v>150</v>
      </c>
      <c r="E780" s="170">
        <v>0</v>
      </c>
      <c r="F780" s="170" t="s">
        <v>1535</v>
      </c>
    </row>
    <row r="781" spans="1:6">
      <c r="A781" s="169" t="s">
        <v>3677</v>
      </c>
      <c r="B781" s="169" t="s">
        <v>3678</v>
      </c>
      <c r="C781" s="169" t="s">
        <v>3679</v>
      </c>
      <c r="D781" s="170">
        <v>139.69999999999999</v>
      </c>
      <c r="E781" s="170">
        <v>0</v>
      </c>
      <c r="F781" s="170" t="s">
        <v>463</v>
      </c>
    </row>
    <row r="782" spans="1:6">
      <c r="A782" s="169" t="s">
        <v>3680</v>
      </c>
      <c r="B782" s="169" t="s">
        <v>3681</v>
      </c>
      <c r="C782" s="169" t="s">
        <v>3682</v>
      </c>
      <c r="D782" s="170">
        <v>150.6</v>
      </c>
      <c r="E782" s="170">
        <v>0</v>
      </c>
      <c r="F782" s="170" t="s">
        <v>463</v>
      </c>
    </row>
    <row r="783" spans="1:6">
      <c r="A783" s="169" t="s">
        <v>3683</v>
      </c>
      <c r="B783" s="169" t="s">
        <v>3684</v>
      </c>
      <c r="C783" s="169" t="s">
        <v>3403</v>
      </c>
      <c r="D783" s="170">
        <v>139.69999999999999</v>
      </c>
      <c r="E783" s="170">
        <v>0</v>
      </c>
      <c r="F783" s="170" t="s">
        <v>463</v>
      </c>
    </row>
    <row r="784" spans="1:6">
      <c r="A784" s="169" t="s">
        <v>3685</v>
      </c>
      <c r="B784" s="169" t="s">
        <v>3686</v>
      </c>
      <c r="C784" s="169" t="s">
        <v>3403</v>
      </c>
      <c r="D784" s="170">
        <v>139.69999999999999</v>
      </c>
      <c r="E784" s="170">
        <v>0</v>
      </c>
      <c r="F784" s="170" t="s">
        <v>1577</v>
      </c>
    </row>
    <row r="785" spans="1:6">
      <c r="A785" s="169" t="s">
        <v>3687</v>
      </c>
      <c r="B785" s="169" t="s">
        <v>3688</v>
      </c>
      <c r="C785" s="169" t="s">
        <v>3403</v>
      </c>
      <c r="D785" s="170">
        <v>139.69999999999999</v>
      </c>
      <c r="E785" s="170">
        <v>0</v>
      </c>
      <c r="F785" s="170" t="s">
        <v>1577</v>
      </c>
    </row>
    <row r="786" spans="1:6">
      <c r="A786" s="169" t="s">
        <v>3689</v>
      </c>
      <c r="B786" s="169" t="s">
        <v>3690</v>
      </c>
      <c r="C786" s="169" t="s">
        <v>3403</v>
      </c>
      <c r="D786" s="170">
        <v>139.69999999999999</v>
      </c>
      <c r="E786" s="170">
        <v>0</v>
      </c>
      <c r="F786" s="170" t="s">
        <v>1577</v>
      </c>
    </row>
    <row r="787" spans="1:6">
      <c r="A787" s="169" t="s">
        <v>3691</v>
      </c>
      <c r="B787" s="169" t="s">
        <v>3692</v>
      </c>
      <c r="C787" s="169" t="s">
        <v>3664</v>
      </c>
      <c r="D787" s="170">
        <v>150.6</v>
      </c>
      <c r="E787" s="170">
        <v>0</v>
      </c>
      <c r="F787" s="170" t="s">
        <v>463</v>
      </c>
    </row>
    <row r="788" spans="1:6">
      <c r="A788" s="169" t="s">
        <v>3693</v>
      </c>
      <c r="B788" s="169" t="s">
        <v>3694</v>
      </c>
      <c r="C788" s="169" t="s">
        <v>3664</v>
      </c>
      <c r="D788" s="170">
        <v>150.6</v>
      </c>
      <c r="E788" s="170">
        <v>0</v>
      </c>
      <c r="F788" s="170" t="s">
        <v>1577</v>
      </c>
    </row>
    <row r="789" spans="1:6">
      <c r="A789" s="169" t="s">
        <v>3695</v>
      </c>
      <c r="B789" s="169" t="s">
        <v>3696</v>
      </c>
      <c r="C789" s="169" t="s">
        <v>3664</v>
      </c>
      <c r="D789" s="170">
        <v>150.6</v>
      </c>
      <c r="E789" s="170">
        <v>0</v>
      </c>
      <c r="F789" s="170" t="s">
        <v>1577</v>
      </c>
    </row>
    <row r="790" spans="1:6">
      <c r="A790" s="169" t="s">
        <v>3697</v>
      </c>
      <c r="B790" s="169" t="s">
        <v>3698</v>
      </c>
      <c r="C790" s="169" t="s">
        <v>3664</v>
      </c>
      <c r="D790" s="170">
        <v>150.6</v>
      </c>
      <c r="E790" s="170">
        <v>0</v>
      </c>
      <c r="F790" s="170" t="s">
        <v>1577</v>
      </c>
    </row>
    <row r="791" spans="1:6">
      <c r="A791" s="169" t="s">
        <v>3699</v>
      </c>
      <c r="B791" s="169" t="s">
        <v>3700</v>
      </c>
      <c r="C791" s="169" t="s">
        <v>3701</v>
      </c>
      <c r="D791" s="170">
        <v>5</v>
      </c>
      <c r="E791" s="170">
        <v>0</v>
      </c>
      <c r="F791" s="170" t="s">
        <v>2000</v>
      </c>
    </row>
    <row r="792" spans="1:6">
      <c r="A792" s="169" t="s">
        <v>3702</v>
      </c>
      <c r="B792" s="169" t="s">
        <v>3703</v>
      </c>
      <c r="C792" s="169" t="s">
        <v>3701</v>
      </c>
      <c r="D792" s="170">
        <v>5</v>
      </c>
      <c r="E792" s="170">
        <v>0</v>
      </c>
      <c r="F792" s="170" t="s">
        <v>2000</v>
      </c>
    </row>
    <row r="793" spans="1:6">
      <c r="A793" s="169" t="s">
        <v>3704</v>
      </c>
      <c r="B793" s="169" t="s">
        <v>3705</v>
      </c>
      <c r="C793" s="169" t="s">
        <v>3706</v>
      </c>
      <c r="D793" s="170">
        <v>10</v>
      </c>
      <c r="E793" s="170">
        <v>0</v>
      </c>
      <c r="F793" s="170" t="s">
        <v>2000</v>
      </c>
    </row>
    <row r="794" spans="1:6">
      <c r="A794" s="169" t="s">
        <v>3707</v>
      </c>
      <c r="B794" s="169" t="s">
        <v>3708</v>
      </c>
      <c r="C794" s="169" t="s">
        <v>3709</v>
      </c>
      <c r="D794" s="170">
        <v>5</v>
      </c>
      <c r="E794" s="170">
        <v>0</v>
      </c>
      <c r="F794" s="170" t="s">
        <v>2000</v>
      </c>
    </row>
    <row r="795" spans="1:6">
      <c r="A795" s="169" t="s">
        <v>3710</v>
      </c>
      <c r="B795" s="169" t="s">
        <v>3711</v>
      </c>
      <c r="C795" s="169" t="s">
        <v>3712</v>
      </c>
      <c r="D795" s="170">
        <v>5</v>
      </c>
      <c r="E795" s="170">
        <v>0</v>
      </c>
      <c r="F795" s="170" t="s">
        <v>2000</v>
      </c>
    </row>
    <row r="796" spans="1:6">
      <c r="A796" s="169" t="s">
        <v>3713</v>
      </c>
      <c r="B796" s="169" t="s">
        <v>3714</v>
      </c>
      <c r="C796" s="169" t="s">
        <v>3715</v>
      </c>
      <c r="D796" s="170">
        <v>5</v>
      </c>
      <c r="E796" s="170">
        <v>0</v>
      </c>
      <c r="F796" s="170" t="s">
        <v>2000</v>
      </c>
    </row>
    <row r="797" spans="1:6">
      <c r="A797" s="169" t="s">
        <v>3716</v>
      </c>
      <c r="B797" s="169" t="s">
        <v>3717</v>
      </c>
      <c r="C797" s="169" t="s">
        <v>3718</v>
      </c>
      <c r="D797" s="170">
        <v>40</v>
      </c>
      <c r="E797" s="170">
        <v>0</v>
      </c>
      <c r="F797" s="170" t="s">
        <v>2000</v>
      </c>
    </row>
    <row r="798" spans="1:6">
      <c r="A798" s="169" t="s">
        <v>3719</v>
      </c>
      <c r="B798" s="169" t="s">
        <v>3720</v>
      </c>
      <c r="C798" s="169" t="s">
        <v>3721</v>
      </c>
      <c r="D798" s="170">
        <v>40</v>
      </c>
      <c r="E798" s="170">
        <v>0</v>
      </c>
      <c r="F798" s="170" t="s">
        <v>2000</v>
      </c>
    </row>
    <row r="799" spans="1:6">
      <c r="A799" s="169" t="s">
        <v>3722</v>
      </c>
      <c r="B799" s="169" t="s">
        <v>3723</v>
      </c>
      <c r="C799" s="169" t="s">
        <v>3724</v>
      </c>
      <c r="D799" s="170">
        <v>40</v>
      </c>
      <c r="E799" s="170">
        <v>0</v>
      </c>
      <c r="F799" s="170" t="s">
        <v>2000</v>
      </c>
    </row>
    <row r="800" spans="1:6">
      <c r="A800" s="169" t="s">
        <v>3725</v>
      </c>
      <c r="B800" s="169" t="s">
        <v>3726</v>
      </c>
      <c r="C800" s="169" t="s">
        <v>3727</v>
      </c>
      <c r="D800" s="170">
        <v>40</v>
      </c>
      <c r="E800" s="170">
        <v>0</v>
      </c>
      <c r="F800" s="170" t="s">
        <v>2000</v>
      </c>
    </row>
    <row r="801" spans="1:6">
      <c r="A801" s="169" t="s">
        <v>3728</v>
      </c>
      <c r="B801" s="169" t="s">
        <v>3729</v>
      </c>
      <c r="C801" s="169" t="s">
        <v>3730</v>
      </c>
      <c r="D801" s="170">
        <v>70</v>
      </c>
      <c r="E801" s="170">
        <v>-70</v>
      </c>
      <c r="F801" s="170" t="s">
        <v>1639</v>
      </c>
    </row>
    <row r="802" spans="1:6">
      <c r="A802" s="169" t="s">
        <v>3731</v>
      </c>
      <c r="B802" s="169" t="s">
        <v>3732</v>
      </c>
      <c r="C802" s="169" t="s">
        <v>3733</v>
      </c>
      <c r="D802" s="170">
        <v>14</v>
      </c>
      <c r="E802" s="170">
        <v>0</v>
      </c>
      <c r="F802" s="170" t="s">
        <v>2633</v>
      </c>
    </row>
    <row r="803" spans="1:6">
      <c r="A803" s="169" t="s">
        <v>3734</v>
      </c>
      <c r="B803" s="169" t="s">
        <v>3735</v>
      </c>
      <c r="C803" s="169" t="s">
        <v>3733</v>
      </c>
      <c r="D803" s="170">
        <v>7</v>
      </c>
      <c r="E803" s="170">
        <v>-7</v>
      </c>
      <c r="F803" s="170" t="s">
        <v>2633</v>
      </c>
    </row>
    <row r="804" spans="1:6">
      <c r="A804" s="169" t="s">
        <v>3736</v>
      </c>
      <c r="B804" s="169" t="s">
        <v>3737</v>
      </c>
      <c r="C804" s="169" t="s">
        <v>3733</v>
      </c>
      <c r="D804" s="170">
        <v>1800</v>
      </c>
      <c r="E804" s="170">
        <v>0</v>
      </c>
      <c r="F804" s="170" t="s">
        <v>3212</v>
      </c>
    </row>
    <row r="805" spans="1:6">
      <c r="A805" s="169" t="s">
        <v>3738</v>
      </c>
      <c r="B805" s="169" t="s">
        <v>3739</v>
      </c>
      <c r="C805" s="169" t="s">
        <v>3740</v>
      </c>
      <c r="D805" s="170">
        <v>1800</v>
      </c>
      <c r="E805" s="170">
        <v>0</v>
      </c>
      <c r="F805" s="170" t="s">
        <v>3212</v>
      </c>
    </row>
    <row r="806" spans="1:6">
      <c r="A806" s="169" t="s">
        <v>3741</v>
      </c>
      <c r="B806" s="169" t="s">
        <v>3742</v>
      </c>
      <c r="C806" s="169" t="s">
        <v>3743</v>
      </c>
      <c r="D806" s="170">
        <v>29.5</v>
      </c>
      <c r="E806" s="170">
        <v>0</v>
      </c>
      <c r="F806" s="170" t="s">
        <v>1549</v>
      </c>
    </row>
    <row r="807" spans="1:6">
      <c r="A807" s="169" t="s">
        <v>3744</v>
      </c>
      <c r="B807" s="169" t="s">
        <v>3745</v>
      </c>
      <c r="C807" s="169" t="s">
        <v>3746</v>
      </c>
      <c r="D807" s="170">
        <v>100</v>
      </c>
      <c r="E807" s="170">
        <v>-100</v>
      </c>
      <c r="F807" s="170" t="s">
        <v>463</v>
      </c>
    </row>
    <row r="808" spans="1:6">
      <c r="A808" s="169" t="s">
        <v>3747</v>
      </c>
      <c r="B808" s="169" t="s">
        <v>3748</v>
      </c>
      <c r="C808" s="169" t="s">
        <v>3746</v>
      </c>
      <c r="D808" s="170">
        <v>100</v>
      </c>
      <c r="E808" s="170">
        <v>0</v>
      </c>
      <c r="F808" s="170" t="s">
        <v>1577</v>
      </c>
    </row>
    <row r="809" spans="1:6">
      <c r="A809" s="169" t="s">
        <v>3749</v>
      </c>
      <c r="B809" s="169" t="s">
        <v>3750</v>
      </c>
      <c r="C809" s="169" t="s">
        <v>3746</v>
      </c>
      <c r="D809" s="170">
        <v>100</v>
      </c>
      <c r="E809" s="170">
        <v>0</v>
      </c>
      <c r="F809" s="170" t="s">
        <v>1577</v>
      </c>
    </row>
    <row r="810" spans="1:6">
      <c r="A810" s="169" t="s">
        <v>3751</v>
      </c>
      <c r="B810" s="169" t="s">
        <v>3752</v>
      </c>
      <c r="C810" s="169" t="s">
        <v>3746</v>
      </c>
      <c r="D810" s="170">
        <v>100</v>
      </c>
      <c r="E810" s="170">
        <v>0</v>
      </c>
      <c r="F810" s="170" t="s">
        <v>463</v>
      </c>
    </row>
    <row r="811" spans="1:6">
      <c r="A811" s="169" t="s">
        <v>3753</v>
      </c>
      <c r="B811" s="169" t="s">
        <v>3754</v>
      </c>
      <c r="C811" s="169" t="s">
        <v>3743</v>
      </c>
      <c r="D811" s="170">
        <v>29.5</v>
      </c>
      <c r="E811" s="170">
        <v>0</v>
      </c>
      <c r="F811" s="170" t="s">
        <v>1549</v>
      </c>
    </row>
    <row r="812" spans="1:6">
      <c r="A812" s="169" t="s">
        <v>3755</v>
      </c>
      <c r="B812" s="169" t="s">
        <v>3756</v>
      </c>
      <c r="C812" s="169" t="s">
        <v>3757</v>
      </c>
      <c r="D812" s="170">
        <v>9040</v>
      </c>
      <c r="E812" s="170">
        <v>0</v>
      </c>
      <c r="F812" s="170" t="s">
        <v>2209</v>
      </c>
    </row>
    <row r="813" spans="1:6">
      <c r="A813" s="169" t="s">
        <v>3758</v>
      </c>
      <c r="B813" s="169" t="s">
        <v>3759</v>
      </c>
      <c r="C813" s="169" t="s">
        <v>3760</v>
      </c>
      <c r="D813" s="170">
        <v>9040</v>
      </c>
      <c r="E813" s="170">
        <v>0</v>
      </c>
      <c r="F813" s="170" t="s">
        <v>3761</v>
      </c>
    </row>
    <row r="814" spans="1:6">
      <c r="A814" s="169" t="s">
        <v>3762</v>
      </c>
      <c r="B814" s="169" t="s">
        <v>3763</v>
      </c>
      <c r="C814" s="169" t="s">
        <v>3757</v>
      </c>
      <c r="D814" s="170">
        <v>7330</v>
      </c>
      <c r="E814" s="170">
        <v>0</v>
      </c>
      <c r="F814" s="170" t="s">
        <v>2209</v>
      </c>
    </row>
    <row r="815" spans="1:6">
      <c r="A815" s="169" t="s">
        <v>3764</v>
      </c>
      <c r="B815" s="169" t="s">
        <v>3765</v>
      </c>
      <c r="C815" s="169" t="s">
        <v>3766</v>
      </c>
      <c r="D815" s="170">
        <v>20</v>
      </c>
      <c r="E815" s="170">
        <v>0</v>
      </c>
      <c r="F815" s="170" t="s">
        <v>1549</v>
      </c>
    </row>
    <row r="816" spans="1:6">
      <c r="A816" s="169" t="s">
        <v>3767</v>
      </c>
      <c r="B816" s="169" t="s">
        <v>3768</v>
      </c>
      <c r="C816" s="169" t="s">
        <v>3769</v>
      </c>
      <c r="D816" s="170">
        <v>100</v>
      </c>
      <c r="E816" s="170">
        <v>0</v>
      </c>
      <c r="F816" s="170" t="s">
        <v>1577</v>
      </c>
    </row>
    <row r="817" spans="1:6">
      <c r="A817" s="169" t="s">
        <v>3770</v>
      </c>
      <c r="B817" s="169" t="s">
        <v>3771</v>
      </c>
      <c r="C817" s="169" t="s">
        <v>3772</v>
      </c>
      <c r="D817" s="170">
        <v>50</v>
      </c>
      <c r="E817" s="170">
        <v>0</v>
      </c>
      <c r="F817" s="170" t="s">
        <v>1535</v>
      </c>
    </row>
    <row r="818" spans="1:6">
      <c r="A818" s="169" t="s">
        <v>3773</v>
      </c>
      <c r="B818" s="169" t="s">
        <v>3774</v>
      </c>
      <c r="C818" s="169" t="s">
        <v>3775</v>
      </c>
      <c r="D818" s="170">
        <v>238</v>
      </c>
      <c r="E818" s="170">
        <v>-25</v>
      </c>
      <c r="F818" s="170" t="s">
        <v>1535</v>
      </c>
    </row>
    <row r="819" spans="1:6">
      <c r="A819" s="169" t="s">
        <v>3776</v>
      </c>
      <c r="B819" s="169" t="s">
        <v>3777</v>
      </c>
      <c r="C819" s="169" t="s">
        <v>3743</v>
      </c>
      <c r="D819" s="170">
        <v>523</v>
      </c>
      <c r="E819" s="170">
        <v>-25</v>
      </c>
      <c r="F819" s="170" t="s">
        <v>1535</v>
      </c>
    </row>
    <row r="820" spans="1:6">
      <c r="A820" s="169" t="s">
        <v>3778</v>
      </c>
      <c r="B820" s="169" t="s">
        <v>3779</v>
      </c>
      <c r="C820" s="169" t="s">
        <v>3780</v>
      </c>
      <c r="D820" s="170">
        <v>523</v>
      </c>
      <c r="E820" s="170">
        <v>-25</v>
      </c>
      <c r="F820" s="170" t="s">
        <v>1535</v>
      </c>
    </row>
    <row r="821" spans="1:6">
      <c r="A821" s="169" t="s">
        <v>3781</v>
      </c>
      <c r="B821" s="169" t="s">
        <v>3782</v>
      </c>
      <c r="C821" s="169" t="s">
        <v>3757</v>
      </c>
      <c r="D821" s="170">
        <v>523</v>
      </c>
      <c r="E821" s="170">
        <v>-25</v>
      </c>
      <c r="F821" s="170" t="s">
        <v>1535</v>
      </c>
    </row>
    <row r="822" spans="1:6">
      <c r="A822" s="169" t="s">
        <v>3783</v>
      </c>
      <c r="B822" s="169" t="s">
        <v>3784</v>
      </c>
      <c r="C822" s="169" t="s">
        <v>3785</v>
      </c>
      <c r="D822" s="170">
        <v>523</v>
      </c>
      <c r="E822" s="170">
        <v>-25</v>
      </c>
      <c r="F822" s="170" t="s">
        <v>1535</v>
      </c>
    </row>
    <row r="823" spans="1:6">
      <c r="A823" s="169" t="s">
        <v>3786</v>
      </c>
      <c r="B823" s="169" t="s">
        <v>3787</v>
      </c>
      <c r="C823" s="169" t="s">
        <v>3788</v>
      </c>
      <c r="D823" s="170">
        <v>523</v>
      </c>
      <c r="E823" s="170">
        <v>-25</v>
      </c>
      <c r="F823" s="170" t="s">
        <v>1535</v>
      </c>
    </row>
    <row r="824" spans="1:6">
      <c r="A824" s="169" t="s">
        <v>3789</v>
      </c>
      <c r="B824" s="169" t="s">
        <v>3790</v>
      </c>
      <c r="C824" s="169"/>
      <c r="D824" s="170">
        <v>8000</v>
      </c>
      <c r="E824" s="170">
        <v>0</v>
      </c>
      <c r="F824" s="170" t="s">
        <v>3761</v>
      </c>
    </row>
    <row r="825" spans="1:6">
      <c r="A825" s="169" t="s">
        <v>3791</v>
      </c>
      <c r="B825" s="169" t="s">
        <v>3792</v>
      </c>
      <c r="C825" s="169" t="s">
        <v>3793</v>
      </c>
      <c r="D825" s="170">
        <v>8000</v>
      </c>
      <c r="E825" s="170">
        <v>0</v>
      </c>
      <c r="F825" s="170" t="s">
        <v>2209</v>
      </c>
    </row>
    <row r="826" spans="1:6">
      <c r="A826" s="169" t="s">
        <v>3794</v>
      </c>
      <c r="B826" s="169" t="s">
        <v>3795</v>
      </c>
      <c r="C826" s="169" t="s">
        <v>3780</v>
      </c>
      <c r="D826" s="170">
        <v>24.21</v>
      </c>
      <c r="E826" s="170">
        <v>0</v>
      </c>
      <c r="F826" s="170" t="s">
        <v>1549</v>
      </c>
    </row>
    <row r="827" spans="1:6">
      <c r="A827" s="169" t="s">
        <v>3796</v>
      </c>
      <c r="B827" s="169" t="s">
        <v>3797</v>
      </c>
      <c r="C827" s="169" t="s">
        <v>3798</v>
      </c>
      <c r="D827" s="170">
        <v>10000</v>
      </c>
      <c r="E827" s="170">
        <v>0</v>
      </c>
      <c r="F827" s="170" t="s">
        <v>2209</v>
      </c>
    </row>
    <row r="828" spans="1:6">
      <c r="A828" s="169" t="s">
        <v>3799</v>
      </c>
      <c r="B828" s="169" t="s">
        <v>3800</v>
      </c>
      <c r="C828" s="169" t="s">
        <v>3801</v>
      </c>
      <c r="D828" s="170">
        <v>100</v>
      </c>
      <c r="E828" s="170">
        <v>0</v>
      </c>
      <c r="F828" s="170" t="s">
        <v>1577</v>
      </c>
    </row>
    <row r="829" spans="1:6">
      <c r="A829" s="169" t="s">
        <v>3802</v>
      </c>
      <c r="B829" s="169" t="s">
        <v>3803</v>
      </c>
      <c r="C829" s="169" t="s">
        <v>3804</v>
      </c>
      <c r="D829" s="170">
        <v>1000</v>
      </c>
      <c r="E829" s="170">
        <v>0</v>
      </c>
      <c r="F829" s="170" t="s">
        <v>3506</v>
      </c>
    </row>
    <row r="830" spans="1:6">
      <c r="A830" s="169" t="s">
        <v>3805</v>
      </c>
      <c r="B830" s="169" t="s">
        <v>3806</v>
      </c>
      <c r="C830" s="169" t="s">
        <v>3746</v>
      </c>
      <c r="D830" s="170">
        <v>10</v>
      </c>
      <c r="E830" s="170">
        <v>0</v>
      </c>
      <c r="F830" s="170" t="s">
        <v>2000</v>
      </c>
    </row>
    <row r="831" spans="1:6">
      <c r="A831" s="169" t="s">
        <v>3807</v>
      </c>
      <c r="B831" s="169" t="s">
        <v>3808</v>
      </c>
      <c r="C831" s="169" t="s">
        <v>3809</v>
      </c>
      <c r="D831" s="170">
        <v>10</v>
      </c>
      <c r="E831" s="170">
        <v>0</v>
      </c>
      <c r="F831" s="170" t="s">
        <v>1635</v>
      </c>
    </row>
    <row r="832" spans="1:6">
      <c r="A832" s="169" t="s">
        <v>3810</v>
      </c>
      <c r="B832" s="169" t="s">
        <v>3811</v>
      </c>
      <c r="C832" s="169" t="s">
        <v>3812</v>
      </c>
      <c r="D832" s="170">
        <v>10</v>
      </c>
      <c r="E832" s="170">
        <v>0</v>
      </c>
      <c r="F832" s="170" t="s">
        <v>1635</v>
      </c>
    </row>
    <row r="833" spans="1:6">
      <c r="A833" s="169" t="s">
        <v>3813</v>
      </c>
      <c r="B833" s="169" t="s">
        <v>3814</v>
      </c>
      <c r="C833" s="169" t="s">
        <v>3815</v>
      </c>
      <c r="D833" s="170">
        <v>2500</v>
      </c>
      <c r="E833" s="170">
        <v>0</v>
      </c>
      <c r="F833" s="170" t="s">
        <v>1932</v>
      </c>
    </row>
    <row r="834" spans="1:6">
      <c r="A834" s="169" t="s">
        <v>3816</v>
      </c>
      <c r="B834" s="169" t="s">
        <v>3817</v>
      </c>
      <c r="C834" s="169" t="s">
        <v>3818</v>
      </c>
      <c r="D834" s="170">
        <v>2500</v>
      </c>
      <c r="E834" s="170">
        <v>0</v>
      </c>
      <c r="F834" s="170" t="s">
        <v>1932</v>
      </c>
    </row>
    <row r="835" spans="1:6">
      <c r="A835" s="169" t="s">
        <v>3819</v>
      </c>
      <c r="B835" s="169" t="s">
        <v>1524</v>
      </c>
      <c r="C835" s="169" t="s">
        <v>3820</v>
      </c>
      <c r="D835" s="170">
        <v>1816</v>
      </c>
      <c r="E835" s="170">
        <v>0</v>
      </c>
      <c r="F835" s="170" t="s">
        <v>2209</v>
      </c>
    </row>
    <row r="836" spans="1:6">
      <c r="A836" s="169" t="s">
        <v>3821</v>
      </c>
      <c r="B836" s="169" t="s">
        <v>1525</v>
      </c>
      <c r="C836" s="169" t="s">
        <v>3822</v>
      </c>
      <c r="D836" s="170">
        <v>19997.3</v>
      </c>
      <c r="E836" s="170">
        <v>0</v>
      </c>
      <c r="F836" s="170" t="s">
        <v>2209</v>
      </c>
    </row>
    <row r="837" spans="1:6">
      <c r="A837" s="169" t="s">
        <v>3823</v>
      </c>
      <c r="B837" s="169" t="s">
        <v>3824</v>
      </c>
      <c r="C837" s="169" t="s">
        <v>3825</v>
      </c>
      <c r="D837" s="170">
        <v>100</v>
      </c>
      <c r="E837" s="170">
        <v>0</v>
      </c>
      <c r="F837" s="170" t="s">
        <v>463</v>
      </c>
    </row>
    <row r="838" spans="1:6">
      <c r="A838" s="169" t="s">
        <v>3826</v>
      </c>
      <c r="B838" s="169" t="s">
        <v>3827</v>
      </c>
      <c r="C838" s="169" t="s">
        <v>3828</v>
      </c>
      <c r="D838" s="170">
        <v>8</v>
      </c>
      <c r="E838" s="170">
        <v>0</v>
      </c>
      <c r="F838" s="170" t="s">
        <v>1635</v>
      </c>
    </row>
    <row r="839" spans="1:6">
      <c r="A839" s="169" t="s">
        <v>3829</v>
      </c>
      <c r="B839" s="169" t="s">
        <v>3830</v>
      </c>
      <c r="C839" s="169" t="s">
        <v>3831</v>
      </c>
      <c r="D839" s="170">
        <v>10</v>
      </c>
      <c r="E839" s="170">
        <v>0</v>
      </c>
      <c r="F839" s="170" t="s">
        <v>1635</v>
      </c>
    </row>
    <row r="840" spans="1:6">
      <c r="A840" s="169" t="s">
        <v>3832</v>
      </c>
      <c r="B840" s="169" t="s">
        <v>3833</v>
      </c>
      <c r="C840" s="169" t="s">
        <v>3834</v>
      </c>
      <c r="D840" s="170">
        <v>523</v>
      </c>
      <c r="E840" s="170">
        <v>-25</v>
      </c>
      <c r="F840" s="170" t="s">
        <v>1535</v>
      </c>
    </row>
    <row r="841" spans="1:6">
      <c r="A841" s="169" t="s">
        <v>3835</v>
      </c>
      <c r="B841" s="169" t="s">
        <v>3836</v>
      </c>
      <c r="C841" s="169" t="s">
        <v>3837</v>
      </c>
      <c r="D841" s="170">
        <v>523</v>
      </c>
      <c r="E841" s="170">
        <v>-25</v>
      </c>
      <c r="F841" s="170" t="s">
        <v>1535</v>
      </c>
    </row>
    <row r="842" spans="1:6">
      <c r="A842" s="169" t="s">
        <v>3838</v>
      </c>
      <c r="B842" s="169" t="s">
        <v>3839</v>
      </c>
      <c r="C842" s="169" t="s">
        <v>3840</v>
      </c>
      <c r="D842" s="170">
        <v>523</v>
      </c>
      <c r="E842" s="170">
        <v>-25</v>
      </c>
      <c r="F842" s="170" t="s">
        <v>1535</v>
      </c>
    </row>
    <row r="843" spans="1:6">
      <c r="A843" s="169" t="s">
        <v>3841</v>
      </c>
      <c r="B843" s="169" t="s">
        <v>3842</v>
      </c>
      <c r="C843" s="169" t="s">
        <v>3843</v>
      </c>
      <c r="D843" s="170">
        <v>300</v>
      </c>
      <c r="E843" s="170">
        <v>0</v>
      </c>
      <c r="F843" s="170" t="s">
        <v>1535</v>
      </c>
    </row>
    <row r="844" spans="1:6">
      <c r="A844" s="169" t="s">
        <v>3844</v>
      </c>
      <c r="B844" s="169" t="s">
        <v>3845</v>
      </c>
      <c r="C844" s="169" t="s">
        <v>3846</v>
      </c>
      <c r="D844" s="170">
        <v>100</v>
      </c>
      <c r="E844" s="170">
        <v>0</v>
      </c>
      <c r="F844" s="170" t="s">
        <v>463</v>
      </c>
    </row>
    <row r="845" spans="1:6">
      <c r="A845" s="169" t="s">
        <v>3847</v>
      </c>
      <c r="B845" s="169" t="s">
        <v>3848</v>
      </c>
      <c r="C845" s="169" t="s">
        <v>3849</v>
      </c>
      <c r="D845" s="170">
        <v>100</v>
      </c>
      <c r="E845" s="170">
        <v>0</v>
      </c>
      <c r="F845" s="170" t="s">
        <v>463</v>
      </c>
    </row>
    <row r="846" spans="1:6">
      <c r="A846" s="169" t="s">
        <v>3850</v>
      </c>
      <c r="B846" s="169" t="s">
        <v>3851</v>
      </c>
      <c r="C846" s="169" t="s">
        <v>3852</v>
      </c>
      <c r="D846" s="170">
        <v>100</v>
      </c>
      <c r="E846" s="170">
        <v>0</v>
      </c>
      <c r="F846" s="170" t="s">
        <v>463</v>
      </c>
    </row>
    <row r="847" spans="1:6">
      <c r="A847" s="169" t="s">
        <v>3853</v>
      </c>
      <c r="B847" s="169" t="s">
        <v>3854</v>
      </c>
      <c r="C847" s="169" t="s">
        <v>3855</v>
      </c>
      <c r="D847" s="170">
        <v>100</v>
      </c>
      <c r="E847" s="170">
        <v>0</v>
      </c>
      <c r="F847" s="170" t="s">
        <v>463</v>
      </c>
    </row>
    <row r="848" spans="1:6">
      <c r="A848" s="169" t="s">
        <v>3856</v>
      </c>
      <c r="B848" s="169" t="s">
        <v>3857</v>
      </c>
      <c r="C848" s="169" t="s">
        <v>3858</v>
      </c>
      <c r="D848" s="170">
        <v>1.8</v>
      </c>
      <c r="E848" s="170">
        <v>0.4</v>
      </c>
      <c r="F848" s="170" t="s">
        <v>3859</v>
      </c>
    </row>
    <row r="849" spans="1:6">
      <c r="A849" s="169" t="s">
        <v>3860</v>
      </c>
      <c r="B849" s="169" t="s">
        <v>3861</v>
      </c>
      <c r="C849" s="169" t="s">
        <v>3862</v>
      </c>
      <c r="D849" s="170">
        <v>256</v>
      </c>
      <c r="E849" s="170">
        <v>0</v>
      </c>
      <c r="F849" s="170" t="s">
        <v>3863</v>
      </c>
    </row>
    <row r="850" spans="1:6">
      <c r="A850" s="169" t="s">
        <v>3864</v>
      </c>
      <c r="B850" s="169" t="s">
        <v>3865</v>
      </c>
      <c r="C850" s="169" t="s">
        <v>3866</v>
      </c>
      <c r="D850" s="170">
        <v>6</v>
      </c>
      <c r="E850" s="170">
        <v>0</v>
      </c>
      <c r="F850" s="170" t="s">
        <v>1635</v>
      </c>
    </row>
    <row r="851" spans="1:6">
      <c r="A851" s="169" t="s">
        <v>3867</v>
      </c>
      <c r="B851" s="169" t="s">
        <v>3868</v>
      </c>
      <c r="C851" s="169" t="s">
        <v>3869</v>
      </c>
      <c r="D851" s="170">
        <v>5</v>
      </c>
      <c r="E851" s="170">
        <v>0</v>
      </c>
      <c r="F851" s="170" t="s">
        <v>1635</v>
      </c>
    </row>
    <row r="852" spans="1:6">
      <c r="A852" s="169" t="s">
        <v>3870</v>
      </c>
      <c r="B852" s="169" t="s">
        <v>3871</v>
      </c>
      <c r="C852" s="169" t="s">
        <v>3872</v>
      </c>
      <c r="D852" s="170">
        <v>5</v>
      </c>
      <c r="E852" s="170">
        <v>0</v>
      </c>
      <c r="F852" s="170" t="s">
        <v>1635</v>
      </c>
    </row>
    <row r="853" spans="1:6">
      <c r="A853" s="169" t="s">
        <v>3873</v>
      </c>
      <c r="B853" s="169" t="s">
        <v>3874</v>
      </c>
      <c r="C853" s="169" t="s">
        <v>3872</v>
      </c>
      <c r="D853" s="170">
        <v>100</v>
      </c>
      <c r="E853" s="170">
        <v>-19</v>
      </c>
      <c r="F853" s="170" t="s">
        <v>1535</v>
      </c>
    </row>
    <row r="854" spans="1:6">
      <c r="A854" s="169" t="s">
        <v>3875</v>
      </c>
      <c r="B854" s="169" t="s">
        <v>3876</v>
      </c>
      <c r="C854" s="169" t="s">
        <v>3877</v>
      </c>
      <c r="D854" s="170">
        <v>200</v>
      </c>
      <c r="E854" s="170">
        <v>0</v>
      </c>
      <c r="F854" s="170" t="s">
        <v>3472</v>
      </c>
    </row>
    <row r="855" spans="1:6">
      <c r="A855" s="169" t="s">
        <v>3878</v>
      </c>
      <c r="B855" s="169" t="s">
        <v>3879</v>
      </c>
      <c r="C855" s="169" t="s">
        <v>3880</v>
      </c>
      <c r="D855" s="170">
        <v>50</v>
      </c>
      <c r="E855" s="170">
        <v>0</v>
      </c>
      <c r="F855" s="170" t="s">
        <v>3472</v>
      </c>
    </row>
    <row r="856" spans="1:6">
      <c r="A856" s="169" t="s">
        <v>3881</v>
      </c>
      <c r="B856" s="169" t="s">
        <v>3882</v>
      </c>
      <c r="C856" s="169" t="s">
        <v>3883</v>
      </c>
      <c r="D856" s="170">
        <v>25</v>
      </c>
      <c r="E856" s="170">
        <v>0</v>
      </c>
      <c r="F856" s="170" t="s">
        <v>1556</v>
      </c>
    </row>
    <row r="857" spans="1:6">
      <c r="A857" s="169" t="s">
        <v>3884</v>
      </c>
      <c r="B857" s="169" t="s">
        <v>3885</v>
      </c>
      <c r="C857" s="169" t="s">
        <v>3886</v>
      </c>
      <c r="D857" s="170">
        <v>25</v>
      </c>
      <c r="E857" s="170">
        <v>0</v>
      </c>
      <c r="F857" s="170" t="s">
        <v>1556</v>
      </c>
    </row>
    <row r="858" spans="1:6">
      <c r="A858" s="169" t="s">
        <v>3887</v>
      </c>
      <c r="B858" s="169" t="s">
        <v>3888</v>
      </c>
      <c r="C858" s="169" t="s">
        <v>3889</v>
      </c>
      <c r="D858" s="170">
        <v>30</v>
      </c>
      <c r="E858" s="170">
        <v>0</v>
      </c>
      <c r="F858" s="170" t="s">
        <v>1556</v>
      </c>
    </row>
    <row r="859" spans="1:6">
      <c r="A859" s="169" t="s">
        <v>3890</v>
      </c>
      <c r="B859" s="169" t="s">
        <v>3891</v>
      </c>
      <c r="C859" s="169" t="s">
        <v>3892</v>
      </c>
      <c r="D859" s="170">
        <v>30</v>
      </c>
      <c r="E859" s="170">
        <v>0</v>
      </c>
      <c r="F859" s="170" t="s">
        <v>1556</v>
      </c>
    </row>
    <row r="860" spans="1:6">
      <c r="A860" s="169" t="s">
        <v>3893</v>
      </c>
      <c r="B860" s="169" t="s">
        <v>3894</v>
      </c>
      <c r="C860" s="169" t="s">
        <v>3892</v>
      </c>
      <c r="D860" s="170">
        <v>42.18</v>
      </c>
      <c r="E860" s="170">
        <v>0</v>
      </c>
      <c r="F860" s="170" t="s">
        <v>1556</v>
      </c>
    </row>
    <row r="861" spans="1:6">
      <c r="A861" s="169" t="s">
        <v>3895</v>
      </c>
      <c r="B861" s="169" t="s">
        <v>3896</v>
      </c>
      <c r="C861" s="169" t="s">
        <v>3897</v>
      </c>
      <c r="D861" s="170">
        <v>110</v>
      </c>
      <c r="E861" s="170">
        <v>0</v>
      </c>
      <c r="F861" s="170" t="s">
        <v>1556</v>
      </c>
    </row>
    <row r="862" spans="1:6">
      <c r="A862" s="169" t="s">
        <v>3898</v>
      </c>
      <c r="B862" s="169" t="s">
        <v>3899</v>
      </c>
      <c r="C862" s="169" t="s">
        <v>3900</v>
      </c>
      <c r="D862" s="170">
        <v>50</v>
      </c>
      <c r="E862" s="170">
        <v>25</v>
      </c>
      <c r="F862" s="170" t="s">
        <v>1635</v>
      </c>
    </row>
    <row r="863" spans="1:6">
      <c r="A863" s="169" t="s">
        <v>3901</v>
      </c>
      <c r="B863" s="169" t="s">
        <v>3902</v>
      </c>
      <c r="C863" s="169" t="s">
        <v>3903</v>
      </c>
      <c r="D863" s="170">
        <v>6</v>
      </c>
      <c r="E863" s="170">
        <v>0</v>
      </c>
      <c r="F863" s="170" t="s">
        <v>2000</v>
      </c>
    </row>
    <row r="864" spans="1:6">
      <c r="A864" s="169" t="s">
        <v>3904</v>
      </c>
      <c r="B864" s="169" t="s">
        <v>3905</v>
      </c>
      <c r="C864" s="169" t="s">
        <v>3906</v>
      </c>
      <c r="D864" s="170">
        <v>100</v>
      </c>
      <c r="E864" s="170">
        <v>0</v>
      </c>
      <c r="F864" s="170" t="s">
        <v>1577</v>
      </c>
    </row>
    <row r="865" spans="1:6">
      <c r="A865" s="169" t="s">
        <v>3907</v>
      </c>
      <c r="B865" s="169" t="s">
        <v>3908</v>
      </c>
      <c r="C865" s="169" t="s">
        <v>3909</v>
      </c>
      <c r="D865" s="170">
        <v>5</v>
      </c>
      <c r="E865" s="170">
        <v>0</v>
      </c>
      <c r="F865" s="170" t="s">
        <v>2000</v>
      </c>
    </row>
    <row r="866" spans="1:6">
      <c r="A866" s="169" t="s">
        <v>3910</v>
      </c>
      <c r="B866" s="169" t="s">
        <v>3911</v>
      </c>
      <c r="C866" s="169" t="s">
        <v>3912</v>
      </c>
      <c r="D866" s="170">
        <v>5</v>
      </c>
      <c r="E866" s="170">
        <v>0</v>
      </c>
      <c r="F866" s="170" t="s">
        <v>2000</v>
      </c>
    </row>
    <row r="867" spans="1:6">
      <c r="A867" s="169" t="s">
        <v>3913</v>
      </c>
      <c r="B867" s="169" t="s">
        <v>3914</v>
      </c>
      <c r="C867" s="169" t="s">
        <v>3915</v>
      </c>
      <c r="D867" s="170">
        <v>5</v>
      </c>
      <c r="E867" s="170">
        <v>0</v>
      </c>
      <c r="F867" s="170" t="s">
        <v>2000</v>
      </c>
    </row>
    <row r="868" spans="1:6">
      <c r="A868" s="169" t="s">
        <v>3916</v>
      </c>
      <c r="B868" s="169" t="s">
        <v>3917</v>
      </c>
      <c r="C868" s="169" t="s">
        <v>3918</v>
      </c>
      <c r="D868" s="170">
        <v>5</v>
      </c>
      <c r="E868" s="170">
        <v>0</v>
      </c>
      <c r="F868" s="170" t="s">
        <v>2000</v>
      </c>
    </row>
    <row r="869" spans="1:6">
      <c r="A869" s="169" t="s">
        <v>3919</v>
      </c>
      <c r="B869" s="169" t="s">
        <v>3920</v>
      </c>
      <c r="C869" s="169" t="s">
        <v>3921</v>
      </c>
      <c r="D869" s="170">
        <v>5</v>
      </c>
      <c r="E869" s="170">
        <v>0</v>
      </c>
      <c r="F869" s="170" t="s">
        <v>2000</v>
      </c>
    </row>
    <row r="870" spans="1:6">
      <c r="A870" s="169" t="s">
        <v>3922</v>
      </c>
      <c r="B870" s="169" t="s">
        <v>3923</v>
      </c>
      <c r="C870" s="169" t="s">
        <v>3924</v>
      </c>
      <c r="D870" s="170">
        <v>5</v>
      </c>
      <c r="E870" s="170">
        <v>0</v>
      </c>
      <c r="F870" s="170" t="s">
        <v>2000</v>
      </c>
    </row>
    <row r="871" spans="1:6">
      <c r="A871" s="169" t="s">
        <v>3925</v>
      </c>
      <c r="B871" s="169" t="s">
        <v>3926</v>
      </c>
      <c r="C871" s="169" t="s">
        <v>3927</v>
      </c>
      <c r="D871" s="170">
        <v>10000</v>
      </c>
      <c r="E871" s="170">
        <v>0</v>
      </c>
      <c r="F871" s="170" t="s">
        <v>3506</v>
      </c>
    </row>
    <row r="872" spans="1:6">
      <c r="A872" s="169" t="s">
        <v>3928</v>
      </c>
      <c r="B872" s="169" t="s">
        <v>3929</v>
      </c>
      <c r="C872" s="169" t="s">
        <v>3927</v>
      </c>
      <c r="D872" s="170">
        <v>8000</v>
      </c>
      <c r="E872" s="170">
        <v>-2000</v>
      </c>
      <c r="F872" s="170" t="s">
        <v>3506</v>
      </c>
    </row>
    <row r="873" spans="1:6">
      <c r="A873" s="169" t="s">
        <v>3930</v>
      </c>
      <c r="B873" s="169" t="s">
        <v>3931</v>
      </c>
      <c r="C873" s="169" t="s">
        <v>3932</v>
      </c>
      <c r="D873" s="170">
        <v>188</v>
      </c>
      <c r="E873" s="170">
        <v>0</v>
      </c>
      <c r="F873" s="170" t="s">
        <v>1577</v>
      </c>
    </row>
    <row r="874" spans="1:6">
      <c r="A874" s="169" t="s">
        <v>3933</v>
      </c>
      <c r="B874" s="169" t="s">
        <v>3934</v>
      </c>
      <c r="C874" s="169" t="s">
        <v>3909</v>
      </c>
      <c r="D874" s="170">
        <v>188</v>
      </c>
      <c r="E874" s="170">
        <v>0</v>
      </c>
      <c r="F874" s="170" t="s">
        <v>1577</v>
      </c>
    </row>
    <row r="875" spans="1:6">
      <c r="A875" s="169" t="s">
        <v>3935</v>
      </c>
      <c r="B875" s="169" t="s">
        <v>3936</v>
      </c>
      <c r="C875" s="169" t="s">
        <v>3909</v>
      </c>
      <c r="D875" s="170">
        <v>188</v>
      </c>
      <c r="E875" s="170">
        <v>0</v>
      </c>
      <c r="F875" s="170" t="s">
        <v>1577</v>
      </c>
    </row>
    <row r="876" spans="1:6">
      <c r="A876" s="169" t="s">
        <v>3937</v>
      </c>
      <c r="B876" s="169" t="s">
        <v>3938</v>
      </c>
      <c r="C876" s="169" t="s">
        <v>3909</v>
      </c>
      <c r="D876" s="170">
        <v>5525</v>
      </c>
      <c r="E876" s="170">
        <v>225</v>
      </c>
      <c r="F876" s="170" t="s">
        <v>3939</v>
      </c>
    </row>
    <row r="877" spans="1:6">
      <c r="A877" s="169" t="s">
        <v>3940</v>
      </c>
      <c r="B877" s="169" t="s">
        <v>3941</v>
      </c>
      <c r="C877" s="169" t="s">
        <v>3909</v>
      </c>
      <c r="D877" s="170">
        <v>100</v>
      </c>
      <c r="E877" s="170">
        <v>0</v>
      </c>
      <c r="F877" s="170" t="s">
        <v>1577</v>
      </c>
    </row>
    <row r="878" spans="1:6">
      <c r="A878" s="169" t="s">
        <v>3942</v>
      </c>
      <c r="B878" s="169" t="s">
        <v>3943</v>
      </c>
      <c r="C878" s="169" t="s">
        <v>3909</v>
      </c>
      <c r="D878" s="170">
        <v>91.766000000000005</v>
      </c>
      <c r="E878" s="170">
        <v>0.88</v>
      </c>
      <c r="F878" s="170" t="s">
        <v>1577</v>
      </c>
    </row>
    <row r="879" spans="1:6">
      <c r="A879" s="169" t="s">
        <v>3944</v>
      </c>
      <c r="B879" s="169" t="s">
        <v>3945</v>
      </c>
      <c r="C879" s="169" t="s">
        <v>3909</v>
      </c>
      <c r="D879" s="170">
        <v>2812</v>
      </c>
      <c r="E879" s="170">
        <v>250</v>
      </c>
      <c r="F879" s="170" t="s">
        <v>3939</v>
      </c>
    </row>
    <row r="880" spans="1:6">
      <c r="A880" s="169" t="s">
        <v>3946</v>
      </c>
      <c r="B880" s="169" t="s">
        <v>3947</v>
      </c>
      <c r="C880" s="169" t="s">
        <v>3948</v>
      </c>
      <c r="D880" s="170">
        <v>131.25</v>
      </c>
      <c r="E880" s="170">
        <v>0</v>
      </c>
      <c r="F880" s="170" t="s">
        <v>1556</v>
      </c>
    </row>
    <row r="881" spans="1:6">
      <c r="A881" s="169" t="s">
        <v>3949</v>
      </c>
      <c r="B881" s="169" t="s">
        <v>3950</v>
      </c>
      <c r="C881" s="169" t="s">
        <v>3909</v>
      </c>
      <c r="D881" s="170">
        <v>300</v>
      </c>
      <c r="E881" s="170">
        <v>-43</v>
      </c>
      <c r="F881" s="170" t="s">
        <v>1535</v>
      </c>
    </row>
    <row r="882" spans="1:6">
      <c r="A882" s="169" t="s">
        <v>3951</v>
      </c>
      <c r="B882" s="169" t="s">
        <v>3952</v>
      </c>
      <c r="C882" s="169" t="s">
        <v>3953</v>
      </c>
      <c r="D882" s="170">
        <v>1800</v>
      </c>
      <c r="E882" s="170">
        <v>0</v>
      </c>
      <c r="F882" s="170" t="s">
        <v>3954</v>
      </c>
    </row>
    <row r="883" spans="1:6">
      <c r="A883" s="169" t="s">
        <v>3955</v>
      </c>
      <c r="B883" s="169" t="s">
        <v>3956</v>
      </c>
      <c r="C883" s="169" t="s">
        <v>3957</v>
      </c>
      <c r="D883" s="170">
        <v>150</v>
      </c>
      <c r="E883" s="170">
        <v>0</v>
      </c>
      <c r="F883" s="170" t="s">
        <v>1535</v>
      </c>
    </row>
    <row r="884" spans="1:6">
      <c r="A884" s="169" t="s">
        <v>3958</v>
      </c>
      <c r="B884" s="169" t="s">
        <v>3959</v>
      </c>
      <c r="C884" s="169" t="s">
        <v>3960</v>
      </c>
      <c r="D884" s="170">
        <v>150</v>
      </c>
      <c r="E884" s="170">
        <v>0</v>
      </c>
      <c r="F884" s="170" t="s">
        <v>1535</v>
      </c>
    </row>
    <row r="885" spans="1:6">
      <c r="A885" s="169" t="s">
        <v>3961</v>
      </c>
      <c r="B885" s="169" t="s">
        <v>3962</v>
      </c>
      <c r="C885" s="169" t="s">
        <v>3963</v>
      </c>
      <c r="D885" s="170">
        <v>150</v>
      </c>
      <c r="E885" s="170">
        <v>0</v>
      </c>
      <c r="F885" s="170" t="s">
        <v>1535</v>
      </c>
    </row>
    <row r="886" spans="1:6">
      <c r="A886" s="169" t="s">
        <v>3964</v>
      </c>
      <c r="B886" s="169" t="s">
        <v>3965</v>
      </c>
      <c r="C886" s="169" t="s">
        <v>3966</v>
      </c>
      <c r="D886" s="170">
        <v>150</v>
      </c>
      <c r="E886" s="170">
        <v>0</v>
      </c>
      <c r="F886" s="170" t="s">
        <v>1535</v>
      </c>
    </row>
    <row r="887" spans="1:6">
      <c r="A887" s="169" t="s">
        <v>3967</v>
      </c>
      <c r="B887" s="169" t="s">
        <v>3968</v>
      </c>
      <c r="C887" s="169" t="s">
        <v>3969</v>
      </c>
      <c r="D887" s="170">
        <v>150</v>
      </c>
      <c r="E887" s="170">
        <v>0</v>
      </c>
      <c r="F887" s="170" t="s">
        <v>1535</v>
      </c>
    </row>
    <row r="888" spans="1:6">
      <c r="A888" s="169" t="s">
        <v>3970</v>
      </c>
      <c r="B888" s="169" t="s">
        <v>3971</v>
      </c>
      <c r="C888" s="169" t="s">
        <v>3972</v>
      </c>
      <c r="D888" s="170">
        <v>150</v>
      </c>
      <c r="E888" s="170">
        <v>0</v>
      </c>
      <c r="F888" s="170" t="s">
        <v>1535</v>
      </c>
    </row>
    <row r="889" spans="1:6">
      <c r="A889" s="169" t="s">
        <v>3973</v>
      </c>
      <c r="B889" s="169" t="s">
        <v>3974</v>
      </c>
      <c r="C889" s="169" t="s">
        <v>3975</v>
      </c>
      <c r="D889" s="170">
        <v>150</v>
      </c>
      <c r="E889" s="170">
        <v>0</v>
      </c>
      <c r="F889" s="170" t="s">
        <v>1535</v>
      </c>
    </row>
    <row r="890" spans="1:6">
      <c r="A890" s="169" t="s">
        <v>3976</v>
      </c>
      <c r="B890" s="169" t="s">
        <v>3977</v>
      </c>
      <c r="C890" s="169" t="s">
        <v>3978</v>
      </c>
      <c r="D890" s="170">
        <v>150</v>
      </c>
      <c r="E890" s="170">
        <v>0</v>
      </c>
      <c r="F890" s="170" t="s">
        <v>1535</v>
      </c>
    </row>
    <row r="891" spans="1:6">
      <c r="A891" s="169" t="s">
        <v>3979</v>
      </c>
      <c r="B891" s="169" t="s">
        <v>3980</v>
      </c>
      <c r="C891" s="169" t="s">
        <v>3978</v>
      </c>
      <c r="D891" s="170">
        <v>150</v>
      </c>
      <c r="E891" s="170">
        <v>0</v>
      </c>
      <c r="F891" s="170" t="s">
        <v>1535</v>
      </c>
    </row>
    <row r="892" spans="1:6">
      <c r="A892" s="169" t="s">
        <v>3981</v>
      </c>
      <c r="B892" s="169" t="s">
        <v>3982</v>
      </c>
      <c r="C892" s="169" t="s">
        <v>3983</v>
      </c>
      <c r="D892" s="170">
        <v>150</v>
      </c>
      <c r="E892" s="170">
        <v>0</v>
      </c>
      <c r="F892" s="170" t="s">
        <v>1535</v>
      </c>
    </row>
    <row r="893" spans="1:6">
      <c r="A893" s="169" t="s">
        <v>3984</v>
      </c>
      <c r="B893" s="169" t="s">
        <v>3985</v>
      </c>
      <c r="C893" s="169" t="s">
        <v>3983</v>
      </c>
      <c r="D893" s="170">
        <v>150</v>
      </c>
      <c r="E893" s="170">
        <v>0</v>
      </c>
      <c r="F893" s="170" t="s">
        <v>1535</v>
      </c>
    </row>
    <row r="894" spans="1:6">
      <c r="A894" s="169" t="s">
        <v>3986</v>
      </c>
      <c r="B894" s="169" t="s">
        <v>3987</v>
      </c>
      <c r="C894" s="169" t="s">
        <v>3988</v>
      </c>
      <c r="D894" s="170">
        <v>150</v>
      </c>
      <c r="E894" s="170">
        <v>0</v>
      </c>
      <c r="F894" s="170" t="s">
        <v>1535</v>
      </c>
    </row>
    <row r="895" spans="1:6">
      <c r="A895" s="169" t="s">
        <v>3989</v>
      </c>
      <c r="B895" s="169" t="s">
        <v>3990</v>
      </c>
      <c r="C895" s="169" t="s">
        <v>3991</v>
      </c>
      <c r="D895" s="170">
        <v>150</v>
      </c>
      <c r="E895" s="170">
        <v>0</v>
      </c>
      <c r="F895" s="170" t="s">
        <v>1535</v>
      </c>
    </row>
    <row r="896" spans="1:6">
      <c r="A896" s="169" t="s">
        <v>3992</v>
      </c>
      <c r="B896" s="169" t="s">
        <v>3993</v>
      </c>
      <c r="C896" s="169" t="s">
        <v>3994</v>
      </c>
      <c r="D896" s="170">
        <v>150</v>
      </c>
      <c r="E896" s="170">
        <v>0</v>
      </c>
      <c r="F896" s="170" t="s">
        <v>1535</v>
      </c>
    </row>
    <row r="897" spans="1:6">
      <c r="A897" s="169" t="s">
        <v>3995</v>
      </c>
      <c r="B897" s="169" t="s">
        <v>3996</v>
      </c>
      <c r="C897" s="169" t="s">
        <v>3997</v>
      </c>
      <c r="D897" s="170">
        <v>150</v>
      </c>
      <c r="E897" s="170">
        <v>0</v>
      </c>
      <c r="F897" s="170" t="s">
        <v>1535</v>
      </c>
    </row>
    <row r="898" spans="1:6">
      <c r="A898" s="169" t="s">
        <v>3998</v>
      </c>
      <c r="B898" s="169" t="s">
        <v>3999</v>
      </c>
      <c r="C898" s="169" t="s">
        <v>4000</v>
      </c>
      <c r="D898" s="170">
        <v>150</v>
      </c>
      <c r="E898" s="170">
        <v>0</v>
      </c>
      <c r="F898" s="170" t="s">
        <v>1535</v>
      </c>
    </row>
    <row r="899" spans="1:6">
      <c r="A899" s="169" t="s">
        <v>4001</v>
      </c>
      <c r="B899" s="169" t="s">
        <v>4002</v>
      </c>
      <c r="C899" s="169" t="s">
        <v>4003</v>
      </c>
      <c r="D899" s="170">
        <v>150</v>
      </c>
      <c r="E899" s="170">
        <v>0</v>
      </c>
      <c r="F899" s="170" t="s">
        <v>1535</v>
      </c>
    </row>
    <row r="900" spans="1:6">
      <c r="A900" s="169" t="s">
        <v>4004</v>
      </c>
      <c r="B900" s="169" t="s">
        <v>4005</v>
      </c>
      <c r="C900" s="169" t="s">
        <v>4006</v>
      </c>
      <c r="D900" s="170">
        <v>150</v>
      </c>
      <c r="E900" s="170">
        <v>0</v>
      </c>
      <c r="F900" s="170" t="s">
        <v>1535</v>
      </c>
    </row>
    <row r="901" spans="1:6">
      <c r="A901" s="169" t="s">
        <v>4007</v>
      </c>
      <c r="B901" s="169" t="s">
        <v>4008</v>
      </c>
      <c r="C901" s="169" t="s">
        <v>4009</v>
      </c>
      <c r="D901" s="170">
        <v>150</v>
      </c>
      <c r="E901" s="170">
        <v>0</v>
      </c>
      <c r="F901" s="170" t="s">
        <v>1535</v>
      </c>
    </row>
    <row r="902" spans="1:6">
      <c r="A902" s="169" t="s">
        <v>4010</v>
      </c>
      <c r="B902" s="169" t="s">
        <v>4011</v>
      </c>
      <c r="C902" s="169" t="s">
        <v>4012</v>
      </c>
      <c r="D902" s="170">
        <v>20000</v>
      </c>
      <c r="E902" s="170">
        <v>0</v>
      </c>
      <c r="F902" s="170" t="s">
        <v>3094</v>
      </c>
    </row>
    <row r="903" spans="1:6">
      <c r="A903" s="169" t="s">
        <v>4013</v>
      </c>
      <c r="B903" s="169" t="s">
        <v>4014</v>
      </c>
      <c r="C903" s="169" t="s">
        <v>4015</v>
      </c>
      <c r="D903" s="170">
        <v>150</v>
      </c>
      <c r="E903" s="170">
        <v>0</v>
      </c>
      <c r="F903" s="170" t="s">
        <v>4016</v>
      </c>
    </row>
    <row r="904" spans="1:6">
      <c r="A904" s="169" t="s">
        <v>4017</v>
      </c>
      <c r="B904" s="169" t="s">
        <v>4018</v>
      </c>
      <c r="C904" s="169" t="s">
        <v>4015</v>
      </c>
      <c r="D904" s="170">
        <v>150</v>
      </c>
      <c r="E904" s="170">
        <v>0</v>
      </c>
      <c r="F904" s="170" t="s">
        <v>4016</v>
      </c>
    </row>
    <row r="905" spans="1:6">
      <c r="A905" s="169" t="s">
        <v>4019</v>
      </c>
      <c r="B905" s="169" t="s">
        <v>4020</v>
      </c>
      <c r="C905" s="169" t="s">
        <v>4021</v>
      </c>
      <c r="D905" s="170">
        <v>150</v>
      </c>
      <c r="E905" s="170">
        <v>0</v>
      </c>
      <c r="F905" s="170" t="s">
        <v>4016</v>
      </c>
    </row>
    <row r="906" spans="1:6">
      <c r="A906" s="169" t="s">
        <v>4022</v>
      </c>
      <c r="B906" s="169" t="s">
        <v>4023</v>
      </c>
      <c r="C906" s="169" t="s">
        <v>4021</v>
      </c>
      <c r="D906" s="170">
        <v>150</v>
      </c>
      <c r="E906" s="170">
        <v>0</v>
      </c>
      <c r="F906" s="170" t="s">
        <v>4016</v>
      </c>
    </row>
    <row r="907" spans="1:6">
      <c r="A907" s="169" t="s">
        <v>4024</v>
      </c>
      <c r="B907" s="169" t="s">
        <v>4025</v>
      </c>
      <c r="C907" s="169" t="s">
        <v>4026</v>
      </c>
      <c r="D907" s="170">
        <v>150</v>
      </c>
      <c r="E907" s="170">
        <v>0</v>
      </c>
      <c r="F907" s="170" t="s">
        <v>4016</v>
      </c>
    </row>
    <row r="908" spans="1:6">
      <c r="A908" s="169" t="s">
        <v>4027</v>
      </c>
      <c r="B908" s="169" t="s">
        <v>4028</v>
      </c>
      <c r="C908" s="169" t="s">
        <v>4026</v>
      </c>
      <c r="D908" s="170">
        <v>150</v>
      </c>
      <c r="E908" s="170">
        <v>0</v>
      </c>
      <c r="F908" s="170" t="s">
        <v>4016</v>
      </c>
    </row>
    <row r="909" spans="1:6">
      <c r="A909" s="169" t="s">
        <v>4029</v>
      </c>
      <c r="B909" s="169" t="s">
        <v>4030</v>
      </c>
      <c r="C909" s="169" t="s">
        <v>4031</v>
      </c>
      <c r="D909" s="170">
        <v>150</v>
      </c>
      <c r="E909" s="170">
        <v>0</v>
      </c>
      <c r="F909" s="170" t="s">
        <v>4016</v>
      </c>
    </row>
    <row r="910" spans="1:6">
      <c r="A910" s="169" t="s">
        <v>4032</v>
      </c>
      <c r="B910" s="169" t="s">
        <v>4033</v>
      </c>
      <c r="C910" s="169" t="s">
        <v>4031</v>
      </c>
      <c r="D910" s="170">
        <v>150</v>
      </c>
      <c r="E910" s="170">
        <v>0</v>
      </c>
      <c r="F910" s="170" t="s">
        <v>4016</v>
      </c>
    </row>
    <row r="911" spans="1:6">
      <c r="A911" s="169" t="s">
        <v>4034</v>
      </c>
      <c r="B911" s="169" t="s">
        <v>4035</v>
      </c>
      <c r="C911" s="169" t="s">
        <v>4036</v>
      </c>
      <c r="D911" s="170">
        <v>1</v>
      </c>
      <c r="E911" s="170">
        <v>-1</v>
      </c>
      <c r="F911" s="170" t="s">
        <v>3939</v>
      </c>
    </row>
    <row r="912" spans="1:6">
      <c r="A912" s="169" t="s">
        <v>4037</v>
      </c>
      <c r="B912" s="169" t="s">
        <v>4038</v>
      </c>
      <c r="C912" s="169" t="s">
        <v>4036</v>
      </c>
      <c r="D912" s="170">
        <v>1</v>
      </c>
      <c r="E912" s="170">
        <v>-1</v>
      </c>
      <c r="F912" s="170" t="s">
        <v>3939</v>
      </c>
    </row>
    <row r="913" spans="1:6">
      <c r="A913" s="169" t="s">
        <v>4039</v>
      </c>
      <c r="B913" s="169" t="s">
        <v>4040</v>
      </c>
      <c r="C913" s="169" t="s">
        <v>4041</v>
      </c>
      <c r="D913" s="170">
        <v>200</v>
      </c>
      <c r="E913" s="170">
        <v>0</v>
      </c>
      <c r="F913" s="170" t="s">
        <v>4016</v>
      </c>
    </row>
    <row r="914" spans="1:6">
      <c r="A914" s="169" t="s">
        <v>4042</v>
      </c>
      <c r="B914" s="169" t="s">
        <v>4043</v>
      </c>
      <c r="C914" s="169" t="s">
        <v>4044</v>
      </c>
      <c r="D914" s="170">
        <v>150</v>
      </c>
      <c r="E914" s="170">
        <v>0</v>
      </c>
      <c r="F914" s="170" t="s">
        <v>4016</v>
      </c>
    </row>
    <row r="915" spans="1:6">
      <c r="A915" s="169" t="s">
        <v>4045</v>
      </c>
      <c r="B915" s="169" t="s">
        <v>4046</v>
      </c>
      <c r="C915" s="169" t="s">
        <v>4047</v>
      </c>
      <c r="D915" s="170">
        <v>400</v>
      </c>
      <c r="E915" s="170">
        <v>0</v>
      </c>
      <c r="F915" s="170" t="s">
        <v>1549</v>
      </c>
    </row>
    <row r="916" spans="1:6">
      <c r="A916" s="169" t="s">
        <v>4048</v>
      </c>
      <c r="B916" s="169" t="s">
        <v>4049</v>
      </c>
      <c r="C916" s="169" t="s">
        <v>4050</v>
      </c>
      <c r="D916" s="170">
        <v>400</v>
      </c>
      <c r="E916" s="170">
        <v>0</v>
      </c>
      <c r="F916" s="170" t="s">
        <v>1549</v>
      </c>
    </row>
    <row r="917" spans="1:6">
      <c r="A917" s="169" t="s">
        <v>4051</v>
      </c>
      <c r="B917" s="169" t="s">
        <v>4052</v>
      </c>
      <c r="C917" s="169" t="s">
        <v>4053</v>
      </c>
      <c r="D917" s="170">
        <v>150</v>
      </c>
      <c r="E917" s="170">
        <v>0</v>
      </c>
      <c r="F917" s="170" t="s">
        <v>1549</v>
      </c>
    </row>
    <row r="918" spans="1:6">
      <c r="A918" s="169" t="s">
        <v>4054</v>
      </c>
      <c r="B918" s="169" t="s">
        <v>4055</v>
      </c>
      <c r="C918" s="169" t="s">
        <v>4053</v>
      </c>
      <c r="D918" s="170">
        <v>150</v>
      </c>
      <c r="E918" s="170">
        <v>0</v>
      </c>
      <c r="F918" s="170" t="s">
        <v>1549</v>
      </c>
    </row>
    <row r="919" spans="1:6">
      <c r="A919" s="169" t="s">
        <v>4056</v>
      </c>
      <c r="B919" s="169" t="s">
        <v>4057</v>
      </c>
      <c r="C919" s="169" t="s">
        <v>4058</v>
      </c>
      <c r="D919" s="170">
        <v>10</v>
      </c>
      <c r="E919" s="170">
        <v>-20</v>
      </c>
      <c r="F919" s="170" t="s">
        <v>1535</v>
      </c>
    </row>
    <row r="920" spans="1:6">
      <c r="A920" s="169" t="s">
        <v>4059</v>
      </c>
      <c r="B920" s="169" t="s">
        <v>4060</v>
      </c>
      <c r="C920" s="169" t="s">
        <v>4061</v>
      </c>
      <c r="D920" s="170">
        <v>7</v>
      </c>
      <c r="E920" s="170">
        <v>0</v>
      </c>
      <c r="F920" s="170" t="s">
        <v>1535</v>
      </c>
    </row>
    <row r="921" spans="1:6">
      <c r="A921" s="169" t="s">
        <v>4062</v>
      </c>
      <c r="B921" s="169" t="s">
        <v>4063</v>
      </c>
      <c r="C921" s="169" t="s">
        <v>4064</v>
      </c>
      <c r="D921" s="170">
        <v>400</v>
      </c>
      <c r="E921" s="170">
        <v>100</v>
      </c>
      <c r="F921" s="170" t="s">
        <v>1535</v>
      </c>
    </row>
    <row r="922" spans="1:6">
      <c r="A922" s="169" t="s">
        <v>4065</v>
      </c>
      <c r="B922" s="169" t="s">
        <v>4066</v>
      </c>
      <c r="C922" s="169" t="s">
        <v>4067</v>
      </c>
      <c r="D922" s="170">
        <v>120</v>
      </c>
      <c r="E922" s="170">
        <v>60</v>
      </c>
      <c r="F922" s="170" t="s">
        <v>1535</v>
      </c>
    </row>
    <row r="923" spans="1:6">
      <c r="A923" s="169" t="s">
        <v>4068</v>
      </c>
      <c r="B923" s="169" t="s">
        <v>4069</v>
      </c>
      <c r="C923" s="169" t="s">
        <v>4070</v>
      </c>
      <c r="D923" s="170">
        <v>2</v>
      </c>
      <c r="E923" s="170">
        <v>0</v>
      </c>
      <c r="F923" s="170" t="s">
        <v>1635</v>
      </c>
    </row>
    <row r="924" spans="1:6">
      <c r="A924" s="169" t="s">
        <v>4071</v>
      </c>
      <c r="B924" s="169" t="s">
        <v>4072</v>
      </c>
      <c r="C924" s="169" t="s">
        <v>4073</v>
      </c>
      <c r="D924" s="170">
        <v>10</v>
      </c>
      <c r="E924" s="170">
        <v>0</v>
      </c>
      <c r="F924" s="170" t="s">
        <v>2135</v>
      </c>
    </row>
    <row r="925" spans="1:6">
      <c r="A925" s="169" t="s">
        <v>4074</v>
      </c>
      <c r="B925" s="169" t="s">
        <v>4075</v>
      </c>
      <c r="C925" s="169" t="s">
        <v>4076</v>
      </c>
      <c r="D925" s="170">
        <v>190</v>
      </c>
      <c r="E925" s="170">
        <v>80</v>
      </c>
      <c r="F925" s="170" t="s">
        <v>1535</v>
      </c>
    </row>
    <row r="926" spans="1:6">
      <c r="A926" s="169" t="s">
        <v>4077</v>
      </c>
      <c r="B926" s="169" t="s">
        <v>4078</v>
      </c>
      <c r="C926" s="169" t="s">
        <v>4079</v>
      </c>
      <c r="D926" s="170">
        <v>140</v>
      </c>
      <c r="E926" s="170">
        <v>70</v>
      </c>
      <c r="F926" s="170" t="s">
        <v>1535</v>
      </c>
    </row>
    <row r="927" spans="1:6">
      <c r="A927" s="169" t="s">
        <v>4080</v>
      </c>
      <c r="B927" s="169" t="s">
        <v>4081</v>
      </c>
      <c r="C927" s="169" t="s">
        <v>4082</v>
      </c>
      <c r="D927" s="170">
        <v>80</v>
      </c>
      <c r="E927" s="170">
        <v>20</v>
      </c>
      <c r="F927" s="170" t="s">
        <v>1535</v>
      </c>
    </row>
    <row r="928" spans="1:6">
      <c r="A928" s="169" t="s">
        <v>4083</v>
      </c>
      <c r="B928" s="169" t="s">
        <v>4084</v>
      </c>
      <c r="C928" s="169" t="s">
        <v>4085</v>
      </c>
      <c r="D928" s="170">
        <v>280</v>
      </c>
      <c r="E928" s="170">
        <v>180</v>
      </c>
      <c r="F928" s="170" t="s">
        <v>1535</v>
      </c>
    </row>
    <row r="929" spans="1:6">
      <c r="A929" s="169" t="s">
        <v>4086</v>
      </c>
      <c r="B929" s="169" t="s">
        <v>4087</v>
      </c>
      <c r="C929" s="169" t="s">
        <v>4088</v>
      </c>
      <c r="D929" s="170">
        <v>-30</v>
      </c>
      <c r="E929" s="170">
        <v>-80</v>
      </c>
      <c r="F929" s="170" t="s">
        <v>1535</v>
      </c>
    </row>
    <row r="930" spans="1:6">
      <c r="A930" s="169" t="s">
        <v>4089</v>
      </c>
      <c r="B930" s="169" t="s">
        <v>4090</v>
      </c>
      <c r="C930" s="169" t="s">
        <v>4091</v>
      </c>
      <c r="D930" s="170">
        <v>50</v>
      </c>
      <c r="E930" s="170">
        <v>-50</v>
      </c>
      <c r="F930" s="170" t="s">
        <v>3272</v>
      </c>
    </row>
    <row r="931" spans="1:6">
      <c r="A931" s="169" t="s">
        <v>4092</v>
      </c>
      <c r="B931" s="169" t="s">
        <v>4093</v>
      </c>
      <c r="C931" s="169" t="s">
        <v>4094</v>
      </c>
      <c r="D931" s="170">
        <v>1</v>
      </c>
      <c r="E931" s="170">
        <v>0</v>
      </c>
      <c r="F931" s="170" t="s">
        <v>463</v>
      </c>
    </row>
    <row r="932" spans="1:6">
      <c r="A932" s="169" t="s">
        <v>4095</v>
      </c>
      <c r="B932" s="169" t="s">
        <v>4096</v>
      </c>
      <c r="C932" s="169" t="s">
        <v>4097</v>
      </c>
      <c r="D932" s="170">
        <v>1</v>
      </c>
      <c r="E932" s="170">
        <v>0</v>
      </c>
      <c r="F932" s="170" t="s">
        <v>463</v>
      </c>
    </row>
    <row r="933" spans="1:6">
      <c r="A933" s="169" t="s">
        <v>4098</v>
      </c>
      <c r="B933" s="169" t="s">
        <v>4099</v>
      </c>
      <c r="C933" s="169" t="s">
        <v>4100</v>
      </c>
      <c r="D933" s="170">
        <v>1</v>
      </c>
      <c r="E933" s="170">
        <v>0</v>
      </c>
      <c r="F933" s="170" t="s">
        <v>463</v>
      </c>
    </row>
    <row r="934" spans="1:6">
      <c r="A934" s="169" t="s">
        <v>4101</v>
      </c>
      <c r="B934" s="169" t="s">
        <v>4102</v>
      </c>
      <c r="C934" s="169" t="s">
        <v>4103</v>
      </c>
      <c r="D934" s="170">
        <v>1</v>
      </c>
      <c r="E934" s="170">
        <v>0</v>
      </c>
      <c r="F934" s="170" t="s">
        <v>463</v>
      </c>
    </row>
    <row r="935" spans="1:6">
      <c r="A935" s="169" t="s">
        <v>4104</v>
      </c>
      <c r="B935" s="169" t="s">
        <v>4105</v>
      </c>
      <c r="C935" s="169" t="s">
        <v>4106</v>
      </c>
      <c r="D935" s="170">
        <v>1</v>
      </c>
      <c r="E935" s="170">
        <v>0</v>
      </c>
      <c r="F935" s="170" t="s">
        <v>463</v>
      </c>
    </row>
    <row r="936" spans="1:6">
      <c r="A936" s="169" t="s">
        <v>4107</v>
      </c>
      <c r="B936" s="169" t="s">
        <v>4108</v>
      </c>
      <c r="C936" s="169" t="s">
        <v>4109</v>
      </c>
      <c r="D936" s="170">
        <v>1</v>
      </c>
      <c r="E936" s="170">
        <v>0</v>
      </c>
      <c r="F936" s="170" t="s">
        <v>463</v>
      </c>
    </row>
    <row r="937" spans="1:6">
      <c r="A937" s="169" t="s">
        <v>4110</v>
      </c>
      <c r="B937" s="169" t="s">
        <v>4111</v>
      </c>
      <c r="C937" s="169" t="s">
        <v>4112</v>
      </c>
      <c r="D937" s="170">
        <v>1</v>
      </c>
      <c r="E937" s="170">
        <v>0</v>
      </c>
      <c r="F937" s="170" t="s">
        <v>463</v>
      </c>
    </row>
    <row r="938" spans="1:6">
      <c r="A938" s="169" t="s">
        <v>4113</v>
      </c>
      <c r="B938" s="169" t="s">
        <v>4114</v>
      </c>
      <c r="C938" s="169" t="s">
        <v>4115</v>
      </c>
      <c r="D938" s="170">
        <v>1</v>
      </c>
      <c r="E938" s="170">
        <v>0</v>
      </c>
      <c r="F938" s="170" t="s">
        <v>463</v>
      </c>
    </row>
    <row r="939" spans="1:6">
      <c r="A939" s="169" t="s">
        <v>4116</v>
      </c>
      <c r="B939" s="169" t="s">
        <v>4117</v>
      </c>
      <c r="C939" s="169" t="s">
        <v>4118</v>
      </c>
      <c r="D939" s="170">
        <v>1</v>
      </c>
      <c r="E939" s="170">
        <v>0</v>
      </c>
      <c r="F939" s="170" t="s">
        <v>463</v>
      </c>
    </row>
    <row r="940" spans="1:6">
      <c r="A940" s="169" t="s">
        <v>4119</v>
      </c>
      <c r="B940" s="169" t="s">
        <v>4120</v>
      </c>
      <c r="C940" s="169" t="s">
        <v>4121</v>
      </c>
      <c r="D940" s="170">
        <v>1</v>
      </c>
      <c r="E940" s="170">
        <v>0</v>
      </c>
      <c r="F940" s="170" t="s">
        <v>463</v>
      </c>
    </row>
    <row r="941" spans="1:6">
      <c r="A941" s="169" t="s">
        <v>4122</v>
      </c>
      <c r="B941" s="169" t="s">
        <v>4123</v>
      </c>
      <c r="C941" s="169" t="s">
        <v>4124</v>
      </c>
      <c r="D941" s="170">
        <v>1</v>
      </c>
      <c r="E941" s="170">
        <v>0</v>
      </c>
      <c r="F941" s="170" t="s">
        <v>463</v>
      </c>
    </row>
    <row r="942" spans="1:6">
      <c r="A942" s="169" t="s">
        <v>4125</v>
      </c>
      <c r="B942" s="169" t="s">
        <v>4126</v>
      </c>
      <c r="C942" s="169" t="s">
        <v>4127</v>
      </c>
      <c r="D942" s="170">
        <v>15</v>
      </c>
      <c r="E942" s="170">
        <v>-1</v>
      </c>
      <c r="F942" s="170" t="s">
        <v>463</v>
      </c>
    </row>
    <row r="943" spans="1:6">
      <c r="A943" s="169" t="s">
        <v>4128</v>
      </c>
      <c r="B943" s="169" t="s">
        <v>4129</v>
      </c>
      <c r="C943" s="169" t="s">
        <v>4130</v>
      </c>
      <c r="D943" s="170">
        <v>15</v>
      </c>
      <c r="E943" s="170">
        <v>-1</v>
      </c>
      <c r="F943" s="170" t="s">
        <v>463</v>
      </c>
    </row>
    <row r="944" spans="1:6">
      <c r="A944" s="169" t="s">
        <v>4131</v>
      </c>
      <c r="B944" s="169" t="s">
        <v>4132</v>
      </c>
      <c r="C944" s="169" t="s">
        <v>4133</v>
      </c>
      <c r="D944" s="170">
        <v>15</v>
      </c>
      <c r="E944" s="170">
        <v>-1</v>
      </c>
      <c r="F944" s="170" t="s">
        <v>463</v>
      </c>
    </row>
    <row r="945" spans="1:6">
      <c r="A945" s="169" t="s">
        <v>4134</v>
      </c>
      <c r="B945" s="169" t="s">
        <v>4135</v>
      </c>
      <c r="C945" s="169" t="s">
        <v>4136</v>
      </c>
      <c r="D945" s="170">
        <v>15</v>
      </c>
      <c r="E945" s="170">
        <v>-1</v>
      </c>
      <c r="F945" s="170" t="s">
        <v>463</v>
      </c>
    </row>
    <row r="946" spans="1:6">
      <c r="A946" s="169" t="s">
        <v>4137</v>
      </c>
      <c r="B946" s="169" t="s">
        <v>4138</v>
      </c>
      <c r="C946" s="169" t="s">
        <v>4139</v>
      </c>
      <c r="D946" s="170">
        <v>15</v>
      </c>
      <c r="E946" s="170">
        <v>-1</v>
      </c>
      <c r="F946" s="170" t="s">
        <v>463</v>
      </c>
    </row>
    <row r="947" spans="1:6">
      <c r="A947" s="169" t="s">
        <v>4140</v>
      </c>
      <c r="B947" s="169" t="s">
        <v>4141</v>
      </c>
      <c r="C947" s="169" t="s">
        <v>4142</v>
      </c>
      <c r="D947" s="170">
        <v>15</v>
      </c>
      <c r="E947" s="170">
        <v>-1</v>
      </c>
      <c r="F947" s="170" t="s">
        <v>463</v>
      </c>
    </row>
    <row r="948" spans="1:6">
      <c r="A948" s="169" t="s">
        <v>4143</v>
      </c>
      <c r="B948" s="169" t="s">
        <v>4144</v>
      </c>
      <c r="C948" s="169" t="s">
        <v>4145</v>
      </c>
      <c r="D948" s="170">
        <v>15</v>
      </c>
      <c r="E948" s="170">
        <v>-1</v>
      </c>
      <c r="F948" s="170" t="s">
        <v>463</v>
      </c>
    </row>
    <row r="949" spans="1:6">
      <c r="A949" s="169" t="s">
        <v>4146</v>
      </c>
      <c r="B949" s="169" t="s">
        <v>4147</v>
      </c>
      <c r="C949" s="169" t="s">
        <v>4148</v>
      </c>
      <c r="D949" s="170">
        <v>15</v>
      </c>
      <c r="E949" s="170">
        <v>-1</v>
      </c>
      <c r="F949" s="170" t="s">
        <v>463</v>
      </c>
    </row>
    <row r="950" spans="1:6">
      <c r="A950" s="169" t="s">
        <v>4149</v>
      </c>
      <c r="B950" s="169" t="s">
        <v>4150</v>
      </c>
      <c r="C950" s="169" t="s">
        <v>4151</v>
      </c>
      <c r="D950" s="170">
        <v>15</v>
      </c>
      <c r="E950" s="170">
        <v>-1</v>
      </c>
      <c r="F950" s="170" t="s">
        <v>463</v>
      </c>
    </row>
    <row r="951" spans="1:6">
      <c r="A951" s="169" t="s">
        <v>4152</v>
      </c>
      <c r="B951" s="169" t="s">
        <v>4153</v>
      </c>
      <c r="C951" s="169" t="s">
        <v>4154</v>
      </c>
      <c r="D951" s="170">
        <v>15</v>
      </c>
      <c r="E951" s="170">
        <v>-1</v>
      </c>
      <c r="F951" s="170" t="s">
        <v>463</v>
      </c>
    </row>
    <row r="952" spans="1:6">
      <c r="A952" s="169" t="s">
        <v>4155</v>
      </c>
      <c r="B952" s="169" t="s">
        <v>4156</v>
      </c>
      <c r="C952" s="169" t="s">
        <v>4157</v>
      </c>
      <c r="D952" s="170">
        <v>15</v>
      </c>
      <c r="E952" s="170">
        <v>-1</v>
      </c>
      <c r="F952" s="170" t="s">
        <v>463</v>
      </c>
    </row>
    <row r="953" spans="1:6">
      <c r="A953" s="169" t="s">
        <v>4158</v>
      </c>
      <c r="B953" s="169" t="s">
        <v>4159</v>
      </c>
      <c r="C953" s="169" t="s">
        <v>4160</v>
      </c>
      <c r="D953" s="170">
        <v>15</v>
      </c>
      <c r="E953" s="170">
        <v>-1</v>
      </c>
      <c r="F953" s="170" t="s">
        <v>463</v>
      </c>
    </row>
    <row r="954" spans="1:6">
      <c r="A954" s="169" t="s">
        <v>4161</v>
      </c>
      <c r="B954" s="169" t="s">
        <v>4162</v>
      </c>
      <c r="C954" s="169" t="s">
        <v>4163</v>
      </c>
      <c r="D954" s="170">
        <v>14.08</v>
      </c>
      <c r="E954" s="170">
        <v>0</v>
      </c>
      <c r="F954" s="170" t="s">
        <v>1949</v>
      </c>
    </row>
    <row r="955" spans="1:6">
      <c r="A955" s="169" t="s">
        <v>4164</v>
      </c>
      <c r="B955" s="169" t="s">
        <v>4165</v>
      </c>
      <c r="C955" s="169" t="s">
        <v>1687</v>
      </c>
      <c r="D955" s="170">
        <v>523</v>
      </c>
      <c r="E955" s="170">
        <v>-25</v>
      </c>
      <c r="F955" s="170" t="s">
        <v>463</v>
      </c>
    </row>
    <row r="956" spans="1:6">
      <c r="A956" s="169" t="s">
        <v>4166</v>
      </c>
      <c r="B956" s="169" t="s">
        <v>4167</v>
      </c>
      <c r="C956" s="169" t="s">
        <v>4168</v>
      </c>
      <c r="D956" s="170">
        <v>25</v>
      </c>
      <c r="E956" s="170">
        <v>-25</v>
      </c>
      <c r="F956" s="170" t="s">
        <v>1535</v>
      </c>
    </row>
    <row r="957" spans="1:6">
      <c r="A957" s="169" t="s">
        <v>4169</v>
      </c>
      <c r="B957" s="169" t="s">
        <v>4170</v>
      </c>
      <c r="C957" s="169" t="s">
        <v>4171</v>
      </c>
      <c r="D957" s="170">
        <v>25</v>
      </c>
      <c r="E957" s="170">
        <v>-25</v>
      </c>
      <c r="F957" s="170" t="s">
        <v>1535</v>
      </c>
    </row>
    <row r="958" spans="1:6">
      <c r="A958" s="169" t="s">
        <v>4172</v>
      </c>
      <c r="B958" s="169" t="s">
        <v>4173</v>
      </c>
      <c r="C958" s="169" t="s">
        <v>4174</v>
      </c>
      <c r="D958" s="170">
        <v>25</v>
      </c>
      <c r="E958" s="170">
        <v>-25</v>
      </c>
      <c r="F958" s="170" t="s">
        <v>1535</v>
      </c>
    </row>
    <row r="959" spans="1:6">
      <c r="A959" s="169" t="s">
        <v>4175</v>
      </c>
      <c r="B959" s="169" t="s">
        <v>4176</v>
      </c>
      <c r="C959" s="169" t="s">
        <v>4177</v>
      </c>
      <c r="D959" s="170">
        <v>25</v>
      </c>
      <c r="E959" s="170">
        <v>-25</v>
      </c>
      <c r="F959" s="170" t="s">
        <v>1535</v>
      </c>
    </row>
    <row r="960" spans="1:6">
      <c r="A960" s="169" t="s">
        <v>4178</v>
      </c>
      <c r="B960" s="169" t="s">
        <v>4179</v>
      </c>
      <c r="C960" s="169" t="s">
        <v>4180</v>
      </c>
      <c r="D960" s="170">
        <v>25</v>
      </c>
      <c r="E960" s="170">
        <v>-25</v>
      </c>
      <c r="F960" s="170" t="s">
        <v>1535</v>
      </c>
    </row>
    <row r="961" spans="1:6">
      <c r="A961" s="169" t="s">
        <v>4181</v>
      </c>
      <c r="B961" s="169" t="s">
        <v>4182</v>
      </c>
      <c r="C961" s="169" t="s">
        <v>4183</v>
      </c>
      <c r="D961" s="170">
        <v>25</v>
      </c>
      <c r="E961" s="170">
        <v>-25</v>
      </c>
      <c r="F961" s="170" t="s">
        <v>1535</v>
      </c>
    </row>
    <row r="962" spans="1:6">
      <c r="A962" s="169" t="s">
        <v>4184</v>
      </c>
      <c r="B962" s="169" t="s">
        <v>4185</v>
      </c>
      <c r="C962" s="169" t="s">
        <v>4186</v>
      </c>
      <c r="D962" s="170">
        <v>25</v>
      </c>
      <c r="E962" s="170">
        <v>-25</v>
      </c>
      <c r="F962" s="170" t="s">
        <v>1535</v>
      </c>
    </row>
    <row r="963" spans="1:6">
      <c r="A963" s="169" t="s">
        <v>4187</v>
      </c>
      <c r="B963" s="169" t="s">
        <v>4188</v>
      </c>
      <c r="C963" s="169" t="s">
        <v>4189</v>
      </c>
      <c r="D963" s="170">
        <v>25</v>
      </c>
      <c r="E963" s="170">
        <v>-25</v>
      </c>
      <c r="F963" s="170" t="s">
        <v>1535</v>
      </c>
    </row>
    <row r="964" spans="1:6">
      <c r="A964" s="169" t="s">
        <v>4190</v>
      </c>
      <c r="B964" s="169" t="s">
        <v>4191</v>
      </c>
      <c r="C964" s="169" t="s">
        <v>4192</v>
      </c>
      <c r="D964" s="170">
        <v>1116</v>
      </c>
      <c r="E964" s="170">
        <v>-25</v>
      </c>
      <c r="F964" s="170" t="s">
        <v>463</v>
      </c>
    </row>
    <row r="965" spans="1:6">
      <c r="A965" s="169" t="s">
        <v>4193</v>
      </c>
      <c r="B965" s="169" t="s">
        <v>4194</v>
      </c>
      <c r="C965" s="169" t="s">
        <v>4195</v>
      </c>
      <c r="D965" s="170">
        <v>1116</v>
      </c>
      <c r="E965" s="170">
        <v>-25</v>
      </c>
      <c r="F965" s="170" t="s">
        <v>463</v>
      </c>
    </row>
    <row r="966" spans="1:6">
      <c r="A966" s="169" t="s">
        <v>4196</v>
      </c>
      <c r="B966" s="169" t="s">
        <v>4197</v>
      </c>
      <c r="C966" s="169" t="s">
        <v>4198</v>
      </c>
      <c r="D966" s="170">
        <v>1116</v>
      </c>
      <c r="E966" s="170">
        <v>-25</v>
      </c>
      <c r="F966" s="170" t="s">
        <v>463</v>
      </c>
    </row>
    <row r="967" spans="1:6">
      <c r="A967" s="169" t="s">
        <v>4199</v>
      </c>
      <c r="B967" s="169" t="s">
        <v>4200</v>
      </c>
      <c r="C967" s="169" t="s">
        <v>4201</v>
      </c>
      <c r="D967" s="170">
        <v>1116</v>
      </c>
      <c r="E967" s="170">
        <v>-25</v>
      </c>
      <c r="F967" s="170" t="s">
        <v>463</v>
      </c>
    </row>
    <row r="968" spans="1:6">
      <c r="A968" s="169" t="s">
        <v>4202</v>
      </c>
      <c r="B968" s="169" t="s">
        <v>4203</v>
      </c>
      <c r="C968" s="169" t="s">
        <v>4204</v>
      </c>
      <c r="D968" s="170">
        <v>1116</v>
      </c>
      <c r="E968" s="170">
        <v>-25</v>
      </c>
      <c r="F968" s="170" t="s">
        <v>463</v>
      </c>
    </row>
    <row r="969" spans="1:6">
      <c r="A969" s="169" t="s">
        <v>4205</v>
      </c>
      <c r="B969" s="169" t="s">
        <v>4206</v>
      </c>
      <c r="C969" s="169" t="s">
        <v>4207</v>
      </c>
      <c r="D969" s="170">
        <v>1116</v>
      </c>
      <c r="E969" s="170">
        <v>-25</v>
      </c>
      <c r="F969" s="170" t="s">
        <v>463</v>
      </c>
    </row>
    <row r="970" spans="1:6">
      <c r="A970" s="169" t="s">
        <v>4208</v>
      </c>
      <c r="B970" s="169" t="s">
        <v>4209</v>
      </c>
      <c r="C970" s="169" t="s">
        <v>4210</v>
      </c>
      <c r="D970" s="170">
        <v>1116</v>
      </c>
      <c r="E970" s="170">
        <v>-25</v>
      </c>
      <c r="F970" s="170" t="s">
        <v>463</v>
      </c>
    </row>
    <row r="971" spans="1:6">
      <c r="A971" s="169" t="s">
        <v>4211</v>
      </c>
      <c r="B971" s="169" t="s">
        <v>4212</v>
      </c>
      <c r="C971" s="169" t="s">
        <v>4213</v>
      </c>
      <c r="D971" s="170">
        <v>1116</v>
      </c>
      <c r="E971" s="170">
        <v>-25</v>
      </c>
      <c r="F971" s="170" t="s">
        <v>463</v>
      </c>
    </row>
    <row r="972" spans="1:6">
      <c r="A972" s="169" t="s">
        <v>4214</v>
      </c>
      <c r="B972" s="169" t="s">
        <v>4215</v>
      </c>
      <c r="C972" s="169" t="s">
        <v>4216</v>
      </c>
      <c r="D972" s="170">
        <v>1116</v>
      </c>
      <c r="E972" s="170">
        <v>-25</v>
      </c>
      <c r="F972" s="170" t="s">
        <v>463</v>
      </c>
    </row>
    <row r="973" spans="1:6">
      <c r="A973" s="169" t="s">
        <v>4217</v>
      </c>
      <c r="B973" s="169" t="s">
        <v>4218</v>
      </c>
      <c r="C973" s="169" t="s">
        <v>4219</v>
      </c>
      <c r="D973" s="170">
        <v>1116</v>
      </c>
      <c r="E973" s="170">
        <v>-25</v>
      </c>
      <c r="F973" s="170" t="s">
        <v>463</v>
      </c>
    </row>
    <row r="974" spans="1:6">
      <c r="A974" s="169" t="s">
        <v>4220</v>
      </c>
      <c r="B974" s="169" t="s">
        <v>4221</v>
      </c>
      <c r="C974" s="169" t="s">
        <v>4222</v>
      </c>
      <c r="D974" s="170">
        <v>1116</v>
      </c>
      <c r="E974" s="170">
        <v>-25</v>
      </c>
      <c r="F974" s="170" t="s">
        <v>463</v>
      </c>
    </row>
    <row r="975" spans="1:6">
      <c r="A975" s="169" t="s">
        <v>4223</v>
      </c>
      <c r="B975" s="169" t="s">
        <v>4224</v>
      </c>
      <c r="C975" s="169" t="s">
        <v>4225</v>
      </c>
      <c r="D975" s="170">
        <v>1116</v>
      </c>
      <c r="E975" s="170">
        <v>-25</v>
      </c>
      <c r="F975" s="170" t="s">
        <v>463</v>
      </c>
    </row>
    <row r="976" spans="1:6">
      <c r="A976" s="169" t="s">
        <v>4226</v>
      </c>
      <c r="B976" s="169" t="s">
        <v>4227</v>
      </c>
      <c r="C976" s="169" t="s">
        <v>4228</v>
      </c>
      <c r="D976" s="170">
        <v>1116</v>
      </c>
      <c r="E976" s="170">
        <v>-25</v>
      </c>
      <c r="F976" s="170" t="s">
        <v>463</v>
      </c>
    </row>
    <row r="977" spans="1:6">
      <c r="A977" s="169" t="s">
        <v>4229</v>
      </c>
      <c r="B977" s="169" t="s">
        <v>4230</v>
      </c>
      <c r="C977" s="169" t="s">
        <v>4231</v>
      </c>
      <c r="D977" s="170">
        <v>1116</v>
      </c>
      <c r="E977" s="170">
        <v>-25</v>
      </c>
      <c r="F977" s="170" t="s">
        <v>463</v>
      </c>
    </row>
    <row r="978" spans="1:6">
      <c r="A978" s="169" t="s">
        <v>4232</v>
      </c>
      <c r="B978" s="169" t="s">
        <v>4233</v>
      </c>
      <c r="C978" s="169" t="s">
        <v>4234</v>
      </c>
      <c r="D978" s="170">
        <v>1116</v>
      </c>
      <c r="E978" s="170">
        <v>-25</v>
      </c>
      <c r="F978" s="170" t="s">
        <v>463</v>
      </c>
    </row>
    <row r="979" spans="1:6">
      <c r="A979" s="169" t="s">
        <v>4235</v>
      </c>
      <c r="B979" s="169" t="s">
        <v>4236</v>
      </c>
      <c r="C979" s="169" t="s">
        <v>4237</v>
      </c>
      <c r="D979" s="170">
        <v>1116</v>
      </c>
      <c r="E979" s="170">
        <v>-25</v>
      </c>
      <c r="F979" s="170" t="s">
        <v>463</v>
      </c>
    </row>
    <row r="980" spans="1:6">
      <c r="A980" s="169" t="s">
        <v>4238</v>
      </c>
      <c r="B980" s="169" t="s">
        <v>4239</v>
      </c>
      <c r="C980" s="169" t="s">
        <v>4240</v>
      </c>
      <c r="D980" s="170">
        <v>1116</v>
      </c>
      <c r="E980" s="170">
        <v>-25</v>
      </c>
      <c r="F980" s="170" t="s">
        <v>463</v>
      </c>
    </row>
    <row r="981" spans="1:6">
      <c r="A981" s="169" t="s">
        <v>4241</v>
      </c>
      <c r="B981" s="169" t="s">
        <v>4242</v>
      </c>
      <c r="C981" s="169" t="s">
        <v>4243</v>
      </c>
      <c r="D981" s="170">
        <v>1116</v>
      </c>
      <c r="E981" s="170">
        <v>-25</v>
      </c>
      <c r="F981" s="170" t="s">
        <v>463</v>
      </c>
    </row>
    <row r="982" spans="1:6">
      <c r="A982" s="169" t="s">
        <v>4244</v>
      </c>
      <c r="B982" s="169" t="s">
        <v>4245</v>
      </c>
      <c r="C982" s="169" t="s">
        <v>4192</v>
      </c>
      <c r="D982" s="170">
        <v>1116</v>
      </c>
      <c r="E982" s="170">
        <v>-25</v>
      </c>
      <c r="F982" s="170" t="s">
        <v>463</v>
      </c>
    </row>
    <row r="983" spans="1:6">
      <c r="A983" s="169" t="s">
        <v>4246</v>
      </c>
      <c r="B983" s="169" t="s">
        <v>4247</v>
      </c>
      <c r="C983" s="169" t="s">
        <v>4248</v>
      </c>
      <c r="D983" s="170">
        <v>1116</v>
      </c>
      <c r="E983" s="170">
        <v>-25</v>
      </c>
      <c r="F983" s="170" t="s">
        <v>463</v>
      </c>
    </row>
    <row r="984" spans="1:6">
      <c r="A984" s="169" t="s">
        <v>4249</v>
      </c>
      <c r="B984" s="169" t="s">
        <v>4250</v>
      </c>
      <c r="C984" s="169" t="s">
        <v>4251</v>
      </c>
      <c r="D984" s="170">
        <v>1116</v>
      </c>
      <c r="E984" s="170">
        <v>-25</v>
      </c>
      <c r="F984" s="170" t="s">
        <v>463</v>
      </c>
    </row>
    <row r="985" spans="1:6">
      <c r="A985" s="169" t="s">
        <v>4252</v>
      </c>
      <c r="B985" s="169" t="s">
        <v>4253</v>
      </c>
      <c r="C985" s="169" t="s">
        <v>4254</v>
      </c>
      <c r="D985" s="170">
        <v>1116</v>
      </c>
      <c r="E985" s="170">
        <v>-25</v>
      </c>
      <c r="F985" s="170" t="s">
        <v>463</v>
      </c>
    </row>
    <row r="986" spans="1:6">
      <c r="A986" s="169" t="s">
        <v>4255</v>
      </c>
      <c r="B986" s="169" t="s">
        <v>4256</v>
      </c>
      <c r="C986" s="169" t="s">
        <v>4257</v>
      </c>
      <c r="D986" s="170">
        <v>1116</v>
      </c>
      <c r="E986" s="170">
        <v>-25</v>
      </c>
      <c r="F986" s="170" t="s">
        <v>463</v>
      </c>
    </row>
    <row r="987" spans="1:6">
      <c r="A987" s="169" t="s">
        <v>4258</v>
      </c>
      <c r="B987" s="169" t="s">
        <v>4259</v>
      </c>
      <c r="C987" s="169" t="s">
        <v>4260</v>
      </c>
      <c r="D987" s="170">
        <v>1116</v>
      </c>
      <c r="E987" s="170">
        <v>-25</v>
      </c>
      <c r="F987" s="170" t="s">
        <v>463</v>
      </c>
    </row>
    <row r="988" spans="1:6">
      <c r="A988" s="169" t="s">
        <v>4261</v>
      </c>
      <c r="B988" s="169" t="s">
        <v>4262</v>
      </c>
      <c r="C988" s="169" t="s">
        <v>4263</v>
      </c>
      <c r="D988" s="170">
        <v>1116</v>
      </c>
      <c r="E988" s="170">
        <v>-25</v>
      </c>
      <c r="F988" s="170" t="s">
        <v>463</v>
      </c>
    </row>
    <row r="989" spans="1:6">
      <c r="A989" s="169" t="s">
        <v>4264</v>
      </c>
      <c r="B989" s="169" t="s">
        <v>4265</v>
      </c>
      <c r="C989" s="169" t="s">
        <v>4266</v>
      </c>
      <c r="D989" s="170">
        <v>1116</v>
      </c>
      <c r="E989" s="170">
        <v>-25</v>
      </c>
      <c r="F989" s="170" t="s">
        <v>463</v>
      </c>
    </row>
    <row r="990" spans="1:6">
      <c r="A990" s="169" t="s">
        <v>4267</v>
      </c>
      <c r="B990" s="169" t="s">
        <v>4268</v>
      </c>
      <c r="C990" s="169" t="s">
        <v>4269</v>
      </c>
      <c r="D990" s="170">
        <v>1116</v>
      </c>
      <c r="E990" s="170">
        <v>-25</v>
      </c>
      <c r="F990" s="170" t="s">
        <v>463</v>
      </c>
    </row>
    <row r="991" spans="1:6">
      <c r="A991" s="169" t="s">
        <v>4270</v>
      </c>
      <c r="B991" s="169" t="s">
        <v>4271</v>
      </c>
      <c r="C991" s="169" t="s">
        <v>4272</v>
      </c>
      <c r="D991" s="170">
        <v>1116</v>
      </c>
      <c r="E991" s="170">
        <v>-25</v>
      </c>
      <c r="F991" s="170" t="s">
        <v>463</v>
      </c>
    </row>
    <row r="992" spans="1:6">
      <c r="A992" s="169" t="s">
        <v>4273</v>
      </c>
      <c r="B992" s="169" t="s">
        <v>4274</v>
      </c>
      <c r="C992" s="169" t="s">
        <v>4275</v>
      </c>
      <c r="D992" s="170">
        <v>1116</v>
      </c>
      <c r="E992" s="170">
        <v>-25</v>
      </c>
      <c r="F992" s="170" t="s">
        <v>463</v>
      </c>
    </row>
    <row r="993" spans="1:6">
      <c r="A993" s="169" t="s">
        <v>4276</v>
      </c>
      <c r="B993" s="169" t="s">
        <v>4277</v>
      </c>
      <c r="C993" s="169" t="s">
        <v>4278</v>
      </c>
      <c r="D993" s="170">
        <v>523</v>
      </c>
      <c r="E993" s="170">
        <v>-25</v>
      </c>
      <c r="F993" s="170" t="s">
        <v>1535</v>
      </c>
    </row>
    <row r="994" spans="1:6">
      <c r="A994" s="169" t="s">
        <v>4279</v>
      </c>
      <c r="B994" s="169" t="s">
        <v>4280</v>
      </c>
      <c r="C994" s="169" t="s">
        <v>4281</v>
      </c>
      <c r="D994" s="170">
        <v>523</v>
      </c>
      <c r="E994" s="170">
        <v>-25</v>
      </c>
      <c r="F994" s="170" t="s">
        <v>1535</v>
      </c>
    </row>
    <row r="995" spans="1:6">
      <c r="A995" s="169" t="s">
        <v>4282</v>
      </c>
      <c r="B995" s="169" t="s">
        <v>4283</v>
      </c>
      <c r="C995" s="169" t="s">
        <v>4284</v>
      </c>
      <c r="D995" s="170">
        <v>1000</v>
      </c>
      <c r="E995" s="170">
        <v>0</v>
      </c>
      <c r="F995" s="170" t="s">
        <v>463</v>
      </c>
    </row>
    <row r="996" spans="1:6">
      <c r="A996" s="169" t="s">
        <v>4285</v>
      </c>
      <c r="B996" s="169" t="s">
        <v>4286</v>
      </c>
      <c r="C996" s="169" t="s">
        <v>4287</v>
      </c>
      <c r="D996" s="170">
        <v>200</v>
      </c>
      <c r="E996" s="170">
        <v>0</v>
      </c>
      <c r="F996" s="170" t="s">
        <v>1888</v>
      </c>
    </row>
    <row r="997" spans="1:6">
      <c r="A997" s="169" t="s">
        <v>4288</v>
      </c>
      <c r="B997" s="169" t="s">
        <v>4289</v>
      </c>
      <c r="C997" s="169" t="s">
        <v>4290</v>
      </c>
      <c r="D997" s="170">
        <v>100</v>
      </c>
      <c r="E997" s="170">
        <v>0</v>
      </c>
      <c r="F997" s="170" t="s">
        <v>463</v>
      </c>
    </row>
    <row r="998" spans="1:6">
      <c r="A998" s="169" t="s">
        <v>4291</v>
      </c>
      <c r="B998" s="169" t="s">
        <v>4292</v>
      </c>
      <c r="C998" s="169" t="s">
        <v>4293</v>
      </c>
      <c r="D998" s="170">
        <v>100</v>
      </c>
      <c r="E998" s="170">
        <v>0</v>
      </c>
      <c r="F998" s="170" t="s">
        <v>463</v>
      </c>
    </row>
    <row r="999" spans="1:6">
      <c r="A999" s="169" t="s">
        <v>4294</v>
      </c>
      <c r="B999" s="169" t="s">
        <v>4295</v>
      </c>
      <c r="C999" s="169" t="s">
        <v>4296</v>
      </c>
      <c r="D999" s="170">
        <v>100</v>
      </c>
      <c r="E999" s="170">
        <v>0</v>
      </c>
      <c r="F999" s="170" t="s">
        <v>463</v>
      </c>
    </row>
    <row r="1000" spans="1:6">
      <c r="A1000" s="169" t="s">
        <v>4297</v>
      </c>
      <c r="B1000" s="169" t="s">
        <v>4298</v>
      </c>
      <c r="C1000" s="169" t="s">
        <v>4299</v>
      </c>
      <c r="D1000" s="170">
        <v>100</v>
      </c>
      <c r="E1000" s="170">
        <v>0</v>
      </c>
      <c r="F1000" s="170" t="s">
        <v>463</v>
      </c>
    </row>
    <row r="1001" spans="1:6">
      <c r="A1001" s="169" t="s">
        <v>4300</v>
      </c>
      <c r="B1001" s="169" t="s">
        <v>4301</v>
      </c>
      <c r="C1001" s="169" t="s">
        <v>4302</v>
      </c>
      <c r="D1001" s="170">
        <v>100</v>
      </c>
      <c r="E1001" s="170">
        <v>0</v>
      </c>
      <c r="F1001" s="170" t="s">
        <v>463</v>
      </c>
    </row>
    <row r="1002" spans="1:6">
      <c r="A1002" s="169" t="s">
        <v>4303</v>
      </c>
      <c r="B1002" s="169" t="s">
        <v>4304</v>
      </c>
      <c r="C1002" s="169" t="s">
        <v>4305</v>
      </c>
      <c r="D1002" s="170">
        <v>100</v>
      </c>
      <c r="E1002" s="170">
        <v>0</v>
      </c>
      <c r="F1002" s="170" t="s">
        <v>463</v>
      </c>
    </row>
    <row r="1003" spans="1:6">
      <c r="A1003" s="169" t="s">
        <v>4306</v>
      </c>
      <c r="B1003" s="169" t="s">
        <v>4307</v>
      </c>
      <c r="C1003" s="169" t="s">
        <v>4308</v>
      </c>
      <c r="D1003" s="170">
        <v>100</v>
      </c>
      <c r="E1003" s="170">
        <v>0</v>
      </c>
      <c r="F1003" s="170" t="s">
        <v>463</v>
      </c>
    </row>
    <row r="1004" spans="1:6">
      <c r="A1004" s="169" t="s">
        <v>4309</v>
      </c>
      <c r="B1004" s="169" t="s">
        <v>4310</v>
      </c>
      <c r="C1004" s="169" t="s">
        <v>4311</v>
      </c>
      <c r="D1004" s="170">
        <v>100</v>
      </c>
      <c r="E1004" s="170">
        <v>0</v>
      </c>
      <c r="F1004" s="170" t="s">
        <v>463</v>
      </c>
    </row>
    <row r="1005" spans="1:6">
      <c r="A1005" s="169" t="s">
        <v>4312</v>
      </c>
      <c r="B1005" s="169" t="s">
        <v>4313</v>
      </c>
      <c r="C1005" s="169" t="s">
        <v>4311</v>
      </c>
      <c r="D1005" s="170">
        <v>110</v>
      </c>
      <c r="E1005" s="170">
        <v>0</v>
      </c>
      <c r="F1005" s="170" t="s">
        <v>463</v>
      </c>
    </row>
    <row r="1006" spans="1:6">
      <c r="A1006" s="169" t="s">
        <v>4314</v>
      </c>
      <c r="B1006" s="169" t="s">
        <v>4315</v>
      </c>
      <c r="C1006" s="169" t="s">
        <v>4316</v>
      </c>
      <c r="D1006" s="170">
        <v>110</v>
      </c>
      <c r="E1006" s="170">
        <v>0</v>
      </c>
      <c r="F1006" s="170" t="s">
        <v>463</v>
      </c>
    </row>
    <row r="1007" spans="1:6">
      <c r="A1007" s="169" t="s">
        <v>4317</v>
      </c>
      <c r="B1007" s="169" t="s">
        <v>4318</v>
      </c>
      <c r="C1007" s="169" t="s">
        <v>4319</v>
      </c>
      <c r="D1007" s="170">
        <v>100</v>
      </c>
      <c r="E1007" s="170">
        <v>0</v>
      </c>
      <c r="F1007" s="170" t="s">
        <v>463</v>
      </c>
    </row>
    <row r="1008" spans="1:6">
      <c r="A1008" s="169" t="s">
        <v>4320</v>
      </c>
      <c r="B1008" s="169" t="s">
        <v>4321</v>
      </c>
      <c r="C1008" s="169" t="s">
        <v>4322</v>
      </c>
      <c r="D1008" s="170">
        <v>300</v>
      </c>
      <c r="E1008" s="170">
        <v>0</v>
      </c>
      <c r="F1008" s="170" t="s">
        <v>1535</v>
      </c>
    </row>
    <row r="1009" spans="1:6">
      <c r="A1009" s="169" t="s">
        <v>4323</v>
      </c>
      <c r="B1009" s="169" t="s">
        <v>4324</v>
      </c>
      <c r="C1009" s="169" t="s">
        <v>4325</v>
      </c>
      <c r="D1009" s="170">
        <v>2</v>
      </c>
      <c r="E1009" s="170">
        <v>0</v>
      </c>
      <c r="F1009" s="170" t="s">
        <v>4326</v>
      </c>
    </row>
    <row r="1010" spans="1:6">
      <c r="A1010" s="169" t="s">
        <v>4327</v>
      </c>
      <c r="B1010" s="169" t="s">
        <v>4328</v>
      </c>
      <c r="C1010" s="169" t="s">
        <v>4329</v>
      </c>
      <c r="D1010" s="170">
        <v>14</v>
      </c>
      <c r="E1010" s="170">
        <v>0</v>
      </c>
      <c r="F1010" s="170" t="s">
        <v>4326</v>
      </c>
    </row>
    <row r="1011" spans="1:6">
      <c r="A1011" s="169" t="s">
        <v>4330</v>
      </c>
      <c r="B1011" s="169" t="s">
        <v>4331</v>
      </c>
      <c r="C1011" s="169" t="s">
        <v>4332</v>
      </c>
      <c r="D1011" s="170">
        <v>2</v>
      </c>
      <c r="E1011" s="170">
        <v>0</v>
      </c>
      <c r="F1011" s="170" t="s">
        <v>4326</v>
      </c>
    </row>
    <row r="1012" spans="1:6">
      <c r="A1012" s="169" t="s">
        <v>4333</v>
      </c>
      <c r="B1012" s="169" t="s">
        <v>4334</v>
      </c>
      <c r="C1012" s="169" t="s">
        <v>4335</v>
      </c>
      <c r="D1012" s="170">
        <v>261.5</v>
      </c>
      <c r="E1012" s="170">
        <v>0</v>
      </c>
      <c r="F1012" s="170" t="s">
        <v>1549</v>
      </c>
    </row>
    <row r="1013" spans="1:6">
      <c r="A1013" s="169" t="s">
        <v>4336</v>
      </c>
      <c r="B1013" s="169" t="s">
        <v>4337</v>
      </c>
      <c r="C1013" s="169" t="s">
        <v>4338</v>
      </c>
      <c r="D1013" s="170">
        <v>100</v>
      </c>
      <c r="E1013" s="170">
        <v>0</v>
      </c>
      <c r="F1013" s="170" t="s">
        <v>463</v>
      </c>
    </row>
    <row r="1014" spans="1:6">
      <c r="A1014" s="169" t="s">
        <v>4339</v>
      </c>
      <c r="B1014" s="169" t="s">
        <v>4340</v>
      </c>
      <c r="C1014" s="169" t="s">
        <v>4341</v>
      </c>
      <c r="D1014" s="170">
        <v>100</v>
      </c>
      <c r="E1014" s="170">
        <v>0</v>
      </c>
      <c r="F1014" s="170" t="s">
        <v>463</v>
      </c>
    </row>
    <row r="1015" spans="1:6">
      <c r="A1015" s="169" t="s">
        <v>4342</v>
      </c>
      <c r="B1015" s="169" t="s">
        <v>4343</v>
      </c>
      <c r="C1015" s="169" t="s">
        <v>4344</v>
      </c>
      <c r="D1015" s="170">
        <v>100</v>
      </c>
      <c r="E1015" s="170">
        <v>0</v>
      </c>
      <c r="F1015" s="170" t="s">
        <v>463</v>
      </c>
    </row>
    <row r="1016" spans="1:6">
      <c r="A1016" s="169" t="s">
        <v>4345</v>
      </c>
      <c r="B1016" s="169" t="s">
        <v>4346</v>
      </c>
      <c r="C1016" s="169" t="s">
        <v>4347</v>
      </c>
      <c r="D1016" s="170">
        <v>100</v>
      </c>
      <c r="E1016" s="170">
        <v>0</v>
      </c>
      <c r="F1016" s="170" t="s">
        <v>463</v>
      </c>
    </row>
    <row r="1017" spans="1:6">
      <c r="A1017" s="169" t="s">
        <v>4348</v>
      </c>
      <c r="B1017" s="169" t="s">
        <v>4349</v>
      </c>
      <c r="C1017" s="169" t="s">
        <v>4350</v>
      </c>
      <c r="D1017" s="170">
        <v>100</v>
      </c>
      <c r="E1017" s="170">
        <v>0</v>
      </c>
      <c r="F1017" s="170" t="s">
        <v>463</v>
      </c>
    </row>
    <row r="1018" spans="1:6">
      <c r="A1018" s="169" t="s">
        <v>4351</v>
      </c>
      <c r="B1018" s="169" t="s">
        <v>4352</v>
      </c>
      <c r="C1018" s="169" t="s">
        <v>4353</v>
      </c>
      <c r="D1018" s="170">
        <v>100</v>
      </c>
      <c r="E1018" s="170">
        <v>0</v>
      </c>
      <c r="F1018" s="170" t="s">
        <v>463</v>
      </c>
    </row>
    <row r="1019" spans="1:6">
      <c r="A1019" s="169" t="s">
        <v>4354</v>
      </c>
      <c r="B1019" s="169" t="s">
        <v>4355</v>
      </c>
      <c r="C1019" s="169" t="s">
        <v>4356</v>
      </c>
      <c r="D1019" s="170">
        <v>100</v>
      </c>
      <c r="E1019" s="170">
        <v>0</v>
      </c>
      <c r="F1019" s="170" t="s">
        <v>463</v>
      </c>
    </row>
    <row r="1020" spans="1:6">
      <c r="A1020" s="169" t="s">
        <v>4357</v>
      </c>
      <c r="B1020" s="169" t="s">
        <v>4358</v>
      </c>
      <c r="C1020" s="169" t="s">
        <v>4359</v>
      </c>
      <c r="D1020" s="170">
        <v>100</v>
      </c>
      <c r="E1020" s="170">
        <v>0</v>
      </c>
      <c r="F1020" s="170" t="s">
        <v>463</v>
      </c>
    </row>
    <row r="1021" spans="1:6">
      <c r="A1021" s="169" t="s">
        <v>4360</v>
      </c>
      <c r="B1021" s="169" t="s">
        <v>4361</v>
      </c>
      <c r="C1021" s="169" t="s">
        <v>4362</v>
      </c>
      <c r="D1021" s="170">
        <v>100</v>
      </c>
      <c r="E1021" s="170">
        <v>0</v>
      </c>
      <c r="F1021" s="170" t="s">
        <v>463</v>
      </c>
    </row>
    <row r="1022" spans="1:6">
      <c r="A1022" s="169" t="s">
        <v>4363</v>
      </c>
      <c r="B1022" s="169" t="s">
        <v>4364</v>
      </c>
      <c r="C1022" s="169" t="s">
        <v>4365</v>
      </c>
      <c r="D1022" s="170">
        <v>100</v>
      </c>
      <c r="E1022" s="170">
        <v>0</v>
      </c>
      <c r="F1022" s="170" t="s">
        <v>463</v>
      </c>
    </row>
    <row r="1023" spans="1:6">
      <c r="A1023" s="169" t="s">
        <v>4366</v>
      </c>
      <c r="B1023" s="169" t="s">
        <v>4367</v>
      </c>
      <c r="C1023" s="169" t="s">
        <v>4368</v>
      </c>
      <c r="D1023" s="170">
        <v>100</v>
      </c>
      <c r="E1023" s="170">
        <v>0</v>
      </c>
      <c r="F1023" s="170" t="s">
        <v>463</v>
      </c>
    </row>
    <row r="1024" spans="1:6">
      <c r="A1024" s="169" t="s">
        <v>4369</v>
      </c>
      <c r="B1024" s="169" t="s">
        <v>4370</v>
      </c>
      <c r="C1024" s="169" t="s">
        <v>4371</v>
      </c>
      <c r="D1024" s="170">
        <v>110</v>
      </c>
      <c r="E1024" s="170">
        <v>0</v>
      </c>
      <c r="F1024" s="170" t="s">
        <v>463</v>
      </c>
    </row>
    <row r="1025" spans="1:6">
      <c r="A1025" s="169" t="s">
        <v>4372</v>
      </c>
      <c r="B1025" s="169" t="s">
        <v>4373</v>
      </c>
      <c r="C1025" s="169" t="s">
        <v>4374</v>
      </c>
      <c r="D1025" s="170">
        <v>110</v>
      </c>
      <c r="E1025" s="170">
        <v>0</v>
      </c>
      <c r="F1025" s="170" t="s">
        <v>463</v>
      </c>
    </row>
    <row r="1026" spans="1:6">
      <c r="A1026" s="169" t="s">
        <v>4375</v>
      </c>
      <c r="B1026" s="169" t="s">
        <v>4376</v>
      </c>
      <c r="C1026" s="169" t="s">
        <v>4377</v>
      </c>
      <c r="D1026" s="170">
        <v>100</v>
      </c>
      <c r="E1026" s="170">
        <v>0</v>
      </c>
      <c r="F1026" s="170" t="s">
        <v>463</v>
      </c>
    </row>
    <row r="1027" spans="1:6">
      <c r="A1027" s="169" t="s">
        <v>4378</v>
      </c>
      <c r="B1027" s="169" t="s">
        <v>4379</v>
      </c>
      <c r="C1027" s="169" t="s">
        <v>4380</v>
      </c>
      <c r="D1027" s="170">
        <v>313</v>
      </c>
      <c r="E1027" s="170">
        <v>0</v>
      </c>
      <c r="F1027" s="170" t="s">
        <v>463</v>
      </c>
    </row>
    <row r="1028" spans="1:6">
      <c r="A1028" s="169" t="s">
        <v>4381</v>
      </c>
      <c r="B1028" s="169" t="s">
        <v>4382</v>
      </c>
      <c r="C1028" s="169" t="s">
        <v>4383</v>
      </c>
      <c r="D1028" s="170">
        <v>313</v>
      </c>
      <c r="E1028" s="170">
        <v>0</v>
      </c>
      <c r="F1028" s="170" t="s">
        <v>463</v>
      </c>
    </row>
    <row r="1029" spans="1:6">
      <c r="A1029" s="169" t="s">
        <v>4384</v>
      </c>
      <c r="B1029" s="169" t="s">
        <v>4385</v>
      </c>
      <c r="C1029" s="169" t="s">
        <v>4386</v>
      </c>
      <c r="D1029" s="170">
        <v>313</v>
      </c>
      <c r="E1029" s="170">
        <v>0</v>
      </c>
      <c r="F1029" s="170" t="s">
        <v>463</v>
      </c>
    </row>
    <row r="1030" spans="1:6">
      <c r="A1030" s="169" t="s">
        <v>4387</v>
      </c>
      <c r="B1030" s="169" t="s">
        <v>4388</v>
      </c>
      <c r="C1030" s="169" t="s">
        <v>4389</v>
      </c>
      <c r="D1030" s="170">
        <v>313</v>
      </c>
      <c r="E1030" s="170">
        <v>0</v>
      </c>
      <c r="F1030" s="170" t="s">
        <v>463</v>
      </c>
    </row>
    <row r="1031" spans="1:6">
      <c r="A1031" s="169" t="s">
        <v>4390</v>
      </c>
      <c r="B1031" s="169" t="s">
        <v>4391</v>
      </c>
      <c r="C1031" s="169" t="s">
        <v>4392</v>
      </c>
      <c r="D1031" s="170">
        <v>313</v>
      </c>
      <c r="E1031" s="170">
        <v>0</v>
      </c>
      <c r="F1031" s="170" t="s">
        <v>463</v>
      </c>
    </row>
    <row r="1032" spans="1:6">
      <c r="A1032" s="169" t="s">
        <v>4393</v>
      </c>
      <c r="B1032" s="169" t="s">
        <v>4394</v>
      </c>
      <c r="C1032" s="169" t="s">
        <v>4395</v>
      </c>
      <c r="D1032" s="170">
        <v>313</v>
      </c>
      <c r="E1032" s="170">
        <v>0</v>
      </c>
      <c r="F1032" s="170" t="s">
        <v>463</v>
      </c>
    </row>
    <row r="1033" spans="1:6">
      <c r="A1033" s="169" t="s">
        <v>4396</v>
      </c>
      <c r="B1033" s="169" t="s">
        <v>4397</v>
      </c>
      <c r="C1033" s="169" t="s">
        <v>4398</v>
      </c>
      <c r="D1033" s="170">
        <v>313</v>
      </c>
      <c r="E1033" s="170">
        <v>0</v>
      </c>
      <c r="F1033" s="170" t="s">
        <v>463</v>
      </c>
    </row>
    <row r="1034" spans="1:6">
      <c r="A1034" s="169" t="s">
        <v>4399</v>
      </c>
      <c r="B1034" s="169" t="s">
        <v>4400</v>
      </c>
      <c r="C1034" s="169" t="s">
        <v>4401</v>
      </c>
      <c r="D1034" s="170">
        <v>313</v>
      </c>
      <c r="E1034" s="170">
        <v>0</v>
      </c>
      <c r="F1034" s="170" t="s">
        <v>463</v>
      </c>
    </row>
    <row r="1035" spans="1:6">
      <c r="A1035" s="169" t="s">
        <v>4402</v>
      </c>
      <c r="B1035" s="169" t="s">
        <v>4403</v>
      </c>
      <c r="C1035" s="169" t="s">
        <v>4404</v>
      </c>
      <c r="D1035" s="170">
        <v>100</v>
      </c>
      <c r="E1035" s="170">
        <v>0</v>
      </c>
      <c r="F1035" s="170" t="s">
        <v>463</v>
      </c>
    </row>
    <row r="1036" spans="1:6">
      <c r="A1036" s="169" t="s">
        <v>4405</v>
      </c>
      <c r="B1036" s="169" t="s">
        <v>4406</v>
      </c>
      <c r="C1036" s="169" t="s">
        <v>4407</v>
      </c>
      <c r="D1036" s="170">
        <v>100</v>
      </c>
      <c r="E1036" s="170">
        <v>0</v>
      </c>
      <c r="F1036" s="170" t="s">
        <v>463</v>
      </c>
    </row>
    <row r="1037" spans="1:6">
      <c r="A1037" s="169" t="s">
        <v>4408</v>
      </c>
      <c r="B1037" s="169" t="s">
        <v>4409</v>
      </c>
      <c r="C1037" s="169" t="s">
        <v>4410</v>
      </c>
      <c r="D1037" s="170">
        <v>21750</v>
      </c>
      <c r="E1037" s="170">
        <v>0</v>
      </c>
      <c r="F1037" s="170" t="s">
        <v>2209</v>
      </c>
    </row>
    <row r="1038" spans="1:6">
      <c r="A1038" s="169" t="s">
        <v>4411</v>
      </c>
      <c r="B1038" s="169" t="s">
        <v>4412</v>
      </c>
      <c r="C1038" s="169" t="s">
        <v>4413</v>
      </c>
      <c r="D1038" s="170">
        <v>100</v>
      </c>
      <c r="E1038" s="170">
        <v>0</v>
      </c>
      <c r="F1038" s="170" t="s">
        <v>463</v>
      </c>
    </row>
    <row r="1039" spans="1:6">
      <c r="A1039" s="169" t="s">
        <v>4414</v>
      </c>
      <c r="B1039" s="169" t="s">
        <v>4415</v>
      </c>
      <c r="C1039" s="169" t="s">
        <v>4416</v>
      </c>
      <c r="D1039" s="170">
        <v>250</v>
      </c>
      <c r="E1039" s="170">
        <v>0</v>
      </c>
      <c r="F1039" s="170" t="s">
        <v>3106</v>
      </c>
    </row>
    <row r="1040" spans="1:6">
      <c r="A1040" s="169" t="s">
        <v>4417</v>
      </c>
      <c r="B1040" s="169" t="s">
        <v>4418</v>
      </c>
      <c r="C1040" s="169" t="s">
        <v>4419</v>
      </c>
      <c r="D1040" s="170">
        <v>250</v>
      </c>
      <c r="E1040" s="170">
        <v>0</v>
      </c>
      <c r="F1040" s="170" t="s">
        <v>463</v>
      </c>
    </row>
    <row r="1041" spans="1:6">
      <c r="A1041" s="169" t="s">
        <v>4420</v>
      </c>
      <c r="B1041" s="169" t="s">
        <v>4421</v>
      </c>
      <c r="C1041" s="169" t="s">
        <v>4422</v>
      </c>
      <c r="D1041" s="170">
        <v>100</v>
      </c>
      <c r="E1041" s="170">
        <v>0</v>
      </c>
      <c r="F1041" s="170" t="s">
        <v>463</v>
      </c>
    </row>
    <row r="1042" spans="1:6">
      <c r="A1042" s="169" t="s">
        <v>4423</v>
      </c>
      <c r="B1042" s="169" t="s">
        <v>4424</v>
      </c>
      <c r="C1042" s="169" t="s">
        <v>4425</v>
      </c>
      <c r="D1042" s="170">
        <v>100</v>
      </c>
      <c r="E1042" s="170">
        <v>0</v>
      </c>
      <c r="F1042" s="170" t="s">
        <v>463</v>
      </c>
    </row>
    <row r="1043" spans="1:6">
      <c r="A1043" s="169" t="s">
        <v>4426</v>
      </c>
      <c r="B1043" s="169" t="s">
        <v>4427</v>
      </c>
      <c r="C1043" s="169" t="s">
        <v>4428</v>
      </c>
      <c r="D1043" s="170">
        <v>100</v>
      </c>
      <c r="E1043" s="170">
        <v>0</v>
      </c>
      <c r="F1043" s="170" t="s">
        <v>463</v>
      </c>
    </row>
    <row r="1044" spans="1:6">
      <c r="A1044" s="169" t="s">
        <v>4429</v>
      </c>
      <c r="B1044" s="169" t="s">
        <v>4430</v>
      </c>
      <c r="C1044" s="169" t="s">
        <v>4431</v>
      </c>
      <c r="D1044" s="170">
        <v>100</v>
      </c>
      <c r="E1044" s="170">
        <v>0</v>
      </c>
      <c r="F1044" s="170" t="s">
        <v>463</v>
      </c>
    </row>
    <row r="1045" spans="1:6">
      <c r="A1045" s="169" t="s">
        <v>4432</v>
      </c>
      <c r="B1045" s="169" t="s">
        <v>4433</v>
      </c>
      <c r="C1045" s="169" t="s">
        <v>4434</v>
      </c>
      <c r="D1045" s="170">
        <v>100</v>
      </c>
      <c r="E1045" s="170">
        <v>0</v>
      </c>
      <c r="F1045" s="170" t="s">
        <v>463</v>
      </c>
    </row>
    <row r="1046" spans="1:6">
      <c r="A1046" s="169" t="s">
        <v>4435</v>
      </c>
      <c r="B1046" s="169" t="s">
        <v>4436</v>
      </c>
      <c r="C1046" s="169" t="s">
        <v>4437</v>
      </c>
      <c r="D1046" s="170">
        <v>120</v>
      </c>
      <c r="E1046" s="170">
        <v>0</v>
      </c>
      <c r="F1046" s="170" t="s">
        <v>463</v>
      </c>
    </row>
    <row r="1047" spans="1:6">
      <c r="A1047" s="169" t="s">
        <v>4438</v>
      </c>
      <c r="B1047" s="169" t="s">
        <v>4439</v>
      </c>
      <c r="C1047" s="169" t="s">
        <v>4440</v>
      </c>
      <c r="D1047" s="170">
        <v>100</v>
      </c>
      <c r="E1047" s="170">
        <v>0</v>
      </c>
      <c r="F1047" s="170" t="s">
        <v>463</v>
      </c>
    </row>
    <row r="1048" spans="1:6">
      <c r="A1048" s="169" t="s">
        <v>4441</v>
      </c>
      <c r="B1048" s="169" t="s">
        <v>4442</v>
      </c>
      <c r="C1048" s="169" t="s">
        <v>4443</v>
      </c>
      <c r="D1048" s="170">
        <v>100</v>
      </c>
      <c r="E1048" s="170">
        <v>0</v>
      </c>
      <c r="F1048" s="170" t="s">
        <v>463</v>
      </c>
    </row>
    <row r="1049" spans="1:6">
      <c r="A1049" s="169" t="s">
        <v>4444</v>
      </c>
      <c r="B1049" s="169" t="s">
        <v>4445</v>
      </c>
      <c r="C1049" s="169" t="s">
        <v>4446</v>
      </c>
      <c r="D1049" s="170">
        <v>100</v>
      </c>
      <c r="E1049" s="170">
        <v>0</v>
      </c>
      <c r="F1049" s="170" t="s">
        <v>463</v>
      </c>
    </row>
    <row r="1050" spans="1:6">
      <c r="A1050" s="169" t="s">
        <v>4447</v>
      </c>
      <c r="B1050" s="169" t="s">
        <v>4448</v>
      </c>
      <c r="C1050" s="169" t="s">
        <v>4449</v>
      </c>
      <c r="D1050" s="170">
        <v>350</v>
      </c>
      <c r="E1050" s="170">
        <v>0</v>
      </c>
      <c r="F1050" s="170" t="s">
        <v>463</v>
      </c>
    </row>
    <row r="1051" spans="1:6">
      <c r="A1051" s="169" t="s">
        <v>4450</v>
      </c>
      <c r="B1051" s="169" t="s">
        <v>4451</v>
      </c>
      <c r="C1051" s="169" t="s">
        <v>4452</v>
      </c>
      <c r="D1051" s="170">
        <v>200</v>
      </c>
      <c r="E1051" s="170">
        <v>0</v>
      </c>
      <c r="F1051" s="170" t="s">
        <v>463</v>
      </c>
    </row>
    <row r="1052" spans="1:6">
      <c r="A1052" s="169" t="s">
        <v>4453</v>
      </c>
      <c r="B1052" s="169" t="s">
        <v>4454</v>
      </c>
      <c r="C1052" s="169" t="s">
        <v>4455</v>
      </c>
      <c r="D1052" s="170">
        <v>100</v>
      </c>
      <c r="E1052" s="170">
        <v>0</v>
      </c>
      <c r="F1052" s="170" t="s">
        <v>463</v>
      </c>
    </row>
    <row r="1053" spans="1:6">
      <c r="A1053" s="169" t="s">
        <v>4456</v>
      </c>
      <c r="B1053" s="169" t="s">
        <v>4457</v>
      </c>
      <c r="C1053" s="169" t="s">
        <v>4458</v>
      </c>
      <c r="D1053" s="170">
        <v>100</v>
      </c>
      <c r="E1053" s="170">
        <v>0</v>
      </c>
      <c r="F1053" s="170" t="s">
        <v>463</v>
      </c>
    </row>
    <row r="1054" spans="1:6">
      <c r="A1054" s="169" t="s">
        <v>4459</v>
      </c>
      <c r="B1054" s="169" t="s">
        <v>4460</v>
      </c>
      <c r="C1054" s="169" t="s">
        <v>4461</v>
      </c>
      <c r="D1054" s="170">
        <v>20</v>
      </c>
      <c r="E1054" s="170">
        <v>0</v>
      </c>
      <c r="F1054" s="170" t="s">
        <v>4326</v>
      </c>
    </row>
    <row r="1055" spans="1:6">
      <c r="A1055" s="169" t="s">
        <v>4462</v>
      </c>
      <c r="B1055" s="169" t="s">
        <v>4463</v>
      </c>
      <c r="C1055" s="169" t="s">
        <v>4464</v>
      </c>
      <c r="D1055" s="170">
        <v>6</v>
      </c>
      <c r="E1055" s="170">
        <v>0</v>
      </c>
      <c r="F1055" s="170" t="s">
        <v>4326</v>
      </c>
    </row>
    <row r="1056" spans="1:6">
      <c r="A1056" s="169" t="s">
        <v>4465</v>
      </c>
      <c r="B1056" s="169" t="s">
        <v>4466</v>
      </c>
      <c r="C1056" s="169" t="s">
        <v>4467</v>
      </c>
      <c r="D1056" s="170">
        <v>120</v>
      </c>
      <c r="E1056" s="170">
        <v>0</v>
      </c>
      <c r="F1056" s="170" t="s">
        <v>463</v>
      </c>
    </row>
    <row r="1057" spans="1:6">
      <c r="A1057" s="169" t="s">
        <v>4468</v>
      </c>
      <c r="B1057" s="169" t="s">
        <v>4469</v>
      </c>
      <c r="C1057" s="169" t="s">
        <v>4470</v>
      </c>
      <c r="D1057" s="170">
        <v>120</v>
      </c>
      <c r="E1057" s="170">
        <v>0</v>
      </c>
      <c r="F1057" s="170" t="s">
        <v>463</v>
      </c>
    </row>
    <row r="1058" spans="1:6">
      <c r="A1058" s="169" t="s">
        <v>4471</v>
      </c>
      <c r="B1058" s="169" t="s">
        <v>4472</v>
      </c>
      <c r="C1058" s="169" t="s">
        <v>4473</v>
      </c>
      <c r="D1058" s="170">
        <v>1000</v>
      </c>
      <c r="E1058" s="170">
        <v>0</v>
      </c>
      <c r="F1058" s="170" t="s">
        <v>1939</v>
      </c>
    </row>
    <row r="1059" spans="1:6">
      <c r="A1059" s="169" t="s">
        <v>4474</v>
      </c>
      <c r="B1059" s="169" t="s">
        <v>4475</v>
      </c>
      <c r="C1059" s="169" t="s">
        <v>4476</v>
      </c>
      <c r="D1059" s="170">
        <v>1000</v>
      </c>
      <c r="E1059" s="170">
        <v>0</v>
      </c>
      <c r="F1059" s="170" t="s">
        <v>1939</v>
      </c>
    </row>
    <row r="1060" spans="1:6">
      <c r="A1060" s="169" t="s">
        <v>4477</v>
      </c>
      <c r="B1060" s="169" t="s">
        <v>4478</v>
      </c>
      <c r="C1060" s="169" t="s">
        <v>4479</v>
      </c>
      <c r="D1060" s="170">
        <v>1500</v>
      </c>
      <c r="E1060" s="170">
        <v>0</v>
      </c>
      <c r="F1060" s="170" t="s">
        <v>1939</v>
      </c>
    </row>
    <row r="1061" spans="1:6">
      <c r="A1061" s="169" t="s">
        <v>4480</v>
      </c>
      <c r="B1061" s="169" t="s">
        <v>4481</v>
      </c>
      <c r="C1061" s="169" t="s">
        <v>4482</v>
      </c>
      <c r="D1061" s="170">
        <v>120</v>
      </c>
      <c r="E1061" s="170">
        <v>0</v>
      </c>
      <c r="F1061" s="170" t="s">
        <v>1907</v>
      </c>
    </row>
    <row r="1062" spans="1:6">
      <c r="A1062" s="169" t="s">
        <v>4483</v>
      </c>
      <c r="B1062" s="169" t="s">
        <v>4484</v>
      </c>
      <c r="C1062" s="169" t="s">
        <v>4485</v>
      </c>
      <c r="D1062" s="170">
        <v>120</v>
      </c>
      <c r="E1062" s="170">
        <v>0</v>
      </c>
      <c r="F1062" s="170" t="s">
        <v>1907</v>
      </c>
    </row>
    <row r="1063" spans="1:6">
      <c r="A1063" s="169" t="s">
        <v>4486</v>
      </c>
      <c r="B1063" s="169" t="s">
        <v>4487</v>
      </c>
      <c r="C1063" s="169" t="s">
        <v>4488</v>
      </c>
      <c r="D1063" s="170">
        <v>120</v>
      </c>
      <c r="E1063" s="170">
        <v>0</v>
      </c>
      <c r="F1063" s="170" t="s">
        <v>1907</v>
      </c>
    </row>
    <row r="1064" spans="1:6">
      <c r="A1064" s="169" t="s">
        <v>4489</v>
      </c>
      <c r="B1064" s="169" t="s">
        <v>4490</v>
      </c>
      <c r="C1064" s="169" t="s">
        <v>4491</v>
      </c>
      <c r="D1064" s="170">
        <v>100</v>
      </c>
      <c r="E1064" s="170">
        <v>0</v>
      </c>
      <c r="F1064" s="170" t="s">
        <v>463</v>
      </c>
    </row>
    <row r="1065" spans="1:6">
      <c r="A1065" s="169" t="s">
        <v>4492</v>
      </c>
      <c r="B1065" s="169" t="s">
        <v>4493</v>
      </c>
      <c r="C1065" s="169" t="s">
        <v>4494</v>
      </c>
      <c r="D1065" s="170">
        <v>10000</v>
      </c>
      <c r="E1065" s="170">
        <v>-10000</v>
      </c>
      <c r="F1065" s="170" t="s">
        <v>463</v>
      </c>
    </row>
    <row r="1066" spans="1:6">
      <c r="A1066" s="169" t="s">
        <v>4495</v>
      </c>
      <c r="B1066" s="169" t="s">
        <v>4496</v>
      </c>
      <c r="C1066" s="169" t="s">
        <v>4497</v>
      </c>
      <c r="D1066" s="170">
        <v>10000</v>
      </c>
      <c r="E1066" s="170">
        <v>-10000</v>
      </c>
      <c r="F1066" s="170" t="s">
        <v>463</v>
      </c>
    </row>
    <row r="1067" spans="1:6">
      <c r="A1067" s="169" t="s">
        <v>4498</v>
      </c>
      <c r="B1067" s="169" t="s">
        <v>4499</v>
      </c>
      <c r="C1067" s="169" t="s">
        <v>4500</v>
      </c>
      <c r="D1067" s="170">
        <v>10000</v>
      </c>
      <c r="E1067" s="170">
        <v>-10000</v>
      </c>
      <c r="F1067" s="170" t="s">
        <v>463</v>
      </c>
    </row>
    <row r="1068" spans="1:6">
      <c r="A1068" s="169" t="s">
        <v>4501</v>
      </c>
      <c r="B1068" s="169" t="s">
        <v>4502</v>
      </c>
      <c r="C1068" s="169" t="s">
        <v>4503</v>
      </c>
      <c r="D1068" s="170">
        <v>10000</v>
      </c>
      <c r="E1068" s="170">
        <v>-10000</v>
      </c>
      <c r="F1068" s="170" t="s">
        <v>463</v>
      </c>
    </row>
    <row r="1069" spans="1:6">
      <c r="A1069" s="169" t="s">
        <v>4504</v>
      </c>
      <c r="B1069" s="169" t="s">
        <v>4505</v>
      </c>
      <c r="C1069" s="169" t="s">
        <v>4506</v>
      </c>
      <c r="D1069" s="170">
        <v>10000</v>
      </c>
      <c r="E1069" s="170">
        <v>-10000</v>
      </c>
      <c r="F1069" s="170" t="s">
        <v>463</v>
      </c>
    </row>
    <row r="1070" spans="1:6">
      <c r="A1070" s="169" t="s">
        <v>4507</v>
      </c>
      <c r="B1070" s="169" t="s">
        <v>4508</v>
      </c>
      <c r="C1070" s="169" t="s">
        <v>4509</v>
      </c>
      <c r="D1070" s="170">
        <v>10000</v>
      </c>
      <c r="E1070" s="170">
        <v>-10000</v>
      </c>
      <c r="F1070" s="170" t="s">
        <v>463</v>
      </c>
    </row>
    <row r="1071" spans="1:6">
      <c r="A1071" s="169" t="s">
        <v>4510</v>
      </c>
      <c r="B1071" s="169" t="s">
        <v>4511</v>
      </c>
      <c r="C1071" s="169" t="s">
        <v>4512</v>
      </c>
      <c r="D1071" s="170">
        <v>10000</v>
      </c>
      <c r="E1071" s="170">
        <v>-10000</v>
      </c>
      <c r="F1071" s="170" t="s">
        <v>463</v>
      </c>
    </row>
    <row r="1072" spans="1:6">
      <c r="A1072" s="169" t="s">
        <v>4513</v>
      </c>
      <c r="B1072" s="169" t="s">
        <v>4514</v>
      </c>
      <c r="C1072" s="169" t="s">
        <v>4515</v>
      </c>
      <c r="D1072" s="170">
        <v>10000</v>
      </c>
      <c r="E1072" s="170">
        <v>-10000</v>
      </c>
      <c r="F1072" s="170" t="s">
        <v>463</v>
      </c>
    </row>
    <row r="1073" spans="1:6">
      <c r="A1073" s="169" t="s">
        <v>4516</v>
      </c>
      <c r="B1073" s="169" t="s">
        <v>4517</v>
      </c>
      <c r="C1073" s="169" t="s">
        <v>4518</v>
      </c>
      <c r="D1073" s="170">
        <v>10000</v>
      </c>
      <c r="E1073" s="170">
        <v>-10000</v>
      </c>
      <c r="F1073" s="170" t="s">
        <v>463</v>
      </c>
    </row>
    <row r="1074" spans="1:6">
      <c r="A1074" s="169" t="s">
        <v>4519</v>
      </c>
      <c r="B1074" s="169" t="s">
        <v>4520</v>
      </c>
      <c r="C1074" s="169" t="s">
        <v>4521</v>
      </c>
      <c r="D1074" s="170">
        <v>10000</v>
      </c>
      <c r="E1074" s="170">
        <v>-10000</v>
      </c>
      <c r="F1074" s="170" t="s">
        <v>463</v>
      </c>
    </row>
    <row r="1075" spans="1:6">
      <c r="A1075" s="169" t="s">
        <v>4522</v>
      </c>
      <c r="B1075" s="169" t="s">
        <v>4523</v>
      </c>
      <c r="C1075" s="169" t="s">
        <v>4524</v>
      </c>
      <c r="D1075" s="170">
        <v>10000</v>
      </c>
      <c r="E1075" s="170">
        <v>-10000</v>
      </c>
      <c r="F1075" s="170" t="s">
        <v>463</v>
      </c>
    </row>
    <row r="1076" spans="1:6">
      <c r="A1076" s="169" t="s">
        <v>4525</v>
      </c>
      <c r="B1076" s="169" t="s">
        <v>4526</v>
      </c>
      <c r="C1076" s="169" t="s">
        <v>4527</v>
      </c>
      <c r="D1076" s="170">
        <v>10000</v>
      </c>
      <c r="E1076" s="170">
        <v>-10000</v>
      </c>
      <c r="F1076" s="170" t="s">
        <v>463</v>
      </c>
    </row>
    <row r="1077" spans="1:6">
      <c r="A1077" s="169" t="s">
        <v>4528</v>
      </c>
      <c r="B1077" s="169" t="s">
        <v>4529</v>
      </c>
      <c r="C1077" s="169" t="s">
        <v>4530</v>
      </c>
      <c r="D1077" s="170">
        <v>10000</v>
      </c>
      <c r="E1077" s="170">
        <v>-10000</v>
      </c>
      <c r="F1077" s="170" t="s">
        <v>463</v>
      </c>
    </row>
    <row r="1078" spans="1:6">
      <c r="A1078" s="169" t="s">
        <v>4531</v>
      </c>
      <c r="B1078" s="169" t="s">
        <v>4532</v>
      </c>
      <c r="C1078" s="169" t="s">
        <v>4533</v>
      </c>
      <c r="D1078" s="170">
        <v>10000</v>
      </c>
      <c r="E1078" s="170">
        <v>-10000</v>
      </c>
      <c r="F1078" s="170" t="s">
        <v>463</v>
      </c>
    </row>
    <row r="1079" spans="1:6">
      <c r="A1079" s="169" t="s">
        <v>4534</v>
      </c>
      <c r="B1079" s="169" t="s">
        <v>4535</v>
      </c>
      <c r="C1079" s="169" t="s">
        <v>4536</v>
      </c>
      <c r="D1079" s="170">
        <v>10000</v>
      </c>
      <c r="E1079" s="170">
        <v>-10000</v>
      </c>
      <c r="F1079" s="170" t="s">
        <v>463</v>
      </c>
    </row>
    <row r="1080" spans="1:6">
      <c r="A1080" s="169" t="s">
        <v>4537</v>
      </c>
      <c r="B1080" s="169" t="s">
        <v>4538</v>
      </c>
      <c r="C1080" s="169" t="s">
        <v>4539</v>
      </c>
      <c r="D1080" s="170">
        <v>10000</v>
      </c>
      <c r="E1080" s="170">
        <v>-10000</v>
      </c>
      <c r="F1080" s="170" t="s">
        <v>463</v>
      </c>
    </row>
    <row r="1081" spans="1:6">
      <c r="A1081" s="169" t="s">
        <v>4540</v>
      </c>
      <c r="B1081" s="169" t="s">
        <v>4541</v>
      </c>
      <c r="C1081" s="169" t="s">
        <v>4542</v>
      </c>
      <c r="D1081" s="170">
        <v>10000</v>
      </c>
      <c r="E1081" s="170">
        <v>-10000</v>
      </c>
      <c r="F1081" s="170" t="s">
        <v>463</v>
      </c>
    </row>
    <row r="1082" spans="1:6">
      <c r="A1082" s="169" t="s">
        <v>4543</v>
      </c>
      <c r="B1082" s="169" t="s">
        <v>4544</v>
      </c>
      <c r="C1082" s="169" t="s">
        <v>4545</v>
      </c>
      <c r="D1082" s="170">
        <v>10000</v>
      </c>
      <c r="E1082" s="170">
        <v>-10000</v>
      </c>
      <c r="F1082" s="170" t="s">
        <v>463</v>
      </c>
    </row>
    <row r="1083" spans="1:6">
      <c r="A1083" s="169" t="s">
        <v>4546</v>
      </c>
      <c r="B1083" s="169" t="s">
        <v>4547</v>
      </c>
      <c r="C1083" s="169" t="s">
        <v>4548</v>
      </c>
      <c r="D1083" s="170">
        <v>10000</v>
      </c>
      <c r="E1083" s="170">
        <v>-10000</v>
      </c>
      <c r="F1083" s="170" t="s">
        <v>463</v>
      </c>
    </row>
    <row r="1084" spans="1:6">
      <c r="A1084" s="169" t="s">
        <v>4549</v>
      </c>
      <c r="B1084" s="169" t="s">
        <v>4550</v>
      </c>
      <c r="C1084" s="169" t="s">
        <v>4551</v>
      </c>
      <c r="D1084" s="170">
        <v>10000</v>
      </c>
      <c r="E1084" s="170">
        <v>-10000</v>
      </c>
      <c r="F1084" s="170" t="s">
        <v>463</v>
      </c>
    </row>
    <row r="1085" spans="1:6">
      <c r="A1085" s="169" t="s">
        <v>4552</v>
      </c>
      <c r="B1085" s="169" t="s">
        <v>4553</v>
      </c>
      <c r="C1085" s="169" t="s">
        <v>4554</v>
      </c>
      <c r="D1085" s="170">
        <v>100</v>
      </c>
      <c r="E1085" s="170">
        <v>0</v>
      </c>
      <c r="F1085" s="170" t="s">
        <v>463</v>
      </c>
    </row>
    <row r="1086" spans="1:6">
      <c r="A1086" s="169" t="s">
        <v>4555</v>
      </c>
      <c r="B1086" s="169" t="s">
        <v>4556</v>
      </c>
      <c r="C1086" s="169" t="s">
        <v>4557</v>
      </c>
      <c r="D1086" s="170">
        <v>4.2</v>
      </c>
      <c r="E1086" s="170">
        <v>0</v>
      </c>
      <c r="F1086" s="170" t="s">
        <v>4558</v>
      </c>
    </row>
    <row r="1087" spans="1:6">
      <c r="A1087" s="169" t="s">
        <v>4559</v>
      </c>
      <c r="B1087" s="169" t="s">
        <v>4560</v>
      </c>
      <c r="C1087" s="169" t="s">
        <v>4561</v>
      </c>
      <c r="D1087" s="170">
        <v>4.2</v>
      </c>
      <c r="E1087" s="170">
        <v>0</v>
      </c>
      <c r="F1087" s="170" t="s">
        <v>4558</v>
      </c>
    </row>
    <row r="1088" spans="1:6">
      <c r="A1088" s="169" t="s">
        <v>4562</v>
      </c>
      <c r="B1088" s="169" t="s">
        <v>4563</v>
      </c>
      <c r="C1088" s="169" t="s">
        <v>4564</v>
      </c>
      <c r="D1088" s="170">
        <v>7.2</v>
      </c>
      <c r="E1088" s="170">
        <v>0</v>
      </c>
      <c r="F1088" s="170" t="s">
        <v>4558</v>
      </c>
    </row>
    <row r="1089" spans="1:6">
      <c r="A1089" s="169" t="s">
        <v>4565</v>
      </c>
      <c r="B1089" s="169" t="s">
        <v>4566</v>
      </c>
      <c r="C1089" s="169" t="s">
        <v>4567</v>
      </c>
      <c r="D1089" s="170">
        <v>11</v>
      </c>
      <c r="E1089" s="170">
        <v>0</v>
      </c>
      <c r="F1089" s="170" t="s">
        <v>4558</v>
      </c>
    </row>
    <row r="1090" spans="1:6">
      <c r="A1090" s="169" t="s">
        <v>4568</v>
      </c>
      <c r="B1090" s="169" t="s">
        <v>4569</v>
      </c>
      <c r="C1090" s="169" t="s">
        <v>4557</v>
      </c>
      <c r="D1090" s="170">
        <v>4.2</v>
      </c>
      <c r="E1090" s="170">
        <v>0</v>
      </c>
      <c r="F1090" s="170" t="s">
        <v>4558</v>
      </c>
    </row>
    <row r="1091" spans="1:6">
      <c r="A1091" s="169" t="s">
        <v>4570</v>
      </c>
      <c r="B1091" s="169" t="s">
        <v>4571</v>
      </c>
      <c r="C1091" s="169" t="s">
        <v>4561</v>
      </c>
      <c r="D1091" s="170">
        <v>4.2</v>
      </c>
      <c r="E1091" s="170">
        <v>0</v>
      </c>
      <c r="F1091" s="170" t="s">
        <v>4558</v>
      </c>
    </row>
    <row r="1092" spans="1:6">
      <c r="A1092" s="169" t="s">
        <v>4572</v>
      </c>
      <c r="B1092" s="169" t="s">
        <v>4573</v>
      </c>
      <c r="C1092" s="169" t="s">
        <v>4564</v>
      </c>
      <c r="D1092" s="170">
        <v>7.2</v>
      </c>
      <c r="E1092" s="170">
        <v>0</v>
      </c>
      <c r="F1092" s="170" t="s">
        <v>4558</v>
      </c>
    </row>
    <row r="1093" spans="1:6">
      <c r="A1093" s="169" t="s">
        <v>4574</v>
      </c>
      <c r="B1093" s="169" t="s">
        <v>4575</v>
      </c>
      <c r="C1093" s="169" t="s">
        <v>4567</v>
      </c>
      <c r="D1093" s="170">
        <v>11</v>
      </c>
      <c r="E1093" s="170">
        <v>0</v>
      </c>
      <c r="F1093" s="170" t="s">
        <v>4558</v>
      </c>
    </row>
    <row r="1094" spans="1:6">
      <c r="A1094" s="169" t="s">
        <v>4576</v>
      </c>
      <c r="B1094" s="169" t="s">
        <v>4577</v>
      </c>
      <c r="C1094" s="169" t="s">
        <v>4578</v>
      </c>
      <c r="D1094" s="170">
        <v>2</v>
      </c>
      <c r="E1094" s="170">
        <v>0</v>
      </c>
      <c r="F1094" s="170" t="s">
        <v>1635</v>
      </c>
    </row>
  </sheetData>
  <phoneticPr fontId="14" type="noConversion"/>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dimension ref="A1:I153"/>
  <sheetViews>
    <sheetView showGridLines="0" workbookViewId="0"/>
  </sheetViews>
  <sheetFormatPr defaultRowHeight="13.5"/>
  <cols>
    <col min="1" max="1" width="45.625" customWidth="1"/>
    <col min="2" max="2" width="20.5" customWidth="1"/>
    <col min="3" max="3" width="62.375" customWidth="1"/>
    <col min="4" max="4" width="7.875" bestFit="1" customWidth="1"/>
    <col min="5" max="5" width="9.5" customWidth="1"/>
    <col min="6" max="6" width="14.375" customWidth="1"/>
    <col min="7" max="7" width="11.5" customWidth="1"/>
    <col min="8" max="8" width="10.875" customWidth="1"/>
    <col min="9" max="9" width="13.375" customWidth="1"/>
  </cols>
  <sheetData>
    <row r="1" spans="1:9" ht="40.5">
      <c r="A1" s="174" t="s">
        <v>1526</v>
      </c>
      <c r="B1" s="174" t="s">
        <v>1527</v>
      </c>
      <c r="C1" s="174" t="s">
        <v>1528</v>
      </c>
      <c r="D1" s="174" t="s">
        <v>5059</v>
      </c>
      <c r="E1" s="174" t="s">
        <v>5060</v>
      </c>
      <c r="F1" s="174" t="s">
        <v>5061</v>
      </c>
      <c r="G1" s="174" t="s">
        <v>5062</v>
      </c>
      <c r="H1" s="174" t="s">
        <v>5063</v>
      </c>
      <c r="I1" s="174" t="s">
        <v>5064</v>
      </c>
    </row>
    <row r="2" spans="1:9">
      <c r="A2" s="175" t="s">
        <v>5065</v>
      </c>
      <c r="B2" s="175" t="s">
        <v>904</v>
      </c>
      <c r="C2" s="175" t="s">
        <v>1586</v>
      </c>
      <c r="D2" s="175">
        <v>100</v>
      </c>
      <c r="E2" s="175">
        <v>0</v>
      </c>
      <c r="F2" s="175" t="s">
        <v>463</v>
      </c>
      <c r="G2" s="175">
        <v>100</v>
      </c>
      <c r="H2" s="175">
        <v>0</v>
      </c>
      <c r="I2" s="175" t="s">
        <v>463</v>
      </c>
    </row>
    <row r="3" spans="1:9">
      <c r="A3" s="175" t="s">
        <v>5066</v>
      </c>
      <c r="B3" s="175" t="s">
        <v>5067</v>
      </c>
      <c r="C3" s="175" t="s">
        <v>1576</v>
      </c>
      <c r="D3" s="175">
        <v>100</v>
      </c>
      <c r="E3" s="175">
        <v>0</v>
      </c>
      <c r="F3" s="175" t="s">
        <v>463</v>
      </c>
      <c r="G3" s="175">
        <v>100</v>
      </c>
      <c r="H3" s="175">
        <v>0</v>
      </c>
      <c r="I3" s="175" t="s">
        <v>463</v>
      </c>
    </row>
    <row r="4" spans="1:9">
      <c r="A4" s="175" t="s">
        <v>5068</v>
      </c>
      <c r="B4" s="175" t="s">
        <v>5069</v>
      </c>
      <c r="C4" s="175" t="s">
        <v>1580</v>
      </c>
      <c r="D4" s="175">
        <v>100</v>
      </c>
      <c r="E4" s="175">
        <v>0</v>
      </c>
      <c r="F4" s="175" t="s">
        <v>463</v>
      </c>
      <c r="G4" s="175">
        <v>100</v>
      </c>
      <c r="H4" s="175">
        <v>0</v>
      </c>
      <c r="I4" s="175" t="s">
        <v>463</v>
      </c>
    </row>
    <row r="5" spans="1:9">
      <c r="A5" s="175" t="s">
        <v>5070</v>
      </c>
      <c r="B5" s="175" t="s">
        <v>5071</v>
      </c>
      <c r="C5" s="175" t="s">
        <v>1583</v>
      </c>
      <c r="D5" s="175">
        <v>100</v>
      </c>
      <c r="E5" s="175">
        <v>0</v>
      </c>
      <c r="F5" s="175" t="s">
        <v>463</v>
      </c>
      <c r="G5" s="175">
        <v>100</v>
      </c>
      <c r="H5" s="175">
        <v>0</v>
      </c>
      <c r="I5" s="175" t="s">
        <v>463</v>
      </c>
    </row>
    <row r="6" spans="1:9">
      <c r="A6" s="175" t="s">
        <v>5072</v>
      </c>
      <c r="B6" s="175" t="s">
        <v>936</v>
      </c>
      <c r="C6" s="175" t="s">
        <v>1589</v>
      </c>
      <c r="D6" s="175">
        <v>100</v>
      </c>
      <c r="E6" s="175">
        <v>0</v>
      </c>
      <c r="F6" s="175" t="s">
        <v>463</v>
      </c>
      <c r="G6" s="175">
        <v>100</v>
      </c>
      <c r="H6" s="175">
        <v>0</v>
      </c>
      <c r="I6" s="175" t="s">
        <v>463</v>
      </c>
    </row>
    <row r="7" spans="1:9">
      <c r="A7" s="175" t="s">
        <v>5073</v>
      </c>
      <c r="B7" s="175" t="s">
        <v>939</v>
      </c>
      <c r="C7" s="175" t="s">
        <v>1625</v>
      </c>
      <c r="D7" s="175">
        <v>100</v>
      </c>
      <c r="E7" s="175">
        <v>0</v>
      </c>
      <c r="F7" s="175" t="s">
        <v>463</v>
      </c>
      <c r="G7" s="175">
        <v>100</v>
      </c>
      <c r="H7" s="175">
        <v>0</v>
      </c>
      <c r="I7" s="175" t="s">
        <v>463</v>
      </c>
    </row>
    <row r="8" spans="1:9">
      <c r="A8" s="175" t="s">
        <v>5074</v>
      </c>
      <c r="B8" s="175" t="s">
        <v>941</v>
      </c>
      <c r="C8" s="175" t="s">
        <v>5075</v>
      </c>
      <c r="D8" s="175">
        <v>100</v>
      </c>
      <c r="E8" s="175">
        <v>0</v>
      </c>
      <c r="F8" s="175" t="s">
        <v>463</v>
      </c>
      <c r="G8" s="175">
        <v>100</v>
      </c>
      <c r="H8" s="175">
        <v>0</v>
      </c>
      <c r="I8" s="175" t="s">
        <v>463</v>
      </c>
    </row>
    <row r="9" spans="1:9">
      <c r="A9" s="175" t="s">
        <v>5076</v>
      </c>
      <c r="B9" s="175" t="s">
        <v>5077</v>
      </c>
      <c r="C9" s="175" t="s">
        <v>5078</v>
      </c>
      <c r="D9" s="175">
        <v>10</v>
      </c>
      <c r="E9" s="175">
        <v>-20</v>
      </c>
      <c r="F9" s="175" t="s">
        <v>1535</v>
      </c>
      <c r="G9" s="175">
        <v>400</v>
      </c>
      <c r="H9" s="175">
        <v>50</v>
      </c>
      <c r="I9" s="175" t="s">
        <v>1549</v>
      </c>
    </row>
    <row r="10" spans="1:9">
      <c r="A10" s="175" t="s">
        <v>5079</v>
      </c>
      <c r="B10" s="175" t="s">
        <v>5080</v>
      </c>
      <c r="C10" s="175" t="s">
        <v>5081</v>
      </c>
      <c r="D10" s="175">
        <v>10</v>
      </c>
      <c r="E10" s="175">
        <v>0</v>
      </c>
      <c r="F10" s="175" t="s">
        <v>463</v>
      </c>
      <c r="G10" s="175">
        <v>30</v>
      </c>
      <c r="H10" s="175">
        <v>6</v>
      </c>
      <c r="I10" s="175" t="s">
        <v>3106</v>
      </c>
    </row>
    <row r="11" spans="1:9">
      <c r="A11" s="175" t="s">
        <v>5082</v>
      </c>
      <c r="B11" s="175" t="s">
        <v>5083</v>
      </c>
      <c r="C11" s="175" t="s">
        <v>1952</v>
      </c>
      <c r="D11" s="175">
        <v>36.51</v>
      </c>
      <c r="E11" s="175">
        <v>0</v>
      </c>
      <c r="F11" s="175" t="s">
        <v>1549</v>
      </c>
      <c r="G11" s="175">
        <v>100</v>
      </c>
      <c r="H11" s="175">
        <v>0</v>
      </c>
      <c r="I11" s="175" t="s">
        <v>463</v>
      </c>
    </row>
    <row r="12" spans="1:9">
      <c r="A12" s="175" t="s">
        <v>5084</v>
      </c>
      <c r="B12" s="175" t="s">
        <v>5085</v>
      </c>
      <c r="C12" s="175" t="s">
        <v>1955</v>
      </c>
      <c r="D12" s="175">
        <v>300</v>
      </c>
      <c r="E12" s="175">
        <v>0</v>
      </c>
      <c r="F12" s="175" t="s">
        <v>1556</v>
      </c>
      <c r="G12" s="175">
        <v>100</v>
      </c>
      <c r="H12" s="175">
        <v>0</v>
      </c>
      <c r="I12" s="175" t="s">
        <v>463</v>
      </c>
    </row>
    <row r="13" spans="1:9">
      <c r="A13" s="175" t="s">
        <v>5086</v>
      </c>
      <c r="B13" s="175" t="s">
        <v>5087</v>
      </c>
      <c r="C13" s="175" t="s">
        <v>5088</v>
      </c>
      <c r="D13" s="175">
        <v>400</v>
      </c>
      <c r="E13" s="175">
        <v>0</v>
      </c>
      <c r="F13" s="175" t="s">
        <v>1549</v>
      </c>
      <c r="G13" s="175">
        <v>100</v>
      </c>
      <c r="H13" s="175">
        <v>0</v>
      </c>
      <c r="I13" s="175" t="s">
        <v>463</v>
      </c>
    </row>
    <row r="14" spans="1:9">
      <c r="A14" s="175" t="s">
        <v>5089</v>
      </c>
      <c r="B14" s="175" t="s">
        <v>5090</v>
      </c>
      <c r="C14" s="175" t="s">
        <v>5091</v>
      </c>
      <c r="D14" s="175">
        <v>100</v>
      </c>
      <c r="E14" s="175">
        <v>-20</v>
      </c>
      <c r="F14" s="175" t="s">
        <v>5092</v>
      </c>
      <c r="G14" s="175">
        <v>100</v>
      </c>
      <c r="H14" s="175">
        <v>0</v>
      </c>
      <c r="I14" s="175" t="s">
        <v>463</v>
      </c>
    </row>
    <row r="15" spans="1:9">
      <c r="A15" s="175" t="s">
        <v>5093</v>
      </c>
      <c r="B15" s="175" t="s">
        <v>5094</v>
      </c>
      <c r="C15" s="175" t="s">
        <v>1978</v>
      </c>
      <c r="D15" s="175">
        <v>100</v>
      </c>
      <c r="E15" s="175">
        <v>0</v>
      </c>
      <c r="F15" s="175" t="s">
        <v>463</v>
      </c>
      <c r="G15" s="175">
        <v>100</v>
      </c>
      <c r="H15" s="175">
        <v>0</v>
      </c>
      <c r="I15" s="175" t="s">
        <v>463</v>
      </c>
    </row>
    <row r="16" spans="1:9">
      <c r="A16" s="175" t="s">
        <v>5095</v>
      </c>
      <c r="B16" s="175" t="s">
        <v>928</v>
      </c>
      <c r="C16" s="175" t="s">
        <v>5096</v>
      </c>
      <c r="D16" s="175">
        <v>100</v>
      </c>
      <c r="E16" s="175">
        <v>0</v>
      </c>
      <c r="F16" s="175" t="s">
        <v>463</v>
      </c>
      <c r="G16" s="175">
        <v>100</v>
      </c>
      <c r="H16" s="175">
        <v>0</v>
      </c>
      <c r="I16" s="175" t="s">
        <v>463</v>
      </c>
    </row>
    <row r="17" spans="1:9">
      <c r="A17" s="175" t="s">
        <v>5097</v>
      </c>
      <c r="B17" s="175" t="s">
        <v>5098</v>
      </c>
      <c r="C17" s="175" t="s">
        <v>5099</v>
      </c>
      <c r="D17" s="175">
        <v>100</v>
      </c>
      <c r="E17" s="175">
        <v>0</v>
      </c>
      <c r="F17" s="175" t="s">
        <v>463</v>
      </c>
      <c r="G17" s="175">
        <v>100</v>
      </c>
      <c r="H17" s="175">
        <v>0</v>
      </c>
      <c r="I17" s="175" t="s">
        <v>463</v>
      </c>
    </row>
    <row r="18" spans="1:9">
      <c r="A18" s="175" t="s">
        <v>5100</v>
      </c>
      <c r="B18" s="175" t="s">
        <v>933</v>
      </c>
      <c r="C18" s="175" t="s">
        <v>1975</v>
      </c>
      <c r="D18" s="175">
        <v>100</v>
      </c>
      <c r="E18" s="175">
        <v>0</v>
      </c>
      <c r="F18" s="175" t="s">
        <v>463</v>
      </c>
      <c r="G18" s="175">
        <v>100</v>
      </c>
      <c r="H18" s="175">
        <v>0</v>
      </c>
      <c r="I18" s="175" t="s">
        <v>463</v>
      </c>
    </row>
    <row r="19" spans="1:9">
      <c r="A19" s="175" t="s">
        <v>5101</v>
      </c>
      <c r="B19" s="175" t="s">
        <v>5102</v>
      </c>
      <c r="C19" s="175" t="s">
        <v>1680</v>
      </c>
      <c r="D19" s="175">
        <v>40</v>
      </c>
      <c r="E19" s="175">
        <v>0</v>
      </c>
      <c r="F19" s="175" t="s">
        <v>2000</v>
      </c>
      <c r="G19" s="175">
        <v>100</v>
      </c>
      <c r="H19" s="175">
        <v>0</v>
      </c>
      <c r="I19" s="175" t="s">
        <v>463</v>
      </c>
    </row>
    <row r="20" spans="1:9">
      <c r="A20" s="175" t="s">
        <v>5103</v>
      </c>
      <c r="B20" s="175" t="s">
        <v>5104</v>
      </c>
      <c r="C20" s="175" t="s">
        <v>1948</v>
      </c>
      <c r="D20" s="175">
        <v>2</v>
      </c>
      <c r="E20" s="175">
        <v>0</v>
      </c>
      <c r="F20" s="175" t="s">
        <v>1635</v>
      </c>
      <c r="G20" s="175">
        <v>100</v>
      </c>
      <c r="H20" s="175">
        <v>0</v>
      </c>
      <c r="I20" s="175" t="s">
        <v>463</v>
      </c>
    </row>
    <row r="21" spans="1:9">
      <c r="A21" s="175" t="s">
        <v>5105</v>
      </c>
      <c r="B21" s="175" t="s">
        <v>5106</v>
      </c>
      <c r="C21" s="175" t="s">
        <v>2003</v>
      </c>
      <c r="D21" s="175">
        <v>70</v>
      </c>
      <c r="E21" s="175">
        <v>-70</v>
      </c>
      <c r="F21" s="175" t="s">
        <v>1639</v>
      </c>
      <c r="G21" s="175">
        <v>100</v>
      </c>
      <c r="H21" s="175">
        <v>0</v>
      </c>
      <c r="I21" s="175" t="s">
        <v>463</v>
      </c>
    </row>
    <row r="22" spans="1:9">
      <c r="A22" s="175" t="s">
        <v>5107</v>
      </c>
      <c r="B22" s="175" t="s">
        <v>5108</v>
      </c>
      <c r="C22" s="175" t="s">
        <v>2014</v>
      </c>
      <c r="D22" s="175">
        <v>250</v>
      </c>
      <c r="E22" s="175">
        <v>0</v>
      </c>
      <c r="F22" s="175" t="s">
        <v>1535</v>
      </c>
      <c r="G22" s="175">
        <v>100</v>
      </c>
      <c r="H22" s="175">
        <v>0</v>
      </c>
      <c r="I22" s="175" t="s">
        <v>463</v>
      </c>
    </row>
    <row r="23" spans="1:9">
      <c r="A23" s="175" t="s">
        <v>5109</v>
      </c>
      <c r="B23" s="175" t="s">
        <v>5110</v>
      </c>
      <c r="C23" s="175" t="s">
        <v>2017</v>
      </c>
      <c r="D23" s="175">
        <v>500</v>
      </c>
      <c r="E23" s="175">
        <v>0</v>
      </c>
      <c r="F23" s="175" t="s">
        <v>1535</v>
      </c>
      <c r="G23" s="175">
        <v>20</v>
      </c>
      <c r="H23" s="175">
        <v>0</v>
      </c>
      <c r="I23" s="175" t="s">
        <v>1549</v>
      </c>
    </row>
    <row r="24" spans="1:9">
      <c r="A24" s="175" t="s">
        <v>5111</v>
      </c>
      <c r="B24" s="175" t="s">
        <v>5112</v>
      </c>
      <c r="C24" s="175" t="s">
        <v>5113</v>
      </c>
      <c r="D24" s="175">
        <v>500</v>
      </c>
      <c r="E24" s="175">
        <v>0</v>
      </c>
      <c r="F24" s="175" t="s">
        <v>1535</v>
      </c>
      <c r="G24" s="175">
        <v>20</v>
      </c>
      <c r="H24" s="175">
        <v>0</v>
      </c>
      <c r="I24" s="175" t="s">
        <v>1549</v>
      </c>
    </row>
    <row r="25" spans="1:9">
      <c r="A25" s="175" t="s">
        <v>5114</v>
      </c>
      <c r="B25" s="175" t="s">
        <v>5115</v>
      </c>
      <c r="C25" s="175" t="s">
        <v>5116</v>
      </c>
      <c r="D25" s="175">
        <v>20</v>
      </c>
      <c r="E25" s="175">
        <v>0</v>
      </c>
      <c r="F25" s="175" t="s">
        <v>1549</v>
      </c>
      <c r="G25" s="175">
        <v>2</v>
      </c>
      <c r="H25" s="175">
        <v>0</v>
      </c>
      <c r="I25" s="175" t="s">
        <v>1635</v>
      </c>
    </row>
    <row r="26" spans="1:9">
      <c r="A26" s="175" t="s">
        <v>5117</v>
      </c>
      <c r="B26" s="175" t="s">
        <v>5118</v>
      </c>
      <c r="C26" s="175" t="s">
        <v>2046</v>
      </c>
      <c r="D26" s="175">
        <v>500</v>
      </c>
      <c r="E26" s="175">
        <v>0</v>
      </c>
      <c r="F26" s="175" t="s">
        <v>1549</v>
      </c>
      <c r="G26" s="175">
        <v>100</v>
      </c>
      <c r="H26" s="175">
        <v>0</v>
      </c>
      <c r="I26" s="175" t="s">
        <v>463</v>
      </c>
    </row>
    <row r="27" spans="1:9">
      <c r="A27" s="175" t="s">
        <v>5119</v>
      </c>
      <c r="B27" s="175" t="s">
        <v>5120</v>
      </c>
      <c r="C27" s="175" t="s">
        <v>2051</v>
      </c>
      <c r="D27" s="175">
        <v>50</v>
      </c>
      <c r="E27" s="175">
        <v>0</v>
      </c>
      <c r="F27" s="175" t="s">
        <v>1549</v>
      </c>
      <c r="G27" s="175">
        <v>100</v>
      </c>
      <c r="H27" s="175">
        <v>0</v>
      </c>
      <c r="I27" s="175" t="s">
        <v>463</v>
      </c>
    </row>
    <row r="28" spans="1:9">
      <c r="A28" s="175" t="s">
        <v>5121</v>
      </c>
      <c r="B28" s="175" t="s">
        <v>5122</v>
      </c>
      <c r="C28" s="175" t="s">
        <v>2060</v>
      </c>
      <c r="D28" s="175">
        <v>50</v>
      </c>
      <c r="E28" s="175">
        <v>0</v>
      </c>
      <c r="F28" s="175" t="s">
        <v>1549</v>
      </c>
      <c r="G28" s="175">
        <v>100</v>
      </c>
      <c r="H28" s="175">
        <v>0</v>
      </c>
      <c r="I28" s="175" t="s">
        <v>463</v>
      </c>
    </row>
    <row r="29" spans="1:9">
      <c r="A29" s="175" t="s">
        <v>5123</v>
      </c>
      <c r="B29" s="175" t="s">
        <v>5124</v>
      </c>
      <c r="C29" s="175" t="s">
        <v>2071</v>
      </c>
      <c r="D29" s="175">
        <v>31.6</v>
      </c>
      <c r="E29" s="175">
        <v>0</v>
      </c>
      <c r="F29" s="175" t="s">
        <v>1549</v>
      </c>
      <c r="G29" s="175">
        <v>100</v>
      </c>
      <c r="H29" s="175">
        <v>0</v>
      </c>
      <c r="I29" s="175" t="s">
        <v>463</v>
      </c>
    </row>
    <row r="30" spans="1:9">
      <c r="A30" s="175" t="s">
        <v>5125</v>
      </c>
      <c r="B30" s="175" t="s">
        <v>733</v>
      </c>
      <c r="C30" s="175" t="s">
        <v>1720</v>
      </c>
      <c r="D30" s="175">
        <v>720</v>
      </c>
      <c r="E30" s="175">
        <v>0</v>
      </c>
      <c r="F30" s="175" t="s">
        <v>1549</v>
      </c>
      <c r="G30" s="175">
        <v>100</v>
      </c>
      <c r="H30" s="175">
        <v>0</v>
      </c>
      <c r="I30" s="175" t="s">
        <v>463</v>
      </c>
    </row>
    <row r="31" spans="1:9">
      <c r="A31" s="175" t="s">
        <v>5126</v>
      </c>
      <c r="B31" s="175" t="s">
        <v>5127</v>
      </c>
      <c r="C31" s="175" t="s">
        <v>1552</v>
      </c>
      <c r="D31" s="175">
        <v>1294</v>
      </c>
      <c r="E31" s="175">
        <v>0</v>
      </c>
      <c r="F31" s="175" t="s">
        <v>1549</v>
      </c>
      <c r="G31" s="175">
        <v>100</v>
      </c>
      <c r="H31" s="175">
        <v>0</v>
      </c>
      <c r="I31" s="175" t="s">
        <v>463</v>
      </c>
    </row>
    <row r="32" spans="1:9">
      <c r="A32" s="175" t="s">
        <v>5128</v>
      </c>
      <c r="B32" s="175" t="s">
        <v>5129</v>
      </c>
      <c r="C32" s="175" t="s">
        <v>2065</v>
      </c>
      <c r="D32" s="175">
        <v>1179</v>
      </c>
      <c r="E32" s="175">
        <v>0</v>
      </c>
      <c r="F32" s="175" t="s">
        <v>1549</v>
      </c>
      <c r="G32" s="175">
        <v>100</v>
      </c>
      <c r="H32" s="175">
        <v>0</v>
      </c>
      <c r="I32" s="175" t="s">
        <v>463</v>
      </c>
    </row>
    <row r="33" spans="1:9">
      <c r="A33" s="175" t="s">
        <v>5130</v>
      </c>
      <c r="B33" s="175" t="s">
        <v>5131</v>
      </c>
      <c r="C33" s="175" t="s">
        <v>2068</v>
      </c>
      <c r="D33" s="175">
        <v>794</v>
      </c>
      <c r="E33" s="175">
        <v>0</v>
      </c>
      <c r="F33" s="175" t="s">
        <v>1549</v>
      </c>
      <c r="G33" s="175">
        <v>100</v>
      </c>
      <c r="H33" s="175">
        <v>0</v>
      </c>
      <c r="I33" s="175" t="s">
        <v>463</v>
      </c>
    </row>
    <row r="34" spans="1:9">
      <c r="A34" s="175" t="s">
        <v>5132</v>
      </c>
      <c r="B34" s="175" t="s">
        <v>5133</v>
      </c>
      <c r="C34" s="175" t="s">
        <v>5134</v>
      </c>
      <c r="D34" s="175">
        <v>200</v>
      </c>
      <c r="E34" s="175">
        <v>0</v>
      </c>
      <c r="F34" s="175" t="s">
        <v>1549</v>
      </c>
      <c r="G34" s="175">
        <v>100</v>
      </c>
      <c r="H34" s="175">
        <v>0</v>
      </c>
      <c r="I34" s="175" t="s">
        <v>463</v>
      </c>
    </row>
    <row r="35" spans="1:9">
      <c r="A35" s="175" t="s">
        <v>5135</v>
      </c>
      <c r="B35" s="175" t="s">
        <v>741</v>
      </c>
      <c r="C35" s="175" t="s">
        <v>2077</v>
      </c>
      <c r="D35" s="175">
        <v>16.899999999999999</v>
      </c>
      <c r="E35" s="175">
        <v>0</v>
      </c>
      <c r="F35" s="175" t="s">
        <v>1556</v>
      </c>
      <c r="G35" s="175">
        <v>100</v>
      </c>
      <c r="H35" s="175">
        <v>0</v>
      </c>
      <c r="I35" s="175" t="s">
        <v>463</v>
      </c>
    </row>
    <row r="36" spans="1:9">
      <c r="A36" s="175" t="s">
        <v>5136</v>
      </c>
      <c r="B36" s="175" t="s">
        <v>5137</v>
      </c>
      <c r="C36" s="175" t="s">
        <v>2080</v>
      </c>
      <c r="D36" s="175">
        <v>300</v>
      </c>
      <c r="E36" s="175">
        <v>0</v>
      </c>
      <c r="F36" s="175" t="s">
        <v>1549</v>
      </c>
      <c r="G36" s="175">
        <v>100</v>
      </c>
      <c r="H36" s="175">
        <v>0</v>
      </c>
      <c r="I36" s="175" t="s">
        <v>463</v>
      </c>
    </row>
    <row r="37" spans="1:9">
      <c r="A37" s="175" t="s">
        <v>5138</v>
      </c>
      <c r="B37" s="175" t="s">
        <v>5139</v>
      </c>
      <c r="C37" s="175" t="s">
        <v>2083</v>
      </c>
      <c r="D37" s="175">
        <v>1.5</v>
      </c>
      <c r="E37" s="175">
        <v>0</v>
      </c>
      <c r="F37" s="175" t="s">
        <v>1556</v>
      </c>
      <c r="G37" s="175">
        <v>100</v>
      </c>
      <c r="H37" s="175">
        <v>0</v>
      </c>
      <c r="I37" s="175" t="s">
        <v>463</v>
      </c>
    </row>
    <row r="38" spans="1:9">
      <c r="A38" s="175" t="s">
        <v>5140</v>
      </c>
      <c r="B38" s="175" t="s">
        <v>5141</v>
      </c>
      <c r="C38" s="175" t="s">
        <v>2471</v>
      </c>
      <c r="D38" s="175">
        <v>100</v>
      </c>
      <c r="E38" s="175">
        <v>0</v>
      </c>
      <c r="F38" s="175" t="s">
        <v>463</v>
      </c>
      <c r="G38" s="175">
        <v>720</v>
      </c>
      <c r="H38" s="175">
        <v>0</v>
      </c>
      <c r="I38" s="175" t="s">
        <v>1549</v>
      </c>
    </row>
    <row r="39" spans="1:9">
      <c r="A39" s="175" t="s">
        <v>5142</v>
      </c>
      <c r="B39" s="175" t="s">
        <v>5143</v>
      </c>
      <c r="C39" s="175" t="s">
        <v>2097</v>
      </c>
      <c r="D39" s="175">
        <v>16</v>
      </c>
      <c r="E39" s="175">
        <v>0</v>
      </c>
      <c r="F39" s="175" t="s">
        <v>2000</v>
      </c>
      <c r="G39" s="175">
        <v>100</v>
      </c>
      <c r="H39" s="175">
        <v>0</v>
      </c>
      <c r="I39" s="175" t="s">
        <v>463</v>
      </c>
    </row>
    <row r="40" spans="1:9">
      <c r="A40" s="175" t="s">
        <v>5144</v>
      </c>
      <c r="B40" s="175" t="s">
        <v>5145</v>
      </c>
      <c r="C40" s="175" t="s">
        <v>1720</v>
      </c>
      <c r="D40" s="175">
        <v>100</v>
      </c>
      <c r="E40" s="175">
        <v>0</v>
      </c>
      <c r="F40" s="175" t="s">
        <v>1535</v>
      </c>
      <c r="G40" s="175">
        <v>100</v>
      </c>
      <c r="H40" s="175">
        <v>0</v>
      </c>
      <c r="I40" s="175" t="s">
        <v>463</v>
      </c>
    </row>
    <row r="41" spans="1:9">
      <c r="A41" s="175" t="s">
        <v>5146</v>
      </c>
      <c r="B41" s="175" t="s">
        <v>5147</v>
      </c>
      <c r="C41" s="175" t="s">
        <v>2108</v>
      </c>
      <c r="D41" s="175">
        <v>100</v>
      </c>
      <c r="E41" s="175">
        <v>0</v>
      </c>
      <c r="F41" s="175" t="s">
        <v>1535</v>
      </c>
      <c r="G41" s="175">
        <v>100</v>
      </c>
      <c r="H41" s="175">
        <v>0</v>
      </c>
      <c r="I41" s="175" t="s">
        <v>463</v>
      </c>
    </row>
    <row r="42" spans="1:9">
      <c r="A42" s="175" t="s">
        <v>5148</v>
      </c>
      <c r="B42" s="175" t="s">
        <v>5149</v>
      </c>
      <c r="C42" s="175" t="s">
        <v>2111</v>
      </c>
      <c r="D42" s="175">
        <v>200</v>
      </c>
      <c r="E42" s="175">
        <v>0</v>
      </c>
      <c r="F42" s="175" t="s">
        <v>1535</v>
      </c>
      <c r="G42" s="175">
        <v>100</v>
      </c>
      <c r="H42" s="175">
        <v>0</v>
      </c>
      <c r="I42" s="175" t="s">
        <v>463</v>
      </c>
    </row>
    <row r="43" spans="1:9">
      <c r="A43" s="175" t="s">
        <v>5150</v>
      </c>
      <c r="B43" s="175" t="s">
        <v>5151</v>
      </c>
      <c r="C43" s="175" t="s">
        <v>2114</v>
      </c>
      <c r="D43" s="175">
        <v>500</v>
      </c>
      <c r="E43" s="175">
        <v>0</v>
      </c>
      <c r="F43" s="175" t="s">
        <v>1535</v>
      </c>
      <c r="G43" s="175">
        <v>100</v>
      </c>
      <c r="H43" s="175">
        <v>0</v>
      </c>
      <c r="I43" s="175" t="s">
        <v>463</v>
      </c>
    </row>
    <row r="44" spans="1:9">
      <c r="A44" s="175" t="s">
        <v>5152</v>
      </c>
      <c r="B44" s="175" t="s">
        <v>5153</v>
      </c>
      <c r="C44" s="175" t="s">
        <v>2117</v>
      </c>
      <c r="D44" s="175">
        <v>350</v>
      </c>
      <c r="E44" s="175">
        <v>0</v>
      </c>
      <c r="F44" s="175" t="s">
        <v>1535</v>
      </c>
      <c r="G44" s="175">
        <v>100</v>
      </c>
      <c r="H44" s="175">
        <v>0</v>
      </c>
      <c r="I44" s="175" t="s">
        <v>463</v>
      </c>
    </row>
    <row r="45" spans="1:9">
      <c r="A45" s="175" t="s">
        <v>5154</v>
      </c>
      <c r="B45" s="175" t="s">
        <v>5155</v>
      </c>
      <c r="C45" s="175" t="s">
        <v>1634</v>
      </c>
      <c r="D45" s="175">
        <v>300</v>
      </c>
      <c r="E45" s="175">
        <v>0</v>
      </c>
      <c r="F45" s="175" t="s">
        <v>1535</v>
      </c>
      <c r="G45" s="175">
        <v>1294</v>
      </c>
      <c r="H45" s="175">
        <v>0</v>
      </c>
      <c r="I45" s="175" t="s">
        <v>1549</v>
      </c>
    </row>
    <row r="46" spans="1:9">
      <c r="A46" s="175" t="s">
        <v>5156</v>
      </c>
      <c r="B46" s="175" t="s">
        <v>5157</v>
      </c>
      <c r="C46" s="175" t="s">
        <v>2128</v>
      </c>
      <c r="D46" s="175">
        <v>400</v>
      </c>
      <c r="E46" s="175">
        <v>0</v>
      </c>
      <c r="F46" s="175" t="s">
        <v>1535</v>
      </c>
      <c r="G46" s="175">
        <v>300</v>
      </c>
      <c r="H46" s="175">
        <v>0</v>
      </c>
      <c r="I46" s="175" t="s">
        <v>1549</v>
      </c>
    </row>
    <row r="47" spans="1:9">
      <c r="A47" s="175" t="s">
        <v>5158</v>
      </c>
      <c r="B47" s="175" t="s">
        <v>5159</v>
      </c>
      <c r="C47" s="175" t="s">
        <v>2160</v>
      </c>
      <c r="D47" s="175">
        <v>313</v>
      </c>
      <c r="E47" s="175">
        <v>0</v>
      </c>
      <c r="F47" s="175" t="s">
        <v>1549</v>
      </c>
      <c r="G47" s="175">
        <v>100</v>
      </c>
      <c r="H47" s="175">
        <v>0</v>
      </c>
      <c r="I47" s="175" t="s">
        <v>463</v>
      </c>
    </row>
    <row r="48" spans="1:9">
      <c r="A48" s="175" t="s">
        <v>5160</v>
      </c>
      <c r="B48" s="175" t="s">
        <v>5161</v>
      </c>
      <c r="C48" s="175" t="s">
        <v>2166</v>
      </c>
      <c r="D48" s="175">
        <v>313</v>
      </c>
      <c r="E48" s="175">
        <v>0</v>
      </c>
      <c r="F48" s="175" t="s">
        <v>1549</v>
      </c>
      <c r="G48" s="175">
        <v>100</v>
      </c>
      <c r="H48" s="175">
        <v>0</v>
      </c>
      <c r="I48" s="175" t="s">
        <v>463</v>
      </c>
    </row>
    <row r="49" spans="1:9">
      <c r="A49" s="175" t="s">
        <v>5162</v>
      </c>
      <c r="B49" s="175" t="s">
        <v>5163</v>
      </c>
      <c r="C49" s="175" t="s">
        <v>2172</v>
      </c>
      <c r="D49" s="175">
        <v>313</v>
      </c>
      <c r="E49" s="175">
        <v>0</v>
      </c>
      <c r="F49" s="175" t="s">
        <v>1549</v>
      </c>
      <c r="G49" s="175">
        <v>100</v>
      </c>
      <c r="H49" s="175">
        <v>0</v>
      </c>
      <c r="I49" s="175" t="s">
        <v>463</v>
      </c>
    </row>
    <row r="50" spans="1:9">
      <c r="A50" s="175" t="s">
        <v>5164</v>
      </c>
      <c r="B50" s="175" t="s">
        <v>5165</v>
      </c>
      <c r="C50" s="175" t="s">
        <v>2178</v>
      </c>
      <c r="D50" s="175">
        <v>313</v>
      </c>
      <c r="E50" s="175">
        <v>0</v>
      </c>
      <c r="F50" s="175" t="s">
        <v>1549</v>
      </c>
      <c r="G50" s="175">
        <v>100</v>
      </c>
      <c r="H50" s="175">
        <v>0</v>
      </c>
      <c r="I50" s="175" t="s">
        <v>463</v>
      </c>
    </row>
    <row r="51" spans="1:9">
      <c r="A51" s="175" t="s">
        <v>5166</v>
      </c>
      <c r="B51" s="175" t="s">
        <v>5167</v>
      </c>
      <c r="C51" s="175" t="s">
        <v>2184</v>
      </c>
      <c r="D51" s="175">
        <v>313</v>
      </c>
      <c r="E51" s="175">
        <v>0</v>
      </c>
      <c r="F51" s="175" t="s">
        <v>1549</v>
      </c>
      <c r="G51" s="175">
        <v>100</v>
      </c>
      <c r="H51" s="175">
        <v>0</v>
      </c>
      <c r="I51" s="175" t="s">
        <v>463</v>
      </c>
    </row>
    <row r="52" spans="1:9">
      <c r="A52" s="175" t="s">
        <v>5168</v>
      </c>
      <c r="B52" s="175" t="s">
        <v>5169</v>
      </c>
      <c r="C52" s="175" t="s">
        <v>2190</v>
      </c>
      <c r="D52" s="175">
        <v>313</v>
      </c>
      <c r="E52" s="175">
        <v>0</v>
      </c>
      <c r="F52" s="175" t="s">
        <v>1549</v>
      </c>
      <c r="G52" s="175">
        <v>100</v>
      </c>
      <c r="H52" s="175">
        <v>0</v>
      </c>
      <c r="I52" s="175" t="s">
        <v>463</v>
      </c>
    </row>
    <row r="53" spans="1:9">
      <c r="A53" s="175" t="s">
        <v>5170</v>
      </c>
      <c r="B53" s="175" t="s">
        <v>5171</v>
      </c>
      <c r="C53" s="175" t="s">
        <v>2196</v>
      </c>
      <c r="D53" s="175">
        <v>313</v>
      </c>
      <c r="E53" s="175">
        <v>0</v>
      </c>
      <c r="F53" s="175" t="s">
        <v>1549</v>
      </c>
      <c r="G53" s="175">
        <v>100</v>
      </c>
      <c r="H53" s="175">
        <v>0</v>
      </c>
      <c r="I53" s="175" t="s">
        <v>463</v>
      </c>
    </row>
    <row r="54" spans="1:9">
      <c r="A54" s="175" t="s">
        <v>5172</v>
      </c>
      <c r="B54" s="175" t="s">
        <v>5173</v>
      </c>
      <c r="C54" s="175" t="s">
        <v>2202</v>
      </c>
      <c r="D54" s="175">
        <v>313</v>
      </c>
      <c r="E54" s="175">
        <v>0</v>
      </c>
      <c r="F54" s="175" t="s">
        <v>1549</v>
      </c>
      <c r="G54" s="175">
        <v>100</v>
      </c>
      <c r="H54" s="175">
        <v>0</v>
      </c>
      <c r="I54" s="175" t="s">
        <v>463</v>
      </c>
    </row>
    <row r="55" spans="1:9">
      <c r="A55" s="175" t="s">
        <v>5174</v>
      </c>
      <c r="B55" s="175" t="s">
        <v>5175</v>
      </c>
      <c r="C55" s="175" t="s">
        <v>5176</v>
      </c>
      <c r="D55" s="175">
        <v>1839</v>
      </c>
      <c r="E55" s="175">
        <v>0</v>
      </c>
      <c r="F55" s="175" t="s">
        <v>1549</v>
      </c>
      <c r="G55" s="175">
        <v>2504</v>
      </c>
      <c r="H55" s="175">
        <v>0</v>
      </c>
      <c r="I55" s="175" t="s">
        <v>1549</v>
      </c>
    </row>
    <row r="56" spans="1:9">
      <c r="A56" s="175" t="s">
        <v>5177</v>
      </c>
      <c r="B56" s="175" t="s">
        <v>5178</v>
      </c>
      <c r="C56" s="175" t="s">
        <v>1881</v>
      </c>
      <c r="D56" s="175">
        <v>171.4</v>
      </c>
      <c r="E56" s="175">
        <v>0</v>
      </c>
      <c r="F56" s="175" t="s">
        <v>1549</v>
      </c>
      <c r="G56" s="175">
        <v>100</v>
      </c>
      <c r="H56" s="175">
        <v>0</v>
      </c>
      <c r="I56" s="175" t="s">
        <v>463</v>
      </c>
    </row>
    <row r="57" spans="1:9">
      <c r="A57" s="175" t="s">
        <v>5179</v>
      </c>
      <c r="B57" s="175" t="s">
        <v>743</v>
      </c>
      <c r="C57" s="175" t="s">
        <v>2212</v>
      </c>
      <c r="D57" s="175">
        <v>7.08</v>
      </c>
      <c r="E57" s="175">
        <v>0</v>
      </c>
      <c r="F57" s="175" t="s">
        <v>1556</v>
      </c>
      <c r="G57" s="175">
        <v>100</v>
      </c>
      <c r="H57" s="175">
        <v>0</v>
      </c>
      <c r="I57" s="175" t="s">
        <v>463</v>
      </c>
    </row>
    <row r="58" spans="1:9">
      <c r="A58" s="175" t="s">
        <v>5180</v>
      </c>
      <c r="B58" s="175" t="s">
        <v>746</v>
      </c>
      <c r="C58" s="175" t="s">
        <v>2215</v>
      </c>
      <c r="D58" s="175">
        <v>2.13</v>
      </c>
      <c r="E58" s="175">
        <v>0</v>
      </c>
      <c r="F58" s="175" t="s">
        <v>1556</v>
      </c>
      <c r="G58" s="175">
        <v>100</v>
      </c>
      <c r="H58" s="175">
        <v>0</v>
      </c>
      <c r="I58" s="175" t="s">
        <v>463</v>
      </c>
    </row>
    <row r="59" spans="1:9">
      <c r="A59" s="175" t="s">
        <v>5181</v>
      </c>
      <c r="B59" s="175" t="s">
        <v>5182</v>
      </c>
      <c r="C59" s="175" t="s">
        <v>5176</v>
      </c>
      <c r="D59" s="175">
        <v>1839</v>
      </c>
      <c r="E59" s="175">
        <v>0</v>
      </c>
      <c r="F59" s="175" t="s">
        <v>1549</v>
      </c>
      <c r="G59" s="175">
        <v>2504</v>
      </c>
      <c r="H59" s="175">
        <v>0</v>
      </c>
      <c r="I59" s="175" t="s">
        <v>463</v>
      </c>
    </row>
    <row r="60" spans="1:9">
      <c r="A60" s="175" t="s">
        <v>5183</v>
      </c>
      <c r="B60" s="175" t="s">
        <v>5184</v>
      </c>
      <c r="C60" s="175" t="s">
        <v>1872</v>
      </c>
      <c r="D60" s="175">
        <v>401</v>
      </c>
      <c r="E60" s="175">
        <v>0</v>
      </c>
      <c r="F60" s="175" t="s">
        <v>1549</v>
      </c>
      <c r="G60" s="175">
        <v>100</v>
      </c>
      <c r="H60" s="175">
        <v>0</v>
      </c>
      <c r="I60" s="175" t="s">
        <v>463</v>
      </c>
    </row>
    <row r="61" spans="1:9">
      <c r="A61" s="175" t="s">
        <v>5185</v>
      </c>
      <c r="B61" s="175" t="s">
        <v>5186</v>
      </c>
      <c r="C61" s="175" t="s">
        <v>2222</v>
      </c>
      <c r="D61" s="175">
        <v>100</v>
      </c>
      <c r="E61" s="175">
        <v>0</v>
      </c>
      <c r="F61" s="175" t="s">
        <v>463</v>
      </c>
      <c r="G61" s="175">
        <v>598</v>
      </c>
      <c r="H61" s="175">
        <v>0</v>
      </c>
      <c r="I61" s="175" t="s">
        <v>1549</v>
      </c>
    </row>
    <row r="62" spans="1:9">
      <c r="A62" s="175" t="s">
        <v>5187</v>
      </c>
      <c r="B62" s="175" t="s">
        <v>955</v>
      </c>
      <c r="C62" s="175" t="s">
        <v>5188</v>
      </c>
      <c r="D62" s="175">
        <v>100</v>
      </c>
      <c r="E62" s="175">
        <v>0</v>
      </c>
      <c r="F62" s="175" t="s">
        <v>463</v>
      </c>
      <c r="G62" s="175">
        <v>400</v>
      </c>
      <c r="H62" s="175">
        <v>0</v>
      </c>
      <c r="I62" s="175" t="s">
        <v>1549</v>
      </c>
    </row>
    <row r="63" spans="1:9">
      <c r="A63" s="175" t="s">
        <v>5189</v>
      </c>
      <c r="B63" s="175" t="s">
        <v>5190</v>
      </c>
      <c r="C63" s="175" t="s">
        <v>5191</v>
      </c>
      <c r="D63" s="175">
        <v>100</v>
      </c>
      <c r="E63" s="175">
        <v>0</v>
      </c>
      <c r="F63" s="175" t="s">
        <v>463</v>
      </c>
      <c r="G63" s="175">
        <v>100</v>
      </c>
      <c r="H63" s="175">
        <v>0</v>
      </c>
      <c r="I63" s="175" t="s">
        <v>463</v>
      </c>
    </row>
    <row r="64" spans="1:9">
      <c r="A64" s="175" t="s">
        <v>5192</v>
      </c>
      <c r="B64" s="175" t="s">
        <v>5193</v>
      </c>
      <c r="C64" s="175" t="s">
        <v>2255</v>
      </c>
      <c r="D64" s="175">
        <v>3</v>
      </c>
      <c r="E64" s="175">
        <v>0</v>
      </c>
      <c r="F64" s="175" t="s">
        <v>2000</v>
      </c>
      <c r="G64" s="175">
        <v>100</v>
      </c>
      <c r="H64" s="175">
        <v>0</v>
      </c>
      <c r="I64" s="175" t="s">
        <v>463</v>
      </c>
    </row>
    <row r="65" spans="1:9">
      <c r="A65" s="175" t="s">
        <v>5194</v>
      </c>
      <c r="B65" s="175" t="s">
        <v>5195</v>
      </c>
      <c r="C65" s="175" t="s">
        <v>5196</v>
      </c>
      <c r="D65" s="175">
        <v>3</v>
      </c>
      <c r="E65" s="175">
        <v>0</v>
      </c>
      <c r="F65" s="175" t="s">
        <v>1635</v>
      </c>
      <c r="G65" s="175">
        <v>100</v>
      </c>
      <c r="H65" s="175">
        <v>0</v>
      </c>
      <c r="I65" s="175" t="s">
        <v>463</v>
      </c>
    </row>
    <row r="66" spans="1:9">
      <c r="A66" s="175" t="s">
        <v>5197</v>
      </c>
      <c r="B66" s="175" t="s">
        <v>5198</v>
      </c>
      <c r="C66" s="175" t="s">
        <v>2258</v>
      </c>
      <c r="D66" s="175">
        <v>1020</v>
      </c>
      <c r="E66" s="175">
        <v>0</v>
      </c>
      <c r="F66" s="175" t="s">
        <v>3506</v>
      </c>
      <c r="G66" s="175">
        <v>100</v>
      </c>
      <c r="H66" s="175">
        <v>0</v>
      </c>
      <c r="I66" s="175" t="s">
        <v>463</v>
      </c>
    </row>
    <row r="67" spans="1:9">
      <c r="A67" s="175" t="s">
        <v>5199</v>
      </c>
      <c r="B67" s="175" t="s">
        <v>5200</v>
      </c>
      <c r="C67" s="175" t="s">
        <v>2267</v>
      </c>
      <c r="D67" s="175">
        <v>250</v>
      </c>
      <c r="E67" s="175">
        <v>0</v>
      </c>
      <c r="F67" s="175" t="s">
        <v>1535</v>
      </c>
      <c r="G67" s="175">
        <v>100</v>
      </c>
      <c r="H67" s="175">
        <v>0</v>
      </c>
      <c r="I67" s="175" t="s">
        <v>463</v>
      </c>
    </row>
    <row r="68" spans="1:9">
      <c r="A68" s="175" t="s">
        <v>5201</v>
      </c>
      <c r="B68" s="175" t="s">
        <v>5202</v>
      </c>
      <c r="C68" s="175" t="s">
        <v>2270</v>
      </c>
      <c r="D68" s="175">
        <v>300</v>
      </c>
      <c r="E68" s="175">
        <v>0</v>
      </c>
      <c r="F68" s="175" t="s">
        <v>1535</v>
      </c>
      <c r="G68" s="175">
        <v>100</v>
      </c>
      <c r="H68" s="175">
        <v>0</v>
      </c>
      <c r="I68" s="175" t="s">
        <v>463</v>
      </c>
    </row>
    <row r="69" spans="1:9">
      <c r="A69" s="175" t="s">
        <v>5203</v>
      </c>
      <c r="B69" s="175" t="s">
        <v>5204</v>
      </c>
      <c r="C69" s="175" t="s">
        <v>2273</v>
      </c>
      <c r="D69" s="175">
        <v>100</v>
      </c>
      <c r="E69" s="175">
        <v>0</v>
      </c>
      <c r="F69" s="175" t="s">
        <v>1577</v>
      </c>
      <c r="G69" s="175">
        <v>100</v>
      </c>
      <c r="H69" s="175">
        <v>0</v>
      </c>
      <c r="I69" s="175" t="s">
        <v>463</v>
      </c>
    </row>
    <row r="70" spans="1:9">
      <c r="A70" s="175" t="s">
        <v>5205</v>
      </c>
      <c r="B70" s="175" t="s">
        <v>5206</v>
      </c>
      <c r="C70" s="175" t="s">
        <v>2282</v>
      </c>
      <c r="D70" s="175">
        <v>5</v>
      </c>
      <c r="E70" s="175">
        <v>0</v>
      </c>
      <c r="F70" s="175" t="s">
        <v>1549</v>
      </c>
      <c r="G70" s="175">
        <v>100</v>
      </c>
      <c r="H70" s="175">
        <v>0</v>
      </c>
      <c r="I70" s="175" t="s">
        <v>463</v>
      </c>
    </row>
    <row r="71" spans="1:9">
      <c r="A71" s="175" t="s">
        <v>5207</v>
      </c>
      <c r="B71" s="175" t="s">
        <v>5208</v>
      </c>
      <c r="C71" s="175" t="s">
        <v>2289</v>
      </c>
      <c r="D71" s="175">
        <v>16</v>
      </c>
      <c r="E71" s="175">
        <v>0</v>
      </c>
      <c r="F71" s="175" t="s">
        <v>2000</v>
      </c>
      <c r="G71" s="175">
        <v>100</v>
      </c>
      <c r="H71" s="175">
        <v>0</v>
      </c>
      <c r="I71" s="175" t="s">
        <v>463</v>
      </c>
    </row>
    <row r="72" spans="1:9">
      <c r="A72" s="175" t="s">
        <v>5209</v>
      </c>
      <c r="B72" s="175" t="s">
        <v>5210</v>
      </c>
      <c r="C72" s="175" t="s">
        <v>5211</v>
      </c>
      <c r="D72" s="175">
        <v>75</v>
      </c>
      <c r="E72" s="175">
        <v>0</v>
      </c>
      <c r="F72" s="175" t="s">
        <v>1549</v>
      </c>
      <c r="G72" s="175">
        <v>100</v>
      </c>
      <c r="H72" s="175">
        <v>0</v>
      </c>
      <c r="I72" s="175" t="s">
        <v>463</v>
      </c>
    </row>
    <row r="73" spans="1:9">
      <c r="A73" s="175" t="s">
        <v>5212</v>
      </c>
      <c r="B73" s="175" t="s">
        <v>5213</v>
      </c>
      <c r="C73" s="175" t="s">
        <v>2453</v>
      </c>
      <c r="D73" s="175">
        <v>100</v>
      </c>
      <c r="E73" s="175">
        <v>0</v>
      </c>
      <c r="F73" s="175" t="s">
        <v>463</v>
      </c>
      <c r="G73" s="175">
        <v>100</v>
      </c>
      <c r="H73" s="175">
        <v>0</v>
      </c>
      <c r="I73" s="175" t="s">
        <v>463</v>
      </c>
    </row>
    <row r="74" spans="1:9">
      <c r="A74" s="175" t="s">
        <v>5214</v>
      </c>
      <c r="B74" s="175" t="s">
        <v>5215</v>
      </c>
      <c r="C74" s="175" t="s">
        <v>2478</v>
      </c>
      <c r="D74" s="175">
        <v>100</v>
      </c>
      <c r="E74" s="175">
        <v>0</v>
      </c>
      <c r="F74" s="175" t="s">
        <v>463</v>
      </c>
      <c r="G74" s="175">
        <v>100</v>
      </c>
      <c r="H74" s="175">
        <v>0</v>
      </c>
      <c r="I74" s="175" t="s">
        <v>463</v>
      </c>
    </row>
    <row r="75" spans="1:9">
      <c r="A75" s="175" t="s">
        <v>5216</v>
      </c>
      <c r="B75" s="175" t="s">
        <v>5217</v>
      </c>
      <c r="C75" s="175" t="s">
        <v>5218</v>
      </c>
      <c r="D75" s="175">
        <v>100</v>
      </c>
      <c r="E75" s="175">
        <v>0</v>
      </c>
      <c r="F75" s="175" t="s">
        <v>463</v>
      </c>
      <c r="G75" s="175">
        <v>100</v>
      </c>
      <c r="H75" s="175">
        <v>0</v>
      </c>
      <c r="I75" s="175" t="s">
        <v>463</v>
      </c>
    </row>
    <row r="76" spans="1:9">
      <c r="A76" s="175" t="s">
        <v>5219</v>
      </c>
      <c r="B76" s="175" t="s">
        <v>5220</v>
      </c>
      <c r="C76" s="175" t="s">
        <v>5221</v>
      </c>
      <c r="D76" s="175">
        <v>12</v>
      </c>
      <c r="E76" s="175">
        <v>0</v>
      </c>
      <c r="F76" s="175" t="s">
        <v>1635</v>
      </c>
      <c r="G76" s="175">
        <v>100</v>
      </c>
      <c r="H76" s="175">
        <v>0</v>
      </c>
      <c r="I76" s="175" t="s">
        <v>463</v>
      </c>
    </row>
    <row r="77" spans="1:9">
      <c r="A77" s="175" t="s">
        <v>5222</v>
      </c>
      <c r="B77" s="175" t="s">
        <v>5223</v>
      </c>
      <c r="C77" s="175" t="s">
        <v>2608</v>
      </c>
      <c r="D77" s="175">
        <v>500</v>
      </c>
      <c r="E77" s="175">
        <v>-20</v>
      </c>
      <c r="F77" s="175" t="s">
        <v>1535</v>
      </c>
      <c r="G77" s="175">
        <v>100</v>
      </c>
      <c r="H77" s="175">
        <v>0</v>
      </c>
      <c r="I77" s="175" t="s">
        <v>463</v>
      </c>
    </row>
    <row r="78" spans="1:9">
      <c r="A78" s="175" t="s">
        <v>5224</v>
      </c>
      <c r="B78" s="175" t="s">
        <v>5225</v>
      </c>
      <c r="C78" s="175" t="s">
        <v>2623</v>
      </c>
      <c r="D78" s="175">
        <v>300</v>
      </c>
      <c r="E78" s="175">
        <v>-20</v>
      </c>
      <c r="F78" s="175" t="s">
        <v>1535</v>
      </c>
      <c r="G78" s="175">
        <v>100</v>
      </c>
      <c r="H78" s="175">
        <v>0</v>
      </c>
      <c r="I78" s="175" t="s">
        <v>463</v>
      </c>
    </row>
    <row r="79" spans="1:9">
      <c r="A79" s="175" t="s">
        <v>5226</v>
      </c>
      <c r="B79" s="175" t="s">
        <v>5227</v>
      </c>
      <c r="C79" s="175" t="s">
        <v>2611</v>
      </c>
      <c r="D79" s="175">
        <v>60</v>
      </c>
      <c r="E79" s="175">
        <v>-20</v>
      </c>
      <c r="F79" s="175" t="s">
        <v>1535</v>
      </c>
      <c r="G79" s="175">
        <v>100</v>
      </c>
      <c r="H79" s="175">
        <v>0</v>
      </c>
      <c r="I79" s="175" t="s">
        <v>463</v>
      </c>
    </row>
    <row r="80" spans="1:9">
      <c r="A80" s="175" t="s">
        <v>5228</v>
      </c>
      <c r="B80" s="175" t="s">
        <v>5229</v>
      </c>
      <c r="C80" s="175" t="s">
        <v>2614</v>
      </c>
      <c r="D80" s="175">
        <v>60</v>
      </c>
      <c r="E80" s="175">
        <v>-20</v>
      </c>
      <c r="F80" s="175" t="s">
        <v>1535</v>
      </c>
      <c r="G80" s="175">
        <v>100</v>
      </c>
      <c r="H80" s="175">
        <v>0</v>
      </c>
      <c r="I80" s="175" t="s">
        <v>463</v>
      </c>
    </row>
    <row r="81" spans="1:9">
      <c r="A81" s="175" t="s">
        <v>5230</v>
      </c>
      <c r="B81" s="175" t="s">
        <v>5231</v>
      </c>
      <c r="C81" s="175" t="s">
        <v>2639</v>
      </c>
      <c r="D81" s="175">
        <v>300</v>
      </c>
      <c r="E81" s="175">
        <v>-20</v>
      </c>
      <c r="F81" s="175" t="s">
        <v>1535</v>
      </c>
      <c r="G81" s="175">
        <v>100</v>
      </c>
      <c r="H81" s="175">
        <v>0</v>
      </c>
      <c r="I81" s="175" t="s">
        <v>463</v>
      </c>
    </row>
    <row r="82" spans="1:9">
      <c r="A82" s="175" t="s">
        <v>5232</v>
      </c>
      <c r="B82" s="175" t="s">
        <v>5233</v>
      </c>
      <c r="C82" s="175" t="s">
        <v>2795</v>
      </c>
      <c r="D82" s="175">
        <v>10</v>
      </c>
      <c r="E82" s="175">
        <v>0</v>
      </c>
      <c r="F82" s="175" t="s">
        <v>1549</v>
      </c>
      <c r="G82" s="175">
        <v>100</v>
      </c>
      <c r="H82" s="175">
        <v>0</v>
      </c>
      <c r="I82" s="175" t="s">
        <v>463</v>
      </c>
    </row>
    <row r="83" spans="1:9">
      <c r="A83" s="175" t="s">
        <v>5234</v>
      </c>
      <c r="B83" s="175" t="s">
        <v>4955</v>
      </c>
      <c r="C83" s="175" t="s">
        <v>2814</v>
      </c>
      <c r="D83" s="175">
        <v>100</v>
      </c>
      <c r="E83" s="175">
        <v>0</v>
      </c>
      <c r="F83" s="175" t="s">
        <v>463</v>
      </c>
      <c r="G83" s="175">
        <v>100</v>
      </c>
      <c r="H83" s="175">
        <v>0</v>
      </c>
      <c r="I83" s="175" t="s">
        <v>1577</v>
      </c>
    </row>
    <row r="84" spans="1:9">
      <c r="A84" s="175" t="s">
        <v>5235</v>
      </c>
      <c r="B84" s="175" t="s">
        <v>4954</v>
      </c>
      <c r="C84" s="175" t="s">
        <v>5236</v>
      </c>
      <c r="D84" s="175">
        <v>100</v>
      </c>
      <c r="E84" s="175">
        <v>0</v>
      </c>
      <c r="F84" s="175" t="s">
        <v>463</v>
      </c>
      <c r="G84" s="175">
        <v>100</v>
      </c>
      <c r="H84" s="175">
        <v>0</v>
      </c>
      <c r="I84" s="175" t="s">
        <v>463</v>
      </c>
    </row>
    <row r="85" spans="1:9">
      <c r="A85" s="175" t="s">
        <v>5237</v>
      </c>
      <c r="B85" s="175" t="s">
        <v>4587</v>
      </c>
      <c r="C85" s="175" t="s">
        <v>3036</v>
      </c>
      <c r="D85" s="175">
        <v>598</v>
      </c>
      <c r="E85" s="175">
        <v>0</v>
      </c>
      <c r="F85" s="175" t="s">
        <v>1549</v>
      </c>
      <c r="G85" s="175">
        <v>100</v>
      </c>
      <c r="H85" s="175">
        <v>0</v>
      </c>
      <c r="I85" s="175" t="s">
        <v>463</v>
      </c>
    </row>
    <row r="86" spans="1:9">
      <c r="A86" s="175" t="s">
        <v>5238</v>
      </c>
      <c r="B86" s="175" t="s">
        <v>4586</v>
      </c>
      <c r="C86" s="175" t="s">
        <v>5239</v>
      </c>
      <c r="D86" s="175">
        <v>598</v>
      </c>
      <c r="E86" s="175">
        <v>0</v>
      </c>
      <c r="F86" s="175" t="s">
        <v>1549</v>
      </c>
      <c r="G86" s="175">
        <v>100</v>
      </c>
      <c r="H86" s="175">
        <v>0</v>
      </c>
      <c r="I86" s="175" t="s">
        <v>463</v>
      </c>
    </row>
    <row r="87" spans="1:9">
      <c r="A87" s="175" t="s">
        <v>5240</v>
      </c>
      <c r="B87" s="175" t="s">
        <v>751</v>
      </c>
      <c r="C87" s="175" t="s">
        <v>3050</v>
      </c>
      <c r="D87" s="175">
        <v>690</v>
      </c>
      <c r="E87" s="175">
        <v>0</v>
      </c>
      <c r="F87" s="175" t="s">
        <v>1549</v>
      </c>
      <c r="G87" s="175">
        <v>100</v>
      </c>
      <c r="H87" s="175">
        <v>0</v>
      </c>
      <c r="I87" s="175" t="s">
        <v>463</v>
      </c>
    </row>
    <row r="88" spans="1:9">
      <c r="A88" s="175" t="s">
        <v>5241</v>
      </c>
      <c r="B88" s="175" t="s">
        <v>755</v>
      </c>
      <c r="C88" s="175" t="s">
        <v>3053</v>
      </c>
      <c r="D88" s="175">
        <v>2500</v>
      </c>
      <c r="E88" s="175">
        <v>0</v>
      </c>
      <c r="F88" s="175" t="s">
        <v>2209</v>
      </c>
      <c r="G88" s="175">
        <v>100</v>
      </c>
      <c r="H88" s="175">
        <v>0</v>
      </c>
      <c r="I88" s="175" t="s">
        <v>463</v>
      </c>
    </row>
    <row r="89" spans="1:9">
      <c r="A89" s="175" t="s">
        <v>5242</v>
      </c>
      <c r="B89" s="175" t="s">
        <v>5243</v>
      </c>
      <c r="C89" s="175" t="s">
        <v>3056</v>
      </c>
      <c r="D89" s="175">
        <v>139</v>
      </c>
      <c r="E89" s="175">
        <v>0</v>
      </c>
      <c r="F89" s="175" t="s">
        <v>1549</v>
      </c>
      <c r="G89" s="175">
        <v>100</v>
      </c>
      <c r="H89" s="175">
        <v>0</v>
      </c>
      <c r="I89" s="175" t="s">
        <v>463</v>
      </c>
    </row>
    <row r="90" spans="1:9">
      <c r="A90" s="175" t="s">
        <v>5244</v>
      </c>
      <c r="B90" s="175" t="s">
        <v>5245</v>
      </c>
      <c r="C90" s="175" t="s">
        <v>5246</v>
      </c>
      <c r="D90" s="175">
        <v>87.6</v>
      </c>
      <c r="E90" s="175">
        <v>0</v>
      </c>
      <c r="F90" s="175" t="s">
        <v>1949</v>
      </c>
      <c r="G90" s="175">
        <v>100</v>
      </c>
      <c r="H90" s="175">
        <v>0</v>
      </c>
      <c r="I90" s="175" t="s">
        <v>463</v>
      </c>
    </row>
    <row r="91" spans="1:9">
      <c r="A91" s="175" t="s">
        <v>5247</v>
      </c>
      <c r="B91" s="175" t="s">
        <v>4958</v>
      </c>
      <c r="C91" s="175" t="s">
        <v>3059</v>
      </c>
      <c r="D91" s="175">
        <v>100</v>
      </c>
      <c r="E91" s="175">
        <v>0</v>
      </c>
      <c r="F91" s="175" t="s">
        <v>463</v>
      </c>
      <c r="G91" s="175">
        <v>690</v>
      </c>
      <c r="H91" s="175">
        <v>0</v>
      </c>
      <c r="I91" s="175" t="s">
        <v>1549</v>
      </c>
    </row>
    <row r="92" spans="1:9">
      <c r="A92" s="175" t="s">
        <v>5248</v>
      </c>
      <c r="B92" s="175" t="s">
        <v>5058</v>
      </c>
      <c r="C92" s="175" t="s">
        <v>3062</v>
      </c>
      <c r="D92" s="175">
        <v>100</v>
      </c>
      <c r="E92" s="175">
        <v>0</v>
      </c>
      <c r="F92" s="175" t="s">
        <v>463</v>
      </c>
      <c r="G92" s="175">
        <v>100</v>
      </c>
      <c r="H92" s="175">
        <v>0</v>
      </c>
      <c r="I92" s="175" t="s">
        <v>463</v>
      </c>
    </row>
    <row r="93" spans="1:9">
      <c r="A93" s="175" t="s">
        <v>5249</v>
      </c>
      <c r="B93" s="175" t="s">
        <v>4956</v>
      </c>
      <c r="C93" s="175" t="s">
        <v>3062</v>
      </c>
      <c r="D93" s="175">
        <v>40</v>
      </c>
      <c r="E93" s="175">
        <v>0</v>
      </c>
      <c r="F93" s="175" t="s">
        <v>2000</v>
      </c>
      <c r="G93" s="175">
        <v>21750</v>
      </c>
      <c r="H93" s="175">
        <v>0</v>
      </c>
      <c r="I93" s="175" t="s">
        <v>2209</v>
      </c>
    </row>
    <row r="94" spans="1:9">
      <c r="A94" s="175" t="s">
        <v>5250</v>
      </c>
      <c r="B94" s="175" t="s">
        <v>4957</v>
      </c>
      <c r="C94" s="175" t="s">
        <v>3059</v>
      </c>
      <c r="D94" s="175">
        <v>10</v>
      </c>
      <c r="E94" s="175">
        <v>0</v>
      </c>
      <c r="F94" s="175" t="s">
        <v>2000</v>
      </c>
      <c r="G94" s="175">
        <v>100</v>
      </c>
      <c r="H94" s="175">
        <v>0</v>
      </c>
      <c r="I94" s="175" t="s">
        <v>463</v>
      </c>
    </row>
    <row r="95" spans="1:9">
      <c r="A95" s="175" t="s">
        <v>5251</v>
      </c>
      <c r="B95" s="175" t="s">
        <v>966</v>
      </c>
      <c r="C95" s="175" t="s">
        <v>3084</v>
      </c>
      <c r="D95" s="175">
        <v>3</v>
      </c>
      <c r="E95" s="175">
        <v>0</v>
      </c>
      <c r="F95" s="175" t="s">
        <v>2000</v>
      </c>
      <c r="G95" s="175">
        <v>100</v>
      </c>
      <c r="H95" s="175">
        <v>0</v>
      </c>
      <c r="I95" s="175" t="s">
        <v>463</v>
      </c>
    </row>
    <row r="96" spans="1:9">
      <c r="A96" s="175" t="s">
        <v>5252</v>
      </c>
      <c r="B96" s="175" t="s">
        <v>5253</v>
      </c>
      <c r="C96" s="175" t="s">
        <v>5254</v>
      </c>
      <c r="D96" s="175">
        <v>400</v>
      </c>
      <c r="E96" s="175">
        <v>0</v>
      </c>
      <c r="F96" s="175" t="s">
        <v>1535</v>
      </c>
      <c r="G96" s="175">
        <v>3</v>
      </c>
      <c r="H96" s="175">
        <v>0</v>
      </c>
      <c r="I96" s="175" t="s">
        <v>1635</v>
      </c>
    </row>
    <row r="97" spans="1:9">
      <c r="A97" s="175" t="s">
        <v>5255</v>
      </c>
      <c r="B97" s="175" t="s">
        <v>5256</v>
      </c>
      <c r="C97" s="175" t="s">
        <v>2988</v>
      </c>
      <c r="D97" s="175">
        <v>450</v>
      </c>
      <c r="E97" s="175">
        <v>0</v>
      </c>
      <c r="F97" s="175" t="s">
        <v>1535</v>
      </c>
      <c r="G97" s="175">
        <v>3</v>
      </c>
      <c r="H97" s="175">
        <v>0</v>
      </c>
      <c r="I97" s="175" t="s">
        <v>1635</v>
      </c>
    </row>
    <row r="98" spans="1:9">
      <c r="A98" s="175" t="s">
        <v>5257</v>
      </c>
      <c r="B98" s="175" t="s">
        <v>5258</v>
      </c>
      <c r="C98" s="175" t="s">
        <v>3198</v>
      </c>
      <c r="D98" s="175">
        <v>70</v>
      </c>
      <c r="E98" s="175">
        <v>-70</v>
      </c>
      <c r="F98" s="175" t="s">
        <v>1639</v>
      </c>
      <c r="G98" s="175">
        <v>100</v>
      </c>
      <c r="H98" s="175">
        <v>0</v>
      </c>
      <c r="I98" s="175" t="s">
        <v>463</v>
      </c>
    </row>
    <row r="99" spans="1:9">
      <c r="A99" s="175" t="s">
        <v>5259</v>
      </c>
      <c r="B99" s="175" t="s">
        <v>5260</v>
      </c>
      <c r="C99" s="175" t="s">
        <v>3201</v>
      </c>
      <c r="D99" s="175">
        <v>8000</v>
      </c>
      <c r="E99" s="175">
        <v>0</v>
      </c>
      <c r="F99" s="175" t="s">
        <v>2209</v>
      </c>
      <c r="G99" s="175">
        <v>100</v>
      </c>
      <c r="H99" s="175">
        <v>0</v>
      </c>
      <c r="I99" s="175" t="s">
        <v>463</v>
      </c>
    </row>
    <row r="100" spans="1:9">
      <c r="A100" s="175" t="s">
        <v>5261</v>
      </c>
      <c r="B100" s="175" t="s">
        <v>5262</v>
      </c>
      <c r="C100" s="175" t="s">
        <v>3204</v>
      </c>
      <c r="D100" s="175">
        <v>13750</v>
      </c>
      <c r="E100" s="175">
        <v>0</v>
      </c>
      <c r="F100" s="175" t="s">
        <v>2209</v>
      </c>
      <c r="G100" s="175">
        <v>100</v>
      </c>
      <c r="H100" s="175">
        <v>0</v>
      </c>
      <c r="I100" s="175" t="s">
        <v>463</v>
      </c>
    </row>
    <row r="101" spans="1:9">
      <c r="A101" s="175" t="s">
        <v>5263</v>
      </c>
      <c r="B101" s="175" t="s">
        <v>5264</v>
      </c>
      <c r="C101" s="175" t="s">
        <v>5265</v>
      </c>
      <c r="D101" s="175">
        <v>222</v>
      </c>
      <c r="E101" s="175">
        <v>0</v>
      </c>
      <c r="F101" s="175" t="s">
        <v>1549</v>
      </c>
      <c r="G101" s="175">
        <v>100</v>
      </c>
      <c r="H101" s="175">
        <v>0</v>
      </c>
      <c r="I101" s="175" t="s">
        <v>463</v>
      </c>
    </row>
    <row r="102" spans="1:9">
      <c r="A102" s="175" t="s">
        <v>5266</v>
      </c>
      <c r="B102" s="175" t="s">
        <v>5267</v>
      </c>
      <c r="C102" s="175" t="s">
        <v>3409</v>
      </c>
      <c r="D102" s="175">
        <v>597</v>
      </c>
      <c r="E102" s="175">
        <v>0</v>
      </c>
      <c r="F102" s="175" t="s">
        <v>1549</v>
      </c>
      <c r="G102" s="175">
        <v>100</v>
      </c>
      <c r="H102" s="175">
        <v>0</v>
      </c>
      <c r="I102" s="175" t="s">
        <v>463</v>
      </c>
    </row>
    <row r="103" spans="1:9">
      <c r="A103" s="175" t="s">
        <v>5268</v>
      </c>
      <c r="B103" s="175" t="s">
        <v>5269</v>
      </c>
      <c r="C103" s="175" t="s">
        <v>5270</v>
      </c>
      <c r="D103" s="175">
        <v>43</v>
      </c>
      <c r="E103" s="175">
        <v>0</v>
      </c>
      <c r="F103" s="175" t="s">
        <v>1549</v>
      </c>
      <c r="G103" s="175">
        <v>100</v>
      </c>
      <c r="H103" s="175">
        <v>0</v>
      </c>
      <c r="I103" s="175" t="s">
        <v>463</v>
      </c>
    </row>
    <row r="104" spans="1:9">
      <c r="A104" s="175" t="s">
        <v>5271</v>
      </c>
      <c r="B104" s="175" t="s">
        <v>5272</v>
      </c>
      <c r="C104" s="175" t="s">
        <v>3403</v>
      </c>
      <c r="D104" s="175">
        <v>100</v>
      </c>
      <c r="E104" s="175">
        <v>0</v>
      </c>
      <c r="F104" s="175" t="s">
        <v>463</v>
      </c>
      <c r="G104" s="175">
        <v>597</v>
      </c>
      <c r="H104" s="175">
        <v>0</v>
      </c>
      <c r="I104" s="175" t="s">
        <v>1549</v>
      </c>
    </row>
    <row r="105" spans="1:9">
      <c r="A105" s="175" t="s">
        <v>5273</v>
      </c>
      <c r="B105" s="175" t="s">
        <v>5274</v>
      </c>
      <c r="C105" s="175" t="s">
        <v>3406</v>
      </c>
      <c r="D105" s="175">
        <v>100</v>
      </c>
      <c r="E105" s="175">
        <v>0</v>
      </c>
      <c r="F105" s="175" t="s">
        <v>1577</v>
      </c>
      <c r="G105" s="175">
        <v>100</v>
      </c>
      <c r="H105" s="175">
        <v>0</v>
      </c>
      <c r="I105" s="175" t="s">
        <v>463</v>
      </c>
    </row>
    <row r="106" spans="1:9">
      <c r="A106" s="175" t="s">
        <v>5275</v>
      </c>
      <c r="B106" s="175" t="s">
        <v>5276</v>
      </c>
      <c r="C106" s="175" t="s">
        <v>3406</v>
      </c>
      <c r="D106" s="175">
        <v>16</v>
      </c>
      <c r="E106" s="175">
        <v>0</v>
      </c>
      <c r="F106" s="175" t="s">
        <v>2000</v>
      </c>
      <c r="G106" s="175">
        <v>100</v>
      </c>
      <c r="H106" s="175">
        <v>0</v>
      </c>
      <c r="I106" s="175" t="s">
        <v>463</v>
      </c>
    </row>
    <row r="107" spans="1:9">
      <c r="A107" s="175" t="s">
        <v>5277</v>
      </c>
      <c r="B107" s="175" t="s">
        <v>5278</v>
      </c>
      <c r="C107" s="175" t="s">
        <v>5279</v>
      </c>
      <c r="D107" s="175">
        <v>16</v>
      </c>
      <c r="E107" s="175">
        <v>0</v>
      </c>
      <c r="F107" s="175" t="s">
        <v>2000</v>
      </c>
      <c r="G107" s="175">
        <v>16</v>
      </c>
      <c r="H107" s="175">
        <v>0</v>
      </c>
      <c r="I107" s="175" t="s">
        <v>2000</v>
      </c>
    </row>
    <row r="108" spans="1:9">
      <c r="A108" s="175" t="s">
        <v>5280</v>
      </c>
      <c r="B108" s="175" t="s">
        <v>5281</v>
      </c>
      <c r="C108" s="175" t="s">
        <v>5282</v>
      </c>
      <c r="D108" s="175">
        <v>20</v>
      </c>
      <c r="E108" s="175">
        <v>0</v>
      </c>
      <c r="F108" s="175" t="s">
        <v>1535</v>
      </c>
      <c r="G108" s="175">
        <v>200</v>
      </c>
      <c r="H108" s="175">
        <v>0</v>
      </c>
      <c r="I108" s="175" t="s">
        <v>1535</v>
      </c>
    </row>
    <row r="109" spans="1:9">
      <c r="A109" s="175" t="s">
        <v>5283</v>
      </c>
      <c r="B109" s="175" t="s">
        <v>5284</v>
      </c>
      <c r="C109" s="175" t="s">
        <v>3514</v>
      </c>
      <c r="D109" s="175">
        <v>200</v>
      </c>
      <c r="E109" s="175">
        <v>0</v>
      </c>
      <c r="F109" s="175" t="s">
        <v>1535</v>
      </c>
      <c r="G109" s="175">
        <v>100</v>
      </c>
      <c r="H109" s="175">
        <v>0</v>
      </c>
      <c r="I109" s="175" t="s">
        <v>463</v>
      </c>
    </row>
    <row r="110" spans="1:9">
      <c r="A110" s="175" t="s">
        <v>5285</v>
      </c>
      <c r="B110" s="175" t="s">
        <v>5286</v>
      </c>
      <c r="C110" s="175" t="s">
        <v>3517</v>
      </c>
      <c r="D110" s="175">
        <v>200</v>
      </c>
      <c r="E110" s="175">
        <v>0</v>
      </c>
      <c r="F110" s="175" t="s">
        <v>1535</v>
      </c>
      <c r="G110" s="175">
        <v>100</v>
      </c>
      <c r="H110" s="175">
        <v>0</v>
      </c>
      <c r="I110" s="175" t="s">
        <v>463</v>
      </c>
    </row>
    <row r="111" spans="1:9">
      <c r="A111" s="175" t="s">
        <v>5287</v>
      </c>
      <c r="B111" s="175" t="s">
        <v>5288</v>
      </c>
      <c r="C111" s="175" t="s">
        <v>3311</v>
      </c>
      <c r="D111" s="175">
        <v>100</v>
      </c>
      <c r="E111" s="175">
        <v>0</v>
      </c>
      <c r="F111" s="175" t="s">
        <v>1535</v>
      </c>
      <c r="G111" s="175">
        <v>222</v>
      </c>
      <c r="H111" s="175">
        <v>0</v>
      </c>
      <c r="I111" s="175" t="s">
        <v>1549</v>
      </c>
    </row>
    <row r="112" spans="1:9">
      <c r="A112" s="175" t="s">
        <v>5289</v>
      </c>
      <c r="B112" s="175" t="s">
        <v>5290</v>
      </c>
      <c r="C112" s="175" t="s">
        <v>5291</v>
      </c>
      <c r="D112" s="175">
        <v>100</v>
      </c>
      <c r="E112" s="175">
        <v>0</v>
      </c>
      <c r="F112" s="175" t="s">
        <v>1535</v>
      </c>
      <c r="G112" s="175">
        <v>100</v>
      </c>
      <c r="H112" s="175">
        <v>0</v>
      </c>
      <c r="I112" s="175" t="s">
        <v>463</v>
      </c>
    </row>
    <row r="113" spans="1:9">
      <c r="A113" s="175" t="s">
        <v>5292</v>
      </c>
      <c r="B113" s="175" t="s">
        <v>5293</v>
      </c>
      <c r="C113" s="175" t="s">
        <v>3534</v>
      </c>
      <c r="D113" s="175">
        <v>100</v>
      </c>
      <c r="E113" s="175">
        <v>0</v>
      </c>
      <c r="F113" s="175" t="s">
        <v>1535</v>
      </c>
      <c r="G113" s="175">
        <v>100</v>
      </c>
      <c r="H113" s="175">
        <v>0</v>
      </c>
      <c r="I113" s="175" t="s">
        <v>463</v>
      </c>
    </row>
    <row r="114" spans="1:9">
      <c r="A114" s="175" t="s">
        <v>5294</v>
      </c>
      <c r="B114" s="175" t="s">
        <v>5295</v>
      </c>
      <c r="C114" s="175" t="s">
        <v>5296</v>
      </c>
      <c r="D114" s="175">
        <v>30</v>
      </c>
      <c r="E114" s="175">
        <v>0</v>
      </c>
      <c r="F114" s="175" t="s">
        <v>3472</v>
      </c>
      <c r="G114" s="175">
        <v>100</v>
      </c>
      <c r="H114" s="175">
        <v>0</v>
      </c>
      <c r="I114" s="175" t="s">
        <v>463</v>
      </c>
    </row>
    <row r="115" spans="1:9">
      <c r="A115" s="175" t="s">
        <v>5297</v>
      </c>
      <c r="B115" s="175" t="s">
        <v>5298</v>
      </c>
      <c r="C115" s="175" t="s">
        <v>5299</v>
      </c>
      <c r="D115" s="175">
        <v>1090</v>
      </c>
      <c r="E115" s="175">
        <v>0</v>
      </c>
      <c r="F115" s="175" t="s">
        <v>1549</v>
      </c>
      <c r="G115" s="175">
        <v>2</v>
      </c>
      <c r="H115" s="175">
        <v>0</v>
      </c>
      <c r="I115" s="175" t="s">
        <v>1635</v>
      </c>
    </row>
    <row r="116" spans="1:9">
      <c r="A116" s="175" t="s">
        <v>5300</v>
      </c>
      <c r="B116" s="175" t="s">
        <v>5301</v>
      </c>
      <c r="C116" s="175" t="s">
        <v>3580</v>
      </c>
      <c r="D116" s="175">
        <v>152</v>
      </c>
      <c r="E116" s="175">
        <v>0</v>
      </c>
      <c r="F116" s="175" t="s">
        <v>1549</v>
      </c>
      <c r="G116" s="175">
        <v>100</v>
      </c>
      <c r="H116" s="175">
        <v>0</v>
      </c>
      <c r="I116" s="175" t="s">
        <v>463</v>
      </c>
    </row>
    <row r="117" spans="1:9">
      <c r="A117" s="175" t="s">
        <v>5302</v>
      </c>
      <c r="B117" s="175" t="s">
        <v>5303</v>
      </c>
      <c r="C117" s="175" t="s">
        <v>3583</v>
      </c>
      <c r="D117" s="175">
        <v>152</v>
      </c>
      <c r="E117" s="175">
        <v>0</v>
      </c>
      <c r="F117" s="175" t="s">
        <v>1549</v>
      </c>
      <c r="G117" s="175">
        <v>100</v>
      </c>
      <c r="H117" s="175">
        <v>0</v>
      </c>
      <c r="I117" s="175" t="s">
        <v>463</v>
      </c>
    </row>
    <row r="118" spans="1:9">
      <c r="A118" s="175" t="s">
        <v>5304</v>
      </c>
      <c r="B118" s="175" t="s">
        <v>5305</v>
      </c>
      <c r="C118" s="175" t="s">
        <v>3586</v>
      </c>
      <c r="D118" s="175">
        <v>152</v>
      </c>
      <c r="E118" s="175">
        <v>0</v>
      </c>
      <c r="F118" s="175" t="s">
        <v>1549</v>
      </c>
      <c r="G118" s="175">
        <v>100</v>
      </c>
      <c r="H118" s="175">
        <v>0</v>
      </c>
      <c r="I118" s="175" t="s">
        <v>463</v>
      </c>
    </row>
    <row r="119" spans="1:9">
      <c r="A119" s="175" t="s">
        <v>5306</v>
      </c>
      <c r="B119" s="175" t="s">
        <v>5307</v>
      </c>
      <c r="C119" s="175" t="s">
        <v>3589</v>
      </c>
      <c r="D119" s="175">
        <v>152</v>
      </c>
      <c r="E119" s="175">
        <v>0</v>
      </c>
      <c r="F119" s="175" t="s">
        <v>1549</v>
      </c>
      <c r="G119" s="175">
        <v>100</v>
      </c>
      <c r="H119" s="175">
        <v>0</v>
      </c>
      <c r="I119" s="175" t="s">
        <v>463</v>
      </c>
    </row>
    <row r="120" spans="1:9">
      <c r="A120" s="175" t="s">
        <v>5308</v>
      </c>
      <c r="B120" s="175" t="s">
        <v>5309</v>
      </c>
      <c r="C120" s="175" t="s">
        <v>3592</v>
      </c>
      <c r="D120" s="175">
        <v>152</v>
      </c>
      <c r="E120" s="175">
        <v>0</v>
      </c>
      <c r="F120" s="175" t="s">
        <v>1549</v>
      </c>
      <c r="G120" s="175">
        <v>100</v>
      </c>
      <c r="H120" s="175">
        <v>0</v>
      </c>
      <c r="I120" s="175" t="s">
        <v>463</v>
      </c>
    </row>
    <row r="121" spans="1:9">
      <c r="A121" s="175" t="s">
        <v>5310</v>
      </c>
      <c r="B121" s="175" t="s">
        <v>5311</v>
      </c>
      <c r="C121" s="175" t="s">
        <v>3595</v>
      </c>
      <c r="D121" s="175">
        <v>152</v>
      </c>
      <c r="E121" s="175">
        <v>0</v>
      </c>
      <c r="F121" s="175" t="s">
        <v>1549</v>
      </c>
      <c r="G121" s="175">
        <v>100</v>
      </c>
      <c r="H121" s="175">
        <v>0</v>
      </c>
      <c r="I121" s="175" t="s">
        <v>463</v>
      </c>
    </row>
    <row r="122" spans="1:9">
      <c r="A122" s="175" t="s">
        <v>5312</v>
      </c>
      <c r="B122" s="175" t="s">
        <v>5313</v>
      </c>
      <c r="C122" s="175" t="s">
        <v>3598</v>
      </c>
      <c r="D122" s="175">
        <v>152</v>
      </c>
      <c r="E122" s="175">
        <v>0</v>
      </c>
      <c r="F122" s="175" t="s">
        <v>1549</v>
      </c>
      <c r="G122" s="175">
        <v>100</v>
      </c>
      <c r="H122" s="175">
        <v>0</v>
      </c>
      <c r="I122" s="175" t="s">
        <v>463</v>
      </c>
    </row>
    <row r="123" spans="1:9">
      <c r="A123" s="175" t="s">
        <v>5314</v>
      </c>
      <c r="B123" s="175" t="s">
        <v>5315</v>
      </c>
      <c r="C123" s="175" t="s">
        <v>3601</v>
      </c>
      <c r="D123" s="175">
        <v>152</v>
      </c>
      <c r="E123" s="175">
        <v>0</v>
      </c>
      <c r="F123" s="175" t="s">
        <v>1549</v>
      </c>
      <c r="G123" s="175">
        <v>100</v>
      </c>
      <c r="H123" s="175">
        <v>0</v>
      </c>
      <c r="I123" s="175" t="s">
        <v>463</v>
      </c>
    </row>
    <row r="124" spans="1:9">
      <c r="A124" s="175" t="s">
        <v>5316</v>
      </c>
      <c r="B124" s="175" t="s">
        <v>5317</v>
      </c>
      <c r="C124" s="175" t="s">
        <v>3568</v>
      </c>
      <c r="D124" s="175">
        <v>864</v>
      </c>
      <c r="E124" s="175">
        <v>0</v>
      </c>
      <c r="F124" s="175" t="s">
        <v>1549</v>
      </c>
      <c r="G124" s="175">
        <v>100</v>
      </c>
      <c r="H124" s="175">
        <v>0</v>
      </c>
      <c r="I124" s="175" t="s">
        <v>463</v>
      </c>
    </row>
    <row r="125" spans="1:9">
      <c r="A125" s="175" t="s">
        <v>5318</v>
      </c>
      <c r="B125" s="175" t="s">
        <v>5319</v>
      </c>
      <c r="C125" s="175" t="s">
        <v>5320</v>
      </c>
      <c r="D125" s="175">
        <v>342</v>
      </c>
      <c r="E125" s="175">
        <v>0</v>
      </c>
      <c r="F125" s="175" t="s">
        <v>1549</v>
      </c>
      <c r="G125" s="175">
        <v>100</v>
      </c>
      <c r="H125" s="175">
        <v>0</v>
      </c>
      <c r="I125" s="175" t="s">
        <v>463</v>
      </c>
    </row>
    <row r="126" spans="1:9">
      <c r="A126" s="175" t="s">
        <v>5321</v>
      </c>
      <c r="B126" s="175" t="s">
        <v>5322</v>
      </c>
      <c r="C126" s="175" t="s">
        <v>5323</v>
      </c>
      <c r="D126" s="175">
        <v>250.1</v>
      </c>
      <c r="E126" s="175">
        <v>0</v>
      </c>
      <c r="F126" s="175" t="s">
        <v>1549</v>
      </c>
      <c r="G126" s="175">
        <v>100</v>
      </c>
      <c r="H126" s="175">
        <v>0</v>
      </c>
      <c r="I126" s="175" t="s">
        <v>463</v>
      </c>
    </row>
    <row r="127" spans="1:9">
      <c r="A127" s="175" t="s">
        <v>5324</v>
      </c>
      <c r="B127" s="175" t="s">
        <v>5325</v>
      </c>
      <c r="C127" s="175" t="s">
        <v>5326</v>
      </c>
      <c r="D127" s="175">
        <v>220</v>
      </c>
      <c r="E127" s="175">
        <v>0</v>
      </c>
      <c r="F127" s="175" t="s">
        <v>1549</v>
      </c>
      <c r="G127" s="175">
        <v>100</v>
      </c>
      <c r="H127" s="175">
        <v>0</v>
      </c>
      <c r="I127" s="175" t="s">
        <v>463</v>
      </c>
    </row>
    <row r="128" spans="1:9">
      <c r="A128" s="175" t="s">
        <v>5327</v>
      </c>
      <c r="B128" s="175" t="s">
        <v>5328</v>
      </c>
      <c r="C128" s="175" t="s">
        <v>5329</v>
      </c>
      <c r="D128" s="175">
        <v>400</v>
      </c>
      <c r="E128" s="175">
        <v>0</v>
      </c>
      <c r="F128" s="175" t="s">
        <v>1549</v>
      </c>
      <c r="G128" s="175">
        <v>100</v>
      </c>
      <c r="H128" s="175">
        <v>0</v>
      </c>
      <c r="I128" s="175" t="s">
        <v>463</v>
      </c>
    </row>
    <row r="129" spans="1:9">
      <c r="A129" s="175" t="s">
        <v>5330</v>
      </c>
      <c r="B129" s="175" t="s">
        <v>5331</v>
      </c>
      <c r="C129" s="175" t="s">
        <v>5332</v>
      </c>
      <c r="D129" s="175">
        <v>1.2</v>
      </c>
      <c r="E129" s="175">
        <v>0</v>
      </c>
      <c r="F129" s="175" t="s">
        <v>3106</v>
      </c>
      <c r="G129" s="175">
        <v>100</v>
      </c>
      <c r="H129" s="175">
        <v>0</v>
      </c>
      <c r="I129" s="175" t="s">
        <v>463</v>
      </c>
    </row>
    <row r="130" spans="1:9">
      <c r="A130" s="175" t="s">
        <v>5333</v>
      </c>
      <c r="B130" s="175" t="s">
        <v>5334</v>
      </c>
      <c r="C130" s="175" t="s">
        <v>3664</v>
      </c>
      <c r="D130" s="175">
        <v>100</v>
      </c>
      <c r="E130" s="175">
        <v>0</v>
      </c>
      <c r="F130" s="175" t="s">
        <v>463</v>
      </c>
      <c r="G130" s="175">
        <v>400</v>
      </c>
      <c r="H130" s="175">
        <v>0</v>
      </c>
      <c r="I130" s="175" t="s">
        <v>1549</v>
      </c>
    </row>
    <row r="131" spans="1:9">
      <c r="A131" s="175" t="s">
        <v>5335</v>
      </c>
      <c r="B131" s="175" t="s">
        <v>5336</v>
      </c>
      <c r="C131" s="175" t="s">
        <v>3617</v>
      </c>
      <c r="D131" s="175">
        <v>100</v>
      </c>
      <c r="E131" s="175">
        <v>0</v>
      </c>
      <c r="F131" s="175" t="s">
        <v>463</v>
      </c>
      <c r="G131" s="175">
        <v>342</v>
      </c>
      <c r="H131" s="175">
        <v>0</v>
      </c>
      <c r="I131" s="175" t="s">
        <v>1549</v>
      </c>
    </row>
    <row r="132" spans="1:9">
      <c r="A132" s="175" t="s">
        <v>5337</v>
      </c>
      <c r="B132" s="175" t="s">
        <v>5338</v>
      </c>
      <c r="C132" s="175" t="s">
        <v>3624</v>
      </c>
      <c r="D132" s="175">
        <v>100</v>
      </c>
      <c r="E132" s="175">
        <v>0</v>
      </c>
      <c r="F132" s="175" t="s">
        <v>463</v>
      </c>
      <c r="G132" s="175">
        <v>100</v>
      </c>
      <c r="H132" s="175">
        <v>0</v>
      </c>
      <c r="I132" s="175" t="s">
        <v>463</v>
      </c>
    </row>
    <row r="133" spans="1:9">
      <c r="A133" s="175" t="s">
        <v>5339</v>
      </c>
      <c r="B133" s="175" t="s">
        <v>1014</v>
      </c>
      <c r="C133" s="175" t="s">
        <v>3624</v>
      </c>
      <c r="D133" s="175">
        <v>1.8</v>
      </c>
      <c r="E133" s="175">
        <v>0</v>
      </c>
      <c r="F133" s="175" t="s">
        <v>2000</v>
      </c>
      <c r="G133" s="175">
        <v>100</v>
      </c>
      <c r="H133" s="175">
        <v>0</v>
      </c>
      <c r="I133" s="175" t="s">
        <v>463</v>
      </c>
    </row>
    <row r="134" spans="1:9">
      <c r="A134" s="175" t="s">
        <v>5340</v>
      </c>
      <c r="B134" s="175" t="s">
        <v>5341</v>
      </c>
      <c r="C134" s="175" t="s">
        <v>3342</v>
      </c>
      <c r="D134" s="175">
        <v>2</v>
      </c>
      <c r="E134" s="175">
        <v>0</v>
      </c>
      <c r="F134" s="175" t="s">
        <v>1635</v>
      </c>
      <c r="G134" s="175">
        <v>100</v>
      </c>
      <c r="H134" s="175">
        <v>0</v>
      </c>
      <c r="I134" s="175" t="s">
        <v>463</v>
      </c>
    </row>
    <row r="135" spans="1:9">
      <c r="A135" s="175" t="s">
        <v>5342</v>
      </c>
      <c r="B135" s="175" t="s">
        <v>5343</v>
      </c>
      <c r="C135" s="175" t="s">
        <v>3646</v>
      </c>
      <c r="D135" s="175">
        <v>150</v>
      </c>
      <c r="E135" s="175">
        <v>0</v>
      </c>
      <c r="F135" s="175" t="s">
        <v>1535</v>
      </c>
      <c r="G135" s="175">
        <v>100</v>
      </c>
      <c r="H135" s="175">
        <v>0</v>
      </c>
      <c r="I135" s="175" t="s">
        <v>463</v>
      </c>
    </row>
    <row r="136" spans="1:9">
      <c r="A136" s="175" t="s">
        <v>5344</v>
      </c>
      <c r="B136" s="175" t="s">
        <v>5345</v>
      </c>
      <c r="C136" s="175" t="s">
        <v>3308</v>
      </c>
      <c r="D136" s="175">
        <v>150</v>
      </c>
      <c r="E136" s="175">
        <v>0</v>
      </c>
      <c r="F136" s="175" t="s">
        <v>1535</v>
      </c>
      <c r="G136" s="175">
        <v>0.5</v>
      </c>
      <c r="H136" s="175">
        <v>0</v>
      </c>
      <c r="I136" s="175" t="s">
        <v>3106</v>
      </c>
    </row>
    <row r="137" spans="1:9">
      <c r="A137" s="175" t="s">
        <v>5346</v>
      </c>
      <c r="B137" s="175" t="s">
        <v>5347</v>
      </c>
      <c r="C137" s="175" t="s">
        <v>3730</v>
      </c>
      <c r="D137" s="175">
        <v>70</v>
      </c>
      <c r="E137" s="175">
        <v>-70</v>
      </c>
      <c r="F137" s="175" t="s">
        <v>1639</v>
      </c>
      <c r="G137" s="175">
        <v>100</v>
      </c>
      <c r="H137" s="175">
        <v>0</v>
      </c>
      <c r="I137" s="175" t="s">
        <v>463</v>
      </c>
    </row>
    <row r="138" spans="1:9">
      <c r="A138" s="175" t="s">
        <v>5348</v>
      </c>
      <c r="B138" s="175" t="s">
        <v>918</v>
      </c>
      <c r="C138" s="175" t="s">
        <v>3746</v>
      </c>
      <c r="D138" s="175">
        <v>100</v>
      </c>
      <c r="E138" s="175">
        <v>0</v>
      </c>
      <c r="F138" s="175" t="s">
        <v>463</v>
      </c>
      <c r="G138" s="175">
        <v>100</v>
      </c>
      <c r="H138" s="175">
        <v>0</v>
      </c>
      <c r="I138" s="175" t="s">
        <v>463</v>
      </c>
    </row>
    <row r="139" spans="1:9">
      <c r="A139" s="175" t="s">
        <v>5349</v>
      </c>
      <c r="B139" s="175" t="s">
        <v>5350</v>
      </c>
      <c r="C139" s="175" t="s">
        <v>3793</v>
      </c>
      <c r="D139" s="175">
        <v>8000</v>
      </c>
      <c r="E139" s="175">
        <v>0</v>
      </c>
      <c r="F139" s="175" t="s">
        <v>3761</v>
      </c>
      <c r="G139" s="175">
        <v>100</v>
      </c>
      <c r="H139" s="175">
        <v>0</v>
      </c>
      <c r="I139" s="175" t="s">
        <v>1577</v>
      </c>
    </row>
    <row r="140" spans="1:9">
      <c r="A140" s="175" t="s">
        <v>5351</v>
      </c>
      <c r="B140" s="175" t="s">
        <v>5352</v>
      </c>
      <c r="C140" s="175" t="s">
        <v>3780</v>
      </c>
      <c r="D140" s="175">
        <v>24.21</v>
      </c>
      <c r="E140" s="175">
        <v>0</v>
      </c>
      <c r="F140" s="175" t="s">
        <v>1549</v>
      </c>
      <c r="G140" s="175">
        <v>100</v>
      </c>
      <c r="H140" s="175">
        <v>0</v>
      </c>
      <c r="I140" s="175" t="s">
        <v>463</v>
      </c>
    </row>
    <row r="141" spans="1:9">
      <c r="A141" s="175" t="s">
        <v>5353</v>
      </c>
      <c r="B141" s="175" t="s">
        <v>914</v>
      </c>
      <c r="C141" s="175" t="s">
        <v>3801</v>
      </c>
      <c r="D141" s="175">
        <v>100</v>
      </c>
      <c r="E141" s="175">
        <v>0</v>
      </c>
      <c r="F141" s="175" t="s">
        <v>463</v>
      </c>
      <c r="G141" s="175">
        <v>100</v>
      </c>
      <c r="H141" s="175">
        <v>0</v>
      </c>
      <c r="I141" s="175" t="s">
        <v>1577</v>
      </c>
    </row>
    <row r="142" spans="1:9">
      <c r="A142" s="175" t="s">
        <v>5354</v>
      </c>
      <c r="B142" s="175" t="s">
        <v>1017</v>
      </c>
      <c r="C142" s="175" t="s">
        <v>3746</v>
      </c>
      <c r="D142" s="175">
        <v>10</v>
      </c>
      <c r="E142" s="175">
        <v>0</v>
      </c>
      <c r="F142" s="175" t="s">
        <v>2000</v>
      </c>
      <c r="G142" s="175">
        <v>100</v>
      </c>
      <c r="H142" s="175">
        <v>0</v>
      </c>
      <c r="I142" s="175" t="s">
        <v>463</v>
      </c>
    </row>
    <row r="143" spans="1:9">
      <c r="A143" s="175" t="s">
        <v>5355</v>
      </c>
      <c r="B143" s="175" t="s">
        <v>464</v>
      </c>
      <c r="C143" s="175" t="s">
        <v>3869</v>
      </c>
      <c r="D143" s="175">
        <v>5</v>
      </c>
      <c r="E143" s="175">
        <v>0</v>
      </c>
      <c r="F143" s="175" t="s">
        <v>2000</v>
      </c>
      <c r="G143" s="175">
        <v>100</v>
      </c>
      <c r="H143" s="175">
        <v>0</v>
      </c>
      <c r="I143" s="175" t="s">
        <v>463</v>
      </c>
    </row>
    <row r="144" spans="1:9">
      <c r="A144" s="175" t="s">
        <v>5356</v>
      </c>
      <c r="B144" s="175" t="s">
        <v>5357</v>
      </c>
      <c r="C144" s="175" t="s">
        <v>3903</v>
      </c>
      <c r="D144" s="175">
        <v>6</v>
      </c>
      <c r="E144" s="175">
        <v>0</v>
      </c>
      <c r="F144" s="175" t="s">
        <v>2000</v>
      </c>
      <c r="G144" s="175">
        <v>100</v>
      </c>
      <c r="H144" s="175">
        <v>0</v>
      </c>
      <c r="I144" s="175" t="s">
        <v>463</v>
      </c>
    </row>
    <row r="145" spans="1:9">
      <c r="A145" s="175" t="s">
        <v>5358</v>
      </c>
      <c r="B145" s="175" t="s">
        <v>5359</v>
      </c>
      <c r="C145" s="175" t="s">
        <v>3948</v>
      </c>
      <c r="D145" s="175">
        <v>131.25</v>
      </c>
      <c r="E145" s="175">
        <v>0</v>
      </c>
      <c r="F145" s="175" t="s">
        <v>1556</v>
      </c>
      <c r="G145" s="175">
        <v>100</v>
      </c>
      <c r="H145" s="175">
        <v>0</v>
      </c>
      <c r="I145" s="175" t="s">
        <v>463</v>
      </c>
    </row>
    <row r="146" spans="1:9">
      <c r="A146" s="175" t="s">
        <v>5360</v>
      </c>
      <c r="B146" s="175" t="s">
        <v>5361</v>
      </c>
      <c r="C146" s="175" t="s">
        <v>3036</v>
      </c>
      <c r="D146" s="175">
        <v>598</v>
      </c>
      <c r="E146" s="175">
        <v>0</v>
      </c>
      <c r="F146" s="175" t="s">
        <v>1549</v>
      </c>
      <c r="G146" s="175">
        <v>100</v>
      </c>
      <c r="H146" s="175">
        <v>0</v>
      </c>
      <c r="I146" s="175" t="s">
        <v>463</v>
      </c>
    </row>
    <row r="147" spans="1:9">
      <c r="A147" s="175" t="s">
        <v>5362</v>
      </c>
      <c r="B147" s="175" t="s">
        <v>5363</v>
      </c>
      <c r="C147" s="175" t="s">
        <v>3342</v>
      </c>
      <c r="D147" s="175">
        <v>2</v>
      </c>
      <c r="E147" s="175">
        <v>0</v>
      </c>
      <c r="F147" s="175" t="s">
        <v>1635</v>
      </c>
      <c r="G147" s="175">
        <v>100</v>
      </c>
      <c r="H147" s="175">
        <v>0</v>
      </c>
      <c r="I147" s="175" t="s">
        <v>463</v>
      </c>
    </row>
    <row r="148" spans="1:9">
      <c r="A148" s="175" t="s">
        <v>5364</v>
      </c>
      <c r="B148" s="175" t="s">
        <v>5365</v>
      </c>
      <c r="C148" s="175" t="s">
        <v>3514</v>
      </c>
      <c r="D148" s="175">
        <v>616</v>
      </c>
      <c r="E148" s="175">
        <v>0</v>
      </c>
      <c r="F148" s="175" t="s">
        <v>1535</v>
      </c>
      <c r="G148" s="175">
        <v>100</v>
      </c>
      <c r="H148" s="175">
        <v>0</v>
      </c>
      <c r="I148" s="175" t="s">
        <v>463</v>
      </c>
    </row>
    <row r="149" spans="1:9">
      <c r="A149" s="175" t="s">
        <v>5366</v>
      </c>
      <c r="B149" s="175" t="s">
        <v>5367</v>
      </c>
      <c r="C149" s="175" t="s">
        <v>5368</v>
      </c>
      <c r="D149" s="175">
        <v>200</v>
      </c>
      <c r="E149" s="175">
        <v>0</v>
      </c>
      <c r="F149" s="175" t="s">
        <v>1535</v>
      </c>
      <c r="G149" s="175">
        <v>100</v>
      </c>
      <c r="H149" s="175">
        <v>0</v>
      </c>
      <c r="I149" s="175" t="s">
        <v>463</v>
      </c>
    </row>
    <row r="150" spans="1:9">
      <c r="A150" s="175" t="s">
        <v>5369</v>
      </c>
      <c r="B150" s="175" t="s">
        <v>5370</v>
      </c>
      <c r="C150" s="175" t="s">
        <v>5296</v>
      </c>
      <c r="D150" s="175">
        <v>30</v>
      </c>
      <c r="E150" s="175">
        <v>0</v>
      </c>
      <c r="F150" s="175" t="s">
        <v>3472</v>
      </c>
      <c r="G150" s="175">
        <v>100</v>
      </c>
      <c r="H150" s="175">
        <v>0</v>
      </c>
      <c r="I150" s="175" t="s">
        <v>463</v>
      </c>
    </row>
    <row r="151" spans="1:9">
      <c r="A151" s="175" t="s">
        <v>5371</v>
      </c>
      <c r="B151" s="175" t="s">
        <v>5372</v>
      </c>
      <c r="C151" s="175" t="s">
        <v>4047</v>
      </c>
      <c r="D151" s="175">
        <v>400</v>
      </c>
      <c r="E151" s="175">
        <v>0</v>
      </c>
      <c r="F151" s="175" t="s">
        <v>1549</v>
      </c>
      <c r="G151" s="175">
        <v>100</v>
      </c>
      <c r="H151" s="175">
        <v>0</v>
      </c>
      <c r="I151" s="175" t="s">
        <v>463</v>
      </c>
    </row>
    <row r="152" spans="1:9">
      <c r="A152" s="175" t="s">
        <v>5373</v>
      </c>
      <c r="B152" s="175" t="s">
        <v>5374</v>
      </c>
      <c r="C152" s="175" t="s">
        <v>4050</v>
      </c>
      <c r="D152" s="175">
        <v>400</v>
      </c>
      <c r="E152" s="175">
        <v>0</v>
      </c>
      <c r="F152" s="175" t="s">
        <v>1549</v>
      </c>
      <c r="G152" s="175">
        <v>100</v>
      </c>
      <c r="H152" s="175">
        <v>0</v>
      </c>
      <c r="I152" s="175" t="s">
        <v>463</v>
      </c>
    </row>
    <row r="153" spans="1:9">
      <c r="A153" s="175" t="s">
        <v>5375</v>
      </c>
      <c r="B153" s="175" t="s">
        <v>5376</v>
      </c>
      <c r="C153" s="175" t="s">
        <v>4053</v>
      </c>
      <c r="D153" s="175">
        <v>150</v>
      </c>
      <c r="E153" s="175">
        <v>0</v>
      </c>
      <c r="F153" s="175" t="s">
        <v>1549</v>
      </c>
      <c r="G153" s="175">
        <v>100</v>
      </c>
      <c r="H153" s="175">
        <v>0</v>
      </c>
      <c r="I153" s="175" t="s">
        <v>463</v>
      </c>
    </row>
  </sheetData>
  <phoneticPr fontId="14" type="noConversion"/>
  <pageMargins left="0.75" right="0.75" top="1" bottom="1" header="0.5" footer="0.5"/>
  <pageSetup paperSize="9" orientation="portrait" r:id="rId1"/>
</worksheet>
</file>

<file path=xl/worksheets/sheet45.xml><?xml version="1.0" encoding="utf-8"?>
<worksheet xmlns="http://schemas.openxmlformats.org/spreadsheetml/2006/main" xmlns:r="http://schemas.openxmlformats.org/officeDocument/2006/relationships">
  <dimension ref="A1:T154"/>
  <sheetViews>
    <sheetView topLeftCell="D1" workbookViewId="0">
      <selection sqref="A1:XFD1048576"/>
    </sheetView>
  </sheetViews>
  <sheetFormatPr defaultColWidth="9" defaultRowHeight="13.5"/>
  <cols>
    <col min="1" max="1" width="13.375" style="867" customWidth="1"/>
    <col min="2" max="3" width="31.125" style="867" customWidth="1"/>
    <col min="4" max="4" width="14" style="867" customWidth="1"/>
    <col min="5" max="5" width="42.375" style="867" customWidth="1"/>
    <col min="6" max="6" width="8" style="867" customWidth="1"/>
    <col min="7" max="7" width="6.375" style="867" customWidth="1"/>
    <col min="8" max="8" width="9.75" style="867" customWidth="1"/>
    <col min="9" max="9" width="7.875" style="867" customWidth="1"/>
    <col min="10" max="10" width="7.375" style="867" customWidth="1"/>
    <col min="11" max="12" width="8.375" style="867" customWidth="1"/>
    <col min="13" max="13" width="12.75" style="867" customWidth="1"/>
    <col min="14" max="14" width="6.25" style="867" bestFit="1" customWidth="1"/>
    <col min="15" max="15" width="3.875" style="867" customWidth="1"/>
    <col min="16" max="16" width="12.75" style="867" customWidth="1"/>
    <col min="17" max="17" width="10" style="867" customWidth="1"/>
    <col min="18" max="18" width="8.25" style="867" customWidth="1"/>
    <col min="19" max="19" width="7.75" style="867" customWidth="1"/>
    <col min="20" max="20" width="9.75" style="867" customWidth="1"/>
    <col min="21" max="16384" width="9" style="867"/>
  </cols>
  <sheetData>
    <row r="1" spans="1:20" ht="27">
      <c r="A1" s="868" t="s">
        <v>10615</v>
      </c>
      <c r="B1" s="868" t="s">
        <v>10616</v>
      </c>
      <c r="C1" s="868" t="s">
        <v>1526</v>
      </c>
      <c r="D1" s="868" t="s">
        <v>10617</v>
      </c>
      <c r="E1" s="868" t="s">
        <v>10618</v>
      </c>
      <c r="F1" s="868" t="s">
        <v>10619</v>
      </c>
      <c r="G1" s="868" t="s">
        <v>10620</v>
      </c>
      <c r="H1" s="868" t="s">
        <v>10621</v>
      </c>
      <c r="I1" s="868" t="s">
        <v>10622</v>
      </c>
      <c r="J1" s="868" t="s">
        <v>10623</v>
      </c>
      <c r="K1" s="868" t="s">
        <v>10624</v>
      </c>
      <c r="L1" s="870" t="s">
        <v>10625</v>
      </c>
      <c r="M1" s="870" t="s">
        <v>10626</v>
      </c>
      <c r="N1" s="870" t="s">
        <v>10627</v>
      </c>
      <c r="O1" s="870" t="s">
        <v>10628</v>
      </c>
      <c r="P1" s="870" t="s">
        <v>10629</v>
      </c>
      <c r="Q1" s="870" t="s">
        <v>10630</v>
      </c>
      <c r="R1" s="870" t="s">
        <v>10631</v>
      </c>
      <c r="S1" s="870" t="s">
        <v>10632</v>
      </c>
      <c r="T1" s="870" t="s">
        <v>10633</v>
      </c>
    </row>
    <row r="2" spans="1:20" ht="27">
      <c r="A2" s="868"/>
      <c r="B2" s="868"/>
      <c r="C2" s="868"/>
      <c r="D2" s="868"/>
      <c r="E2" s="868"/>
      <c r="F2" s="868"/>
      <c r="G2" s="868"/>
      <c r="H2" s="868"/>
      <c r="I2" s="868"/>
      <c r="J2" s="868"/>
      <c r="K2" s="868"/>
      <c r="L2" s="870" t="s">
        <v>10634</v>
      </c>
      <c r="M2" s="870" t="s">
        <v>10635</v>
      </c>
      <c r="N2" s="870" t="s">
        <v>10635</v>
      </c>
      <c r="O2" s="870"/>
      <c r="P2" s="870"/>
      <c r="Q2" s="870" t="s">
        <v>10636</v>
      </c>
      <c r="R2" s="870" t="s">
        <v>463</v>
      </c>
      <c r="S2" s="870" t="s">
        <v>463</v>
      </c>
      <c r="T2" s="870"/>
    </row>
    <row r="3" spans="1:20">
      <c r="A3" s="869" t="s">
        <v>10637</v>
      </c>
      <c r="B3" s="869" t="s">
        <v>5065</v>
      </c>
      <c r="C3" s="869" t="s">
        <v>5065</v>
      </c>
      <c r="D3" s="869" t="s">
        <v>904</v>
      </c>
      <c r="E3" s="869" t="s">
        <v>1586</v>
      </c>
      <c r="F3" s="869">
        <v>100</v>
      </c>
      <c r="G3" s="869">
        <v>0</v>
      </c>
      <c r="H3" s="869" t="s">
        <v>463</v>
      </c>
      <c r="I3" s="869">
        <v>100</v>
      </c>
      <c r="J3" s="869">
        <v>0</v>
      </c>
      <c r="K3" s="869" t="s">
        <v>463</v>
      </c>
      <c r="L3" s="869">
        <v>50</v>
      </c>
      <c r="M3" s="869">
        <v>10</v>
      </c>
      <c r="N3" s="869">
        <v>0</v>
      </c>
      <c r="O3" s="869">
        <v>10</v>
      </c>
      <c r="P3" s="869">
        <v>0.5</v>
      </c>
      <c r="Q3" s="869">
        <v>0</v>
      </c>
      <c r="R3" s="869">
        <v>100</v>
      </c>
      <c r="S3" s="869">
        <v>100</v>
      </c>
      <c r="T3" s="869">
        <v>1</v>
      </c>
    </row>
    <row r="4" spans="1:20">
      <c r="A4" s="869" t="s">
        <v>10637</v>
      </c>
      <c r="B4" s="869" t="s">
        <v>5066</v>
      </c>
      <c r="C4" s="869" t="s">
        <v>5066</v>
      </c>
      <c r="D4" s="869" t="s">
        <v>5067</v>
      </c>
      <c r="E4" s="869" t="s">
        <v>1576</v>
      </c>
      <c r="F4" s="869">
        <v>100</v>
      </c>
      <c r="G4" s="869">
        <v>0</v>
      </c>
      <c r="H4" s="869" t="s">
        <v>463</v>
      </c>
      <c r="I4" s="869">
        <v>100</v>
      </c>
      <c r="J4" s="869">
        <v>0</v>
      </c>
      <c r="K4" s="869" t="s">
        <v>463</v>
      </c>
      <c r="L4" s="869">
        <v>50</v>
      </c>
      <c r="M4" s="869">
        <v>25</v>
      </c>
      <c r="N4" s="869">
        <v>0</v>
      </c>
      <c r="O4" s="869">
        <v>10</v>
      </c>
      <c r="P4" s="869">
        <v>0.5</v>
      </c>
      <c r="Q4" s="869">
        <v>0</v>
      </c>
      <c r="R4" s="869">
        <v>100</v>
      </c>
      <c r="S4" s="869">
        <v>100</v>
      </c>
      <c r="T4" s="869">
        <v>1</v>
      </c>
    </row>
    <row r="5" spans="1:20">
      <c r="A5" s="869" t="s">
        <v>10637</v>
      </c>
      <c r="B5" s="869" t="s">
        <v>5068</v>
      </c>
      <c r="C5" s="869" t="s">
        <v>5068</v>
      </c>
      <c r="D5" s="869" t="s">
        <v>5069</v>
      </c>
      <c r="E5" s="869" t="s">
        <v>1580</v>
      </c>
      <c r="F5" s="869">
        <v>100</v>
      </c>
      <c r="G5" s="869">
        <v>0</v>
      </c>
      <c r="H5" s="869" t="s">
        <v>463</v>
      </c>
      <c r="I5" s="869">
        <v>100</v>
      </c>
      <c r="J5" s="869">
        <v>0</v>
      </c>
      <c r="K5" s="869" t="s">
        <v>463</v>
      </c>
      <c r="L5" s="869">
        <v>50</v>
      </c>
      <c r="M5" s="869">
        <v>25</v>
      </c>
      <c r="N5" s="869">
        <v>0</v>
      </c>
      <c r="O5" s="869">
        <v>10</v>
      </c>
      <c r="P5" s="869">
        <v>0.5</v>
      </c>
      <c r="Q5" s="869">
        <v>0</v>
      </c>
      <c r="R5" s="869">
        <v>100</v>
      </c>
      <c r="S5" s="869">
        <v>100</v>
      </c>
      <c r="T5" s="869">
        <v>1</v>
      </c>
    </row>
    <row r="6" spans="1:20">
      <c r="A6" s="869" t="s">
        <v>10637</v>
      </c>
      <c r="B6" s="869" t="s">
        <v>5070</v>
      </c>
      <c r="C6" s="869" t="s">
        <v>5070</v>
      </c>
      <c r="D6" s="869" t="s">
        <v>5071</v>
      </c>
      <c r="E6" s="869" t="s">
        <v>1583</v>
      </c>
      <c r="F6" s="869">
        <v>100</v>
      </c>
      <c r="G6" s="869">
        <v>0</v>
      </c>
      <c r="H6" s="869" t="s">
        <v>463</v>
      </c>
      <c r="I6" s="869">
        <v>100</v>
      </c>
      <c r="J6" s="869">
        <v>0</v>
      </c>
      <c r="K6" s="869" t="s">
        <v>463</v>
      </c>
      <c r="L6" s="869">
        <v>35</v>
      </c>
      <c r="M6" s="869">
        <v>15</v>
      </c>
      <c r="N6" s="869">
        <v>0</v>
      </c>
      <c r="O6" s="869">
        <v>10</v>
      </c>
      <c r="P6" s="869">
        <v>0.5</v>
      </c>
      <c r="Q6" s="869">
        <v>0</v>
      </c>
      <c r="R6" s="869">
        <v>100</v>
      </c>
      <c r="S6" s="869">
        <v>100</v>
      </c>
      <c r="T6" s="869">
        <v>1</v>
      </c>
    </row>
    <row r="7" spans="1:20">
      <c r="A7" s="869" t="s">
        <v>10637</v>
      </c>
      <c r="B7" s="869" t="s">
        <v>5072</v>
      </c>
      <c r="C7" s="869" t="s">
        <v>5072</v>
      </c>
      <c r="D7" s="869" t="s">
        <v>936</v>
      </c>
      <c r="E7" s="869" t="s">
        <v>1589</v>
      </c>
      <c r="F7" s="869">
        <v>100</v>
      </c>
      <c r="G7" s="869">
        <v>0</v>
      </c>
      <c r="H7" s="869" t="s">
        <v>463</v>
      </c>
      <c r="I7" s="869">
        <v>100</v>
      </c>
      <c r="J7" s="869">
        <v>0</v>
      </c>
      <c r="K7" s="869" t="s">
        <v>463</v>
      </c>
      <c r="L7" s="869">
        <v>75</v>
      </c>
      <c r="M7" s="869">
        <v>20</v>
      </c>
      <c r="N7" s="869">
        <v>0</v>
      </c>
      <c r="O7" s="869">
        <v>10</v>
      </c>
      <c r="P7" s="869">
        <v>0.5</v>
      </c>
      <c r="Q7" s="869">
        <v>0</v>
      </c>
      <c r="R7" s="869">
        <v>100</v>
      </c>
      <c r="S7" s="869">
        <v>100</v>
      </c>
      <c r="T7" s="869">
        <v>1</v>
      </c>
    </row>
    <row r="8" spans="1:20">
      <c r="A8" s="869" t="s">
        <v>10637</v>
      </c>
      <c r="B8" s="869" t="s">
        <v>5073</v>
      </c>
      <c r="C8" s="869" t="s">
        <v>5073</v>
      </c>
      <c r="D8" s="869" t="s">
        <v>939</v>
      </c>
      <c r="E8" s="869" t="s">
        <v>1625</v>
      </c>
      <c r="F8" s="869">
        <v>100</v>
      </c>
      <c r="G8" s="869">
        <v>0</v>
      </c>
      <c r="H8" s="869" t="s">
        <v>463</v>
      </c>
      <c r="I8" s="869">
        <v>100</v>
      </c>
      <c r="J8" s="869">
        <v>0</v>
      </c>
      <c r="K8" s="869" t="s">
        <v>463</v>
      </c>
      <c r="L8" s="869">
        <v>75</v>
      </c>
      <c r="M8" s="869">
        <v>20</v>
      </c>
      <c r="N8" s="869">
        <v>0</v>
      </c>
      <c r="O8" s="869">
        <v>10</v>
      </c>
      <c r="P8" s="869">
        <v>0.5</v>
      </c>
      <c r="Q8" s="869">
        <v>0</v>
      </c>
      <c r="R8" s="869">
        <v>100</v>
      </c>
      <c r="S8" s="869">
        <v>100</v>
      </c>
      <c r="T8" s="869">
        <v>1</v>
      </c>
    </row>
    <row r="9" spans="1:20">
      <c r="A9" s="869" t="s">
        <v>10637</v>
      </c>
      <c r="B9" s="869" t="s">
        <v>5074</v>
      </c>
      <c r="C9" s="869" t="s">
        <v>5074</v>
      </c>
      <c r="D9" s="869" t="s">
        <v>941</v>
      </c>
      <c r="E9" s="869" t="s">
        <v>5075</v>
      </c>
      <c r="F9" s="869">
        <v>100</v>
      </c>
      <c r="G9" s="869">
        <v>0</v>
      </c>
      <c r="H9" s="869" t="s">
        <v>463</v>
      </c>
      <c r="I9" s="869">
        <v>100</v>
      </c>
      <c r="J9" s="869">
        <v>0</v>
      </c>
      <c r="K9" s="869" t="s">
        <v>463</v>
      </c>
      <c r="L9" s="869">
        <v>100</v>
      </c>
      <c r="M9" s="869">
        <v>15</v>
      </c>
      <c r="N9" s="869">
        <v>0</v>
      </c>
      <c r="O9" s="869">
        <v>10</v>
      </c>
      <c r="P9" s="869">
        <v>0.5</v>
      </c>
      <c r="Q9" s="869">
        <v>0</v>
      </c>
      <c r="R9" s="869">
        <v>100</v>
      </c>
      <c r="S9" s="869">
        <v>100</v>
      </c>
      <c r="T9" s="869">
        <v>1</v>
      </c>
    </row>
    <row r="10" spans="1:20">
      <c r="A10" s="869" t="s">
        <v>10637</v>
      </c>
      <c r="B10" s="869" t="s">
        <v>5076</v>
      </c>
      <c r="C10" s="869" t="s">
        <v>5076</v>
      </c>
      <c r="D10" s="869" t="s">
        <v>5077</v>
      </c>
      <c r="E10" s="869" t="s">
        <v>5078</v>
      </c>
      <c r="F10" s="869">
        <v>10</v>
      </c>
      <c r="G10" s="869">
        <v>-20</v>
      </c>
      <c r="H10" s="869" t="s">
        <v>1535</v>
      </c>
      <c r="I10" s="869">
        <v>400</v>
      </c>
      <c r="J10" s="869">
        <v>50</v>
      </c>
      <c r="K10" s="869" t="s">
        <v>1549</v>
      </c>
      <c r="L10" s="869">
        <v>500</v>
      </c>
      <c r="M10" s="869">
        <v>250</v>
      </c>
      <c r="N10" s="869">
        <v>0</v>
      </c>
      <c r="O10" s="869">
        <v>10</v>
      </c>
      <c r="P10" s="869">
        <v>0.5</v>
      </c>
      <c r="Q10" s="869">
        <v>0</v>
      </c>
      <c r="R10" s="869">
        <v>100</v>
      </c>
      <c r="S10" s="869">
        <v>100</v>
      </c>
      <c r="T10" s="869">
        <v>1</v>
      </c>
    </row>
    <row r="11" spans="1:20">
      <c r="A11" s="869" t="s">
        <v>10637</v>
      </c>
      <c r="B11" s="869" t="s">
        <v>5079</v>
      </c>
      <c r="C11" s="869" t="s">
        <v>5079</v>
      </c>
      <c r="D11" s="869" t="s">
        <v>5080</v>
      </c>
      <c r="E11" s="869" t="s">
        <v>5081</v>
      </c>
      <c r="F11" s="869">
        <v>10</v>
      </c>
      <c r="G11" s="869">
        <v>0</v>
      </c>
      <c r="H11" s="869" t="s">
        <v>463</v>
      </c>
      <c r="I11" s="869">
        <v>30</v>
      </c>
      <c r="J11" s="869">
        <v>6</v>
      </c>
      <c r="K11" s="869" t="s">
        <v>3106</v>
      </c>
      <c r="L11" s="869">
        <v>600</v>
      </c>
      <c r="M11" s="869">
        <v>20</v>
      </c>
      <c r="N11" s="869">
        <v>0</v>
      </c>
      <c r="O11" s="869">
        <v>10</v>
      </c>
      <c r="P11" s="869">
        <v>0.5</v>
      </c>
      <c r="Q11" s="869">
        <v>0</v>
      </c>
      <c r="R11" s="869">
        <v>100</v>
      </c>
      <c r="S11" s="869">
        <v>100</v>
      </c>
      <c r="T11" s="869">
        <v>1</v>
      </c>
    </row>
    <row r="12" spans="1:20">
      <c r="A12" s="869" t="s">
        <v>10637</v>
      </c>
      <c r="B12" s="869" t="s">
        <v>5082</v>
      </c>
      <c r="C12" s="869" t="s">
        <v>5082</v>
      </c>
      <c r="D12" s="869" t="s">
        <v>5083</v>
      </c>
      <c r="E12" s="869" t="s">
        <v>1952</v>
      </c>
      <c r="F12" s="869">
        <v>36.51</v>
      </c>
      <c r="G12" s="869">
        <v>0</v>
      </c>
      <c r="H12" s="869" t="s">
        <v>1549</v>
      </c>
      <c r="I12" s="869">
        <v>100</v>
      </c>
      <c r="J12" s="869">
        <v>0</v>
      </c>
      <c r="K12" s="869" t="s">
        <v>463</v>
      </c>
      <c r="L12" s="869">
        <v>159</v>
      </c>
      <c r="M12" s="869">
        <v>1.05</v>
      </c>
      <c r="N12" s="869">
        <v>0</v>
      </c>
      <c r="O12" s="869">
        <v>10</v>
      </c>
      <c r="P12" s="869">
        <v>0.5</v>
      </c>
      <c r="Q12" s="869">
        <v>0</v>
      </c>
      <c r="R12" s="869">
        <v>100</v>
      </c>
      <c r="S12" s="869">
        <v>100</v>
      </c>
      <c r="T12" s="869">
        <v>1</v>
      </c>
    </row>
    <row r="13" spans="1:20">
      <c r="A13" s="869" t="s">
        <v>10637</v>
      </c>
      <c r="B13" s="869" t="s">
        <v>5084</v>
      </c>
      <c r="C13" s="869" t="s">
        <v>5084</v>
      </c>
      <c r="D13" s="869" t="s">
        <v>5085</v>
      </c>
      <c r="E13" s="869" t="s">
        <v>1955</v>
      </c>
      <c r="F13" s="869">
        <v>300</v>
      </c>
      <c r="G13" s="869">
        <v>0</v>
      </c>
      <c r="H13" s="869" t="s">
        <v>1556</v>
      </c>
      <c r="I13" s="869">
        <v>100</v>
      </c>
      <c r="J13" s="869">
        <v>0</v>
      </c>
      <c r="K13" s="869" t="s">
        <v>463</v>
      </c>
      <c r="L13" s="869">
        <v>400</v>
      </c>
      <c r="M13" s="869">
        <v>0.25</v>
      </c>
      <c r="N13" s="869">
        <v>0</v>
      </c>
      <c r="O13" s="869">
        <v>10</v>
      </c>
      <c r="P13" s="869">
        <v>1</v>
      </c>
      <c r="Q13" s="869">
        <v>1</v>
      </c>
      <c r="R13" s="869">
        <v>100</v>
      </c>
      <c r="S13" s="869">
        <v>100</v>
      </c>
      <c r="T13" s="869">
        <v>1</v>
      </c>
    </row>
    <row r="14" spans="1:20">
      <c r="A14" s="869" t="s">
        <v>10637</v>
      </c>
      <c r="B14" s="869" t="s">
        <v>5086</v>
      </c>
      <c r="C14" s="869" t="s">
        <v>5086</v>
      </c>
      <c r="D14" s="869" t="s">
        <v>5087</v>
      </c>
      <c r="E14" s="869" t="s">
        <v>5088</v>
      </c>
      <c r="F14" s="869">
        <v>400</v>
      </c>
      <c r="G14" s="869">
        <v>0</v>
      </c>
      <c r="H14" s="869" t="s">
        <v>1549</v>
      </c>
      <c r="I14" s="869">
        <v>100</v>
      </c>
      <c r="J14" s="869">
        <v>0</v>
      </c>
      <c r="K14" s="869" t="s">
        <v>463</v>
      </c>
      <c r="L14" s="869">
        <v>600</v>
      </c>
      <c r="M14" s="869">
        <v>0.5</v>
      </c>
      <c r="N14" s="869">
        <v>0</v>
      </c>
      <c r="O14" s="869">
        <v>10</v>
      </c>
      <c r="P14" s="869">
        <v>1</v>
      </c>
      <c r="Q14" s="869">
        <v>0</v>
      </c>
      <c r="R14" s="869">
        <v>100</v>
      </c>
      <c r="S14" s="869">
        <v>100</v>
      </c>
      <c r="T14" s="869">
        <v>1</v>
      </c>
    </row>
    <row r="15" spans="1:20">
      <c r="A15" s="869" t="s">
        <v>10637</v>
      </c>
      <c r="B15" s="869" t="s">
        <v>5089</v>
      </c>
      <c r="C15" s="869" t="s">
        <v>5089</v>
      </c>
      <c r="D15" s="869" t="s">
        <v>5090</v>
      </c>
      <c r="E15" s="869" t="s">
        <v>5091</v>
      </c>
      <c r="F15" s="869">
        <v>100</v>
      </c>
      <c r="G15" s="869">
        <v>-20</v>
      </c>
      <c r="H15" s="869" t="s">
        <v>5092</v>
      </c>
      <c r="I15" s="869">
        <v>100</v>
      </c>
      <c r="J15" s="869">
        <v>0</v>
      </c>
      <c r="K15" s="869" t="s">
        <v>463</v>
      </c>
      <c r="L15" s="869">
        <v>100</v>
      </c>
      <c r="M15" s="869">
        <v>2</v>
      </c>
      <c r="N15" s="869">
        <v>0</v>
      </c>
      <c r="O15" s="869">
        <v>10</v>
      </c>
      <c r="P15" s="869">
        <v>0.5</v>
      </c>
      <c r="Q15" s="869">
        <v>0</v>
      </c>
      <c r="R15" s="869">
        <v>100</v>
      </c>
      <c r="S15" s="869">
        <v>100</v>
      </c>
      <c r="T15" s="869">
        <v>1</v>
      </c>
    </row>
    <row r="16" spans="1:20">
      <c r="A16" s="869" t="s">
        <v>10637</v>
      </c>
      <c r="B16" s="869" t="s">
        <v>5093</v>
      </c>
      <c r="C16" s="869" t="s">
        <v>5093</v>
      </c>
      <c r="D16" s="869" t="s">
        <v>5094</v>
      </c>
      <c r="E16" s="869" t="s">
        <v>1978</v>
      </c>
      <c r="F16" s="869">
        <v>100</v>
      </c>
      <c r="G16" s="869">
        <v>0</v>
      </c>
      <c r="H16" s="869" t="s">
        <v>463</v>
      </c>
      <c r="I16" s="869">
        <v>100</v>
      </c>
      <c r="J16" s="869">
        <v>0</v>
      </c>
      <c r="K16" s="869" t="s">
        <v>463</v>
      </c>
      <c r="L16" s="869">
        <v>100</v>
      </c>
      <c r="M16" s="869">
        <v>30</v>
      </c>
      <c r="N16" s="869">
        <v>0</v>
      </c>
      <c r="O16" s="869">
        <v>10</v>
      </c>
      <c r="P16" s="869">
        <v>0.5</v>
      </c>
      <c r="Q16" s="869">
        <v>0</v>
      </c>
      <c r="R16" s="869">
        <v>100</v>
      </c>
      <c r="S16" s="869">
        <v>100</v>
      </c>
      <c r="T16" s="869">
        <v>1</v>
      </c>
    </row>
    <row r="17" spans="1:20">
      <c r="A17" s="869" t="s">
        <v>10637</v>
      </c>
      <c r="B17" s="869" t="s">
        <v>5095</v>
      </c>
      <c r="C17" s="869" t="s">
        <v>5095</v>
      </c>
      <c r="D17" s="869" t="s">
        <v>928</v>
      </c>
      <c r="E17" s="869" t="s">
        <v>5096</v>
      </c>
      <c r="F17" s="869">
        <v>100</v>
      </c>
      <c r="G17" s="869">
        <v>0</v>
      </c>
      <c r="H17" s="869" t="s">
        <v>463</v>
      </c>
      <c r="I17" s="869">
        <v>100</v>
      </c>
      <c r="J17" s="869">
        <v>0</v>
      </c>
      <c r="K17" s="869" t="s">
        <v>463</v>
      </c>
      <c r="L17" s="869">
        <v>50</v>
      </c>
      <c r="M17" s="869">
        <v>25</v>
      </c>
      <c r="N17" s="869">
        <v>0</v>
      </c>
      <c r="O17" s="869">
        <v>10</v>
      </c>
      <c r="P17" s="869">
        <v>0.5</v>
      </c>
      <c r="Q17" s="869">
        <v>0</v>
      </c>
      <c r="R17" s="869">
        <v>100</v>
      </c>
      <c r="S17" s="869">
        <v>100</v>
      </c>
      <c r="T17" s="869">
        <v>1</v>
      </c>
    </row>
    <row r="18" spans="1:20">
      <c r="A18" s="869" t="s">
        <v>10637</v>
      </c>
      <c r="B18" s="869" t="s">
        <v>5097</v>
      </c>
      <c r="C18" s="869" t="s">
        <v>5097</v>
      </c>
      <c r="D18" s="869" t="s">
        <v>5098</v>
      </c>
      <c r="E18" s="869" t="s">
        <v>5099</v>
      </c>
      <c r="F18" s="869">
        <v>100</v>
      </c>
      <c r="G18" s="869">
        <v>0</v>
      </c>
      <c r="H18" s="869" t="s">
        <v>463</v>
      </c>
      <c r="I18" s="869">
        <v>100</v>
      </c>
      <c r="J18" s="869">
        <v>0</v>
      </c>
      <c r="K18" s="869" t="s">
        <v>463</v>
      </c>
      <c r="L18" s="869">
        <v>60</v>
      </c>
      <c r="M18" s="869">
        <v>25</v>
      </c>
      <c r="N18" s="869">
        <v>0</v>
      </c>
      <c r="O18" s="869">
        <v>10</v>
      </c>
      <c r="P18" s="869">
        <v>0.5</v>
      </c>
      <c r="Q18" s="869">
        <v>0</v>
      </c>
      <c r="R18" s="869">
        <v>100</v>
      </c>
      <c r="S18" s="869">
        <v>100</v>
      </c>
      <c r="T18" s="869">
        <v>1</v>
      </c>
    </row>
    <row r="19" spans="1:20">
      <c r="A19" s="869" t="s">
        <v>10637</v>
      </c>
      <c r="B19" s="869" t="s">
        <v>5100</v>
      </c>
      <c r="C19" s="869" t="s">
        <v>5100</v>
      </c>
      <c r="D19" s="869" t="s">
        <v>933</v>
      </c>
      <c r="E19" s="869" t="s">
        <v>1975</v>
      </c>
      <c r="F19" s="869">
        <v>100</v>
      </c>
      <c r="G19" s="869">
        <v>0</v>
      </c>
      <c r="H19" s="869" t="s">
        <v>463</v>
      </c>
      <c r="I19" s="869">
        <v>100</v>
      </c>
      <c r="J19" s="869">
        <v>0</v>
      </c>
      <c r="K19" s="869" t="s">
        <v>463</v>
      </c>
      <c r="L19" s="869">
        <v>80</v>
      </c>
      <c r="M19" s="869">
        <v>75</v>
      </c>
      <c r="N19" s="869">
        <v>0</v>
      </c>
      <c r="O19" s="869">
        <v>10</v>
      </c>
      <c r="P19" s="869">
        <v>0.2</v>
      </c>
      <c r="Q19" s="869">
        <v>0</v>
      </c>
      <c r="R19" s="869">
        <v>100</v>
      </c>
      <c r="S19" s="869">
        <v>100</v>
      </c>
      <c r="T19" s="869">
        <v>1</v>
      </c>
    </row>
    <row r="20" spans="1:20">
      <c r="A20" s="869" t="s">
        <v>10637</v>
      </c>
      <c r="B20" s="869" t="s">
        <v>5101</v>
      </c>
      <c r="C20" s="869" t="s">
        <v>5101</v>
      </c>
      <c r="D20" s="869" t="s">
        <v>5102</v>
      </c>
      <c r="E20" s="869" t="s">
        <v>1680</v>
      </c>
      <c r="F20" s="869">
        <v>40</v>
      </c>
      <c r="G20" s="869">
        <v>0</v>
      </c>
      <c r="H20" s="869" t="s">
        <v>2000</v>
      </c>
      <c r="I20" s="869">
        <v>100</v>
      </c>
      <c r="J20" s="869">
        <v>0</v>
      </c>
      <c r="K20" s="869" t="s">
        <v>463</v>
      </c>
      <c r="L20" s="869">
        <v>2500</v>
      </c>
      <c r="M20" s="869">
        <v>7</v>
      </c>
      <c r="N20" s="869">
        <v>0</v>
      </c>
      <c r="O20" s="869">
        <v>10</v>
      </c>
      <c r="P20" s="869">
        <v>0.5</v>
      </c>
      <c r="Q20" s="869">
        <v>0</v>
      </c>
      <c r="R20" s="869">
        <v>100</v>
      </c>
      <c r="S20" s="869">
        <v>100</v>
      </c>
      <c r="T20" s="869">
        <v>1</v>
      </c>
    </row>
    <row r="21" spans="1:20">
      <c r="A21" s="869" t="s">
        <v>10637</v>
      </c>
      <c r="B21" s="869" t="s">
        <v>5103</v>
      </c>
      <c r="C21" s="869" t="s">
        <v>5103</v>
      </c>
      <c r="D21" s="869" t="s">
        <v>5104</v>
      </c>
      <c r="E21" s="869" t="s">
        <v>1948</v>
      </c>
      <c r="F21" s="869">
        <v>2</v>
      </c>
      <c r="G21" s="869">
        <v>0</v>
      </c>
      <c r="H21" s="869" t="s">
        <v>1635</v>
      </c>
      <c r="I21" s="869">
        <v>100</v>
      </c>
      <c r="J21" s="869">
        <v>0</v>
      </c>
      <c r="K21" s="869" t="s">
        <v>463</v>
      </c>
      <c r="L21" s="869">
        <v>400</v>
      </c>
      <c r="M21" s="869">
        <v>7.0000000000000007E-2</v>
      </c>
      <c r="N21" s="869">
        <v>0</v>
      </c>
      <c r="O21" s="869">
        <v>10</v>
      </c>
      <c r="P21" s="869">
        <v>1</v>
      </c>
      <c r="Q21" s="869">
        <v>0</v>
      </c>
      <c r="R21" s="869">
        <v>100</v>
      </c>
      <c r="S21" s="869">
        <v>100</v>
      </c>
      <c r="T21" s="869">
        <v>1</v>
      </c>
    </row>
    <row r="22" spans="1:20">
      <c r="A22" s="869" t="s">
        <v>10637</v>
      </c>
      <c r="B22" s="869" t="s">
        <v>5105</v>
      </c>
      <c r="C22" s="869" t="s">
        <v>5105</v>
      </c>
      <c r="D22" s="869" t="s">
        <v>5106</v>
      </c>
      <c r="E22" s="869" t="s">
        <v>2003</v>
      </c>
      <c r="F22" s="869">
        <v>70</v>
      </c>
      <c r="G22" s="869">
        <v>-70</v>
      </c>
      <c r="H22" s="869" t="s">
        <v>1639</v>
      </c>
      <c r="I22" s="869">
        <v>100</v>
      </c>
      <c r="J22" s="869">
        <v>0</v>
      </c>
      <c r="K22" s="869" t="s">
        <v>463</v>
      </c>
      <c r="L22" s="869">
        <v>140</v>
      </c>
      <c r="M22" s="869">
        <v>0.21299999999999999</v>
      </c>
      <c r="N22" s="869">
        <v>0</v>
      </c>
      <c r="O22" s="869">
        <v>10</v>
      </c>
      <c r="P22" s="869">
        <v>0.5</v>
      </c>
      <c r="Q22" s="869">
        <v>1</v>
      </c>
      <c r="R22" s="869">
        <v>5</v>
      </c>
      <c r="S22" s="869">
        <v>15</v>
      </c>
      <c r="T22" s="869">
        <v>0.5</v>
      </c>
    </row>
    <row r="23" spans="1:20">
      <c r="A23" s="869" t="s">
        <v>10637</v>
      </c>
      <c r="B23" s="869" t="s">
        <v>5107</v>
      </c>
      <c r="C23" s="869" t="s">
        <v>5107</v>
      </c>
      <c r="D23" s="869" t="s">
        <v>5108</v>
      </c>
      <c r="E23" s="869" t="s">
        <v>2014</v>
      </c>
      <c r="F23" s="869">
        <v>250</v>
      </c>
      <c r="G23" s="869">
        <v>0</v>
      </c>
      <c r="H23" s="869" t="s">
        <v>1535</v>
      </c>
      <c r="I23" s="869">
        <v>100</v>
      </c>
      <c r="J23" s="869">
        <v>0</v>
      </c>
      <c r="K23" s="869" t="s">
        <v>463</v>
      </c>
      <c r="L23" s="869">
        <v>30</v>
      </c>
      <c r="M23" s="869">
        <v>4</v>
      </c>
      <c r="N23" s="869">
        <v>0</v>
      </c>
      <c r="O23" s="869">
        <v>10</v>
      </c>
      <c r="P23" s="869">
        <v>1</v>
      </c>
      <c r="Q23" s="869">
        <v>0</v>
      </c>
      <c r="R23" s="869">
        <v>100</v>
      </c>
      <c r="S23" s="869">
        <v>100</v>
      </c>
      <c r="T23" s="869">
        <v>1</v>
      </c>
    </row>
    <row r="24" spans="1:20">
      <c r="A24" s="869" t="s">
        <v>10637</v>
      </c>
      <c r="B24" s="869" t="s">
        <v>5109</v>
      </c>
      <c r="C24" s="869" t="s">
        <v>5109</v>
      </c>
      <c r="D24" s="869" t="s">
        <v>5110</v>
      </c>
      <c r="E24" s="869" t="s">
        <v>2017</v>
      </c>
      <c r="F24" s="869">
        <v>500</v>
      </c>
      <c r="G24" s="869">
        <v>0</v>
      </c>
      <c r="H24" s="869" t="s">
        <v>1535</v>
      </c>
      <c r="I24" s="869">
        <v>20</v>
      </c>
      <c r="J24" s="869">
        <v>0</v>
      </c>
      <c r="K24" s="869" t="s">
        <v>1549</v>
      </c>
      <c r="L24" s="869">
        <v>25</v>
      </c>
      <c r="M24" s="869">
        <v>3</v>
      </c>
      <c r="N24" s="869">
        <v>0</v>
      </c>
      <c r="O24" s="869">
        <v>5</v>
      </c>
      <c r="P24" s="869">
        <v>1</v>
      </c>
      <c r="Q24" s="869">
        <v>1</v>
      </c>
      <c r="R24" s="869">
        <v>1.5</v>
      </c>
      <c r="S24" s="869">
        <v>0.8</v>
      </c>
      <c r="T24" s="869">
        <v>0.5</v>
      </c>
    </row>
    <row r="25" spans="1:20">
      <c r="A25" s="869" t="s">
        <v>10637</v>
      </c>
      <c r="B25" s="869" t="s">
        <v>5111</v>
      </c>
      <c r="C25" s="869" t="s">
        <v>5111</v>
      </c>
      <c r="D25" s="869" t="s">
        <v>5112</v>
      </c>
      <c r="E25" s="869" t="s">
        <v>5113</v>
      </c>
      <c r="F25" s="869">
        <v>500</v>
      </c>
      <c r="G25" s="869">
        <v>0</v>
      </c>
      <c r="H25" s="869" t="s">
        <v>1535</v>
      </c>
      <c r="I25" s="869">
        <v>20</v>
      </c>
      <c r="J25" s="869">
        <v>0</v>
      </c>
      <c r="K25" s="869" t="s">
        <v>1549</v>
      </c>
      <c r="L25" s="869">
        <v>50</v>
      </c>
      <c r="M25" s="869">
        <v>6</v>
      </c>
      <c r="N25" s="869">
        <v>0</v>
      </c>
      <c r="O25" s="869">
        <v>10</v>
      </c>
      <c r="P25" s="869">
        <v>0.25</v>
      </c>
      <c r="Q25" s="869">
        <v>0</v>
      </c>
      <c r="R25" s="869">
        <v>100</v>
      </c>
      <c r="S25" s="869">
        <v>100</v>
      </c>
      <c r="T25" s="869">
        <v>1</v>
      </c>
    </row>
    <row r="26" spans="1:20">
      <c r="A26" s="869" t="s">
        <v>10637</v>
      </c>
      <c r="B26" s="869" t="s">
        <v>5114</v>
      </c>
      <c r="C26" s="869" t="s">
        <v>5114</v>
      </c>
      <c r="D26" s="869" t="s">
        <v>5115</v>
      </c>
      <c r="E26" s="869" t="s">
        <v>5116</v>
      </c>
      <c r="F26" s="869">
        <v>20</v>
      </c>
      <c r="G26" s="869">
        <v>0</v>
      </c>
      <c r="H26" s="869" t="s">
        <v>1549</v>
      </c>
      <c r="I26" s="869">
        <v>2</v>
      </c>
      <c r="J26" s="869">
        <v>0</v>
      </c>
      <c r="K26" s="869" t="s">
        <v>1635</v>
      </c>
      <c r="L26" s="869">
        <v>300</v>
      </c>
      <c r="M26" s="869">
        <v>0.12</v>
      </c>
      <c r="N26" s="869">
        <v>0</v>
      </c>
      <c r="O26" s="869">
        <v>10</v>
      </c>
      <c r="P26" s="869">
        <v>1</v>
      </c>
      <c r="Q26" s="869">
        <v>0</v>
      </c>
      <c r="R26" s="869">
        <v>100</v>
      </c>
      <c r="S26" s="869">
        <v>100</v>
      </c>
      <c r="T26" s="869">
        <v>1</v>
      </c>
    </row>
    <row r="27" spans="1:20">
      <c r="A27" s="869" t="s">
        <v>10637</v>
      </c>
      <c r="B27" s="869" t="s">
        <v>5117</v>
      </c>
      <c r="C27" s="869" t="s">
        <v>5117</v>
      </c>
      <c r="D27" s="869" t="s">
        <v>5118</v>
      </c>
      <c r="E27" s="869" t="s">
        <v>2046</v>
      </c>
      <c r="F27" s="869">
        <v>500</v>
      </c>
      <c r="G27" s="869">
        <v>0</v>
      </c>
      <c r="H27" s="869" t="s">
        <v>1549</v>
      </c>
      <c r="I27" s="869">
        <v>100</v>
      </c>
      <c r="J27" s="869">
        <v>0</v>
      </c>
      <c r="K27" s="869" t="s">
        <v>463</v>
      </c>
      <c r="L27" s="869">
        <v>450</v>
      </c>
      <c r="M27" s="869">
        <v>1</v>
      </c>
      <c r="N27" s="869">
        <v>0</v>
      </c>
      <c r="O27" s="869">
        <v>10</v>
      </c>
      <c r="P27" s="869">
        <v>0.5</v>
      </c>
      <c r="Q27" s="869">
        <v>0</v>
      </c>
      <c r="R27" s="869">
        <v>100</v>
      </c>
      <c r="S27" s="869">
        <v>100</v>
      </c>
      <c r="T27" s="869">
        <v>1</v>
      </c>
    </row>
    <row r="28" spans="1:20">
      <c r="A28" s="869" t="s">
        <v>10637</v>
      </c>
      <c r="B28" s="869" t="s">
        <v>5119</v>
      </c>
      <c r="C28" s="869" t="s">
        <v>5119</v>
      </c>
      <c r="D28" s="869" t="s">
        <v>5120</v>
      </c>
      <c r="E28" s="869" t="s">
        <v>2051</v>
      </c>
      <c r="F28" s="869">
        <v>50</v>
      </c>
      <c r="G28" s="869">
        <v>0</v>
      </c>
      <c r="H28" s="869" t="s">
        <v>1549</v>
      </c>
      <c r="I28" s="869">
        <v>100</v>
      </c>
      <c r="J28" s="869">
        <v>0</v>
      </c>
      <c r="K28" s="869" t="s">
        <v>463</v>
      </c>
      <c r="L28" s="869">
        <v>760</v>
      </c>
      <c r="M28" s="869">
        <v>0.5</v>
      </c>
      <c r="N28" s="869">
        <v>0</v>
      </c>
      <c r="O28" s="869">
        <v>10</v>
      </c>
      <c r="P28" s="869">
        <v>0.5</v>
      </c>
      <c r="Q28" s="869">
        <v>0</v>
      </c>
      <c r="R28" s="869">
        <v>100</v>
      </c>
      <c r="S28" s="869">
        <v>100</v>
      </c>
      <c r="T28" s="869">
        <v>1</v>
      </c>
    </row>
    <row r="29" spans="1:20">
      <c r="A29" s="869" t="s">
        <v>10637</v>
      </c>
      <c r="B29" s="869" t="s">
        <v>5121</v>
      </c>
      <c r="C29" s="869" t="s">
        <v>5121</v>
      </c>
      <c r="D29" s="869" t="s">
        <v>5122</v>
      </c>
      <c r="E29" s="869" t="s">
        <v>2060</v>
      </c>
      <c r="F29" s="869">
        <v>50</v>
      </c>
      <c r="G29" s="869">
        <v>0</v>
      </c>
      <c r="H29" s="869" t="s">
        <v>1549</v>
      </c>
      <c r="I29" s="869">
        <v>100</v>
      </c>
      <c r="J29" s="869">
        <v>0</v>
      </c>
      <c r="K29" s="869" t="s">
        <v>463</v>
      </c>
      <c r="L29" s="869">
        <v>350</v>
      </c>
      <c r="M29" s="869">
        <v>0.5</v>
      </c>
      <c r="N29" s="869">
        <v>0</v>
      </c>
      <c r="O29" s="869">
        <v>10</v>
      </c>
      <c r="P29" s="869">
        <v>0.5</v>
      </c>
      <c r="Q29" s="869">
        <v>0</v>
      </c>
      <c r="R29" s="869">
        <v>100</v>
      </c>
      <c r="S29" s="869">
        <v>100</v>
      </c>
      <c r="T29" s="869">
        <v>1</v>
      </c>
    </row>
    <row r="30" spans="1:20">
      <c r="A30" s="869" t="s">
        <v>10637</v>
      </c>
      <c r="B30" s="869" t="s">
        <v>5123</v>
      </c>
      <c r="C30" s="869" t="s">
        <v>5123</v>
      </c>
      <c r="D30" s="869" t="s">
        <v>5124</v>
      </c>
      <c r="E30" s="869" t="s">
        <v>2071</v>
      </c>
      <c r="F30" s="869">
        <v>31.6</v>
      </c>
      <c r="G30" s="869">
        <v>0</v>
      </c>
      <c r="H30" s="869" t="s">
        <v>1549</v>
      </c>
      <c r="I30" s="869">
        <v>100</v>
      </c>
      <c r="J30" s="869">
        <v>0</v>
      </c>
      <c r="K30" s="869" t="s">
        <v>463</v>
      </c>
      <c r="L30" s="869">
        <v>800</v>
      </c>
      <c r="M30" s="869">
        <v>3</v>
      </c>
      <c r="N30" s="869">
        <v>0</v>
      </c>
      <c r="O30" s="869">
        <v>10</v>
      </c>
      <c r="P30" s="869">
        <v>0.5</v>
      </c>
      <c r="Q30" s="869">
        <v>0</v>
      </c>
      <c r="R30" s="869">
        <v>100</v>
      </c>
      <c r="S30" s="869">
        <v>100</v>
      </c>
      <c r="T30" s="869">
        <v>1</v>
      </c>
    </row>
    <row r="31" spans="1:20">
      <c r="A31" s="869" t="s">
        <v>10637</v>
      </c>
      <c r="B31" s="869" t="s">
        <v>5125</v>
      </c>
      <c r="C31" s="869" t="s">
        <v>5125</v>
      </c>
      <c r="D31" s="869" t="s">
        <v>733</v>
      </c>
      <c r="E31" s="869" t="s">
        <v>1720</v>
      </c>
      <c r="F31" s="869">
        <v>720</v>
      </c>
      <c r="G31" s="869">
        <v>0</v>
      </c>
      <c r="H31" s="869" t="s">
        <v>1549</v>
      </c>
      <c r="I31" s="869">
        <v>100</v>
      </c>
      <c r="J31" s="869">
        <v>0</v>
      </c>
      <c r="K31" s="869" t="s">
        <v>463</v>
      </c>
      <c r="L31" s="869">
        <v>450</v>
      </c>
      <c r="M31" s="869">
        <v>0.3</v>
      </c>
      <c r="N31" s="869">
        <v>0</v>
      </c>
      <c r="O31" s="869">
        <v>10</v>
      </c>
      <c r="P31" s="869">
        <v>1</v>
      </c>
      <c r="Q31" s="869">
        <v>0</v>
      </c>
      <c r="R31" s="869">
        <v>100</v>
      </c>
      <c r="S31" s="869">
        <v>100</v>
      </c>
      <c r="T31" s="869">
        <v>1</v>
      </c>
    </row>
    <row r="32" spans="1:20">
      <c r="A32" s="869" t="s">
        <v>10637</v>
      </c>
      <c r="B32" s="869" t="s">
        <v>5126</v>
      </c>
      <c r="C32" s="869" t="s">
        <v>5126</v>
      </c>
      <c r="D32" s="869" t="s">
        <v>5127</v>
      </c>
      <c r="E32" s="869" t="s">
        <v>1552</v>
      </c>
      <c r="F32" s="869">
        <v>1294</v>
      </c>
      <c r="G32" s="869">
        <v>0</v>
      </c>
      <c r="H32" s="869" t="s">
        <v>1549</v>
      </c>
      <c r="I32" s="869">
        <v>100</v>
      </c>
      <c r="J32" s="869">
        <v>0</v>
      </c>
      <c r="K32" s="869" t="s">
        <v>463</v>
      </c>
      <c r="L32" s="869">
        <v>300</v>
      </c>
      <c r="M32" s="869">
        <v>0.2</v>
      </c>
      <c r="N32" s="869">
        <v>0</v>
      </c>
      <c r="O32" s="869">
        <v>10</v>
      </c>
      <c r="P32" s="869">
        <v>1</v>
      </c>
      <c r="Q32" s="869">
        <v>0</v>
      </c>
      <c r="R32" s="869">
        <v>100</v>
      </c>
      <c r="S32" s="869">
        <v>100</v>
      </c>
      <c r="T32" s="869">
        <v>1</v>
      </c>
    </row>
    <row r="33" spans="1:20">
      <c r="A33" s="869" t="s">
        <v>10637</v>
      </c>
      <c r="B33" s="869" t="s">
        <v>5128</v>
      </c>
      <c r="C33" s="869" t="s">
        <v>5128</v>
      </c>
      <c r="D33" s="869" t="s">
        <v>5129</v>
      </c>
      <c r="E33" s="869" t="s">
        <v>2065</v>
      </c>
      <c r="F33" s="869">
        <v>1179</v>
      </c>
      <c r="G33" s="869">
        <v>0</v>
      </c>
      <c r="H33" s="869" t="s">
        <v>1549</v>
      </c>
      <c r="I33" s="869">
        <v>100</v>
      </c>
      <c r="J33" s="869">
        <v>0</v>
      </c>
      <c r="K33" s="869" t="s">
        <v>463</v>
      </c>
      <c r="L33" s="869">
        <v>250</v>
      </c>
      <c r="M33" s="869">
        <v>0.25</v>
      </c>
      <c r="N33" s="869">
        <v>0</v>
      </c>
      <c r="O33" s="869">
        <v>10</v>
      </c>
      <c r="P33" s="869">
        <v>1</v>
      </c>
      <c r="Q33" s="869">
        <v>0</v>
      </c>
      <c r="R33" s="869">
        <v>100</v>
      </c>
      <c r="S33" s="869">
        <v>100</v>
      </c>
      <c r="T33" s="869">
        <v>1</v>
      </c>
    </row>
    <row r="34" spans="1:20">
      <c r="A34" s="869" t="s">
        <v>10637</v>
      </c>
      <c r="B34" s="869" t="s">
        <v>5130</v>
      </c>
      <c r="C34" s="869" t="s">
        <v>5130</v>
      </c>
      <c r="D34" s="869" t="s">
        <v>5131</v>
      </c>
      <c r="E34" s="869" t="s">
        <v>2068</v>
      </c>
      <c r="F34" s="869">
        <v>794</v>
      </c>
      <c r="G34" s="869">
        <v>0</v>
      </c>
      <c r="H34" s="869" t="s">
        <v>1549</v>
      </c>
      <c r="I34" s="869">
        <v>100</v>
      </c>
      <c r="J34" s="869">
        <v>0</v>
      </c>
      <c r="K34" s="869" t="s">
        <v>463</v>
      </c>
      <c r="L34" s="869">
        <v>300</v>
      </c>
      <c r="M34" s="869">
        <v>0.25</v>
      </c>
      <c r="N34" s="869">
        <v>0</v>
      </c>
      <c r="O34" s="869">
        <v>10</v>
      </c>
      <c r="P34" s="869">
        <v>1</v>
      </c>
      <c r="Q34" s="869">
        <v>0</v>
      </c>
      <c r="R34" s="869">
        <v>100</v>
      </c>
      <c r="S34" s="869">
        <v>100</v>
      </c>
      <c r="T34" s="869">
        <v>1</v>
      </c>
    </row>
    <row r="35" spans="1:20">
      <c r="A35" s="869" t="s">
        <v>10637</v>
      </c>
      <c r="B35" s="869" t="s">
        <v>5132</v>
      </c>
      <c r="C35" s="869" t="s">
        <v>5132</v>
      </c>
      <c r="D35" s="869" t="s">
        <v>5133</v>
      </c>
      <c r="E35" s="869" t="s">
        <v>5134</v>
      </c>
      <c r="F35" s="869">
        <v>200</v>
      </c>
      <c r="G35" s="869">
        <v>0</v>
      </c>
      <c r="H35" s="869" t="s">
        <v>1549</v>
      </c>
      <c r="I35" s="869">
        <v>100</v>
      </c>
      <c r="J35" s="869">
        <v>0</v>
      </c>
      <c r="K35" s="869" t="s">
        <v>463</v>
      </c>
      <c r="L35" s="869">
        <v>400</v>
      </c>
      <c r="M35" s="869">
        <v>0.02</v>
      </c>
      <c r="N35" s="869">
        <v>0</v>
      </c>
      <c r="O35" s="869">
        <v>10</v>
      </c>
      <c r="P35" s="869">
        <v>0.1</v>
      </c>
      <c r="Q35" s="869">
        <v>0</v>
      </c>
      <c r="R35" s="869">
        <v>100</v>
      </c>
      <c r="S35" s="869">
        <v>100</v>
      </c>
      <c r="T35" s="869">
        <v>1</v>
      </c>
    </row>
    <row r="36" spans="1:20">
      <c r="A36" s="869" t="s">
        <v>10637</v>
      </c>
      <c r="B36" s="869" t="s">
        <v>5135</v>
      </c>
      <c r="C36" s="869" t="s">
        <v>5135</v>
      </c>
      <c r="D36" s="869" t="s">
        <v>741</v>
      </c>
      <c r="E36" s="869" t="s">
        <v>2077</v>
      </c>
      <c r="F36" s="869">
        <v>16.899999999999999</v>
      </c>
      <c r="G36" s="869">
        <v>0</v>
      </c>
      <c r="H36" s="869" t="s">
        <v>1556</v>
      </c>
      <c r="I36" s="869">
        <v>100</v>
      </c>
      <c r="J36" s="869">
        <v>0</v>
      </c>
      <c r="K36" s="869" t="s">
        <v>463</v>
      </c>
      <c r="L36" s="869">
        <v>400</v>
      </c>
      <c r="M36" s="869">
        <v>0.25</v>
      </c>
      <c r="N36" s="869">
        <v>0</v>
      </c>
      <c r="O36" s="869">
        <v>10</v>
      </c>
      <c r="P36" s="869">
        <v>0.5</v>
      </c>
      <c r="Q36" s="869">
        <v>0</v>
      </c>
      <c r="R36" s="869">
        <v>100</v>
      </c>
      <c r="S36" s="869">
        <v>100</v>
      </c>
      <c r="T36" s="869">
        <v>1</v>
      </c>
    </row>
    <row r="37" spans="1:20">
      <c r="A37" s="869" t="s">
        <v>10637</v>
      </c>
      <c r="B37" s="869" t="s">
        <v>5136</v>
      </c>
      <c r="C37" s="869" t="s">
        <v>5136</v>
      </c>
      <c r="D37" s="869" t="s">
        <v>5137</v>
      </c>
      <c r="E37" s="869" t="s">
        <v>2080</v>
      </c>
      <c r="F37" s="869">
        <v>300</v>
      </c>
      <c r="G37" s="869">
        <v>0</v>
      </c>
      <c r="H37" s="869" t="s">
        <v>1549</v>
      </c>
      <c r="I37" s="869">
        <v>100</v>
      </c>
      <c r="J37" s="869">
        <v>0</v>
      </c>
      <c r="K37" s="869" t="s">
        <v>463</v>
      </c>
      <c r="L37" s="869">
        <v>350</v>
      </c>
      <c r="M37" s="869">
        <v>0.15</v>
      </c>
      <c r="N37" s="869">
        <v>0</v>
      </c>
      <c r="O37" s="869">
        <v>10</v>
      </c>
      <c r="P37" s="869">
        <v>1</v>
      </c>
      <c r="Q37" s="869">
        <v>0</v>
      </c>
      <c r="R37" s="869">
        <v>100</v>
      </c>
      <c r="S37" s="869">
        <v>100</v>
      </c>
      <c r="T37" s="869">
        <v>1</v>
      </c>
    </row>
    <row r="38" spans="1:20">
      <c r="A38" s="869" t="s">
        <v>10637</v>
      </c>
      <c r="B38" s="869" t="s">
        <v>5138</v>
      </c>
      <c r="C38" s="869" t="s">
        <v>5138</v>
      </c>
      <c r="D38" s="869" t="s">
        <v>5139</v>
      </c>
      <c r="E38" s="869" t="s">
        <v>2083</v>
      </c>
      <c r="F38" s="869">
        <v>1.5</v>
      </c>
      <c r="G38" s="869">
        <v>0</v>
      </c>
      <c r="H38" s="869" t="s">
        <v>1556</v>
      </c>
      <c r="I38" s="869">
        <v>100</v>
      </c>
      <c r="J38" s="869">
        <v>0</v>
      </c>
      <c r="K38" s="869" t="s">
        <v>463</v>
      </c>
      <c r="L38" s="869">
        <v>350</v>
      </c>
      <c r="M38" s="869">
        <v>0.18</v>
      </c>
      <c r="N38" s="869">
        <v>0</v>
      </c>
      <c r="O38" s="869">
        <v>10</v>
      </c>
      <c r="P38" s="869">
        <v>1</v>
      </c>
      <c r="Q38" s="869">
        <v>0</v>
      </c>
      <c r="R38" s="869">
        <v>100</v>
      </c>
      <c r="S38" s="869">
        <v>100</v>
      </c>
      <c r="T38" s="869">
        <v>1</v>
      </c>
    </row>
    <row r="39" spans="1:20">
      <c r="A39" s="869" t="s">
        <v>10637</v>
      </c>
      <c r="B39" s="869" t="s">
        <v>5140</v>
      </c>
      <c r="C39" s="869" t="s">
        <v>5140</v>
      </c>
      <c r="D39" s="869" t="s">
        <v>5141</v>
      </c>
      <c r="E39" s="869" t="s">
        <v>2471</v>
      </c>
      <c r="F39" s="869">
        <v>100</v>
      </c>
      <c r="G39" s="869">
        <v>0</v>
      </c>
      <c r="H39" s="869" t="s">
        <v>463</v>
      </c>
      <c r="I39" s="869">
        <v>720</v>
      </c>
      <c r="J39" s="869">
        <v>0</v>
      </c>
      <c r="K39" s="869" t="s">
        <v>1549</v>
      </c>
      <c r="L39" s="869">
        <v>100</v>
      </c>
      <c r="M39" s="869">
        <v>10</v>
      </c>
      <c r="N39" s="869">
        <v>0</v>
      </c>
      <c r="O39" s="869">
        <v>10</v>
      </c>
      <c r="P39" s="869">
        <v>0.5</v>
      </c>
      <c r="Q39" s="869">
        <v>1</v>
      </c>
      <c r="R39" s="869">
        <v>10</v>
      </c>
      <c r="S39" s="869">
        <v>10</v>
      </c>
      <c r="T39" s="869">
        <v>0.25</v>
      </c>
    </row>
    <row r="40" spans="1:20">
      <c r="A40" s="869" t="s">
        <v>10637</v>
      </c>
      <c r="B40" s="869" t="s">
        <v>5142</v>
      </c>
      <c r="C40" s="869" t="s">
        <v>5142</v>
      </c>
      <c r="D40" s="869" t="s">
        <v>5143</v>
      </c>
      <c r="E40" s="869" t="s">
        <v>2097</v>
      </c>
      <c r="F40" s="869">
        <v>16</v>
      </c>
      <c r="G40" s="869">
        <v>0</v>
      </c>
      <c r="H40" s="869" t="s">
        <v>2000</v>
      </c>
      <c r="I40" s="869">
        <v>100</v>
      </c>
      <c r="J40" s="869">
        <v>0</v>
      </c>
      <c r="K40" s="869" t="s">
        <v>463</v>
      </c>
      <c r="L40" s="869">
        <v>150</v>
      </c>
      <c r="M40" s="869">
        <v>6</v>
      </c>
      <c r="N40" s="869">
        <v>0</v>
      </c>
      <c r="O40" s="869">
        <v>10</v>
      </c>
      <c r="P40" s="869">
        <v>0.05</v>
      </c>
      <c r="Q40" s="869">
        <v>0</v>
      </c>
      <c r="R40" s="869">
        <v>100</v>
      </c>
      <c r="S40" s="869">
        <v>100</v>
      </c>
      <c r="T40" s="869">
        <v>1</v>
      </c>
    </row>
    <row r="41" spans="1:20">
      <c r="A41" s="869" t="s">
        <v>10637</v>
      </c>
      <c r="B41" s="869" t="s">
        <v>5144</v>
      </c>
      <c r="C41" s="869" t="s">
        <v>5144</v>
      </c>
      <c r="D41" s="869" t="s">
        <v>5145</v>
      </c>
      <c r="E41" s="869" t="s">
        <v>1720</v>
      </c>
      <c r="F41" s="869">
        <v>100</v>
      </c>
      <c r="G41" s="869">
        <v>0</v>
      </c>
      <c r="H41" s="869" t="s">
        <v>1535</v>
      </c>
      <c r="I41" s="869">
        <v>100</v>
      </c>
      <c r="J41" s="869">
        <v>0</v>
      </c>
      <c r="K41" s="869" t="s">
        <v>463</v>
      </c>
      <c r="L41" s="869">
        <v>35</v>
      </c>
      <c r="M41" s="869">
        <v>7.5</v>
      </c>
      <c r="N41" s="869">
        <v>0</v>
      </c>
      <c r="O41" s="869">
        <v>10</v>
      </c>
      <c r="P41" s="869">
        <v>0.5</v>
      </c>
      <c r="Q41" s="869">
        <v>0</v>
      </c>
      <c r="R41" s="869">
        <v>100</v>
      </c>
      <c r="S41" s="869">
        <v>100</v>
      </c>
      <c r="T41" s="869">
        <v>1</v>
      </c>
    </row>
    <row r="42" spans="1:20">
      <c r="A42" s="869" t="s">
        <v>10637</v>
      </c>
      <c r="B42" s="869" t="s">
        <v>5146</v>
      </c>
      <c r="C42" s="869" t="s">
        <v>5146</v>
      </c>
      <c r="D42" s="869" t="s">
        <v>5147</v>
      </c>
      <c r="E42" s="869" t="s">
        <v>2108</v>
      </c>
      <c r="F42" s="869">
        <v>100</v>
      </c>
      <c r="G42" s="869">
        <v>0</v>
      </c>
      <c r="H42" s="869" t="s">
        <v>1535</v>
      </c>
      <c r="I42" s="869">
        <v>100</v>
      </c>
      <c r="J42" s="869">
        <v>0</v>
      </c>
      <c r="K42" s="869" t="s">
        <v>463</v>
      </c>
      <c r="L42" s="869">
        <v>100</v>
      </c>
      <c r="M42" s="869">
        <v>5</v>
      </c>
      <c r="N42" s="869">
        <v>0</v>
      </c>
      <c r="O42" s="869">
        <v>10</v>
      </c>
      <c r="P42" s="869">
        <v>0.5</v>
      </c>
      <c r="Q42" s="869">
        <v>0</v>
      </c>
      <c r="R42" s="869">
        <v>100</v>
      </c>
      <c r="S42" s="869">
        <v>100</v>
      </c>
      <c r="T42" s="869">
        <v>1</v>
      </c>
    </row>
    <row r="43" spans="1:20">
      <c r="A43" s="869" t="s">
        <v>10637</v>
      </c>
      <c r="B43" s="869" t="s">
        <v>5148</v>
      </c>
      <c r="C43" s="869" t="s">
        <v>5148</v>
      </c>
      <c r="D43" s="869" t="s">
        <v>5149</v>
      </c>
      <c r="E43" s="869" t="s">
        <v>2111</v>
      </c>
      <c r="F43" s="869">
        <v>200</v>
      </c>
      <c r="G43" s="869">
        <v>0</v>
      </c>
      <c r="H43" s="869" t="s">
        <v>1535</v>
      </c>
      <c r="I43" s="869">
        <v>100</v>
      </c>
      <c r="J43" s="869">
        <v>0</v>
      </c>
      <c r="K43" s="869" t="s">
        <v>463</v>
      </c>
      <c r="L43" s="869">
        <v>35</v>
      </c>
      <c r="M43" s="869">
        <v>2</v>
      </c>
      <c r="N43" s="869">
        <v>0</v>
      </c>
      <c r="O43" s="869">
        <v>10</v>
      </c>
      <c r="P43" s="869">
        <v>1</v>
      </c>
      <c r="Q43" s="869">
        <v>0</v>
      </c>
      <c r="R43" s="869">
        <v>100</v>
      </c>
      <c r="S43" s="869">
        <v>100</v>
      </c>
      <c r="T43" s="869">
        <v>1</v>
      </c>
    </row>
    <row r="44" spans="1:20">
      <c r="A44" s="869" t="s">
        <v>10637</v>
      </c>
      <c r="B44" s="869" t="s">
        <v>5150</v>
      </c>
      <c r="C44" s="869" t="s">
        <v>5150</v>
      </c>
      <c r="D44" s="869" t="s">
        <v>5151</v>
      </c>
      <c r="E44" s="869" t="s">
        <v>2114</v>
      </c>
      <c r="F44" s="869">
        <v>500</v>
      </c>
      <c r="G44" s="869">
        <v>0</v>
      </c>
      <c r="H44" s="869" t="s">
        <v>1535</v>
      </c>
      <c r="I44" s="869">
        <v>100</v>
      </c>
      <c r="J44" s="869">
        <v>0</v>
      </c>
      <c r="K44" s="869" t="s">
        <v>463</v>
      </c>
      <c r="L44" s="869">
        <v>50</v>
      </c>
      <c r="M44" s="869">
        <v>30</v>
      </c>
      <c r="N44" s="869">
        <v>0</v>
      </c>
      <c r="O44" s="869">
        <v>10</v>
      </c>
      <c r="P44" s="869">
        <v>0.5</v>
      </c>
      <c r="Q44" s="869">
        <v>0</v>
      </c>
      <c r="R44" s="869">
        <v>100</v>
      </c>
      <c r="S44" s="869">
        <v>100</v>
      </c>
      <c r="T44" s="869">
        <v>1</v>
      </c>
    </row>
    <row r="45" spans="1:20">
      <c r="A45" s="869" t="s">
        <v>10637</v>
      </c>
      <c r="B45" s="869" t="s">
        <v>5152</v>
      </c>
      <c r="C45" s="869" t="s">
        <v>5152</v>
      </c>
      <c r="D45" s="869" t="s">
        <v>5153</v>
      </c>
      <c r="E45" s="869" t="s">
        <v>2117</v>
      </c>
      <c r="F45" s="869">
        <v>350</v>
      </c>
      <c r="G45" s="869">
        <v>0</v>
      </c>
      <c r="H45" s="869" t="s">
        <v>1535</v>
      </c>
      <c r="I45" s="869">
        <v>100</v>
      </c>
      <c r="J45" s="869">
        <v>0</v>
      </c>
      <c r="K45" s="869" t="s">
        <v>463</v>
      </c>
      <c r="L45" s="869">
        <v>30</v>
      </c>
      <c r="M45" s="869">
        <v>4</v>
      </c>
      <c r="N45" s="869">
        <v>0</v>
      </c>
      <c r="O45" s="869">
        <v>10</v>
      </c>
      <c r="P45" s="869">
        <v>1</v>
      </c>
      <c r="Q45" s="869">
        <v>0</v>
      </c>
      <c r="R45" s="869">
        <v>100</v>
      </c>
      <c r="S45" s="869">
        <v>100</v>
      </c>
      <c r="T45" s="869">
        <v>1</v>
      </c>
    </row>
    <row r="46" spans="1:20">
      <c r="A46" s="869" t="s">
        <v>10637</v>
      </c>
      <c r="B46" s="869" t="s">
        <v>5154</v>
      </c>
      <c r="C46" s="869" t="s">
        <v>5154</v>
      </c>
      <c r="D46" s="869" t="s">
        <v>5155</v>
      </c>
      <c r="E46" s="869" t="s">
        <v>1634</v>
      </c>
      <c r="F46" s="869">
        <v>300</v>
      </c>
      <c r="G46" s="869">
        <v>0</v>
      </c>
      <c r="H46" s="869" t="s">
        <v>1535</v>
      </c>
      <c r="I46" s="869">
        <v>1294</v>
      </c>
      <c r="J46" s="869">
        <v>0</v>
      </c>
      <c r="K46" s="869" t="s">
        <v>1549</v>
      </c>
      <c r="L46" s="869">
        <v>60</v>
      </c>
      <c r="M46" s="869">
        <v>20</v>
      </c>
      <c r="N46" s="869">
        <v>0</v>
      </c>
      <c r="O46" s="869">
        <v>10</v>
      </c>
      <c r="P46" s="869">
        <v>9.9999989999999997E-2</v>
      </c>
      <c r="Q46" s="869">
        <v>0</v>
      </c>
      <c r="R46" s="869">
        <v>100</v>
      </c>
      <c r="S46" s="869">
        <v>100</v>
      </c>
      <c r="T46" s="869">
        <v>1</v>
      </c>
    </row>
    <row r="47" spans="1:20">
      <c r="A47" s="869" t="s">
        <v>10637</v>
      </c>
      <c r="B47" s="869" t="s">
        <v>5156</v>
      </c>
      <c r="C47" s="869" t="s">
        <v>5156</v>
      </c>
      <c r="D47" s="869" t="s">
        <v>5157</v>
      </c>
      <c r="E47" s="869" t="s">
        <v>2128</v>
      </c>
      <c r="F47" s="869">
        <v>400</v>
      </c>
      <c r="G47" s="869">
        <v>0</v>
      </c>
      <c r="H47" s="869" t="s">
        <v>1535</v>
      </c>
      <c r="I47" s="869">
        <v>300</v>
      </c>
      <c r="J47" s="869">
        <v>0</v>
      </c>
      <c r="K47" s="869" t="s">
        <v>1549</v>
      </c>
      <c r="L47" s="869">
        <v>70</v>
      </c>
      <c r="M47" s="869">
        <v>45</v>
      </c>
      <c r="N47" s="869">
        <v>0</v>
      </c>
      <c r="O47" s="869">
        <v>10</v>
      </c>
      <c r="P47" s="869">
        <v>0.5</v>
      </c>
      <c r="Q47" s="869">
        <v>0</v>
      </c>
      <c r="R47" s="869">
        <v>100</v>
      </c>
      <c r="S47" s="869">
        <v>100</v>
      </c>
      <c r="T47" s="869">
        <v>1</v>
      </c>
    </row>
    <row r="48" spans="1:20">
      <c r="A48" s="869" t="s">
        <v>10637</v>
      </c>
      <c r="B48" s="869" t="s">
        <v>5158</v>
      </c>
      <c r="C48" s="869" t="s">
        <v>5158</v>
      </c>
      <c r="D48" s="869" t="s">
        <v>5159</v>
      </c>
      <c r="E48" s="869" t="s">
        <v>2160</v>
      </c>
      <c r="F48" s="869">
        <v>313</v>
      </c>
      <c r="G48" s="869">
        <v>0</v>
      </c>
      <c r="H48" s="869" t="s">
        <v>1549</v>
      </c>
      <c r="I48" s="869">
        <v>100</v>
      </c>
      <c r="J48" s="869">
        <v>0</v>
      </c>
      <c r="K48" s="869" t="s">
        <v>463</v>
      </c>
      <c r="L48" s="869">
        <v>400</v>
      </c>
      <c r="M48" s="869">
        <v>0.2</v>
      </c>
      <c r="N48" s="869">
        <v>0</v>
      </c>
      <c r="O48" s="869">
        <v>10</v>
      </c>
      <c r="P48" s="869">
        <v>1</v>
      </c>
      <c r="Q48" s="869">
        <v>0</v>
      </c>
      <c r="R48" s="869">
        <v>100</v>
      </c>
      <c r="S48" s="869">
        <v>100</v>
      </c>
      <c r="T48" s="869">
        <v>1</v>
      </c>
    </row>
    <row r="49" spans="1:20">
      <c r="A49" s="869" t="s">
        <v>10637</v>
      </c>
      <c r="B49" s="869" t="s">
        <v>5160</v>
      </c>
      <c r="C49" s="869" t="s">
        <v>5160</v>
      </c>
      <c r="D49" s="869" t="s">
        <v>5161</v>
      </c>
      <c r="E49" s="869" t="s">
        <v>2166</v>
      </c>
      <c r="F49" s="869">
        <v>313</v>
      </c>
      <c r="G49" s="869">
        <v>0</v>
      </c>
      <c r="H49" s="869" t="s">
        <v>1549</v>
      </c>
      <c r="I49" s="869">
        <v>100</v>
      </c>
      <c r="J49" s="869">
        <v>0</v>
      </c>
      <c r="K49" s="869" t="s">
        <v>463</v>
      </c>
      <c r="L49" s="869">
        <v>400</v>
      </c>
      <c r="M49" s="869">
        <v>0.1</v>
      </c>
      <c r="N49" s="869">
        <v>0</v>
      </c>
      <c r="O49" s="869">
        <v>10</v>
      </c>
      <c r="P49" s="869">
        <v>1</v>
      </c>
      <c r="Q49" s="869">
        <v>0</v>
      </c>
      <c r="R49" s="869">
        <v>100</v>
      </c>
      <c r="S49" s="869">
        <v>100</v>
      </c>
      <c r="T49" s="869">
        <v>1</v>
      </c>
    </row>
    <row r="50" spans="1:20">
      <c r="A50" s="869" t="s">
        <v>10637</v>
      </c>
      <c r="B50" s="869" t="s">
        <v>5162</v>
      </c>
      <c r="C50" s="869" t="s">
        <v>5162</v>
      </c>
      <c r="D50" s="869" t="s">
        <v>5163</v>
      </c>
      <c r="E50" s="869" t="s">
        <v>2172</v>
      </c>
      <c r="F50" s="869">
        <v>313</v>
      </c>
      <c r="G50" s="869">
        <v>0</v>
      </c>
      <c r="H50" s="869" t="s">
        <v>1549</v>
      </c>
      <c r="I50" s="869">
        <v>100</v>
      </c>
      <c r="J50" s="869">
        <v>0</v>
      </c>
      <c r="K50" s="869" t="s">
        <v>463</v>
      </c>
      <c r="L50" s="869">
        <v>400</v>
      </c>
      <c r="M50" s="869">
        <v>0.1</v>
      </c>
      <c r="N50" s="869">
        <v>0</v>
      </c>
      <c r="O50" s="869">
        <v>10</v>
      </c>
      <c r="P50" s="869">
        <v>1</v>
      </c>
      <c r="Q50" s="869">
        <v>0</v>
      </c>
      <c r="R50" s="869">
        <v>100</v>
      </c>
      <c r="S50" s="869">
        <v>100</v>
      </c>
      <c r="T50" s="869">
        <v>1</v>
      </c>
    </row>
    <row r="51" spans="1:20">
      <c r="A51" s="869" t="s">
        <v>10637</v>
      </c>
      <c r="B51" s="869" t="s">
        <v>5164</v>
      </c>
      <c r="C51" s="869" t="s">
        <v>5164</v>
      </c>
      <c r="D51" s="869" t="s">
        <v>5165</v>
      </c>
      <c r="E51" s="869" t="s">
        <v>2178</v>
      </c>
      <c r="F51" s="869">
        <v>313</v>
      </c>
      <c r="G51" s="869">
        <v>0</v>
      </c>
      <c r="H51" s="869" t="s">
        <v>1549</v>
      </c>
      <c r="I51" s="869">
        <v>100</v>
      </c>
      <c r="J51" s="869">
        <v>0</v>
      </c>
      <c r="K51" s="869" t="s">
        <v>463</v>
      </c>
      <c r="L51" s="869">
        <v>400</v>
      </c>
      <c r="M51" s="869">
        <v>0.1</v>
      </c>
      <c r="N51" s="869">
        <v>0</v>
      </c>
      <c r="O51" s="869">
        <v>10</v>
      </c>
      <c r="P51" s="869">
        <v>1</v>
      </c>
      <c r="Q51" s="869">
        <v>0</v>
      </c>
      <c r="R51" s="869">
        <v>100</v>
      </c>
      <c r="S51" s="869">
        <v>100</v>
      </c>
      <c r="T51" s="869">
        <v>1</v>
      </c>
    </row>
    <row r="52" spans="1:20">
      <c r="A52" s="869" t="s">
        <v>10637</v>
      </c>
      <c r="B52" s="869" t="s">
        <v>5166</v>
      </c>
      <c r="C52" s="869" t="s">
        <v>5166</v>
      </c>
      <c r="D52" s="869" t="s">
        <v>5167</v>
      </c>
      <c r="E52" s="869" t="s">
        <v>2184</v>
      </c>
      <c r="F52" s="869">
        <v>313</v>
      </c>
      <c r="G52" s="869">
        <v>0</v>
      </c>
      <c r="H52" s="869" t="s">
        <v>1549</v>
      </c>
      <c r="I52" s="869">
        <v>100</v>
      </c>
      <c r="J52" s="869">
        <v>0</v>
      </c>
      <c r="K52" s="869" t="s">
        <v>463</v>
      </c>
      <c r="L52" s="869">
        <v>400</v>
      </c>
      <c r="M52" s="869">
        <v>0.1</v>
      </c>
      <c r="N52" s="869">
        <v>0</v>
      </c>
      <c r="O52" s="869">
        <v>10</v>
      </c>
      <c r="P52" s="869">
        <v>1</v>
      </c>
      <c r="Q52" s="869">
        <v>0</v>
      </c>
      <c r="R52" s="869">
        <v>100</v>
      </c>
      <c r="S52" s="869">
        <v>100</v>
      </c>
      <c r="T52" s="869">
        <v>1</v>
      </c>
    </row>
    <row r="53" spans="1:20">
      <c r="A53" s="869" t="s">
        <v>10637</v>
      </c>
      <c r="B53" s="869" t="s">
        <v>5168</v>
      </c>
      <c r="C53" s="869" t="s">
        <v>5168</v>
      </c>
      <c r="D53" s="869" t="s">
        <v>5169</v>
      </c>
      <c r="E53" s="869" t="s">
        <v>2190</v>
      </c>
      <c r="F53" s="869">
        <v>313</v>
      </c>
      <c r="G53" s="869">
        <v>0</v>
      </c>
      <c r="H53" s="869" t="s">
        <v>1549</v>
      </c>
      <c r="I53" s="869">
        <v>100</v>
      </c>
      <c r="J53" s="869">
        <v>0</v>
      </c>
      <c r="K53" s="869" t="s">
        <v>463</v>
      </c>
      <c r="L53" s="869">
        <v>400</v>
      </c>
      <c r="M53" s="869">
        <v>0.1</v>
      </c>
      <c r="N53" s="869">
        <v>0</v>
      </c>
      <c r="O53" s="869">
        <v>10</v>
      </c>
      <c r="P53" s="869">
        <v>1</v>
      </c>
      <c r="Q53" s="869">
        <v>0</v>
      </c>
      <c r="R53" s="869">
        <v>100</v>
      </c>
      <c r="S53" s="869">
        <v>100</v>
      </c>
      <c r="T53" s="869">
        <v>1</v>
      </c>
    </row>
    <row r="54" spans="1:20">
      <c r="A54" s="869" t="s">
        <v>10637</v>
      </c>
      <c r="B54" s="869" t="s">
        <v>5170</v>
      </c>
      <c r="C54" s="869" t="s">
        <v>5170</v>
      </c>
      <c r="D54" s="869" t="s">
        <v>5171</v>
      </c>
      <c r="E54" s="869" t="s">
        <v>2196</v>
      </c>
      <c r="F54" s="869">
        <v>313</v>
      </c>
      <c r="G54" s="869">
        <v>0</v>
      </c>
      <c r="H54" s="869" t="s">
        <v>1549</v>
      </c>
      <c r="I54" s="869">
        <v>100</v>
      </c>
      <c r="J54" s="869">
        <v>0</v>
      </c>
      <c r="K54" s="869" t="s">
        <v>463</v>
      </c>
      <c r="L54" s="869">
        <v>400</v>
      </c>
      <c r="M54" s="869">
        <v>0.1</v>
      </c>
      <c r="N54" s="869">
        <v>0</v>
      </c>
      <c r="O54" s="869">
        <v>10</v>
      </c>
      <c r="P54" s="869">
        <v>1</v>
      </c>
      <c r="Q54" s="869">
        <v>0</v>
      </c>
      <c r="R54" s="869">
        <v>100</v>
      </c>
      <c r="S54" s="869">
        <v>100</v>
      </c>
      <c r="T54" s="869">
        <v>1</v>
      </c>
    </row>
    <row r="55" spans="1:20">
      <c r="A55" s="869" t="s">
        <v>10637</v>
      </c>
      <c r="B55" s="869" t="s">
        <v>5172</v>
      </c>
      <c r="C55" s="869" t="s">
        <v>5172</v>
      </c>
      <c r="D55" s="869" t="s">
        <v>5173</v>
      </c>
      <c r="E55" s="869" t="s">
        <v>2202</v>
      </c>
      <c r="F55" s="869">
        <v>313</v>
      </c>
      <c r="G55" s="869">
        <v>0</v>
      </c>
      <c r="H55" s="869" t="s">
        <v>1549</v>
      </c>
      <c r="I55" s="869">
        <v>100</v>
      </c>
      <c r="J55" s="869">
        <v>0</v>
      </c>
      <c r="K55" s="869" t="s">
        <v>463</v>
      </c>
      <c r="L55" s="869">
        <v>400</v>
      </c>
      <c r="M55" s="869">
        <v>0.1</v>
      </c>
      <c r="N55" s="869">
        <v>0</v>
      </c>
      <c r="O55" s="869">
        <v>10</v>
      </c>
      <c r="P55" s="869">
        <v>1</v>
      </c>
      <c r="Q55" s="869">
        <v>0</v>
      </c>
      <c r="R55" s="869">
        <v>100</v>
      </c>
      <c r="S55" s="869">
        <v>100</v>
      </c>
      <c r="T55" s="869">
        <v>1</v>
      </c>
    </row>
    <row r="56" spans="1:20">
      <c r="A56" s="869" t="s">
        <v>10637</v>
      </c>
      <c r="B56" s="869" t="s">
        <v>5174</v>
      </c>
      <c r="C56" s="869" t="s">
        <v>5174</v>
      </c>
      <c r="D56" s="869" t="s">
        <v>5175</v>
      </c>
      <c r="E56" s="869" t="s">
        <v>5176</v>
      </c>
      <c r="F56" s="869">
        <v>1839</v>
      </c>
      <c r="G56" s="869">
        <v>0</v>
      </c>
      <c r="H56" s="869" t="s">
        <v>1549</v>
      </c>
      <c r="I56" s="869">
        <v>2504</v>
      </c>
      <c r="J56" s="869">
        <v>0</v>
      </c>
      <c r="K56" s="869" t="s">
        <v>1549</v>
      </c>
      <c r="L56" s="869">
        <v>60</v>
      </c>
      <c r="M56" s="869">
        <v>2</v>
      </c>
      <c r="N56" s="869">
        <v>0</v>
      </c>
      <c r="O56" s="869">
        <v>10</v>
      </c>
      <c r="P56" s="869">
        <v>0.01</v>
      </c>
      <c r="Q56" s="869">
        <v>0</v>
      </c>
      <c r="R56" s="869">
        <v>100</v>
      </c>
      <c r="S56" s="869">
        <v>100</v>
      </c>
      <c r="T56" s="869">
        <v>1</v>
      </c>
    </row>
    <row r="57" spans="1:20">
      <c r="A57" s="869" t="s">
        <v>10637</v>
      </c>
      <c r="B57" s="869" t="s">
        <v>5177</v>
      </c>
      <c r="C57" s="869" t="s">
        <v>5177</v>
      </c>
      <c r="D57" s="869" t="s">
        <v>5178</v>
      </c>
      <c r="E57" s="869" t="s">
        <v>1881</v>
      </c>
      <c r="F57" s="869">
        <v>171.4</v>
      </c>
      <c r="G57" s="869">
        <v>0</v>
      </c>
      <c r="H57" s="869" t="s">
        <v>1549</v>
      </c>
      <c r="I57" s="869">
        <v>100</v>
      </c>
      <c r="J57" s="869">
        <v>0</v>
      </c>
      <c r="K57" s="869" t="s">
        <v>463</v>
      </c>
      <c r="L57" s="869">
        <v>450</v>
      </c>
      <c r="M57" s="869">
        <v>0.12</v>
      </c>
      <c r="N57" s="869">
        <v>0</v>
      </c>
      <c r="O57" s="869">
        <v>10</v>
      </c>
      <c r="P57" s="869">
        <v>1</v>
      </c>
      <c r="Q57" s="869">
        <v>0</v>
      </c>
      <c r="R57" s="869">
        <v>100</v>
      </c>
      <c r="S57" s="869">
        <v>100</v>
      </c>
      <c r="T57" s="869">
        <v>1</v>
      </c>
    </row>
    <row r="58" spans="1:20">
      <c r="A58" s="869" t="s">
        <v>10637</v>
      </c>
      <c r="B58" s="869" t="s">
        <v>5179</v>
      </c>
      <c r="C58" s="869" t="s">
        <v>5179</v>
      </c>
      <c r="D58" s="869" t="s">
        <v>743</v>
      </c>
      <c r="E58" s="869" t="s">
        <v>2212</v>
      </c>
      <c r="F58" s="869">
        <v>7.08</v>
      </c>
      <c r="G58" s="869">
        <v>0</v>
      </c>
      <c r="H58" s="869" t="s">
        <v>1556</v>
      </c>
      <c r="I58" s="869">
        <v>100</v>
      </c>
      <c r="J58" s="869">
        <v>0</v>
      </c>
      <c r="K58" s="869" t="s">
        <v>463</v>
      </c>
      <c r="L58" s="869">
        <v>150</v>
      </c>
      <c r="M58" s="869">
        <v>0.2549999</v>
      </c>
      <c r="N58" s="869">
        <v>0</v>
      </c>
      <c r="O58" s="869">
        <v>10</v>
      </c>
      <c r="P58" s="869">
        <v>1</v>
      </c>
      <c r="Q58" s="869">
        <v>0</v>
      </c>
      <c r="R58" s="869">
        <v>100</v>
      </c>
      <c r="S58" s="869">
        <v>100</v>
      </c>
      <c r="T58" s="869">
        <v>1</v>
      </c>
    </row>
    <row r="59" spans="1:20">
      <c r="A59" s="869" t="s">
        <v>10637</v>
      </c>
      <c r="B59" s="869" t="s">
        <v>5180</v>
      </c>
      <c r="C59" s="869" t="s">
        <v>5180</v>
      </c>
      <c r="D59" s="869" t="s">
        <v>746</v>
      </c>
      <c r="E59" s="869" t="s">
        <v>2215</v>
      </c>
      <c r="F59" s="869">
        <v>2.13</v>
      </c>
      <c r="G59" s="869">
        <v>0</v>
      </c>
      <c r="H59" s="869" t="s">
        <v>1556</v>
      </c>
      <c r="I59" s="869">
        <v>100</v>
      </c>
      <c r="J59" s="869">
        <v>0</v>
      </c>
      <c r="K59" s="869" t="s">
        <v>463</v>
      </c>
      <c r="L59" s="869">
        <v>300</v>
      </c>
      <c r="M59" s="869">
        <v>0.6</v>
      </c>
      <c r="N59" s="869">
        <v>0</v>
      </c>
      <c r="O59" s="869">
        <v>10</v>
      </c>
      <c r="P59" s="869">
        <v>1</v>
      </c>
      <c r="Q59" s="869">
        <v>0</v>
      </c>
      <c r="R59" s="869">
        <v>100</v>
      </c>
      <c r="S59" s="869">
        <v>100</v>
      </c>
      <c r="T59" s="869">
        <v>1</v>
      </c>
    </row>
    <row r="60" spans="1:20">
      <c r="A60" s="869" t="s">
        <v>10637</v>
      </c>
      <c r="B60" s="869" t="s">
        <v>5181</v>
      </c>
      <c r="C60" s="869" t="s">
        <v>5181</v>
      </c>
      <c r="D60" s="869" t="s">
        <v>5182</v>
      </c>
      <c r="E60" s="869" t="s">
        <v>5176</v>
      </c>
      <c r="F60" s="869">
        <v>1839</v>
      </c>
      <c r="G60" s="869">
        <v>0</v>
      </c>
      <c r="H60" s="869" t="s">
        <v>1549</v>
      </c>
      <c r="I60" s="869">
        <v>2504</v>
      </c>
      <c r="J60" s="869">
        <v>0</v>
      </c>
      <c r="K60" s="869" t="s">
        <v>463</v>
      </c>
      <c r="L60" s="869">
        <v>60</v>
      </c>
      <c r="M60" s="869">
        <v>2</v>
      </c>
      <c r="N60" s="869">
        <v>0</v>
      </c>
      <c r="O60" s="869">
        <v>10</v>
      </c>
      <c r="P60" s="869">
        <v>0.01</v>
      </c>
      <c r="Q60" s="869">
        <v>0</v>
      </c>
      <c r="R60" s="869">
        <v>100</v>
      </c>
      <c r="S60" s="869">
        <v>100</v>
      </c>
      <c r="T60" s="869">
        <v>1</v>
      </c>
    </row>
    <row r="61" spans="1:20">
      <c r="A61" s="869" t="s">
        <v>10637</v>
      </c>
      <c r="B61" s="869" t="s">
        <v>5183</v>
      </c>
      <c r="C61" s="869" t="s">
        <v>5183</v>
      </c>
      <c r="D61" s="869" t="s">
        <v>5184</v>
      </c>
      <c r="E61" s="869" t="s">
        <v>1872</v>
      </c>
      <c r="F61" s="869">
        <v>401</v>
      </c>
      <c r="G61" s="869">
        <v>0</v>
      </c>
      <c r="H61" s="869" t="s">
        <v>1549</v>
      </c>
      <c r="I61" s="869">
        <v>100</v>
      </c>
      <c r="J61" s="869">
        <v>0</v>
      </c>
      <c r="K61" s="869" t="s">
        <v>463</v>
      </c>
      <c r="L61" s="869">
        <v>700</v>
      </c>
      <c r="M61" s="869">
        <v>9.9999989999999997E-2</v>
      </c>
      <c r="N61" s="869">
        <v>0</v>
      </c>
      <c r="O61" s="869">
        <v>10</v>
      </c>
      <c r="P61" s="869">
        <v>1</v>
      </c>
      <c r="Q61" s="869">
        <v>0</v>
      </c>
      <c r="R61" s="869">
        <v>100</v>
      </c>
      <c r="S61" s="869">
        <v>100</v>
      </c>
      <c r="T61" s="869">
        <v>1</v>
      </c>
    </row>
    <row r="62" spans="1:20">
      <c r="A62" s="869" t="s">
        <v>10637</v>
      </c>
      <c r="B62" s="869" t="s">
        <v>5185</v>
      </c>
      <c r="C62" s="869" t="s">
        <v>5185</v>
      </c>
      <c r="D62" s="869" t="s">
        <v>5186</v>
      </c>
      <c r="E62" s="869" t="s">
        <v>2222</v>
      </c>
      <c r="F62" s="869">
        <v>100</v>
      </c>
      <c r="G62" s="869">
        <v>0</v>
      </c>
      <c r="H62" s="869" t="s">
        <v>463</v>
      </c>
      <c r="I62" s="869">
        <v>598</v>
      </c>
      <c r="J62" s="869">
        <v>0</v>
      </c>
      <c r="K62" s="869" t="s">
        <v>1549</v>
      </c>
      <c r="L62" s="869">
        <v>100</v>
      </c>
      <c r="M62" s="869">
        <v>60</v>
      </c>
      <c r="N62" s="869">
        <v>0</v>
      </c>
      <c r="O62" s="869">
        <v>10</v>
      </c>
      <c r="P62" s="869">
        <v>0.5</v>
      </c>
      <c r="Q62" s="869">
        <v>1</v>
      </c>
      <c r="R62" s="869">
        <v>10</v>
      </c>
      <c r="S62" s="869">
        <v>10</v>
      </c>
      <c r="T62" s="869">
        <v>0.25</v>
      </c>
    </row>
    <row r="63" spans="1:20">
      <c r="A63" s="869" t="s">
        <v>10637</v>
      </c>
      <c r="B63" s="869" t="s">
        <v>5187</v>
      </c>
      <c r="C63" s="869" t="s">
        <v>5187</v>
      </c>
      <c r="D63" s="869" t="s">
        <v>955</v>
      </c>
      <c r="E63" s="869" t="s">
        <v>5188</v>
      </c>
      <c r="F63" s="869">
        <v>100</v>
      </c>
      <c r="G63" s="869">
        <v>0</v>
      </c>
      <c r="H63" s="869" t="s">
        <v>463</v>
      </c>
      <c r="I63" s="869">
        <v>400</v>
      </c>
      <c r="J63" s="869">
        <v>0</v>
      </c>
      <c r="K63" s="869" t="s">
        <v>1549</v>
      </c>
      <c r="L63" s="869">
        <v>80</v>
      </c>
      <c r="M63" s="869">
        <v>35</v>
      </c>
      <c r="N63" s="869">
        <v>0</v>
      </c>
      <c r="O63" s="869">
        <v>10</v>
      </c>
      <c r="P63" s="869">
        <v>0.5</v>
      </c>
      <c r="Q63" s="869">
        <v>0</v>
      </c>
      <c r="R63" s="869">
        <v>100</v>
      </c>
      <c r="S63" s="869">
        <v>100</v>
      </c>
      <c r="T63" s="869">
        <v>1</v>
      </c>
    </row>
    <row r="64" spans="1:20">
      <c r="A64" s="869" t="s">
        <v>10637</v>
      </c>
      <c r="B64" s="869" t="s">
        <v>5189</v>
      </c>
      <c r="C64" s="869" t="s">
        <v>5189</v>
      </c>
      <c r="D64" s="869" t="s">
        <v>5190</v>
      </c>
      <c r="E64" s="869" t="s">
        <v>5191</v>
      </c>
      <c r="F64" s="869">
        <v>100</v>
      </c>
      <c r="G64" s="869">
        <v>0</v>
      </c>
      <c r="H64" s="869" t="s">
        <v>463</v>
      </c>
      <c r="I64" s="869">
        <v>100</v>
      </c>
      <c r="J64" s="869">
        <v>0</v>
      </c>
      <c r="K64" s="869" t="s">
        <v>463</v>
      </c>
      <c r="L64" s="869">
        <v>80</v>
      </c>
      <c r="M64" s="869">
        <v>35</v>
      </c>
      <c r="N64" s="869">
        <v>0</v>
      </c>
      <c r="O64" s="869">
        <v>10</v>
      </c>
      <c r="P64" s="869">
        <v>0.5</v>
      </c>
      <c r="Q64" s="869">
        <v>0</v>
      </c>
      <c r="R64" s="869">
        <v>100</v>
      </c>
      <c r="S64" s="869">
        <v>100</v>
      </c>
      <c r="T64" s="869">
        <v>1</v>
      </c>
    </row>
    <row r="65" spans="1:20">
      <c r="A65" s="869" t="s">
        <v>10637</v>
      </c>
      <c r="B65" s="869" t="s">
        <v>5192</v>
      </c>
      <c r="C65" s="869" t="s">
        <v>5192</v>
      </c>
      <c r="D65" s="869" t="s">
        <v>5193</v>
      </c>
      <c r="E65" s="869" t="s">
        <v>2255</v>
      </c>
      <c r="F65" s="869">
        <v>3</v>
      </c>
      <c r="G65" s="869">
        <v>0</v>
      </c>
      <c r="H65" s="869" t="s">
        <v>2000</v>
      </c>
      <c r="I65" s="869">
        <v>100</v>
      </c>
      <c r="J65" s="869">
        <v>0</v>
      </c>
      <c r="K65" s="869" t="s">
        <v>463</v>
      </c>
      <c r="L65" s="869">
        <v>15</v>
      </c>
      <c r="M65" s="869">
        <v>15</v>
      </c>
      <c r="N65" s="869">
        <v>0</v>
      </c>
      <c r="O65" s="869">
        <v>10</v>
      </c>
      <c r="P65" s="869">
        <v>0.5</v>
      </c>
      <c r="Q65" s="869">
        <v>0</v>
      </c>
      <c r="R65" s="869">
        <v>100</v>
      </c>
      <c r="S65" s="869">
        <v>100</v>
      </c>
      <c r="T65" s="869">
        <v>1</v>
      </c>
    </row>
    <row r="66" spans="1:20">
      <c r="A66" s="869" t="s">
        <v>10637</v>
      </c>
      <c r="B66" s="869" t="s">
        <v>5194</v>
      </c>
      <c r="C66" s="869" t="s">
        <v>5194</v>
      </c>
      <c r="D66" s="869" t="s">
        <v>5195</v>
      </c>
      <c r="E66" s="869" t="s">
        <v>5196</v>
      </c>
      <c r="F66" s="869">
        <v>3</v>
      </c>
      <c r="G66" s="869">
        <v>0</v>
      </c>
      <c r="H66" s="869" t="s">
        <v>1635</v>
      </c>
      <c r="I66" s="869">
        <v>100</v>
      </c>
      <c r="J66" s="869">
        <v>0</v>
      </c>
      <c r="K66" s="869" t="s">
        <v>463</v>
      </c>
      <c r="L66" s="869">
        <v>18</v>
      </c>
      <c r="M66" s="869">
        <v>8</v>
      </c>
      <c r="N66" s="869">
        <v>0</v>
      </c>
      <c r="O66" s="869">
        <v>10</v>
      </c>
      <c r="P66" s="869">
        <v>0.5</v>
      </c>
      <c r="Q66" s="869">
        <v>0</v>
      </c>
      <c r="R66" s="869">
        <v>100</v>
      </c>
      <c r="S66" s="869">
        <v>100</v>
      </c>
      <c r="T66" s="869">
        <v>1</v>
      </c>
    </row>
    <row r="67" spans="1:20">
      <c r="A67" s="869" t="s">
        <v>10637</v>
      </c>
      <c r="B67" s="869" t="s">
        <v>5197</v>
      </c>
      <c r="C67" s="869" t="s">
        <v>5197</v>
      </c>
      <c r="D67" s="869" t="s">
        <v>5198</v>
      </c>
      <c r="E67" s="869" t="s">
        <v>2258</v>
      </c>
      <c r="F67" s="869">
        <v>1020</v>
      </c>
      <c r="G67" s="869">
        <v>0</v>
      </c>
      <c r="H67" s="869" t="s">
        <v>3506</v>
      </c>
      <c r="I67" s="869">
        <v>100</v>
      </c>
      <c r="J67" s="869">
        <v>0</v>
      </c>
      <c r="K67" s="869" t="s">
        <v>463</v>
      </c>
      <c r="L67" s="869">
        <v>150</v>
      </c>
      <c r="M67" s="869">
        <v>1.0620000000000001</v>
      </c>
      <c r="N67" s="869">
        <v>0</v>
      </c>
      <c r="O67" s="869">
        <v>10</v>
      </c>
      <c r="P67" s="869">
        <v>0.5</v>
      </c>
      <c r="Q67" s="869">
        <v>0</v>
      </c>
      <c r="R67" s="869">
        <v>100</v>
      </c>
      <c r="S67" s="869">
        <v>100</v>
      </c>
      <c r="T67" s="869">
        <v>1</v>
      </c>
    </row>
    <row r="68" spans="1:20">
      <c r="A68" s="869" t="s">
        <v>10637</v>
      </c>
      <c r="B68" s="869" t="s">
        <v>5199</v>
      </c>
      <c r="C68" s="869" t="s">
        <v>5199</v>
      </c>
      <c r="D68" s="869" t="s">
        <v>5200</v>
      </c>
      <c r="E68" s="869" t="s">
        <v>2267</v>
      </c>
      <c r="F68" s="869">
        <v>250</v>
      </c>
      <c r="G68" s="869">
        <v>0</v>
      </c>
      <c r="H68" s="869" t="s">
        <v>1535</v>
      </c>
      <c r="I68" s="869">
        <v>100</v>
      </c>
      <c r="J68" s="869">
        <v>0</v>
      </c>
      <c r="K68" s="869" t="s">
        <v>463</v>
      </c>
      <c r="L68" s="869">
        <v>150</v>
      </c>
      <c r="M68" s="869">
        <v>10</v>
      </c>
      <c r="N68" s="869">
        <v>0</v>
      </c>
      <c r="O68" s="869">
        <v>10</v>
      </c>
      <c r="P68" s="869">
        <v>0.5</v>
      </c>
      <c r="Q68" s="869">
        <v>0</v>
      </c>
      <c r="R68" s="869">
        <v>100</v>
      </c>
      <c r="S68" s="869">
        <v>100</v>
      </c>
      <c r="T68" s="869">
        <v>1</v>
      </c>
    </row>
    <row r="69" spans="1:20">
      <c r="A69" s="869" t="s">
        <v>10637</v>
      </c>
      <c r="B69" s="869" t="s">
        <v>5201</v>
      </c>
      <c r="C69" s="869" t="s">
        <v>5201</v>
      </c>
      <c r="D69" s="869" t="s">
        <v>5202</v>
      </c>
      <c r="E69" s="869" t="s">
        <v>2270</v>
      </c>
      <c r="F69" s="869">
        <v>300</v>
      </c>
      <c r="G69" s="869">
        <v>0</v>
      </c>
      <c r="H69" s="869" t="s">
        <v>1535</v>
      </c>
      <c r="I69" s="869">
        <v>100</v>
      </c>
      <c r="J69" s="869">
        <v>0</v>
      </c>
      <c r="K69" s="869" t="s">
        <v>463</v>
      </c>
      <c r="L69" s="869">
        <v>40</v>
      </c>
      <c r="M69" s="869">
        <v>2.5</v>
      </c>
      <c r="N69" s="869">
        <v>0</v>
      </c>
      <c r="O69" s="869">
        <v>10</v>
      </c>
      <c r="P69" s="869">
        <v>0.5</v>
      </c>
      <c r="Q69" s="869">
        <v>0</v>
      </c>
      <c r="R69" s="869">
        <v>100</v>
      </c>
      <c r="S69" s="869">
        <v>100</v>
      </c>
      <c r="T69" s="869">
        <v>1</v>
      </c>
    </row>
    <row r="70" spans="1:20">
      <c r="A70" s="869" t="s">
        <v>10637</v>
      </c>
      <c r="B70" s="869" t="s">
        <v>5203</v>
      </c>
      <c r="C70" s="869" t="s">
        <v>5203</v>
      </c>
      <c r="D70" s="869" t="s">
        <v>5204</v>
      </c>
      <c r="E70" s="869" t="s">
        <v>2273</v>
      </c>
      <c r="F70" s="869">
        <v>100</v>
      </c>
      <c r="G70" s="869">
        <v>0</v>
      </c>
      <c r="H70" s="869" t="s">
        <v>1577</v>
      </c>
      <c r="I70" s="869">
        <v>100</v>
      </c>
      <c r="J70" s="869">
        <v>0</v>
      </c>
      <c r="K70" s="869" t="s">
        <v>463</v>
      </c>
      <c r="L70" s="869">
        <v>90</v>
      </c>
      <c r="M70" s="869">
        <v>40</v>
      </c>
      <c r="N70" s="869">
        <v>0</v>
      </c>
      <c r="O70" s="869">
        <v>10</v>
      </c>
      <c r="P70" s="869">
        <v>0.5</v>
      </c>
      <c r="Q70" s="869">
        <v>0</v>
      </c>
      <c r="R70" s="869">
        <v>100</v>
      </c>
      <c r="S70" s="869">
        <v>100</v>
      </c>
      <c r="T70" s="869">
        <v>1</v>
      </c>
    </row>
    <row r="71" spans="1:20">
      <c r="A71" s="869" t="s">
        <v>10637</v>
      </c>
      <c r="B71" s="869" t="s">
        <v>5205</v>
      </c>
      <c r="C71" s="869" t="s">
        <v>5205</v>
      </c>
      <c r="D71" s="869" t="s">
        <v>5206</v>
      </c>
      <c r="E71" s="869" t="s">
        <v>2282</v>
      </c>
      <c r="F71" s="869">
        <v>5</v>
      </c>
      <c r="G71" s="869">
        <v>0</v>
      </c>
      <c r="H71" s="869" t="s">
        <v>1549</v>
      </c>
      <c r="I71" s="869">
        <v>100</v>
      </c>
      <c r="J71" s="869">
        <v>0</v>
      </c>
      <c r="K71" s="869" t="s">
        <v>463</v>
      </c>
      <c r="L71" s="869">
        <v>499</v>
      </c>
      <c r="M71" s="869">
        <v>0.25</v>
      </c>
      <c r="N71" s="869">
        <v>0</v>
      </c>
      <c r="O71" s="869">
        <v>10</v>
      </c>
      <c r="P71" s="869">
        <v>1</v>
      </c>
      <c r="Q71" s="869">
        <v>0</v>
      </c>
      <c r="R71" s="869">
        <v>100</v>
      </c>
      <c r="S71" s="869">
        <v>100</v>
      </c>
      <c r="T71" s="869">
        <v>1</v>
      </c>
    </row>
    <row r="72" spans="1:20">
      <c r="A72" s="869" t="s">
        <v>10637</v>
      </c>
      <c r="B72" s="869" t="s">
        <v>5207</v>
      </c>
      <c r="C72" s="869" t="s">
        <v>5207</v>
      </c>
      <c r="D72" s="869" t="s">
        <v>5208</v>
      </c>
      <c r="E72" s="869" t="s">
        <v>2289</v>
      </c>
      <c r="F72" s="869">
        <v>16</v>
      </c>
      <c r="G72" s="869">
        <v>0</v>
      </c>
      <c r="H72" s="869" t="s">
        <v>2000</v>
      </c>
      <c r="I72" s="869">
        <v>100</v>
      </c>
      <c r="J72" s="869">
        <v>0</v>
      </c>
      <c r="K72" s="869" t="s">
        <v>463</v>
      </c>
      <c r="L72" s="869">
        <v>300</v>
      </c>
      <c r="M72" s="869">
        <v>0.15</v>
      </c>
      <c r="N72" s="869">
        <v>0</v>
      </c>
      <c r="O72" s="869">
        <v>10</v>
      </c>
      <c r="P72" s="869">
        <v>0.5</v>
      </c>
      <c r="Q72" s="869">
        <v>0</v>
      </c>
      <c r="R72" s="869">
        <v>100</v>
      </c>
      <c r="S72" s="869">
        <v>100</v>
      </c>
      <c r="T72" s="869">
        <v>1</v>
      </c>
    </row>
    <row r="73" spans="1:20">
      <c r="A73" s="869" t="s">
        <v>10637</v>
      </c>
      <c r="B73" s="869" t="s">
        <v>5209</v>
      </c>
      <c r="C73" s="869" t="s">
        <v>5209</v>
      </c>
      <c r="D73" s="869" t="s">
        <v>5210</v>
      </c>
      <c r="E73" s="869" t="s">
        <v>5211</v>
      </c>
      <c r="F73" s="869">
        <v>75</v>
      </c>
      <c r="G73" s="869">
        <v>0</v>
      </c>
      <c r="H73" s="869" t="s">
        <v>1549</v>
      </c>
      <c r="I73" s="869">
        <v>100</v>
      </c>
      <c r="J73" s="869">
        <v>0</v>
      </c>
      <c r="K73" s="869" t="s">
        <v>463</v>
      </c>
      <c r="L73" s="869">
        <v>760</v>
      </c>
      <c r="M73" s="869">
        <v>0.5</v>
      </c>
      <c r="N73" s="869">
        <v>0</v>
      </c>
      <c r="O73" s="869">
        <v>10</v>
      </c>
      <c r="P73" s="869">
        <v>0.5</v>
      </c>
      <c r="Q73" s="869">
        <v>0</v>
      </c>
      <c r="R73" s="869">
        <v>100</v>
      </c>
      <c r="S73" s="869">
        <v>100</v>
      </c>
      <c r="T73" s="869">
        <v>1</v>
      </c>
    </row>
    <row r="74" spans="1:20">
      <c r="A74" s="869" t="s">
        <v>10637</v>
      </c>
      <c r="B74" s="869" t="s">
        <v>5212</v>
      </c>
      <c r="C74" s="869" t="s">
        <v>5212</v>
      </c>
      <c r="D74" s="869" t="s">
        <v>5213</v>
      </c>
      <c r="E74" s="869" t="s">
        <v>2453</v>
      </c>
      <c r="F74" s="869">
        <v>100</v>
      </c>
      <c r="G74" s="869">
        <v>0</v>
      </c>
      <c r="H74" s="869" t="s">
        <v>463</v>
      </c>
      <c r="I74" s="869">
        <v>100</v>
      </c>
      <c r="J74" s="869">
        <v>0</v>
      </c>
      <c r="K74" s="869" t="s">
        <v>463</v>
      </c>
      <c r="L74" s="869">
        <v>50</v>
      </c>
      <c r="M74" s="869">
        <v>10</v>
      </c>
      <c r="N74" s="869">
        <v>0</v>
      </c>
      <c r="O74" s="869">
        <v>10</v>
      </c>
      <c r="P74" s="869">
        <v>0.5</v>
      </c>
      <c r="Q74" s="869">
        <v>0</v>
      </c>
      <c r="R74" s="869">
        <v>100</v>
      </c>
      <c r="S74" s="869">
        <v>100</v>
      </c>
      <c r="T74" s="869">
        <v>1</v>
      </c>
    </row>
    <row r="75" spans="1:20">
      <c r="A75" s="869" t="s">
        <v>10637</v>
      </c>
      <c r="B75" s="869" t="s">
        <v>5214</v>
      </c>
      <c r="C75" s="869" t="s">
        <v>5214</v>
      </c>
      <c r="D75" s="869" t="s">
        <v>5215</v>
      </c>
      <c r="E75" s="869" t="s">
        <v>2478</v>
      </c>
      <c r="F75" s="869">
        <v>100</v>
      </c>
      <c r="G75" s="869">
        <v>0</v>
      </c>
      <c r="H75" s="869" t="s">
        <v>463</v>
      </c>
      <c r="I75" s="869">
        <v>100</v>
      </c>
      <c r="J75" s="869">
        <v>0</v>
      </c>
      <c r="K75" s="869" t="s">
        <v>463</v>
      </c>
      <c r="L75" s="869">
        <v>75</v>
      </c>
      <c r="M75" s="869">
        <v>35</v>
      </c>
      <c r="N75" s="869">
        <v>0</v>
      </c>
      <c r="O75" s="869">
        <v>10</v>
      </c>
      <c r="P75" s="869">
        <v>0.5</v>
      </c>
      <c r="Q75" s="869">
        <v>0</v>
      </c>
      <c r="R75" s="869">
        <v>100</v>
      </c>
      <c r="S75" s="869">
        <v>100</v>
      </c>
      <c r="T75" s="869">
        <v>1</v>
      </c>
    </row>
    <row r="76" spans="1:20">
      <c r="A76" s="869" t="s">
        <v>10637</v>
      </c>
      <c r="B76" s="869" t="s">
        <v>5216</v>
      </c>
      <c r="C76" s="869" t="s">
        <v>5216</v>
      </c>
      <c r="D76" s="869" t="s">
        <v>5217</v>
      </c>
      <c r="E76" s="869" t="s">
        <v>5218</v>
      </c>
      <c r="F76" s="869">
        <v>100</v>
      </c>
      <c r="G76" s="869">
        <v>0</v>
      </c>
      <c r="H76" s="869" t="s">
        <v>463</v>
      </c>
      <c r="I76" s="869">
        <v>100</v>
      </c>
      <c r="J76" s="869">
        <v>0</v>
      </c>
      <c r="K76" s="869" t="s">
        <v>463</v>
      </c>
      <c r="L76" s="869">
        <v>75</v>
      </c>
      <c r="M76" s="869">
        <v>35</v>
      </c>
      <c r="N76" s="869">
        <v>0</v>
      </c>
      <c r="O76" s="869">
        <v>10</v>
      </c>
      <c r="P76" s="869">
        <v>0.5</v>
      </c>
      <c r="Q76" s="869">
        <v>0</v>
      </c>
      <c r="R76" s="869">
        <v>100</v>
      </c>
      <c r="S76" s="869">
        <v>100</v>
      </c>
      <c r="T76" s="869">
        <v>1</v>
      </c>
    </row>
    <row r="77" spans="1:20">
      <c r="A77" s="869" t="s">
        <v>10637</v>
      </c>
      <c r="B77" s="869" t="s">
        <v>5219</v>
      </c>
      <c r="C77" s="869" t="s">
        <v>5219</v>
      </c>
      <c r="D77" s="869" t="s">
        <v>5220</v>
      </c>
      <c r="E77" s="869" t="s">
        <v>5221</v>
      </c>
      <c r="F77" s="869">
        <v>12</v>
      </c>
      <c r="G77" s="869">
        <v>0</v>
      </c>
      <c r="H77" s="869" t="s">
        <v>1635</v>
      </c>
      <c r="I77" s="869">
        <v>100</v>
      </c>
      <c r="J77" s="869">
        <v>0</v>
      </c>
      <c r="K77" s="869" t="s">
        <v>463</v>
      </c>
      <c r="L77" s="869">
        <v>200</v>
      </c>
      <c r="M77" s="869">
        <v>0.12</v>
      </c>
      <c r="N77" s="869">
        <v>0</v>
      </c>
      <c r="O77" s="869">
        <v>10</v>
      </c>
      <c r="P77" s="869">
        <v>0.5</v>
      </c>
      <c r="Q77" s="869">
        <v>0</v>
      </c>
      <c r="R77" s="869">
        <v>100</v>
      </c>
      <c r="S77" s="869">
        <v>100</v>
      </c>
      <c r="T77" s="869">
        <v>1</v>
      </c>
    </row>
    <row r="78" spans="1:20">
      <c r="A78" s="869" t="s">
        <v>10637</v>
      </c>
      <c r="B78" s="869" t="s">
        <v>5222</v>
      </c>
      <c r="C78" s="869" t="s">
        <v>5222</v>
      </c>
      <c r="D78" s="869" t="s">
        <v>5223</v>
      </c>
      <c r="E78" s="869" t="s">
        <v>2608</v>
      </c>
      <c r="F78" s="869">
        <v>500</v>
      </c>
      <c r="G78" s="869">
        <v>-20</v>
      </c>
      <c r="H78" s="869" t="s">
        <v>1535</v>
      </c>
      <c r="I78" s="869">
        <v>100</v>
      </c>
      <c r="J78" s="869">
        <v>0</v>
      </c>
      <c r="K78" s="869" t="s">
        <v>463</v>
      </c>
      <c r="L78" s="869">
        <v>25</v>
      </c>
      <c r="M78" s="869">
        <v>5</v>
      </c>
      <c r="N78" s="869">
        <v>0</v>
      </c>
      <c r="O78" s="869">
        <v>10</v>
      </c>
      <c r="P78" s="869">
        <v>1</v>
      </c>
      <c r="Q78" s="869">
        <v>0</v>
      </c>
      <c r="R78" s="869">
        <v>100</v>
      </c>
      <c r="S78" s="869">
        <v>100</v>
      </c>
      <c r="T78" s="869">
        <v>1</v>
      </c>
    </row>
    <row r="79" spans="1:20">
      <c r="A79" s="869" t="s">
        <v>10637</v>
      </c>
      <c r="B79" s="869" t="s">
        <v>5224</v>
      </c>
      <c r="C79" s="869" t="s">
        <v>5224</v>
      </c>
      <c r="D79" s="869" t="s">
        <v>5225</v>
      </c>
      <c r="E79" s="869" t="s">
        <v>2623</v>
      </c>
      <c r="F79" s="869">
        <v>300</v>
      </c>
      <c r="G79" s="869">
        <v>-20</v>
      </c>
      <c r="H79" s="869" t="s">
        <v>1535</v>
      </c>
      <c r="I79" s="869">
        <v>100</v>
      </c>
      <c r="J79" s="869">
        <v>0</v>
      </c>
      <c r="K79" s="869" t="s">
        <v>463</v>
      </c>
      <c r="L79" s="869">
        <v>100</v>
      </c>
      <c r="M79" s="869">
        <v>30</v>
      </c>
      <c r="N79" s="869">
        <v>0</v>
      </c>
      <c r="O79" s="869">
        <v>10</v>
      </c>
      <c r="P79" s="869">
        <v>1</v>
      </c>
      <c r="Q79" s="869">
        <v>0</v>
      </c>
      <c r="R79" s="869">
        <v>100</v>
      </c>
      <c r="S79" s="869">
        <v>100</v>
      </c>
      <c r="T79" s="869">
        <v>1</v>
      </c>
    </row>
    <row r="80" spans="1:20">
      <c r="A80" s="869" t="s">
        <v>10637</v>
      </c>
      <c r="B80" s="869" t="s">
        <v>5226</v>
      </c>
      <c r="C80" s="869" t="s">
        <v>5226</v>
      </c>
      <c r="D80" s="869" t="s">
        <v>5227</v>
      </c>
      <c r="E80" s="869" t="s">
        <v>2611</v>
      </c>
      <c r="F80" s="869">
        <v>60</v>
      </c>
      <c r="G80" s="869">
        <v>-20</v>
      </c>
      <c r="H80" s="869" t="s">
        <v>1535</v>
      </c>
      <c r="I80" s="869">
        <v>100</v>
      </c>
      <c r="J80" s="869">
        <v>0</v>
      </c>
      <c r="K80" s="869" t="s">
        <v>463</v>
      </c>
      <c r="L80" s="869">
        <v>30</v>
      </c>
      <c r="M80" s="869">
        <v>5</v>
      </c>
      <c r="N80" s="869">
        <v>0</v>
      </c>
      <c r="O80" s="869">
        <v>10</v>
      </c>
      <c r="P80" s="869">
        <v>1</v>
      </c>
      <c r="Q80" s="869">
        <v>0</v>
      </c>
      <c r="R80" s="869">
        <v>100</v>
      </c>
      <c r="S80" s="869">
        <v>100</v>
      </c>
      <c r="T80" s="869">
        <v>1</v>
      </c>
    </row>
    <row r="81" spans="1:20">
      <c r="A81" s="869" t="s">
        <v>10637</v>
      </c>
      <c r="B81" s="869" t="s">
        <v>5228</v>
      </c>
      <c r="C81" s="869" t="s">
        <v>5228</v>
      </c>
      <c r="D81" s="869" t="s">
        <v>5229</v>
      </c>
      <c r="E81" s="869" t="s">
        <v>2614</v>
      </c>
      <c r="F81" s="869">
        <v>60</v>
      </c>
      <c r="G81" s="869">
        <v>-20</v>
      </c>
      <c r="H81" s="869" t="s">
        <v>1535</v>
      </c>
      <c r="I81" s="869">
        <v>100</v>
      </c>
      <c r="J81" s="869">
        <v>0</v>
      </c>
      <c r="K81" s="869" t="s">
        <v>463</v>
      </c>
      <c r="L81" s="869">
        <v>30</v>
      </c>
      <c r="M81" s="869">
        <v>5</v>
      </c>
      <c r="N81" s="869">
        <v>0</v>
      </c>
      <c r="O81" s="869">
        <v>10</v>
      </c>
      <c r="P81" s="869">
        <v>1</v>
      </c>
      <c r="Q81" s="869">
        <v>0</v>
      </c>
      <c r="R81" s="869">
        <v>100</v>
      </c>
      <c r="S81" s="869">
        <v>100</v>
      </c>
      <c r="T81" s="869">
        <v>1</v>
      </c>
    </row>
    <row r="82" spans="1:20">
      <c r="A82" s="869" t="s">
        <v>10637</v>
      </c>
      <c r="B82" s="869" t="s">
        <v>5230</v>
      </c>
      <c r="C82" s="869" t="s">
        <v>5230</v>
      </c>
      <c r="D82" s="869" t="s">
        <v>5231</v>
      </c>
      <c r="E82" s="869" t="s">
        <v>2639</v>
      </c>
      <c r="F82" s="869">
        <v>300</v>
      </c>
      <c r="G82" s="869">
        <v>-20</v>
      </c>
      <c r="H82" s="869" t="s">
        <v>1535</v>
      </c>
      <c r="I82" s="869">
        <v>100</v>
      </c>
      <c r="J82" s="869">
        <v>0</v>
      </c>
      <c r="K82" s="869" t="s">
        <v>463</v>
      </c>
      <c r="L82" s="869">
        <v>100</v>
      </c>
      <c r="M82" s="869">
        <v>30</v>
      </c>
      <c r="N82" s="869">
        <v>0</v>
      </c>
      <c r="O82" s="869">
        <v>10</v>
      </c>
      <c r="P82" s="869">
        <v>1</v>
      </c>
      <c r="Q82" s="869">
        <v>0</v>
      </c>
      <c r="R82" s="869">
        <v>100</v>
      </c>
      <c r="S82" s="869">
        <v>100</v>
      </c>
      <c r="T82" s="869">
        <v>1</v>
      </c>
    </row>
    <row r="83" spans="1:20">
      <c r="A83" s="869" t="s">
        <v>10637</v>
      </c>
      <c r="B83" s="869" t="s">
        <v>5232</v>
      </c>
      <c r="C83" s="869" t="s">
        <v>5232</v>
      </c>
      <c r="D83" s="869" t="s">
        <v>5233</v>
      </c>
      <c r="E83" s="869" t="s">
        <v>2795</v>
      </c>
      <c r="F83" s="869">
        <v>10</v>
      </c>
      <c r="G83" s="869">
        <v>0</v>
      </c>
      <c r="H83" s="869" t="s">
        <v>1549</v>
      </c>
      <c r="I83" s="869">
        <v>100</v>
      </c>
      <c r="J83" s="869">
        <v>0</v>
      </c>
      <c r="K83" s="869" t="s">
        <v>463</v>
      </c>
      <c r="L83" s="869">
        <v>350</v>
      </c>
      <c r="M83" s="869">
        <v>0.15</v>
      </c>
      <c r="N83" s="869">
        <v>0</v>
      </c>
      <c r="O83" s="869">
        <v>10</v>
      </c>
      <c r="P83" s="869">
        <v>1</v>
      </c>
      <c r="Q83" s="869">
        <v>0</v>
      </c>
      <c r="R83" s="869">
        <v>100</v>
      </c>
      <c r="S83" s="869">
        <v>100</v>
      </c>
      <c r="T83" s="869">
        <v>1</v>
      </c>
    </row>
    <row r="84" spans="1:20">
      <c r="A84" s="869" t="s">
        <v>10637</v>
      </c>
      <c r="B84" s="869" t="s">
        <v>5234</v>
      </c>
      <c r="C84" s="869" t="s">
        <v>5234</v>
      </c>
      <c r="D84" s="869" t="s">
        <v>4955</v>
      </c>
      <c r="E84" s="869" t="s">
        <v>2814</v>
      </c>
      <c r="F84" s="869">
        <v>100</v>
      </c>
      <c r="G84" s="869">
        <v>0</v>
      </c>
      <c r="H84" s="869" t="s">
        <v>463</v>
      </c>
      <c r="I84" s="869">
        <v>100</v>
      </c>
      <c r="J84" s="869">
        <v>0</v>
      </c>
      <c r="K84" s="869" t="s">
        <v>1577</v>
      </c>
      <c r="L84" s="869">
        <v>50</v>
      </c>
      <c r="M84" s="869">
        <v>10</v>
      </c>
      <c r="N84" s="869">
        <v>0</v>
      </c>
      <c r="O84" s="869">
        <v>10</v>
      </c>
      <c r="P84" s="869">
        <v>0.5</v>
      </c>
      <c r="Q84" s="869">
        <v>0</v>
      </c>
      <c r="R84" s="869">
        <v>100</v>
      </c>
      <c r="S84" s="869">
        <v>100</v>
      </c>
      <c r="T84" s="869">
        <v>1</v>
      </c>
    </row>
    <row r="85" spans="1:20">
      <c r="A85" s="869" t="s">
        <v>10637</v>
      </c>
      <c r="B85" s="869" t="s">
        <v>5235</v>
      </c>
      <c r="C85" s="869" t="s">
        <v>5235</v>
      </c>
      <c r="D85" s="869" t="s">
        <v>4954</v>
      </c>
      <c r="E85" s="869" t="s">
        <v>5236</v>
      </c>
      <c r="F85" s="869">
        <v>100</v>
      </c>
      <c r="G85" s="869">
        <v>0</v>
      </c>
      <c r="H85" s="869" t="s">
        <v>463</v>
      </c>
      <c r="I85" s="869">
        <v>100</v>
      </c>
      <c r="J85" s="869">
        <v>0</v>
      </c>
      <c r="K85" s="869" t="s">
        <v>463</v>
      </c>
      <c r="L85" s="869">
        <v>60</v>
      </c>
      <c r="M85" s="869">
        <v>20</v>
      </c>
      <c r="N85" s="869">
        <v>0</v>
      </c>
      <c r="O85" s="869">
        <v>10</v>
      </c>
      <c r="P85" s="869">
        <v>0.5</v>
      </c>
      <c r="Q85" s="869">
        <v>0</v>
      </c>
      <c r="R85" s="869">
        <v>100</v>
      </c>
      <c r="S85" s="869">
        <v>100</v>
      </c>
      <c r="T85" s="869">
        <v>1</v>
      </c>
    </row>
    <row r="86" spans="1:20">
      <c r="A86" s="869" t="s">
        <v>10637</v>
      </c>
      <c r="B86" s="869" t="s">
        <v>5237</v>
      </c>
      <c r="C86" s="869" t="s">
        <v>5237</v>
      </c>
      <c r="D86" s="869" t="s">
        <v>4587</v>
      </c>
      <c r="E86" s="869" t="s">
        <v>3036</v>
      </c>
      <c r="F86" s="869">
        <v>598</v>
      </c>
      <c r="G86" s="869">
        <v>0</v>
      </c>
      <c r="H86" s="869" t="s">
        <v>1549</v>
      </c>
      <c r="I86" s="869">
        <v>100</v>
      </c>
      <c r="J86" s="869">
        <v>0</v>
      </c>
      <c r="K86" s="869" t="s">
        <v>463</v>
      </c>
      <c r="L86" s="869">
        <v>350</v>
      </c>
      <c r="M86" s="869">
        <v>0.15</v>
      </c>
      <c r="N86" s="869">
        <v>0</v>
      </c>
      <c r="O86" s="869">
        <v>10</v>
      </c>
      <c r="P86" s="869">
        <v>1</v>
      </c>
      <c r="Q86" s="869">
        <v>0</v>
      </c>
      <c r="R86" s="869">
        <v>100</v>
      </c>
      <c r="S86" s="869">
        <v>100</v>
      </c>
      <c r="T86" s="869">
        <v>1</v>
      </c>
    </row>
    <row r="87" spans="1:20">
      <c r="A87" s="869" t="s">
        <v>10637</v>
      </c>
      <c r="B87" s="869" t="s">
        <v>5238</v>
      </c>
      <c r="C87" s="869" t="s">
        <v>5238</v>
      </c>
      <c r="D87" s="869" t="s">
        <v>4586</v>
      </c>
      <c r="E87" s="869" t="s">
        <v>5239</v>
      </c>
      <c r="F87" s="869">
        <v>598</v>
      </c>
      <c r="G87" s="869">
        <v>0</v>
      </c>
      <c r="H87" s="869" t="s">
        <v>1549</v>
      </c>
      <c r="I87" s="869">
        <v>100</v>
      </c>
      <c r="J87" s="869">
        <v>0</v>
      </c>
      <c r="K87" s="869" t="s">
        <v>463</v>
      </c>
      <c r="L87" s="869">
        <v>250</v>
      </c>
      <c r="M87" s="869">
        <v>0.2</v>
      </c>
      <c r="N87" s="869">
        <v>0</v>
      </c>
      <c r="O87" s="869">
        <v>10</v>
      </c>
      <c r="P87" s="869">
        <v>1</v>
      </c>
      <c r="Q87" s="869">
        <v>0</v>
      </c>
      <c r="R87" s="869">
        <v>100</v>
      </c>
      <c r="S87" s="869">
        <v>100</v>
      </c>
      <c r="T87" s="869">
        <v>1</v>
      </c>
    </row>
    <row r="88" spans="1:20">
      <c r="A88" s="869" t="s">
        <v>10637</v>
      </c>
      <c r="B88" s="869" t="s">
        <v>5240</v>
      </c>
      <c r="C88" s="869" t="s">
        <v>5240</v>
      </c>
      <c r="D88" s="869" t="s">
        <v>751</v>
      </c>
      <c r="E88" s="869" t="s">
        <v>3050</v>
      </c>
      <c r="F88" s="869">
        <v>690</v>
      </c>
      <c r="G88" s="869">
        <v>0</v>
      </c>
      <c r="H88" s="869" t="s">
        <v>1549</v>
      </c>
      <c r="I88" s="869">
        <v>100</v>
      </c>
      <c r="J88" s="869">
        <v>0</v>
      </c>
      <c r="K88" s="869" t="s">
        <v>463</v>
      </c>
      <c r="L88" s="869">
        <v>350</v>
      </c>
      <c r="M88" s="869">
        <v>0.12</v>
      </c>
      <c r="N88" s="869">
        <v>0</v>
      </c>
      <c r="O88" s="869">
        <v>10</v>
      </c>
      <c r="P88" s="869">
        <v>0.5</v>
      </c>
      <c r="Q88" s="869">
        <v>0</v>
      </c>
      <c r="R88" s="869">
        <v>100</v>
      </c>
      <c r="S88" s="869">
        <v>100</v>
      </c>
      <c r="T88" s="869">
        <v>1</v>
      </c>
    </row>
    <row r="89" spans="1:20">
      <c r="A89" s="869" t="s">
        <v>10637</v>
      </c>
      <c r="B89" s="869" t="s">
        <v>5241</v>
      </c>
      <c r="C89" s="869" t="s">
        <v>5241</v>
      </c>
      <c r="D89" s="869" t="s">
        <v>755</v>
      </c>
      <c r="E89" s="869" t="s">
        <v>3053</v>
      </c>
      <c r="F89" s="869">
        <v>2500</v>
      </c>
      <c r="G89" s="869">
        <v>0</v>
      </c>
      <c r="H89" s="869" t="s">
        <v>2209</v>
      </c>
      <c r="I89" s="869">
        <v>100</v>
      </c>
      <c r="J89" s="869">
        <v>0</v>
      </c>
      <c r="K89" s="869" t="s">
        <v>463</v>
      </c>
      <c r="L89" s="869">
        <v>170</v>
      </c>
      <c r="M89" s="869">
        <v>1.4</v>
      </c>
      <c r="N89" s="869">
        <v>0</v>
      </c>
      <c r="O89" s="869">
        <v>10</v>
      </c>
      <c r="P89" s="869">
        <v>0.5</v>
      </c>
      <c r="Q89" s="869">
        <v>0</v>
      </c>
      <c r="R89" s="869">
        <v>100</v>
      </c>
      <c r="S89" s="869">
        <v>100</v>
      </c>
      <c r="T89" s="869">
        <v>1</v>
      </c>
    </row>
    <row r="90" spans="1:20">
      <c r="A90" s="869" t="s">
        <v>10637</v>
      </c>
      <c r="B90" s="869" t="s">
        <v>5242</v>
      </c>
      <c r="C90" s="869" t="s">
        <v>5242</v>
      </c>
      <c r="D90" s="869" t="s">
        <v>5243</v>
      </c>
      <c r="E90" s="869" t="s">
        <v>3056</v>
      </c>
      <c r="F90" s="869">
        <v>139</v>
      </c>
      <c r="G90" s="869">
        <v>0</v>
      </c>
      <c r="H90" s="869" t="s">
        <v>1549</v>
      </c>
      <c r="I90" s="869">
        <v>100</v>
      </c>
      <c r="J90" s="869">
        <v>0</v>
      </c>
      <c r="K90" s="869" t="s">
        <v>463</v>
      </c>
      <c r="L90" s="869">
        <v>350</v>
      </c>
      <c r="M90" s="869">
        <v>0.12</v>
      </c>
      <c r="N90" s="869">
        <v>0</v>
      </c>
      <c r="O90" s="869">
        <v>10</v>
      </c>
      <c r="P90" s="869">
        <v>0.5</v>
      </c>
      <c r="Q90" s="869">
        <v>0</v>
      </c>
      <c r="R90" s="869">
        <v>100</v>
      </c>
      <c r="S90" s="869">
        <v>100</v>
      </c>
      <c r="T90" s="869">
        <v>1</v>
      </c>
    </row>
    <row r="91" spans="1:20">
      <c r="A91" s="869" t="s">
        <v>10637</v>
      </c>
      <c r="B91" s="869" t="s">
        <v>5244</v>
      </c>
      <c r="C91" s="869" t="s">
        <v>5244</v>
      </c>
      <c r="D91" s="869" t="s">
        <v>5245</v>
      </c>
      <c r="E91" s="869" t="s">
        <v>5246</v>
      </c>
      <c r="F91" s="869">
        <v>87.6</v>
      </c>
      <c r="G91" s="869">
        <v>0</v>
      </c>
      <c r="H91" s="869" t="s">
        <v>1949</v>
      </c>
      <c r="I91" s="869">
        <v>100</v>
      </c>
      <c r="J91" s="869">
        <v>0</v>
      </c>
      <c r="K91" s="869" t="s">
        <v>463</v>
      </c>
      <c r="L91" s="869">
        <v>250</v>
      </c>
      <c r="M91" s="869">
        <v>0.375</v>
      </c>
      <c r="N91" s="869">
        <v>0</v>
      </c>
      <c r="O91" s="869">
        <v>10</v>
      </c>
      <c r="P91" s="869">
        <v>0.5</v>
      </c>
      <c r="Q91" s="869">
        <v>0</v>
      </c>
      <c r="R91" s="869">
        <v>100</v>
      </c>
      <c r="S91" s="869">
        <v>100</v>
      </c>
      <c r="T91" s="869">
        <v>1</v>
      </c>
    </row>
    <row r="92" spans="1:20">
      <c r="A92" s="869" t="s">
        <v>10637</v>
      </c>
      <c r="B92" s="869" t="s">
        <v>5247</v>
      </c>
      <c r="C92" s="869" t="s">
        <v>5247</v>
      </c>
      <c r="D92" s="869" t="s">
        <v>4958</v>
      </c>
      <c r="E92" s="869" t="s">
        <v>3059</v>
      </c>
      <c r="F92" s="869">
        <v>100</v>
      </c>
      <c r="G92" s="869">
        <v>0</v>
      </c>
      <c r="H92" s="869" t="s">
        <v>463</v>
      </c>
      <c r="I92" s="869">
        <v>690</v>
      </c>
      <c r="J92" s="869">
        <v>0</v>
      </c>
      <c r="K92" s="869" t="s">
        <v>1549</v>
      </c>
      <c r="L92" s="869">
        <v>150</v>
      </c>
      <c r="M92" s="869">
        <v>60</v>
      </c>
      <c r="N92" s="869">
        <v>0</v>
      </c>
      <c r="O92" s="869">
        <v>10</v>
      </c>
      <c r="P92" s="869">
        <v>0.5</v>
      </c>
      <c r="Q92" s="869">
        <v>0</v>
      </c>
      <c r="R92" s="869">
        <v>100</v>
      </c>
      <c r="S92" s="869">
        <v>100</v>
      </c>
      <c r="T92" s="869">
        <v>1</v>
      </c>
    </row>
    <row r="93" spans="1:20">
      <c r="A93" s="869" t="s">
        <v>10637</v>
      </c>
      <c r="B93" s="869" t="s">
        <v>5248</v>
      </c>
      <c r="C93" s="869" t="s">
        <v>5248</v>
      </c>
      <c r="D93" s="869" t="s">
        <v>5058</v>
      </c>
      <c r="E93" s="869" t="s">
        <v>3062</v>
      </c>
      <c r="F93" s="869">
        <v>100</v>
      </c>
      <c r="G93" s="869">
        <v>0</v>
      </c>
      <c r="H93" s="869" t="s">
        <v>463</v>
      </c>
      <c r="I93" s="869">
        <v>100</v>
      </c>
      <c r="J93" s="869">
        <v>0</v>
      </c>
      <c r="K93" s="869" t="s">
        <v>463</v>
      </c>
      <c r="L93" s="869">
        <v>120</v>
      </c>
      <c r="M93" s="869">
        <v>60</v>
      </c>
      <c r="N93" s="869">
        <v>0</v>
      </c>
      <c r="O93" s="869">
        <v>10</v>
      </c>
      <c r="P93" s="869">
        <v>0.5</v>
      </c>
      <c r="Q93" s="869">
        <v>0</v>
      </c>
      <c r="R93" s="869">
        <v>100</v>
      </c>
      <c r="S93" s="869">
        <v>100</v>
      </c>
      <c r="T93" s="869">
        <v>1</v>
      </c>
    </row>
    <row r="94" spans="1:20">
      <c r="A94" s="869" t="s">
        <v>10637</v>
      </c>
      <c r="B94" s="869" t="s">
        <v>5249</v>
      </c>
      <c r="C94" s="869" t="s">
        <v>5249</v>
      </c>
      <c r="D94" s="869" t="s">
        <v>4956</v>
      </c>
      <c r="E94" s="869" t="s">
        <v>3062</v>
      </c>
      <c r="F94" s="869">
        <v>40</v>
      </c>
      <c r="G94" s="869">
        <v>0</v>
      </c>
      <c r="H94" s="869" t="s">
        <v>2000</v>
      </c>
      <c r="I94" s="869">
        <v>21750</v>
      </c>
      <c r="J94" s="869">
        <v>0</v>
      </c>
      <c r="K94" s="869" t="s">
        <v>2209</v>
      </c>
      <c r="L94" s="869">
        <v>35</v>
      </c>
      <c r="M94" s="869">
        <v>10</v>
      </c>
      <c r="N94" s="869">
        <v>0</v>
      </c>
      <c r="O94" s="869">
        <v>10</v>
      </c>
      <c r="P94" s="869">
        <v>0.5</v>
      </c>
      <c r="Q94" s="869">
        <v>0</v>
      </c>
      <c r="R94" s="869">
        <v>100</v>
      </c>
      <c r="S94" s="869">
        <v>100</v>
      </c>
      <c r="T94" s="869">
        <v>1</v>
      </c>
    </row>
    <row r="95" spans="1:20">
      <c r="A95" s="869" t="s">
        <v>10637</v>
      </c>
      <c r="B95" s="869" t="s">
        <v>5250</v>
      </c>
      <c r="C95" s="869" t="s">
        <v>5250</v>
      </c>
      <c r="D95" s="869" t="s">
        <v>4957</v>
      </c>
      <c r="E95" s="869" t="s">
        <v>3059</v>
      </c>
      <c r="F95" s="869">
        <v>10</v>
      </c>
      <c r="G95" s="869">
        <v>0</v>
      </c>
      <c r="H95" s="869" t="s">
        <v>2000</v>
      </c>
      <c r="I95" s="869">
        <v>100</v>
      </c>
      <c r="J95" s="869">
        <v>0</v>
      </c>
      <c r="K95" s="869" t="s">
        <v>463</v>
      </c>
      <c r="L95" s="869">
        <v>35</v>
      </c>
      <c r="M95" s="869">
        <v>15</v>
      </c>
      <c r="N95" s="869">
        <v>0</v>
      </c>
      <c r="O95" s="869">
        <v>10</v>
      </c>
      <c r="P95" s="869">
        <v>0.5</v>
      </c>
      <c r="Q95" s="869">
        <v>0</v>
      </c>
      <c r="R95" s="869">
        <v>100</v>
      </c>
      <c r="S95" s="869">
        <v>100</v>
      </c>
      <c r="T95" s="869">
        <v>1</v>
      </c>
    </row>
    <row r="96" spans="1:20">
      <c r="A96" s="869" t="s">
        <v>10637</v>
      </c>
      <c r="B96" s="869" t="s">
        <v>5251</v>
      </c>
      <c r="C96" s="869" t="s">
        <v>5251</v>
      </c>
      <c r="D96" s="869" t="s">
        <v>966</v>
      </c>
      <c r="E96" s="869" t="s">
        <v>3084</v>
      </c>
      <c r="F96" s="869">
        <v>3</v>
      </c>
      <c r="G96" s="869">
        <v>0</v>
      </c>
      <c r="H96" s="869" t="s">
        <v>2000</v>
      </c>
      <c r="I96" s="869">
        <v>100</v>
      </c>
      <c r="J96" s="869">
        <v>0</v>
      </c>
      <c r="K96" s="869" t="s">
        <v>463</v>
      </c>
      <c r="L96" s="869">
        <v>250</v>
      </c>
      <c r="M96" s="869">
        <v>0.12</v>
      </c>
      <c r="N96" s="869">
        <v>0</v>
      </c>
      <c r="O96" s="869">
        <v>10</v>
      </c>
      <c r="P96" s="869">
        <v>0.5</v>
      </c>
      <c r="Q96" s="869">
        <v>0</v>
      </c>
      <c r="R96" s="869">
        <v>100</v>
      </c>
      <c r="S96" s="869">
        <v>100</v>
      </c>
      <c r="T96" s="869">
        <v>1</v>
      </c>
    </row>
    <row r="97" spans="1:20">
      <c r="A97" s="869" t="s">
        <v>10637</v>
      </c>
      <c r="B97" s="869" t="s">
        <v>5252</v>
      </c>
      <c r="C97" s="869" t="s">
        <v>5252</v>
      </c>
      <c r="D97" s="869" t="s">
        <v>5253</v>
      </c>
      <c r="E97" s="869" t="s">
        <v>5254</v>
      </c>
      <c r="F97" s="869">
        <v>400</v>
      </c>
      <c r="G97" s="869">
        <v>0</v>
      </c>
      <c r="H97" s="869" t="s">
        <v>1535</v>
      </c>
      <c r="I97" s="869">
        <v>3</v>
      </c>
      <c r="J97" s="869">
        <v>0</v>
      </c>
      <c r="K97" s="869" t="s">
        <v>1635</v>
      </c>
      <c r="L97" s="869">
        <v>15</v>
      </c>
      <c r="M97" s="869">
        <v>8</v>
      </c>
      <c r="N97" s="869">
        <v>0</v>
      </c>
      <c r="O97" s="869">
        <v>10</v>
      </c>
      <c r="P97" s="869">
        <v>0.5</v>
      </c>
      <c r="Q97" s="869">
        <v>1</v>
      </c>
      <c r="R97" s="869">
        <v>100</v>
      </c>
      <c r="S97" s="869">
        <v>0.05</v>
      </c>
      <c r="T97" s="869">
        <v>0.4</v>
      </c>
    </row>
    <row r="98" spans="1:20">
      <c r="A98" s="869" t="s">
        <v>10637</v>
      </c>
      <c r="B98" s="869" t="s">
        <v>5255</v>
      </c>
      <c r="C98" s="869" t="s">
        <v>5255</v>
      </c>
      <c r="D98" s="869" t="s">
        <v>5256</v>
      </c>
      <c r="E98" s="869" t="s">
        <v>2988</v>
      </c>
      <c r="F98" s="869">
        <v>450</v>
      </c>
      <c r="G98" s="869">
        <v>0</v>
      </c>
      <c r="H98" s="869" t="s">
        <v>1535</v>
      </c>
      <c r="I98" s="869">
        <v>3</v>
      </c>
      <c r="J98" s="869">
        <v>0</v>
      </c>
      <c r="K98" s="869" t="s">
        <v>1635</v>
      </c>
      <c r="L98" s="869">
        <v>60</v>
      </c>
      <c r="M98" s="869">
        <v>5</v>
      </c>
      <c r="N98" s="869">
        <v>0</v>
      </c>
      <c r="O98" s="869">
        <v>10</v>
      </c>
      <c r="P98" s="869">
        <v>0.05</v>
      </c>
      <c r="Q98" s="869">
        <v>0</v>
      </c>
      <c r="R98" s="869">
        <v>100</v>
      </c>
      <c r="S98" s="869">
        <v>100</v>
      </c>
      <c r="T98" s="869">
        <v>1</v>
      </c>
    </row>
    <row r="99" spans="1:20">
      <c r="A99" s="869" t="s">
        <v>10637</v>
      </c>
      <c r="B99" s="869" t="s">
        <v>5257</v>
      </c>
      <c r="C99" s="869" t="s">
        <v>5257</v>
      </c>
      <c r="D99" s="869" t="s">
        <v>5258</v>
      </c>
      <c r="E99" s="869" t="s">
        <v>3198</v>
      </c>
      <c r="F99" s="869">
        <v>70</v>
      </c>
      <c r="G99" s="869">
        <v>-70</v>
      </c>
      <c r="H99" s="869" t="s">
        <v>1639</v>
      </c>
      <c r="I99" s="869">
        <v>100</v>
      </c>
      <c r="J99" s="869">
        <v>0</v>
      </c>
      <c r="K99" s="869" t="s">
        <v>463</v>
      </c>
      <c r="L99" s="869">
        <v>250</v>
      </c>
      <c r="M99" s="869">
        <v>1</v>
      </c>
      <c r="N99" s="869">
        <v>0</v>
      </c>
      <c r="O99" s="869">
        <v>10</v>
      </c>
      <c r="P99" s="869">
        <v>1</v>
      </c>
      <c r="Q99" s="869">
        <v>0</v>
      </c>
      <c r="R99" s="869">
        <v>100</v>
      </c>
      <c r="S99" s="869">
        <v>100</v>
      </c>
      <c r="T99" s="869">
        <v>1</v>
      </c>
    </row>
    <row r="100" spans="1:20">
      <c r="A100" s="869" t="s">
        <v>10637</v>
      </c>
      <c r="B100" s="869" t="s">
        <v>5259</v>
      </c>
      <c r="C100" s="869" t="s">
        <v>5259</v>
      </c>
      <c r="D100" s="869" t="s">
        <v>5260</v>
      </c>
      <c r="E100" s="869" t="s">
        <v>3201</v>
      </c>
      <c r="F100" s="869">
        <v>8000</v>
      </c>
      <c r="G100" s="869">
        <v>0</v>
      </c>
      <c r="H100" s="869" t="s">
        <v>2209</v>
      </c>
      <c r="I100" s="869">
        <v>100</v>
      </c>
      <c r="J100" s="869">
        <v>0</v>
      </c>
      <c r="K100" s="869" t="s">
        <v>463</v>
      </c>
      <c r="L100" s="869">
        <v>50</v>
      </c>
      <c r="M100" s="869">
        <v>2</v>
      </c>
      <c r="N100" s="869">
        <v>0</v>
      </c>
      <c r="O100" s="869">
        <v>10</v>
      </c>
      <c r="P100" s="869">
        <v>1</v>
      </c>
      <c r="Q100" s="869">
        <v>0</v>
      </c>
      <c r="R100" s="869">
        <v>100</v>
      </c>
      <c r="S100" s="869">
        <v>100</v>
      </c>
      <c r="T100" s="869">
        <v>1</v>
      </c>
    </row>
    <row r="101" spans="1:20">
      <c r="A101" s="869" t="s">
        <v>10637</v>
      </c>
      <c r="B101" s="869" t="s">
        <v>5261</v>
      </c>
      <c r="C101" s="869" t="s">
        <v>5261</v>
      </c>
      <c r="D101" s="869" t="s">
        <v>5262</v>
      </c>
      <c r="E101" s="869" t="s">
        <v>3204</v>
      </c>
      <c r="F101" s="869">
        <v>13750</v>
      </c>
      <c r="G101" s="869">
        <v>0</v>
      </c>
      <c r="H101" s="869" t="s">
        <v>2209</v>
      </c>
      <c r="I101" s="869">
        <v>100</v>
      </c>
      <c r="J101" s="869">
        <v>0</v>
      </c>
      <c r="K101" s="869" t="s">
        <v>463</v>
      </c>
      <c r="L101" s="869">
        <v>50</v>
      </c>
      <c r="M101" s="869">
        <v>2</v>
      </c>
      <c r="N101" s="869">
        <v>0</v>
      </c>
      <c r="O101" s="869">
        <v>10</v>
      </c>
      <c r="P101" s="869">
        <v>1</v>
      </c>
      <c r="Q101" s="869">
        <v>0</v>
      </c>
      <c r="R101" s="869">
        <v>100</v>
      </c>
      <c r="S101" s="869">
        <v>100</v>
      </c>
      <c r="T101" s="869">
        <v>1</v>
      </c>
    </row>
    <row r="102" spans="1:20">
      <c r="A102" s="869" t="s">
        <v>10637</v>
      </c>
      <c r="B102" s="869" t="s">
        <v>5263</v>
      </c>
      <c r="C102" s="869" t="s">
        <v>5263</v>
      </c>
      <c r="D102" s="869" t="s">
        <v>5264</v>
      </c>
      <c r="E102" s="869" t="s">
        <v>5265</v>
      </c>
      <c r="F102" s="869">
        <v>222</v>
      </c>
      <c r="G102" s="869">
        <v>0</v>
      </c>
      <c r="H102" s="869" t="s">
        <v>1549</v>
      </c>
      <c r="I102" s="869">
        <v>100</v>
      </c>
      <c r="J102" s="869">
        <v>0</v>
      </c>
      <c r="K102" s="869" t="s">
        <v>463</v>
      </c>
      <c r="L102" s="869">
        <v>300</v>
      </c>
      <c r="M102" s="869">
        <v>0.15</v>
      </c>
      <c r="N102" s="869">
        <v>0</v>
      </c>
      <c r="O102" s="869">
        <v>10</v>
      </c>
      <c r="P102" s="869">
        <v>1</v>
      </c>
      <c r="Q102" s="869">
        <v>0</v>
      </c>
      <c r="R102" s="869">
        <v>100</v>
      </c>
      <c r="S102" s="869">
        <v>100</v>
      </c>
      <c r="T102" s="869">
        <v>1</v>
      </c>
    </row>
    <row r="103" spans="1:20">
      <c r="A103" s="869" t="s">
        <v>10637</v>
      </c>
      <c r="B103" s="869" t="s">
        <v>5266</v>
      </c>
      <c r="C103" s="869" t="s">
        <v>5266</v>
      </c>
      <c r="D103" s="869" t="s">
        <v>5267</v>
      </c>
      <c r="E103" s="869" t="s">
        <v>3409</v>
      </c>
      <c r="F103" s="869">
        <v>597</v>
      </c>
      <c r="G103" s="869">
        <v>0</v>
      </c>
      <c r="H103" s="869" t="s">
        <v>1549</v>
      </c>
      <c r="I103" s="869">
        <v>100</v>
      </c>
      <c r="J103" s="869">
        <v>0</v>
      </c>
      <c r="K103" s="869" t="s">
        <v>463</v>
      </c>
      <c r="L103" s="869">
        <v>500</v>
      </c>
      <c r="M103" s="869">
        <v>0.4</v>
      </c>
      <c r="N103" s="869">
        <v>0</v>
      </c>
      <c r="O103" s="869">
        <v>10</v>
      </c>
      <c r="P103" s="869">
        <v>1</v>
      </c>
      <c r="Q103" s="869">
        <v>0</v>
      </c>
      <c r="R103" s="869">
        <v>100</v>
      </c>
      <c r="S103" s="869">
        <v>100</v>
      </c>
      <c r="T103" s="869">
        <v>1</v>
      </c>
    </row>
    <row r="104" spans="1:20">
      <c r="A104" s="869" t="s">
        <v>10637</v>
      </c>
      <c r="B104" s="869" t="s">
        <v>5268</v>
      </c>
      <c r="C104" s="869" t="s">
        <v>5268</v>
      </c>
      <c r="D104" s="869" t="s">
        <v>5269</v>
      </c>
      <c r="E104" s="869" t="s">
        <v>5270</v>
      </c>
      <c r="F104" s="869">
        <v>43</v>
      </c>
      <c r="G104" s="869">
        <v>0</v>
      </c>
      <c r="H104" s="869" t="s">
        <v>1549</v>
      </c>
      <c r="I104" s="869">
        <v>100</v>
      </c>
      <c r="J104" s="869">
        <v>0</v>
      </c>
      <c r="K104" s="869" t="s">
        <v>463</v>
      </c>
      <c r="L104" s="869">
        <v>300</v>
      </c>
      <c r="M104" s="869">
        <v>0.19999990000000001</v>
      </c>
      <c r="N104" s="869">
        <v>0</v>
      </c>
      <c r="O104" s="869">
        <v>10</v>
      </c>
      <c r="P104" s="869">
        <v>1</v>
      </c>
      <c r="Q104" s="869">
        <v>0</v>
      </c>
      <c r="R104" s="869">
        <v>100</v>
      </c>
      <c r="S104" s="869">
        <v>100</v>
      </c>
      <c r="T104" s="869">
        <v>1</v>
      </c>
    </row>
    <row r="105" spans="1:20">
      <c r="A105" s="869" t="s">
        <v>10637</v>
      </c>
      <c r="B105" s="869" t="s">
        <v>5271</v>
      </c>
      <c r="C105" s="869" t="s">
        <v>5271</v>
      </c>
      <c r="D105" s="869" t="s">
        <v>5272</v>
      </c>
      <c r="E105" s="869" t="s">
        <v>3403</v>
      </c>
      <c r="F105" s="869">
        <v>100</v>
      </c>
      <c r="G105" s="869">
        <v>0</v>
      </c>
      <c r="H105" s="869" t="s">
        <v>463</v>
      </c>
      <c r="I105" s="869">
        <v>597</v>
      </c>
      <c r="J105" s="869">
        <v>0</v>
      </c>
      <c r="K105" s="869" t="s">
        <v>1549</v>
      </c>
      <c r="L105" s="869">
        <v>50</v>
      </c>
      <c r="M105" s="869">
        <v>40</v>
      </c>
      <c r="N105" s="869">
        <v>0</v>
      </c>
      <c r="O105" s="869">
        <v>10</v>
      </c>
      <c r="P105" s="869">
        <v>0.5</v>
      </c>
      <c r="Q105" s="869">
        <v>1</v>
      </c>
      <c r="R105" s="869">
        <v>15</v>
      </c>
      <c r="S105" s="869">
        <v>15</v>
      </c>
      <c r="T105" s="869">
        <v>0.25</v>
      </c>
    </row>
    <row r="106" spans="1:20">
      <c r="A106" s="869" t="s">
        <v>10637</v>
      </c>
      <c r="B106" s="869" t="s">
        <v>5273</v>
      </c>
      <c r="C106" s="869" t="s">
        <v>5273</v>
      </c>
      <c r="D106" s="869" t="s">
        <v>5274</v>
      </c>
      <c r="E106" s="869" t="s">
        <v>3406</v>
      </c>
      <c r="F106" s="869">
        <v>100</v>
      </c>
      <c r="G106" s="869">
        <v>0</v>
      </c>
      <c r="H106" s="869" t="s">
        <v>1577</v>
      </c>
      <c r="I106" s="869">
        <v>100</v>
      </c>
      <c r="J106" s="869">
        <v>0</v>
      </c>
      <c r="K106" s="869" t="s">
        <v>463</v>
      </c>
      <c r="L106" s="869">
        <v>75</v>
      </c>
      <c r="M106" s="869">
        <v>60</v>
      </c>
      <c r="N106" s="869">
        <v>0</v>
      </c>
      <c r="O106" s="869">
        <v>10</v>
      </c>
      <c r="P106" s="869">
        <v>0.5</v>
      </c>
      <c r="Q106" s="869">
        <v>0</v>
      </c>
      <c r="R106" s="869">
        <v>100</v>
      </c>
      <c r="S106" s="869">
        <v>100</v>
      </c>
      <c r="T106" s="869">
        <v>1</v>
      </c>
    </row>
    <row r="107" spans="1:20">
      <c r="A107" s="869" t="s">
        <v>10637</v>
      </c>
      <c r="B107" s="869" t="s">
        <v>5275</v>
      </c>
      <c r="C107" s="869" t="s">
        <v>5275</v>
      </c>
      <c r="D107" s="869" t="s">
        <v>5276</v>
      </c>
      <c r="E107" s="869" t="s">
        <v>3406</v>
      </c>
      <c r="F107" s="869">
        <v>16</v>
      </c>
      <c r="G107" s="869">
        <v>0</v>
      </c>
      <c r="H107" s="869" t="s">
        <v>2000</v>
      </c>
      <c r="I107" s="869">
        <v>100</v>
      </c>
      <c r="J107" s="869">
        <v>0</v>
      </c>
      <c r="K107" s="869" t="s">
        <v>463</v>
      </c>
      <c r="L107" s="869">
        <v>40</v>
      </c>
      <c r="M107" s="869">
        <v>3</v>
      </c>
      <c r="N107" s="869">
        <v>0</v>
      </c>
      <c r="O107" s="869">
        <v>10</v>
      </c>
      <c r="P107" s="869">
        <v>0.5</v>
      </c>
      <c r="Q107" s="869">
        <v>0</v>
      </c>
      <c r="R107" s="869">
        <v>100</v>
      </c>
      <c r="S107" s="869">
        <v>100</v>
      </c>
      <c r="T107" s="869">
        <v>1</v>
      </c>
    </row>
    <row r="108" spans="1:20">
      <c r="A108" s="869" t="s">
        <v>10637</v>
      </c>
      <c r="B108" s="869" t="s">
        <v>5277</v>
      </c>
      <c r="C108" s="869" t="s">
        <v>5277</v>
      </c>
      <c r="D108" s="869" t="s">
        <v>5278</v>
      </c>
      <c r="E108" s="869" t="s">
        <v>5279</v>
      </c>
      <c r="F108" s="869">
        <v>16</v>
      </c>
      <c r="G108" s="869">
        <v>0</v>
      </c>
      <c r="H108" s="869" t="s">
        <v>2000</v>
      </c>
      <c r="I108" s="869">
        <v>16</v>
      </c>
      <c r="J108" s="869">
        <v>0</v>
      </c>
      <c r="K108" s="869" t="s">
        <v>2000</v>
      </c>
      <c r="L108" s="869">
        <v>1000</v>
      </c>
      <c r="M108" s="869">
        <v>100</v>
      </c>
      <c r="N108" s="869">
        <v>0</v>
      </c>
      <c r="O108" s="869">
        <v>10</v>
      </c>
      <c r="P108" s="869">
        <v>0.5</v>
      </c>
      <c r="Q108" s="869">
        <v>0</v>
      </c>
      <c r="R108" s="869">
        <v>100</v>
      </c>
      <c r="S108" s="869">
        <v>100</v>
      </c>
      <c r="T108" s="869">
        <v>1</v>
      </c>
    </row>
    <row r="109" spans="1:20">
      <c r="A109" s="869" t="s">
        <v>10637</v>
      </c>
      <c r="B109" s="869" t="s">
        <v>5280</v>
      </c>
      <c r="C109" s="869" t="s">
        <v>5280</v>
      </c>
      <c r="D109" s="869" t="s">
        <v>5281</v>
      </c>
      <c r="E109" s="869" t="s">
        <v>5282</v>
      </c>
      <c r="F109" s="869">
        <v>20</v>
      </c>
      <c r="G109" s="869">
        <v>0</v>
      </c>
      <c r="H109" s="869" t="s">
        <v>1535</v>
      </c>
      <c r="I109" s="869">
        <v>200</v>
      </c>
      <c r="J109" s="869">
        <v>0</v>
      </c>
      <c r="K109" s="869" t="s">
        <v>1535</v>
      </c>
      <c r="L109" s="869">
        <v>1500</v>
      </c>
      <c r="M109" s="869">
        <v>1</v>
      </c>
      <c r="N109" s="869">
        <v>0</v>
      </c>
      <c r="O109" s="869">
        <v>10</v>
      </c>
      <c r="P109" s="869">
        <v>0.5</v>
      </c>
      <c r="Q109" s="869">
        <v>0</v>
      </c>
      <c r="R109" s="869">
        <v>100</v>
      </c>
      <c r="S109" s="869">
        <v>100</v>
      </c>
      <c r="T109" s="869">
        <v>1</v>
      </c>
    </row>
    <row r="110" spans="1:20">
      <c r="A110" s="869" t="s">
        <v>10637</v>
      </c>
      <c r="B110" s="869" t="s">
        <v>5283</v>
      </c>
      <c r="C110" s="869" t="s">
        <v>5283</v>
      </c>
      <c r="D110" s="869" t="s">
        <v>5284</v>
      </c>
      <c r="E110" s="869" t="s">
        <v>3514</v>
      </c>
      <c r="F110" s="869">
        <v>200</v>
      </c>
      <c r="G110" s="869">
        <v>0</v>
      </c>
      <c r="H110" s="869" t="s">
        <v>1535</v>
      </c>
      <c r="I110" s="869">
        <v>100</v>
      </c>
      <c r="J110" s="869">
        <v>0</v>
      </c>
      <c r="K110" s="869" t="s">
        <v>463</v>
      </c>
      <c r="L110" s="869">
        <v>30</v>
      </c>
      <c r="M110" s="869">
        <v>3</v>
      </c>
      <c r="N110" s="869">
        <v>0</v>
      </c>
      <c r="O110" s="869">
        <v>10</v>
      </c>
      <c r="P110" s="869">
        <v>0.2</v>
      </c>
      <c r="Q110" s="869">
        <v>0</v>
      </c>
      <c r="R110" s="869">
        <v>100</v>
      </c>
      <c r="S110" s="869">
        <v>100</v>
      </c>
      <c r="T110" s="869">
        <v>1</v>
      </c>
    </row>
    <row r="111" spans="1:20">
      <c r="A111" s="869" t="s">
        <v>10637</v>
      </c>
      <c r="B111" s="869" t="s">
        <v>5285</v>
      </c>
      <c r="C111" s="869" t="s">
        <v>5285</v>
      </c>
      <c r="D111" s="869" t="s">
        <v>5286</v>
      </c>
      <c r="E111" s="869" t="s">
        <v>3517</v>
      </c>
      <c r="F111" s="869">
        <v>200</v>
      </c>
      <c r="G111" s="869">
        <v>0</v>
      </c>
      <c r="H111" s="869" t="s">
        <v>1535</v>
      </c>
      <c r="I111" s="869">
        <v>100</v>
      </c>
      <c r="J111" s="869">
        <v>0</v>
      </c>
      <c r="K111" s="869" t="s">
        <v>463</v>
      </c>
      <c r="L111" s="869">
        <v>60</v>
      </c>
      <c r="M111" s="869">
        <v>15</v>
      </c>
      <c r="N111" s="869">
        <v>0</v>
      </c>
      <c r="O111" s="869">
        <v>10</v>
      </c>
      <c r="P111" s="869">
        <v>1</v>
      </c>
      <c r="Q111" s="869">
        <v>0</v>
      </c>
      <c r="R111" s="869">
        <v>100</v>
      </c>
      <c r="S111" s="869">
        <v>100</v>
      </c>
      <c r="T111" s="869">
        <v>1</v>
      </c>
    </row>
    <row r="112" spans="1:20">
      <c r="A112" s="869" t="s">
        <v>10637</v>
      </c>
      <c r="B112" s="869" t="s">
        <v>5287</v>
      </c>
      <c r="C112" s="869" t="s">
        <v>5287</v>
      </c>
      <c r="D112" s="869" t="s">
        <v>5288</v>
      </c>
      <c r="E112" s="869" t="s">
        <v>3311</v>
      </c>
      <c r="F112" s="869">
        <v>100</v>
      </c>
      <c r="G112" s="869">
        <v>0</v>
      </c>
      <c r="H112" s="869" t="s">
        <v>1535</v>
      </c>
      <c r="I112" s="869">
        <v>222</v>
      </c>
      <c r="J112" s="869">
        <v>0</v>
      </c>
      <c r="K112" s="869" t="s">
        <v>1549</v>
      </c>
      <c r="L112" s="869">
        <v>120</v>
      </c>
      <c r="M112" s="869">
        <v>2</v>
      </c>
      <c r="N112" s="869">
        <v>1</v>
      </c>
      <c r="O112" s="869">
        <v>1</v>
      </c>
      <c r="P112" s="869">
        <v>0.2</v>
      </c>
      <c r="Q112" s="869">
        <v>0</v>
      </c>
      <c r="R112" s="869">
        <v>100</v>
      </c>
      <c r="S112" s="869">
        <v>100</v>
      </c>
      <c r="T112" s="869">
        <v>1</v>
      </c>
    </row>
    <row r="113" spans="1:20">
      <c r="A113" s="869" t="s">
        <v>10637</v>
      </c>
      <c r="B113" s="869" t="s">
        <v>5289</v>
      </c>
      <c r="C113" s="869" t="s">
        <v>5289</v>
      </c>
      <c r="D113" s="869" t="s">
        <v>5290</v>
      </c>
      <c r="E113" s="869" t="s">
        <v>5291</v>
      </c>
      <c r="F113" s="869">
        <v>100</v>
      </c>
      <c r="G113" s="869">
        <v>0</v>
      </c>
      <c r="H113" s="869" t="s">
        <v>1535</v>
      </c>
      <c r="I113" s="869">
        <v>100</v>
      </c>
      <c r="J113" s="869">
        <v>0</v>
      </c>
      <c r="K113" s="869" t="s">
        <v>463</v>
      </c>
      <c r="L113" s="869">
        <v>100</v>
      </c>
      <c r="M113" s="869">
        <v>5</v>
      </c>
      <c r="N113" s="869">
        <v>0</v>
      </c>
      <c r="O113" s="869">
        <v>10</v>
      </c>
      <c r="P113" s="869">
        <v>0.5</v>
      </c>
      <c r="Q113" s="869">
        <v>0</v>
      </c>
      <c r="R113" s="869">
        <v>100</v>
      </c>
      <c r="S113" s="869">
        <v>100</v>
      </c>
      <c r="T113" s="869">
        <v>1</v>
      </c>
    </row>
    <row r="114" spans="1:20">
      <c r="A114" s="869" t="s">
        <v>10637</v>
      </c>
      <c r="B114" s="869" t="s">
        <v>5292</v>
      </c>
      <c r="C114" s="869" t="s">
        <v>5292</v>
      </c>
      <c r="D114" s="869" t="s">
        <v>5293</v>
      </c>
      <c r="E114" s="869" t="s">
        <v>3534</v>
      </c>
      <c r="F114" s="869">
        <v>100</v>
      </c>
      <c r="G114" s="869">
        <v>0</v>
      </c>
      <c r="H114" s="869" t="s">
        <v>1535</v>
      </c>
      <c r="I114" s="869">
        <v>100</v>
      </c>
      <c r="J114" s="869">
        <v>0</v>
      </c>
      <c r="K114" s="869" t="s">
        <v>463</v>
      </c>
      <c r="L114" s="869">
        <v>150</v>
      </c>
      <c r="M114" s="869">
        <v>10</v>
      </c>
      <c r="N114" s="869">
        <v>0</v>
      </c>
      <c r="O114" s="869">
        <v>10</v>
      </c>
      <c r="P114" s="869">
        <v>0.5</v>
      </c>
      <c r="Q114" s="869">
        <v>0</v>
      </c>
      <c r="R114" s="869">
        <v>100</v>
      </c>
      <c r="S114" s="869">
        <v>100</v>
      </c>
      <c r="T114" s="869">
        <v>1</v>
      </c>
    </row>
    <row r="115" spans="1:20">
      <c r="A115" s="869" t="s">
        <v>10637</v>
      </c>
      <c r="B115" s="869" t="s">
        <v>5294</v>
      </c>
      <c r="C115" s="869" t="s">
        <v>5294</v>
      </c>
      <c r="D115" s="869" t="s">
        <v>5295</v>
      </c>
      <c r="E115" s="869" t="s">
        <v>5296</v>
      </c>
      <c r="F115" s="869">
        <v>30</v>
      </c>
      <c r="G115" s="869">
        <v>0</v>
      </c>
      <c r="H115" s="869" t="s">
        <v>3472</v>
      </c>
      <c r="I115" s="869">
        <v>100</v>
      </c>
      <c r="J115" s="869">
        <v>0</v>
      </c>
      <c r="K115" s="869" t="s">
        <v>463</v>
      </c>
      <c r="L115" s="869">
        <v>120</v>
      </c>
      <c r="M115" s="869">
        <v>0.5</v>
      </c>
      <c r="N115" s="869">
        <v>0</v>
      </c>
      <c r="O115" s="869">
        <v>10</v>
      </c>
      <c r="P115" s="869">
        <v>0.2</v>
      </c>
      <c r="Q115" s="869">
        <v>0</v>
      </c>
      <c r="R115" s="869">
        <v>100</v>
      </c>
      <c r="S115" s="869">
        <v>100</v>
      </c>
      <c r="T115" s="869">
        <v>1</v>
      </c>
    </row>
    <row r="116" spans="1:20">
      <c r="A116" s="869" t="s">
        <v>10637</v>
      </c>
      <c r="B116" s="869" t="s">
        <v>5297</v>
      </c>
      <c r="C116" s="869" t="s">
        <v>5297</v>
      </c>
      <c r="D116" s="869" t="s">
        <v>5298</v>
      </c>
      <c r="E116" s="869" t="s">
        <v>5299</v>
      </c>
      <c r="F116" s="869">
        <v>1090</v>
      </c>
      <c r="G116" s="869">
        <v>0</v>
      </c>
      <c r="H116" s="869" t="s">
        <v>1549</v>
      </c>
      <c r="I116" s="869">
        <v>2</v>
      </c>
      <c r="J116" s="869">
        <v>0</v>
      </c>
      <c r="K116" s="869" t="s">
        <v>1635</v>
      </c>
      <c r="L116" s="869">
        <v>250</v>
      </c>
      <c r="M116" s="869">
        <v>20</v>
      </c>
      <c r="N116" s="869">
        <v>0</v>
      </c>
      <c r="O116" s="869">
        <v>10</v>
      </c>
      <c r="P116" s="869">
        <v>0.5</v>
      </c>
      <c r="Q116" s="869">
        <v>0</v>
      </c>
      <c r="R116" s="869">
        <v>100</v>
      </c>
      <c r="S116" s="869">
        <v>100</v>
      </c>
      <c r="T116" s="869">
        <v>1</v>
      </c>
    </row>
    <row r="117" spans="1:20">
      <c r="A117" s="869" t="s">
        <v>10637</v>
      </c>
      <c r="B117" s="869" t="s">
        <v>5300</v>
      </c>
      <c r="C117" s="869" t="s">
        <v>5300</v>
      </c>
      <c r="D117" s="869" t="s">
        <v>5301</v>
      </c>
      <c r="E117" s="869" t="s">
        <v>3580</v>
      </c>
      <c r="F117" s="869">
        <v>152</v>
      </c>
      <c r="G117" s="869">
        <v>0</v>
      </c>
      <c r="H117" s="869" t="s">
        <v>1549</v>
      </c>
      <c r="I117" s="869">
        <v>100</v>
      </c>
      <c r="J117" s="869">
        <v>0</v>
      </c>
      <c r="K117" s="869" t="s">
        <v>463</v>
      </c>
      <c r="L117" s="869">
        <v>600</v>
      </c>
      <c r="M117" s="869">
        <v>0.3</v>
      </c>
      <c r="N117" s="869">
        <v>0</v>
      </c>
      <c r="O117" s="869">
        <v>10</v>
      </c>
      <c r="P117" s="869">
        <v>0.5</v>
      </c>
      <c r="Q117" s="869">
        <v>0</v>
      </c>
      <c r="R117" s="869">
        <v>100</v>
      </c>
      <c r="S117" s="869">
        <v>100</v>
      </c>
      <c r="T117" s="869">
        <v>1</v>
      </c>
    </row>
    <row r="118" spans="1:20">
      <c r="A118" s="869" t="s">
        <v>10637</v>
      </c>
      <c r="B118" s="869" t="s">
        <v>5302</v>
      </c>
      <c r="C118" s="869" t="s">
        <v>5302</v>
      </c>
      <c r="D118" s="869" t="s">
        <v>5303</v>
      </c>
      <c r="E118" s="869" t="s">
        <v>3583</v>
      </c>
      <c r="F118" s="869">
        <v>152</v>
      </c>
      <c r="G118" s="869">
        <v>0</v>
      </c>
      <c r="H118" s="869" t="s">
        <v>1549</v>
      </c>
      <c r="I118" s="869">
        <v>100</v>
      </c>
      <c r="J118" s="869">
        <v>0</v>
      </c>
      <c r="K118" s="869" t="s">
        <v>463</v>
      </c>
      <c r="L118" s="869">
        <v>600</v>
      </c>
      <c r="M118" s="869">
        <v>0.3</v>
      </c>
      <c r="N118" s="869">
        <v>0</v>
      </c>
      <c r="O118" s="869">
        <v>10</v>
      </c>
      <c r="P118" s="869">
        <v>0.5</v>
      </c>
      <c r="Q118" s="869">
        <v>0</v>
      </c>
      <c r="R118" s="869">
        <v>100</v>
      </c>
      <c r="S118" s="869">
        <v>100</v>
      </c>
      <c r="T118" s="869">
        <v>1</v>
      </c>
    </row>
    <row r="119" spans="1:20">
      <c r="A119" s="869" t="s">
        <v>10637</v>
      </c>
      <c r="B119" s="869" t="s">
        <v>5304</v>
      </c>
      <c r="C119" s="869" t="s">
        <v>5304</v>
      </c>
      <c r="D119" s="869" t="s">
        <v>5305</v>
      </c>
      <c r="E119" s="869" t="s">
        <v>3586</v>
      </c>
      <c r="F119" s="869">
        <v>152</v>
      </c>
      <c r="G119" s="869">
        <v>0</v>
      </c>
      <c r="H119" s="869" t="s">
        <v>1549</v>
      </c>
      <c r="I119" s="869">
        <v>100</v>
      </c>
      <c r="J119" s="869">
        <v>0</v>
      </c>
      <c r="K119" s="869" t="s">
        <v>463</v>
      </c>
      <c r="L119" s="869">
        <v>600</v>
      </c>
      <c r="M119" s="869">
        <v>0.3</v>
      </c>
      <c r="N119" s="869">
        <v>0</v>
      </c>
      <c r="O119" s="869">
        <v>10</v>
      </c>
      <c r="P119" s="869">
        <v>0.5</v>
      </c>
      <c r="Q119" s="869">
        <v>0</v>
      </c>
      <c r="R119" s="869">
        <v>100</v>
      </c>
      <c r="S119" s="869">
        <v>100</v>
      </c>
      <c r="T119" s="869">
        <v>1</v>
      </c>
    </row>
    <row r="120" spans="1:20">
      <c r="A120" s="869" t="s">
        <v>10637</v>
      </c>
      <c r="B120" s="869" t="s">
        <v>5306</v>
      </c>
      <c r="C120" s="869" t="s">
        <v>5306</v>
      </c>
      <c r="D120" s="869" t="s">
        <v>5307</v>
      </c>
      <c r="E120" s="869" t="s">
        <v>3589</v>
      </c>
      <c r="F120" s="869">
        <v>152</v>
      </c>
      <c r="G120" s="869">
        <v>0</v>
      </c>
      <c r="H120" s="869" t="s">
        <v>1549</v>
      </c>
      <c r="I120" s="869">
        <v>100</v>
      </c>
      <c r="J120" s="869">
        <v>0</v>
      </c>
      <c r="K120" s="869" t="s">
        <v>463</v>
      </c>
      <c r="L120" s="869">
        <v>600</v>
      </c>
      <c r="M120" s="869">
        <v>0.3</v>
      </c>
      <c r="N120" s="869">
        <v>0</v>
      </c>
      <c r="O120" s="869">
        <v>10</v>
      </c>
      <c r="P120" s="869">
        <v>0.5</v>
      </c>
      <c r="Q120" s="869">
        <v>0</v>
      </c>
      <c r="R120" s="869">
        <v>100</v>
      </c>
      <c r="S120" s="869">
        <v>100</v>
      </c>
      <c r="T120" s="869">
        <v>1</v>
      </c>
    </row>
    <row r="121" spans="1:20">
      <c r="A121" s="869" t="s">
        <v>10637</v>
      </c>
      <c r="B121" s="869" t="s">
        <v>5308</v>
      </c>
      <c r="C121" s="869" t="s">
        <v>5308</v>
      </c>
      <c r="D121" s="869" t="s">
        <v>5309</v>
      </c>
      <c r="E121" s="869" t="s">
        <v>3592</v>
      </c>
      <c r="F121" s="869">
        <v>152</v>
      </c>
      <c r="G121" s="869">
        <v>0</v>
      </c>
      <c r="H121" s="869" t="s">
        <v>1549</v>
      </c>
      <c r="I121" s="869">
        <v>100</v>
      </c>
      <c r="J121" s="869">
        <v>0</v>
      </c>
      <c r="K121" s="869" t="s">
        <v>463</v>
      </c>
      <c r="L121" s="869">
        <v>600</v>
      </c>
      <c r="M121" s="869">
        <v>0.3</v>
      </c>
      <c r="N121" s="869">
        <v>0</v>
      </c>
      <c r="O121" s="869">
        <v>10</v>
      </c>
      <c r="P121" s="869">
        <v>0.5</v>
      </c>
      <c r="Q121" s="869">
        <v>0</v>
      </c>
      <c r="R121" s="869">
        <v>100</v>
      </c>
      <c r="S121" s="869">
        <v>100</v>
      </c>
      <c r="T121" s="869">
        <v>1</v>
      </c>
    </row>
    <row r="122" spans="1:20">
      <c r="A122" s="869" t="s">
        <v>10637</v>
      </c>
      <c r="B122" s="869" t="s">
        <v>5310</v>
      </c>
      <c r="C122" s="869" t="s">
        <v>5310</v>
      </c>
      <c r="D122" s="869" t="s">
        <v>5311</v>
      </c>
      <c r="E122" s="869" t="s">
        <v>3595</v>
      </c>
      <c r="F122" s="869">
        <v>152</v>
      </c>
      <c r="G122" s="869">
        <v>0</v>
      </c>
      <c r="H122" s="869" t="s">
        <v>1549</v>
      </c>
      <c r="I122" s="869">
        <v>100</v>
      </c>
      <c r="J122" s="869">
        <v>0</v>
      </c>
      <c r="K122" s="869" t="s">
        <v>463</v>
      </c>
      <c r="L122" s="869">
        <v>600</v>
      </c>
      <c r="M122" s="869">
        <v>0.3</v>
      </c>
      <c r="N122" s="869">
        <v>0</v>
      </c>
      <c r="O122" s="869">
        <v>10</v>
      </c>
      <c r="P122" s="869">
        <v>0.5</v>
      </c>
      <c r="Q122" s="869">
        <v>0</v>
      </c>
      <c r="R122" s="869">
        <v>100</v>
      </c>
      <c r="S122" s="869">
        <v>100</v>
      </c>
      <c r="T122" s="869">
        <v>1</v>
      </c>
    </row>
    <row r="123" spans="1:20">
      <c r="A123" s="869" t="s">
        <v>10637</v>
      </c>
      <c r="B123" s="869" t="s">
        <v>5312</v>
      </c>
      <c r="C123" s="869" t="s">
        <v>5312</v>
      </c>
      <c r="D123" s="869" t="s">
        <v>5313</v>
      </c>
      <c r="E123" s="869" t="s">
        <v>3598</v>
      </c>
      <c r="F123" s="869">
        <v>152</v>
      </c>
      <c r="G123" s="869">
        <v>0</v>
      </c>
      <c r="H123" s="869" t="s">
        <v>1549</v>
      </c>
      <c r="I123" s="869">
        <v>100</v>
      </c>
      <c r="J123" s="869">
        <v>0</v>
      </c>
      <c r="K123" s="869" t="s">
        <v>463</v>
      </c>
      <c r="L123" s="869">
        <v>600</v>
      </c>
      <c r="M123" s="869">
        <v>0.3</v>
      </c>
      <c r="N123" s="869">
        <v>0</v>
      </c>
      <c r="O123" s="869">
        <v>10</v>
      </c>
      <c r="P123" s="869">
        <v>0.5</v>
      </c>
      <c r="Q123" s="869">
        <v>0</v>
      </c>
      <c r="R123" s="869">
        <v>100</v>
      </c>
      <c r="S123" s="869">
        <v>100</v>
      </c>
      <c r="T123" s="869">
        <v>1</v>
      </c>
    </row>
    <row r="124" spans="1:20">
      <c r="A124" s="869" t="s">
        <v>10637</v>
      </c>
      <c r="B124" s="869" t="s">
        <v>5314</v>
      </c>
      <c r="C124" s="869" t="s">
        <v>5314</v>
      </c>
      <c r="D124" s="869" t="s">
        <v>5315</v>
      </c>
      <c r="E124" s="869" t="s">
        <v>3601</v>
      </c>
      <c r="F124" s="869">
        <v>152</v>
      </c>
      <c r="G124" s="869">
        <v>0</v>
      </c>
      <c r="H124" s="869" t="s">
        <v>1549</v>
      </c>
      <c r="I124" s="869">
        <v>100</v>
      </c>
      <c r="J124" s="869">
        <v>0</v>
      </c>
      <c r="K124" s="869" t="s">
        <v>463</v>
      </c>
      <c r="L124" s="869">
        <v>600</v>
      </c>
      <c r="M124" s="869">
        <v>0.3</v>
      </c>
      <c r="N124" s="869">
        <v>0</v>
      </c>
      <c r="O124" s="869">
        <v>10</v>
      </c>
      <c r="P124" s="869">
        <v>0.5</v>
      </c>
      <c r="Q124" s="869">
        <v>0</v>
      </c>
      <c r="R124" s="869">
        <v>100</v>
      </c>
      <c r="S124" s="869">
        <v>100</v>
      </c>
      <c r="T124" s="869">
        <v>1</v>
      </c>
    </row>
    <row r="125" spans="1:20">
      <c r="A125" s="869" t="s">
        <v>10637</v>
      </c>
      <c r="B125" s="869" t="s">
        <v>5316</v>
      </c>
      <c r="C125" s="869" t="s">
        <v>5316</v>
      </c>
      <c r="D125" s="869" t="s">
        <v>5317</v>
      </c>
      <c r="E125" s="869" t="s">
        <v>3568</v>
      </c>
      <c r="F125" s="869">
        <v>864</v>
      </c>
      <c r="G125" s="869">
        <v>0</v>
      </c>
      <c r="H125" s="869" t="s">
        <v>1549</v>
      </c>
      <c r="I125" s="869">
        <v>100</v>
      </c>
      <c r="J125" s="869">
        <v>0</v>
      </c>
      <c r="K125" s="869" t="s">
        <v>463</v>
      </c>
      <c r="L125" s="869">
        <v>500</v>
      </c>
      <c r="M125" s="869">
        <v>0.3</v>
      </c>
      <c r="N125" s="869">
        <v>0</v>
      </c>
      <c r="O125" s="869">
        <v>10</v>
      </c>
      <c r="P125" s="869">
        <v>1</v>
      </c>
      <c r="Q125" s="869">
        <v>0</v>
      </c>
      <c r="R125" s="869">
        <v>100</v>
      </c>
      <c r="S125" s="869">
        <v>100</v>
      </c>
      <c r="T125" s="869">
        <v>1</v>
      </c>
    </row>
    <row r="126" spans="1:20">
      <c r="A126" s="869" t="s">
        <v>10637</v>
      </c>
      <c r="B126" s="869" t="s">
        <v>5318</v>
      </c>
      <c r="C126" s="869" t="s">
        <v>5318</v>
      </c>
      <c r="D126" s="869" t="s">
        <v>5319</v>
      </c>
      <c r="E126" s="869" t="s">
        <v>5320</v>
      </c>
      <c r="F126" s="869">
        <v>342</v>
      </c>
      <c r="G126" s="869">
        <v>0</v>
      </c>
      <c r="H126" s="869" t="s">
        <v>1549</v>
      </c>
      <c r="I126" s="869">
        <v>100</v>
      </c>
      <c r="J126" s="869">
        <v>0</v>
      </c>
      <c r="K126" s="869" t="s">
        <v>463</v>
      </c>
      <c r="L126" s="869">
        <v>350</v>
      </c>
      <c r="M126" s="869">
        <v>0.18</v>
      </c>
      <c r="N126" s="869">
        <v>0</v>
      </c>
      <c r="O126" s="869">
        <v>10</v>
      </c>
      <c r="P126" s="869">
        <v>1</v>
      </c>
      <c r="Q126" s="869">
        <v>0</v>
      </c>
      <c r="R126" s="869">
        <v>100</v>
      </c>
      <c r="S126" s="869">
        <v>100</v>
      </c>
      <c r="T126" s="869">
        <v>1</v>
      </c>
    </row>
    <row r="127" spans="1:20">
      <c r="A127" s="869" t="s">
        <v>10637</v>
      </c>
      <c r="B127" s="869" t="s">
        <v>5321</v>
      </c>
      <c r="C127" s="869" t="s">
        <v>5321</v>
      </c>
      <c r="D127" s="869" t="s">
        <v>5322</v>
      </c>
      <c r="E127" s="869" t="s">
        <v>5323</v>
      </c>
      <c r="F127" s="869">
        <v>250.1</v>
      </c>
      <c r="G127" s="869">
        <v>0</v>
      </c>
      <c r="H127" s="869" t="s">
        <v>1549</v>
      </c>
      <c r="I127" s="869">
        <v>100</v>
      </c>
      <c r="J127" s="869">
        <v>0</v>
      </c>
      <c r="K127" s="869" t="s">
        <v>463</v>
      </c>
      <c r="L127" s="869">
        <v>500</v>
      </c>
      <c r="M127" s="869">
        <v>0.25</v>
      </c>
      <c r="N127" s="869">
        <v>0</v>
      </c>
      <c r="O127" s="869">
        <v>10</v>
      </c>
      <c r="P127" s="869">
        <v>0.5</v>
      </c>
      <c r="Q127" s="869">
        <v>0</v>
      </c>
      <c r="R127" s="869">
        <v>100</v>
      </c>
      <c r="S127" s="869">
        <v>100</v>
      </c>
      <c r="T127" s="869">
        <v>1</v>
      </c>
    </row>
    <row r="128" spans="1:20">
      <c r="A128" s="869" t="s">
        <v>10637</v>
      </c>
      <c r="B128" s="869" t="s">
        <v>5324</v>
      </c>
      <c r="C128" s="869" t="s">
        <v>5324</v>
      </c>
      <c r="D128" s="869" t="s">
        <v>5325</v>
      </c>
      <c r="E128" s="869" t="s">
        <v>5326</v>
      </c>
      <c r="F128" s="869">
        <v>220</v>
      </c>
      <c r="G128" s="869">
        <v>0</v>
      </c>
      <c r="H128" s="869" t="s">
        <v>1549</v>
      </c>
      <c r="I128" s="869">
        <v>100</v>
      </c>
      <c r="J128" s="869">
        <v>0</v>
      </c>
      <c r="K128" s="869" t="s">
        <v>463</v>
      </c>
      <c r="L128" s="869">
        <v>400</v>
      </c>
      <c r="M128" s="869">
        <v>0.15</v>
      </c>
      <c r="N128" s="869">
        <v>0</v>
      </c>
      <c r="O128" s="869">
        <v>10</v>
      </c>
      <c r="P128" s="869">
        <v>1</v>
      </c>
      <c r="Q128" s="869">
        <v>0</v>
      </c>
      <c r="R128" s="869">
        <v>100</v>
      </c>
      <c r="S128" s="869">
        <v>100</v>
      </c>
      <c r="T128" s="869">
        <v>1</v>
      </c>
    </row>
    <row r="129" spans="1:20">
      <c r="A129" s="869" t="s">
        <v>10637</v>
      </c>
      <c r="B129" s="869" t="s">
        <v>5327</v>
      </c>
      <c r="C129" s="869" t="s">
        <v>5327</v>
      </c>
      <c r="D129" s="869" t="s">
        <v>5328</v>
      </c>
      <c r="E129" s="869" t="s">
        <v>5329</v>
      </c>
      <c r="F129" s="869">
        <v>400</v>
      </c>
      <c r="G129" s="869">
        <v>0</v>
      </c>
      <c r="H129" s="869" t="s">
        <v>1549</v>
      </c>
      <c r="I129" s="869">
        <v>100</v>
      </c>
      <c r="J129" s="869">
        <v>0</v>
      </c>
      <c r="K129" s="869" t="s">
        <v>463</v>
      </c>
      <c r="L129" s="869">
        <v>600</v>
      </c>
      <c r="M129" s="869">
        <v>0.08</v>
      </c>
      <c r="N129" s="869">
        <v>0</v>
      </c>
      <c r="O129" s="869">
        <v>10</v>
      </c>
      <c r="P129" s="869">
        <v>1</v>
      </c>
      <c r="Q129" s="869">
        <v>0</v>
      </c>
      <c r="R129" s="869">
        <v>100</v>
      </c>
      <c r="S129" s="869">
        <v>100</v>
      </c>
      <c r="T129" s="869">
        <v>1</v>
      </c>
    </row>
    <row r="130" spans="1:20">
      <c r="A130" s="869" t="s">
        <v>10637</v>
      </c>
      <c r="B130" s="869" t="s">
        <v>5330</v>
      </c>
      <c r="C130" s="869" t="s">
        <v>5330</v>
      </c>
      <c r="D130" s="869" t="s">
        <v>5331</v>
      </c>
      <c r="E130" s="869" t="s">
        <v>5332</v>
      </c>
      <c r="F130" s="869">
        <v>1.2</v>
      </c>
      <c r="G130" s="869">
        <v>0</v>
      </c>
      <c r="H130" s="869" t="s">
        <v>3106</v>
      </c>
      <c r="I130" s="869">
        <v>100</v>
      </c>
      <c r="J130" s="869">
        <v>0</v>
      </c>
      <c r="K130" s="869" t="s">
        <v>463</v>
      </c>
      <c r="L130" s="869">
        <v>800</v>
      </c>
      <c r="M130" s="869">
        <v>15</v>
      </c>
      <c r="N130" s="869">
        <v>0</v>
      </c>
      <c r="O130" s="869">
        <v>10</v>
      </c>
      <c r="P130" s="869">
        <v>0.5</v>
      </c>
      <c r="Q130" s="869">
        <v>0</v>
      </c>
      <c r="R130" s="869">
        <v>100</v>
      </c>
      <c r="S130" s="869">
        <v>100</v>
      </c>
      <c r="T130" s="869">
        <v>1</v>
      </c>
    </row>
    <row r="131" spans="1:20">
      <c r="A131" s="869" t="s">
        <v>10637</v>
      </c>
      <c r="B131" s="869" t="s">
        <v>5333</v>
      </c>
      <c r="C131" s="869" t="s">
        <v>5333</v>
      </c>
      <c r="D131" s="869" t="s">
        <v>5334</v>
      </c>
      <c r="E131" s="869" t="s">
        <v>3664</v>
      </c>
      <c r="F131" s="869">
        <v>100</v>
      </c>
      <c r="G131" s="869">
        <v>0</v>
      </c>
      <c r="H131" s="869" t="s">
        <v>463</v>
      </c>
      <c r="I131" s="869">
        <v>400</v>
      </c>
      <c r="J131" s="869">
        <v>0</v>
      </c>
      <c r="K131" s="869" t="s">
        <v>1549</v>
      </c>
      <c r="L131" s="869">
        <v>35</v>
      </c>
      <c r="M131" s="869">
        <v>40</v>
      </c>
      <c r="N131" s="869">
        <v>0</v>
      </c>
      <c r="O131" s="869">
        <v>10</v>
      </c>
      <c r="P131" s="869">
        <v>0.5</v>
      </c>
      <c r="Q131" s="869">
        <v>1</v>
      </c>
      <c r="R131" s="869">
        <v>20</v>
      </c>
      <c r="S131" s="869">
        <v>20</v>
      </c>
      <c r="T131" s="869">
        <v>0.3</v>
      </c>
    </row>
    <row r="132" spans="1:20">
      <c r="A132" s="869" t="s">
        <v>10637</v>
      </c>
      <c r="B132" s="869" t="s">
        <v>5335</v>
      </c>
      <c r="C132" s="869" t="s">
        <v>5335</v>
      </c>
      <c r="D132" s="869" t="s">
        <v>5336</v>
      </c>
      <c r="E132" s="869" t="s">
        <v>3617</v>
      </c>
      <c r="F132" s="869">
        <v>100</v>
      </c>
      <c r="G132" s="869">
        <v>0</v>
      </c>
      <c r="H132" s="869" t="s">
        <v>463</v>
      </c>
      <c r="I132" s="869">
        <v>342</v>
      </c>
      <c r="J132" s="869">
        <v>0</v>
      </c>
      <c r="K132" s="869" t="s">
        <v>1549</v>
      </c>
      <c r="L132" s="869">
        <v>400</v>
      </c>
      <c r="M132" s="869">
        <v>20</v>
      </c>
      <c r="N132" s="869">
        <v>0</v>
      </c>
      <c r="O132" s="869">
        <v>10</v>
      </c>
      <c r="P132" s="869">
        <v>0.5</v>
      </c>
      <c r="Q132" s="869">
        <v>0</v>
      </c>
      <c r="R132" s="869">
        <v>100</v>
      </c>
      <c r="S132" s="869">
        <v>100</v>
      </c>
      <c r="T132" s="869">
        <v>1</v>
      </c>
    </row>
    <row r="133" spans="1:20">
      <c r="A133" s="869" t="s">
        <v>10637</v>
      </c>
      <c r="B133" s="869" t="s">
        <v>5337</v>
      </c>
      <c r="C133" s="869" t="s">
        <v>5337</v>
      </c>
      <c r="D133" s="869" t="s">
        <v>5338</v>
      </c>
      <c r="E133" s="869" t="s">
        <v>3624</v>
      </c>
      <c r="F133" s="869">
        <v>100</v>
      </c>
      <c r="G133" s="869">
        <v>0</v>
      </c>
      <c r="H133" s="869" t="s">
        <v>463</v>
      </c>
      <c r="I133" s="869">
        <v>100</v>
      </c>
      <c r="J133" s="869">
        <v>0</v>
      </c>
      <c r="K133" s="869" t="s">
        <v>463</v>
      </c>
      <c r="L133" s="869">
        <v>135</v>
      </c>
      <c r="M133" s="869">
        <v>60</v>
      </c>
      <c r="N133" s="869">
        <v>0</v>
      </c>
      <c r="O133" s="869">
        <v>10</v>
      </c>
      <c r="P133" s="869">
        <v>0.5</v>
      </c>
      <c r="Q133" s="869">
        <v>0</v>
      </c>
      <c r="R133" s="869">
        <v>100</v>
      </c>
      <c r="S133" s="869">
        <v>100</v>
      </c>
      <c r="T133" s="869">
        <v>1</v>
      </c>
    </row>
    <row r="134" spans="1:20">
      <c r="A134" s="869" t="s">
        <v>10637</v>
      </c>
      <c r="B134" s="869" t="s">
        <v>5339</v>
      </c>
      <c r="C134" s="869" t="s">
        <v>5339</v>
      </c>
      <c r="D134" s="869" t="s">
        <v>1014</v>
      </c>
      <c r="E134" s="869" t="s">
        <v>3624</v>
      </c>
      <c r="F134" s="869">
        <v>1.8</v>
      </c>
      <c r="G134" s="869">
        <v>0</v>
      </c>
      <c r="H134" s="869" t="s">
        <v>2000</v>
      </c>
      <c r="I134" s="869">
        <v>100</v>
      </c>
      <c r="J134" s="869">
        <v>0</v>
      </c>
      <c r="K134" s="869" t="s">
        <v>463</v>
      </c>
      <c r="L134" s="869">
        <v>60</v>
      </c>
      <c r="M134" s="869">
        <v>2</v>
      </c>
      <c r="N134" s="869">
        <v>0</v>
      </c>
      <c r="O134" s="869">
        <v>10</v>
      </c>
      <c r="P134" s="869">
        <v>1</v>
      </c>
      <c r="Q134" s="869">
        <v>0</v>
      </c>
      <c r="R134" s="869">
        <v>100</v>
      </c>
      <c r="S134" s="869">
        <v>100</v>
      </c>
      <c r="T134" s="869">
        <v>1</v>
      </c>
    </row>
    <row r="135" spans="1:20">
      <c r="A135" s="869" t="s">
        <v>10637</v>
      </c>
      <c r="B135" s="869" t="s">
        <v>5340</v>
      </c>
      <c r="C135" s="869" t="s">
        <v>5340</v>
      </c>
      <c r="D135" s="869" t="s">
        <v>5341</v>
      </c>
      <c r="E135" s="869" t="s">
        <v>3342</v>
      </c>
      <c r="F135" s="869">
        <v>2</v>
      </c>
      <c r="G135" s="869">
        <v>0</v>
      </c>
      <c r="H135" s="869" t="s">
        <v>1635</v>
      </c>
      <c r="I135" s="869">
        <v>100</v>
      </c>
      <c r="J135" s="869">
        <v>0</v>
      </c>
      <c r="K135" s="869" t="s">
        <v>463</v>
      </c>
      <c r="L135" s="869">
        <v>375</v>
      </c>
      <c r="M135" s="869">
        <v>0.17</v>
      </c>
      <c r="N135" s="869">
        <v>0</v>
      </c>
      <c r="O135" s="869">
        <v>10</v>
      </c>
      <c r="P135" s="869">
        <v>0.75</v>
      </c>
      <c r="Q135" s="869">
        <v>0</v>
      </c>
      <c r="R135" s="869">
        <v>100</v>
      </c>
      <c r="S135" s="869">
        <v>100</v>
      </c>
      <c r="T135" s="869">
        <v>1</v>
      </c>
    </row>
    <row r="136" spans="1:20">
      <c r="A136" s="869" t="s">
        <v>10637</v>
      </c>
      <c r="B136" s="869" t="s">
        <v>5342</v>
      </c>
      <c r="C136" s="869" t="s">
        <v>5342</v>
      </c>
      <c r="D136" s="869" t="s">
        <v>5343</v>
      </c>
      <c r="E136" s="869" t="s">
        <v>3646</v>
      </c>
      <c r="F136" s="869">
        <v>150</v>
      </c>
      <c r="G136" s="869">
        <v>0</v>
      </c>
      <c r="H136" s="869" t="s">
        <v>1535</v>
      </c>
      <c r="I136" s="869">
        <v>100</v>
      </c>
      <c r="J136" s="869">
        <v>0</v>
      </c>
      <c r="K136" s="869" t="s">
        <v>463</v>
      </c>
      <c r="L136" s="869">
        <v>30</v>
      </c>
      <c r="M136" s="869">
        <v>4</v>
      </c>
      <c r="N136" s="869">
        <v>0</v>
      </c>
      <c r="O136" s="869">
        <v>10</v>
      </c>
      <c r="P136" s="869">
        <v>0.5</v>
      </c>
      <c r="Q136" s="869">
        <v>0</v>
      </c>
      <c r="R136" s="869">
        <v>100</v>
      </c>
      <c r="S136" s="869">
        <v>100</v>
      </c>
      <c r="T136" s="869">
        <v>1</v>
      </c>
    </row>
    <row r="137" spans="1:20">
      <c r="A137" s="869" t="s">
        <v>10637</v>
      </c>
      <c r="B137" s="869" t="s">
        <v>5344</v>
      </c>
      <c r="C137" s="869" t="s">
        <v>5344</v>
      </c>
      <c r="D137" s="869" t="s">
        <v>5345</v>
      </c>
      <c r="E137" s="869" t="s">
        <v>3308</v>
      </c>
      <c r="F137" s="869">
        <v>150</v>
      </c>
      <c r="G137" s="869">
        <v>0</v>
      </c>
      <c r="H137" s="869" t="s">
        <v>1535</v>
      </c>
      <c r="I137" s="869">
        <v>0.5</v>
      </c>
      <c r="J137" s="869">
        <v>0</v>
      </c>
      <c r="K137" s="869" t="s">
        <v>3106</v>
      </c>
      <c r="L137" s="869">
        <v>60</v>
      </c>
      <c r="M137" s="869">
        <v>30</v>
      </c>
      <c r="N137" s="869">
        <v>0</v>
      </c>
      <c r="O137" s="869">
        <v>10</v>
      </c>
      <c r="P137" s="869">
        <v>1</v>
      </c>
      <c r="Q137" s="869">
        <v>0</v>
      </c>
      <c r="R137" s="869">
        <v>100</v>
      </c>
      <c r="S137" s="869">
        <v>100</v>
      </c>
      <c r="T137" s="869">
        <v>1</v>
      </c>
    </row>
    <row r="138" spans="1:20">
      <c r="A138" s="869" t="s">
        <v>10637</v>
      </c>
      <c r="B138" s="869" t="s">
        <v>5346</v>
      </c>
      <c r="C138" s="869" t="s">
        <v>5346</v>
      </c>
      <c r="D138" s="869" t="s">
        <v>5347</v>
      </c>
      <c r="E138" s="869" t="s">
        <v>3730</v>
      </c>
      <c r="F138" s="869">
        <v>70</v>
      </c>
      <c r="G138" s="869">
        <v>-70</v>
      </c>
      <c r="H138" s="869" t="s">
        <v>1639</v>
      </c>
      <c r="I138" s="869">
        <v>100</v>
      </c>
      <c r="J138" s="869">
        <v>0</v>
      </c>
      <c r="K138" s="869" t="s">
        <v>463</v>
      </c>
      <c r="L138" s="869">
        <v>250</v>
      </c>
      <c r="M138" s="869">
        <v>1</v>
      </c>
      <c r="N138" s="869">
        <v>0</v>
      </c>
      <c r="O138" s="869">
        <v>10</v>
      </c>
      <c r="P138" s="869">
        <v>1</v>
      </c>
      <c r="Q138" s="869">
        <v>0</v>
      </c>
      <c r="R138" s="869">
        <v>100</v>
      </c>
      <c r="S138" s="869">
        <v>100</v>
      </c>
      <c r="T138" s="869">
        <v>1</v>
      </c>
    </row>
    <row r="139" spans="1:20">
      <c r="A139" s="869" t="s">
        <v>10637</v>
      </c>
      <c r="B139" s="869" t="s">
        <v>5348</v>
      </c>
      <c r="C139" s="869" t="s">
        <v>5348</v>
      </c>
      <c r="D139" s="869" t="s">
        <v>918</v>
      </c>
      <c r="E139" s="869" t="s">
        <v>3746</v>
      </c>
      <c r="F139" s="869">
        <v>100</v>
      </c>
      <c r="G139" s="869">
        <v>0</v>
      </c>
      <c r="H139" s="869" t="s">
        <v>463</v>
      </c>
      <c r="I139" s="869">
        <v>100</v>
      </c>
      <c r="J139" s="869">
        <v>0</v>
      </c>
      <c r="K139" s="869" t="s">
        <v>463</v>
      </c>
      <c r="L139" s="869">
        <v>50</v>
      </c>
      <c r="M139" s="869">
        <v>35</v>
      </c>
      <c r="N139" s="869">
        <v>0</v>
      </c>
      <c r="O139" s="869">
        <v>10</v>
      </c>
      <c r="P139" s="869">
        <v>0.5</v>
      </c>
      <c r="Q139" s="869">
        <v>0</v>
      </c>
      <c r="R139" s="869">
        <v>100</v>
      </c>
      <c r="S139" s="869">
        <v>100</v>
      </c>
      <c r="T139" s="869">
        <v>1</v>
      </c>
    </row>
    <row r="140" spans="1:20">
      <c r="A140" s="869" t="s">
        <v>10637</v>
      </c>
      <c r="B140" s="869" t="s">
        <v>5349</v>
      </c>
      <c r="C140" s="869" t="s">
        <v>5349</v>
      </c>
      <c r="D140" s="869" t="s">
        <v>5350</v>
      </c>
      <c r="E140" s="869" t="s">
        <v>3793</v>
      </c>
      <c r="F140" s="869">
        <v>8000</v>
      </c>
      <c r="G140" s="869">
        <v>0</v>
      </c>
      <c r="H140" s="869" t="s">
        <v>3761</v>
      </c>
      <c r="I140" s="869">
        <v>100</v>
      </c>
      <c r="J140" s="869">
        <v>0</v>
      </c>
      <c r="K140" s="869" t="s">
        <v>1577</v>
      </c>
      <c r="L140" s="869">
        <v>350</v>
      </c>
      <c r="M140" s="869">
        <v>0.08</v>
      </c>
      <c r="N140" s="869">
        <v>0</v>
      </c>
      <c r="O140" s="869">
        <v>10</v>
      </c>
      <c r="P140" s="869">
        <v>0.5</v>
      </c>
      <c r="Q140" s="869">
        <v>0</v>
      </c>
      <c r="R140" s="869">
        <v>10</v>
      </c>
      <c r="S140" s="869">
        <v>5</v>
      </c>
      <c r="T140" s="869">
        <v>0.25</v>
      </c>
    </row>
    <row r="141" spans="1:20">
      <c r="A141" s="869" t="s">
        <v>10637</v>
      </c>
      <c r="B141" s="869" t="s">
        <v>5351</v>
      </c>
      <c r="C141" s="869" t="s">
        <v>5351</v>
      </c>
      <c r="D141" s="869" t="s">
        <v>5352</v>
      </c>
      <c r="E141" s="869" t="s">
        <v>3780</v>
      </c>
      <c r="F141" s="869">
        <v>24.21</v>
      </c>
      <c r="G141" s="869">
        <v>0</v>
      </c>
      <c r="H141" s="869" t="s">
        <v>1549</v>
      </c>
      <c r="I141" s="869">
        <v>100</v>
      </c>
      <c r="J141" s="869">
        <v>0</v>
      </c>
      <c r="K141" s="869" t="s">
        <v>463</v>
      </c>
      <c r="L141" s="869">
        <v>450</v>
      </c>
      <c r="M141" s="869">
        <v>0.2</v>
      </c>
      <c r="N141" s="869">
        <v>0</v>
      </c>
      <c r="O141" s="869">
        <v>10</v>
      </c>
      <c r="P141" s="869">
        <v>0.5</v>
      </c>
      <c r="Q141" s="869">
        <v>0</v>
      </c>
      <c r="R141" s="869">
        <v>100</v>
      </c>
      <c r="S141" s="869">
        <v>100</v>
      </c>
      <c r="T141" s="869">
        <v>1</v>
      </c>
    </row>
    <row r="142" spans="1:20">
      <c r="A142" s="869" t="s">
        <v>10637</v>
      </c>
      <c r="B142" s="869" t="s">
        <v>5353</v>
      </c>
      <c r="C142" s="869" t="s">
        <v>5353</v>
      </c>
      <c r="D142" s="869" t="s">
        <v>914</v>
      </c>
      <c r="E142" s="869" t="s">
        <v>3801</v>
      </c>
      <c r="F142" s="869">
        <v>100</v>
      </c>
      <c r="G142" s="869">
        <v>0</v>
      </c>
      <c r="H142" s="869" t="s">
        <v>463</v>
      </c>
      <c r="I142" s="869">
        <v>100</v>
      </c>
      <c r="J142" s="869">
        <v>0</v>
      </c>
      <c r="K142" s="869" t="s">
        <v>1577</v>
      </c>
      <c r="L142" s="869">
        <v>100</v>
      </c>
      <c r="M142" s="869">
        <v>30</v>
      </c>
      <c r="N142" s="869">
        <v>0</v>
      </c>
      <c r="O142" s="869">
        <v>10</v>
      </c>
      <c r="P142" s="869">
        <v>0.5</v>
      </c>
      <c r="Q142" s="869">
        <v>0</v>
      </c>
      <c r="R142" s="869">
        <v>100</v>
      </c>
      <c r="S142" s="869">
        <v>100</v>
      </c>
      <c r="T142" s="869">
        <v>1</v>
      </c>
    </row>
    <row r="143" spans="1:20">
      <c r="A143" s="869" t="s">
        <v>10637</v>
      </c>
      <c r="B143" s="869" t="s">
        <v>5354</v>
      </c>
      <c r="C143" s="869" t="s">
        <v>5354</v>
      </c>
      <c r="D143" s="869" t="s">
        <v>1017</v>
      </c>
      <c r="E143" s="869" t="s">
        <v>3746</v>
      </c>
      <c r="F143" s="869">
        <v>10</v>
      </c>
      <c r="G143" s="869">
        <v>0</v>
      </c>
      <c r="H143" s="869" t="s">
        <v>2000</v>
      </c>
      <c r="I143" s="869">
        <v>100</v>
      </c>
      <c r="J143" s="869">
        <v>0</v>
      </c>
      <c r="K143" s="869" t="s">
        <v>463</v>
      </c>
      <c r="L143" s="869">
        <v>60</v>
      </c>
      <c r="M143" s="869">
        <v>0.69999990000000001</v>
      </c>
      <c r="N143" s="869">
        <v>0</v>
      </c>
      <c r="O143" s="869">
        <v>10</v>
      </c>
      <c r="P143" s="869">
        <v>0.5</v>
      </c>
      <c r="Q143" s="869">
        <v>0</v>
      </c>
      <c r="R143" s="869">
        <v>100</v>
      </c>
      <c r="S143" s="869">
        <v>100</v>
      </c>
      <c r="T143" s="869">
        <v>1</v>
      </c>
    </row>
    <row r="144" spans="1:20">
      <c r="A144" s="869" t="s">
        <v>10637</v>
      </c>
      <c r="B144" s="869" t="s">
        <v>5355</v>
      </c>
      <c r="C144" s="869" t="s">
        <v>5355</v>
      </c>
      <c r="D144" s="869" t="s">
        <v>464</v>
      </c>
      <c r="E144" s="869" t="s">
        <v>3869</v>
      </c>
      <c r="F144" s="869">
        <v>5</v>
      </c>
      <c r="G144" s="869">
        <v>0</v>
      </c>
      <c r="H144" s="869" t="s">
        <v>2000</v>
      </c>
      <c r="I144" s="869">
        <v>100</v>
      </c>
      <c r="J144" s="869">
        <v>0</v>
      </c>
      <c r="K144" s="869" t="s">
        <v>463</v>
      </c>
      <c r="L144" s="869">
        <v>20</v>
      </c>
      <c r="M144" s="869">
        <v>0.13100000000000001</v>
      </c>
      <c r="N144" s="869">
        <v>0</v>
      </c>
      <c r="O144" s="869">
        <v>10</v>
      </c>
      <c r="P144" s="869">
        <v>0.5</v>
      </c>
      <c r="Q144" s="869">
        <v>0</v>
      </c>
      <c r="R144" s="869">
        <v>100</v>
      </c>
      <c r="S144" s="869">
        <v>100</v>
      </c>
      <c r="T144" s="869">
        <v>1</v>
      </c>
    </row>
    <row r="145" spans="1:20">
      <c r="A145" s="869" t="s">
        <v>10637</v>
      </c>
      <c r="B145" s="869" t="s">
        <v>5356</v>
      </c>
      <c r="C145" s="869" t="s">
        <v>5356</v>
      </c>
      <c r="D145" s="869" t="s">
        <v>5357</v>
      </c>
      <c r="E145" s="869" t="s">
        <v>3903</v>
      </c>
      <c r="F145" s="869">
        <v>6</v>
      </c>
      <c r="G145" s="869">
        <v>0</v>
      </c>
      <c r="H145" s="869" t="s">
        <v>2000</v>
      </c>
      <c r="I145" s="869">
        <v>100</v>
      </c>
      <c r="J145" s="869">
        <v>0</v>
      </c>
      <c r="K145" s="869" t="s">
        <v>463</v>
      </c>
      <c r="L145" s="869">
        <v>40</v>
      </c>
      <c r="M145" s="869">
        <v>0.75</v>
      </c>
      <c r="N145" s="869">
        <v>0</v>
      </c>
      <c r="O145" s="869">
        <v>10</v>
      </c>
      <c r="P145" s="869">
        <v>0.5</v>
      </c>
      <c r="Q145" s="869">
        <v>0</v>
      </c>
      <c r="R145" s="869">
        <v>100</v>
      </c>
      <c r="S145" s="869">
        <v>100</v>
      </c>
      <c r="T145" s="869">
        <v>1</v>
      </c>
    </row>
    <row r="146" spans="1:20">
      <c r="A146" s="869" t="s">
        <v>10637</v>
      </c>
      <c r="B146" s="869" t="s">
        <v>5358</v>
      </c>
      <c r="C146" s="869" t="s">
        <v>5358</v>
      </c>
      <c r="D146" s="869" t="s">
        <v>5359</v>
      </c>
      <c r="E146" s="869" t="s">
        <v>3948</v>
      </c>
      <c r="F146" s="869">
        <v>131.25</v>
      </c>
      <c r="G146" s="869">
        <v>0</v>
      </c>
      <c r="H146" s="869" t="s">
        <v>1556</v>
      </c>
      <c r="I146" s="869">
        <v>100</v>
      </c>
      <c r="J146" s="869">
        <v>0</v>
      </c>
      <c r="K146" s="869" t="s">
        <v>463</v>
      </c>
      <c r="L146" s="869">
        <v>150</v>
      </c>
      <c r="M146" s="869">
        <v>0.12</v>
      </c>
      <c r="N146" s="869">
        <v>0</v>
      </c>
      <c r="O146" s="869">
        <v>10</v>
      </c>
      <c r="P146" s="869">
        <v>1</v>
      </c>
      <c r="Q146" s="869">
        <v>0</v>
      </c>
      <c r="R146" s="869">
        <v>100</v>
      </c>
      <c r="S146" s="869">
        <v>100</v>
      </c>
      <c r="T146" s="869">
        <v>1</v>
      </c>
    </row>
    <row r="147" spans="1:20">
      <c r="A147" s="869" t="s">
        <v>10637</v>
      </c>
      <c r="B147" s="869" t="s">
        <v>5360</v>
      </c>
      <c r="C147" s="869" t="s">
        <v>5360</v>
      </c>
      <c r="D147" s="869" t="s">
        <v>5361</v>
      </c>
      <c r="E147" s="869" t="s">
        <v>3036</v>
      </c>
      <c r="F147" s="869">
        <v>598</v>
      </c>
      <c r="G147" s="869">
        <v>0</v>
      </c>
      <c r="H147" s="869" t="s">
        <v>1549</v>
      </c>
      <c r="I147" s="869">
        <v>100</v>
      </c>
      <c r="J147" s="869">
        <v>0</v>
      </c>
      <c r="K147" s="869" t="s">
        <v>463</v>
      </c>
      <c r="L147" s="869">
        <v>260</v>
      </c>
      <c r="M147" s="869">
        <v>0.25</v>
      </c>
      <c r="N147" s="869">
        <v>0</v>
      </c>
      <c r="O147" s="869">
        <v>10</v>
      </c>
      <c r="P147" s="869">
        <v>1</v>
      </c>
      <c r="Q147" s="869">
        <v>0</v>
      </c>
      <c r="R147" s="869">
        <v>100</v>
      </c>
      <c r="S147" s="869">
        <v>100</v>
      </c>
      <c r="T147" s="869">
        <v>1</v>
      </c>
    </row>
    <row r="148" spans="1:20">
      <c r="A148" s="869" t="s">
        <v>10637</v>
      </c>
      <c r="B148" s="869" t="s">
        <v>5362</v>
      </c>
      <c r="C148" s="869" t="s">
        <v>5362</v>
      </c>
      <c r="D148" s="869" t="s">
        <v>5363</v>
      </c>
      <c r="E148" s="869" t="s">
        <v>3342</v>
      </c>
      <c r="F148" s="869">
        <v>2</v>
      </c>
      <c r="G148" s="869">
        <v>0</v>
      </c>
      <c r="H148" s="869" t="s">
        <v>1635</v>
      </c>
      <c r="I148" s="869">
        <v>100</v>
      </c>
      <c r="J148" s="869">
        <v>0</v>
      </c>
      <c r="K148" s="869" t="s">
        <v>463</v>
      </c>
      <c r="L148" s="869">
        <v>500</v>
      </c>
      <c r="M148" s="869">
        <v>0.18</v>
      </c>
      <c r="N148" s="869">
        <v>0</v>
      </c>
      <c r="O148" s="869">
        <v>10</v>
      </c>
      <c r="P148" s="869">
        <v>1</v>
      </c>
      <c r="Q148" s="869">
        <v>0</v>
      </c>
      <c r="R148" s="869">
        <v>100</v>
      </c>
      <c r="S148" s="869">
        <v>100</v>
      </c>
      <c r="T148" s="869">
        <v>1</v>
      </c>
    </row>
    <row r="149" spans="1:20">
      <c r="A149" s="869" t="s">
        <v>10637</v>
      </c>
      <c r="B149" s="869" t="s">
        <v>5364</v>
      </c>
      <c r="C149" s="869" t="s">
        <v>5364</v>
      </c>
      <c r="D149" s="869" t="s">
        <v>5365</v>
      </c>
      <c r="E149" s="869" t="s">
        <v>3514</v>
      </c>
      <c r="F149" s="869">
        <v>616</v>
      </c>
      <c r="G149" s="869">
        <v>0</v>
      </c>
      <c r="H149" s="869" t="s">
        <v>1535</v>
      </c>
      <c r="I149" s="869">
        <v>100</v>
      </c>
      <c r="J149" s="869">
        <v>0</v>
      </c>
      <c r="K149" s="869" t="s">
        <v>463</v>
      </c>
      <c r="L149" s="869">
        <v>35</v>
      </c>
      <c r="M149" s="869">
        <v>3.5</v>
      </c>
      <c r="N149" s="869">
        <v>0</v>
      </c>
      <c r="O149" s="869">
        <v>10</v>
      </c>
      <c r="P149" s="869">
        <v>1</v>
      </c>
      <c r="Q149" s="869">
        <v>0</v>
      </c>
      <c r="R149" s="869">
        <v>100</v>
      </c>
      <c r="S149" s="869">
        <v>100</v>
      </c>
      <c r="T149" s="869">
        <v>1</v>
      </c>
    </row>
    <row r="150" spans="1:20">
      <c r="A150" s="869" t="s">
        <v>10637</v>
      </c>
      <c r="B150" s="869" t="s">
        <v>5366</v>
      </c>
      <c r="C150" s="869" t="s">
        <v>5366</v>
      </c>
      <c r="D150" s="869" t="s">
        <v>5367</v>
      </c>
      <c r="E150" s="869" t="s">
        <v>5368</v>
      </c>
      <c r="F150" s="869">
        <v>200</v>
      </c>
      <c r="G150" s="869">
        <v>0</v>
      </c>
      <c r="H150" s="869" t="s">
        <v>1535</v>
      </c>
      <c r="I150" s="869">
        <v>100</v>
      </c>
      <c r="J150" s="869">
        <v>0</v>
      </c>
      <c r="K150" s="869" t="s">
        <v>463</v>
      </c>
      <c r="L150" s="869">
        <v>60</v>
      </c>
      <c r="M150" s="869">
        <v>15</v>
      </c>
      <c r="N150" s="869">
        <v>0</v>
      </c>
      <c r="O150" s="869">
        <v>10</v>
      </c>
      <c r="P150" s="869">
        <v>1</v>
      </c>
      <c r="Q150" s="869">
        <v>0</v>
      </c>
      <c r="R150" s="869">
        <v>100</v>
      </c>
      <c r="S150" s="869">
        <v>100</v>
      </c>
      <c r="T150" s="869">
        <v>1</v>
      </c>
    </row>
    <row r="151" spans="1:20">
      <c r="A151" s="869" t="s">
        <v>10637</v>
      </c>
      <c r="B151" s="869" t="s">
        <v>5369</v>
      </c>
      <c r="C151" s="869" t="s">
        <v>5369</v>
      </c>
      <c r="D151" s="869" t="s">
        <v>5370</v>
      </c>
      <c r="E151" s="869" t="s">
        <v>5296</v>
      </c>
      <c r="F151" s="869">
        <v>30</v>
      </c>
      <c r="G151" s="869">
        <v>0</v>
      </c>
      <c r="H151" s="869" t="s">
        <v>3472</v>
      </c>
      <c r="I151" s="869">
        <v>100</v>
      </c>
      <c r="J151" s="869">
        <v>0</v>
      </c>
      <c r="K151" s="869" t="s">
        <v>463</v>
      </c>
      <c r="L151" s="869">
        <v>90</v>
      </c>
      <c r="M151" s="869">
        <v>0.3</v>
      </c>
      <c r="N151" s="869">
        <v>0</v>
      </c>
      <c r="O151" s="869">
        <v>10</v>
      </c>
      <c r="P151" s="869">
        <v>1</v>
      </c>
      <c r="Q151" s="869">
        <v>0</v>
      </c>
      <c r="R151" s="869">
        <v>100</v>
      </c>
      <c r="S151" s="869">
        <v>100</v>
      </c>
      <c r="T151" s="869">
        <v>1</v>
      </c>
    </row>
    <row r="152" spans="1:20">
      <c r="A152" s="869" t="s">
        <v>10637</v>
      </c>
      <c r="B152" s="869" t="s">
        <v>5371</v>
      </c>
      <c r="C152" s="869" t="s">
        <v>5371</v>
      </c>
      <c r="D152" s="869" t="s">
        <v>5372</v>
      </c>
      <c r="E152" s="869" t="s">
        <v>4047</v>
      </c>
      <c r="F152" s="869">
        <v>400</v>
      </c>
      <c r="G152" s="869">
        <v>0</v>
      </c>
      <c r="H152" s="869" t="s">
        <v>1549</v>
      </c>
      <c r="I152" s="869">
        <v>100</v>
      </c>
      <c r="J152" s="869">
        <v>0</v>
      </c>
      <c r="K152" s="869" t="s">
        <v>463</v>
      </c>
      <c r="L152" s="869">
        <v>400</v>
      </c>
      <c r="M152" s="869">
        <v>0.12</v>
      </c>
      <c r="N152" s="869">
        <v>0</v>
      </c>
      <c r="O152" s="869">
        <v>10</v>
      </c>
      <c r="P152" s="869">
        <v>1</v>
      </c>
      <c r="Q152" s="869">
        <v>0</v>
      </c>
      <c r="R152" s="869">
        <v>100</v>
      </c>
      <c r="S152" s="869">
        <v>100</v>
      </c>
      <c r="T152" s="869">
        <v>1</v>
      </c>
    </row>
    <row r="153" spans="1:20">
      <c r="A153" s="869" t="s">
        <v>10637</v>
      </c>
      <c r="B153" s="869" t="s">
        <v>5373</v>
      </c>
      <c r="C153" s="869" t="s">
        <v>5373</v>
      </c>
      <c r="D153" s="869" t="s">
        <v>5374</v>
      </c>
      <c r="E153" s="869" t="s">
        <v>4050</v>
      </c>
      <c r="F153" s="869">
        <v>400</v>
      </c>
      <c r="G153" s="869">
        <v>0</v>
      </c>
      <c r="H153" s="869" t="s">
        <v>1549</v>
      </c>
      <c r="I153" s="869">
        <v>100</v>
      </c>
      <c r="J153" s="869">
        <v>0</v>
      </c>
      <c r="K153" s="869" t="s">
        <v>463</v>
      </c>
      <c r="L153" s="869">
        <v>400</v>
      </c>
      <c r="M153" s="869">
        <v>0.2</v>
      </c>
      <c r="N153" s="869">
        <v>0</v>
      </c>
      <c r="O153" s="869">
        <v>10</v>
      </c>
      <c r="P153" s="869">
        <v>1</v>
      </c>
      <c r="Q153" s="869">
        <v>0</v>
      </c>
      <c r="R153" s="869">
        <v>100</v>
      </c>
      <c r="S153" s="869">
        <v>100</v>
      </c>
      <c r="T153" s="869">
        <v>1</v>
      </c>
    </row>
    <row r="154" spans="1:20">
      <c r="A154" s="869" t="s">
        <v>10637</v>
      </c>
      <c r="B154" s="869" t="s">
        <v>5375</v>
      </c>
      <c r="C154" s="869" t="s">
        <v>5375</v>
      </c>
      <c r="D154" s="869" t="s">
        <v>5376</v>
      </c>
      <c r="E154" s="869" t="s">
        <v>4053</v>
      </c>
      <c r="F154" s="869">
        <v>150</v>
      </c>
      <c r="G154" s="869">
        <v>0</v>
      </c>
      <c r="H154" s="869" t="s">
        <v>1549</v>
      </c>
      <c r="I154" s="869">
        <v>100</v>
      </c>
      <c r="J154" s="869">
        <v>0</v>
      </c>
      <c r="K154" s="869" t="s">
        <v>463</v>
      </c>
      <c r="L154" s="869">
        <v>400</v>
      </c>
      <c r="M154" s="869">
        <v>0.12</v>
      </c>
      <c r="N154" s="869">
        <v>0</v>
      </c>
      <c r="O154" s="869">
        <v>10</v>
      </c>
      <c r="P154" s="869">
        <v>1</v>
      </c>
      <c r="Q154" s="869">
        <v>0</v>
      </c>
      <c r="R154" s="869">
        <v>100</v>
      </c>
      <c r="S154" s="869">
        <v>100</v>
      </c>
      <c r="T154" s="869">
        <v>1</v>
      </c>
    </row>
  </sheetData>
  <phoneticPr fontId="14"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DEA2EE8-4A3C-4E70-8F41-464EC3D19DB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45</vt:i4>
      </vt:variant>
      <vt:variant>
        <vt:lpstr>命名范围</vt:lpstr>
      </vt:variant>
      <vt:variant>
        <vt:i4>190</vt:i4>
      </vt:variant>
    </vt:vector>
  </HeadingPairs>
  <TitlesOfParts>
    <vt:vector size="235" baseType="lpstr">
      <vt:lpstr>Valve_input_checking</vt:lpstr>
      <vt:lpstr>PSV_input_checking</vt:lpstr>
      <vt:lpstr>Pump_input_checking</vt:lpstr>
      <vt:lpstr>Reactor_input_checking</vt:lpstr>
      <vt:lpstr>HeatExch_input_checking</vt:lpstr>
      <vt:lpstr>Aircooler_input_checking</vt:lpstr>
      <vt:lpstr>Heater_input_checking</vt:lpstr>
      <vt:lpstr>Drum_input_checking</vt:lpstr>
      <vt:lpstr>Column_input_checking</vt:lpstr>
      <vt:lpstr>HDTBed</vt:lpstr>
      <vt:lpstr>KettleNode</vt:lpstr>
      <vt:lpstr>HeatExch</vt:lpstr>
      <vt:lpstr>AirCoolerV2</vt:lpstr>
      <vt:lpstr>ValveActuator</vt:lpstr>
      <vt:lpstr>ControlValve</vt:lpstr>
      <vt:lpstr>PressureSafetyValve</vt:lpstr>
      <vt:lpstr>MotorActuator</vt:lpstr>
      <vt:lpstr>Pump</vt:lpstr>
      <vt:lpstr>ScrubberThreePhase</vt:lpstr>
      <vt:lpstr>Scrubber</vt:lpstr>
      <vt:lpstr>AtmosphericTank</vt:lpstr>
      <vt:lpstr>DrumSeparatorV2</vt:lpstr>
      <vt:lpstr>Furnace</vt:lpstr>
      <vt:lpstr>GasLiquidColumnNode</vt:lpstr>
      <vt:lpstr>Column</vt:lpstr>
      <vt:lpstr>ColumnBottom</vt:lpstr>
      <vt:lpstr>Desalter</vt:lpstr>
      <vt:lpstr>BatteryLimit</vt:lpstr>
      <vt:lpstr>Manifold</vt:lpstr>
      <vt:lpstr>ReadWriteVarFormat</vt:lpstr>
      <vt:lpstr>Transmitter</vt:lpstr>
      <vt:lpstr>IndissPlus_PID</vt:lpstr>
      <vt:lpstr>Model Type List</vt:lpstr>
      <vt:lpstr>Variable List</vt:lpstr>
      <vt:lpstr>UserManual</vt:lpstr>
      <vt:lpstr>Valve_from_BP</vt:lpstr>
      <vt:lpstr>PSV_from_BP</vt:lpstr>
      <vt:lpstr>Pump_from_BP</vt:lpstr>
      <vt:lpstr>HeatExch_from_BP</vt:lpstr>
      <vt:lpstr>Heater_from_BP</vt:lpstr>
      <vt:lpstr>Drum_from_BP</vt:lpstr>
      <vt:lpstr>Column_from_BP</vt:lpstr>
      <vt:lpstr>transmitter_from_BP</vt:lpstr>
      <vt:lpstr>PID_from_BP</vt:lpstr>
      <vt:lpstr>PID_TUNING_from_BP</vt:lpstr>
      <vt:lpstr>AirCoolerV2VariablesList</vt:lpstr>
      <vt:lpstr>AtmosphericTankVariablesList</vt:lpstr>
      <vt:lpstr>BatteryLimitVariablesList</vt:lpstr>
      <vt:lpstr>BornierBooleenVariablesList</vt:lpstr>
      <vt:lpstr>BornierReelVariablesList</vt:lpstr>
      <vt:lpstr>ChimneyVariablesList</vt:lpstr>
      <vt:lpstr>ColumnBottomVariablesList</vt:lpstr>
      <vt:lpstr>ColumnVariablesList</vt:lpstr>
      <vt:lpstr>CommentVariablesList</vt:lpstr>
      <vt:lpstr>CompressorMCVariablesList</vt:lpstr>
      <vt:lpstr>ConstanteTempsVariablesList</vt:lpstr>
      <vt:lpstr>ControlValveVariablesList</vt:lpstr>
      <vt:lpstr>DACVariablesList</vt:lpstr>
      <vt:lpstr>DemultiplexeurVariablesList</vt:lpstr>
      <vt:lpstr>DesalterVariablesList</vt:lpstr>
      <vt:lpstr>AirCoolerV2!Detail</vt:lpstr>
      <vt:lpstr>AtmosphericTank!Detail</vt:lpstr>
      <vt:lpstr>BatteryLimit!Detail</vt:lpstr>
      <vt:lpstr>Column!Detail</vt:lpstr>
      <vt:lpstr>ColumnBottom!Detail</vt:lpstr>
      <vt:lpstr>ControlValve!Detail</vt:lpstr>
      <vt:lpstr>Desalter!Detail</vt:lpstr>
      <vt:lpstr>DrumSeparatorV2!Detail</vt:lpstr>
      <vt:lpstr>Furnace!Detail</vt:lpstr>
      <vt:lpstr>GasLiquidColumnNode!Detail</vt:lpstr>
      <vt:lpstr>HDTBed!Detail</vt:lpstr>
      <vt:lpstr>HeatExch!Detail</vt:lpstr>
      <vt:lpstr>IndissPlus_PID!Detail</vt:lpstr>
      <vt:lpstr>KettleNode!Detail</vt:lpstr>
      <vt:lpstr>Manifold!Detail</vt:lpstr>
      <vt:lpstr>MotorActuator!Detail</vt:lpstr>
      <vt:lpstr>PressureSafetyValve!Detail</vt:lpstr>
      <vt:lpstr>Pump!Detail</vt:lpstr>
      <vt:lpstr>ReadWriteVarFormat!Detail</vt:lpstr>
      <vt:lpstr>Scrubber!Detail</vt:lpstr>
      <vt:lpstr>ScrubberThreePhase!Detail</vt:lpstr>
      <vt:lpstr>Transmitter!Detail</vt:lpstr>
      <vt:lpstr>ValveActuator!Detail</vt:lpstr>
      <vt:lpstr>DrumSeparatorV2VariablesList</vt:lpstr>
      <vt:lpstr>DrumSeparatorVariablesList</vt:lpstr>
      <vt:lpstr>ElectricalHeaterVariablesList</vt:lpstr>
      <vt:lpstr>ExchangerTubeVariablesList</vt:lpstr>
      <vt:lpstr>ExpanderVariablesList</vt:lpstr>
      <vt:lpstr>FlowGeneratorVariablesList</vt:lpstr>
      <vt:lpstr>FurnaceVariablesList</vt:lpstr>
      <vt:lpstr>GasLiquidColumnNodeVariablesList</vt:lpstr>
      <vt:lpstr>HDTBedVariablesList</vt:lpstr>
      <vt:lpstr>HeatExchVariablesList</vt:lpstr>
      <vt:lpstr>IndissPlus_CSOUTVariablesList</vt:lpstr>
      <vt:lpstr>IndissPlus_PIDVariablesList</vt:lpstr>
      <vt:lpstr>IntegrateurVariablesList</vt:lpstr>
      <vt:lpstr>KettleNodeVariablesList</vt:lpstr>
      <vt:lpstr>LogicTestVariablesList</vt:lpstr>
      <vt:lpstr>ManifoldVariablesList</vt:lpstr>
      <vt:lpstr>MixerVariablesList</vt:lpstr>
      <vt:lpstr>MotorActuatorVariablesList</vt:lpstr>
      <vt:lpstr>MultiplicateurVariablesList</vt:lpstr>
      <vt:lpstr>NonVariablesList</vt:lpstr>
      <vt:lpstr>PressureSafetyValveVariablesList</vt:lpstr>
      <vt:lpstr>ProgVariablesList</vt:lpstr>
      <vt:lpstr>PumpVariablesList</vt:lpstr>
      <vt:lpstr>RampVariablesList</vt:lpstr>
      <vt:lpstr>AirCoolerV2!ReadWrite</vt:lpstr>
      <vt:lpstr>AtmosphericTank!ReadWrite</vt:lpstr>
      <vt:lpstr>BatteryLimit!ReadWrite</vt:lpstr>
      <vt:lpstr>Column!ReadWrite</vt:lpstr>
      <vt:lpstr>ColumnBottom!ReadWrite</vt:lpstr>
      <vt:lpstr>ControlValve!ReadWrite</vt:lpstr>
      <vt:lpstr>Desalter!ReadWrite</vt:lpstr>
      <vt:lpstr>DrumSeparatorV2!ReadWrite</vt:lpstr>
      <vt:lpstr>Furnace!ReadWrite</vt:lpstr>
      <vt:lpstr>GasLiquidColumnNode!ReadWrite</vt:lpstr>
      <vt:lpstr>HDTBed!ReadWrite</vt:lpstr>
      <vt:lpstr>HeatExch!ReadWrite</vt:lpstr>
      <vt:lpstr>IndissPlus_PID!ReadWrite</vt:lpstr>
      <vt:lpstr>KettleNode!ReadWrite</vt:lpstr>
      <vt:lpstr>Manifold!ReadWrite</vt:lpstr>
      <vt:lpstr>MotorActuator!ReadWrite</vt:lpstr>
      <vt:lpstr>PressureSafetyValve!ReadWrite</vt:lpstr>
      <vt:lpstr>Pump!ReadWrite</vt:lpstr>
      <vt:lpstr>Scrubber!ReadWrite</vt:lpstr>
      <vt:lpstr>ScrubberThreePhase!ReadWrite</vt:lpstr>
      <vt:lpstr>Transmitter!ReadWrite</vt:lpstr>
      <vt:lpstr>ValveActuator!ReadWrite</vt:lpstr>
      <vt:lpstr>ReadWrite</vt:lpstr>
      <vt:lpstr>AirCoolerV2!ReadWriteRange</vt:lpstr>
      <vt:lpstr>AtmosphericTank!ReadWriteRange</vt:lpstr>
      <vt:lpstr>BatteryLimit!ReadWriteRange</vt:lpstr>
      <vt:lpstr>Column!ReadWriteRange</vt:lpstr>
      <vt:lpstr>ColumnBottom!ReadWriteRange</vt:lpstr>
      <vt:lpstr>ControlValve!ReadWriteRange</vt:lpstr>
      <vt:lpstr>Desalter!ReadWriteRange</vt:lpstr>
      <vt:lpstr>DrumSeparatorV2!ReadWriteRange</vt:lpstr>
      <vt:lpstr>Furnace!ReadWriteRange</vt:lpstr>
      <vt:lpstr>GasLiquidColumnNode!ReadWriteRange</vt:lpstr>
      <vt:lpstr>HDTBed!ReadWriteRange</vt:lpstr>
      <vt:lpstr>HeatExch!ReadWriteRange</vt:lpstr>
      <vt:lpstr>IndissPlus_PID!ReadWriteRange</vt:lpstr>
      <vt:lpstr>KettleNode!ReadWriteRange</vt:lpstr>
      <vt:lpstr>Manifold!ReadWriteRange</vt:lpstr>
      <vt:lpstr>MotorActuator!ReadWriteRange</vt:lpstr>
      <vt:lpstr>PressureSafetyValve!ReadWriteRange</vt:lpstr>
      <vt:lpstr>Pump!ReadWriteRange</vt:lpstr>
      <vt:lpstr>Scrubber!ReadWriteRange</vt:lpstr>
      <vt:lpstr>ScrubberThreePhase!ReadWriteRange</vt:lpstr>
      <vt:lpstr>Transmitter!ReadWriteRange</vt:lpstr>
      <vt:lpstr>ValveActuator!ReadWriteRange</vt:lpstr>
      <vt:lpstr>ReadWriteRange</vt:lpstr>
      <vt:lpstr>ScrubberThreePhaseVariablesList</vt:lpstr>
      <vt:lpstr>ScrubberVariablesList</vt:lpstr>
      <vt:lpstr>ShaftVariablesList</vt:lpstr>
      <vt:lpstr>SliceVariablesList</vt:lpstr>
      <vt:lpstr>SommeVariablesList</vt:lpstr>
      <vt:lpstr>SplitterVariablesList</vt:lpstr>
      <vt:lpstr>SplRangeVariablesList</vt:lpstr>
      <vt:lpstr>ThermodynamicAreaTransVariablesList</vt:lpstr>
      <vt:lpstr>TransmitterVariablesList</vt:lpstr>
      <vt:lpstr>AirCoolerV2!UOName</vt:lpstr>
      <vt:lpstr>AtmosphericTank!UOName</vt:lpstr>
      <vt:lpstr>BatteryLimit!UOName</vt:lpstr>
      <vt:lpstr>Column!UOName</vt:lpstr>
      <vt:lpstr>ColumnBottom!UOName</vt:lpstr>
      <vt:lpstr>ControlValve!UOName</vt:lpstr>
      <vt:lpstr>Desalter!UOName</vt:lpstr>
      <vt:lpstr>DrumSeparatorV2!UOName</vt:lpstr>
      <vt:lpstr>Furnace!UOName</vt:lpstr>
      <vt:lpstr>GasLiquidColumnNode!UOName</vt:lpstr>
      <vt:lpstr>HDTBed!UOName</vt:lpstr>
      <vt:lpstr>HeatExch!UOName</vt:lpstr>
      <vt:lpstr>IndissPlus_PID!UOName</vt:lpstr>
      <vt:lpstr>KettleNode!UOName</vt:lpstr>
      <vt:lpstr>Manifold!UOName</vt:lpstr>
      <vt:lpstr>MotorActuator!UOName</vt:lpstr>
      <vt:lpstr>PressureSafetyValve!UOName</vt:lpstr>
      <vt:lpstr>Pump!UOName</vt:lpstr>
      <vt:lpstr>Scrubber!UOName</vt:lpstr>
      <vt:lpstr>ScrubberThreePhase!UOName</vt:lpstr>
      <vt:lpstr>Transmitter!UOName</vt:lpstr>
      <vt:lpstr>ValveActuator!UOName</vt:lpstr>
      <vt:lpstr>UOName</vt:lpstr>
      <vt:lpstr>AirCoolerV2!UOPath</vt:lpstr>
      <vt:lpstr>AtmosphericTank!UOPath</vt:lpstr>
      <vt:lpstr>BatteryLimit!UOPath</vt:lpstr>
      <vt:lpstr>Column!UOPath</vt:lpstr>
      <vt:lpstr>ColumnBottom!UOPath</vt:lpstr>
      <vt:lpstr>ControlValve!UOPath</vt:lpstr>
      <vt:lpstr>Desalter!UOPath</vt:lpstr>
      <vt:lpstr>DrumSeparatorV2!UOPath</vt:lpstr>
      <vt:lpstr>Furnace!UOPath</vt:lpstr>
      <vt:lpstr>GasLiquidColumnNode!UOPath</vt:lpstr>
      <vt:lpstr>HDTBed!UOPath</vt:lpstr>
      <vt:lpstr>HeatExch!UOPath</vt:lpstr>
      <vt:lpstr>IndissPlus_PID!UOPath</vt:lpstr>
      <vt:lpstr>KettleNode!UOPath</vt:lpstr>
      <vt:lpstr>Manifold!UOPath</vt:lpstr>
      <vt:lpstr>MotorActuator!UOPath</vt:lpstr>
      <vt:lpstr>PressureSafetyValve!UOPath</vt:lpstr>
      <vt:lpstr>Pump!UOPath</vt:lpstr>
      <vt:lpstr>Scrubber!UOPath</vt:lpstr>
      <vt:lpstr>ScrubberThreePhase!UOPath</vt:lpstr>
      <vt:lpstr>Transmitter!UOPath</vt:lpstr>
      <vt:lpstr>ValveActuator!UOPath</vt:lpstr>
      <vt:lpstr>UOPath</vt:lpstr>
      <vt:lpstr>AirCoolerV2!UOType</vt:lpstr>
      <vt:lpstr>AtmosphericTank!UOType</vt:lpstr>
      <vt:lpstr>BatteryLimit!UOType</vt:lpstr>
      <vt:lpstr>Column!UOType</vt:lpstr>
      <vt:lpstr>ColumnBottom!UOType</vt:lpstr>
      <vt:lpstr>ControlValve!UOType</vt:lpstr>
      <vt:lpstr>Desalter!UOType</vt:lpstr>
      <vt:lpstr>DrumSeparatorV2!UOType</vt:lpstr>
      <vt:lpstr>Furnace!UOType</vt:lpstr>
      <vt:lpstr>GasLiquidColumnNode!UOType</vt:lpstr>
      <vt:lpstr>HDTBed!UOType</vt:lpstr>
      <vt:lpstr>HeatExch!UOType</vt:lpstr>
      <vt:lpstr>IndissPlus_PID!UOType</vt:lpstr>
      <vt:lpstr>KettleNode!UOType</vt:lpstr>
      <vt:lpstr>Manifold!UOType</vt:lpstr>
      <vt:lpstr>MotorActuator!UOType</vt:lpstr>
      <vt:lpstr>PressureSafetyValve!UOType</vt:lpstr>
      <vt:lpstr>Pump!UOType</vt:lpstr>
      <vt:lpstr>Scrubber!UOType</vt:lpstr>
      <vt:lpstr>ScrubberThreePhase!UOType</vt:lpstr>
      <vt:lpstr>Transmitter!UOType</vt:lpstr>
      <vt:lpstr>ValveActuator!UOType</vt:lpstr>
      <vt:lpstr>UOType</vt:lpstr>
      <vt:lpstr>ValveActuatorVariablesList</vt:lpstr>
      <vt:lpstr>ValveVariablesList</vt:lpstr>
      <vt:lpstr>VelocityLimiterVariablesList</vt:lpstr>
      <vt:lpstr>XYVariablesList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Fella HAMADI</dc:creator>
  <cp:lastModifiedBy>User</cp:lastModifiedBy>
  <cp:lastPrinted>2014-06-29T07:05:09Z</cp:lastPrinted>
  <dcterms:created xsi:type="dcterms:W3CDTF">2010-02-04T13:12:23Z</dcterms:created>
  <dcterms:modified xsi:type="dcterms:W3CDTF">2014-10-31T09:14:03Z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IndissConfig.vsto|e8f5c180-d6d0-4558-a6ee-81901fd5775b</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